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ITD\"/>
    </mc:Choice>
  </mc:AlternateContent>
  <xr:revisionPtr revIDLastSave="0" documentId="13_ncr:1_{87DFC6D8-87F1-4FE9-81C4-5A28FAB0923E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Chi phí" sheetId="1" state="hidden" r:id="rId1"/>
    <sheet name="Net Income" sheetId="2" state="hidden" r:id="rId2"/>
    <sheet name="Doanh số" sheetId="3" state="hidden" r:id="rId3"/>
    <sheet name="Thống kê v2 CC" sheetId="4" state="hidden" r:id="rId4"/>
    <sheet name="Thống kê" sheetId="5" state="hidden" r:id="rId5"/>
    <sheet name="Nhập kho T42024" sheetId="6" state="hidden" r:id="rId6"/>
    <sheet name="Doanh thu 2025" sheetId="7" state="hidden" r:id="rId7"/>
    <sheet name="Doanh thu" sheetId="8" r:id="rId8"/>
    <sheet name="Giá trị tồn kho hiện tại" sheetId="9" state="hidden" r:id="rId9"/>
    <sheet name="Thống kê GG" sheetId="10" state="hidden" r:id="rId10"/>
    <sheet name="Nhập xuất GG" sheetId="11" state="hidden" r:id="rId11"/>
    <sheet name="GIA HÂN" sheetId="12" state="hidden" r:id="rId12"/>
    <sheet name="Nháp" sheetId="13" state="hidden" r:id="rId13"/>
    <sheet name="File1" sheetId="14" state="hidden" r:id="rId14"/>
    <sheet name="File2" sheetId="15" state="hidden" r:id="rId15"/>
    <sheet name="Danh mục hàng hóa" sheetId="16" state="hidden" r:id="rId16"/>
    <sheet name="Xuất kho" sheetId="17" state="hidden" r:id="rId17"/>
    <sheet name="Nhập kho" sheetId="18" state="hidden" r:id="rId18"/>
  </sheets>
  <definedNames>
    <definedName name="_xlnm._FilterDatabase" localSheetId="15" hidden="1">'Danh mục hàng hóa'!$B$2:$N$223</definedName>
    <definedName name="_xlnm._FilterDatabase" localSheetId="11" hidden="1">'GIA HÂN'!$B$2:$K$236</definedName>
    <definedName name="_xlnm._FilterDatabase" localSheetId="12" hidden="1">Nháp!$B$2:$L$236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29" i="18" l="1"/>
  <c r="C729" i="18"/>
  <c r="D728" i="18"/>
  <c r="C728" i="18"/>
  <c r="D727" i="18"/>
  <c r="C727" i="18"/>
  <c r="D726" i="18"/>
  <c r="C726" i="18"/>
  <c r="D725" i="18"/>
  <c r="C725" i="18"/>
  <c r="G724" i="18"/>
  <c r="D724" i="18"/>
  <c r="C724" i="18"/>
  <c r="G723" i="18"/>
  <c r="D723" i="18"/>
  <c r="C723" i="18"/>
  <c r="G722" i="18"/>
  <c r="D722" i="18"/>
  <c r="C722" i="18"/>
  <c r="G721" i="18"/>
  <c r="D721" i="18"/>
  <c r="C721" i="18"/>
  <c r="G720" i="18"/>
  <c r="D720" i="18"/>
  <c r="C720" i="18"/>
  <c r="G719" i="18"/>
  <c r="D719" i="18"/>
  <c r="C719" i="18"/>
  <c r="G718" i="18"/>
  <c r="D718" i="18"/>
  <c r="C718" i="18"/>
  <c r="G717" i="18"/>
  <c r="D717" i="18"/>
  <c r="C717" i="18"/>
  <c r="G716" i="18"/>
  <c r="D716" i="18"/>
  <c r="C716" i="18"/>
  <c r="G715" i="18"/>
  <c r="D715" i="18"/>
  <c r="C715" i="18"/>
  <c r="G714" i="18"/>
  <c r="D714" i="18"/>
  <c r="C714" i="18"/>
  <c r="G713" i="18"/>
  <c r="D713" i="18"/>
  <c r="C713" i="18"/>
  <c r="G712" i="18"/>
  <c r="D712" i="18"/>
  <c r="C712" i="18"/>
  <c r="G711" i="18"/>
  <c r="D711" i="18"/>
  <c r="C711" i="18"/>
  <c r="G710" i="18"/>
  <c r="D710" i="18"/>
  <c r="C710" i="18"/>
  <c r="G709" i="18"/>
  <c r="D709" i="18"/>
  <c r="C709" i="18"/>
  <c r="G708" i="18"/>
  <c r="D708" i="18"/>
  <c r="C708" i="18"/>
  <c r="G707" i="18"/>
  <c r="D707" i="18"/>
  <c r="C707" i="18"/>
  <c r="G706" i="18"/>
  <c r="D706" i="18"/>
  <c r="C706" i="18"/>
  <c r="G705" i="18"/>
  <c r="D705" i="18"/>
  <c r="C705" i="18"/>
  <c r="G704" i="18"/>
  <c r="D704" i="18"/>
  <c r="C704" i="18"/>
  <c r="G703" i="18"/>
  <c r="D703" i="18"/>
  <c r="C703" i="18"/>
  <c r="G702" i="18"/>
  <c r="D702" i="18"/>
  <c r="C702" i="18"/>
  <c r="G701" i="18"/>
  <c r="D701" i="18"/>
  <c r="C701" i="18"/>
  <c r="G700" i="18"/>
  <c r="D700" i="18"/>
  <c r="C700" i="18"/>
  <c r="G699" i="18"/>
  <c r="D699" i="18"/>
  <c r="C699" i="18"/>
  <c r="G698" i="18"/>
  <c r="D698" i="18"/>
  <c r="C698" i="18"/>
  <c r="G697" i="18"/>
  <c r="D697" i="18"/>
  <c r="C697" i="18"/>
  <c r="G696" i="18"/>
  <c r="D696" i="18"/>
  <c r="C696" i="18"/>
  <c r="G695" i="18"/>
  <c r="D695" i="18"/>
  <c r="C695" i="18"/>
  <c r="G694" i="18"/>
  <c r="D694" i="18"/>
  <c r="C694" i="18"/>
  <c r="G693" i="18"/>
  <c r="D693" i="18"/>
  <c r="C693" i="18"/>
  <c r="G692" i="18"/>
  <c r="D692" i="18"/>
  <c r="C692" i="18"/>
  <c r="G691" i="18"/>
  <c r="D691" i="18"/>
  <c r="C691" i="18"/>
  <c r="G690" i="18"/>
  <c r="D690" i="18"/>
  <c r="C690" i="18"/>
  <c r="G689" i="18"/>
  <c r="D689" i="18"/>
  <c r="C689" i="18"/>
  <c r="G688" i="18"/>
  <c r="D688" i="18"/>
  <c r="C688" i="18"/>
  <c r="G687" i="18"/>
  <c r="D687" i="18"/>
  <c r="C687" i="18"/>
  <c r="G686" i="18"/>
  <c r="D686" i="18"/>
  <c r="C686" i="18"/>
  <c r="G685" i="18"/>
  <c r="D685" i="18"/>
  <c r="C685" i="18"/>
  <c r="G684" i="18"/>
  <c r="D684" i="18"/>
  <c r="C684" i="18"/>
  <c r="G683" i="18"/>
  <c r="D683" i="18"/>
  <c r="C683" i="18"/>
  <c r="G682" i="18"/>
  <c r="D682" i="18"/>
  <c r="C682" i="18"/>
  <c r="G681" i="18"/>
  <c r="D681" i="18"/>
  <c r="C681" i="18"/>
  <c r="G680" i="18"/>
  <c r="D680" i="18"/>
  <c r="C680" i="18"/>
  <c r="G679" i="18"/>
  <c r="D679" i="18"/>
  <c r="C679" i="18"/>
  <c r="G678" i="18"/>
  <c r="D678" i="18"/>
  <c r="C678" i="18"/>
  <c r="G677" i="18"/>
  <c r="D677" i="18"/>
  <c r="C677" i="18"/>
  <c r="G676" i="18"/>
  <c r="D676" i="18"/>
  <c r="C676" i="18"/>
  <c r="G675" i="18"/>
  <c r="D675" i="18"/>
  <c r="C675" i="18"/>
  <c r="G674" i="18"/>
  <c r="D674" i="18"/>
  <c r="C674" i="18"/>
  <c r="G673" i="18"/>
  <c r="D673" i="18"/>
  <c r="C673" i="18"/>
  <c r="G672" i="18"/>
  <c r="D672" i="18"/>
  <c r="C672" i="18"/>
  <c r="G671" i="18"/>
  <c r="D671" i="18"/>
  <c r="C671" i="18"/>
  <c r="G670" i="18"/>
  <c r="D670" i="18"/>
  <c r="C670" i="18"/>
  <c r="G669" i="18"/>
  <c r="D669" i="18"/>
  <c r="C669" i="18"/>
  <c r="G668" i="18"/>
  <c r="D668" i="18"/>
  <c r="C668" i="18"/>
  <c r="G667" i="18"/>
  <c r="D667" i="18"/>
  <c r="C667" i="18"/>
  <c r="G666" i="18"/>
  <c r="D666" i="18"/>
  <c r="C666" i="18"/>
  <c r="G665" i="18"/>
  <c r="D665" i="18"/>
  <c r="C665" i="18"/>
  <c r="G664" i="18"/>
  <c r="D664" i="18"/>
  <c r="C664" i="18"/>
  <c r="G663" i="18"/>
  <c r="D663" i="18"/>
  <c r="C663" i="18"/>
  <c r="G662" i="18"/>
  <c r="D662" i="18"/>
  <c r="C662" i="18"/>
  <c r="G661" i="18"/>
  <c r="D661" i="18"/>
  <c r="C661" i="18"/>
  <c r="G660" i="18"/>
  <c r="D660" i="18"/>
  <c r="C660" i="18"/>
  <c r="G659" i="18"/>
  <c r="D659" i="18"/>
  <c r="C659" i="18"/>
  <c r="G658" i="18"/>
  <c r="D658" i="18"/>
  <c r="C658" i="18"/>
  <c r="G657" i="18"/>
  <c r="D657" i="18"/>
  <c r="C657" i="18"/>
  <c r="G656" i="18"/>
  <c r="D656" i="18"/>
  <c r="C656" i="18"/>
  <c r="G655" i="18"/>
  <c r="D655" i="18"/>
  <c r="C655" i="18"/>
  <c r="G654" i="18"/>
  <c r="D654" i="18"/>
  <c r="C654" i="18"/>
  <c r="G653" i="18"/>
  <c r="D653" i="18"/>
  <c r="C653" i="18"/>
  <c r="G652" i="18"/>
  <c r="D652" i="18"/>
  <c r="C652" i="18"/>
  <c r="G651" i="18"/>
  <c r="D651" i="18"/>
  <c r="C651" i="18"/>
  <c r="G650" i="18"/>
  <c r="D650" i="18"/>
  <c r="C650" i="18"/>
  <c r="G649" i="18"/>
  <c r="D649" i="18"/>
  <c r="C649" i="18"/>
  <c r="G648" i="18"/>
  <c r="D648" i="18"/>
  <c r="C648" i="18"/>
  <c r="D647" i="18"/>
  <c r="C647" i="18"/>
  <c r="D646" i="18"/>
  <c r="C646" i="18"/>
  <c r="D645" i="18"/>
  <c r="C645" i="18"/>
  <c r="D644" i="18"/>
  <c r="C644" i="18"/>
  <c r="D643" i="18"/>
  <c r="C643" i="18"/>
  <c r="D642" i="18"/>
  <c r="C642" i="18"/>
  <c r="D641" i="18"/>
  <c r="C641" i="18"/>
  <c r="D640" i="18"/>
  <c r="C640" i="18"/>
  <c r="D639" i="18"/>
  <c r="C639" i="18"/>
  <c r="D638" i="18"/>
  <c r="C638" i="18"/>
  <c r="D637" i="18"/>
  <c r="C637" i="18"/>
  <c r="D636" i="18"/>
  <c r="C636" i="18"/>
  <c r="D635" i="18"/>
  <c r="C635" i="18"/>
  <c r="D634" i="18"/>
  <c r="C634" i="18"/>
  <c r="D633" i="18"/>
  <c r="C633" i="18"/>
  <c r="D632" i="18"/>
  <c r="C632" i="18"/>
  <c r="D631" i="18"/>
  <c r="C631" i="18"/>
  <c r="E630" i="18"/>
  <c r="D630" i="18"/>
  <c r="C630" i="18"/>
  <c r="D629" i="18"/>
  <c r="C629" i="18"/>
  <c r="D628" i="18"/>
  <c r="C628" i="18"/>
  <c r="D627" i="18"/>
  <c r="C627" i="18"/>
  <c r="D626" i="18"/>
  <c r="C626" i="18"/>
  <c r="E625" i="18"/>
  <c r="D625" i="18"/>
  <c r="C625" i="18"/>
  <c r="E624" i="18"/>
  <c r="D624" i="18"/>
  <c r="C624" i="18"/>
  <c r="E623" i="18"/>
  <c r="D623" i="18"/>
  <c r="C623" i="18"/>
  <c r="E622" i="18"/>
  <c r="D622" i="18"/>
  <c r="C622" i="18"/>
  <c r="E621" i="18"/>
  <c r="D621" i="18"/>
  <c r="C621" i="18"/>
  <c r="D620" i="18"/>
  <c r="C620" i="18"/>
  <c r="D619" i="18"/>
  <c r="C619" i="18"/>
  <c r="D618" i="18"/>
  <c r="C618" i="18"/>
  <c r="D617" i="18"/>
  <c r="C617" i="18"/>
  <c r="D616" i="18"/>
  <c r="C616" i="18"/>
  <c r="D615" i="18"/>
  <c r="C615" i="18"/>
  <c r="D614" i="18"/>
  <c r="C614" i="18"/>
  <c r="D613" i="18"/>
  <c r="C613" i="18"/>
  <c r="E612" i="18"/>
  <c r="D612" i="18"/>
  <c r="C612" i="18"/>
  <c r="D611" i="18"/>
  <c r="C611" i="18"/>
  <c r="D610" i="18"/>
  <c r="C610" i="18"/>
  <c r="D609" i="18"/>
  <c r="C609" i="18"/>
  <c r="D608" i="18"/>
  <c r="C608" i="18"/>
  <c r="D607" i="18"/>
  <c r="C607" i="18"/>
  <c r="D606" i="18"/>
  <c r="C606" i="18"/>
  <c r="D605" i="18"/>
  <c r="C605" i="18"/>
  <c r="D604" i="18"/>
  <c r="C604" i="18"/>
  <c r="D603" i="18"/>
  <c r="C603" i="18"/>
  <c r="D602" i="18"/>
  <c r="C602" i="18"/>
  <c r="D601" i="18"/>
  <c r="C601" i="18"/>
  <c r="E600" i="18"/>
  <c r="D600" i="18"/>
  <c r="C600" i="18"/>
  <c r="D599" i="18"/>
  <c r="C599" i="18"/>
  <c r="D598" i="18"/>
  <c r="C598" i="18"/>
  <c r="D597" i="18"/>
  <c r="C597" i="18"/>
  <c r="D596" i="18"/>
  <c r="C596" i="18"/>
  <c r="D595" i="18"/>
  <c r="C595" i="18"/>
  <c r="D594" i="18"/>
  <c r="C594" i="18"/>
  <c r="D593" i="18"/>
  <c r="C593" i="18"/>
  <c r="D592" i="18"/>
  <c r="C592" i="18"/>
  <c r="D591" i="18"/>
  <c r="C591" i="18"/>
  <c r="D590" i="18"/>
  <c r="C590" i="18"/>
  <c r="D589" i="18"/>
  <c r="C589" i="18"/>
  <c r="D588" i="18"/>
  <c r="C588" i="18"/>
  <c r="D587" i="18"/>
  <c r="C587" i="18"/>
  <c r="D586" i="18"/>
  <c r="C586" i="18"/>
  <c r="D585" i="18"/>
  <c r="C585" i="18"/>
  <c r="D584" i="18"/>
  <c r="C584" i="18"/>
  <c r="D583" i="18"/>
  <c r="C583" i="18"/>
  <c r="D582" i="18"/>
  <c r="C582" i="18"/>
  <c r="E581" i="18"/>
  <c r="D581" i="18"/>
  <c r="C581" i="18"/>
  <c r="D580" i="18"/>
  <c r="C580" i="18"/>
  <c r="D579" i="18"/>
  <c r="C579" i="18"/>
  <c r="D578" i="18"/>
  <c r="C578" i="18"/>
  <c r="D577" i="18"/>
  <c r="C577" i="18"/>
  <c r="D576" i="18"/>
  <c r="C576" i="18"/>
  <c r="E575" i="18"/>
  <c r="D575" i="18"/>
  <c r="C575" i="18"/>
  <c r="E574" i="18"/>
  <c r="D574" i="18"/>
  <c r="C574" i="18"/>
  <c r="D573" i="18"/>
  <c r="C573" i="18"/>
  <c r="D572" i="18"/>
  <c r="C572" i="18"/>
  <c r="E571" i="18"/>
  <c r="D571" i="18"/>
  <c r="C571" i="18"/>
  <c r="D570" i="18"/>
  <c r="C570" i="18"/>
  <c r="D569" i="18"/>
  <c r="C569" i="18"/>
  <c r="D568" i="18"/>
  <c r="C568" i="18"/>
  <c r="D567" i="18"/>
  <c r="C567" i="18"/>
  <c r="D566" i="18"/>
  <c r="C566" i="18"/>
  <c r="D565" i="18"/>
  <c r="C565" i="18"/>
  <c r="D564" i="18"/>
  <c r="C564" i="18"/>
  <c r="D563" i="18"/>
  <c r="C563" i="18"/>
  <c r="D562" i="18"/>
  <c r="C562" i="18"/>
  <c r="D561" i="18"/>
  <c r="C561" i="18"/>
  <c r="E560" i="18"/>
  <c r="D560" i="18"/>
  <c r="C560" i="18"/>
  <c r="E559" i="18"/>
  <c r="D559" i="18"/>
  <c r="C559" i="18"/>
  <c r="E558" i="18"/>
  <c r="D558" i="18"/>
  <c r="C558" i="18"/>
  <c r="E557" i="18"/>
  <c r="D557" i="18"/>
  <c r="C557" i="18"/>
  <c r="E556" i="18"/>
  <c r="D556" i="18"/>
  <c r="C556" i="18"/>
  <c r="D555" i="18"/>
  <c r="C555" i="18"/>
  <c r="D554" i="18"/>
  <c r="C554" i="18"/>
  <c r="D553" i="18"/>
  <c r="C553" i="18"/>
  <c r="D552" i="18"/>
  <c r="C552" i="18"/>
  <c r="D551" i="18"/>
  <c r="C551" i="18"/>
  <c r="D550" i="18"/>
  <c r="C550" i="18"/>
  <c r="D549" i="18"/>
  <c r="C549" i="18"/>
  <c r="D548" i="18"/>
  <c r="C548" i="18"/>
  <c r="E547" i="18"/>
  <c r="D547" i="18"/>
  <c r="C547" i="18"/>
  <c r="E546" i="18"/>
  <c r="D546" i="18"/>
  <c r="C546" i="18"/>
  <c r="D545" i="18"/>
  <c r="C545" i="18"/>
  <c r="D544" i="18"/>
  <c r="C544" i="18"/>
  <c r="E543" i="18"/>
  <c r="D543" i="18"/>
  <c r="C543" i="18"/>
  <c r="D542" i="18"/>
  <c r="C542" i="18"/>
  <c r="D541" i="18"/>
  <c r="C541" i="18"/>
  <c r="D540" i="18"/>
  <c r="C540" i="18"/>
  <c r="D539" i="18"/>
  <c r="C539" i="18"/>
  <c r="D538" i="18"/>
  <c r="C538" i="18"/>
  <c r="D537" i="18"/>
  <c r="C537" i="18"/>
  <c r="D536" i="18"/>
  <c r="C536" i="18"/>
  <c r="D535" i="18"/>
  <c r="C535" i="18"/>
  <c r="D534" i="18"/>
  <c r="C534" i="18"/>
  <c r="D533" i="18"/>
  <c r="C533" i="18"/>
  <c r="D532" i="18"/>
  <c r="C532" i="18"/>
  <c r="D531" i="18"/>
  <c r="C531" i="18"/>
  <c r="D530" i="18"/>
  <c r="C530" i="18"/>
  <c r="D529" i="18"/>
  <c r="C529" i="18"/>
  <c r="D528" i="18"/>
  <c r="C528" i="18"/>
  <c r="E527" i="18"/>
  <c r="D527" i="18"/>
  <c r="C527" i="18"/>
  <c r="E526" i="18"/>
  <c r="D526" i="18"/>
  <c r="C526" i="18"/>
  <c r="D525" i="18"/>
  <c r="C525" i="18"/>
  <c r="D524" i="18"/>
  <c r="C524" i="18"/>
  <c r="D523" i="18"/>
  <c r="C523" i="18"/>
  <c r="D522" i="18"/>
  <c r="C522" i="18"/>
  <c r="D521" i="18"/>
  <c r="C521" i="18"/>
  <c r="D520" i="18"/>
  <c r="C520" i="18"/>
  <c r="D519" i="18"/>
  <c r="C519" i="18"/>
  <c r="D518" i="18"/>
  <c r="C518" i="18"/>
  <c r="D517" i="18"/>
  <c r="C517" i="18"/>
  <c r="D516" i="18"/>
  <c r="C516" i="18"/>
  <c r="D515" i="18"/>
  <c r="C515" i="18"/>
  <c r="D514" i="18"/>
  <c r="C514" i="18"/>
  <c r="E513" i="18"/>
  <c r="D513" i="18"/>
  <c r="C513" i="18"/>
  <c r="E512" i="18"/>
  <c r="D512" i="18"/>
  <c r="C512" i="18"/>
  <c r="E511" i="18"/>
  <c r="D511" i="18"/>
  <c r="C511" i="18"/>
  <c r="D510" i="18"/>
  <c r="C510" i="18"/>
  <c r="D509" i="18"/>
  <c r="C509" i="18"/>
  <c r="D508" i="18"/>
  <c r="C508" i="18"/>
  <c r="D507" i="18"/>
  <c r="C507" i="18"/>
  <c r="D506" i="18"/>
  <c r="C506" i="18"/>
  <c r="D505" i="18"/>
  <c r="C505" i="18"/>
  <c r="D504" i="18"/>
  <c r="C504" i="18"/>
  <c r="D503" i="18"/>
  <c r="C503" i="18"/>
  <c r="D502" i="18"/>
  <c r="C502" i="18"/>
  <c r="D501" i="18"/>
  <c r="C501" i="18"/>
  <c r="D500" i="18"/>
  <c r="C500" i="18"/>
  <c r="D499" i="18"/>
  <c r="C499" i="18"/>
  <c r="D498" i="18"/>
  <c r="C498" i="18"/>
  <c r="D497" i="18"/>
  <c r="C497" i="18"/>
  <c r="D496" i="18"/>
  <c r="C496" i="18"/>
  <c r="D495" i="18"/>
  <c r="C495" i="18"/>
  <c r="D494" i="18"/>
  <c r="C494" i="18"/>
  <c r="D493" i="18"/>
  <c r="C493" i="18"/>
  <c r="D492" i="18"/>
  <c r="C492" i="18"/>
  <c r="D491" i="18"/>
  <c r="C491" i="18"/>
  <c r="D490" i="18"/>
  <c r="C490" i="18"/>
  <c r="D489" i="18"/>
  <c r="C489" i="18"/>
  <c r="D488" i="18"/>
  <c r="C488" i="18"/>
  <c r="D487" i="18"/>
  <c r="C487" i="18"/>
  <c r="D486" i="18"/>
  <c r="C486" i="18"/>
  <c r="D485" i="18"/>
  <c r="C485" i="18"/>
  <c r="D484" i="18"/>
  <c r="C484" i="18"/>
  <c r="E483" i="18"/>
  <c r="D483" i="18"/>
  <c r="C483" i="18"/>
  <c r="E482" i="18"/>
  <c r="D482" i="18"/>
  <c r="C482" i="18"/>
  <c r="E481" i="18"/>
  <c r="D481" i="18"/>
  <c r="C481" i="18"/>
  <c r="E480" i="18"/>
  <c r="D480" i="18"/>
  <c r="C480" i="18"/>
  <c r="E479" i="18"/>
  <c r="D479" i="18"/>
  <c r="C479" i="18"/>
  <c r="D478" i="18"/>
  <c r="C478" i="18"/>
  <c r="D477" i="18"/>
  <c r="C477" i="18"/>
  <c r="D476" i="18"/>
  <c r="C476" i="18"/>
  <c r="D475" i="18"/>
  <c r="C475" i="18"/>
  <c r="D474" i="18"/>
  <c r="C474" i="18"/>
  <c r="D473" i="18"/>
  <c r="C473" i="18"/>
  <c r="D472" i="18"/>
  <c r="C472" i="18"/>
  <c r="D471" i="18"/>
  <c r="C471" i="18"/>
  <c r="D470" i="18"/>
  <c r="C470" i="18"/>
  <c r="E469" i="18"/>
  <c r="D469" i="18"/>
  <c r="C469" i="18"/>
  <c r="E468" i="18"/>
  <c r="D468" i="18"/>
  <c r="C468" i="18"/>
  <c r="E467" i="18"/>
  <c r="D467" i="18"/>
  <c r="C467" i="18"/>
  <c r="E466" i="18"/>
  <c r="D466" i="18"/>
  <c r="C466" i="18"/>
  <c r="E465" i="18"/>
  <c r="D465" i="18"/>
  <c r="C465" i="18"/>
  <c r="E464" i="18"/>
  <c r="D464" i="18"/>
  <c r="C464" i="18"/>
  <c r="D463" i="18"/>
  <c r="C463" i="18"/>
  <c r="E462" i="18"/>
  <c r="D462" i="18"/>
  <c r="C462" i="18"/>
  <c r="E461" i="18"/>
  <c r="D461" i="18"/>
  <c r="C461" i="18"/>
  <c r="E460" i="18"/>
  <c r="D460" i="18"/>
  <c r="C460" i="18"/>
  <c r="D459" i="18"/>
  <c r="C459" i="18"/>
  <c r="D458" i="18"/>
  <c r="C458" i="18"/>
  <c r="D457" i="18"/>
  <c r="C457" i="18"/>
  <c r="D456" i="18"/>
  <c r="C456" i="18"/>
  <c r="D455" i="18"/>
  <c r="C455" i="18"/>
  <c r="D454" i="18"/>
  <c r="C454" i="18"/>
  <c r="D453" i="18"/>
  <c r="C453" i="18"/>
  <c r="D452" i="18"/>
  <c r="C452" i="18"/>
  <c r="D451" i="18"/>
  <c r="C451" i="18"/>
  <c r="D450" i="18"/>
  <c r="C450" i="18"/>
  <c r="D449" i="18"/>
  <c r="C449" i="18"/>
  <c r="D448" i="18"/>
  <c r="C448" i="18"/>
  <c r="D447" i="18"/>
  <c r="C447" i="18"/>
  <c r="D446" i="18"/>
  <c r="C446" i="18"/>
  <c r="D445" i="18"/>
  <c r="C445" i="18"/>
  <c r="D444" i="18"/>
  <c r="C444" i="18"/>
  <c r="D443" i="18"/>
  <c r="C443" i="18"/>
  <c r="D442" i="18"/>
  <c r="C442" i="18"/>
  <c r="D441" i="18"/>
  <c r="C441" i="18"/>
  <c r="D440" i="18"/>
  <c r="C440" i="18"/>
  <c r="D439" i="18"/>
  <c r="C439" i="18"/>
  <c r="D438" i="18"/>
  <c r="C438" i="18"/>
  <c r="D437" i="18"/>
  <c r="C437" i="18"/>
  <c r="D436" i="18"/>
  <c r="C436" i="18"/>
  <c r="D435" i="18"/>
  <c r="C435" i="18"/>
  <c r="D434" i="18"/>
  <c r="C434" i="18"/>
  <c r="D433" i="18"/>
  <c r="C433" i="18"/>
  <c r="D432" i="18"/>
  <c r="C432" i="18"/>
  <c r="D431" i="18"/>
  <c r="C431" i="18"/>
  <c r="D430" i="18"/>
  <c r="C430" i="18"/>
  <c r="D429" i="18"/>
  <c r="C429" i="18"/>
  <c r="D428" i="18"/>
  <c r="C428" i="18"/>
  <c r="D427" i="18"/>
  <c r="C427" i="18"/>
  <c r="D426" i="18"/>
  <c r="C426" i="18"/>
  <c r="D425" i="18"/>
  <c r="C425" i="18"/>
  <c r="D424" i="18"/>
  <c r="C424" i="18"/>
  <c r="D423" i="18"/>
  <c r="C423" i="18"/>
  <c r="D422" i="18"/>
  <c r="C422" i="18"/>
  <c r="D421" i="18"/>
  <c r="C421" i="18"/>
  <c r="D420" i="18"/>
  <c r="C420" i="18"/>
  <c r="D419" i="18"/>
  <c r="C419" i="18"/>
  <c r="D418" i="18"/>
  <c r="C418" i="18"/>
  <c r="D417" i="18"/>
  <c r="C417" i="18"/>
  <c r="D416" i="18"/>
  <c r="C416" i="18"/>
  <c r="D415" i="18"/>
  <c r="C415" i="18"/>
  <c r="D414" i="18"/>
  <c r="C414" i="18"/>
  <c r="D413" i="18"/>
  <c r="C413" i="18"/>
  <c r="D412" i="18"/>
  <c r="C412" i="18"/>
  <c r="D411" i="18"/>
  <c r="C411" i="18"/>
  <c r="D410" i="18"/>
  <c r="C410" i="18"/>
  <c r="D409" i="18"/>
  <c r="C409" i="18"/>
  <c r="D408" i="18"/>
  <c r="C408" i="18"/>
  <c r="D407" i="18"/>
  <c r="C407" i="18"/>
  <c r="D406" i="18"/>
  <c r="C406" i="18"/>
  <c r="D405" i="18"/>
  <c r="C405" i="18"/>
  <c r="E404" i="18"/>
  <c r="D404" i="18"/>
  <c r="C404" i="18"/>
  <c r="E403" i="18"/>
  <c r="D403" i="18"/>
  <c r="C403" i="18"/>
  <c r="E402" i="18"/>
  <c r="D402" i="18"/>
  <c r="C402" i="18"/>
  <c r="E401" i="18"/>
  <c r="D401" i="18"/>
  <c r="C401" i="18"/>
  <c r="E400" i="18"/>
  <c r="D400" i="18"/>
  <c r="C400" i="18"/>
  <c r="E399" i="18"/>
  <c r="D399" i="18"/>
  <c r="C399" i="18"/>
  <c r="E398" i="18"/>
  <c r="D398" i="18"/>
  <c r="C398" i="18"/>
  <c r="E397" i="18"/>
  <c r="D397" i="18"/>
  <c r="C397" i="18"/>
  <c r="E396" i="18"/>
  <c r="D396" i="18"/>
  <c r="C396" i="18"/>
  <c r="E395" i="18"/>
  <c r="D395" i="18"/>
  <c r="C395" i="18"/>
  <c r="E394" i="18"/>
  <c r="D394" i="18"/>
  <c r="C394" i="18"/>
  <c r="E393" i="18"/>
  <c r="D393" i="18"/>
  <c r="C393" i="18"/>
  <c r="E392" i="18"/>
  <c r="D392" i="18"/>
  <c r="C392" i="18"/>
  <c r="E391" i="18"/>
  <c r="D391" i="18"/>
  <c r="C391" i="18"/>
  <c r="D390" i="18"/>
  <c r="C390" i="18"/>
  <c r="D389" i="18"/>
  <c r="C389" i="18"/>
  <c r="D388" i="18"/>
  <c r="C388" i="18"/>
  <c r="D387" i="18"/>
  <c r="C387" i="18"/>
  <c r="D386" i="18"/>
  <c r="C386" i="18"/>
  <c r="E385" i="18"/>
  <c r="D385" i="18"/>
  <c r="C385" i="18"/>
  <c r="D384" i="18"/>
  <c r="C384" i="18"/>
  <c r="D383" i="18"/>
  <c r="C383" i="18"/>
  <c r="D382" i="18"/>
  <c r="C382" i="18"/>
  <c r="D381" i="18"/>
  <c r="C381" i="18"/>
  <c r="E380" i="18"/>
  <c r="D380" i="18"/>
  <c r="C380" i="18"/>
  <c r="E379" i="18"/>
  <c r="D379" i="18"/>
  <c r="C379" i="18"/>
  <c r="E378" i="18"/>
  <c r="D378" i="18"/>
  <c r="C378" i="18"/>
  <c r="E377" i="18"/>
  <c r="D377" i="18"/>
  <c r="C377" i="18"/>
  <c r="E376" i="18"/>
  <c r="D376" i="18"/>
  <c r="C376" i="18"/>
  <c r="E375" i="18"/>
  <c r="D375" i="18"/>
  <c r="C375" i="18"/>
  <c r="E374" i="18"/>
  <c r="D374" i="18"/>
  <c r="C374" i="18"/>
  <c r="E373" i="18"/>
  <c r="D373" i="18"/>
  <c r="C373" i="18"/>
  <c r="E372" i="18"/>
  <c r="D372" i="18"/>
  <c r="C372" i="18"/>
  <c r="E371" i="18"/>
  <c r="D371" i="18"/>
  <c r="C371" i="18"/>
  <c r="E370" i="18"/>
  <c r="D370" i="18"/>
  <c r="C370" i="18"/>
  <c r="E369" i="18"/>
  <c r="D369" i="18"/>
  <c r="C369" i="18"/>
  <c r="E368" i="18"/>
  <c r="D368" i="18"/>
  <c r="C368" i="18"/>
  <c r="E367" i="18"/>
  <c r="D367" i="18"/>
  <c r="C367" i="18"/>
  <c r="E366" i="18"/>
  <c r="D366" i="18"/>
  <c r="C366" i="18"/>
  <c r="E365" i="18"/>
  <c r="D365" i="18"/>
  <c r="C365" i="18"/>
  <c r="E364" i="18"/>
  <c r="D364" i="18"/>
  <c r="C364" i="18"/>
  <c r="E363" i="18"/>
  <c r="D363" i="18"/>
  <c r="C363" i="18"/>
  <c r="E362" i="18"/>
  <c r="D362" i="18"/>
  <c r="C362" i="18"/>
  <c r="E361" i="18"/>
  <c r="D361" i="18"/>
  <c r="C361" i="18"/>
  <c r="E360" i="18"/>
  <c r="D360" i="18"/>
  <c r="C360" i="18"/>
  <c r="E359" i="18"/>
  <c r="D359" i="18"/>
  <c r="C359" i="18"/>
  <c r="D358" i="18"/>
  <c r="C358" i="18"/>
  <c r="D357" i="18"/>
  <c r="C357" i="18"/>
  <c r="D356" i="18"/>
  <c r="C356" i="18"/>
  <c r="D355" i="18"/>
  <c r="C355" i="18"/>
  <c r="D354" i="18"/>
  <c r="C354" i="18"/>
  <c r="D353" i="18"/>
  <c r="C353" i="18"/>
  <c r="D352" i="18"/>
  <c r="C352" i="18"/>
  <c r="E351" i="18"/>
  <c r="D351" i="18"/>
  <c r="C351" i="18"/>
  <c r="E350" i="18"/>
  <c r="D350" i="18"/>
  <c r="C350" i="18"/>
  <c r="D349" i="18"/>
  <c r="C349" i="18"/>
  <c r="D348" i="18"/>
  <c r="C348" i="18"/>
  <c r="D347" i="18"/>
  <c r="C347" i="18"/>
  <c r="E346" i="18"/>
  <c r="D346" i="18"/>
  <c r="C346" i="18"/>
  <c r="D345" i="18"/>
  <c r="C345" i="18"/>
  <c r="D344" i="18"/>
  <c r="C344" i="18"/>
  <c r="D343" i="18"/>
  <c r="C343" i="18"/>
  <c r="D342" i="18"/>
  <c r="C342" i="18"/>
  <c r="C341" i="18"/>
  <c r="E340" i="18"/>
  <c r="D339" i="18"/>
  <c r="C339" i="18"/>
  <c r="D338" i="18"/>
  <c r="C338" i="18"/>
  <c r="D337" i="18"/>
  <c r="C337" i="18"/>
  <c r="D336" i="18"/>
  <c r="C336" i="18"/>
  <c r="D335" i="18"/>
  <c r="C335" i="18"/>
  <c r="D334" i="18"/>
  <c r="C334" i="18"/>
  <c r="D333" i="18"/>
  <c r="C333" i="18"/>
  <c r="G332" i="18"/>
  <c r="D332" i="18"/>
  <c r="C332" i="18"/>
  <c r="E331" i="18"/>
  <c r="D331" i="18"/>
  <c r="C331" i="18"/>
  <c r="E330" i="18"/>
  <c r="D330" i="18"/>
  <c r="C330" i="18"/>
  <c r="D329" i="18"/>
  <c r="C329" i="18"/>
  <c r="D328" i="18"/>
  <c r="C328" i="18"/>
  <c r="D327" i="18"/>
  <c r="C327" i="18"/>
  <c r="D326" i="18"/>
  <c r="C326" i="18"/>
  <c r="D325" i="18"/>
  <c r="C325" i="18"/>
  <c r="D324" i="18"/>
  <c r="C324" i="18"/>
  <c r="D323" i="18"/>
  <c r="C323" i="18"/>
  <c r="D322" i="18"/>
  <c r="C322" i="18"/>
  <c r="D321" i="18"/>
  <c r="C321" i="18"/>
  <c r="E320" i="18"/>
  <c r="D320" i="18"/>
  <c r="C320" i="18"/>
  <c r="D319" i="18"/>
  <c r="C319" i="18"/>
  <c r="D318" i="18"/>
  <c r="C318" i="18"/>
  <c r="D317" i="18"/>
  <c r="C317" i="18"/>
  <c r="D316" i="18"/>
  <c r="C316" i="18"/>
  <c r="D315" i="18"/>
  <c r="C315" i="18"/>
  <c r="D314" i="18"/>
  <c r="C314" i="18"/>
  <c r="D313" i="18"/>
  <c r="C313" i="18"/>
  <c r="D312" i="18"/>
  <c r="C312" i="18"/>
  <c r="D311" i="18"/>
  <c r="C311" i="18"/>
  <c r="D310" i="18"/>
  <c r="C310" i="18"/>
  <c r="D309" i="18"/>
  <c r="C309" i="18"/>
  <c r="D308" i="18"/>
  <c r="C308" i="18"/>
  <c r="D307" i="18"/>
  <c r="C307" i="18"/>
  <c r="D306" i="18"/>
  <c r="C306" i="18"/>
  <c r="D305" i="18"/>
  <c r="C305" i="18"/>
  <c r="D304" i="18"/>
  <c r="C304" i="18"/>
  <c r="D303" i="18"/>
  <c r="C303" i="18"/>
  <c r="D302" i="18"/>
  <c r="C302" i="18"/>
  <c r="E301" i="18"/>
  <c r="D301" i="18"/>
  <c r="C301" i="18"/>
  <c r="E300" i="18"/>
  <c r="D300" i="18"/>
  <c r="C300" i="18"/>
  <c r="E299" i="18"/>
  <c r="D299" i="18"/>
  <c r="C299" i="18"/>
  <c r="E298" i="18"/>
  <c r="D298" i="18"/>
  <c r="C298" i="18"/>
  <c r="E297" i="18"/>
  <c r="D297" i="18"/>
  <c r="C297" i="18"/>
  <c r="E296" i="18"/>
  <c r="D296" i="18"/>
  <c r="C296" i="18"/>
  <c r="E295" i="18"/>
  <c r="D295" i="18"/>
  <c r="C295" i="18"/>
  <c r="E294" i="18"/>
  <c r="D294" i="18"/>
  <c r="C294" i="18"/>
  <c r="E293" i="18"/>
  <c r="D293" i="18"/>
  <c r="C293" i="18"/>
  <c r="E292" i="18"/>
  <c r="D292" i="18"/>
  <c r="C292" i="18"/>
  <c r="G291" i="18"/>
  <c r="D291" i="18"/>
  <c r="C291" i="18"/>
  <c r="G290" i="18"/>
  <c r="D290" i="18"/>
  <c r="C290" i="18"/>
  <c r="G289" i="18"/>
  <c r="D289" i="18"/>
  <c r="C289" i="18"/>
  <c r="G288" i="18"/>
  <c r="E287" i="18" s="1"/>
  <c r="D288" i="18"/>
  <c r="C288" i="18"/>
  <c r="G287" i="18"/>
  <c r="D287" i="18"/>
  <c r="C287" i="18"/>
  <c r="E286" i="18"/>
  <c r="D286" i="18"/>
  <c r="C286" i="18"/>
  <c r="E285" i="18"/>
  <c r="D285" i="18"/>
  <c r="C285" i="18"/>
  <c r="E284" i="18"/>
  <c r="D284" i="18"/>
  <c r="C284" i="18"/>
  <c r="E283" i="18"/>
  <c r="D283" i="18"/>
  <c r="C283" i="18"/>
  <c r="E282" i="18"/>
  <c r="D282" i="18"/>
  <c r="C282" i="18"/>
  <c r="E281" i="18"/>
  <c r="D281" i="18"/>
  <c r="C281" i="18"/>
  <c r="E280" i="18"/>
  <c r="D280" i="18"/>
  <c r="C280" i="18"/>
  <c r="E279" i="18"/>
  <c r="D279" i="18"/>
  <c r="C279" i="18"/>
  <c r="E278" i="18"/>
  <c r="D278" i="18"/>
  <c r="C278" i="18"/>
  <c r="E277" i="18"/>
  <c r="D277" i="18"/>
  <c r="C277" i="18"/>
  <c r="E276" i="18"/>
  <c r="D276" i="18"/>
  <c r="C276" i="18"/>
  <c r="E275" i="18"/>
  <c r="D275" i="18"/>
  <c r="C275" i="18"/>
  <c r="E274" i="18"/>
  <c r="D274" i="18"/>
  <c r="C274" i="18"/>
  <c r="E273" i="18"/>
  <c r="D273" i="18"/>
  <c r="C273" i="18"/>
  <c r="D272" i="18"/>
  <c r="C272" i="18"/>
  <c r="D271" i="18"/>
  <c r="C271" i="18"/>
  <c r="D270" i="18"/>
  <c r="C270" i="18"/>
  <c r="D269" i="18"/>
  <c r="C269" i="18"/>
  <c r="D268" i="18"/>
  <c r="C268" i="18"/>
  <c r="D267" i="18"/>
  <c r="C267" i="18"/>
  <c r="E266" i="18"/>
  <c r="D266" i="18"/>
  <c r="C266" i="18"/>
  <c r="E265" i="18"/>
  <c r="D265" i="18"/>
  <c r="C265" i="18"/>
  <c r="E264" i="18"/>
  <c r="D264" i="18"/>
  <c r="C264" i="18"/>
  <c r="E263" i="18"/>
  <c r="D263" i="18"/>
  <c r="C263" i="18"/>
  <c r="D262" i="18"/>
  <c r="C262" i="18"/>
  <c r="D261" i="18"/>
  <c r="C261" i="18"/>
  <c r="D260" i="18"/>
  <c r="C260" i="18"/>
  <c r="E259" i="18"/>
  <c r="D259" i="18"/>
  <c r="C259" i="18"/>
  <c r="E258" i="18"/>
  <c r="D258" i="18"/>
  <c r="C258" i="18"/>
  <c r="E257" i="18"/>
  <c r="D257" i="18"/>
  <c r="C257" i="18"/>
  <c r="E256" i="18"/>
  <c r="D256" i="18"/>
  <c r="C256" i="18"/>
  <c r="E255" i="18"/>
  <c r="D255" i="18"/>
  <c r="C255" i="18"/>
  <c r="D254" i="18"/>
  <c r="C254" i="18"/>
  <c r="D253" i="18"/>
  <c r="C253" i="18"/>
  <c r="D252" i="18"/>
  <c r="C252" i="18"/>
  <c r="D251" i="18"/>
  <c r="C251" i="18"/>
  <c r="E250" i="18"/>
  <c r="D250" i="18"/>
  <c r="C250" i="18"/>
  <c r="E249" i="18"/>
  <c r="D249" i="18"/>
  <c r="C249" i="18"/>
  <c r="E248" i="18"/>
  <c r="D248" i="18"/>
  <c r="C248" i="18"/>
  <c r="D247" i="18"/>
  <c r="C247" i="18"/>
  <c r="D246" i="18"/>
  <c r="C246" i="18"/>
  <c r="D245" i="18"/>
  <c r="C245" i="18"/>
  <c r="D244" i="18"/>
  <c r="C244" i="18"/>
  <c r="D243" i="18"/>
  <c r="C243" i="18"/>
  <c r="D242" i="18"/>
  <c r="C242" i="18"/>
  <c r="E241" i="18"/>
  <c r="D241" i="18"/>
  <c r="C241" i="18"/>
  <c r="E240" i="18"/>
  <c r="D240" i="18"/>
  <c r="C240" i="18"/>
  <c r="E239" i="18"/>
  <c r="D239" i="18"/>
  <c r="C239" i="18"/>
  <c r="D238" i="18"/>
  <c r="C238" i="18"/>
  <c r="D237" i="18"/>
  <c r="C237" i="18"/>
  <c r="D236" i="18"/>
  <c r="C236" i="18"/>
  <c r="D235" i="18"/>
  <c r="C235" i="18"/>
  <c r="D234" i="18"/>
  <c r="C234" i="18"/>
  <c r="D233" i="18"/>
  <c r="C233" i="18"/>
  <c r="D232" i="18"/>
  <c r="C232" i="18"/>
  <c r="D231" i="18"/>
  <c r="C231" i="18"/>
  <c r="D230" i="18"/>
  <c r="C230" i="18"/>
  <c r="D229" i="18"/>
  <c r="C229" i="18"/>
  <c r="D228" i="18"/>
  <c r="C228" i="18"/>
  <c r="D227" i="18"/>
  <c r="C227" i="18"/>
  <c r="D226" i="18"/>
  <c r="C226" i="18"/>
  <c r="D225" i="18"/>
  <c r="C225" i="18"/>
  <c r="D224" i="18"/>
  <c r="C224" i="18"/>
  <c r="D223" i="18"/>
  <c r="C223" i="18"/>
  <c r="D222" i="18"/>
  <c r="C222" i="18"/>
  <c r="D221" i="18"/>
  <c r="C221" i="18"/>
  <c r="D220" i="18"/>
  <c r="C220" i="18"/>
  <c r="D219" i="18"/>
  <c r="C219" i="18"/>
  <c r="D218" i="18"/>
  <c r="C218" i="18"/>
  <c r="D217" i="18"/>
  <c r="C217" i="18"/>
  <c r="D216" i="18"/>
  <c r="C216" i="18"/>
  <c r="D215" i="18"/>
  <c r="C215" i="18"/>
  <c r="D214" i="18"/>
  <c r="C214" i="18"/>
  <c r="D213" i="18"/>
  <c r="C213" i="18"/>
  <c r="D212" i="18"/>
  <c r="C212" i="18"/>
  <c r="D211" i="18"/>
  <c r="C211" i="18"/>
  <c r="D210" i="18"/>
  <c r="C210" i="18"/>
  <c r="D209" i="18"/>
  <c r="C209" i="18"/>
  <c r="D208" i="18"/>
  <c r="C208" i="18"/>
  <c r="D207" i="18"/>
  <c r="C207" i="18"/>
  <c r="D206" i="18"/>
  <c r="C206" i="18"/>
  <c r="E205" i="18"/>
  <c r="D205" i="18"/>
  <c r="C205" i="18"/>
  <c r="E204" i="18"/>
  <c r="D204" i="18"/>
  <c r="C204" i="18"/>
  <c r="E203" i="18"/>
  <c r="D203" i="18"/>
  <c r="C203" i="18"/>
  <c r="E202" i="18"/>
  <c r="D202" i="18"/>
  <c r="C202" i="18"/>
  <c r="E201" i="18"/>
  <c r="D201" i="18"/>
  <c r="C201" i="18"/>
  <c r="E200" i="18"/>
  <c r="D200" i="18"/>
  <c r="C200" i="18"/>
  <c r="D199" i="18"/>
  <c r="C199" i="18"/>
  <c r="D198" i="18"/>
  <c r="C198" i="18"/>
  <c r="D197" i="18"/>
  <c r="C197" i="18"/>
  <c r="D196" i="18"/>
  <c r="C196" i="18"/>
  <c r="D195" i="18"/>
  <c r="C195" i="18"/>
  <c r="E194" i="18"/>
  <c r="D194" i="18"/>
  <c r="C194" i="18"/>
  <c r="E193" i="18"/>
  <c r="D193" i="18"/>
  <c r="C193" i="18"/>
  <c r="E192" i="18"/>
  <c r="D192" i="18"/>
  <c r="C192" i="18"/>
  <c r="D191" i="18"/>
  <c r="C191" i="18"/>
  <c r="D190" i="18"/>
  <c r="C190" i="18"/>
  <c r="D189" i="18"/>
  <c r="C189" i="18"/>
  <c r="D188" i="18"/>
  <c r="C188" i="18"/>
  <c r="D187" i="18"/>
  <c r="C187" i="18"/>
  <c r="D186" i="18"/>
  <c r="C186" i="18"/>
  <c r="D185" i="18"/>
  <c r="C185" i="18"/>
  <c r="D184" i="18"/>
  <c r="C184" i="18"/>
  <c r="D183" i="18"/>
  <c r="C183" i="18"/>
  <c r="G182" i="18"/>
  <c r="E182" i="18"/>
  <c r="D182" i="18"/>
  <c r="C182" i="18"/>
  <c r="G181" i="18"/>
  <c r="E181" i="18"/>
  <c r="D181" i="18"/>
  <c r="C181" i="18"/>
  <c r="G180" i="18"/>
  <c r="E180" i="18"/>
  <c r="D180" i="18"/>
  <c r="C180" i="18"/>
  <c r="G179" i="18"/>
  <c r="E179" i="18"/>
  <c r="D179" i="18"/>
  <c r="C179" i="18"/>
  <c r="G178" i="18"/>
  <c r="E178" i="18"/>
  <c r="D178" i="18"/>
  <c r="C178" i="18"/>
  <c r="D177" i="18"/>
  <c r="C177" i="18"/>
  <c r="D176" i="18"/>
  <c r="C176" i="18"/>
  <c r="D175" i="18"/>
  <c r="C175" i="18"/>
  <c r="D174" i="18"/>
  <c r="C174" i="18"/>
  <c r="D173" i="18"/>
  <c r="C173" i="18"/>
  <c r="E172" i="18"/>
  <c r="D172" i="18"/>
  <c r="C172" i="18"/>
  <c r="E171" i="18"/>
  <c r="D171" i="18"/>
  <c r="C171" i="18"/>
  <c r="E170" i="18"/>
  <c r="D170" i="18"/>
  <c r="C170" i="18"/>
  <c r="E169" i="18"/>
  <c r="D169" i="18"/>
  <c r="C169" i="18"/>
  <c r="E168" i="18"/>
  <c r="D168" i="18"/>
  <c r="C168" i="18"/>
  <c r="D167" i="18"/>
  <c r="C167" i="18"/>
  <c r="D166" i="18"/>
  <c r="C166" i="18"/>
  <c r="D165" i="18"/>
  <c r="C165" i="18"/>
  <c r="D164" i="18"/>
  <c r="C164" i="18"/>
  <c r="D163" i="18"/>
  <c r="C163" i="18"/>
  <c r="D162" i="18"/>
  <c r="C162" i="18"/>
  <c r="D161" i="18"/>
  <c r="C161" i="18"/>
  <c r="D160" i="18"/>
  <c r="C160" i="18"/>
  <c r="D159" i="18"/>
  <c r="C159" i="18"/>
  <c r="D158" i="18"/>
  <c r="C158" i="18"/>
  <c r="D157" i="18"/>
  <c r="C157" i="18"/>
  <c r="D156" i="18"/>
  <c r="C156" i="18"/>
  <c r="D155" i="18"/>
  <c r="C155" i="18"/>
  <c r="D154" i="18"/>
  <c r="C154" i="18"/>
  <c r="D153" i="18"/>
  <c r="C153" i="18"/>
  <c r="D152" i="18"/>
  <c r="C152" i="18"/>
  <c r="D151" i="18"/>
  <c r="C151" i="18"/>
  <c r="D150" i="18"/>
  <c r="C150" i="18"/>
  <c r="D149" i="18"/>
  <c r="C149" i="18"/>
  <c r="D148" i="18"/>
  <c r="C148" i="18"/>
  <c r="D147" i="18"/>
  <c r="C147" i="18"/>
  <c r="D146" i="18"/>
  <c r="C146" i="18"/>
  <c r="C145" i="18"/>
  <c r="C144" i="18"/>
  <c r="D143" i="18"/>
  <c r="C143" i="18"/>
  <c r="D142" i="18"/>
  <c r="C142" i="18"/>
  <c r="D141" i="18"/>
  <c r="C141" i="18"/>
  <c r="D140" i="18"/>
  <c r="C140" i="18"/>
  <c r="D139" i="18"/>
  <c r="C139" i="18"/>
  <c r="D138" i="18"/>
  <c r="C138" i="18"/>
  <c r="D137" i="18"/>
  <c r="C137" i="18"/>
  <c r="D136" i="18"/>
  <c r="C136" i="18"/>
  <c r="D135" i="18"/>
  <c r="C135" i="18"/>
  <c r="D134" i="18"/>
  <c r="C134" i="18"/>
  <c r="D133" i="18"/>
  <c r="C133" i="18"/>
  <c r="D132" i="18"/>
  <c r="C132" i="18"/>
  <c r="D131" i="18"/>
  <c r="C131" i="18"/>
  <c r="D130" i="18"/>
  <c r="C130" i="18"/>
  <c r="D129" i="18"/>
  <c r="C129" i="18"/>
  <c r="D128" i="18"/>
  <c r="C128" i="18"/>
  <c r="D127" i="18"/>
  <c r="C127" i="18"/>
  <c r="D126" i="18"/>
  <c r="C126" i="18"/>
  <c r="D125" i="18"/>
  <c r="C125" i="18"/>
  <c r="D124" i="18"/>
  <c r="C124" i="18"/>
  <c r="D123" i="18"/>
  <c r="C123" i="18"/>
  <c r="D122" i="18"/>
  <c r="C122" i="18"/>
  <c r="D121" i="18"/>
  <c r="C121" i="18"/>
  <c r="D120" i="18"/>
  <c r="C120" i="18"/>
  <c r="D119" i="18"/>
  <c r="C119" i="18"/>
  <c r="D118" i="18"/>
  <c r="C118" i="18"/>
  <c r="D117" i="18"/>
  <c r="C117" i="18"/>
  <c r="D116" i="18"/>
  <c r="C116" i="18"/>
  <c r="D115" i="18"/>
  <c r="C115" i="18"/>
  <c r="D114" i="18"/>
  <c r="C114" i="18"/>
  <c r="D113" i="18"/>
  <c r="C113" i="18"/>
  <c r="D112" i="18"/>
  <c r="C112" i="18"/>
  <c r="D111" i="18"/>
  <c r="C111" i="18"/>
  <c r="D110" i="18"/>
  <c r="C110" i="18"/>
  <c r="D109" i="18"/>
  <c r="C109" i="18"/>
  <c r="D108" i="18"/>
  <c r="C108" i="18"/>
  <c r="D107" i="18"/>
  <c r="C107" i="18"/>
  <c r="D106" i="18"/>
  <c r="C106" i="18"/>
  <c r="D105" i="18"/>
  <c r="C105" i="18"/>
  <c r="D104" i="18"/>
  <c r="C104" i="18"/>
  <c r="D103" i="18"/>
  <c r="C103" i="18"/>
  <c r="D102" i="18"/>
  <c r="C102" i="18"/>
  <c r="D101" i="18"/>
  <c r="C101" i="18"/>
  <c r="D100" i="18"/>
  <c r="C100" i="18"/>
  <c r="D99" i="18"/>
  <c r="C99" i="18"/>
  <c r="D98" i="18"/>
  <c r="C98" i="18"/>
  <c r="D97" i="18"/>
  <c r="C97" i="18"/>
  <c r="D96" i="18"/>
  <c r="C96" i="18"/>
  <c r="D95" i="18"/>
  <c r="C95" i="18"/>
  <c r="D94" i="18"/>
  <c r="C94" i="18"/>
  <c r="D93" i="18"/>
  <c r="C93" i="18"/>
  <c r="D92" i="18"/>
  <c r="C92" i="18"/>
  <c r="D91" i="18"/>
  <c r="C91" i="18"/>
  <c r="D90" i="18"/>
  <c r="C90" i="18"/>
  <c r="D89" i="18"/>
  <c r="C89" i="18"/>
  <c r="D88" i="18"/>
  <c r="C88" i="18"/>
  <c r="D87" i="18"/>
  <c r="C87" i="18"/>
  <c r="D86" i="18"/>
  <c r="C86" i="18"/>
  <c r="D85" i="18"/>
  <c r="C85" i="18"/>
  <c r="D84" i="18"/>
  <c r="C84" i="18"/>
  <c r="D83" i="18"/>
  <c r="C83" i="18"/>
  <c r="D82" i="18"/>
  <c r="C82" i="18"/>
  <c r="D81" i="18"/>
  <c r="C81" i="18"/>
  <c r="D80" i="18"/>
  <c r="C80" i="18"/>
  <c r="D79" i="18"/>
  <c r="C79" i="18"/>
  <c r="D78" i="18"/>
  <c r="C78" i="18"/>
  <c r="D77" i="18"/>
  <c r="C77" i="18"/>
  <c r="D76" i="18"/>
  <c r="C76" i="18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C64" i="18"/>
  <c r="D63" i="18"/>
  <c r="C63" i="18"/>
  <c r="D62" i="18"/>
  <c r="C62" i="18"/>
  <c r="D61" i="18"/>
  <c r="C61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3" i="18"/>
  <c r="C43" i="18"/>
  <c r="D42" i="18"/>
  <c r="C42" i="18"/>
  <c r="D41" i="18"/>
  <c r="C41" i="18"/>
  <c r="D40" i="18"/>
  <c r="C40" i="18"/>
  <c r="D39" i="18"/>
  <c r="C39" i="18"/>
  <c r="D38" i="18"/>
  <c r="C38" i="18"/>
  <c r="D37" i="18"/>
  <c r="C37" i="18"/>
  <c r="D36" i="18"/>
  <c r="C36" i="18"/>
  <c r="D35" i="18"/>
  <c r="C35" i="18"/>
  <c r="G34" i="18"/>
  <c r="E34" i="18"/>
  <c r="D34" i="18"/>
  <c r="C34" i="18"/>
  <c r="G33" i="18"/>
  <c r="E33" i="18"/>
  <c r="D33" i="18"/>
  <c r="C33" i="18"/>
  <c r="G32" i="18"/>
  <c r="E32" i="18"/>
  <c r="D32" i="18"/>
  <c r="C32" i="18"/>
  <c r="G31" i="18"/>
  <c r="E31" i="18"/>
  <c r="D31" i="18"/>
  <c r="C31" i="18"/>
  <c r="E30" i="18"/>
  <c r="D30" i="18"/>
  <c r="C30" i="18"/>
  <c r="D29" i="18"/>
  <c r="C29" i="18"/>
  <c r="D28" i="18"/>
  <c r="C28" i="18"/>
  <c r="G27" i="18"/>
  <c r="E27" i="18"/>
  <c r="D27" i="18"/>
  <c r="C27" i="18"/>
  <c r="E26" i="18"/>
  <c r="D26" i="18"/>
  <c r="C26" i="18"/>
  <c r="D25" i="18"/>
  <c r="C25" i="18"/>
  <c r="D24" i="18"/>
  <c r="C24" i="18"/>
  <c r="D23" i="18"/>
  <c r="C23" i="18"/>
  <c r="D22" i="18"/>
  <c r="C22" i="18"/>
  <c r="D21" i="18"/>
  <c r="C21" i="18"/>
  <c r="D20" i="18"/>
  <c r="C20" i="18"/>
  <c r="D19" i="18"/>
  <c r="C19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E7" i="18"/>
  <c r="D7" i="18"/>
  <c r="C7" i="18"/>
  <c r="E6" i="18"/>
  <c r="D6" i="18"/>
  <c r="C6" i="18"/>
  <c r="E5" i="18"/>
  <c r="D5" i="18"/>
  <c r="C5" i="18"/>
  <c r="E4" i="18"/>
  <c r="D4" i="18"/>
  <c r="C4" i="18"/>
  <c r="E3" i="18"/>
  <c r="D3" i="18"/>
  <c r="C3" i="18"/>
  <c r="K1482" i="17"/>
  <c r="F1482" i="17"/>
  <c r="E1482" i="17"/>
  <c r="K1481" i="17"/>
  <c r="F1481" i="17"/>
  <c r="E1481" i="17"/>
  <c r="K1480" i="17"/>
  <c r="F1480" i="17"/>
  <c r="E1480" i="17"/>
  <c r="K1479" i="17"/>
  <c r="F1479" i="17"/>
  <c r="E1479" i="17"/>
  <c r="K1478" i="17"/>
  <c r="F1478" i="17"/>
  <c r="E1478" i="17"/>
  <c r="K1477" i="17"/>
  <c r="F1477" i="17"/>
  <c r="E1477" i="17"/>
  <c r="K1476" i="17"/>
  <c r="F1476" i="17"/>
  <c r="E1476" i="17"/>
  <c r="K1475" i="17"/>
  <c r="F1475" i="17"/>
  <c r="E1475" i="17"/>
  <c r="K1474" i="17"/>
  <c r="F1474" i="17"/>
  <c r="E1474" i="17"/>
  <c r="K1473" i="17"/>
  <c r="F1473" i="17"/>
  <c r="E1473" i="17"/>
  <c r="K1472" i="17"/>
  <c r="F1472" i="17"/>
  <c r="E1472" i="17"/>
  <c r="K1471" i="17"/>
  <c r="F1471" i="17"/>
  <c r="E1471" i="17"/>
  <c r="K1470" i="17"/>
  <c r="F1470" i="17"/>
  <c r="E1470" i="17"/>
  <c r="K1469" i="17"/>
  <c r="F1469" i="17"/>
  <c r="E1469" i="17"/>
  <c r="K1468" i="17"/>
  <c r="F1468" i="17"/>
  <c r="E1468" i="17"/>
  <c r="K1467" i="17"/>
  <c r="F1467" i="17"/>
  <c r="E1467" i="17"/>
  <c r="K1466" i="17"/>
  <c r="F1466" i="17"/>
  <c r="E1466" i="17"/>
  <c r="K1465" i="17"/>
  <c r="F1465" i="17"/>
  <c r="E1465" i="17"/>
  <c r="K1464" i="17"/>
  <c r="F1464" i="17"/>
  <c r="E1464" i="17"/>
  <c r="K1463" i="17"/>
  <c r="F1463" i="17"/>
  <c r="E1463" i="17"/>
  <c r="K1462" i="17"/>
  <c r="F1462" i="17"/>
  <c r="E1462" i="17"/>
  <c r="K1461" i="17"/>
  <c r="F1461" i="17"/>
  <c r="E1461" i="17"/>
  <c r="K1460" i="17"/>
  <c r="F1460" i="17"/>
  <c r="E1460" i="17"/>
  <c r="K1459" i="17"/>
  <c r="F1459" i="17"/>
  <c r="E1459" i="17"/>
  <c r="K1458" i="17"/>
  <c r="F1458" i="17"/>
  <c r="E1458" i="17"/>
  <c r="K1457" i="17"/>
  <c r="F1457" i="17"/>
  <c r="E1457" i="17"/>
  <c r="K1456" i="17"/>
  <c r="F1456" i="17"/>
  <c r="E1456" i="17"/>
  <c r="K1455" i="17"/>
  <c r="F1455" i="17"/>
  <c r="E1455" i="17"/>
  <c r="K1454" i="17"/>
  <c r="F1454" i="17"/>
  <c r="E1454" i="17"/>
  <c r="K1453" i="17"/>
  <c r="F1453" i="17"/>
  <c r="E1453" i="17"/>
  <c r="K1452" i="17"/>
  <c r="F1452" i="17"/>
  <c r="E1452" i="17"/>
  <c r="K1451" i="17"/>
  <c r="F1451" i="17"/>
  <c r="E1451" i="17"/>
  <c r="K1450" i="17"/>
  <c r="F1450" i="17"/>
  <c r="E1450" i="17"/>
  <c r="K1449" i="17"/>
  <c r="F1449" i="17"/>
  <c r="E1449" i="17"/>
  <c r="K1448" i="17"/>
  <c r="F1448" i="17"/>
  <c r="E1448" i="17"/>
  <c r="K1447" i="17"/>
  <c r="F1447" i="17"/>
  <c r="E1447" i="17"/>
  <c r="K1446" i="17"/>
  <c r="F1446" i="17"/>
  <c r="E1446" i="17"/>
  <c r="K1445" i="17"/>
  <c r="F1445" i="17"/>
  <c r="E1445" i="17"/>
  <c r="K1444" i="17"/>
  <c r="F1444" i="17"/>
  <c r="E1444" i="17"/>
  <c r="K1443" i="17"/>
  <c r="F1443" i="17"/>
  <c r="E1443" i="17"/>
  <c r="K1442" i="17"/>
  <c r="F1442" i="17"/>
  <c r="E1442" i="17"/>
  <c r="K1441" i="17"/>
  <c r="F1441" i="17"/>
  <c r="E1441" i="17"/>
  <c r="K1440" i="17"/>
  <c r="F1440" i="17"/>
  <c r="E1440" i="17"/>
  <c r="K1439" i="17"/>
  <c r="F1439" i="17"/>
  <c r="E1439" i="17"/>
  <c r="K1438" i="17"/>
  <c r="F1438" i="17"/>
  <c r="E1438" i="17"/>
  <c r="K1437" i="17"/>
  <c r="F1437" i="17"/>
  <c r="E1437" i="17"/>
  <c r="K1436" i="17"/>
  <c r="F1436" i="17"/>
  <c r="E1436" i="17"/>
  <c r="K1435" i="17"/>
  <c r="F1435" i="17"/>
  <c r="E1435" i="17"/>
  <c r="K1434" i="17"/>
  <c r="F1434" i="17"/>
  <c r="E1434" i="17"/>
  <c r="K1433" i="17"/>
  <c r="F1433" i="17"/>
  <c r="E1433" i="17"/>
  <c r="K1432" i="17"/>
  <c r="F1432" i="17"/>
  <c r="E1432" i="17"/>
  <c r="K1431" i="17"/>
  <c r="F1431" i="17"/>
  <c r="E1431" i="17"/>
  <c r="K1430" i="17"/>
  <c r="F1430" i="17"/>
  <c r="E1430" i="17"/>
  <c r="K1429" i="17"/>
  <c r="F1429" i="17"/>
  <c r="E1429" i="17"/>
  <c r="K1428" i="17"/>
  <c r="F1428" i="17"/>
  <c r="E1428" i="17"/>
  <c r="K1427" i="17"/>
  <c r="F1427" i="17"/>
  <c r="E1427" i="17"/>
  <c r="K1426" i="17"/>
  <c r="F1426" i="17"/>
  <c r="E1426" i="17"/>
  <c r="K1425" i="17"/>
  <c r="F1425" i="17"/>
  <c r="E1425" i="17"/>
  <c r="K1424" i="17"/>
  <c r="F1424" i="17"/>
  <c r="E1424" i="17"/>
  <c r="K1423" i="17"/>
  <c r="F1423" i="17"/>
  <c r="E1423" i="17"/>
  <c r="K1422" i="17"/>
  <c r="F1422" i="17"/>
  <c r="E1422" i="17"/>
  <c r="K1421" i="17"/>
  <c r="F1421" i="17"/>
  <c r="E1421" i="17"/>
  <c r="K1420" i="17"/>
  <c r="F1420" i="17"/>
  <c r="E1420" i="17"/>
  <c r="K1419" i="17"/>
  <c r="F1419" i="17"/>
  <c r="E1419" i="17"/>
  <c r="K1418" i="17"/>
  <c r="F1418" i="17"/>
  <c r="E1418" i="17"/>
  <c r="K1417" i="17"/>
  <c r="F1417" i="17"/>
  <c r="E1417" i="17"/>
  <c r="K1416" i="17"/>
  <c r="F1416" i="17"/>
  <c r="E1416" i="17"/>
  <c r="K1415" i="17"/>
  <c r="F1415" i="17"/>
  <c r="E1415" i="17"/>
  <c r="K1414" i="17"/>
  <c r="F1414" i="17"/>
  <c r="E1414" i="17"/>
  <c r="K1413" i="17"/>
  <c r="F1413" i="17"/>
  <c r="E1413" i="17"/>
  <c r="K1412" i="17"/>
  <c r="F1412" i="17"/>
  <c r="E1412" i="17"/>
  <c r="K1411" i="17"/>
  <c r="F1411" i="17"/>
  <c r="E1411" i="17"/>
  <c r="K1410" i="17"/>
  <c r="F1410" i="17"/>
  <c r="E1410" i="17"/>
  <c r="K1409" i="17"/>
  <c r="F1409" i="17"/>
  <c r="E1409" i="17"/>
  <c r="K1408" i="17"/>
  <c r="F1408" i="17"/>
  <c r="E1408" i="17"/>
  <c r="K1407" i="17"/>
  <c r="F1407" i="17"/>
  <c r="E1407" i="17"/>
  <c r="K1406" i="17"/>
  <c r="F1406" i="17"/>
  <c r="E1406" i="17"/>
  <c r="K1405" i="17"/>
  <c r="F1405" i="17"/>
  <c r="E1405" i="17"/>
  <c r="K1404" i="17"/>
  <c r="F1404" i="17"/>
  <c r="E1404" i="17"/>
  <c r="K1403" i="17"/>
  <c r="F1403" i="17"/>
  <c r="E1403" i="17"/>
  <c r="K1402" i="17"/>
  <c r="F1402" i="17"/>
  <c r="E1402" i="17"/>
  <c r="K1401" i="17"/>
  <c r="F1401" i="17"/>
  <c r="E1401" i="17"/>
  <c r="K1400" i="17"/>
  <c r="F1400" i="17"/>
  <c r="E1400" i="17"/>
  <c r="K1399" i="17"/>
  <c r="F1399" i="17"/>
  <c r="E1399" i="17"/>
  <c r="K1398" i="17"/>
  <c r="F1398" i="17"/>
  <c r="E1398" i="17"/>
  <c r="K1397" i="17"/>
  <c r="F1397" i="17"/>
  <c r="E1397" i="17"/>
  <c r="K1396" i="17"/>
  <c r="F1396" i="17"/>
  <c r="E1396" i="17"/>
  <c r="K1395" i="17"/>
  <c r="F1395" i="17"/>
  <c r="E1395" i="17"/>
  <c r="K1394" i="17"/>
  <c r="F1394" i="17"/>
  <c r="E1394" i="17"/>
  <c r="K1393" i="17"/>
  <c r="F1393" i="17"/>
  <c r="E1393" i="17"/>
  <c r="K1392" i="17"/>
  <c r="F1392" i="17"/>
  <c r="E1392" i="17"/>
  <c r="K1391" i="17"/>
  <c r="F1391" i="17"/>
  <c r="E1391" i="17"/>
  <c r="K1390" i="17"/>
  <c r="F1390" i="17"/>
  <c r="E1390" i="17"/>
  <c r="K1389" i="17"/>
  <c r="F1389" i="17"/>
  <c r="E1389" i="17"/>
  <c r="K1388" i="17"/>
  <c r="F1388" i="17"/>
  <c r="E1388" i="17"/>
  <c r="K1387" i="17"/>
  <c r="F1387" i="17"/>
  <c r="E1387" i="17"/>
  <c r="K1386" i="17"/>
  <c r="F1386" i="17"/>
  <c r="E1386" i="17"/>
  <c r="K1385" i="17"/>
  <c r="F1385" i="17"/>
  <c r="E1385" i="17"/>
  <c r="K1384" i="17"/>
  <c r="F1384" i="17"/>
  <c r="E1384" i="17"/>
  <c r="K1383" i="17"/>
  <c r="F1383" i="17"/>
  <c r="E1383" i="17"/>
  <c r="K1382" i="17"/>
  <c r="F1382" i="17"/>
  <c r="E1382" i="17"/>
  <c r="K1381" i="17"/>
  <c r="F1381" i="17"/>
  <c r="E1381" i="17"/>
  <c r="K1380" i="17"/>
  <c r="F1380" i="17"/>
  <c r="E1380" i="17"/>
  <c r="K1379" i="17"/>
  <c r="F1379" i="17"/>
  <c r="E1379" i="17"/>
  <c r="K1378" i="17"/>
  <c r="F1378" i="17"/>
  <c r="E1378" i="17"/>
  <c r="K1377" i="17"/>
  <c r="F1377" i="17"/>
  <c r="E1377" i="17"/>
  <c r="K1376" i="17"/>
  <c r="F1376" i="17"/>
  <c r="E1376" i="17"/>
  <c r="K1375" i="17"/>
  <c r="F1375" i="17"/>
  <c r="E1375" i="17"/>
  <c r="K1374" i="17"/>
  <c r="F1374" i="17"/>
  <c r="E1374" i="17"/>
  <c r="K1373" i="17"/>
  <c r="F1373" i="17"/>
  <c r="E1373" i="17"/>
  <c r="K1372" i="17"/>
  <c r="F1372" i="17"/>
  <c r="E1372" i="17"/>
  <c r="K1371" i="17"/>
  <c r="F1371" i="17"/>
  <c r="E1371" i="17"/>
  <c r="K1370" i="17"/>
  <c r="F1370" i="17"/>
  <c r="E1370" i="17"/>
  <c r="K1369" i="17"/>
  <c r="F1369" i="17"/>
  <c r="E1369" i="17"/>
  <c r="K1368" i="17"/>
  <c r="F1368" i="17"/>
  <c r="E1368" i="17"/>
  <c r="K1367" i="17"/>
  <c r="F1367" i="17"/>
  <c r="E1367" i="17"/>
  <c r="K1366" i="17"/>
  <c r="F1366" i="17"/>
  <c r="E1366" i="17"/>
  <c r="K1365" i="17"/>
  <c r="F1365" i="17"/>
  <c r="E1365" i="17"/>
  <c r="K1364" i="17"/>
  <c r="F1364" i="17"/>
  <c r="E1364" i="17"/>
  <c r="K1363" i="17"/>
  <c r="F1363" i="17"/>
  <c r="E1363" i="17"/>
  <c r="K1362" i="17"/>
  <c r="F1362" i="17"/>
  <c r="E1362" i="17"/>
  <c r="K1361" i="17"/>
  <c r="F1361" i="17"/>
  <c r="E1361" i="17"/>
  <c r="K1360" i="17"/>
  <c r="F1360" i="17"/>
  <c r="E1360" i="17"/>
  <c r="K1359" i="17"/>
  <c r="F1359" i="17"/>
  <c r="E1359" i="17"/>
  <c r="K1358" i="17"/>
  <c r="F1358" i="17"/>
  <c r="E1358" i="17"/>
  <c r="K1357" i="17"/>
  <c r="F1357" i="17"/>
  <c r="E1357" i="17"/>
  <c r="K1356" i="17"/>
  <c r="F1356" i="17"/>
  <c r="E1356" i="17"/>
  <c r="K1355" i="17"/>
  <c r="F1355" i="17"/>
  <c r="E1355" i="17"/>
  <c r="K1354" i="17"/>
  <c r="F1354" i="17"/>
  <c r="E1354" i="17"/>
  <c r="K1353" i="17"/>
  <c r="F1353" i="17"/>
  <c r="E1353" i="17"/>
  <c r="K1352" i="17"/>
  <c r="F1352" i="17"/>
  <c r="E1352" i="17"/>
  <c r="K1351" i="17"/>
  <c r="F1351" i="17"/>
  <c r="E1351" i="17"/>
  <c r="K1350" i="17"/>
  <c r="F1350" i="17"/>
  <c r="E1350" i="17"/>
  <c r="K1349" i="17"/>
  <c r="F1349" i="17"/>
  <c r="E1349" i="17"/>
  <c r="K1348" i="17"/>
  <c r="F1348" i="17"/>
  <c r="E1348" i="17"/>
  <c r="K1347" i="17"/>
  <c r="F1347" i="17"/>
  <c r="E1347" i="17"/>
  <c r="K1346" i="17"/>
  <c r="F1346" i="17"/>
  <c r="E1346" i="17"/>
  <c r="K1345" i="17"/>
  <c r="F1345" i="17"/>
  <c r="E1345" i="17"/>
  <c r="K1344" i="17"/>
  <c r="F1344" i="17"/>
  <c r="E1344" i="17"/>
  <c r="K1343" i="17"/>
  <c r="F1343" i="17"/>
  <c r="E1343" i="17"/>
  <c r="K1342" i="17"/>
  <c r="F1342" i="17"/>
  <c r="E1342" i="17"/>
  <c r="K1341" i="17"/>
  <c r="F1341" i="17"/>
  <c r="E1341" i="17"/>
  <c r="K1340" i="17"/>
  <c r="F1340" i="17"/>
  <c r="E1340" i="17"/>
  <c r="K1339" i="17"/>
  <c r="F1339" i="17"/>
  <c r="E1339" i="17"/>
  <c r="K1338" i="17"/>
  <c r="F1338" i="17"/>
  <c r="E1338" i="17"/>
  <c r="K1337" i="17"/>
  <c r="F1337" i="17"/>
  <c r="E1337" i="17"/>
  <c r="K1336" i="17"/>
  <c r="F1336" i="17"/>
  <c r="E1336" i="17"/>
  <c r="K1335" i="17"/>
  <c r="F1335" i="17"/>
  <c r="E1335" i="17"/>
  <c r="K1334" i="17"/>
  <c r="F1334" i="17"/>
  <c r="E1334" i="17"/>
  <c r="K1333" i="17"/>
  <c r="F1333" i="17"/>
  <c r="E1333" i="17"/>
  <c r="K1332" i="17"/>
  <c r="F1332" i="17"/>
  <c r="E1332" i="17"/>
  <c r="K1331" i="17"/>
  <c r="F1331" i="17"/>
  <c r="E1331" i="17"/>
  <c r="K1330" i="17"/>
  <c r="F1330" i="17"/>
  <c r="E1330" i="17"/>
  <c r="K1329" i="17"/>
  <c r="F1329" i="17"/>
  <c r="E1329" i="17"/>
  <c r="K1328" i="17"/>
  <c r="F1328" i="17"/>
  <c r="E1328" i="17"/>
  <c r="K1327" i="17"/>
  <c r="F1327" i="17"/>
  <c r="E1327" i="17"/>
  <c r="K1326" i="17"/>
  <c r="F1326" i="17"/>
  <c r="E1326" i="17"/>
  <c r="K1325" i="17"/>
  <c r="F1325" i="17"/>
  <c r="E1325" i="17"/>
  <c r="K1324" i="17"/>
  <c r="F1324" i="17"/>
  <c r="E1324" i="17"/>
  <c r="K1323" i="17"/>
  <c r="F1323" i="17"/>
  <c r="E1323" i="17"/>
  <c r="K1322" i="17"/>
  <c r="F1322" i="17"/>
  <c r="E1322" i="17"/>
  <c r="K1321" i="17"/>
  <c r="F1321" i="17"/>
  <c r="E1321" i="17"/>
  <c r="K1320" i="17"/>
  <c r="F1320" i="17"/>
  <c r="E1320" i="17"/>
  <c r="K1319" i="17"/>
  <c r="F1319" i="17"/>
  <c r="E1319" i="17"/>
  <c r="K1318" i="17"/>
  <c r="F1318" i="17"/>
  <c r="E1318" i="17"/>
  <c r="K1317" i="17"/>
  <c r="F1317" i="17"/>
  <c r="E1317" i="17"/>
  <c r="K1316" i="17"/>
  <c r="F1316" i="17"/>
  <c r="E1316" i="17"/>
  <c r="K1315" i="17"/>
  <c r="F1315" i="17"/>
  <c r="E1315" i="17"/>
  <c r="K1314" i="17"/>
  <c r="F1314" i="17"/>
  <c r="E1314" i="17"/>
  <c r="K1313" i="17"/>
  <c r="F1313" i="17"/>
  <c r="E1313" i="17"/>
  <c r="K1312" i="17"/>
  <c r="F1312" i="17"/>
  <c r="E1312" i="17"/>
  <c r="K1311" i="17"/>
  <c r="F1311" i="17"/>
  <c r="E1311" i="17"/>
  <c r="K1310" i="17"/>
  <c r="F1310" i="17"/>
  <c r="E1310" i="17"/>
  <c r="K1309" i="17"/>
  <c r="F1309" i="17"/>
  <c r="E1309" i="17"/>
  <c r="K1308" i="17"/>
  <c r="F1308" i="17"/>
  <c r="E1308" i="17"/>
  <c r="K1307" i="17"/>
  <c r="F1307" i="17"/>
  <c r="E1307" i="17"/>
  <c r="K1306" i="17"/>
  <c r="F1306" i="17"/>
  <c r="E1306" i="17"/>
  <c r="K1305" i="17"/>
  <c r="F1305" i="17"/>
  <c r="E1305" i="17"/>
  <c r="K1304" i="17"/>
  <c r="F1304" i="17"/>
  <c r="E1304" i="17"/>
  <c r="K1303" i="17"/>
  <c r="F1303" i="17"/>
  <c r="E1303" i="17"/>
  <c r="K1302" i="17"/>
  <c r="F1302" i="17"/>
  <c r="E1302" i="17"/>
  <c r="K1301" i="17"/>
  <c r="F1301" i="17"/>
  <c r="E1301" i="17"/>
  <c r="K1300" i="17"/>
  <c r="F1300" i="17"/>
  <c r="E1300" i="17"/>
  <c r="K1299" i="17"/>
  <c r="F1299" i="17"/>
  <c r="E1299" i="17"/>
  <c r="K1298" i="17"/>
  <c r="F1298" i="17"/>
  <c r="E1298" i="17"/>
  <c r="K1297" i="17"/>
  <c r="F1297" i="17"/>
  <c r="E1297" i="17"/>
  <c r="K1296" i="17"/>
  <c r="F1296" i="17"/>
  <c r="E1296" i="17"/>
  <c r="K1295" i="17"/>
  <c r="F1295" i="17"/>
  <c r="E1295" i="17"/>
  <c r="K1294" i="17"/>
  <c r="F1294" i="17"/>
  <c r="E1294" i="17"/>
  <c r="K1293" i="17"/>
  <c r="F1293" i="17"/>
  <c r="E1293" i="17"/>
  <c r="K1292" i="17"/>
  <c r="F1292" i="17"/>
  <c r="E1292" i="17"/>
  <c r="K1291" i="17"/>
  <c r="F1291" i="17"/>
  <c r="E1291" i="17"/>
  <c r="K1290" i="17"/>
  <c r="F1290" i="17"/>
  <c r="E1290" i="17"/>
  <c r="K1289" i="17"/>
  <c r="F1289" i="17"/>
  <c r="E1289" i="17"/>
  <c r="K1288" i="17"/>
  <c r="F1288" i="17"/>
  <c r="E1288" i="17"/>
  <c r="K1287" i="17"/>
  <c r="F1287" i="17"/>
  <c r="E1287" i="17"/>
  <c r="K1286" i="17"/>
  <c r="F1286" i="17"/>
  <c r="E1286" i="17"/>
  <c r="K1285" i="17"/>
  <c r="F1285" i="17"/>
  <c r="E1285" i="17"/>
  <c r="K1284" i="17"/>
  <c r="F1284" i="17"/>
  <c r="E1284" i="17"/>
  <c r="K1283" i="17"/>
  <c r="F1283" i="17"/>
  <c r="E1283" i="17"/>
  <c r="K1282" i="17"/>
  <c r="F1282" i="17"/>
  <c r="E1282" i="17"/>
  <c r="K1281" i="17"/>
  <c r="F1281" i="17"/>
  <c r="E1281" i="17"/>
  <c r="K1280" i="17"/>
  <c r="F1280" i="17"/>
  <c r="E1280" i="17"/>
  <c r="K1279" i="17"/>
  <c r="F1279" i="17"/>
  <c r="E1279" i="17"/>
  <c r="K1278" i="17"/>
  <c r="F1278" i="17"/>
  <c r="E1278" i="17"/>
  <c r="K1277" i="17"/>
  <c r="F1277" i="17"/>
  <c r="E1277" i="17"/>
  <c r="K1276" i="17"/>
  <c r="F1276" i="17"/>
  <c r="E1276" i="17"/>
  <c r="K1275" i="17"/>
  <c r="F1275" i="17"/>
  <c r="E1275" i="17"/>
  <c r="K1274" i="17"/>
  <c r="F1274" i="17"/>
  <c r="E1274" i="17"/>
  <c r="M1273" i="17"/>
  <c r="K1273" i="17"/>
  <c r="F1273" i="17"/>
  <c r="E1273" i="17"/>
  <c r="K1272" i="17"/>
  <c r="F1272" i="17"/>
  <c r="E1272" i="17"/>
  <c r="K1271" i="17"/>
  <c r="F1271" i="17"/>
  <c r="E1271" i="17"/>
  <c r="K1270" i="17"/>
  <c r="F1270" i="17"/>
  <c r="E1270" i="17"/>
  <c r="K1269" i="17"/>
  <c r="F1269" i="17"/>
  <c r="E1269" i="17"/>
  <c r="K1268" i="17"/>
  <c r="F1268" i="17"/>
  <c r="E1268" i="17"/>
  <c r="K1267" i="17"/>
  <c r="F1267" i="17"/>
  <c r="E1267" i="17"/>
  <c r="K1266" i="17"/>
  <c r="F1266" i="17"/>
  <c r="E1266" i="17"/>
  <c r="K1265" i="17"/>
  <c r="F1265" i="17"/>
  <c r="E1265" i="17"/>
  <c r="K1264" i="17"/>
  <c r="F1264" i="17"/>
  <c r="E1264" i="17"/>
  <c r="K1263" i="17"/>
  <c r="F1263" i="17"/>
  <c r="E1263" i="17"/>
  <c r="K1262" i="17"/>
  <c r="F1262" i="17"/>
  <c r="E1262" i="17"/>
  <c r="K1261" i="17"/>
  <c r="F1261" i="17"/>
  <c r="E1261" i="17"/>
  <c r="K1260" i="17"/>
  <c r="F1260" i="17"/>
  <c r="E1260" i="17"/>
  <c r="K1259" i="17"/>
  <c r="F1259" i="17"/>
  <c r="E1259" i="17"/>
  <c r="K1258" i="17"/>
  <c r="F1258" i="17"/>
  <c r="E1258" i="17"/>
  <c r="K1257" i="17"/>
  <c r="F1257" i="17"/>
  <c r="E1257" i="17"/>
  <c r="K1256" i="17"/>
  <c r="F1256" i="17"/>
  <c r="E1256" i="17"/>
  <c r="K1255" i="17"/>
  <c r="F1255" i="17"/>
  <c r="E1255" i="17"/>
  <c r="K1254" i="17"/>
  <c r="F1254" i="17"/>
  <c r="E1254" i="17"/>
  <c r="M1253" i="17"/>
  <c r="K1253" i="17"/>
  <c r="F1253" i="17"/>
  <c r="E1253" i="17"/>
  <c r="K1252" i="17"/>
  <c r="F1252" i="17"/>
  <c r="E1252" i="17"/>
  <c r="K1251" i="17"/>
  <c r="F1251" i="17"/>
  <c r="E1251" i="17"/>
  <c r="K1250" i="17"/>
  <c r="F1250" i="17"/>
  <c r="E1250" i="17"/>
  <c r="K1249" i="17"/>
  <c r="F1249" i="17"/>
  <c r="E1249" i="17"/>
  <c r="K1248" i="17"/>
  <c r="F1248" i="17"/>
  <c r="E1248" i="17"/>
  <c r="K1247" i="17"/>
  <c r="F1247" i="17"/>
  <c r="E1247" i="17"/>
  <c r="K1246" i="17"/>
  <c r="F1246" i="17"/>
  <c r="E1246" i="17"/>
  <c r="K1245" i="17"/>
  <c r="F1245" i="17"/>
  <c r="E1245" i="17"/>
  <c r="K1244" i="17"/>
  <c r="F1244" i="17"/>
  <c r="E1244" i="17"/>
  <c r="K1243" i="17"/>
  <c r="F1243" i="17"/>
  <c r="E1243" i="17"/>
  <c r="K1242" i="17"/>
  <c r="F1242" i="17"/>
  <c r="E1242" i="17"/>
  <c r="K1241" i="17"/>
  <c r="F1241" i="17"/>
  <c r="E1241" i="17"/>
  <c r="K1240" i="17"/>
  <c r="F1240" i="17"/>
  <c r="E1240" i="17"/>
  <c r="K1239" i="17"/>
  <c r="F1239" i="17"/>
  <c r="E1239" i="17"/>
  <c r="K1238" i="17"/>
  <c r="F1238" i="17"/>
  <c r="E1238" i="17"/>
  <c r="K1237" i="17"/>
  <c r="F1237" i="17"/>
  <c r="E1237" i="17"/>
  <c r="K1236" i="17"/>
  <c r="F1236" i="17"/>
  <c r="E1236" i="17"/>
  <c r="K1235" i="17"/>
  <c r="F1235" i="17"/>
  <c r="E1235" i="17"/>
  <c r="K1234" i="17"/>
  <c r="F1234" i="17"/>
  <c r="E1234" i="17"/>
  <c r="K1233" i="17"/>
  <c r="F1233" i="17"/>
  <c r="E1233" i="17"/>
  <c r="K1232" i="17"/>
  <c r="F1232" i="17"/>
  <c r="E1232" i="17"/>
  <c r="K1231" i="17"/>
  <c r="F1231" i="17"/>
  <c r="E1231" i="17"/>
  <c r="K1230" i="17"/>
  <c r="F1230" i="17"/>
  <c r="E1230" i="17"/>
  <c r="K1229" i="17"/>
  <c r="F1229" i="17"/>
  <c r="E1229" i="17"/>
  <c r="K1228" i="17"/>
  <c r="F1228" i="17"/>
  <c r="E1228" i="17"/>
  <c r="K1227" i="17"/>
  <c r="F1227" i="17"/>
  <c r="E1227" i="17"/>
  <c r="K1226" i="17"/>
  <c r="F1226" i="17"/>
  <c r="E1226" i="17"/>
  <c r="K1225" i="17"/>
  <c r="F1225" i="17"/>
  <c r="E1225" i="17"/>
  <c r="K1224" i="17"/>
  <c r="F1224" i="17"/>
  <c r="E1224" i="17"/>
  <c r="K1223" i="17"/>
  <c r="F1223" i="17"/>
  <c r="E1223" i="17"/>
  <c r="K1222" i="17"/>
  <c r="F1222" i="17"/>
  <c r="E1222" i="17"/>
  <c r="K1221" i="17"/>
  <c r="F1221" i="17"/>
  <c r="E1221" i="17"/>
  <c r="K1220" i="17"/>
  <c r="F1220" i="17"/>
  <c r="E1220" i="17"/>
  <c r="K1219" i="17"/>
  <c r="F1219" i="17"/>
  <c r="E1219" i="17"/>
  <c r="K1218" i="17"/>
  <c r="F1218" i="17"/>
  <c r="E1218" i="17"/>
  <c r="K1217" i="17"/>
  <c r="F1217" i="17"/>
  <c r="E1217" i="17"/>
  <c r="K1216" i="17"/>
  <c r="F1216" i="17"/>
  <c r="E1216" i="17"/>
  <c r="K1215" i="17"/>
  <c r="F1215" i="17"/>
  <c r="E1215" i="17"/>
  <c r="K1214" i="17"/>
  <c r="F1214" i="17"/>
  <c r="E1214" i="17"/>
  <c r="K1213" i="17"/>
  <c r="F1213" i="17"/>
  <c r="E1213" i="17"/>
  <c r="K1212" i="17"/>
  <c r="F1212" i="17"/>
  <c r="E1212" i="17"/>
  <c r="K1211" i="17"/>
  <c r="F1211" i="17"/>
  <c r="E1211" i="17"/>
  <c r="K1210" i="17"/>
  <c r="F1210" i="17"/>
  <c r="E1210" i="17"/>
  <c r="K1209" i="17"/>
  <c r="F1209" i="17"/>
  <c r="E1209" i="17"/>
  <c r="K1208" i="17"/>
  <c r="F1208" i="17"/>
  <c r="E1208" i="17"/>
  <c r="K1207" i="17"/>
  <c r="F1207" i="17"/>
  <c r="E1207" i="17"/>
  <c r="K1206" i="17"/>
  <c r="F1206" i="17"/>
  <c r="E1206" i="17"/>
  <c r="K1205" i="17"/>
  <c r="F1205" i="17"/>
  <c r="E1205" i="17"/>
  <c r="K1204" i="17"/>
  <c r="F1204" i="17"/>
  <c r="E1204" i="17"/>
  <c r="K1203" i="17"/>
  <c r="F1203" i="17"/>
  <c r="E1203" i="17"/>
  <c r="K1202" i="17"/>
  <c r="F1202" i="17"/>
  <c r="E1202" i="17"/>
  <c r="K1201" i="17"/>
  <c r="F1201" i="17"/>
  <c r="E1201" i="17"/>
  <c r="K1200" i="17"/>
  <c r="F1200" i="17"/>
  <c r="E1200" i="17"/>
  <c r="K1199" i="17"/>
  <c r="F1199" i="17"/>
  <c r="E1199" i="17"/>
  <c r="K1198" i="17"/>
  <c r="F1198" i="17"/>
  <c r="E1198" i="17"/>
  <c r="K1197" i="17"/>
  <c r="F1197" i="17"/>
  <c r="E1197" i="17"/>
  <c r="K1196" i="17"/>
  <c r="F1196" i="17"/>
  <c r="E1196" i="17"/>
  <c r="K1195" i="17"/>
  <c r="F1195" i="17"/>
  <c r="E1195" i="17"/>
  <c r="K1194" i="17"/>
  <c r="F1194" i="17"/>
  <c r="E1194" i="17"/>
  <c r="K1193" i="17"/>
  <c r="F1193" i="17"/>
  <c r="E1193" i="17"/>
  <c r="K1192" i="17"/>
  <c r="F1192" i="17"/>
  <c r="E1192" i="17"/>
  <c r="K1191" i="17"/>
  <c r="F1191" i="17"/>
  <c r="E1191" i="17"/>
  <c r="K1190" i="17"/>
  <c r="F1190" i="17"/>
  <c r="E1190" i="17"/>
  <c r="K1189" i="17"/>
  <c r="F1189" i="17"/>
  <c r="E1189" i="17"/>
  <c r="K1188" i="17"/>
  <c r="F1188" i="17"/>
  <c r="E1188" i="17"/>
  <c r="K1187" i="17"/>
  <c r="F1187" i="17"/>
  <c r="E1187" i="17"/>
  <c r="K1186" i="17"/>
  <c r="F1186" i="17"/>
  <c r="E1186" i="17"/>
  <c r="K1185" i="17"/>
  <c r="F1185" i="17"/>
  <c r="E1185" i="17"/>
  <c r="K1184" i="17"/>
  <c r="F1184" i="17"/>
  <c r="E1184" i="17"/>
  <c r="K1183" i="17"/>
  <c r="F1183" i="17"/>
  <c r="E1183" i="17"/>
  <c r="K1182" i="17"/>
  <c r="F1182" i="17"/>
  <c r="E1182" i="17"/>
  <c r="K1181" i="17"/>
  <c r="F1181" i="17"/>
  <c r="E1181" i="17"/>
  <c r="K1180" i="17"/>
  <c r="F1180" i="17"/>
  <c r="E1180" i="17"/>
  <c r="K1179" i="17"/>
  <c r="F1179" i="17"/>
  <c r="E1179" i="17"/>
  <c r="K1178" i="17"/>
  <c r="F1178" i="17"/>
  <c r="E1178" i="17"/>
  <c r="K1177" i="17"/>
  <c r="F1177" i="17"/>
  <c r="E1177" i="17"/>
  <c r="K1176" i="17"/>
  <c r="F1176" i="17"/>
  <c r="E1176" i="17"/>
  <c r="K1175" i="17"/>
  <c r="F1175" i="17"/>
  <c r="E1175" i="17"/>
  <c r="K1174" i="17"/>
  <c r="F1174" i="17"/>
  <c r="E1174" i="17"/>
  <c r="K1173" i="17"/>
  <c r="F1173" i="17"/>
  <c r="E1173" i="17"/>
  <c r="K1172" i="17"/>
  <c r="F1172" i="17"/>
  <c r="E1172" i="17"/>
  <c r="K1171" i="17"/>
  <c r="F1171" i="17"/>
  <c r="E1171" i="17"/>
  <c r="K1170" i="17"/>
  <c r="F1170" i="17"/>
  <c r="E1170" i="17"/>
  <c r="K1169" i="17"/>
  <c r="F1169" i="17"/>
  <c r="E1169" i="17"/>
  <c r="K1168" i="17"/>
  <c r="F1168" i="17"/>
  <c r="E1168" i="17"/>
  <c r="K1167" i="17"/>
  <c r="F1167" i="17"/>
  <c r="E1167" i="17"/>
  <c r="K1166" i="17"/>
  <c r="F1166" i="17"/>
  <c r="E1166" i="17"/>
  <c r="K1165" i="17"/>
  <c r="F1165" i="17"/>
  <c r="E1165" i="17"/>
  <c r="K1164" i="17"/>
  <c r="F1164" i="17"/>
  <c r="E1164" i="17"/>
  <c r="K1163" i="17"/>
  <c r="F1163" i="17"/>
  <c r="E1163" i="17"/>
  <c r="K1162" i="17"/>
  <c r="F1162" i="17"/>
  <c r="E1162" i="17"/>
  <c r="K1161" i="17"/>
  <c r="F1161" i="17"/>
  <c r="E1161" i="17"/>
  <c r="K1160" i="17"/>
  <c r="F1160" i="17"/>
  <c r="E1160" i="17"/>
  <c r="K1159" i="17"/>
  <c r="F1159" i="17"/>
  <c r="E1159" i="17"/>
  <c r="K1158" i="17"/>
  <c r="F1158" i="17"/>
  <c r="E1158" i="17"/>
  <c r="K1157" i="17"/>
  <c r="F1157" i="17"/>
  <c r="E1157" i="17"/>
  <c r="K1156" i="17"/>
  <c r="F1156" i="17"/>
  <c r="E1156" i="17"/>
  <c r="K1155" i="17"/>
  <c r="F1155" i="17"/>
  <c r="E1155" i="17"/>
  <c r="K1154" i="17"/>
  <c r="F1154" i="17"/>
  <c r="E1154" i="17"/>
  <c r="K1153" i="17"/>
  <c r="F1153" i="17"/>
  <c r="E1153" i="17"/>
  <c r="K1152" i="17"/>
  <c r="F1152" i="17"/>
  <c r="E1152" i="17"/>
  <c r="K1151" i="17"/>
  <c r="F1151" i="17"/>
  <c r="E1151" i="17"/>
  <c r="K1150" i="17"/>
  <c r="F1150" i="17"/>
  <c r="E1150" i="17"/>
  <c r="K1149" i="17"/>
  <c r="F1149" i="17"/>
  <c r="E1149" i="17"/>
  <c r="K1148" i="17"/>
  <c r="F1148" i="17"/>
  <c r="E1148" i="17"/>
  <c r="K1147" i="17"/>
  <c r="F1147" i="17"/>
  <c r="E1147" i="17"/>
  <c r="K1146" i="17"/>
  <c r="F1146" i="17"/>
  <c r="E1146" i="17"/>
  <c r="K1145" i="17"/>
  <c r="F1145" i="17"/>
  <c r="E1145" i="17"/>
  <c r="K1144" i="17"/>
  <c r="F1144" i="17"/>
  <c r="E1144" i="17"/>
  <c r="K1143" i="17"/>
  <c r="F1143" i="17"/>
  <c r="E1143" i="17"/>
  <c r="K1142" i="17"/>
  <c r="F1142" i="17"/>
  <c r="E1142" i="17"/>
  <c r="K1141" i="17"/>
  <c r="F1141" i="17"/>
  <c r="E1141" i="17"/>
  <c r="K1140" i="17"/>
  <c r="F1140" i="17"/>
  <c r="E1140" i="17"/>
  <c r="K1139" i="17"/>
  <c r="F1139" i="17"/>
  <c r="E1139" i="17"/>
  <c r="K1138" i="17"/>
  <c r="F1138" i="17"/>
  <c r="E1138" i="17"/>
  <c r="K1137" i="17"/>
  <c r="F1137" i="17"/>
  <c r="E1137" i="17"/>
  <c r="K1136" i="17"/>
  <c r="F1136" i="17"/>
  <c r="E1136" i="17"/>
  <c r="K1135" i="17"/>
  <c r="F1135" i="17"/>
  <c r="E1135" i="17"/>
  <c r="K1134" i="17"/>
  <c r="F1134" i="17"/>
  <c r="E1134" i="17"/>
  <c r="K1133" i="17"/>
  <c r="F1133" i="17"/>
  <c r="E1133" i="17"/>
  <c r="K1132" i="17"/>
  <c r="F1132" i="17"/>
  <c r="E1132" i="17"/>
  <c r="K1131" i="17"/>
  <c r="F1131" i="17"/>
  <c r="E1131" i="17"/>
  <c r="K1130" i="17"/>
  <c r="F1130" i="17"/>
  <c r="E1130" i="17"/>
  <c r="K1129" i="17"/>
  <c r="F1129" i="17"/>
  <c r="E1129" i="17"/>
  <c r="K1128" i="17"/>
  <c r="F1128" i="17"/>
  <c r="E1128" i="17"/>
  <c r="K1127" i="17"/>
  <c r="F1127" i="17"/>
  <c r="E1127" i="17"/>
  <c r="K1126" i="17"/>
  <c r="F1126" i="17"/>
  <c r="E1126" i="17"/>
  <c r="K1125" i="17"/>
  <c r="F1125" i="17"/>
  <c r="E1125" i="17"/>
  <c r="K1124" i="17"/>
  <c r="F1124" i="17"/>
  <c r="E1124" i="17"/>
  <c r="K1123" i="17"/>
  <c r="F1123" i="17"/>
  <c r="E1123" i="17"/>
  <c r="K1122" i="17"/>
  <c r="F1122" i="17"/>
  <c r="E1122" i="17"/>
  <c r="K1121" i="17"/>
  <c r="F1121" i="17"/>
  <c r="E1121" i="17"/>
  <c r="K1120" i="17"/>
  <c r="F1120" i="17"/>
  <c r="E1120" i="17"/>
  <c r="K1119" i="17"/>
  <c r="F1119" i="17"/>
  <c r="E1119" i="17"/>
  <c r="K1118" i="17"/>
  <c r="F1118" i="17"/>
  <c r="E1118" i="17"/>
  <c r="K1117" i="17"/>
  <c r="F1117" i="17"/>
  <c r="E1117" i="17"/>
  <c r="K1116" i="17"/>
  <c r="F1116" i="17"/>
  <c r="E1116" i="17"/>
  <c r="K1115" i="17"/>
  <c r="F1115" i="17"/>
  <c r="E1115" i="17"/>
  <c r="K1114" i="17"/>
  <c r="F1114" i="17"/>
  <c r="E1114" i="17"/>
  <c r="K1113" i="17"/>
  <c r="F1113" i="17"/>
  <c r="E1113" i="17"/>
  <c r="K1112" i="17"/>
  <c r="F1112" i="17"/>
  <c r="E1112" i="17"/>
  <c r="K1111" i="17"/>
  <c r="F1111" i="17"/>
  <c r="E1111" i="17"/>
  <c r="K1110" i="17"/>
  <c r="F1110" i="17"/>
  <c r="E1110" i="17"/>
  <c r="K1109" i="17"/>
  <c r="F1109" i="17"/>
  <c r="E1109" i="17"/>
  <c r="K1108" i="17"/>
  <c r="F1108" i="17"/>
  <c r="E1108" i="17"/>
  <c r="K1107" i="17"/>
  <c r="F1107" i="17"/>
  <c r="E1107" i="17"/>
  <c r="K1106" i="17"/>
  <c r="F1106" i="17"/>
  <c r="E1106" i="17"/>
  <c r="K1105" i="17"/>
  <c r="F1105" i="17"/>
  <c r="E1105" i="17"/>
  <c r="K1104" i="17"/>
  <c r="F1104" i="17"/>
  <c r="E1104" i="17"/>
  <c r="K1103" i="17"/>
  <c r="F1103" i="17"/>
  <c r="E1103" i="17"/>
  <c r="K1102" i="17"/>
  <c r="F1102" i="17"/>
  <c r="E1102" i="17"/>
  <c r="K1101" i="17"/>
  <c r="F1101" i="17"/>
  <c r="E1101" i="17"/>
  <c r="K1100" i="17"/>
  <c r="F1100" i="17"/>
  <c r="E1100" i="17"/>
  <c r="K1099" i="17"/>
  <c r="F1099" i="17"/>
  <c r="E1099" i="17"/>
  <c r="K1098" i="17"/>
  <c r="F1098" i="17"/>
  <c r="E1098" i="17"/>
  <c r="K1097" i="17"/>
  <c r="F1097" i="17"/>
  <c r="E1097" i="17"/>
  <c r="K1096" i="17"/>
  <c r="F1096" i="17"/>
  <c r="E1096" i="17"/>
  <c r="K1095" i="17"/>
  <c r="F1095" i="17"/>
  <c r="E1095" i="17"/>
  <c r="K1094" i="17"/>
  <c r="G1094" i="17"/>
  <c r="F1094" i="17"/>
  <c r="E1094" i="17"/>
  <c r="K1093" i="17"/>
  <c r="G1093" i="17"/>
  <c r="F1093" i="17"/>
  <c r="E1093" i="17"/>
  <c r="K1092" i="17"/>
  <c r="F1092" i="17"/>
  <c r="E1092" i="17"/>
  <c r="K1091" i="17"/>
  <c r="F1091" i="17"/>
  <c r="E1091" i="17"/>
  <c r="K1090" i="17"/>
  <c r="F1090" i="17"/>
  <c r="E1090" i="17"/>
  <c r="K1089" i="17"/>
  <c r="F1089" i="17"/>
  <c r="E1089" i="17"/>
  <c r="K1088" i="17"/>
  <c r="F1088" i="17"/>
  <c r="E1088" i="17"/>
  <c r="K1087" i="17"/>
  <c r="F1087" i="17"/>
  <c r="E1087" i="17"/>
  <c r="K1086" i="17"/>
  <c r="F1086" i="17"/>
  <c r="E1086" i="17"/>
  <c r="K1085" i="17"/>
  <c r="F1085" i="17"/>
  <c r="E1085" i="17"/>
  <c r="K1084" i="17"/>
  <c r="F1084" i="17"/>
  <c r="E1084" i="17"/>
  <c r="K1083" i="17"/>
  <c r="F1083" i="17"/>
  <c r="E1083" i="17"/>
  <c r="K1082" i="17"/>
  <c r="F1082" i="17"/>
  <c r="E1082" i="17"/>
  <c r="K1081" i="17"/>
  <c r="F1081" i="17"/>
  <c r="E1081" i="17"/>
  <c r="K1080" i="17"/>
  <c r="F1080" i="17"/>
  <c r="E1080" i="17"/>
  <c r="K1079" i="17"/>
  <c r="F1079" i="17"/>
  <c r="E1079" i="17"/>
  <c r="K1078" i="17"/>
  <c r="F1078" i="17"/>
  <c r="E1078" i="17"/>
  <c r="K1077" i="17"/>
  <c r="F1077" i="17"/>
  <c r="E1077" i="17"/>
  <c r="K1076" i="17"/>
  <c r="F1076" i="17"/>
  <c r="E1076" i="17"/>
  <c r="K1075" i="17"/>
  <c r="F1075" i="17"/>
  <c r="E1075" i="17"/>
  <c r="K1074" i="17"/>
  <c r="F1074" i="17"/>
  <c r="E1074" i="17"/>
  <c r="K1073" i="17"/>
  <c r="F1073" i="17"/>
  <c r="E1073" i="17"/>
  <c r="K1072" i="17"/>
  <c r="F1072" i="17"/>
  <c r="E1072" i="17"/>
  <c r="K1071" i="17"/>
  <c r="F1071" i="17"/>
  <c r="E1071" i="17"/>
  <c r="K1070" i="17"/>
  <c r="F1070" i="17"/>
  <c r="E1070" i="17"/>
  <c r="K1069" i="17"/>
  <c r="F1069" i="17"/>
  <c r="E1069" i="17"/>
  <c r="K1068" i="17"/>
  <c r="F1068" i="17"/>
  <c r="E1068" i="17"/>
  <c r="K1067" i="17"/>
  <c r="F1067" i="17"/>
  <c r="E1067" i="17"/>
  <c r="K1066" i="17"/>
  <c r="F1066" i="17"/>
  <c r="E1066" i="17"/>
  <c r="K1065" i="17"/>
  <c r="F1065" i="17"/>
  <c r="E1065" i="17"/>
  <c r="K1064" i="17"/>
  <c r="F1064" i="17"/>
  <c r="E1064" i="17"/>
  <c r="K1063" i="17"/>
  <c r="F1063" i="17"/>
  <c r="E1063" i="17"/>
  <c r="K1062" i="17"/>
  <c r="F1062" i="17"/>
  <c r="E1062" i="17"/>
  <c r="K1061" i="17"/>
  <c r="F1061" i="17"/>
  <c r="E1061" i="17"/>
  <c r="K1060" i="17"/>
  <c r="F1060" i="17"/>
  <c r="E1060" i="17"/>
  <c r="K1059" i="17"/>
  <c r="F1059" i="17"/>
  <c r="E1059" i="17"/>
  <c r="K1058" i="17"/>
  <c r="F1058" i="17"/>
  <c r="E1058" i="17"/>
  <c r="K1057" i="17"/>
  <c r="F1057" i="17"/>
  <c r="E1057" i="17"/>
  <c r="K1056" i="17"/>
  <c r="F1056" i="17"/>
  <c r="E1056" i="17"/>
  <c r="K1055" i="17"/>
  <c r="F1055" i="17"/>
  <c r="E1055" i="17"/>
  <c r="K1054" i="17"/>
  <c r="F1054" i="17"/>
  <c r="E1054" i="17"/>
  <c r="K1053" i="17"/>
  <c r="F1053" i="17"/>
  <c r="E1053" i="17"/>
  <c r="K1052" i="17"/>
  <c r="F1052" i="17"/>
  <c r="E1052" i="17"/>
  <c r="K1051" i="17"/>
  <c r="F1051" i="17"/>
  <c r="E1051" i="17"/>
  <c r="K1050" i="17"/>
  <c r="F1050" i="17"/>
  <c r="E1050" i="17"/>
  <c r="K1049" i="17"/>
  <c r="F1049" i="17"/>
  <c r="E1049" i="17"/>
  <c r="K1048" i="17"/>
  <c r="F1048" i="17"/>
  <c r="E1048" i="17"/>
  <c r="K1047" i="17"/>
  <c r="F1047" i="17"/>
  <c r="E1047" i="17"/>
  <c r="K1046" i="17"/>
  <c r="F1046" i="17"/>
  <c r="E1046" i="17"/>
  <c r="K1045" i="17"/>
  <c r="F1045" i="17"/>
  <c r="E1045" i="17"/>
  <c r="K1044" i="17"/>
  <c r="F1044" i="17"/>
  <c r="E1044" i="17"/>
  <c r="K1043" i="17"/>
  <c r="F1043" i="17"/>
  <c r="E1043" i="17"/>
  <c r="K1042" i="17"/>
  <c r="F1042" i="17"/>
  <c r="E1042" i="17"/>
  <c r="K1041" i="17"/>
  <c r="F1041" i="17"/>
  <c r="E1041" i="17"/>
  <c r="K1040" i="17"/>
  <c r="F1040" i="17"/>
  <c r="E1040" i="17"/>
  <c r="K1039" i="17"/>
  <c r="F1039" i="17"/>
  <c r="E1039" i="17"/>
  <c r="K1038" i="17"/>
  <c r="F1038" i="17"/>
  <c r="E1038" i="17"/>
  <c r="K1037" i="17"/>
  <c r="F1037" i="17"/>
  <c r="E1037" i="17"/>
  <c r="K1036" i="17"/>
  <c r="F1036" i="17"/>
  <c r="E1036" i="17"/>
  <c r="K1035" i="17"/>
  <c r="F1035" i="17"/>
  <c r="E1035" i="17"/>
  <c r="K1034" i="17"/>
  <c r="F1034" i="17"/>
  <c r="E1034" i="17"/>
  <c r="K1033" i="17"/>
  <c r="F1033" i="17"/>
  <c r="E1033" i="17"/>
  <c r="K1032" i="17"/>
  <c r="F1032" i="17"/>
  <c r="E1032" i="17"/>
  <c r="K1031" i="17"/>
  <c r="F1031" i="17"/>
  <c r="E1031" i="17"/>
  <c r="K1030" i="17"/>
  <c r="F1030" i="17"/>
  <c r="E1030" i="17"/>
  <c r="K1029" i="17"/>
  <c r="F1029" i="17"/>
  <c r="E1029" i="17"/>
  <c r="K1028" i="17"/>
  <c r="F1028" i="17"/>
  <c r="E1028" i="17"/>
  <c r="K1027" i="17"/>
  <c r="F1027" i="17"/>
  <c r="E1027" i="17"/>
  <c r="K1026" i="17"/>
  <c r="F1026" i="17"/>
  <c r="E1026" i="17"/>
  <c r="K1025" i="17"/>
  <c r="F1025" i="17"/>
  <c r="E1025" i="17"/>
  <c r="K1024" i="17"/>
  <c r="F1024" i="17"/>
  <c r="E1024" i="17"/>
  <c r="K1023" i="17"/>
  <c r="F1023" i="17"/>
  <c r="E1023" i="17"/>
  <c r="K1022" i="17"/>
  <c r="F1022" i="17"/>
  <c r="E1022" i="17"/>
  <c r="K1021" i="17"/>
  <c r="F1021" i="17"/>
  <c r="E1021" i="17"/>
  <c r="K1020" i="17"/>
  <c r="F1020" i="17"/>
  <c r="E1020" i="17"/>
  <c r="K1019" i="17"/>
  <c r="F1019" i="17"/>
  <c r="E1019" i="17"/>
  <c r="K1018" i="17"/>
  <c r="F1018" i="17"/>
  <c r="E1018" i="17"/>
  <c r="K1017" i="17"/>
  <c r="F1017" i="17"/>
  <c r="E1017" i="17"/>
  <c r="K1016" i="17"/>
  <c r="F1016" i="17"/>
  <c r="E1016" i="17"/>
  <c r="K1015" i="17"/>
  <c r="F1015" i="17"/>
  <c r="E1015" i="17"/>
  <c r="K1014" i="17"/>
  <c r="F1014" i="17"/>
  <c r="E1014" i="17"/>
  <c r="K1013" i="17"/>
  <c r="F1013" i="17"/>
  <c r="E1013" i="17"/>
  <c r="K1012" i="17"/>
  <c r="F1012" i="17"/>
  <c r="E1012" i="17"/>
  <c r="K1011" i="17"/>
  <c r="F1011" i="17"/>
  <c r="E1011" i="17"/>
  <c r="K1010" i="17"/>
  <c r="F1010" i="17"/>
  <c r="E1010" i="17"/>
  <c r="K1009" i="17"/>
  <c r="F1009" i="17"/>
  <c r="E1009" i="17"/>
  <c r="K1008" i="17"/>
  <c r="F1008" i="17"/>
  <c r="E1008" i="17"/>
  <c r="K1007" i="17"/>
  <c r="F1007" i="17"/>
  <c r="E1007" i="17"/>
  <c r="K1006" i="17"/>
  <c r="F1006" i="17"/>
  <c r="E1006" i="17"/>
  <c r="K1005" i="17"/>
  <c r="F1005" i="17"/>
  <c r="E1005" i="17"/>
  <c r="K1004" i="17"/>
  <c r="F1004" i="17"/>
  <c r="E1004" i="17"/>
  <c r="K1003" i="17"/>
  <c r="F1003" i="17"/>
  <c r="E1003" i="17"/>
  <c r="K1002" i="17"/>
  <c r="F1002" i="17"/>
  <c r="E1002" i="17"/>
  <c r="K1001" i="17"/>
  <c r="F1001" i="17"/>
  <c r="E1001" i="17"/>
  <c r="K1000" i="17"/>
  <c r="F1000" i="17"/>
  <c r="E1000" i="17"/>
  <c r="K999" i="17"/>
  <c r="F999" i="17"/>
  <c r="E999" i="17"/>
  <c r="K998" i="17"/>
  <c r="F998" i="17"/>
  <c r="E998" i="17"/>
  <c r="K997" i="17"/>
  <c r="F997" i="17"/>
  <c r="E997" i="17"/>
  <c r="K996" i="17"/>
  <c r="F996" i="17"/>
  <c r="E996" i="17"/>
  <c r="K995" i="17"/>
  <c r="F995" i="17"/>
  <c r="E995" i="17"/>
  <c r="K994" i="17"/>
  <c r="F994" i="17"/>
  <c r="E994" i="17"/>
  <c r="K993" i="17"/>
  <c r="F993" i="17"/>
  <c r="E993" i="17"/>
  <c r="K992" i="17"/>
  <c r="F992" i="17"/>
  <c r="E992" i="17"/>
  <c r="K991" i="17"/>
  <c r="F991" i="17"/>
  <c r="E991" i="17"/>
  <c r="K990" i="17"/>
  <c r="F990" i="17"/>
  <c r="E990" i="17"/>
  <c r="K989" i="17"/>
  <c r="F989" i="17"/>
  <c r="E989" i="17"/>
  <c r="K988" i="17"/>
  <c r="F988" i="17"/>
  <c r="E988" i="17"/>
  <c r="K987" i="17"/>
  <c r="F987" i="17"/>
  <c r="E987" i="17"/>
  <c r="K986" i="17"/>
  <c r="F986" i="17"/>
  <c r="E986" i="17"/>
  <c r="K985" i="17"/>
  <c r="F985" i="17"/>
  <c r="E985" i="17"/>
  <c r="K984" i="17"/>
  <c r="F984" i="17"/>
  <c r="E984" i="17"/>
  <c r="K983" i="17"/>
  <c r="F983" i="17"/>
  <c r="E983" i="17"/>
  <c r="K982" i="17"/>
  <c r="F982" i="17"/>
  <c r="E982" i="17"/>
  <c r="K981" i="17"/>
  <c r="G981" i="17"/>
  <c r="F981" i="17"/>
  <c r="E981" i="17"/>
  <c r="G980" i="17"/>
  <c r="K980" i="17" s="1"/>
  <c r="F980" i="17"/>
  <c r="E980" i="17"/>
  <c r="K979" i="17"/>
  <c r="F979" i="17"/>
  <c r="E979" i="17"/>
  <c r="K978" i="17"/>
  <c r="F978" i="17"/>
  <c r="E978" i="17"/>
  <c r="K977" i="17"/>
  <c r="F977" i="17"/>
  <c r="E977" i="17"/>
  <c r="G976" i="17"/>
  <c r="K976" i="17" s="1"/>
  <c r="F976" i="17"/>
  <c r="E976" i="17"/>
  <c r="K975" i="17"/>
  <c r="G975" i="17"/>
  <c r="F975" i="17"/>
  <c r="E975" i="17"/>
  <c r="K974" i="17"/>
  <c r="F974" i="17"/>
  <c r="E974" i="17"/>
  <c r="K973" i="17"/>
  <c r="F973" i="17"/>
  <c r="E973" i="17"/>
  <c r="K972" i="17"/>
  <c r="F972" i="17"/>
  <c r="E972" i="17"/>
  <c r="K971" i="17"/>
  <c r="F971" i="17"/>
  <c r="E971" i="17"/>
  <c r="K970" i="17"/>
  <c r="G970" i="17"/>
  <c r="F970" i="17"/>
  <c r="E970" i="17"/>
  <c r="G969" i="17"/>
  <c r="K969" i="17" s="1"/>
  <c r="F969" i="17"/>
  <c r="E969" i="17"/>
  <c r="K968" i="17"/>
  <c r="G968" i="17"/>
  <c r="F968" i="17"/>
  <c r="E968" i="17"/>
  <c r="G967" i="17"/>
  <c r="K967" i="17" s="1"/>
  <c r="F967" i="17"/>
  <c r="E967" i="17"/>
  <c r="K966" i="17"/>
  <c r="G966" i="17"/>
  <c r="F966" i="17"/>
  <c r="E966" i="17"/>
  <c r="G965" i="17"/>
  <c r="K965" i="17" s="1"/>
  <c r="F965" i="17"/>
  <c r="E965" i="17"/>
  <c r="K964" i="17"/>
  <c r="G964" i="17"/>
  <c r="F964" i="17"/>
  <c r="E964" i="17"/>
  <c r="K963" i="17"/>
  <c r="F963" i="17"/>
  <c r="E963" i="17"/>
  <c r="G962" i="17"/>
  <c r="K962" i="17" s="1"/>
  <c r="F962" i="17"/>
  <c r="E962" i="17"/>
  <c r="K961" i="17"/>
  <c r="G961" i="17"/>
  <c r="F961" i="17"/>
  <c r="E961" i="17"/>
  <c r="K960" i="17"/>
  <c r="F960" i="17"/>
  <c r="E960" i="17"/>
  <c r="K959" i="17"/>
  <c r="F959" i="17"/>
  <c r="E959" i="17"/>
  <c r="K958" i="17"/>
  <c r="F958" i="17"/>
  <c r="E958" i="17"/>
  <c r="K957" i="17"/>
  <c r="G957" i="17"/>
  <c r="F957" i="17"/>
  <c r="E957" i="17"/>
  <c r="G956" i="17"/>
  <c r="K956" i="17" s="1"/>
  <c r="F956" i="17"/>
  <c r="E956" i="17"/>
  <c r="K955" i="17"/>
  <c r="G955" i="17"/>
  <c r="F955" i="17"/>
  <c r="E955" i="17"/>
  <c r="G954" i="17"/>
  <c r="K954" i="17" s="1"/>
  <c r="F954" i="17"/>
  <c r="E954" i="17"/>
  <c r="K953" i="17"/>
  <c r="G953" i="17"/>
  <c r="F953" i="17"/>
  <c r="E953" i="17"/>
  <c r="G952" i="17"/>
  <c r="K952" i="17" s="1"/>
  <c r="F952" i="17"/>
  <c r="E952" i="17"/>
  <c r="K951" i="17"/>
  <c r="G951" i="17"/>
  <c r="F951" i="17"/>
  <c r="E951" i="17"/>
  <c r="K950" i="17"/>
  <c r="F950" i="17"/>
  <c r="E950" i="17"/>
  <c r="K949" i="17"/>
  <c r="F949" i="17"/>
  <c r="E949" i="17"/>
  <c r="K948" i="17"/>
  <c r="F948" i="17"/>
  <c r="E948" i="17"/>
  <c r="K947" i="17"/>
  <c r="F947" i="17"/>
  <c r="E947" i="17"/>
  <c r="K946" i="17"/>
  <c r="F946" i="17"/>
  <c r="E946" i="17"/>
  <c r="K945" i="17"/>
  <c r="F945" i="17"/>
  <c r="E945" i="17"/>
  <c r="K944" i="17"/>
  <c r="G944" i="17"/>
  <c r="F944" i="17"/>
  <c r="E944" i="17"/>
  <c r="K943" i="17"/>
  <c r="G943" i="17"/>
  <c r="F943" i="17"/>
  <c r="E943" i="17"/>
  <c r="K942" i="17"/>
  <c r="G942" i="17"/>
  <c r="F942" i="17"/>
  <c r="E942" i="17"/>
  <c r="K941" i="17"/>
  <c r="G941" i="17"/>
  <c r="F941" i="17"/>
  <c r="E941" i="17"/>
  <c r="K940" i="17"/>
  <c r="G940" i="17"/>
  <c r="F940" i="17"/>
  <c r="E940" i="17"/>
  <c r="K939" i="17"/>
  <c r="G939" i="17"/>
  <c r="F939" i="17"/>
  <c r="E939" i="17"/>
  <c r="K938" i="17"/>
  <c r="G938" i="17"/>
  <c r="F938" i="17"/>
  <c r="E938" i="17"/>
  <c r="K937" i="17"/>
  <c r="G937" i="17"/>
  <c r="F937" i="17"/>
  <c r="E937" i="17"/>
  <c r="K936" i="17"/>
  <c r="F936" i="17"/>
  <c r="E936" i="17"/>
  <c r="G935" i="17"/>
  <c r="K935" i="17" s="1"/>
  <c r="F935" i="17"/>
  <c r="E935" i="17"/>
  <c r="K934" i="17"/>
  <c r="F934" i="17"/>
  <c r="E934" i="17"/>
  <c r="K933" i="17"/>
  <c r="G933" i="17"/>
  <c r="F933" i="17"/>
  <c r="E933" i="17"/>
  <c r="G932" i="17"/>
  <c r="K932" i="17" s="1"/>
  <c r="F932" i="17"/>
  <c r="E932" i="17"/>
  <c r="K931" i="17"/>
  <c r="F931" i="17"/>
  <c r="E931" i="17"/>
  <c r="K930" i="17"/>
  <c r="G930" i="17"/>
  <c r="F930" i="17"/>
  <c r="E930" i="17"/>
  <c r="G929" i="17"/>
  <c r="K929" i="17" s="1"/>
  <c r="F929" i="17"/>
  <c r="E929" i="17"/>
  <c r="K928" i="17"/>
  <c r="G928" i="17"/>
  <c r="F928" i="17"/>
  <c r="E928" i="17"/>
  <c r="G927" i="17"/>
  <c r="K927" i="17" s="1"/>
  <c r="F927" i="17"/>
  <c r="E927" i="17"/>
  <c r="K926" i="17"/>
  <c r="G926" i="17"/>
  <c r="F926" i="17"/>
  <c r="E926" i="17"/>
  <c r="G925" i="17"/>
  <c r="K925" i="17" s="1"/>
  <c r="F925" i="17"/>
  <c r="E925" i="17"/>
  <c r="K924" i="17"/>
  <c r="G924" i="17"/>
  <c r="F924" i="17"/>
  <c r="E924" i="17"/>
  <c r="K923" i="17"/>
  <c r="F923" i="17"/>
  <c r="E923" i="17"/>
  <c r="K922" i="17"/>
  <c r="G922" i="17"/>
  <c r="F922" i="17"/>
  <c r="E922" i="17"/>
  <c r="K921" i="17"/>
  <c r="G921" i="17"/>
  <c r="F921" i="17"/>
  <c r="E921" i="17"/>
  <c r="K920" i="17"/>
  <c r="G920" i="17"/>
  <c r="F920" i="17"/>
  <c r="E920" i="17"/>
  <c r="K919" i="17"/>
  <c r="G919" i="17"/>
  <c r="F919" i="17"/>
  <c r="E919" i="17"/>
  <c r="K918" i="17"/>
  <c r="G918" i="17"/>
  <c r="F918" i="17"/>
  <c r="E918" i="17"/>
  <c r="K917" i="17"/>
  <c r="F917" i="17"/>
  <c r="E917" i="17"/>
  <c r="G916" i="17"/>
  <c r="K916" i="17" s="1"/>
  <c r="F916" i="17"/>
  <c r="E916" i="17"/>
  <c r="K915" i="17"/>
  <c r="G915" i="17"/>
  <c r="F915" i="17"/>
  <c r="E915" i="17"/>
  <c r="G914" i="17"/>
  <c r="K914" i="17" s="1"/>
  <c r="F914" i="17"/>
  <c r="E914" i="17"/>
  <c r="G913" i="17"/>
  <c r="K913" i="17" s="1"/>
  <c r="F913" i="17"/>
  <c r="E913" i="17"/>
  <c r="G912" i="17"/>
  <c r="K912" i="17" s="1"/>
  <c r="O171" i="16" s="1"/>
  <c r="F912" i="17"/>
  <c r="E912" i="17"/>
  <c r="K911" i="17"/>
  <c r="G911" i="17"/>
  <c r="F911" i="17"/>
  <c r="E911" i="17"/>
  <c r="K910" i="17"/>
  <c r="F910" i="17"/>
  <c r="E910" i="17"/>
  <c r="G909" i="17"/>
  <c r="K909" i="17" s="1"/>
  <c r="F909" i="17"/>
  <c r="E909" i="17"/>
  <c r="K908" i="17"/>
  <c r="G908" i="17"/>
  <c r="F908" i="17"/>
  <c r="E908" i="17"/>
  <c r="K907" i="17"/>
  <c r="F907" i="17"/>
  <c r="E907" i="17"/>
  <c r="K906" i="17"/>
  <c r="F906" i="17"/>
  <c r="E906" i="17"/>
  <c r="K905" i="17"/>
  <c r="F905" i="17"/>
  <c r="E905" i="17"/>
  <c r="K904" i="17"/>
  <c r="F904" i="17"/>
  <c r="E904" i="17"/>
  <c r="K903" i="17"/>
  <c r="F903" i="17"/>
  <c r="E903" i="17"/>
  <c r="K902" i="17"/>
  <c r="G902" i="17"/>
  <c r="F902" i="17"/>
  <c r="E902" i="17"/>
  <c r="G901" i="17"/>
  <c r="K901" i="17" s="1"/>
  <c r="F901" i="17"/>
  <c r="E901" i="17"/>
  <c r="K900" i="17"/>
  <c r="F900" i="17"/>
  <c r="E900" i="17"/>
  <c r="K899" i="17"/>
  <c r="F899" i="17"/>
  <c r="E899" i="17"/>
  <c r="G898" i="17"/>
  <c r="K898" i="17" s="1"/>
  <c r="F898" i="17"/>
  <c r="E898" i="17"/>
  <c r="K897" i="17"/>
  <c r="F897" i="17"/>
  <c r="E897" i="17"/>
  <c r="K896" i="17"/>
  <c r="F896" i="17"/>
  <c r="E896" i="17"/>
  <c r="K895" i="17"/>
  <c r="F895" i="17"/>
  <c r="E895" i="17"/>
  <c r="K894" i="17"/>
  <c r="F894" i="17"/>
  <c r="E894" i="17"/>
  <c r="G893" i="17"/>
  <c r="K893" i="17" s="1"/>
  <c r="F893" i="17"/>
  <c r="E893" i="17"/>
  <c r="K892" i="17"/>
  <c r="G892" i="17"/>
  <c r="F892" i="17"/>
  <c r="E892" i="17"/>
  <c r="G891" i="17"/>
  <c r="K891" i="17" s="1"/>
  <c r="F891" i="17"/>
  <c r="E891" i="17"/>
  <c r="G890" i="17"/>
  <c r="K890" i="17" s="1"/>
  <c r="F890" i="17"/>
  <c r="E890" i="17"/>
  <c r="G889" i="17"/>
  <c r="K889" i="17" s="1"/>
  <c r="F889" i="17"/>
  <c r="E889" i="17"/>
  <c r="K888" i="17"/>
  <c r="F888" i="17"/>
  <c r="E888" i="17"/>
  <c r="K887" i="17"/>
  <c r="F887" i="17"/>
  <c r="E887" i="17"/>
  <c r="G886" i="17"/>
  <c r="K886" i="17" s="1"/>
  <c r="F886" i="17"/>
  <c r="E886" i="17"/>
  <c r="G885" i="17"/>
  <c r="K885" i="17" s="1"/>
  <c r="F885" i="17"/>
  <c r="E885" i="17"/>
  <c r="K884" i="17"/>
  <c r="G884" i="17"/>
  <c r="F884" i="17"/>
  <c r="E884" i="17"/>
  <c r="G883" i="17"/>
  <c r="K883" i="17" s="1"/>
  <c r="F883" i="17"/>
  <c r="E883" i="17"/>
  <c r="G882" i="17"/>
  <c r="K882" i="17" s="1"/>
  <c r="F882" i="17"/>
  <c r="E882" i="17"/>
  <c r="G881" i="17"/>
  <c r="K881" i="17" s="1"/>
  <c r="F881" i="17"/>
  <c r="E881" i="17"/>
  <c r="K880" i="17"/>
  <c r="G880" i="17"/>
  <c r="F880" i="17"/>
  <c r="E880" i="17"/>
  <c r="G879" i="17"/>
  <c r="K879" i="17" s="1"/>
  <c r="F879" i="17"/>
  <c r="E879" i="17"/>
  <c r="G878" i="17"/>
  <c r="K878" i="17" s="1"/>
  <c r="F878" i="17"/>
  <c r="E878" i="17"/>
  <c r="G877" i="17"/>
  <c r="K877" i="17" s="1"/>
  <c r="F877" i="17"/>
  <c r="E877" i="17"/>
  <c r="K876" i="17"/>
  <c r="G876" i="17"/>
  <c r="F876" i="17"/>
  <c r="E876" i="17"/>
  <c r="G875" i="17"/>
  <c r="K875" i="17" s="1"/>
  <c r="F875" i="17"/>
  <c r="E875" i="17"/>
  <c r="K874" i="17"/>
  <c r="F874" i="17"/>
  <c r="E874" i="17"/>
  <c r="K873" i="17"/>
  <c r="F873" i="17"/>
  <c r="E873" i="17"/>
  <c r="G872" i="17"/>
  <c r="K872" i="17" s="1"/>
  <c r="F872" i="17"/>
  <c r="E872" i="17"/>
  <c r="K871" i="17"/>
  <c r="G871" i="17"/>
  <c r="F871" i="17"/>
  <c r="E871" i="17"/>
  <c r="G870" i="17"/>
  <c r="K870" i="17" s="1"/>
  <c r="F870" i="17"/>
  <c r="E870" i="17"/>
  <c r="G869" i="17"/>
  <c r="K869" i="17" s="1"/>
  <c r="F869" i="17"/>
  <c r="E869" i="17"/>
  <c r="G868" i="17"/>
  <c r="K868" i="17" s="1"/>
  <c r="F868" i="17"/>
  <c r="E868" i="17"/>
  <c r="K867" i="17"/>
  <c r="F867" i="17"/>
  <c r="E867" i="17"/>
  <c r="K866" i="17"/>
  <c r="F866" i="17"/>
  <c r="E866" i="17"/>
  <c r="K865" i="17"/>
  <c r="F865" i="17"/>
  <c r="E865" i="17"/>
  <c r="K864" i="17"/>
  <c r="F864" i="17"/>
  <c r="E864" i="17"/>
  <c r="K863" i="17"/>
  <c r="F863" i="17"/>
  <c r="E863" i="17"/>
  <c r="G862" i="17"/>
  <c r="K862" i="17" s="1"/>
  <c r="F862" i="17"/>
  <c r="E862" i="17"/>
  <c r="G861" i="17"/>
  <c r="K861" i="17" s="1"/>
  <c r="F861" i="17"/>
  <c r="E861" i="17"/>
  <c r="G860" i="17"/>
  <c r="K860" i="17" s="1"/>
  <c r="F860" i="17"/>
  <c r="E860" i="17"/>
  <c r="K859" i="17"/>
  <c r="G859" i="17"/>
  <c r="F859" i="17"/>
  <c r="E859" i="17"/>
  <c r="K858" i="17"/>
  <c r="F858" i="17"/>
  <c r="E858" i="17"/>
  <c r="K857" i="17"/>
  <c r="F857" i="17"/>
  <c r="E857" i="17"/>
  <c r="K856" i="17"/>
  <c r="F856" i="17"/>
  <c r="E856" i="17"/>
  <c r="G855" i="17"/>
  <c r="K855" i="17" s="1"/>
  <c r="F855" i="17"/>
  <c r="E855" i="17"/>
  <c r="G854" i="17"/>
  <c r="K854" i="17" s="1"/>
  <c r="F854" i="17"/>
  <c r="E854" i="17"/>
  <c r="K853" i="17"/>
  <c r="G853" i="17"/>
  <c r="F853" i="17"/>
  <c r="E853" i="17"/>
  <c r="G852" i="17"/>
  <c r="K852" i="17" s="1"/>
  <c r="F852" i="17"/>
  <c r="E852" i="17"/>
  <c r="G851" i="17"/>
  <c r="K851" i="17" s="1"/>
  <c r="F851" i="17"/>
  <c r="E851" i="17"/>
  <c r="G850" i="17"/>
  <c r="K850" i="17" s="1"/>
  <c r="F850" i="17"/>
  <c r="E850" i="17"/>
  <c r="K849" i="17"/>
  <c r="F849" i="17"/>
  <c r="E849" i="17"/>
  <c r="G848" i="17"/>
  <c r="K848" i="17" s="1"/>
  <c r="O267" i="16" s="1"/>
  <c r="F848" i="17"/>
  <c r="E848" i="17"/>
  <c r="K847" i="17"/>
  <c r="F847" i="17"/>
  <c r="E847" i="17"/>
  <c r="K846" i="17"/>
  <c r="F846" i="17"/>
  <c r="E846" i="17"/>
  <c r="K845" i="17"/>
  <c r="G845" i="17"/>
  <c r="F845" i="17"/>
  <c r="E845" i="17"/>
  <c r="K844" i="17"/>
  <c r="G844" i="17"/>
  <c r="F844" i="17"/>
  <c r="E844" i="17"/>
  <c r="K843" i="17"/>
  <c r="G843" i="17"/>
  <c r="F843" i="17"/>
  <c r="E843" i="17"/>
  <c r="K842" i="17"/>
  <c r="G842" i="17"/>
  <c r="F842" i="17"/>
  <c r="E842" i="17"/>
  <c r="K841" i="17"/>
  <c r="F841" i="17"/>
  <c r="E841" i="17"/>
  <c r="K840" i="17"/>
  <c r="F840" i="17"/>
  <c r="E840" i="17"/>
  <c r="K839" i="17"/>
  <c r="F839" i="17"/>
  <c r="E839" i="17"/>
  <c r="K838" i="17"/>
  <c r="F838" i="17"/>
  <c r="E838" i="17"/>
  <c r="K837" i="17"/>
  <c r="F837" i="17"/>
  <c r="E837" i="17"/>
  <c r="K836" i="17"/>
  <c r="F836" i="17"/>
  <c r="E836" i="17"/>
  <c r="G835" i="17"/>
  <c r="K835" i="17" s="1"/>
  <c r="F835" i="17"/>
  <c r="E835" i="17"/>
  <c r="K834" i="17"/>
  <c r="F834" i="17"/>
  <c r="E834" i="17"/>
  <c r="K833" i="17"/>
  <c r="F833" i="17"/>
  <c r="E833" i="17"/>
  <c r="K832" i="17"/>
  <c r="F832" i="17"/>
  <c r="E832" i="17"/>
  <c r="K831" i="17"/>
  <c r="F831" i="17"/>
  <c r="E831" i="17"/>
  <c r="K830" i="17"/>
  <c r="F830" i="17"/>
  <c r="E830" i="17"/>
  <c r="K829" i="17"/>
  <c r="F829" i="17"/>
  <c r="E829" i="17"/>
  <c r="K828" i="17"/>
  <c r="G828" i="17"/>
  <c r="F828" i="17"/>
  <c r="E828" i="17"/>
  <c r="K827" i="17"/>
  <c r="G827" i="17"/>
  <c r="F827" i="17"/>
  <c r="E827" i="17"/>
  <c r="K826" i="17"/>
  <c r="G826" i="17"/>
  <c r="F826" i="17"/>
  <c r="E826" i="17"/>
  <c r="K825" i="17"/>
  <c r="F825" i="17"/>
  <c r="E825" i="17"/>
  <c r="K824" i="17"/>
  <c r="F824" i="17"/>
  <c r="E824" i="17"/>
  <c r="G823" i="17"/>
  <c r="K823" i="17" s="1"/>
  <c r="F823" i="17"/>
  <c r="E823" i="17"/>
  <c r="K822" i="17"/>
  <c r="G822" i="17"/>
  <c r="F822" i="17"/>
  <c r="E822" i="17"/>
  <c r="G821" i="17"/>
  <c r="K821" i="17" s="1"/>
  <c r="F821" i="17"/>
  <c r="E821" i="17"/>
  <c r="G820" i="17"/>
  <c r="K820" i="17" s="1"/>
  <c r="F820" i="17"/>
  <c r="E820" i="17"/>
  <c r="G819" i="17"/>
  <c r="K819" i="17" s="1"/>
  <c r="F819" i="17"/>
  <c r="E819" i="17"/>
  <c r="K818" i="17"/>
  <c r="G818" i="17"/>
  <c r="F818" i="17"/>
  <c r="E818" i="17"/>
  <c r="G817" i="17"/>
  <c r="K817" i="17" s="1"/>
  <c r="K161" i="16" s="1"/>
  <c r="F817" i="17"/>
  <c r="E817" i="17"/>
  <c r="G816" i="17"/>
  <c r="K816" i="17" s="1"/>
  <c r="F816" i="17"/>
  <c r="E816" i="17"/>
  <c r="G815" i="17"/>
  <c r="K815" i="17" s="1"/>
  <c r="F815" i="17"/>
  <c r="E815" i="17"/>
  <c r="K814" i="17"/>
  <c r="G814" i="17"/>
  <c r="F814" i="17"/>
  <c r="E814" i="17"/>
  <c r="G813" i="17"/>
  <c r="K813" i="17" s="1"/>
  <c r="F813" i="17"/>
  <c r="E813" i="17"/>
  <c r="K812" i="17"/>
  <c r="F812" i="17"/>
  <c r="E812" i="17"/>
  <c r="K811" i="17"/>
  <c r="F811" i="17"/>
  <c r="E811" i="17"/>
  <c r="K810" i="17"/>
  <c r="F810" i="17"/>
  <c r="E810" i="17"/>
  <c r="K809" i="17"/>
  <c r="F809" i="17"/>
  <c r="E809" i="17"/>
  <c r="K808" i="17"/>
  <c r="F808" i="17"/>
  <c r="E808" i="17"/>
  <c r="K807" i="17"/>
  <c r="F807" i="17"/>
  <c r="E807" i="17"/>
  <c r="K806" i="17"/>
  <c r="F806" i="17"/>
  <c r="E806" i="17"/>
  <c r="K805" i="17"/>
  <c r="F805" i="17"/>
  <c r="E805" i="17"/>
  <c r="K804" i="17"/>
  <c r="F804" i="17"/>
  <c r="E804" i="17"/>
  <c r="K803" i="17"/>
  <c r="F803" i="17"/>
  <c r="E803" i="17"/>
  <c r="K802" i="17"/>
  <c r="F802" i="17"/>
  <c r="E802" i="17"/>
  <c r="K801" i="17"/>
  <c r="F801" i="17"/>
  <c r="E801" i="17"/>
  <c r="K800" i="17"/>
  <c r="F800" i="17"/>
  <c r="E800" i="17"/>
  <c r="K799" i="17"/>
  <c r="F799" i="17"/>
  <c r="E799" i="17"/>
  <c r="K798" i="17"/>
  <c r="F798" i="17"/>
  <c r="E798" i="17"/>
  <c r="K797" i="17"/>
  <c r="G797" i="17"/>
  <c r="F797" i="17"/>
  <c r="E797" i="17"/>
  <c r="G796" i="17"/>
  <c r="K796" i="17" s="1"/>
  <c r="F796" i="17"/>
  <c r="E796" i="17"/>
  <c r="G795" i="17"/>
  <c r="K795" i="17" s="1"/>
  <c r="F795" i="17"/>
  <c r="E795" i="17"/>
  <c r="K794" i="17"/>
  <c r="F794" i="17"/>
  <c r="E794" i="17"/>
  <c r="K793" i="17"/>
  <c r="F793" i="17"/>
  <c r="E793" i="17"/>
  <c r="K792" i="17"/>
  <c r="F792" i="17"/>
  <c r="E792" i="17"/>
  <c r="K791" i="17"/>
  <c r="F791" i="17"/>
  <c r="E791" i="17"/>
  <c r="K790" i="17"/>
  <c r="F790" i="17"/>
  <c r="E790" i="17"/>
  <c r="K789" i="17"/>
  <c r="G789" i="17"/>
  <c r="F789" i="17"/>
  <c r="E789" i="17"/>
  <c r="G788" i="17"/>
  <c r="K788" i="17" s="1"/>
  <c r="F788" i="17"/>
  <c r="E788" i="17"/>
  <c r="G787" i="17"/>
  <c r="K787" i="17" s="1"/>
  <c r="F787" i="17"/>
  <c r="E787" i="17"/>
  <c r="K786" i="17"/>
  <c r="F786" i="17"/>
  <c r="E786" i="17"/>
  <c r="K785" i="17"/>
  <c r="F785" i="17"/>
  <c r="E785" i="17"/>
  <c r="K784" i="17"/>
  <c r="G784" i="17"/>
  <c r="F784" i="17"/>
  <c r="E784" i="17"/>
  <c r="K783" i="17"/>
  <c r="G783" i="17"/>
  <c r="F783" i="17"/>
  <c r="E783" i="17"/>
  <c r="K782" i="17"/>
  <c r="F782" i="17"/>
  <c r="E782" i="17"/>
  <c r="K781" i="17"/>
  <c r="F781" i="17"/>
  <c r="E781" i="17"/>
  <c r="K780" i="17"/>
  <c r="F780" i="17"/>
  <c r="E780" i="17"/>
  <c r="K779" i="17"/>
  <c r="F779" i="17"/>
  <c r="E779" i="17"/>
  <c r="K778" i="17"/>
  <c r="G778" i="17"/>
  <c r="F778" i="17"/>
  <c r="E778" i="17"/>
  <c r="K777" i="17"/>
  <c r="G777" i="17"/>
  <c r="F777" i="17"/>
  <c r="E777" i="17"/>
  <c r="K776" i="17"/>
  <c r="G776" i="17"/>
  <c r="F776" i="17"/>
  <c r="E776" i="17"/>
  <c r="K775" i="17"/>
  <c r="G775" i="17"/>
  <c r="F775" i="17"/>
  <c r="E775" i="17"/>
  <c r="K774" i="17"/>
  <c r="G774" i="17"/>
  <c r="F774" i="17"/>
  <c r="E774" i="17"/>
  <c r="K773" i="17"/>
  <c r="F773" i="17"/>
  <c r="E773" i="17"/>
  <c r="K772" i="17"/>
  <c r="F772" i="17"/>
  <c r="E772" i="17"/>
  <c r="K771" i="17"/>
  <c r="G771" i="17"/>
  <c r="F771" i="17"/>
  <c r="E771" i="17"/>
  <c r="G770" i="17"/>
  <c r="K770" i="17" s="1"/>
  <c r="F770" i="17"/>
  <c r="E770" i="17"/>
  <c r="K769" i="17"/>
  <c r="F769" i="17"/>
  <c r="E769" i="17"/>
  <c r="K768" i="17"/>
  <c r="F768" i="17"/>
  <c r="E768" i="17"/>
  <c r="K767" i="17"/>
  <c r="F767" i="17"/>
  <c r="E767" i="17"/>
  <c r="K766" i="17"/>
  <c r="F766" i="17"/>
  <c r="E766" i="17"/>
  <c r="K765" i="17"/>
  <c r="F765" i="17"/>
  <c r="E765" i="17"/>
  <c r="G764" i="17"/>
  <c r="K764" i="17" s="1"/>
  <c r="F764" i="17"/>
  <c r="E764" i="17"/>
  <c r="G763" i="17"/>
  <c r="K763" i="17" s="1"/>
  <c r="F763" i="17"/>
  <c r="E763" i="17"/>
  <c r="G762" i="17"/>
  <c r="K762" i="17" s="1"/>
  <c r="K159" i="16" s="1"/>
  <c r="F762" i="17"/>
  <c r="E762" i="17"/>
  <c r="K761" i="17"/>
  <c r="G761" i="17"/>
  <c r="F761" i="17"/>
  <c r="E761" i="17"/>
  <c r="G760" i="17"/>
  <c r="K760" i="17" s="1"/>
  <c r="F760" i="17"/>
  <c r="E760" i="17"/>
  <c r="G759" i="17"/>
  <c r="K759" i="17" s="1"/>
  <c r="F759" i="17"/>
  <c r="E759" i="17"/>
  <c r="G758" i="17"/>
  <c r="K758" i="17" s="1"/>
  <c r="F758" i="17"/>
  <c r="E758" i="17"/>
  <c r="K757" i="17"/>
  <c r="G757" i="17"/>
  <c r="F757" i="17"/>
  <c r="E757" i="17"/>
  <c r="G756" i="17"/>
  <c r="K756" i="17" s="1"/>
  <c r="K234" i="16" s="1"/>
  <c r="F756" i="17"/>
  <c r="E756" i="17"/>
  <c r="G755" i="17"/>
  <c r="K755" i="17" s="1"/>
  <c r="F755" i="17"/>
  <c r="E755" i="17"/>
  <c r="K754" i="17"/>
  <c r="F754" i="17"/>
  <c r="E754" i="17"/>
  <c r="K753" i="17"/>
  <c r="G753" i="17"/>
  <c r="F753" i="17"/>
  <c r="E753" i="17"/>
  <c r="K752" i="17"/>
  <c r="G752" i="17"/>
  <c r="F752" i="17"/>
  <c r="E752" i="17"/>
  <c r="K751" i="17"/>
  <c r="G751" i="17"/>
  <c r="F751" i="17"/>
  <c r="E751" i="17"/>
  <c r="K750" i="17"/>
  <c r="G750" i="17"/>
  <c r="F750" i="17"/>
  <c r="E750" i="17"/>
  <c r="K749" i="17"/>
  <c r="G749" i="17"/>
  <c r="F749" i="17"/>
  <c r="E749" i="17"/>
  <c r="K748" i="17"/>
  <c r="G748" i="17"/>
  <c r="F748" i="17"/>
  <c r="E748" i="17"/>
  <c r="K747" i="17"/>
  <c r="G747" i="17"/>
  <c r="F747" i="17"/>
  <c r="E747" i="17"/>
  <c r="K746" i="17"/>
  <c r="G746" i="17"/>
  <c r="F746" i="17"/>
  <c r="E746" i="17"/>
  <c r="K745" i="17"/>
  <c r="F745" i="17"/>
  <c r="E745" i="17"/>
  <c r="K744" i="17"/>
  <c r="F744" i="17"/>
  <c r="E744" i="17"/>
  <c r="K743" i="17"/>
  <c r="F743" i="17"/>
  <c r="E743" i="17"/>
  <c r="K742" i="17"/>
  <c r="F742" i="17"/>
  <c r="E742" i="17"/>
  <c r="K741" i="17"/>
  <c r="G741" i="17"/>
  <c r="F741" i="17"/>
  <c r="E741" i="17"/>
  <c r="K740" i="17"/>
  <c r="G740" i="17"/>
  <c r="F740" i="17"/>
  <c r="E740" i="17"/>
  <c r="K739" i="17"/>
  <c r="G739" i="17"/>
  <c r="F739" i="17"/>
  <c r="E739" i="17"/>
  <c r="K738" i="17"/>
  <c r="G738" i="17"/>
  <c r="F738" i="17"/>
  <c r="E738" i="17"/>
  <c r="K737" i="17"/>
  <c r="G737" i="17"/>
  <c r="F737" i="17"/>
  <c r="E737" i="17"/>
  <c r="K736" i="17"/>
  <c r="G736" i="17"/>
  <c r="F736" i="17"/>
  <c r="E736" i="17"/>
  <c r="K735" i="17"/>
  <c r="G735" i="17"/>
  <c r="F735" i="17"/>
  <c r="E735" i="17"/>
  <c r="K734" i="17"/>
  <c r="G734" i="17"/>
  <c r="F734" i="17"/>
  <c r="E734" i="17"/>
  <c r="K733" i="17"/>
  <c r="G733" i="17"/>
  <c r="F733" i="17"/>
  <c r="E733" i="17"/>
  <c r="K732" i="17"/>
  <c r="G732" i="17"/>
  <c r="F732" i="17"/>
  <c r="E732" i="17"/>
  <c r="K731" i="17"/>
  <c r="F731" i="17"/>
  <c r="E731" i="17"/>
  <c r="K730" i="17"/>
  <c r="F730" i="17"/>
  <c r="E730" i="17"/>
  <c r="K729" i="17"/>
  <c r="F729" i="17"/>
  <c r="E729" i="17"/>
  <c r="K728" i="17"/>
  <c r="F728" i="17"/>
  <c r="E728" i="17"/>
  <c r="K727" i="17"/>
  <c r="G727" i="17"/>
  <c r="F727" i="17"/>
  <c r="E727" i="17"/>
  <c r="K726" i="17"/>
  <c r="F726" i="17"/>
  <c r="E726" i="17"/>
  <c r="K725" i="17"/>
  <c r="F725" i="17"/>
  <c r="E725" i="17"/>
  <c r="K724" i="17"/>
  <c r="F724" i="17"/>
  <c r="E724" i="17"/>
  <c r="K723" i="17"/>
  <c r="F723" i="17"/>
  <c r="E723" i="17"/>
  <c r="K722" i="17"/>
  <c r="F722" i="17"/>
  <c r="E722" i="17"/>
  <c r="K721" i="17"/>
  <c r="F721" i="17"/>
  <c r="E721" i="17"/>
  <c r="K720" i="17"/>
  <c r="F720" i="17"/>
  <c r="E720" i="17"/>
  <c r="G719" i="17"/>
  <c r="K719" i="17" s="1"/>
  <c r="F719" i="17"/>
  <c r="E719" i="17"/>
  <c r="G718" i="17"/>
  <c r="K718" i="17" s="1"/>
  <c r="F718" i="17"/>
  <c r="E718" i="17"/>
  <c r="K717" i="17"/>
  <c r="G717" i="17"/>
  <c r="F717" i="17"/>
  <c r="E717" i="17"/>
  <c r="G716" i="17"/>
  <c r="K716" i="17" s="1"/>
  <c r="K223" i="16" s="1"/>
  <c r="F716" i="17"/>
  <c r="E716" i="17"/>
  <c r="G715" i="17"/>
  <c r="K715" i="17" s="1"/>
  <c r="K232" i="16" s="1"/>
  <c r="F715" i="17"/>
  <c r="E715" i="17"/>
  <c r="G714" i="17"/>
  <c r="K714" i="17" s="1"/>
  <c r="F714" i="17"/>
  <c r="E714" i="17"/>
  <c r="K713" i="17"/>
  <c r="G713" i="17"/>
  <c r="F713" i="17"/>
  <c r="E713" i="17"/>
  <c r="G712" i="17"/>
  <c r="K712" i="17" s="1"/>
  <c r="F712" i="17"/>
  <c r="E712" i="17"/>
  <c r="G711" i="17"/>
  <c r="K711" i="17" s="1"/>
  <c r="F711" i="17"/>
  <c r="E711" i="17"/>
  <c r="G710" i="17"/>
  <c r="K710" i="17" s="1"/>
  <c r="F710" i="17"/>
  <c r="E710" i="17"/>
  <c r="K709" i="17"/>
  <c r="F709" i="17"/>
  <c r="E709" i="17"/>
  <c r="K708" i="17"/>
  <c r="F708" i="17"/>
  <c r="E708" i="17"/>
  <c r="K707" i="17"/>
  <c r="F707" i="17"/>
  <c r="E707" i="17"/>
  <c r="K706" i="17"/>
  <c r="F706" i="17"/>
  <c r="E706" i="17"/>
  <c r="K705" i="17"/>
  <c r="F705" i="17"/>
  <c r="E705" i="17"/>
  <c r="K704" i="17"/>
  <c r="F704" i="17"/>
  <c r="E704" i="17"/>
  <c r="K703" i="17"/>
  <c r="F703" i="17"/>
  <c r="E703" i="17"/>
  <c r="K702" i="17"/>
  <c r="F702" i="17"/>
  <c r="E702" i="17"/>
  <c r="K701" i="17"/>
  <c r="F701" i="17"/>
  <c r="E701" i="17"/>
  <c r="K700" i="17"/>
  <c r="F700" i="17"/>
  <c r="E700" i="17"/>
  <c r="K699" i="17"/>
  <c r="F699" i="17"/>
  <c r="E699" i="17"/>
  <c r="K698" i="17"/>
  <c r="F698" i="17"/>
  <c r="E698" i="17"/>
  <c r="G697" i="17"/>
  <c r="K697" i="17" s="1"/>
  <c r="F697" i="17"/>
  <c r="E697" i="17"/>
  <c r="K696" i="17"/>
  <c r="F696" i="17"/>
  <c r="E696" i="17"/>
  <c r="K695" i="17"/>
  <c r="F695" i="17"/>
  <c r="E695" i="17"/>
  <c r="K694" i="17"/>
  <c r="F694" i="17"/>
  <c r="E694" i="17"/>
  <c r="K693" i="17"/>
  <c r="F693" i="17"/>
  <c r="E693" i="17"/>
  <c r="K692" i="17"/>
  <c r="F692" i="17"/>
  <c r="E692" i="17"/>
  <c r="K691" i="17"/>
  <c r="F691" i="17"/>
  <c r="E691" i="17"/>
  <c r="K690" i="17"/>
  <c r="F690" i="17"/>
  <c r="E690" i="17"/>
  <c r="K689" i="17"/>
  <c r="F689" i="17"/>
  <c r="E689" i="17"/>
  <c r="K688" i="17"/>
  <c r="F688" i="17"/>
  <c r="E688" i="17"/>
  <c r="K687" i="17"/>
  <c r="F687" i="17"/>
  <c r="E687" i="17"/>
  <c r="K686" i="17"/>
  <c r="F686" i="17"/>
  <c r="E686" i="17"/>
  <c r="K685" i="17"/>
  <c r="F685" i="17"/>
  <c r="E685" i="17"/>
  <c r="K684" i="17"/>
  <c r="F684" i="17"/>
  <c r="E684" i="17"/>
  <c r="K683" i="17"/>
  <c r="F683" i="17"/>
  <c r="E683" i="17"/>
  <c r="K682" i="17"/>
  <c r="F682" i="17"/>
  <c r="E682" i="17"/>
  <c r="K681" i="17"/>
  <c r="F681" i="17"/>
  <c r="E681" i="17"/>
  <c r="K680" i="17"/>
  <c r="F680" i="17"/>
  <c r="E680" i="17"/>
  <c r="K679" i="17"/>
  <c r="F679" i="17"/>
  <c r="E679" i="17"/>
  <c r="K678" i="17"/>
  <c r="F678" i="17"/>
  <c r="E678" i="17"/>
  <c r="K677" i="17"/>
  <c r="F677" i="17"/>
  <c r="E677" i="17"/>
  <c r="K676" i="17"/>
  <c r="F676" i="17"/>
  <c r="E676" i="17"/>
  <c r="K675" i="17"/>
  <c r="G675" i="17"/>
  <c r="F675" i="17"/>
  <c r="E675" i="17"/>
  <c r="K674" i="17"/>
  <c r="G674" i="17"/>
  <c r="F674" i="17"/>
  <c r="E674" i="17"/>
  <c r="K673" i="17"/>
  <c r="F673" i="17"/>
  <c r="E673" i="17"/>
  <c r="K672" i="17"/>
  <c r="F672" i="17"/>
  <c r="E672" i="17"/>
  <c r="K671" i="17"/>
  <c r="F671" i="17"/>
  <c r="E671" i="17"/>
  <c r="G670" i="17"/>
  <c r="K670" i="17" s="1"/>
  <c r="F670" i="17"/>
  <c r="E670" i="17"/>
  <c r="G669" i="17"/>
  <c r="K669" i="17" s="1"/>
  <c r="F669" i="17"/>
  <c r="E669" i="17"/>
  <c r="K668" i="17"/>
  <c r="G668" i="17"/>
  <c r="F668" i="17"/>
  <c r="E668" i="17"/>
  <c r="K667" i="17"/>
  <c r="F667" i="17"/>
  <c r="E667" i="17"/>
  <c r="K666" i="17"/>
  <c r="G666" i="17"/>
  <c r="F666" i="17"/>
  <c r="E666" i="17"/>
  <c r="K665" i="17"/>
  <c r="G665" i="17"/>
  <c r="F665" i="17"/>
  <c r="E665" i="17"/>
  <c r="K664" i="17"/>
  <c r="F664" i="17"/>
  <c r="E664" i="17"/>
  <c r="K663" i="17"/>
  <c r="F663" i="17"/>
  <c r="E663" i="17"/>
  <c r="K662" i="17"/>
  <c r="F662" i="17"/>
  <c r="E662" i="17"/>
  <c r="G661" i="17"/>
  <c r="K661" i="17" s="1"/>
  <c r="F661" i="17"/>
  <c r="E661" i="17"/>
  <c r="G660" i="17"/>
  <c r="K660" i="17" s="1"/>
  <c r="F660" i="17"/>
  <c r="E660" i="17"/>
  <c r="K659" i="17"/>
  <c r="G659" i="17"/>
  <c r="F659" i="17"/>
  <c r="E659" i="17"/>
  <c r="K658" i="17"/>
  <c r="F658" i="17"/>
  <c r="E658" i="17"/>
  <c r="K657" i="17"/>
  <c r="F657" i="17"/>
  <c r="E657" i="17"/>
  <c r="K656" i="17"/>
  <c r="F656" i="17"/>
  <c r="E656" i="17"/>
  <c r="K655" i="17"/>
  <c r="F655" i="17"/>
  <c r="E655" i="17"/>
  <c r="K654" i="17"/>
  <c r="F654" i="17"/>
  <c r="E654" i="17"/>
  <c r="K653" i="17"/>
  <c r="F653" i="17"/>
  <c r="E653" i="17"/>
  <c r="K652" i="17"/>
  <c r="F652" i="17"/>
  <c r="E652" i="17"/>
  <c r="K651" i="17"/>
  <c r="F651" i="17"/>
  <c r="E651" i="17"/>
  <c r="K650" i="17"/>
  <c r="F650" i="17"/>
  <c r="E650" i="17"/>
  <c r="K649" i="17"/>
  <c r="F649" i="17"/>
  <c r="E649" i="17"/>
  <c r="K648" i="17"/>
  <c r="F648" i="17"/>
  <c r="E648" i="17"/>
  <c r="K647" i="17"/>
  <c r="F647" i="17"/>
  <c r="E647" i="17"/>
  <c r="K646" i="17"/>
  <c r="F646" i="17"/>
  <c r="E646" i="17"/>
  <c r="K645" i="17"/>
  <c r="F645" i="17"/>
  <c r="E645" i="17"/>
  <c r="K644" i="17"/>
  <c r="F644" i="17"/>
  <c r="E644" i="17"/>
  <c r="K643" i="17"/>
  <c r="F643" i="17"/>
  <c r="E643" i="17"/>
  <c r="K642" i="17"/>
  <c r="F642" i="17"/>
  <c r="E642" i="17"/>
  <c r="K641" i="17"/>
  <c r="F641" i="17"/>
  <c r="E641" i="17"/>
  <c r="K640" i="17"/>
  <c r="F640" i="17"/>
  <c r="E640" i="17"/>
  <c r="K639" i="17"/>
  <c r="F639" i="17"/>
  <c r="E639" i="17"/>
  <c r="K638" i="17"/>
  <c r="F638" i="17"/>
  <c r="E638" i="17"/>
  <c r="K637" i="17"/>
  <c r="F637" i="17"/>
  <c r="E637" i="17"/>
  <c r="K636" i="17"/>
  <c r="F636" i="17"/>
  <c r="E636" i="17"/>
  <c r="K635" i="17"/>
  <c r="F635" i="17"/>
  <c r="E635" i="17"/>
  <c r="K634" i="17"/>
  <c r="F634" i="17"/>
  <c r="E634" i="17"/>
  <c r="K633" i="17"/>
  <c r="F633" i="17"/>
  <c r="E633" i="17"/>
  <c r="K632" i="17"/>
  <c r="F632" i="17"/>
  <c r="E632" i="17"/>
  <c r="K631" i="17"/>
  <c r="F631" i="17"/>
  <c r="E631" i="17"/>
  <c r="G630" i="17"/>
  <c r="K630" i="17" s="1"/>
  <c r="F630" i="17"/>
  <c r="E630" i="17"/>
  <c r="K629" i="17"/>
  <c r="F629" i="17"/>
  <c r="E629" i="17"/>
  <c r="K628" i="17"/>
  <c r="F628" i="17"/>
  <c r="E628" i="17"/>
  <c r="K627" i="17"/>
  <c r="F627" i="17"/>
  <c r="E627" i="17"/>
  <c r="K626" i="17"/>
  <c r="F626" i="17"/>
  <c r="E626" i="17"/>
  <c r="G625" i="17"/>
  <c r="K625" i="17" s="1"/>
  <c r="F625" i="17"/>
  <c r="E625" i="17"/>
  <c r="G624" i="17"/>
  <c r="K624" i="17" s="1"/>
  <c r="F624" i="17"/>
  <c r="E624" i="17"/>
  <c r="K623" i="17"/>
  <c r="G623" i="17"/>
  <c r="F623" i="17"/>
  <c r="E623" i="17"/>
  <c r="G622" i="17"/>
  <c r="K622" i="17" s="1"/>
  <c r="K228" i="16" s="1"/>
  <c r="F622" i="17"/>
  <c r="E622" i="17"/>
  <c r="G621" i="17"/>
  <c r="K621" i="17" s="1"/>
  <c r="F621" i="17"/>
  <c r="E621" i="17"/>
  <c r="K620" i="17"/>
  <c r="F620" i="17"/>
  <c r="E620" i="17"/>
  <c r="K619" i="17"/>
  <c r="F619" i="17"/>
  <c r="E619" i="17"/>
  <c r="K618" i="17"/>
  <c r="F618" i="17"/>
  <c r="E618" i="17"/>
  <c r="K617" i="17"/>
  <c r="F617" i="17"/>
  <c r="E617" i="17"/>
  <c r="K616" i="17"/>
  <c r="F616" i="17"/>
  <c r="E616" i="17"/>
  <c r="K615" i="17"/>
  <c r="F615" i="17"/>
  <c r="E615" i="17"/>
  <c r="K614" i="17"/>
  <c r="F614" i="17"/>
  <c r="E614" i="17"/>
  <c r="K613" i="17"/>
  <c r="F613" i="17"/>
  <c r="E613" i="17"/>
  <c r="G612" i="17"/>
  <c r="K612" i="17" s="1"/>
  <c r="F612" i="17"/>
  <c r="E612" i="17"/>
  <c r="K611" i="17"/>
  <c r="F611" i="17"/>
  <c r="E611" i="17"/>
  <c r="K610" i="17"/>
  <c r="F610" i="17"/>
  <c r="E610" i="17"/>
  <c r="K609" i="17"/>
  <c r="F609" i="17"/>
  <c r="E609" i="17"/>
  <c r="K608" i="17"/>
  <c r="F608" i="17"/>
  <c r="E608" i="17"/>
  <c r="K607" i="17"/>
  <c r="F607" i="17"/>
  <c r="E607" i="17"/>
  <c r="K606" i="17"/>
  <c r="F606" i="17"/>
  <c r="E606" i="17"/>
  <c r="K605" i="17"/>
  <c r="F605" i="17"/>
  <c r="E605" i="17"/>
  <c r="K604" i="17"/>
  <c r="F604" i="17"/>
  <c r="E604" i="17"/>
  <c r="K603" i="17"/>
  <c r="F603" i="17"/>
  <c r="E603" i="17"/>
  <c r="K602" i="17"/>
  <c r="J602" i="17"/>
  <c r="F602" i="17"/>
  <c r="E602" i="17"/>
  <c r="K601" i="17"/>
  <c r="J601" i="17"/>
  <c r="F601" i="17"/>
  <c r="E601" i="17"/>
  <c r="G600" i="17"/>
  <c r="K600" i="17" s="1"/>
  <c r="F600" i="17"/>
  <c r="E600" i="17"/>
  <c r="K599" i="17"/>
  <c r="J599" i="17"/>
  <c r="F599" i="17"/>
  <c r="E599" i="17"/>
  <c r="K598" i="17"/>
  <c r="J598" i="17"/>
  <c r="F598" i="17"/>
  <c r="E598" i="17"/>
  <c r="K597" i="17"/>
  <c r="J597" i="17"/>
  <c r="F597" i="17"/>
  <c r="E597" i="17"/>
  <c r="K596" i="17"/>
  <c r="J596" i="17"/>
  <c r="F596" i="17"/>
  <c r="E596" i="17"/>
  <c r="K595" i="17"/>
  <c r="J595" i="17"/>
  <c r="F595" i="17"/>
  <c r="E595" i="17"/>
  <c r="K594" i="17"/>
  <c r="J594" i="17"/>
  <c r="F594" i="17"/>
  <c r="E594" i="17"/>
  <c r="K593" i="17"/>
  <c r="J593" i="17"/>
  <c r="F593" i="17"/>
  <c r="E593" i="17"/>
  <c r="K592" i="17"/>
  <c r="J592" i="17"/>
  <c r="F592" i="17"/>
  <c r="E592" i="17"/>
  <c r="K591" i="17"/>
  <c r="J591" i="17"/>
  <c r="F591" i="17"/>
  <c r="E591" i="17"/>
  <c r="K590" i="17"/>
  <c r="J590" i="17"/>
  <c r="F590" i="17"/>
  <c r="E590" i="17"/>
  <c r="K589" i="17"/>
  <c r="J589" i="17"/>
  <c r="F589" i="17"/>
  <c r="E589" i="17"/>
  <c r="K588" i="17"/>
  <c r="J588" i="17"/>
  <c r="F588" i="17"/>
  <c r="E588" i="17"/>
  <c r="K587" i="17"/>
  <c r="J587" i="17"/>
  <c r="F587" i="17"/>
  <c r="E587" i="17"/>
  <c r="K586" i="17"/>
  <c r="J586" i="17"/>
  <c r="F586" i="17"/>
  <c r="E586" i="17"/>
  <c r="K585" i="17"/>
  <c r="J585" i="17"/>
  <c r="F585" i="17"/>
  <c r="E585" i="17"/>
  <c r="K584" i="17"/>
  <c r="J584" i="17"/>
  <c r="F584" i="17"/>
  <c r="E584" i="17"/>
  <c r="K583" i="17"/>
  <c r="J583" i="17"/>
  <c r="F583" i="17"/>
  <c r="E583" i="17"/>
  <c r="K582" i="17"/>
  <c r="J582" i="17"/>
  <c r="F582" i="17"/>
  <c r="E582" i="17"/>
  <c r="G581" i="17"/>
  <c r="K581" i="17" s="1"/>
  <c r="F581" i="17"/>
  <c r="E581" i="17"/>
  <c r="K580" i="17"/>
  <c r="J580" i="17"/>
  <c r="F580" i="17"/>
  <c r="E580" i="17"/>
  <c r="K579" i="17"/>
  <c r="J579" i="17"/>
  <c r="F579" i="17"/>
  <c r="E579" i="17"/>
  <c r="K578" i="17"/>
  <c r="J578" i="17"/>
  <c r="F578" i="17"/>
  <c r="E578" i="17"/>
  <c r="K577" i="17"/>
  <c r="J577" i="17"/>
  <c r="F577" i="17"/>
  <c r="E577" i="17"/>
  <c r="K576" i="17"/>
  <c r="J576" i="17"/>
  <c r="F576" i="17"/>
  <c r="E576" i="17"/>
  <c r="K575" i="17"/>
  <c r="J575" i="17"/>
  <c r="G575" i="17"/>
  <c r="F575" i="17"/>
  <c r="E575" i="17"/>
  <c r="K574" i="17"/>
  <c r="J574" i="17"/>
  <c r="G574" i="17"/>
  <c r="F574" i="17"/>
  <c r="E574" i="17"/>
  <c r="K573" i="17"/>
  <c r="J573" i="17"/>
  <c r="F573" i="17"/>
  <c r="E573" i="17"/>
  <c r="K572" i="17"/>
  <c r="J572" i="17"/>
  <c r="F572" i="17"/>
  <c r="E572" i="17"/>
  <c r="G571" i="17"/>
  <c r="K571" i="17" s="1"/>
  <c r="F571" i="17"/>
  <c r="E571" i="17"/>
  <c r="K570" i="17"/>
  <c r="J570" i="17"/>
  <c r="F570" i="17"/>
  <c r="E570" i="17"/>
  <c r="K569" i="17"/>
  <c r="J569" i="17"/>
  <c r="F569" i="17"/>
  <c r="E569" i="17"/>
  <c r="K568" i="17"/>
  <c r="J568" i="17"/>
  <c r="F568" i="17"/>
  <c r="E568" i="17"/>
  <c r="K567" i="17"/>
  <c r="J567" i="17"/>
  <c r="F567" i="17"/>
  <c r="E567" i="17"/>
  <c r="K566" i="17"/>
  <c r="J566" i="17"/>
  <c r="F566" i="17"/>
  <c r="E566" i="17"/>
  <c r="K565" i="17"/>
  <c r="J565" i="17"/>
  <c r="F565" i="17"/>
  <c r="E565" i="17"/>
  <c r="K564" i="17"/>
  <c r="J564" i="17"/>
  <c r="F564" i="17"/>
  <c r="E564" i="17"/>
  <c r="K563" i="17"/>
  <c r="F563" i="17"/>
  <c r="E563" i="17"/>
  <c r="K562" i="17"/>
  <c r="J562" i="17"/>
  <c r="F562" i="17"/>
  <c r="E562" i="17"/>
  <c r="K561" i="17"/>
  <c r="J561" i="17"/>
  <c r="F561" i="17"/>
  <c r="E561" i="17"/>
  <c r="K560" i="17"/>
  <c r="J560" i="17"/>
  <c r="G560" i="17"/>
  <c r="F560" i="17"/>
  <c r="E560" i="17"/>
  <c r="G559" i="17"/>
  <c r="K559" i="17" s="1"/>
  <c r="F559" i="17"/>
  <c r="E559" i="17"/>
  <c r="J558" i="17"/>
  <c r="G558" i="17"/>
  <c r="K558" i="17" s="1"/>
  <c r="O260" i="16" s="1"/>
  <c r="F558" i="17"/>
  <c r="E558" i="17"/>
  <c r="J557" i="17"/>
  <c r="G557" i="17"/>
  <c r="K557" i="17" s="1"/>
  <c r="F557" i="17"/>
  <c r="E557" i="17"/>
  <c r="G556" i="17"/>
  <c r="K556" i="17" s="1"/>
  <c r="F556" i="17"/>
  <c r="E556" i="17"/>
  <c r="K555" i="17"/>
  <c r="J555" i="17"/>
  <c r="F555" i="17"/>
  <c r="E555" i="17"/>
  <c r="K554" i="17"/>
  <c r="J554" i="17"/>
  <c r="F554" i="17"/>
  <c r="E554" i="17"/>
  <c r="K553" i="17"/>
  <c r="J553" i="17"/>
  <c r="F553" i="17"/>
  <c r="E553" i="17"/>
  <c r="K552" i="17"/>
  <c r="J552" i="17"/>
  <c r="F552" i="17"/>
  <c r="E552" i="17"/>
  <c r="K551" i="17"/>
  <c r="J551" i="17"/>
  <c r="F551" i="17"/>
  <c r="E551" i="17"/>
  <c r="K550" i="17"/>
  <c r="J550" i="17"/>
  <c r="F550" i="17"/>
  <c r="E550" i="17"/>
  <c r="K549" i="17"/>
  <c r="J549" i="17"/>
  <c r="F549" i="17"/>
  <c r="E549" i="17"/>
  <c r="K548" i="17"/>
  <c r="J548" i="17"/>
  <c r="F548" i="17"/>
  <c r="E548" i="17"/>
  <c r="G547" i="17"/>
  <c r="K547" i="17" s="1"/>
  <c r="F547" i="17"/>
  <c r="E547" i="17"/>
  <c r="G546" i="17"/>
  <c r="K546" i="17" s="1"/>
  <c r="F546" i="17"/>
  <c r="E546" i="17"/>
  <c r="K545" i="17"/>
  <c r="J545" i="17"/>
  <c r="F545" i="17"/>
  <c r="E545" i="17"/>
  <c r="K544" i="17"/>
  <c r="J544" i="17"/>
  <c r="F544" i="17"/>
  <c r="E544" i="17"/>
  <c r="K543" i="17"/>
  <c r="J543" i="17"/>
  <c r="G543" i="17"/>
  <c r="F543" i="17"/>
  <c r="E543" i="17"/>
  <c r="K542" i="17"/>
  <c r="J542" i="17"/>
  <c r="F542" i="17"/>
  <c r="E542" i="17"/>
  <c r="K541" i="17"/>
  <c r="J541" i="17"/>
  <c r="F541" i="17"/>
  <c r="E541" i="17"/>
  <c r="K540" i="17"/>
  <c r="J540" i="17"/>
  <c r="F540" i="17"/>
  <c r="E540" i="17"/>
  <c r="K539" i="17"/>
  <c r="J539" i="17"/>
  <c r="F539" i="17"/>
  <c r="E539" i="17"/>
  <c r="K538" i="17"/>
  <c r="J538" i="17"/>
  <c r="F538" i="17"/>
  <c r="E538" i="17"/>
  <c r="K537" i="17"/>
  <c r="J537" i="17"/>
  <c r="F537" i="17"/>
  <c r="E537" i="17"/>
  <c r="K536" i="17"/>
  <c r="J536" i="17"/>
  <c r="F536" i="17"/>
  <c r="E536" i="17"/>
  <c r="K535" i="17"/>
  <c r="J535" i="17"/>
  <c r="F535" i="17"/>
  <c r="E535" i="17"/>
  <c r="K534" i="17"/>
  <c r="J534" i="17"/>
  <c r="F534" i="17"/>
  <c r="E534" i="17"/>
  <c r="K533" i="17"/>
  <c r="J533" i="17"/>
  <c r="F533" i="17"/>
  <c r="E533" i="17"/>
  <c r="K532" i="17"/>
  <c r="J532" i="17"/>
  <c r="F532" i="17"/>
  <c r="E532" i="17"/>
  <c r="K531" i="17"/>
  <c r="J531" i="17"/>
  <c r="F531" i="17"/>
  <c r="E531" i="17"/>
  <c r="K530" i="17"/>
  <c r="J530" i="17"/>
  <c r="F530" i="17"/>
  <c r="E530" i="17"/>
  <c r="K529" i="17"/>
  <c r="J529" i="17"/>
  <c r="F529" i="17"/>
  <c r="E529" i="17"/>
  <c r="K528" i="17"/>
  <c r="J528" i="17"/>
  <c r="F528" i="17"/>
  <c r="E528" i="17"/>
  <c r="G527" i="17"/>
  <c r="K527" i="17" s="1"/>
  <c r="F527" i="17"/>
  <c r="E527" i="17"/>
  <c r="K526" i="17"/>
  <c r="G526" i="17"/>
  <c r="J526" i="17" s="1"/>
  <c r="F526" i="17"/>
  <c r="E526" i="17"/>
  <c r="K525" i="17"/>
  <c r="J525" i="17"/>
  <c r="F525" i="17"/>
  <c r="E525" i="17"/>
  <c r="K524" i="17"/>
  <c r="J524" i="17"/>
  <c r="F524" i="17"/>
  <c r="E524" i="17"/>
  <c r="K523" i="17"/>
  <c r="J523" i="17"/>
  <c r="F523" i="17"/>
  <c r="E523" i="17"/>
  <c r="K522" i="17"/>
  <c r="J522" i="17"/>
  <c r="F522" i="17"/>
  <c r="E522" i="17"/>
  <c r="K521" i="17"/>
  <c r="J521" i="17"/>
  <c r="F521" i="17"/>
  <c r="E521" i="17"/>
  <c r="K520" i="17"/>
  <c r="J520" i="17"/>
  <c r="F520" i="17"/>
  <c r="E520" i="17"/>
  <c r="K519" i="17"/>
  <c r="J519" i="17"/>
  <c r="F519" i="17"/>
  <c r="E519" i="17"/>
  <c r="K518" i="17"/>
  <c r="J518" i="17"/>
  <c r="F518" i="17"/>
  <c r="E518" i="17"/>
  <c r="K517" i="17"/>
  <c r="J517" i="17"/>
  <c r="F517" i="17"/>
  <c r="E517" i="17"/>
  <c r="K516" i="17"/>
  <c r="J516" i="17"/>
  <c r="F516" i="17"/>
  <c r="E516" i="17"/>
  <c r="K515" i="17"/>
  <c r="J515" i="17"/>
  <c r="F515" i="17"/>
  <c r="E515" i="17"/>
  <c r="K514" i="17"/>
  <c r="J514" i="17"/>
  <c r="F514" i="17"/>
  <c r="E514" i="17"/>
  <c r="G513" i="17"/>
  <c r="K513" i="17" s="1"/>
  <c r="F513" i="17"/>
  <c r="E513" i="17"/>
  <c r="K512" i="17"/>
  <c r="J512" i="17"/>
  <c r="G512" i="17"/>
  <c r="F512" i="17"/>
  <c r="E512" i="17"/>
  <c r="K511" i="17"/>
  <c r="J511" i="17"/>
  <c r="G511" i="17"/>
  <c r="F511" i="17"/>
  <c r="E511" i="17"/>
  <c r="K510" i="17"/>
  <c r="J510" i="17"/>
  <c r="F510" i="17"/>
  <c r="E510" i="17"/>
  <c r="K509" i="17"/>
  <c r="J509" i="17"/>
  <c r="F509" i="17"/>
  <c r="E509" i="17"/>
  <c r="K508" i="17"/>
  <c r="J508" i="17"/>
  <c r="F508" i="17"/>
  <c r="E508" i="17"/>
  <c r="K507" i="17"/>
  <c r="J507" i="17"/>
  <c r="F507" i="17"/>
  <c r="E507" i="17"/>
  <c r="K506" i="17"/>
  <c r="J506" i="17"/>
  <c r="F506" i="17"/>
  <c r="E506" i="17"/>
  <c r="K505" i="17"/>
  <c r="J505" i="17"/>
  <c r="F505" i="17"/>
  <c r="E505" i="17"/>
  <c r="K504" i="17"/>
  <c r="J504" i="17"/>
  <c r="F504" i="17"/>
  <c r="E504" i="17"/>
  <c r="K503" i="17"/>
  <c r="J503" i="17"/>
  <c r="F503" i="17"/>
  <c r="E503" i="17"/>
  <c r="K502" i="17"/>
  <c r="J502" i="17"/>
  <c r="F502" i="17"/>
  <c r="E502" i="17"/>
  <c r="K501" i="17"/>
  <c r="J501" i="17"/>
  <c r="F501" i="17"/>
  <c r="E501" i="17"/>
  <c r="K500" i="17"/>
  <c r="J500" i="17"/>
  <c r="F500" i="17"/>
  <c r="E500" i="17"/>
  <c r="K499" i="17"/>
  <c r="J499" i="17"/>
  <c r="F499" i="17"/>
  <c r="E499" i="17"/>
  <c r="K498" i="17"/>
  <c r="J498" i="17"/>
  <c r="F498" i="17"/>
  <c r="E498" i="17"/>
  <c r="K497" i="17"/>
  <c r="J497" i="17"/>
  <c r="F497" i="17"/>
  <c r="E497" i="17"/>
  <c r="K496" i="17"/>
  <c r="J496" i="17"/>
  <c r="F496" i="17"/>
  <c r="E496" i="17"/>
  <c r="K495" i="17"/>
  <c r="J495" i="17"/>
  <c r="F495" i="17"/>
  <c r="E495" i="17"/>
  <c r="K494" i="17"/>
  <c r="J494" i="17"/>
  <c r="F494" i="17"/>
  <c r="E494" i="17"/>
  <c r="K493" i="17"/>
  <c r="J493" i="17"/>
  <c r="F493" i="17"/>
  <c r="E493" i="17"/>
  <c r="K492" i="17"/>
  <c r="J492" i="17"/>
  <c r="F492" i="17"/>
  <c r="E492" i="17"/>
  <c r="K491" i="17"/>
  <c r="J491" i="17"/>
  <c r="F491" i="17"/>
  <c r="E491" i="17"/>
  <c r="K490" i="17"/>
  <c r="J490" i="17"/>
  <c r="F490" i="17"/>
  <c r="E490" i="17"/>
  <c r="K489" i="17"/>
  <c r="J489" i="17"/>
  <c r="F489" i="17"/>
  <c r="E489" i="17"/>
  <c r="K488" i="17"/>
  <c r="J488" i="17"/>
  <c r="F488" i="17"/>
  <c r="E488" i="17"/>
  <c r="K487" i="17"/>
  <c r="J487" i="17"/>
  <c r="F487" i="17"/>
  <c r="E487" i="17"/>
  <c r="K486" i="17"/>
  <c r="J486" i="17"/>
  <c r="F486" i="17"/>
  <c r="E486" i="17"/>
  <c r="K485" i="17"/>
  <c r="J485" i="17"/>
  <c r="F485" i="17"/>
  <c r="E485" i="17"/>
  <c r="K484" i="17"/>
  <c r="J484" i="17"/>
  <c r="F484" i="17"/>
  <c r="E484" i="17"/>
  <c r="K483" i="17"/>
  <c r="G483" i="17"/>
  <c r="J483" i="17" s="1"/>
  <c r="F483" i="17"/>
  <c r="E483" i="17"/>
  <c r="G482" i="17"/>
  <c r="K482" i="17" s="1"/>
  <c r="F482" i="17"/>
  <c r="E482" i="17"/>
  <c r="K481" i="17"/>
  <c r="J481" i="17"/>
  <c r="G481" i="17"/>
  <c r="F481" i="17"/>
  <c r="E481" i="17"/>
  <c r="K480" i="17"/>
  <c r="J480" i="17"/>
  <c r="G480" i="17"/>
  <c r="F480" i="17"/>
  <c r="E480" i="17"/>
  <c r="G479" i="17"/>
  <c r="K479" i="17" s="1"/>
  <c r="F479" i="17"/>
  <c r="E479" i="17"/>
  <c r="K478" i="17"/>
  <c r="J478" i="17"/>
  <c r="F478" i="17"/>
  <c r="E478" i="17"/>
  <c r="K477" i="17"/>
  <c r="J477" i="17"/>
  <c r="F477" i="17"/>
  <c r="E477" i="17"/>
  <c r="K476" i="17"/>
  <c r="J476" i="17"/>
  <c r="F476" i="17"/>
  <c r="E476" i="17"/>
  <c r="K475" i="17"/>
  <c r="J475" i="17"/>
  <c r="F475" i="17"/>
  <c r="E475" i="17"/>
  <c r="K474" i="17"/>
  <c r="J474" i="17"/>
  <c r="F474" i="17"/>
  <c r="E474" i="17"/>
  <c r="K473" i="17"/>
  <c r="J473" i="17"/>
  <c r="F473" i="17"/>
  <c r="E473" i="17"/>
  <c r="K472" i="17"/>
  <c r="J472" i="17"/>
  <c r="F472" i="17"/>
  <c r="E472" i="17"/>
  <c r="K471" i="17"/>
  <c r="J471" i="17"/>
  <c r="F471" i="17"/>
  <c r="E471" i="17"/>
  <c r="K470" i="17"/>
  <c r="J470" i="17"/>
  <c r="F470" i="17"/>
  <c r="E470" i="17"/>
  <c r="G469" i="17"/>
  <c r="K469" i="17" s="1"/>
  <c r="F469" i="17"/>
  <c r="E469" i="17"/>
  <c r="K468" i="17"/>
  <c r="J468" i="17"/>
  <c r="G468" i="17"/>
  <c r="F468" i="17"/>
  <c r="E468" i="17"/>
  <c r="K467" i="17"/>
  <c r="J467" i="17"/>
  <c r="G467" i="17"/>
  <c r="F467" i="17"/>
  <c r="E467" i="17"/>
  <c r="J466" i="17"/>
  <c r="G466" i="17"/>
  <c r="K466" i="17" s="1"/>
  <c r="F466" i="17"/>
  <c r="E466" i="17"/>
  <c r="K465" i="17"/>
  <c r="J465" i="17"/>
  <c r="G465" i="17"/>
  <c r="F465" i="17"/>
  <c r="E465" i="17"/>
  <c r="K464" i="17"/>
  <c r="J464" i="17"/>
  <c r="G464" i="17"/>
  <c r="F464" i="17"/>
  <c r="E464" i="17"/>
  <c r="K463" i="17"/>
  <c r="J463" i="17"/>
  <c r="F463" i="17"/>
  <c r="E463" i="17"/>
  <c r="K462" i="17"/>
  <c r="J462" i="17"/>
  <c r="G462" i="17"/>
  <c r="F462" i="17"/>
  <c r="E462" i="17"/>
  <c r="G461" i="17"/>
  <c r="K461" i="17" s="1"/>
  <c r="F461" i="17"/>
  <c r="E461" i="17"/>
  <c r="J460" i="17"/>
  <c r="G460" i="17"/>
  <c r="K460" i="17" s="1"/>
  <c r="F460" i="17"/>
  <c r="E460" i="17"/>
  <c r="K459" i="17"/>
  <c r="J459" i="17"/>
  <c r="F459" i="17"/>
  <c r="E459" i="17"/>
  <c r="K458" i="17"/>
  <c r="J458" i="17"/>
  <c r="F458" i="17"/>
  <c r="E458" i="17"/>
  <c r="K457" i="17"/>
  <c r="J457" i="17"/>
  <c r="F457" i="17"/>
  <c r="E457" i="17"/>
  <c r="K456" i="17"/>
  <c r="J456" i="17"/>
  <c r="F456" i="17"/>
  <c r="E456" i="17"/>
  <c r="K455" i="17"/>
  <c r="J455" i="17"/>
  <c r="F455" i="17"/>
  <c r="E455" i="17"/>
  <c r="K454" i="17"/>
  <c r="J454" i="17"/>
  <c r="F454" i="17"/>
  <c r="E454" i="17"/>
  <c r="K453" i="17"/>
  <c r="J453" i="17"/>
  <c r="F453" i="17"/>
  <c r="E453" i="17"/>
  <c r="K452" i="17"/>
  <c r="J452" i="17"/>
  <c r="F452" i="17"/>
  <c r="E452" i="17"/>
  <c r="K451" i="17"/>
  <c r="J451" i="17"/>
  <c r="F451" i="17"/>
  <c r="E451" i="17"/>
  <c r="K450" i="17"/>
  <c r="J450" i="17"/>
  <c r="F450" i="17"/>
  <c r="E450" i="17"/>
  <c r="K449" i="17"/>
  <c r="J449" i="17"/>
  <c r="F449" i="17"/>
  <c r="E449" i="17"/>
  <c r="K448" i="17"/>
  <c r="J448" i="17"/>
  <c r="F448" i="17"/>
  <c r="E448" i="17"/>
  <c r="K447" i="17"/>
  <c r="J447" i="17"/>
  <c r="F447" i="17"/>
  <c r="E447" i="17"/>
  <c r="K446" i="17"/>
  <c r="J446" i="17"/>
  <c r="F446" i="17"/>
  <c r="E446" i="17"/>
  <c r="K445" i="17"/>
  <c r="J445" i="17"/>
  <c r="F445" i="17"/>
  <c r="E445" i="17"/>
  <c r="K444" i="17"/>
  <c r="J444" i="17"/>
  <c r="F444" i="17"/>
  <c r="E444" i="17"/>
  <c r="K443" i="17"/>
  <c r="J443" i="17"/>
  <c r="F443" i="17"/>
  <c r="E443" i="17"/>
  <c r="K442" i="17"/>
  <c r="J442" i="17"/>
  <c r="F442" i="17"/>
  <c r="E442" i="17"/>
  <c r="K441" i="17"/>
  <c r="J441" i="17"/>
  <c r="F441" i="17"/>
  <c r="E441" i="17"/>
  <c r="K440" i="17"/>
  <c r="J440" i="17"/>
  <c r="F440" i="17"/>
  <c r="E440" i="17"/>
  <c r="K439" i="17"/>
  <c r="J439" i="17"/>
  <c r="F439" i="17"/>
  <c r="E439" i="17"/>
  <c r="K438" i="17"/>
  <c r="J438" i="17"/>
  <c r="F438" i="17"/>
  <c r="E438" i="17"/>
  <c r="K437" i="17"/>
  <c r="J437" i="17"/>
  <c r="F437" i="17"/>
  <c r="E437" i="17"/>
  <c r="K436" i="17"/>
  <c r="J436" i="17"/>
  <c r="F436" i="17"/>
  <c r="E436" i="17"/>
  <c r="K435" i="17"/>
  <c r="J435" i="17"/>
  <c r="F435" i="17"/>
  <c r="E435" i="17"/>
  <c r="K434" i="17"/>
  <c r="J434" i="17"/>
  <c r="F434" i="17"/>
  <c r="E434" i="17"/>
  <c r="K433" i="17"/>
  <c r="J433" i="17"/>
  <c r="F433" i="17"/>
  <c r="E433" i="17"/>
  <c r="K432" i="17"/>
  <c r="J432" i="17"/>
  <c r="F432" i="17"/>
  <c r="E432" i="17"/>
  <c r="K431" i="17"/>
  <c r="J431" i="17"/>
  <c r="F431" i="17"/>
  <c r="E431" i="17"/>
  <c r="K430" i="17"/>
  <c r="J430" i="17"/>
  <c r="F430" i="17"/>
  <c r="E430" i="17"/>
  <c r="K429" i="17"/>
  <c r="J429" i="17"/>
  <c r="F429" i="17"/>
  <c r="E429" i="17"/>
  <c r="K428" i="17"/>
  <c r="J428" i="17"/>
  <c r="F428" i="17"/>
  <c r="E428" i="17"/>
  <c r="K427" i="17"/>
  <c r="J427" i="17"/>
  <c r="F427" i="17"/>
  <c r="E427" i="17"/>
  <c r="K426" i="17"/>
  <c r="J426" i="17"/>
  <c r="F426" i="17"/>
  <c r="E426" i="17"/>
  <c r="K425" i="17"/>
  <c r="J425" i="17"/>
  <c r="F425" i="17"/>
  <c r="E425" i="17"/>
  <c r="K424" i="17"/>
  <c r="J424" i="17"/>
  <c r="F424" i="17"/>
  <c r="E424" i="17"/>
  <c r="K423" i="17"/>
  <c r="J423" i="17"/>
  <c r="F423" i="17"/>
  <c r="E423" i="17"/>
  <c r="K422" i="17"/>
  <c r="J422" i="17"/>
  <c r="F422" i="17"/>
  <c r="E422" i="17"/>
  <c r="K421" i="17"/>
  <c r="J421" i="17"/>
  <c r="F421" i="17"/>
  <c r="E421" i="17"/>
  <c r="K420" i="17"/>
  <c r="J420" i="17"/>
  <c r="F420" i="17"/>
  <c r="E420" i="17"/>
  <c r="K419" i="17"/>
  <c r="J419" i="17"/>
  <c r="F419" i="17"/>
  <c r="E419" i="17"/>
  <c r="K418" i="17"/>
  <c r="J418" i="17"/>
  <c r="F418" i="17"/>
  <c r="E418" i="17"/>
  <c r="K417" i="17"/>
  <c r="J417" i="17"/>
  <c r="F417" i="17"/>
  <c r="E417" i="17"/>
  <c r="K416" i="17"/>
  <c r="J416" i="17"/>
  <c r="F416" i="17"/>
  <c r="E416" i="17"/>
  <c r="K415" i="17"/>
  <c r="J415" i="17"/>
  <c r="F415" i="17"/>
  <c r="E415" i="17"/>
  <c r="K414" i="17"/>
  <c r="J414" i="17"/>
  <c r="F414" i="17"/>
  <c r="E414" i="17"/>
  <c r="K413" i="17"/>
  <c r="J413" i="17"/>
  <c r="F413" i="17"/>
  <c r="E413" i="17"/>
  <c r="K412" i="17"/>
  <c r="J412" i="17"/>
  <c r="F412" i="17"/>
  <c r="E412" i="17"/>
  <c r="K411" i="17"/>
  <c r="J411" i="17"/>
  <c r="F411" i="17"/>
  <c r="E411" i="17"/>
  <c r="K410" i="17"/>
  <c r="J410" i="17"/>
  <c r="F410" i="17"/>
  <c r="E410" i="17"/>
  <c r="K409" i="17"/>
  <c r="J409" i="17"/>
  <c r="F409" i="17"/>
  <c r="E409" i="17"/>
  <c r="K408" i="17"/>
  <c r="J408" i="17"/>
  <c r="F408" i="17"/>
  <c r="E408" i="17"/>
  <c r="K407" i="17"/>
  <c r="J407" i="17"/>
  <c r="F407" i="17"/>
  <c r="E407" i="17"/>
  <c r="K406" i="17"/>
  <c r="J406" i="17"/>
  <c r="F406" i="17"/>
  <c r="E406" i="17"/>
  <c r="K405" i="17"/>
  <c r="J405" i="17"/>
  <c r="F405" i="17"/>
  <c r="E405" i="17"/>
  <c r="K404" i="17"/>
  <c r="J404" i="17"/>
  <c r="G404" i="17"/>
  <c r="F404" i="17"/>
  <c r="E404" i="17"/>
  <c r="K403" i="17"/>
  <c r="J403" i="17"/>
  <c r="G403" i="17"/>
  <c r="F403" i="17"/>
  <c r="E403" i="17"/>
  <c r="J402" i="17"/>
  <c r="G402" i="17"/>
  <c r="K402" i="17" s="1"/>
  <c r="F402" i="17"/>
  <c r="E402" i="17"/>
  <c r="J401" i="17"/>
  <c r="G401" i="17"/>
  <c r="K401" i="17" s="1"/>
  <c r="F401" i="17"/>
  <c r="E401" i="17"/>
  <c r="J400" i="17"/>
  <c r="G400" i="17"/>
  <c r="K400" i="17" s="1"/>
  <c r="F400" i="17"/>
  <c r="E400" i="17"/>
  <c r="G399" i="17"/>
  <c r="K399" i="17" s="1"/>
  <c r="F399" i="17"/>
  <c r="E399" i="17"/>
  <c r="G398" i="17"/>
  <c r="K398" i="17" s="1"/>
  <c r="F398" i="17"/>
  <c r="E398" i="17"/>
  <c r="G397" i="17"/>
  <c r="K397" i="17" s="1"/>
  <c r="F397" i="17"/>
  <c r="E397" i="17"/>
  <c r="K396" i="17"/>
  <c r="J396" i="17"/>
  <c r="G396" i="17"/>
  <c r="F396" i="17"/>
  <c r="E396" i="17"/>
  <c r="K395" i="17"/>
  <c r="J395" i="17"/>
  <c r="G395" i="17"/>
  <c r="F395" i="17"/>
  <c r="E395" i="17"/>
  <c r="J394" i="17"/>
  <c r="G394" i="17"/>
  <c r="K394" i="17" s="1"/>
  <c r="F394" i="17"/>
  <c r="E394" i="17"/>
  <c r="K393" i="17"/>
  <c r="J393" i="17"/>
  <c r="G393" i="17"/>
  <c r="F393" i="17"/>
  <c r="E393" i="17"/>
  <c r="K392" i="17"/>
  <c r="J392" i="17"/>
  <c r="G392" i="17"/>
  <c r="F392" i="17"/>
  <c r="E392" i="17"/>
  <c r="G391" i="17"/>
  <c r="K391" i="17" s="1"/>
  <c r="F391" i="17"/>
  <c r="E391" i="17"/>
  <c r="K390" i="17"/>
  <c r="J390" i="17"/>
  <c r="F390" i="17"/>
  <c r="E390" i="17"/>
  <c r="K389" i="17"/>
  <c r="J389" i="17"/>
  <c r="F389" i="17"/>
  <c r="E389" i="17"/>
  <c r="K388" i="17"/>
  <c r="J388" i="17"/>
  <c r="F388" i="17"/>
  <c r="E388" i="17"/>
  <c r="K387" i="17"/>
  <c r="J387" i="17"/>
  <c r="F387" i="17"/>
  <c r="E387" i="17"/>
  <c r="K386" i="17"/>
  <c r="J386" i="17"/>
  <c r="F386" i="17"/>
  <c r="E386" i="17"/>
  <c r="J385" i="17"/>
  <c r="G385" i="17"/>
  <c r="K385" i="17" s="1"/>
  <c r="F385" i="17"/>
  <c r="E385" i="17"/>
  <c r="K384" i="17"/>
  <c r="J384" i="17"/>
  <c r="F384" i="17"/>
  <c r="E384" i="17"/>
  <c r="K383" i="17"/>
  <c r="J383" i="17"/>
  <c r="F383" i="17"/>
  <c r="E383" i="17"/>
  <c r="K382" i="17"/>
  <c r="J382" i="17"/>
  <c r="F382" i="17"/>
  <c r="E382" i="17"/>
  <c r="K381" i="17"/>
  <c r="J381" i="17"/>
  <c r="F381" i="17"/>
  <c r="E381" i="17"/>
  <c r="J380" i="17"/>
  <c r="G380" i="17"/>
  <c r="K380" i="17" s="1"/>
  <c r="F380" i="17"/>
  <c r="E380" i="17"/>
  <c r="J379" i="17"/>
  <c r="G379" i="17"/>
  <c r="K379" i="17" s="1"/>
  <c r="F379" i="17"/>
  <c r="E379" i="17"/>
  <c r="G378" i="17"/>
  <c r="K378" i="17" s="1"/>
  <c r="F378" i="17"/>
  <c r="E378" i="17"/>
  <c r="G377" i="17"/>
  <c r="K377" i="17" s="1"/>
  <c r="F377" i="17"/>
  <c r="E377" i="17"/>
  <c r="G376" i="17"/>
  <c r="K376" i="17" s="1"/>
  <c r="F376" i="17"/>
  <c r="E376" i="17"/>
  <c r="K375" i="17"/>
  <c r="J375" i="17"/>
  <c r="G375" i="17"/>
  <c r="F375" i="17"/>
  <c r="E375" i="17"/>
  <c r="K374" i="17"/>
  <c r="J374" i="17"/>
  <c r="G374" i="17"/>
  <c r="F374" i="17"/>
  <c r="E374" i="17"/>
  <c r="J373" i="17"/>
  <c r="G373" i="17"/>
  <c r="K373" i="17" s="1"/>
  <c r="F373" i="17"/>
  <c r="E373" i="17"/>
  <c r="K372" i="17"/>
  <c r="J372" i="17"/>
  <c r="G372" i="17"/>
  <c r="F372" i="17"/>
  <c r="E372" i="17"/>
  <c r="K371" i="17"/>
  <c r="J371" i="17"/>
  <c r="G371" i="17"/>
  <c r="F371" i="17"/>
  <c r="E371" i="17"/>
  <c r="G370" i="17"/>
  <c r="K370" i="17" s="1"/>
  <c r="F370" i="17"/>
  <c r="E370" i="17"/>
  <c r="K369" i="17"/>
  <c r="G369" i="17"/>
  <c r="J369" i="17" s="1"/>
  <c r="F369" i="17"/>
  <c r="E369" i="17"/>
  <c r="G368" i="17"/>
  <c r="K368" i="17" s="1"/>
  <c r="F368" i="17"/>
  <c r="E368" i="17"/>
  <c r="K367" i="17"/>
  <c r="J367" i="17"/>
  <c r="G367" i="17"/>
  <c r="F367" i="17"/>
  <c r="E367" i="17"/>
  <c r="K366" i="17"/>
  <c r="J366" i="17"/>
  <c r="G366" i="17"/>
  <c r="F366" i="17"/>
  <c r="E366" i="17"/>
  <c r="J365" i="17"/>
  <c r="G365" i="17"/>
  <c r="K365" i="17" s="1"/>
  <c r="F365" i="17"/>
  <c r="E365" i="17"/>
  <c r="J364" i="17"/>
  <c r="G364" i="17"/>
  <c r="K364" i="17" s="1"/>
  <c r="F364" i="17"/>
  <c r="E364" i="17"/>
  <c r="J363" i="17"/>
  <c r="G363" i="17"/>
  <c r="K363" i="17" s="1"/>
  <c r="F363" i="17"/>
  <c r="E363" i="17"/>
  <c r="G362" i="17"/>
  <c r="K362" i="17" s="1"/>
  <c r="F362" i="17"/>
  <c r="E362" i="17"/>
  <c r="G361" i="17"/>
  <c r="K361" i="17" s="1"/>
  <c r="F361" i="17"/>
  <c r="E361" i="17"/>
  <c r="G360" i="17"/>
  <c r="K360" i="17" s="1"/>
  <c r="F360" i="17"/>
  <c r="E360" i="17"/>
  <c r="K359" i="17"/>
  <c r="J359" i="17"/>
  <c r="G359" i="17"/>
  <c r="F359" i="17"/>
  <c r="E359" i="17"/>
  <c r="K358" i="17"/>
  <c r="J358" i="17"/>
  <c r="F358" i="17"/>
  <c r="E358" i="17"/>
  <c r="K357" i="17"/>
  <c r="J357" i="17"/>
  <c r="F357" i="17"/>
  <c r="E357" i="17"/>
  <c r="K356" i="17"/>
  <c r="J356" i="17"/>
  <c r="F356" i="17"/>
  <c r="E356" i="17"/>
  <c r="K355" i="17"/>
  <c r="J355" i="17"/>
  <c r="F355" i="17"/>
  <c r="E355" i="17"/>
  <c r="K354" i="17"/>
  <c r="J354" i="17"/>
  <c r="F354" i="17"/>
  <c r="E354" i="17"/>
  <c r="K353" i="17"/>
  <c r="J353" i="17"/>
  <c r="F353" i="17"/>
  <c r="E353" i="17"/>
  <c r="K352" i="17"/>
  <c r="J352" i="17"/>
  <c r="F352" i="17"/>
  <c r="E352" i="17"/>
  <c r="G351" i="17"/>
  <c r="K351" i="17" s="1"/>
  <c r="F351" i="17"/>
  <c r="E351" i="17"/>
  <c r="G350" i="17"/>
  <c r="K350" i="17" s="1"/>
  <c r="F350" i="17"/>
  <c r="E350" i="17"/>
  <c r="K349" i="17"/>
  <c r="J349" i="17"/>
  <c r="F349" i="17"/>
  <c r="E349" i="17"/>
  <c r="K348" i="17"/>
  <c r="J348" i="17"/>
  <c r="F348" i="17"/>
  <c r="E348" i="17"/>
  <c r="K347" i="17"/>
  <c r="J347" i="17"/>
  <c r="F347" i="17"/>
  <c r="E347" i="17"/>
  <c r="J346" i="17"/>
  <c r="G346" i="17"/>
  <c r="K346" i="17" s="1"/>
  <c r="F346" i="17"/>
  <c r="E346" i="17"/>
  <c r="K345" i="17"/>
  <c r="J345" i="17"/>
  <c r="F345" i="17"/>
  <c r="E345" i="17"/>
  <c r="K344" i="17"/>
  <c r="J344" i="17"/>
  <c r="F344" i="17"/>
  <c r="E344" i="17"/>
  <c r="K343" i="17"/>
  <c r="J343" i="17"/>
  <c r="F343" i="17"/>
  <c r="E343" i="17"/>
  <c r="K342" i="17"/>
  <c r="J342" i="17"/>
  <c r="F342" i="17"/>
  <c r="E342" i="17"/>
  <c r="K341" i="17"/>
  <c r="J341" i="17"/>
  <c r="E341" i="17"/>
  <c r="K340" i="17"/>
  <c r="J340" i="17"/>
  <c r="G340" i="17"/>
  <c r="K339" i="17"/>
  <c r="J339" i="17"/>
  <c r="F339" i="17"/>
  <c r="E339" i="17"/>
  <c r="K338" i="17"/>
  <c r="J338" i="17"/>
  <c r="F338" i="17"/>
  <c r="E338" i="17"/>
  <c r="K337" i="17"/>
  <c r="J337" i="17"/>
  <c r="F337" i="17"/>
  <c r="E337" i="17"/>
  <c r="K336" i="17"/>
  <c r="J336" i="17"/>
  <c r="F336" i="17"/>
  <c r="E336" i="17"/>
  <c r="K335" i="17"/>
  <c r="J335" i="17"/>
  <c r="F335" i="17"/>
  <c r="E335" i="17"/>
  <c r="K334" i="17"/>
  <c r="J334" i="17"/>
  <c r="F334" i="17"/>
  <c r="E334" i="17"/>
  <c r="K333" i="17"/>
  <c r="J333" i="17"/>
  <c r="F333" i="17"/>
  <c r="E333" i="17"/>
  <c r="K332" i="17"/>
  <c r="J332" i="17"/>
  <c r="I332" i="17"/>
  <c r="F332" i="17"/>
  <c r="E332" i="17"/>
  <c r="G331" i="17"/>
  <c r="K331" i="17" s="1"/>
  <c r="F331" i="17"/>
  <c r="E331" i="17"/>
  <c r="K330" i="17"/>
  <c r="J330" i="17"/>
  <c r="G330" i="17"/>
  <c r="F330" i="17"/>
  <c r="E330" i="17"/>
  <c r="K329" i="17"/>
  <c r="J329" i="17"/>
  <c r="F329" i="17"/>
  <c r="E329" i="17"/>
  <c r="K328" i="17"/>
  <c r="J328" i="17"/>
  <c r="F328" i="17"/>
  <c r="E328" i="17"/>
  <c r="K327" i="17"/>
  <c r="J327" i="17"/>
  <c r="F327" i="17"/>
  <c r="E327" i="17"/>
  <c r="K326" i="17"/>
  <c r="J326" i="17"/>
  <c r="F326" i="17"/>
  <c r="E326" i="17"/>
  <c r="K325" i="17"/>
  <c r="J325" i="17"/>
  <c r="F325" i="17"/>
  <c r="E325" i="17"/>
  <c r="K324" i="17"/>
  <c r="J324" i="17"/>
  <c r="F324" i="17"/>
  <c r="E324" i="17"/>
  <c r="K323" i="17"/>
  <c r="J323" i="17"/>
  <c r="F323" i="17"/>
  <c r="E323" i="17"/>
  <c r="K322" i="17"/>
  <c r="J322" i="17"/>
  <c r="F322" i="17"/>
  <c r="E322" i="17"/>
  <c r="K321" i="17"/>
  <c r="J321" i="17"/>
  <c r="F321" i="17"/>
  <c r="E321" i="17"/>
  <c r="G320" i="17"/>
  <c r="K320" i="17" s="1"/>
  <c r="F320" i="17"/>
  <c r="E320" i="17"/>
  <c r="K319" i="17"/>
  <c r="J319" i="17"/>
  <c r="F319" i="17"/>
  <c r="E319" i="17"/>
  <c r="K318" i="17"/>
  <c r="J318" i="17"/>
  <c r="F318" i="17"/>
  <c r="E318" i="17"/>
  <c r="K317" i="17"/>
  <c r="J317" i="17"/>
  <c r="F317" i="17"/>
  <c r="E317" i="17"/>
  <c r="K316" i="17"/>
  <c r="J316" i="17"/>
  <c r="F316" i="17"/>
  <c r="E316" i="17"/>
  <c r="K315" i="17"/>
  <c r="J315" i="17"/>
  <c r="F315" i="17"/>
  <c r="E315" i="17"/>
  <c r="K314" i="17"/>
  <c r="J314" i="17"/>
  <c r="F314" i="17"/>
  <c r="E314" i="17"/>
  <c r="K313" i="17"/>
  <c r="J313" i="17"/>
  <c r="F313" i="17"/>
  <c r="E313" i="17"/>
  <c r="K312" i="17"/>
  <c r="J312" i="17"/>
  <c r="F312" i="17"/>
  <c r="E312" i="17"/>
  <c r="K311" i="17"/>
  <c r="J311" i="17"/>
  <c r="F311" i="17"/>
  <c r="E311" i="17"/>
  <c r="K310" i="17"/>
  <c r="J310" i="17"/>
  <c r="F310" i="17"/>
  <c r="E310" i="17"/>
  <c r="K309" i="17"/>
  <c r="J309" i="17"/>
  <c r="F309" i="17"/>
  <c r="E309" i="17"/>
  <c r="K308" i="17"/>
  <c r="J308" i="17"/>
  <c r="F308" i="17"/>
  <c r="E308" i="17"/>
  <c r="K307" i="17"/>
  <c r="J307" i="17"/>
  <c r="F307" i="17"/>
  <c r="E307" i="17"/>
  <c r="K306" i="17"/>
  <c r="J306" i="17"/>
  <c r="F306" i="17"/>
  <c r="E306" i="17"/>
  <c r="K305" i="17"/>
  <c r="J305" i="17"/>
  <c r="F305" i="17"/>
  <c r="E305" i="17"/>
  <c r="K304" i="17"/>
  <c r="J304" i="17"/>
  <c r="F304" i="17"/>
  <c r="E304" i="17"/>
  <c r="K303" i="17"/>
  <c r="J303" i="17"/>
  <c r="F303" i="17"/>
  <c r="E303" i="17"/>
  <c r="K302" i="17"/>
  <c r="J302" i="17"/>
  <c r="F302" i="17"/>
  <c r="E302" i="17"/>
  <c r="K301" i="17"/>
  <c r="G301" i="17"/>
  <c r="J301" i="17" s="1"/>
  <c r="F301" i="17"/>
  <c r="E301" i="17"/>
  <c r="G300" i="17"/>
  <c r="K300" i="17" s="1"/>
  <c r="F300" i="17"/>
  <c r="E300" i="17"/>
  <c r="K299" i="17"/>
  <c r="J299" i="17"/>
  <c r="G299" i="17"/>
  <c r="F299" i="17"/>
  <c r="E299" i="17"/>
  <c r="K298" i="17"/>
  <c r="J298" i="17"/>
  <c r="G298" i="17"/>
  <c r="F298" i="17"/>
  <c r="E298" i="17"/>
  <c r="G297" i="17"/>
  <c r="K297" i="17" s="1"/>
  <c r="F297" i="17"/>
  <c r="E297" i="17"/>
  <c r="J296" i="17"/>
  <c r="G296" i="17"/>
  <c r="K296" i="17" s="1"/>
  <c r="F296" i="17"/>
  <c r="E296" i="17"/>
  <c r="J295" i="17"/>
  <c r="G295" i="17"/>
  <c r="K295" i="17" s="1"/>
  <c r="F295" i="17"/>
  <c r="E295" i="17"/>
  <c r="K294" i="17"/>
  <c r="G294" i="17"/>
  <c r="J294" i="17" s="1"/>
  <c r="F294" i="17"/>
  <c r="E294" i="17"/>
  <c r="G293" i="17"/>
  <c r="K293" i="17" s="1"/>
  <c r="F293" i="17"/>
  <c r="E293" i="17"/>
  <c r="G292" i="17"/>
  <c r="K292" i="17" s="1"/>
  <c r="F292" i="17"/>
  <c r="E292" i="17"/>
  <c r="K291" i="17"/>
  <c r="J291" i="17"/>
  <c r="I291" i="17"/>
  <c r="F291" i="17"/>
  <c r="E291" i="17"/>
  <c r="K290" i="17"/>
  <c r="J290" i="17"/>
  <c r="I290" i="17"/>
  <c r="F290" i="17"/>
  <c r="E290" i="17"/>
  <c r="J289" i="17"/>
  <c r="I289" i="17"/>
  <c r="K289" i="17" s="1"/>
  <c r="F289" i="17"/>
  <c r="E289" i="17"/>
  <c r="K288" i="17"/>
  <c r="J288" i="17"/>
  <c r="I288" i="17"/>
  <c r="F288" i="17"/>
  <c r="E288" i="17"/>
  <c r="I287" i="17"/>
  <c r="G287" i="17" s="1"/>
  <c r="F287" i="17"/>
  <c r="E287" i="17"/>
  <c r="J286" i="17"/>
  <c r="G286" i="17"/>
  <c r="K286" i="17" s="1"/>
  <c r="F286" i="17"/>
  <c r="E286" i="17"/>
  <c r="K285" i="17"/>
  <c r="J285" i="17"/>
  <c r="G285" i="17"/>
  <c r="F285" i="17"/>
  <c r="E285" i="17"/>
  <c r="K284" i="17"/>
  <c r="J284" i="17"/>
  <c r="G284" i="17"/>
  <c r="F284" i="17"/>
  <c r="E284" i="17"/>
  <c r="G283" i="17"/>
  <c r="K283" i="17" s="1"/>
  <c r="F283" i="17"/>
  <c r="E283" i="17"/>
  <c r="K282" i="17"/>
  <c r="G282" i="17"/>
  <c r="J282" i="17" s="1"/>
  <c r="F282" i="17"/>
  <c r="E282" i="17"/>
  <c r="G281" i="17"/>
  <c r="K281" i="17" s="1"/>
  <c r="F281" i="17"/>
  <c r="E281" i="17"/>
  <c r="K280" i="17"/>
  <c r="J280" i="17"/>
  <c r="G280" i="17"/>
  <c r="F280" i="17"/>
  <c r="E280" i="17"/>
  <c r="K279" i="17"/>
  <c r="J279" i="17"/>
  <c r="G279" i="17"/>
  <c r="F279" i="17"/>
  <c r="E279" i="17"/>
  <c r="G278" i="17"/>
  <c r="K278" i="17" s="1"/>
  <c r="F278" i="17"/>
  <c r="E278" i="17"/>
  <c r="J277" i="17"/>
  <c r="G277" i="17"/>
  <c r="K277" i="17" s="1"/>
  <c r="F277" i="17"/>
  <c r="E277" i="17"/>
  <c r="J276" i="17"/>
  <c r="G276" i="17"/>
  <c r="K276" i="17" s="1"/>
  <c r="F276" i="17"/>
  <c r="E276" i="17"/>
  <c r="K275" i="17"/>
  <c r="G275" i="17"/>
  <c r="J275" i="17" s="1"/>
  <c r="F275" i="17"/>
  <c r="E275" i="17"/>
  <c r="G274" i="17"/>
  <c r="K274" i="17" s="1"/>
  <c r="F274" i="17"/>
  <c r="E274" i="17"/>
  <c r="G273" i="17"/>
  <c r="K273" i="17" s="1"/>
  <c r="F273" i="17"/>
  <c r="E273" i="17"/>
  <c r="K272" i="17"/>
  <c r="J272" i="17"/>
  <c r="F272" i="17"/>
  <c r="E272" i="17"/>
  <c r="K271" i="17"/>
  <c r="J271" i="17"/>
  <c r="F271" i="17"/>
  <c r="E271" i="17"/>
  <c r="K270" i="17"/>
  <c r="J270" i="17"/>
  <c r="F270" i="17"/>
  <c r="E270" i="17"/>
  <c r="K269" i="17"/>
  <c r="J269" i="17"/>
  <c r="F269" i="17"/>
  <c r="E269" i="17"/>
  <c r="K268" i="17"/>
  <c r="J268" i="17"/>
  <c r="F268" i="17"/>
  <c r="E268" i="17"/>
  <c r="K267" i="17"/>
  <c r="J267" i="17"/>
  <c r="F267" i="17"/>
  <c r="E267" i="17"/>
  <c r="K266" i="17"/>
  <c r="J266" i="17"/>
  <c r="G266" i="17"/>
  <c r="F266" i="17"/>
  <c r="E266" i="17"/>
  <c r="K265" i="17"/>
  <c r="J265" i="17"/>
  <c r="G265" i="17"/>
  <c r="F265" i="17"/>
  <c r="E265" i="17"/>
  <c r="G264" i="17"/>
  <c r="K264" i="17" s="1"/>
  <c r="F264" i="17"/>
  <c r="E264" i="17"/>
  <c r="J263" i="17"/>
  <c r="G263" i="17"/>
  <c r="K263" i="17" s="1"/>
  <c r="F263" i="17"/>
  <c r="E263" i="17"/>
  <c r="K262" i="17"/>
  <c r="J262" i="17"/>
  <c r="F262" i="17"/>
  <c r="E262" i="17"/>
  <c r="K261" i="17"/>
  <c r="J261" i="17"/>
  <c r="F261" i="17"/>
  <c r="E261" i="17"/>
  <c r="K260" i="17"/>
  <c r="J260" i="17"/>
  <c r="F260" i="17"/>
  <c r="E260" i="17"/>
  <c r="K259" i="17"/>
  <c r="J259" i="17"/>
  <c r="G259" i="17"/>
  <c r="F259" i="17"/>
  <c r="E259" i="17"/>
  <c r="K258" i="17"/>
  <c r="J258" i="17"/>
  <c r="G258" i="17"/>
  <c r="F258" i="17"/>
  <c r="E258" i="17"/>
  <c r="G257" i="17"/>
  <c r="K257" i="17" s="1"/>
  <c r="F257" i="17"/>
  <c r="E257" i="17"/>
  <c r="J256" i="17"/>
  <c r="G256" i="17"/>
  <c r="K256" i="17" s="1"/>
  <c r="F256" i="17"/>
  <c r="E256" i="17"/>
  <c r="J255" i="17"/>
  <c r="G255" i="17"/>
  <c r="K255" i="17" s="1"/>
  <c r="F255" i="17"/>
  <c r="E255" i="17"/>
  <c r="K254" i="17"/>
  <c r="J254" i="17"/>
  <c r="F254" i="17"/>
  <c r="E254" i="17"/>
  <c r="K253" i="17"/>
  <c r="J253" i="17"/>
  <c r="F253" i="17"/>
  <c r="E253" i="17"/>
  <c r="K252" i="17"/>
  <c r="J252" i="17"/>
  <c r="F252" i="17"/>
  <c r="E252" i="17"/>
  <c r="K251" i="17"/>
  <c r="J251" i="17"/>
  <c r="F251" i="17"/>
  <c r="E251" i="17"/>
  <c r="G250" i="17"/>
  <c r="K250" i="17" s="1"/>
  <c r="F250" i="17"/>
  <c r="E250" i="17"/>
  <c r="G249" i="17"/>
  <c r="K249" i="17" s="1"/>
  <c r="F249" i="17"/>
  <c r="E249" i="17"/>
  <c r="G248" i="17"/>
  <c r="K248" i="17" s="1"/>
  <c r="F248" i="17"/>
  <c r="E248" i="17"/>
  <c r="K247" i="17"/>
  <c r="J247" i="17"/>
  <c r="F247" i="17"/>
  <c r="E247" i="17"/>
  <c r="K246" i="17"/>
  <c r="J246" i="17"/>
  <c r="F246" i="17"/>
  <c r="E246" i="17"/>
  <c r="K245" i="17"/>
  <c r="J245" i="17"/>
  <c r="F245" i="17"/>
  <c r="E245" i="17"/>
  <c r="K244" i="17"/>
  <c r="J244" i="17"/>
  <c r="F244" i="17"/>
  <c r="E244" i="17"/>
  <c r="K243" i="17"/>
  <c r="J243" i="17"/>
  <c r="F243" i="17"/>
  <c r="E243" i="17"/>
  <c r="K242" i="17"/>
  <c r="J242" i="17"/>
  <c r="F242" i="17"/>
  <c r="E242" i="17"/>
  <c r="K241" i="17"/>
  <c r="J241" i="17"/>
  <c r="G241" i="17"/>
  <c r="F241" i="17"/>
  <c r="E241" i="17"/>
  <c r="K240" i="17"/>
  <c r="J240" i="17"/>
  <c r="G240" i="17"/>
  <c r="F240" i="17"/>
  <c r="E240" i="17"/>
  <c r="G239" i="17"/>
  <c r="K239" i="17" s="1"/>
  <c r="F239" i="17"/>
  <c r="E239" i="17"/>
  <c r="K238" i="17"/>
  <c r="J238" i="17"/>
  <c r="F238" i="17"/>
  <c r="E238" i="17"/>
  <c r="K237" i="17"/>
  <c r="J237" i="17"/>
  <c r="F237" i="17"/>
  <c r="E237" i="17"/>
  <c r="K236" i="17"/>
  <c r="J236" i="17"/>
  <c r="F236" i="17"/>
  <c r="E236" i="17"/>
  <c r="K235" i="17"/>
  <c r="J235" i="17"/>
  <c r="F235" i="17"/>
  <c r="E235" i="17"/>
  <c r="K234" i="17"/>
  <c r="J234" i="17"/>
  <c r="F234" i="17"/>
  <c r="E234" i="17"/>
  <c r="K233" i="17"/>
  <c r="J233" i="17"/>
  <c r="F233" i="17"/>
  <c r="E233" i="17"/>
  <c r="K232" i="17"/>
  <c r="J232" i="17"/>
  <c r="F232" i="17"/>
  <c r="E232" i="17"/>
  <c r="K231" i="17"/>
  <c r="J231" i="17"/>
  <c r="F231" i="17"/>
  <c r="E231" i="17"/>
  <c r="K230" i="17"/>
  <c r="J230" i="17"/>
  <c r="F230" i="17"/>
  <c r="E230" i="17"/>
  <c r="K229" i="17"/>
  <c r="J229" i="17"/>
  <c r="F229" i="17"/>
  <c r="E229" i="17"/>
  <c r="K228" i="17"/>
  <c r="J228" i="17"/>
  <c r="F228" i="17"/>
  <c r="E228" i="17"/>
  <c r="K227" i="17"/>
  <c r="J227" i="17"/>
  <c r="F227" i="17"/>
  <c r="E227" i="17"/>
  <c r="K226" i="17"/>
  <c r="J226" i="17"/>
  <c r="F226" i="17"/>
  <c r="E226" i="17"/>
  <c r="K225" i="17"/>
  <c r="J225" i="17"/>
  <c r="F225" i="17"/>
  <c r="E225" i="17"/>
  <c r="K224" i="17"/>
  <c r="J224" i="17"/>
  <c r="F224" i="17"/>
  <c r="E224" i="17"/>
  <c r="K223" i="17"/>
  <c r="J223" i="17"/>
  <c r="F223" i="17"/>
  <c r="E223" i="17"/>
  <c r="K222" i="17"/>
  <c r="J222" i="17"/>
  <c r="F222" i="17"/>
  <c r="E222" i="17"/>
  <c r="K221" i="17"/>
  <c r="J221" i="17"/>
  <c r="F221" i="17"/>
  <c r="E221" i="17"/>
  <c r="K220" i="17"/>
  <c r="J220" i="17"/>
  <c r="F220" i="17"/>
  <c r="E220" i="17"/>
  <c r="J219" i="17"/>
  <c r="F219" i="17"/>
  <c r="E219" i="17"/>
  <c r="J218" i="17"/>
  <c r="F218" i="17"/>
  <c r="E218" i="17"/>
  <c r="J217" i="17"/>
  <c r="F217" i="17"/>
  <c r="E217" i="17"/>
  <c r="J216" i="17"/>
  <c r="F216" i="17"/>
  <c r="E216" i="17"/>
  <c r="J215" i="17"/>
  <c r="F215" i="17"/>
  <c r="E215" i="17"/>
  <c r="J214" i="17"/>
  <c r="F214" i="17"/>
  <c r="E214" i="17"/>
  <c r="J213" i="17"/>
  <c r="F213" i="17"/>
  <c r="E213" i="17"/>
  <c r="J212" i="17"/>
  <c r="F212" i="17"/>
  <c r="E212" i="17"/>
  <c r="J211" i="17"/>
  <c r="F211" i="17"/>
  <c r="E211" i="17"/>
  <c r="J210" i="17"/>
  <c r="F210" i="17"/>
  <c r="E210" i="17"/>
  <c r="K209" i="17"/>
  <c r="J209" i="17"/>
  <c r="F209" i="17"/>
  <c r="E209" i="17"/>
  <c r="K208" i="17"/>
  <c r="J208" i="17"/>
  <c r="F208" i="17"/>
  <c r="E208" i="17"/>
  <c r="K207" i="17"/>
  <c r="J207" i="17"/>
  <c r="F207" i="17"/>
  <c r="E207" i="17"/>
  <c r="K206" i="17"/>
  <c r="J206" i="17"/>
  <c r="F206" i="17"/>
  <c r="E206" i="17"/>
  <c r="K205" i="17"/>
  <c r="G205" i="17"/>
  <c r="J205" i="17" s="1"/>
  <c r="F205" i="17"/>
  <c r="E205" i="17"/>
  <c r="G204" i="17"/>
  <c r="K204" i="17" s="1"/>
  <c r="F204" i="17"/>
  <c r="E204" i="17"/>
  <c r="G203" i="17"/>
  <c r="K203" i="17" s="1"/>
  <c r="F203" i="17"/>
  <c r="E203" i="17"/>
  <c r="K202" i="17"/>
  <c r="J202" i="17"/>
  <c r="G202" i="17"/>
  <c r="F202" i="17"/>
  <c r="E202" i="17"/>
  <c r="K201" i="17"/>
  <c r="J201" i="17"/>
  <c r="G201" i="17"/>
  <c r="F201" i="17"/>
  <c r="E201" i="17"/>
  <c r="J200" i="17"/>
  <c r="G200" i="17"/>
  <c r="K200" i="17" s="1"/>
  <c r="F200" i="17"/>
  <c r="E200" i="17"/>
  <c r="K199" i="17"/>
  <c r="J199" i="17"/>
  <c r="F199" i="17"/>
  <c r="E199" i="17"/>
  <c r="K198" i="17"/>
  <c r="J198" i="17"/>
  <c r="F198" i="17"/>
  <c r="E198" i="17"/>
  <c r="K197" i="17"/>
  <c r="J197" i="17"/>
  <c r="F197" i="17"/>
  <c r="E197" i="17"/>
  <c r="K196" i="17"/>
  <c r="J196" i="17"/>
  <c r="F196" i="17"/>
  <c r="E196" i="17"/>
  <c r="K195" i="17"/>
  <c r="J195" i="17"/>
  <c r="F195" i="17"/>
  <c r="E195" i="17"/>
  <c r="G194" i="17"/>
  <c r="K194" i="17" s="1"/>
  <c r="F194" i="17"/>
  <c r="E194" i="17"/>
  <c r="K193" i="17"/>
  <c r="J193" i="17"/>
  <c r="G193" i="17"/>
  <c r="F193" i="17"/>
  <c r="E193" i="17"/>
  <c r="K192" i="17"/>
  <c r="J192" i="17"/>
  <c r="G192" i="17"/>
  <c r="F192" i="17"/>
  <c r="E192" i="17"/>
  <c r="K191" i="17"/>
  <c r="J191" i="17"/>
  <c r="F191" i="17"/>
  <c r="E191" i="17"/>
  <c r="K190" i="17"/>
  <c r="J190" i="17"/>
  <c r="F190" i="17"/>
  <c r="E190" i="17"/>
  <c r="K189" i="17"/>
  <c r="J189" i="17"/>
  <c r="F189" i="17"/>
  <c r="E189" i="17"/>
  <c r="K188" i="17"/>
  <c r="J188" i="17"/>
  <c r="F188" i="17"/>
  <c r="E188" i="17"/>
  <c r="K187" i="17"/>
  <c r="J187" i="17"/>
  <c r="F187" i="17"/>
  <c r="E187" i="17"/>
  <c r="K186" i="17"/>
  <c r="J186" i="17"/>
  <c r="F186" i="17"/>
  <c r="E186" i="17"/>
  <c r="K185" i="17"/>
  <c r="J185" i="17"/>
  <c r="F185" i="17"/>
  <c r="E185" i="17"/>
  <c r="K184" i="17"/>
  <c r="J184" i="17"/>
  <c r="F184" i="17"/>
  <c r="E184" i="17"/>
  <c r="K183" i="17"/>
  <c r="J183" i="17"/>
  <c r="F183" i="17"/>
  <c r="E183" i="17"/>
  <c r="I182" i="17"/>
  <c r="G182" i="17"/>
  <c r="K182" i="17" s="1"/>
  <c r="F182" i="17"/>
  <c r="E182" i="17"/>
  <c r="J181" i="17"/>
  <c r="I181" i="17"/>
  <c r="K181" i="17" s="1"/>
  <c r="G181" i="17"/>
  <c r="F181" i="17"/>
  <c r="E181" i="17"/>
  <c r="I180" i="17"/>
  <c r="G180" i="17"/>
  <c r="K180" i="17" s="1"/>
  <c r="F180" i="17"/>
  <c r="E180" i="17"/>
  <c r="I179" i="17"/>
  <c r="G179" i="17"/>
  <c r="K179" i="17" s="1"/>
  <c r="F179" i="17"/>
  <c r="E179" i="17"/>
  <c r="K178" i="17"/>
  <c r="J178" i="17"/>
  <c r="I178" i="17"/>
  <c r="G178" i="17"/>
  <c r="F178" i="17"/>
  <c r="E178" i="17"/>
  <c r="K177" i="17"/>
  <c r="J177" i="17"/>
  <c r="F177" i="17"/>
  <c r="E177" i="17"/>
  <c r="K176" i="17"/>
  <c r="J176" i="17"/>
  <c r="F176" i="17"/>
  <c r="E176" i="17"/>
  <c r="K175" i="17"/>
  <c r="J175" i="17"/>
  <c r="F175" i="17"/>
  <c r="E175" i="17"/>
  <c r="K174" i="17"/>
  <c r="J174" i="17"/>
  <c r="F174" i="17"/>
  <c r="E174" i="17"/>
  <c r="K173" i="17"/>
  <c r="J173" i="17"/>
  <c r="F173" i="17"/>
  <c r="E173" i="17"/>
  <c r="K172" i="17"/>
  <c r="J172" i="17"/>
  <c r="G172" i="17"/>
  <c r="F172" i="17"/>
  <c r="E172" i="17"/>
  <c r="K171" i="17"/>
  <c r="J171" i="17"/>
  <c r="G171" i="17"/>
  <c r="F171" i="17"/>
  <c r="E171" i="17"/>
  <c r="G170" i="17"/>
  <c r="K170" i="17" s="1"/>
  <c r="F170" i="17"/>
  <c r="E170" i="17"/>
  <c r="J169" i="17"/>
  <c r="G169" i="17"/>
  <c r="K169" i="17" s="1"/>
  <c r="F169" i="17"/>
  <c r="E169" i="17"/>
  <c r="J168" i="17"/>
  <c r="G168" i="17"/>
  <c r="K168" i="17" s="1"/>
  <c r="F168" i="17"/>
  <c r="E168" i="17"/>
  <c r="K167" i="17"/>
  <c r="J167" i="17"/>
  <c r="F167" i="17"/>
  <c r="E167" i="17"/>
  <c r="K166" i="17"/>
  <c r="J166" i="17"/>
  <c r="F166" i="17"/>
  <c r="E166" i="17"/>
  <c r="K165" i="17"/>
  <c r="J165" i="17"/>
  <c r="F165" i="17"/>
  <c r="E165" i="17"/>
  <c r="K164" i="17"/>
  <c r="J164" i="17"/>
  <c r="F164" i="17"/>
  <c r="E164" i="17"/>
  <c r="K163" i="17"/>
  <c r="J163" i="17"/>
  <c r="F163" i="17"/>
  <c r="E163" i="17"/>
  <c r="K162" i="17"/>
  <c r="J162" i="17"/>
  <c r="F162" i="17"/>
  <c r="E162" i="17"/>
  <c r="K161" i="17"/>
  <c r="J161" i="17"/>
  <c r="F161" i="17"/>
  <c r="E161" i="17"/>
  <c r="K160" i="17"/>
  <c r="J160" i="17"/>
  <c r="F160" i="17"/>
  <c r="E160" i="17"/>
  <c r="K159" i="17"/>
  <c r="J159" i="17"/>
  <c r="F159" i="17"/>
  <c r="E159" i="17"/>
  <c r="K158" i="17"/>
  <c r="J158" i="17"/>
  <c r="F158" i="17"/>
  <c r="E158" i="17"/>
  <c r="K157" i="17"/>
  <c r="J157" i="17"/>
  <c r="F157" i="17"/>
  <c r="E157" i="17"/>
  <c r="K156" i="17"/>
  <c r="J156" i="17"/>
  <c r="F156" i="17"/>
  <c r="E156" i="17"/>
  <c r="K155" i="17"/>
  <c r="J155" i="17"/>
  <c r="F155" i="17"/>
  <c r="E155" i="17"/>
  <c r="K154" i="17"/>
  <c r="J154" i="17"/>
  <c r="F154" i="17"/>
  <c r="E154" i="17"/>
  <c r="K153" i="17"/>
  <c r="J153" i="17"/>
  <c r="F153" i="17"/>
  <c r="E153" i="17"/>
  <c r="K152" i="17"/>
  <c r="J152" i="17"/>
  <c r="F152" i="17"/>
  <c r="E152" i="17"/>
  <c r="K151" i="17"/>
  <c r="J151" i="17"/>
  <c r="F151" i="17"/>
  <c r="E151" i="17"/>
  <c r="K150" i="17"/>
  <c r="J150" i="17"/>
  <c r="F150" i="17"/>
  <c r="E150" i="17"/>
  <c r="K149" i="17"/>
  <c r="J149" i="17"/>
  <c r="F149" i="17"/>
  <c r="E149" i="17"/>
  <c r="K148" i="17"/>
  <c r="J148" i="17"/>
  <c r="F148" i="17"/>
  <c r="E148" i="17"/>
  <c r="F147" i="17"/>
  <c r="E147" i="17"/>
  <c r="K146" i="17"/>
  <c r="J146" i="17"/>
  <c r="F146" i="17"/>
  <c r="E146" i="17"/>
  <c r="K145" i="17"/>
  <c r="J145" i="17"/>
  <c r="E145" i="17"/>
  <c r="K144" i="17"/>
  <c r="J144" i="17"/>
  <c r="E144" i="17"/>
  <c r="F143" i="17"/>
  <c r="E143" i="17"/>
  <c r="F142" i="17"/>
  <c r="E142" i="17"/>
  <c r="F141" i="17"/>
  <c r="E141" i="17"/>
  <c r="F140" i="17"/>
  <c r="E140" i="17"/>
  <c r="F139" i="17"/>
  <c r="E139" i="17"/>
  <c r="F138" i="17"/>
  <c r="E138" i="17"/>
  <c r="F137" i="17"/>
  <c r="E137" i="17"/>
  <c r="F136" i="17"/>
  <c r="E136" i="17"/>
  <c r="F135" i="17"/>
  <c r="E135" i="17"/>
  <c r="F134" i="17"/>
  <c r="E134" i="17"/>
  <c r="F133" i="17"/>
  <c r="E133" i="17"/>
  <c r="F132" i="17"/>
  <c r="E132" i="17"/>
  <c r="F131" i="17"/>
  <c r="E131" i="17"/>
  <c r="F130" i="17"/>
  <c r="E130" i="17"/>
  <c r="F129" i="17"/>
  <c r="E129" i="17"/>
  <c r="F128" i="17"/>
  <c r="E128" i="17"/>
  <c r="F127" i="17"/>
  <c r="E127" i="17"/>
  <c r="F126" i="17"/>
  <c r="E126" i="17"/>
  <c r="F125" i="17"/>
  <c r="E125" i="17"/>
  <c r="F124" i="17"/>
  <c r="E124" i="17"/>
  <c r="F123" i="17"/>
  <c r="E123" i="17"/>
  <c r="F122" i="17"/>
  <c r="E122" i="17"/>
  <c r="F121" i="17"/>
  <c r="E121" i="17"/>
  <c r="F120" i="17"/>
  <c r="E120" i="17"/>
  <c r="F119" i="17"/>
  <c r="E119" i="17"/>
  <c r="F118" i="17"/>
  <c r="E118" i="17"/>
  <c r="F117" i="17"/>
  <c r="E117" i="17"/>
  <c r="F116" i="17"/>
  <c r="E116" i="17"/>
  <c r="F115" i="17"/>
  <c r="E115" i="17"/>
  <c r="F114" i="17"/>
  <c r="E114" i="17"/>
  <c r="F113" i="17"/>
  <c r="E113" i="17"/>
  <c r="F112" i="17"/>
  <c r="E112" i="17"/>
  <c r="F111" i="17"/>
  <c r="E111" i="17"/>
  <c r="F110" i="17"/>
  <c r="E110" i="17"/>
  <c r="F109" i="17"/>
  <c r="E109" i="17"/>
  <c r="F108" i="17"/>
  <c r="E108" i="17"/>
  <c r="F107" i="17"/>
  <c r="E107" i="17"/>
  <c r="F106" i="17"/>
  <c r="E106" i="17"/>
  <c r="F105" i="17"/>
  <c r="E105" i="17"/>
  <c r="F104" i="17"/>
  <c r="E104" i="17"/>
  <c r="F103" i="17"/>
  <c r="E103" i="17"/>
  <c r="F102" i="17"/>
  <c r="E102" i="17"/>
  <c r="F101" i="17"/>
  <c r="E101" i="17"/>
  <c r="F100" i="17"/>
  <c r="E100" i="17"/>
  <c r="F99" i="17"/>
  <c r="E99" i="17"/>
  <c r="F98" i="17"/>
  <c r="E98" i="17"/>
  <c r="F97" i="17"/>
  <c r="E97" i="17"/>
  <c r="F96" i="17"/>
  <c r="E96" i="17"/>
  <c r="F95" i="17"/>
  <c r="E95" i="17"/>
  <c r="F94" i="17"/>
  <c r="E94" i="17"/>
  <c r="F93" i="17"/>
  <c r="E93" i="17"/>
  <c r="F92" i="17"/>
  <c r="E92" i="17"/>
  <c r="F91" i="17"/>
  <c r="E91" i="17"/>
  <c r="F90" i="17"/>
  <c r="E90" i="17"/>
  <c r="F89" i="17"/>
  <c r="E89" i="17"/>
  <c r="F88" i="17"/>
  <c r="E88" i="17"/>
  <c r="F87" i="17"/>
  <c r="E87" i="17"/>
  <c r="F86" i="17"/>
  <c r="E86" i="17"/>
  <c r="F85" i="17"/>
  <c r="E85" i="17"/>
  <c r="F84" i="17"/>
  <c r="E84" i="17"/>
  <c r="F83" i="17"/>
  <c r="E83" i="17"/>
  <c r="F82" i="17"/>
  <c r="E82" i="17"/>
  <c r="F81" i="17"/>
  <c r="E81" i="17"/>
  <c r="F80" i="17"/>
  <c r="E80" i="17"/>
  <c r="F79" i="17"/>
  <c r="E79" i="17"/>
  <c r="F78" i="17"/>
  <c r="E78" i="17"/>
  <c r="F77" i="17"/>
  <c r="E77" i="17"/>
  <c r="F76" i="17"/>
  <c r="E76" i="17"/>
  <c r="F75" i="17"/>
  <c r="E75" i="17"/>
  <c r="F74" i="17"/>
  <c r="E74" i="17"/>
  <c r="F73" i="17"/>
  <c r="E73" i="17"/>
  <c r="F72" i="17"/>
  <c r="E72" i="17"/>
  <c r="F71" i="17"/>
  <c r="E71" i="17"/>
  <c r="F70" i="17"/>
  <c r="E70" i="17"/>
  <c r="F69" i="17"/>
  <c r="E69" i="17"/>
  <c r="F68" i="17"/>
  <c r="E68" i="17"/>
  <c r="F67" i="17"/>
  <c r="E67" i="17"/>
  <c r="F66" i="17"/>
  <c r="E66" i="17"/>
  <c r="F65" i="17"/>
  <c r="E65" i="17"/>
  <c r="F64" i="17"/>
  <c r="E64" i="17"/>
  <c r="F63" i="17"/>
  <c r="E63" i="17"/>
  <c r="F62" i="17"/>
  <c r="E62" i="17"/>
  <c r="F61" i="17"/>
  <c r="E61" i="17"/>
  <c r="F60" i="17"/>
  <c r="E60" i="17"/>
  <c r="F59" i="17"/>
  <c r="E59" i="17"/>
  <c r="F58" i="17"/>
  <c r="E58" i="17"/>
  <c r="F57" i="17"/>
  <c r="E57" i="17"/>
  <c r="F56" i="17"/>
  <c r="E56" i="17"/>
  <c r="F55" i="17"/>
  <c r="E55" i="17"/>
  <c r="F54" i="17"/>
  <c r="E54" i="17"/>
  <c r="F53" i="17"/>
  <c r="E53" i="17"/>
  <c r="F52" i="17"/>
  <c r="E52" i="17"/>
  <c r="F51" i="17"/>
  <c r="E51" i="17"/>
  <c r="F50" i="17"/>
  <c r="E50" i="17"/>
  <c r="F49" i="17"/>
  <c r="E49" i="17"/>
  <c r="F48" i="17"/>
  <c r="E48" i="17"/>
  <c r="F47" i="17"/>
  <c r="E47" i="17"/>
  <c r="F46" i="17"/>
  <c r="E46" i="17"/>
  <c r="F45" i="17"/>
  <c r="E45" i="17"/>
  <c r="F44" i="17"/>
  <c r="E44" i="17"/>
  <c r="F43" i="17"/>
  <c r="E43" i="17"/>
  <c r="F42" i="17"/>
  <c r="E42" i="17"/>
  <c r="F41" i="17"/>
  <c r="E41" i="17"/>
  <c r="F40" i="17"/>
  <c r="E40" i="17"/>
  <c r="K39" i="17"/>
  <c r="J39" i="17"/>
  <c r="F39" i="17"/>
  <c r="E39" i="17"/>
  <c r="K38" i="17"/>
  <c r="J38" i="17"/>
  <c r="F38" i="17"/>
  <c r="E38" i="17"/>
  <c r="K37" i="17"/>
  <c r="J37" i="17"/>
  <c r="F37" i="17"/>
  <c r="E37" i="17"/>
  <c r="K36" i="17"/>
  <c r="J36" i="17"/>
  <c r="F36" i="17"/>
  <c r="E36" i="17"/>
  <c r="K35" i="17"/>
  <c r="J35" i="17"/>
  <c r="F35" i="17"/>
  <c r="E35" i="17"/>
  <c r="J34" i="17"/>
  <c r="I34" i="17"/>
  <c r="K34" i="17" s="1"/>
  <c r="G34" i="17"/>
  <c r="F34" i="17"/>
  <c r="E34" i="17"/>
  <c r="I33" i="17"/>
  <c r="G33" i="17"/>
  <c r="K33" i="17" s="1"/>
  <c r="F33" i="17"/>
  <c r="E33" i="17"/>
  <c r="I32" i="17"/>
  <c r="G32" i="17"/>
  <c r="K32" i="17" s="1"/>
  <c r="F32" i="17"/>
  <c r="E32" i="17"/>
  <c r="K31" i="17"/>
  <c r="J31" i="17"/>
  <c r="I31" i="17"/>
  <c r="G31" i="17"/>
  <c r="F31" i="17"/>
  <c r="E31" i="17"/>
  <c r="K30" i="17"/>
  <c r="J30" i="17"/>
  <c r="G30" i="17"/>
  <c r="F30" i="17"/>
  <c r="E30" i="17"/>
  <c r="K29" i="17"/>
  <c r="J29" i="17"/>
  <c r="F29" i="17"/>
  <c r="E29" i="17"/>
  <c r="K28" i="17"/>
  <c r="J28" i="17"/>
  <c r="F28" i="17"/>
  <c r="E28" i="17"/>
  <c r="I27" i="17"/>
  <c r="G27" i="17"/>
  <c r="K27" i="17" s="1"/>
  <c r="F27" i="17"/>
  <c r="E27" i="17"/>
  <c r="G26" i="17"/>
  <c r="K26" i="17" s="1"/>
  <c r="F26" i="17"/>
  <c r="E26" i="17"/>
  <c r="K25" i="17"/>
  <c r="J25" i="17"/>
  <c r="F25" i="17"/>
  <c r="E25" i="17"/>
  <c r="F24" i="17"/>
  <c r="E24" i="17"/>
  <c r="F23" i="17"/>
  <c r="E23" i="17"/>
  <c r="F22" i="17"/>
  <c r="E22" i="17"/>
  <c r="F21" i="17"/>
  <c r="E21" i="17"/>
  <c r="F20" i="17"/>
  <c r="E20" i="17"/>
  <c r="F19" i="17"/>
  <c r="E19" i="17"/>
  <c r="F18" i="17"/>
  <c r="E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J7" i="17"/>
  <c r="G7" i="17"/>
  <c r="K7" i="17" s="1"/>
  <c r="F7" i="17"/>
  <c r="E7" i="17"/>
  <c r="G6" i="17"/>
  <c r="K6" i="17" s="1"/>
  <c r="F6" i="17"/>
  <c r="E6" i="17"/>
  <c r="K5" i="17"/>
  <c r="G5" i="17"/>
  <c r="J5" i="17" s="1"/>
  <c r="F5" i="17"/>
  <c r="E5" i="17"/>
  <c r="G4" i="17"/>
  <c r="K4" i="17" s="1"/>
  <c r="F4" i="17"/>
  <c r="E4" i="17"/>
  <c r="K3" i="17"/>
  <c r="J3" i="17"/>
  <c r="G3" i="17"/>
  <c r="F3" i="17"/>
  <c r="E3" i="17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M387" i="16"/>
  <c r="O386" i="16"/>
  <c r="M386" i="16"/>
  <c r="O385" i="16"/>
  <c r="M385" i="16"/>
  <c r="O384" i="16"/>
  <c r="M384" i="16"/>
  <c r="O383" i="16"/>
  <c r="M383" i="16"/>
  <c r="O382" i="16"/>
  <c r="M382" i="16"/>
  <c r="O381" i="16"/>
  <c r="M381" i="16"/>
  <c r="O380" i="16"/>
  <c r="M380" i="16"/>
  <c r="O379" i="16"/>
  <c r="M379" i="16"/>
  <c r="L379" i="16"/>
  <c r="O378" i="16"/>
  <c r="M378" i="16"/>
  <c r="L378" i="16"/>
  <c r="O377" i="16"/>
  <c r="M377" i="16"/>
  <c r="L377" i="16"/>
  <c r="O376" i="16"/>
  <c r="M376" i="16"/>
  <c r="L376" i="16"/>
  <c r="O375" i="16"/>
  <c r="M375" i="16"/>
  <c r="L375" i="16"/>
  <c r="O374" i="16"/>
  <c r="M374" i="16"/>
  <c r="L374" i="16"/>
  <c r="O373" i="16"/>
  <c r="M373" i="16"/>
  <c r="L373" i="16"/>
  <c r="O372" i="16"/>
  <c r="M372" i="16"/>
  <c r="L372" i="16"/>
  <c r="O371" i="16"/>
  <c r="M371" i="16"/>
  <c r="L371" i="16"/>
  <c r="O370" i="16"/>
  <c r="M370" i="16"/>
  <c r="L370" i="16"/>
  <c r="O369" i="16"/>
  <c r="M369" i="16"/>
  <c r="L369" i="16"/>
  <c r="O368" i="16"/>
  <c r="M368" i="16"/>
  <c r="L368" i="16"/>
  <c r="O367" i="16"/>
  <c r="M367" i="16"/>
  <c r="L367" i="16"/>
  <c r="O366" i="16"/>
  <c r="M366" i="16"/>
  <c r="L366" i="16"/>
  <c r="O365" i="16"/>
  <c r="M365" i="16"/>
  <c r="L365" i="16"/>
  <c r="O364" i="16"/>
  <c r="M364" i="16"/>
  <c r="L364" i="16"/>
  <c r="O363" i="16"/>
  <c r="M363" i="16"/>
  <c r="L363" i="16"/>
  <c r="O362" i="16"/>
  <c r="M362" i="16"/>
  <c r="L362" i="16"/>
  <c r="O361" i="16"/>
  <c r="M361" i="16"/>
  <c r="L361" i="16"/>
  <c r="O360" i="16"/>
  <c r="M360" i="16"/>
  <c r="L360" i="16"/>
  <c r="O359" i="16"/>
  <c r="M359" i="16"/>
  <c r="L359" i="16"/>
  <c r="O358" i="16"/>
  <c r="M358" i="16"/>
  <c r="L358" i="16"/>
  <c r="O357" i="16"/>
  <c r="M357" i="16"/>
  <c r="L357" i="16"/>
  <c r="O356" i="16"/>
  <c r="M356" i="16"/>
  <c r="L356" i="16"/>
  <c r="O355" i="16"/>
  <c r="M355" i="16"/>
  <c r="L355" i="16"/>
  <c r="O354" i="16"/>
  <c r="M354" i="16"/>
  <c r="L354" i="16"/>
  <c r="O353" i="16"/>
  <c r="M353" i="16"/>
  <c r="L353" i="16"/>
  <c r="O352" i="16"/>
  <c r="M352" i="16"/>
  <c r="L352" i="16"/>
  <c r="O351" i="16"/>
  <c r="M351" i="16"/>
  <c r="L351" i="16"/>
  <c r="O350" i="16"/>
  <c r="M350" i="16"/>
  <c r="L350" i="16"/>
  <c r="O349" i="16"/>
  <c r="M349" i="16"/>
  <c r="L349" i="16"/>
  <c r="O348" i="16"/>
  <c r="M348" i="16"/>
  <c r="L348" i="16"/>
  <c r="O347" i="16"/>
  <c r="M347" i="16"/>
  <c r="L347" i="16"/>
  <c r="O346" i="16"/>
  <c r="M346" i="16"/>
  <c r="L346" i="16"/>
  <c r="O345" i="16"/>
  <c r="M345" i="16"/>
  <c r="L345" i="16"/>
  <c r="O344" i="16"/>
  <c r="M344" i="16"/>
  <c r="L344" i="16"/>
  <c r="O343" i="16"/>
  <c r="M343" i="16"/>
  <c r="L343" i="16"/>
  <c r="O342" i="16"/>
  <c r="M342" i="16"/>
  <c r="L342" i="16"/>
  <c r="O341" i="16"/>
  <c r="M341" i="16"/>
  <c r="L341" i="16"/>
  <c r="O340" i="16"/>
  <c r="M340" i="16"/>
  <c r="L340" i="16"/>
  <c r="O339" i="16"/>
  <c r="M339" i="16"/>
  <c r="L339" i="16"/>
  <c r="O338" i="16"/>
  <c r="M338" i="16"/>
  <c r="L338" i="16"/>
  <c r="O337" i="16"/>
  <c r="M337" i="16"/>
  <c r="L337" i="16"/>
  <c r="O336" i="16"/>
  <c r="M336" i="16"/>
  <c r="L336" i="16"/>
  <c r="O335" i="16"/>
  <c r="M335" i="16"/>
  <c r="L335" i="16"/>
  <c r="O334" i="16"/>
  <c r="M334" i="16"/>
  <c r="L334" i="16"/>
  <c r="O333" i="16"/>
  <c r="M333" i="16"/>
  <c r="L333" i="16"/>
  <c r="O332" i="16"/>
  <c r="M332" i="16"/>
  <c r="L332" i="16"/>
  <c r="O331" i="16"/>
  <c r="M331" i="16"/>
  <c r="L331" i="16"/>
  <c r="O330" i="16"/>
  <c r="M330" i="16"/>
  <c r="L330" i="16"/>
  <c r="O329" i="16"/>
  <c r="M329" i="16"/>
  <c r="L329" i="16"/>
  <c r="O328" i="16"/>
  <c r="M328" i="16"/>
  <c r="L328" i="16"/>
  <c r="O327" i="16"/>
  <c r="M327" i="16"/>
  <c r="L327" i="16"/>
  <c r="O326" i="16"/>
  <c r="M326" i="16"/>
  <c r="L326" i="16"/>
  <c r="O325" i="16"/>
  <c r="M325" i="16"/>
  <c r="L325" i="16"/>
  <c r="O324" i="16"/>
  <c r="M324" i="16"/>
  <c r="L324" i="16"/>
  <c r="O323" i="16"/>
  <c r="N323" i="16"/>
  <c r="M323" i="16"/>
  <c r="L323" i="16"/>
  <c r="K323" i="16"/>
  <c r="G323" i="16"/>
  <c r="F323" i="16"/>
  <c r="O322" i="16"/>
  <c r="M322" i="16"/>
  <c r="L322" i="16"/>
  <c r="N322" i="16" s="1"/>
  <c r="K322" i="16"/>
  <c r="F322" i="16"/>
  <c r="G322" i="16" s="1"/>
  <c r="O321" i="16"/>
  <c r="M321" i="16"/>
  <c r="L321" i="16"/>
  <c r="N321" i="16" s="1"/>
  <c r="K321" i="16"/>
  <c r="F321" i="16"/>
  <c r="G321" i="16" s="1"/>
  <c r="H321" i="16" s="1"/>
  <c r="O320" i="16"/>
  <c r="M320" i="16"/>
  <c r="L320" i="16"/>
  <c r="N320" i="16" s="1"/>
  <c r="K320" i="16"/>
  <c r="F320" i="16"/>
  <c r="G320" i="16" s="1"/>
  <c r="H320" i="16" s="1"/>
  <c r="O319" i="16"/>
  <c r="M319" i="16"/>
  <c r="L319" i="16"/>
  <c r="N319" i="16" s="1"/>
  <c r="K319" i="16"/>
  <c r="F319" i="16"/>
  <c r="G319" i="16" s="1"/>
  <c r="H319" i="16" s="1"/>
  <c r="O318" i="16"/>
  <c r="M318" i="16"/>
  <c r="N318" i="16" s="1"/>
  <c r="L318" i="16"/>
  <c r="K318" i="16"/>
  <c r="H318" i="16"/>
  <c r="G318" i="16"/>
  <c r="O317" i="16"/>
  <c r="M317" i="16"/>
  <c r="L317" i="16"/>
  <c r="N317" i="16" s="1"/>
  <c r="K317" i="16"/>
  <c r="G317" i="16"/>
  <c r="H317" i="16" s="1"/>
  <c r="O316" i="16"/>
  <c r="M316" i="16"/>
  <c r="L316" i="16"/>
  <c r="N316" i="16" s="1"/>
  <c r="K316" i="16"/>
  <c r="H316" i="16"/>
  <c r="G316" i="16"/>
  <c r="O315" i="16"/>
  <c r="M315" i="16"/>
  <c r="L315" i="16"/>
  <c r="N315" i="16" s="1"/>
  <c r="K315" i="16"/>
  <c r="H315" i="16"/>
  <c r="G315" i="16"/>
  <c r="O314" i="16"/>
  <c r="M314" i="16"/>
  <c r="L314" i="16"/>
  <c r="N314" i="16" s="1"/>
  <c r="K314" i="16"/>
  <c r="H314" i="16"/>
  <c r="G314" i="16"/>
  <c r="O313" i="16"/>
  <c r="M313" i="16"/>
  <c r="N313" i="16" s="1"/>
  <c r="L313" i="16"/>
  <c r="K313" i="16"/>
  <c r="G313" i="16"/>
  <c r="H313" i="16" s="1"/>
  <c r="O312" i="16"/>
  <c r="M312" i="16"/>
  <c r="L312" i="16"/>
  <c r="N312" i="16" s="1"/>
  <c r="K312" i="16"/>
  <c r="G312" i="16"/>
  <c r="H312" i="16" s="1"/>
  <c r="O311" i="16"/>
  <c r="M311" i="16"/>
  <c r="L311" i="16"/>
  <c r="N311" i="16" s="1"/>
  <c r="K311" i="16"/>
  <c r="H311" i="16"/>
  <c r="G311" i="16"/>
  <c r="O310" i="16"/>
  <c r="N310" i="16"/>
  <c r="M310" i="16"/>
  <c r="L310" i="16"/>
  <c r="K310" i="16"/>
  <c r="H310" i="16"/>
  <c r="G310" i="16"/>
  <c r="O309" i="16"/>
  <c r="N309" i="16"/>
  <c r="M309" i="16"/>
  <c r="L309" i="16"/>
  <c r="K309" i="16"/>
  <c r="G309" i="16"/>
  <c r="H309" i="16" s="1"/>
  <c r="O308" i="16"/>
  <c r="N308" i="16"/>
  <c r="M308" i="16"/>
  <c r="L308" i="16"/>
  <c r="K308" i="16"/>
  <c r="G308" i="16"/>
  <c r="H308" i="16" s="1"/>
  <c r="M307" i="16"/>
  <c r="L307" i="16"/>
  <c r="N307" i="16" s="1"/>
  <c r="J307" i="16"/>
  <c r="G307" i="16"/>
  <c r="H307" i="16" s="1"/>
  <c r="O306" i="16"/>
  <c r="M306" i="16"/>
  <c r="L306" i="16"/>
  <c r="N306" i="16" s="1"/>
  <c r="K306" i="16"/>
  <c r="H306" i="16"/>
  <c r="G306" i="16"/>
  <c r="O305" i="16"/>
  <c r="N305" i="16"/>
  <c r="M305" i="16"/>
  <c r="L305" i="16"/>
  <c r="K305" i="16"/>
  <c r="H305" i="16"/>
  <c r="G305" i="16"/>
  <c r="O304" i="16"/>
  <c r="N304" i="16"/>
  <c r="M304" i="16"/>
  <c r="L304" i="16"/>
  <c r="K304" i="16"/>
  <c r="G304" i="16"/>
  <c r="H304" i="16" s="1"/>
  <c r="O303" i="16"/>
  <c r="M303" i="16"/>
  <c r="N303" i="16" s="1"/>
  <c r="L303" i="16"/>
  <c r="K303" i="16"/>
  <c r="G303" i="16"/>
  <c r="H303" i="16" s="1"/>
  <c r="M302" i="16"/>
  <c r="L302" i="16"/>
  <c r="H302" i="16"/>
  <c r="G302" i="16"/>
  <c r="O301" i="16"/>
  <c r="M301" i="16"/>
  <c r="L301" i="16"/>
  <c r="N301" i="16" s="1"/>
  <c r="K301" i="16"/>
  <c r="H301" i="16"/>
  <c r="G301" i="16"/>
  <c r="O300" i="16"/>
  <c r="N300" i="16"/>
  <c r="M300" i="16"/>
  <c r="L300" i="16"/>
  <c r="K300" i="16"/>
  <c r="H300" i="16"/>
  <c r="G300" i="16"/>
  <c r="O299" i="16"/>
  <c r="N299" i="16"/>
  <c r="M299" i="16"/>
  <c r="L299" i="16"/>
  <c r="K299" i="16"/>
  <c r="J299" i="16"/>
  <c r="G299" i="16"/>
  <c r="O298" i="16"/>
  <c r="M298" i="16"/>
  <c r="L298" i="16"/>
  <c r="N298" i="16" s="1"/>
  <c r="K298" i="16"/>
  <c r="G298" i="16"/>
  <c r="O297" i="16"/>
  <c r="N297" i="16"/>
  <c r="M297" i="16"/>
  <c r="L297" i="16"/>
  <c r="K297" i="16"/>
  <c r="G297" i="16"/>
  <c r="O296" i="16"/>
  <c r="M296" i="16"/>
  <c r="L296" i="16"/>
  <c r="N296" i="16" s="1"/>
  <c r="K296" i="16"/>
  <c r="G296" i="16"/>
  <c r="O295" i="16"/>
  <c r="N295" i="16"/>
  <c r="M295" i="16"/>
  <c r="L295" i="16"/>
  <c r="K295" i="16"/>
  <c r="G295" i="16"/>
  <c r="M294" i="16"/>
  <c r="L294" i="16"/>
  <c r="N294" i="16" s="1"/>
  <c r="J294" i="16"/>
  <c r="G294" i="16"/>
  <c r="O293" i="16"/>
  <c r="N293" i="16"/>
  <c r="M293" i="16"/>
  <c r="L293" i="16"/>
  <c r="K293" i="16"/>
  <c r="G293" i="16"/>
  <c r="O292" i="16"/>
  <c r="M292" i="16"/>
  <c r="L292" i="16"/>
  <c r="N292" i="16" s="1"/>
  <c r="K292" i="16"/>
  <c r="G292" i="16"/>
  <c r="O291" i="16"/>
  <c r="N291" i="16"/>
  <c r="M291" i="16"/>
  <c r="L291" i="16"/>
  <c r="K291" i="16"/>
  <c r="G291" i="16"/>
  <c r="O290" i="16"/>
  <c r="M290" i="16"/>
  <c r="L290" i="16"/>
  <c r="N290" i="16" s="1"/>
  <c r="K290" i="16"/>
  <c r="J290" i="16"/>
  <c r="G290" i="16"/>
  <c r="H290" i="16" s="1"/>
  <c r="O289" i="16"/>
  <c r="M289" i="16"/>
  <c r="L289" i="16"/>
  <c r="N289" i="16" s="1"/>
  <c r="K289" i="16"/>
  <c r="J289" i="16"/>
  <c r="H289" i="16"/>
  <c r="G289" i="16"/>
  <c r="O288" i="16"/>
  <c r="M288" i="16"/>
  <c r="L288" i="16"/>
  <c r="N288" i="16" s="1"/>
  <c r="K288" i="16"/>
  <c r="J288" i="16"/>
  <c r="H288" i="16"/>
  <c r="G288" i="16"/>
  <c r="O287" i="16"/>
  <c r="M287" i="16"/>
  <c r="N287" i="16" s="1"/>
  <c r="L287" i="16"/>
  <c r="K287" i="16"/>
  <c r="J287" i="16"/>
  <c r="G287" i="16"/>
  <c r="H287" i="16" s="1"/>
  <c r="O286" i="16"/>
  <c r="N286" i="16"/>
  <c r="M286" i="16"/>
  <c r="L286" i="16"/>
  <c r="K286" i="16"/>
  <c r="J286" i="16"/>
  <c r="G286" i="16"/>
  <c r="H286" i="16" s="1"/>
  <c r="O285" i="16"/>
  <c r="M285" i="16"/>
  <c r="L285" i="16"/>
  <c r="K285" i="16"/>
  <c r="O284" i="16"/>
  <c r="M284" i="16"/>
  <c r="L284" i="16"/>
  <c r="K284" i="16"/>
  <c r="O283" i="16"/>
  <c r="M283" i="16"/>
  <c r="K283" i="16"/>
  <c r="O282" i="16"/>
  <c r="M282" i="16"/>
  <c r="K282" i="16"/>
  <c r="O281" i="16"/>
  <c r="M281" i="16"/>
  <c r="K281" i="16"/>
  <c r="O280" i="16"/>
  <c r="M280" i="16"/>
  <c r="L280" i="16"/>
  <c r="K280" i="16"/>
  <c r="O279" i="16"/>
  <c r="M279" i="16"/>
  <c r="L279" i="16"/>
  <c r="K279" i="16"/>
  <c r="O278" i="16"/>
  <c r="M278" i="16"/>
  <c r="L278" i="16"/>
  <c r="K278" i="16"/>
  <c r="O277" i="16"/>
  <c r="M277" i="16"/>
  <c r="L277" i="16"/>
  <c r="K277" i="16"/>
  <c r="O276" i="16"/>
  <c r="M276" i="16"/>
  <c r="L276" i="16"/>
  <c r="K276" i="16"/>
  <c r="O275" i="16"/>
  <c r="M275" i="16"/>
  <c r="L275" i="16"/>
  <c r="K275" i="16"/>
  <c r="O274" i="16"/>
  <c r="M274" i="16"/>
  <c r="L274" i="16"/>
  <c r="K274" i="16"/>
  <c r="O273" i="16"/>
  <c r="M273" i="16"/>
  <c r="L273" i="16"/>
  <c r="K273" i="16"/>
  <c r="O272" i="16"/>
  <c r="M272" i="16"/>
  <c r="L272" i="16"/>
  <c r="K272" i="16"/>
  <c r="O271" i="16"/>
  <c r="M271" i="16"/>
  <c r="L271" i="16"/>
  <c r="K271" i="16"/>
  <c r="O270" i="16"/>
  <c r="M270" i="16"/>
  <c r="L270" i="16"/>
  <c r="K270" i="16"/>
  <c r="O269" i="16"/>
  <c r="M269" i="16"/>
  <c r="L269" i="16"/>
  <c r="K269" i="16"/>
  <c r="O268" i="16"/>
  <c r="M268" i="16"/>
  <c r="L268" i="16"/>
  <c r="K268" i="16"/>
  <c r="M267" i="16"/>
  <c r="L267" i="16"/>
  <c r="K267" i="16"/>
  <c r="O266" i="16"/>
  <c r="M266" i="16"/>
  <c r="L266" i="16"/>
  <c r="K266" i="16"/>
  <c r="O265" i="16"/>
  <c r="M265" i="16"/>
  <c r="K265" i="16"/>
  <c r="G265" i="16"/>
  <c r="O264" i="16"/>
  <c r="N264" i="16"/>
  <c r="M264" i="16"/>
  <c r="L264" i="16"/>
  <c r="K264" i="16"/>
  <c r="G264" i="16"/>
  <c r="O263" i="16"/>
  <c r="M263" i="16"/>
  <c r="L263" i="16"/>
  <c r="N263" i="16" s="1"/>
  <c r="K263" i="16"/>
  <c r="G263" i="16"/>
  <c r="O262" i="16"/>
  <c r="N262" i="16"/>
  <c r="M262" i="16"/>
  <c r="L262" i="16"/>
  <c r="K262" i="16"/>
  <c r="J262" i="16"/>
  <c r="G262" i="16"/>
  <c r="O261" i="16"/>
  <c r="M261" i="16"/>
  <c r="L261" i="16"/>
  <c r="N261" i="16" s="1"/>
  <c r="K261" i="16"/>
  <c r="G261" i="16"/>
  <c r="N260" i="16"/>
  <c r="M260" i="16"/>
  <c r="L260" i="16"/>
  <c r="K260" i="16"/>
  <c r="G260" i="16"/>
  <c r="O259" i="16"/>
  <c r="M259" i="16"/>
  <c r="L259" i="16"/>
  <c r="N259" i="16" s="1"/>
  <c r="K259" i="16"/>
  <c r="O258" i="16"/>
  <c r="M258" i="16"/>
  <c r="K258" i="16"/>
  <c r="G258" i="16"/>
  <c r="O257" i="16"/>
  <c r="M257" i="16"/>
  <c r="K257" i="16"/>
  <c r="G257" i="16"/>
  <c r="O256" i="16"/>
  <c r="M256" i="16"/>
  <c r="K256" i="16"/>
  <c r="G256" i="16"/>
  <c r="O255" i="16"/>
  <c r="M255" i="16"/>
  <c r="K255" i="16"/>
  <c r="G255" i="16"/>
  <c r="H255" i="16" s="1"/>
  <c r="O254" i="16"/>
  <c r="M254" i="16"/>
  <c r="K254" i="16"/>
  <c r="H254" i="16"/>
  <c r="G254" i="16"/>
  <c r="O253" i="16"/>
  <c r="M253" i="16"/>
  <c r="K253" i="16"/>
  <c r="G253" i="16"/>
  <c r="H253" i="16" s="1"/>
  <c r="O252" i="16"/>
  <c r="M252" i="16"/>
  <c r="K252" i="16"/>
  <c r="G252" i="16"/>
  <c r="H252" i="16" s="1"/>
  <c r="O251" i="16"/>
  <c r="M251" i="16"/>
  <c r="K251" i="16"/>
  <c r="G251" i="16"/>
  <c r="H251" i="16" s="1"/>
  <c r="O250" i="16"/>
  <c r="M250" i="16"/>
  <c r="L250" i="16"/>
  <c r="N250" i="16" s="1"/>
  <c r="K250" i="16"/>
  <c r="J250" i="16"/>
  <c r="G250" i="16"/>
  <c r="H250" i="16" s="1"/>
  <c r="O249" i="16"/>
  <c r="M249" i="16"/>
  <c r="L249" i="16"/>
  <c r="K249" i="16"/>
  <c r="J249" i="16"/>
  <c r="I249" i="16" s="1"/>
  <c r="G249" i="16"/>
  <c r="H249" i="16" s="1"/>
  <c r="O248" i="16"/>
  <c r="M248" i="16"/>
  <c r="L248" i="16"/>
  <c r="K248" i="16"/>
  <c r="J248" i="16"/>
  <c r="G248" i="16"/>
  <c r="H248" i="16" s="1"/>
  <c r="O247" i="16"/>
  <c r="M247" i="16"/>
  <c r="L247" i="16"/>
  <c r="K247" i="16"/>
  <c r="G247" i="16"/>
  <c r="H247" i="16" s="1"/>
  <c r="O246" i="16"/>
  <c r="M246" i="16"/>
  <c r="L246" i="16"/>
  <c r="K246" i="16"/>
  <c r="G246" i="16"/>
  <c r="H246" i="16" s="1"/>
  <c r="O245" i="16"/>
  <c r="M245" i="16"/>
  <c r="L245" i="16"/>
  <c r="K245" i="16"/>
  <c r="G245" i="16"/>
  <c r="H245" i="16" s="1"/>
  <c r="O244" i="16"/>
  <c r="M244" i="16"/>
  <c r="L244" i="16"/>
  <c r="K244" i="16"/>
  <c r="G244" i="16"/>
  <c r="H244" i="16" s="1"/>
  <c r="O243" i="16"/>
  <c r="M243" i="16"/>
  <c r="L243" i="16"/>
  <c r="K243" i="16"/>
  <c r="G243" i="16"/>
  <c r="H243" i="16" s="1"/>
  <c r="O242" i="16"/>
  <c r="M242" i="16"/>
  <c r="L242" i="16"/>
  <c r="K242" i="16"/>
  <c r="H242" i="16"/>
  <c r="G242" i="16"/>
  <c r="O241" i="16"/>
  <c r="M241" i="16"/>
  <c r="L241" i="16"/>
  <c r="N241" i="16" s="1"/>
  <c r="K241" i="16"/>
  <c r="H241" i="16"/>
  <c r="G241" i="16"/>
  <c r="O240" i="16"/>
  <c r="N240" i="16"/>
  <c r="M240" i="16"/>
  <c r="L240" i="16"/>
  <c r="K240" i="16"/>
  <c r="H240" i="16"/>
  <c r="G240" i="16"/>
  <c r="O239" i="16"/>
  <c r="N239" i="16"/>
  <c r="M239" i="16"/>
  <c r="L239" i="16"/>
  <c r="K239" i="16"/>
  <c r="G239" i="16"/>
  <c r="O238" i="16"/>
  <c r="M238" i="16"/>
  <c r="L238" i="16"/>
  <c r="N238" i="16" s="1"/>
  <c r="K238" i="16"/>
  <c r="G238" i="16"/>
  <c r="O237" i="16"/>
  <c r="N237" i="16"/>
  <c r="M237" i="16"/>
  <c r="L237" i="16"/>
  <c r="K237" i="16"/>
  <c r="G237" i="16"/>
  <c r="O236" i="16"/>
  <c r="M236" i="16"/>
  <c r="L236" i="16"/>
  <c r="N236" i="16" s="1"/>
  <c r="K236" i="16"/>
  <c r="G236" i="16"/>
  <c r="O235" i="16"/>
  <c r="N235" i="16"/>
  <c r="M235" i="16"/>
  <c r="L235" i="16"/>
  <c r="K235" i="16"/>
  <c r="G235" i="16"/>
  <c r="O234" i="16"/>
  <c r="M234" i="16"/>
  <c r="O233" i="16"/>
  <c r="M233" i="16"/>
  <c r="L233" i="16"/>
  <c r="N233" i="16" s="1"/>
  <c r="K233" i="16"/>
  <c r="G233" i="16"/>
  <c r="O232" i="16"/>
  <c r="M232" i="16"/>
  <c r="L232" i="16"/>
  <c r="N232" i="16" s="1"/>
  <c r="G232" i="16"/>
  <c r="O231" i="16"/>
  <c r="M231" i="16"/>
  <c r="L231" i="16"/>
  <c r="N231" i="16" s="1"/>
  <c r="K231" i="16"/>
  <c r="G231" i="16"/>
  <c r="O230" i="16"/>
  <c r="M230" i="16"/>
  <c r="L230" i="16"/>
  <c r="N230" i="16" s="1"/>
  <c r="K230" i="16"/>
  <c r="G230" i="16"/>
  <c r="O229" i="16"/>
  <c r="M229" i="16"/>
  <c r="L229" i="16"/>
  <c r="N229" i="16" s="1"/>
  <c r="K229" i="16"/>
  <c r="G229" i="16"/>
  <c r="O228" i="16"/>
  <c r="M228" i="16"/>
  <c r="L228" i="16"/>
  <c r="G228" i="16"/>
  <c r="O227" i="16"/>
  <c r="M227" i="16"/>
  <c r="L227" i="16"/>
  <c r="N227" i="16" s="1"/>
  <c r="K227" i="16"/>
  <c r="G227" i="16"/>
  <c r="K226" i="16"/>
  <c r="G226" i="16"/>
  <c r="K225" i="16"/>
  <c r="G225" i="16"/>
  <c r="O224" i="16"/>
  <c r="M224" i="16"/>
  <c r="K224" i="16"/>
  <c r="G224" i="16"/>
  <c r="M223" i="16"/>
  <c r="N223" i="16" s="1"/>
  <c r="L223" i="16"/>
  <c r="G223" i="16"/>
  <c r="O222" i="16"/>
  <c r="M222" i="16"/>
  <c r="K222" i="16"/>
  <c r="G222" i="16"/>
  <c r="O221" i="16"/>
  <c r="N221" i="16"/>
  <c r="M221" i="16"/>
  <c r="K221" i="16"/>
  <c r="G221" i="16"/>
  <c r="O220" i="16"/>
  <c r="M220" i="16"/>
  <c r="L220" i="16"/>
  <c r="N220" i="16" s="1"/>
  <c r="K220" i="16"/>
  <c r="G220" i="16"/>
  <c r="O219" i="16"/>
  <c r="N219" i="16"/>
  <c r="M219" i="16"/>
  <c r="L219" i="16"/>
  <c r="K219" i="16"/>
  <c r="G219" i="16"/>
  <c r="O218" i="16"/>
  <c r="M218" i="16"/>
  <c r="L218" i="16"/>
  <c r="N218" i="16" s="1"/>
  <c r="K218" i="16"/>
  <c r="G218" i="16"/>
  <c r="N217" i="16"/>
  <c r="M217" i="16"/>
  <c r="L217" i="16"/>
  <c r="G217" i="16"/>
  <c r="M216" i="16"/>
  <c r="L216" i="16"/>
  <c r="N216" i="16" s="1"/>
  <c r="J216" i="16"/>
  <c r="G216" i="16"/>
  <c r="G142" i="17" s="1"/>
  <c r="N215" i="16"/>
  <c r="M215" i="16"/>
  <c r="L215" i="16"/>
  <c r="J215" i="16"/>
  <c r="G215" i="16"/>
  <c r="M214" i="16"/>
  <c r="L214" i="16"/>
  <c r="G214" i="16"/>
  <c r="G140" i="17" s="1"/>
  <c r="N213" i="16"/>
  <c r="M213" i="16"/>
  <c r="L213" i="16"/>
  <c r="G213" i="16"/>
  <c r="M212" i="16"/>
  <c r="L212" i="16"/>
  <c r="N212" i="16" s="1"/>
  <c r="G212" i="16"/>
  <c r="E138" i="18" s="1"/>
  <c r="N211" i="16"/>
  <c r="M211" i="16"/>
  <c r="L211" i="16"/>
  <c r="G211" i="16"/>
  <c r="M210" i="16"/>
  <c r="L210" i="16"/>
  <c r="J210" i="16"/>
  <c r="G210" i="16"/>
  <c r="G136" i="17" s="1"/>
  <c r="N209" i="16"/>
  <c r="M209" i="16"/>
  <c r="L209" i="16"/>
  <c r="G209" i="16"/>
  <c r="M208" i="16"/>
  <c r="L208" i="16"/>
  <c r="G208" i="16"/>
  <c r="E134" i="18" s="1"/>
  <c r="N207" i="16"/>
  <c r="M207" i="16"/>
  <c r="L207" i="16"/>
  <c r="G207" i="16"/>
  <c r="M206" i="16"/>
  <c r="L206" i="16"/>
  <c r="N206" i="16" s="1"/>
  <c r="G206" i="16"/>
  <c r="E132" i="18" s="1"/>
  <c r="N205" i="16"/>
  <c r="M205" i="16"/>
  <c r="L205" i="16"/>
  <c r="H205" i="16"/>
  <c r="G205" i="16"/>
  <c r="M204" i="16"/>
  <c r="L204" i="16"/>
  <c r="N204" i="16" s="1"/>
  <c r="J204" i="16"/>
  <c r="G204" i="16"/>
  <c r="M203" i="16"/>
  <c r="L203" i="16"/>
  <c r="G203" i="16"/>
  <c r="N202" i="16"/>
  <c r="M202" i="16"/>
  <c r="L202" i="16"/>
  <c r="H202" i="16"/>
  <c r="G202" i="16"/>
  <c r="E128" i="18" s="1"/>
  <c r="N201" i="16"/>
  <c r="M201" i="16"/>
  <c r="L201" i="16"/>
  <c r="G201" i="16"/>
  <c r="N200" i="16"/>
  <c r="M200" i="16"/>
  <c r="L200" i="16"/>
  <c r="G200" i="16"/>
  <c r="M199" i="16"/>
  <c r="N199" i="16" s="1"/>
  <c r="L199" i="16"/>
  <c r="J199" i="16"/>
  <c r="G199" i="16"/>
  <c r="M198" i="16"/>
  <c r="N198" i="16" s="1"/>
  <c r="L198" i="16"/>
  <c r="G198" i="16"/>
  <c r="M197" i="16"/>
  <c r="L197" i="16"/>
  <c r="G197" i="16"/>
  <c r="M196" i="16"/>
  <c r="L196" i="16"/>
  <c r="N196" i="16" s="1"/>
  <c r="J196" i="16"/>
  <c r="H196" i="16"/>
  <c r="G196" i="16"/>
  <c r="E122" i="18" s="1"/>
  <c r="K195" i="16"/>
  <c r="O194" i="16"/>
  <c r="M194" i="16"/>
  <c r="K194" i="16"/>
  <c r="O193" i="16"/>
  <c r="M193" i="16"/>
  <c r="K193" i="16"/>
  <c r="O192" i="16"/>
  <c r="M192" i="16"/>
  <c r="K192" i="16"/>
  <c r="O191" i="16"/>
  <c r="M191" i="16"/>
  <c r="K191" i="16"/>
  <c r="O190" i="16"/>
  <c r="M190" i="16"/>
  <c r="K190" i="16"/>
  <c r="O189" i="16"/>
  <c r="M189" i="16"/>
  <c r="K189" i="16"/>
  <c r="O188" i="16"/>
  <c r="M188" i="16"/>
  <c r="K188" i="16"/>
  <c r="O187" i="16"/>
  <c r="M187" i="16"/>
  <c r="K187" i="16"/>
  <c r="O186" i="16"/>
  <c r="M186" i="16"/>
  <c r="K186" i="16"/>
  <c r="O185" i="16"/>
  <c r="M185" i="16"/>
  <c r="K185" i="16"/>
  <c r="O184" i="16"/>
  <c r="M184" i="16"/>
  <c r="K184" i="16"/>
  <c r="O183" i="16"/>
  <c r="M183" i="16"/>
  <c r="K183" i="16"/>
  <c r="O182" i="16"/>
  <c r="M182" i="16"/>
  <c r="K182" i="16"/>
  <c r="O181" i="16"/>
  <c r="M181" i="16"/>
  <c r="K181" i="16"/>
  <c r="O180" i="16"/>
  <c r="M180" i="16"/>
  <c r="K180" i="16"/>
  <c r="O179" i="16"/>
  <c r="M179" i="16"/>
  <c r="K179" i="16"/>
  <c r="O178" i="16"/>
  <c r="M178" i="16"/>
  <c r="L178" i="16"/>
  <c r="K178" i="16"/>
  <c r="O177" i="16"/>
  <c r="M177" i="16"/>
  <c r="L177" i="16"/>
  <c r="K177" i="16"/>
  <c r="O176" i="16"/>
  <c r="M176" i="16"/>
  <c r="L176" i="16"/>
  <c r="K176" i="16"/>
  <c r="O175" i="16"/>
  <c r="M175" i="16"/>
  <c r="L175" i="16"/>
  <c r="K175" i="16"/>
  <c r="O174" i="16"/>
  <c r="M174" i="16"/>
  <c r="L174" i="16"/>
  <c r="K174" i="16"/>
  <c r="R173" i="16"/>
  <c r="Q173" i="16"/>
  <c r="O173" i="16"/>
  <c r="M173" i="16"/>
  <c r="L173" i="16"/>
  <c r="K173" i="16"/>
  <c r="O172" i="16"/>
  <c r="M172" i="16"/>
  <c r="L172" i="16"/>
  <c r="N172" i="16" s="1"/>
  <c r="K172" i="16"/>
  <c r="J172" i="16"/>
  <c r="N171" i="16"/>
  <c r="M171" i="16"/>
  <c r="L171" i="16"/>
  <c r="J171" i="16"/>
  <c r="O170" i="16"/>
  <c r="N170" i="16"/>
  <c r="M170" i="16"/>
  <c r="L170" i="16"/>
  <c r="K170" i="16"/>
  <c r="O169" i="16"/>
  <c r="M169" i="16"/>
  <c r="L169" i="16"/>
  <c r="N169" i="16" s="1"/>
  <c r="K169" i="16"/>
  <c r="J169" i="16"/>
  <c r="O168" i="16"/>
  <c r="M168" i="16"/>
  <c r="L168" i="16"/>
  <c r="N168" i="16" s="1"/>
  <c r="K168" i="16"/>
  <c r="J168" i="16"/>
  <c r="I168" i="16" s="1"/>
  <c r="O167" i="16"/>
  <c r="N167" i="16"/>
  <c r="M167" i="16"/>
  <c r="L167" i="16"/>
  <c r="K167" i="16"/>
  <c r="J167" i="16"/>
  <c r="I167" i="16" s="1"/>
  <c r="O166" i="16"/>
  <c r="M166" i="16"/>
  <c r="L166" i="16"/>
  <c r="N166" i="16" s="1"/>
  <c r="K166" i="16"/>
  <c r="J166" i="16"/>
  <c r="O165" i="16"/>
  <c r="M165" i="16"/>
  <c r="L165" i="16"/>
  <c r="N165" i="16" s="1"/>
  <c r="K165" i="16"/>
  <c r="O164" i="16"/>
  <c r="M164" i="16"/>
  <c r="K164" i="16"/>
  <c r="O163" i="16"/>
  <c r="M163" i="16"/>
  <c r="L163" i="16"/>
  <c r="N163" i="16" s="1"/>
  <c r="K163" i="16"/>
  <c r="J163" i="16"/>
  <c r="O162" i="16"/>
  <c r="N162" i="16"/>
  <c r="M162" i="16"/>
  <c r="L162" i="16"/>
  <c r="K162" i="16"/>
  <c r="J162" i="16"/>
  <c r="O161" i="16"/>
  <c r="M161" i="16"/>
  <c r="L161" i="16"/>
  <c r="N161" i="16" s="1"/>
  <c r="J161" i="16"/>
  <c r="O160" i="16"/>
  <c r="M160" i="16"/>
  <c r="L160" i="16"/>
  <c r="N160" i="16" s="1"/>
  <c r="K160" i="16"/>
  <c r="O159" i="16"/>
  <c r="M159" i="16"/>
  <c r="N159" i="16" s="1"/>
  <c r="L159" i="16"/>
  <c r="J159" i="16"/>
  <c r="O158" i="16"/>
  <c r="M158" i="16"/>
  <c r="N158" i="16" s="1"/>
  <c r="L158" i="16"/>
  <c r="K158" i="16"/>
  <c r="J158" i="16"/>
  <c r="O157" i="16"/>
  <c r="M157" i="16"/>
  <c r="L157" i="16"/>
  <c r="N157" i="16" s="1"/>
  <c r="K157" i="16"/>
  <c r="O156" i="16"/>
  <c r="M156" i="16"/>
  <c r="L156" i="16"/>
  <c r="N156" i="16" s="1"/>
  <c r="K156" i="16"/>
  <c r="J156" i="16"/>
  <c r="O155" i="16"/>
  <c r="N155" i="16"/>
  <c r="M155" i="16"/>
  <c r="L155" i="16"/>
  <c r="K155" i="16"/>
  <c r="J155" i="16"/>
  <c r="I155" i="16" s="1"/>
  <c r="O154" i="16"/>
  <c r="M154" i="16"/>
  <c r="N154" i="16" s="1"/>
  <c r="K154" i="16"/>
  <c r="J154" i="16"/>
  <c r="O153" i="16"/>
  <c r="M153" i="16"/>
  <c r="N153" i="16" s="1"/>
  <c r="K153" i="16"/>
  <c r="O152" i="16"/>
  <c r="N152" i="16"/>
  <c r="M152" i="16"/>
  <c r="K152" i="16"/>
  <c r="J152" i="16"/>
  <c r="O151" i="16"/>
  <c r="M151" i="16"/>
  <c r="N151" i="16" s="1"/>
  <c r="K151" i="16"/>
  <c r="O150" i="16"/>
  <c r="M150" i="16"/>
  <c r="N150" i="16" s="1"/>
  <c r="K150" i="16"/>
  <c r="O149" i="16"/>
  <c r="N149" i="16"/>
  <c r="M149" i="16"/>
  <c r="K149" i="16"/>
  <c r="O148" i="16"/>
  <c r="M148" i="16"/>
  <c r="N148" i="16" s="1"/>
  <c r="K148" i="16"/>
  <c r="O147" i="16"/>
  <c r="M147" i="16"/>
  <c r="N147" i="16" s="1"/>
  <c r="K147" i="16"/>
  <c r="O146" i="16"/>
  <c r="M146" i="16"/>
  <c r="N146" i="16" s="1"/>
  <c r="K146" i="16"/>
  <c r="O145" i="16"/>
  <c r="M145" i="16"/>
  <c r="N145" i="16" s="1"/>
  <c r="K145" i="16"/>
  <c r="K144" i="16"/>
  <c r="J144" i="16"/>
  <c r="G144" i="16"/>
  <c r="K143" i="16"/>
  <c r="G143" i="16"/>
  <c r="K142" i="16"/>
  <c r="G142" i="16"/>
  <c r="K141" i="16"/>
  <c r="G141" i="16"/>
  <c r="K140" i="16"/>
  <c r="J140" i="16"/>
  <c r="G140" i="16"/>
  <c r="K139" i="16"/>
  <c r="G139" i="16"/>
  <c r="K138" i="16"/>
  <c r="G138" i="16"/>
  <c r="M137" i="16"/>
  <c r="N137" i="16" s="1"/>
  <c r="L137" i="16"/>
  <c r="J137" i="16"/>
  <c r="H137" i="16"/>
  <c r="G137" i="16"/>
  <c r="M136" i="16"/>
  <c r="L136" i="16"/>
  <c r="N136" i="16" s="1"/>
  <c r="J136" i="16"/>
  <c r="G136" i="16"/>
  <c r="O135" i="16"/>
  <c r="M135" i="16"/>
  <c r="K135" i="16"/>
  <c r="H135" i="16"/>
  <c r="G135" i="16"/>
  <c r="M134" i="16"/>
  <c r="L134" i="16"/>
  <c r="N134" i="16" s="1"/>
  <c r="J134" i="16"/>
  <c r="G134" i="16"/>
  <c r="M133" i="16"/>
  <c r="L133" i="16"/>
  <c r="N133" i="16" s="1"/>
  <c r="G133" i="16"/>
  <c r="N132" i="16"/>
  <c r="M132" i="16"/>
  <c r="L132" i="16"/>
  <c r="J132" i="16"/>
  <c r="H132" i="16"/>
  <c r="G132" i="16"/>
  <c r="N131" i="16"/>
  <c r="M131" i="16"/>
  <c r="L131" i="16"/>
  <c r="G131" i="16"/>
  <c r="N130" i="16"/>
  <c r="M130" i="16"/>
  <c r="L130" i="16"/>
  <c r="J130" i="16"/>
  <c r="G130" i="16"/>
  <c r="N129" i="16"/>
  <c r="M129" i="16"/>
  <c r="L129" i="16"/>
  <c r="G129" i="16"/>
  <c r="M128" i="16"/>
  <c r="L128" i="16"/>
  <c r="N128" i="16" s="1"/>
  <c r="J128" i="16"/>
  <c r="H128" i="16"/>
  <c r="G128" i="16"/>
  <c r="M127" i="16"/>
  <c r="N127" i="16" s="1"/>
  <c r="L127" i="16"/>
  <c r="G127" i="16"/>
  <c r="N126" i="16"/>
  <c r="M126" i="16"/>
  <c r="L126" i="16"/>
  <c r="G126" i="16"/>
  <c r="M125" i="16"/>
  <c r="L125" i="16"/>
  <c r="N125" i="16" s="1"/>
  <c r="G125" i="16"/>
  <c r="M124" i="16"/>
  <c r="L124" i="16"/>
  <c r="N124" i="16" s="1"/>
  <c r="J124" i="16"/>
  <c r="H124" i="16"/>
  <c r="G124" i="16"/>
  <c r="M123" i="16"/>
  <c r="N123" i="16" s="1"/>
  <c r="L123" i="16"/>
  <c r="J123" i="16"/>
  <c r="G123" i="16"/>
  <c r="N122" i="16"/>
  <c r="M122" i="16"/>
  <c r="L122" i="16"/>
  <c r="J122" i="16"/>
  <c r="H122" i="16"/>
  <c r="G122" i="16"/>
  <c r="M121" i="16"/>
  <c r="L121" i="16"/>
  <c r="N121" i="16" s="1"/>
  <c r="J121" i="16"/>
  <c r="H121" i="16"/>
  <c r="G121" i="16"/>
  <c r="M120" i="16"/>
  <c r="L120" i="16"/>
  <c r="N120" i="16" s="1"/>
  <c r="J120" i="16"/>
  <c r="H120" i="16"/>
  <c r="G120" i="16"/>
  <c r="M119" i="16"/>
  <c r="L119" i="16"/>
  <c r="N119" i="16" s="1"/>
  <c r="J119" i="16"/>
  <c r="H119" i="16"/>
  <c r="G119" i="16"/>
  <c r="M118" i="16"/>
  <c r="L118" i="16"/>
  <c r="N118" i="16" s="1"/>
  <c r="J118" i="16"/>
  <c r="G118" i="16"/>
  <c r="N117" i="16"/>
  <c r="M117" i="16"/>
  <c r="L117" i="16"/>
  <c r="J117" i="16"/>
  <c r="G117" i="16"/>
  <c r="N116" i="16"/>
  <c r="M116" i="16"/>
  <c r="L116" i="16"/>
  <c r="G116" i="16"/>
  <c r="N115" i="16"/>
  <c r="M115" i="16"/>
  <c r="L115" i="16"/>
  <c r="G115" i="16"/>
  <c r="N114" i="16"/>
  <c r="M114" i="16"/>
  <c r="L114" i="16"/>
  <c r="G114" i="16"/>
  <c r="N113" i="16"/>
  <c r="M113" i="16"/>
  <c r="L113" i="16"/>
  <c r="G113" i="16"/>
  <c r="M112" i="16"/>
  <c r="L112" i="16"/>
  <c r="N112" i="16" s="1"/>
  <c r="H112" i="16"/>
  <c r="G112" i="16"/>
  <c r="M111" i="16"/>
  <c r="N111" i="16" s="1"/>
  <c r="L111" i="16"/>
  <c r="G111" i="16"/>
  <c r="M110" i="16"/>
  <c r="N110" i="16" s="1"/>
  <c r="L110" i="16"/>
  <c r="J110" i="16"/>
  <c r="G110" i="16"/>
  <c r="M109" i="16"/>
  <c r="L109" i="16"/>
  <c r="N109" i="16" s="1"/>
  <c r="G109" i="16"/>
  <c r="M108" i="16"/>
  <c r="L108" i="16"/>
  <c r="N108" i="16" s="1"/>
  <c r="H108" i="16"/>
  <c r="G108" i="16"/>
  <c r="M107" i="16"/>
  <c r="N107" i="16" s="1"/>
  <c r="L107" i="16"/>
  <c r="J107" i="16"/>
  <c r="H107" i="16"/>
  <c r="G107" i="16"/>
  <c r="N106" i="16"/>
  <c r="M106" i="16"/>
  <c r="L106" i="16"/>
  <c r="J106" i="16"/>
  <c r="H106" i="16"/>
  <c r="G106" i="16"/>
  <c r="M105" i="16"/>
  <c r="L105" i="16"/>
  <c r="N105" i="16" s="1"/>
  <c r="J105" i="16"/>
  <c r="H105" i="16"/>
  <c r="G105" i="16"/>
  <c r="M104" i="16"/>
  <c r="L104" i="16"/>
  <c r="N104" i="16" s="1"/>
  <c r="J104" i="16"/>
  <c r="H104" i="16"/>
  <c r="G104" i="16"/>
  <c r="M103" i="16"/>
  <c r="L103" i="16"/>
  <c r="N103" i="16" s="1"/>
  <c r="J103" i="16"/>
  <c r="H103" i="16"/>
  <c r="G103" i="16"/>
  <c r="M102" i="16"/>
  <c r="L102" i="16"/>
  <c r="N102" i="16" s="1"/>
  <c r="G102" i="16"/>
  <c r="M101" i="16"/>
  <c r="N101" i="16" s="1"/>
  <c r="L101" i="16"/>
  <c r="G101" i="16"/>
  <c r="M100" i="16"/>
  <c r="L100" i="16"/>
  <c r="G100" i="16"/>
  <c r="M99" i="16"/>
  <c r="L99" i="16"/>
  <c r="N99" i="16" s="1"/>
  <c r="H99" i="16"/>
  <c r="G99" i="16"/>
  <c r="M98" i="16"/>
  <c r="N98" i="16" s="1"/>
  <c r="L98" i="16"/>
  <c r="J98" i="16"/>
  <c r="G98" i="16"/>
  <c r="N97" i="16"/>
  <c r="M97" i="16"/>
  <c r="L97" i="16"/>
  <c r="J97" i="16"/>
  <c r="G97" i="16"/>
  <c r="M96" i="16"/>
  <c r="N96" i="16" s="1"/>
  <c r="L96" i="16"/>
  <c r="J96" i="16"/>
  <c r="G96" i="16"/>
  <c r="N95" i="16"/>
  <c r="M95" i="16"/>
  <c r="L95" i="16"/>
  <c r="G95" i="16"/>
  <c r="N94" i="16"/>
  <c r="M94" i="16"/>
  <c r="L94" i="16"/>
  <c r="G94" i="16"/>
  <c r="N93" i="16"/>
  <c r="M93" i="16"/>
  <c r="L93" i="16"/>
  <c r="G93" i="16"/>
  <c r="M92" i="16"/>
  <c r="L92" i="16"/>
  <c r="N92" i="16" s="1"/>
  <c r="H92" i="16"/>
  <c r="G92" i="16"/>
  <c r="M91" i="16"/>
  <c r="N91" i="16" s="1"/>
  <c r="L91" i="16"/>
  <c r="J91" i="16"/>
  <c r="G91" i="16"/>
  <c r="M90" i="16"/>
  <c r="N90" i="16" s="1"/>
  <c r="L90" i="16"/>
  <c r="J90" i="16"/>
  <c r="G90" i="16"/>
  <c r="M89" i="16"/>
  <c r="L89" i="16"/>
  <c r="J89" i="16"/>
  <c r="H89" i="16"/>
  <c r="G89" i="16"/>
  <c r="M88" i="16"/>
  <c r="L88" i="16"/>
  <c r="N88" i="16" s="1"/>
  <c r="H88" i="16"/>
  <c r="G88" i="16"/>
  <c r="M87" i="16"/>
  <c r="N87" i="16" s="1"/>
  <c r="L87" i="16"/>
  <c r="H87" i="16"/>
  <c r="G87" i="16"/>
  <c r="N86" i="16"/>
  <c r="M86" i="16"/>
  <c r="L86" i="16"/>
  <c r="H86" i="16"/>
  <c r="G86" i="16"/>
  <c r="M85" i="16"/>
  <c r="L85" i="16"/>
  <c r="N85" i="16" s="1"/>
  <c r="H85" i="16"/>
  <c r="G85" i="16"/>
  <c r="M84" i="16"/>
  <c r="L84" i="16"/>
  <c r="N84" i="16" s="1"/>
  <c r="J84" i="16"/>
  <c r="H84" i="16"/>
  <c r="G84" i="16"/>
  <c r="M83" i="16"/>
  <c r="L83" i="16"/>
  <c r="N83" i="16" s="1"/>
  <c r="H83" i="16"/>
  <c r="G83" i="16"/>
  <c r="M82" i="16"/>
  <c r="L82" i="16"/>
  <c r="N82" i="16" s="1"/>
  <c r="G82" i="16"/>
  <c r="N81" i="16"/>
  <c r="M81" i="16"/>
  <c r="L81" i="16"/>
  <c r="G81" i="16"/>
  <c r="N80" i="16"/>
  <c r="M80" i="16"/>
  <c r="L80" i="16"/>
  <c r="G80" i="16"/>
  <c r="M79" i="16"/>
  <c r="L79" i="16"/>
  <c r="N79" i="16" s="1"/>
  <c r="G79" i="16"/>
  <c r="N78" i="16"/>
  <c r="M78" i="16"/>
  <c r="L78" i="16"/>
  <c r="G78" i="16"/>
  <c r="M77" i="16"/>
  <c r="L77" i="16"/>
  <c r="N77" i="16" s="1"/>
  <c r="J77" i="16"/>
  <c r="H77" i="16"/>
  <c r="G77" i="16"/>
  <c r="M76" i="16"/>
  <c r="N76" i="16" s="1"/>
  <c r="L76" i="16"/>
  <c r="H76" i="16"/>
  <c r="G76" i="16"/>
  <c r="N75" i="16"/>
  <c r="M75" i="16"/>
  <c r="L75" i="16"/>
  <c r="H75" i="16"/>
  <c r="G75" i="16"/>
  <c r="M74" i="16"/>
  <c r="L74" i="16"/>
  <c r="N74" i="16" s="1"/>
  <c r="H74" i="16"/>
  <c r="G74" i="16"/>
  <c r="M73" i="16"/>
  <c r="L73" i="16"/>
  <c r="N73" i="16" s="1"/>
  <c r="H73" i="16"/>
  <c r="G73" i="16"/>
  <c r="O72" i="16"/>
  <c r="M72" i="16"/>
  <c r="L72" i="16"/>
  <c r="N72" i="16" s="1"/>
  <c r="K72" i="16"/>
  <c r="H72" i="16"/>
  <c r="G72" i="16"/>
  <c r="O71" i="16"/>
  <c r="M71" i="16"/>
  <c r="L71" i="16"/>
  <c r="N71" i="16" s="1"/>
  <c r="K71" i="16"/>
  <c r="G71" i="16"/>
  <c r="H71" i="16" s="1"/>
  <c r="O70" i="16"/>
  <c r="N70" i="16"/>
  <c r="M70" i="16"/>
  <c r="L70" i="16"/>
  <c r="K70" i="16"/>
  <c r="G70" i="16"/>
  <c r="H70" i="16" s="1"/>
  <c r="O69" i="16"/>
  <c r="M69" i="16"/>
  <c r="L69" i="16"/>
  <c r="N69" i="16" s="1"/>
  <c r="K69" i="16"/>
  <c r="G69" i="16"/>
  <c r="H69" i="16" s="1"/>
  <c r="O68" i="16"/>
  <c r="N68" i="16"/>
  <c r="M68" i="16"/>
  <c r="L68" i="16"/>
  <c r="K68" i="16"/>
  <c r="J68" i="16"/>
  <c r="G68" i="16"/>
  <c r="H68" i="16" s="1"/>
  <c r="O67" i="16"/>
  <c r="N67" i="16"/>
  <c r="M67" i="16"/>
  <c r="L67" i="16"/>
  <c r="K67" i="16"/>
  <c r="J67" i="16"/>
  <c r="G67" i="16"/>
  <c r="H67" i="16" s="1"/>
  <c r="O66" i="16"/>
  <c r="N66" i="16"/>
  <c r="M66" i="16"/>
  <c r="L66" i="16"/>
  <c r="K66" i="16"/>
  <c r="J66" i="16"/>
  <c r="G66" i="16"/>
  <c r="H66" i="16" s="1"/>
  <c r="O65" i="16"/>
  <c r="M65" i="16"/>
  <c r="L65" i="16"/>
  <c r="N65" i="16" s="1"/>
  <c r="K65" i="16"/>
  <c r="J65" i="16"/>
  <c r="H65" i="16"/>
  <c r="G65" i="16"/>
  <c r="O64" i="16"/>
  <c r="M64" i="16"/>
  <c r="N64" i="16" s="1"/>
  <c r="L64" i="16"/>
  <c r="K64" i="16"/>
  <c r="J64" i="16"/>
  <c r="G64" i="16"/>
  <c r="H64" i="16" s="1"/>
  <c r="O63" i="16"/>
  <c r="M63" i="16"/>
  <c r="N63" i="16" s="1"/>
  <c r="L63" i="16"/>
  <c r="K63" i="16"/>
  <c r="J63" i="16"/>
  <c r="G63" i="16"/>
  <c r="H63" i="16" s="1"/>
  <c r="O62" i="16"/>
  <c r="M62" i="16"/>
  <c r="L62" i="16"/>
  <c r="K62" i="16"/>
  <c r="J62" i="16"/>
  <c r="H62" i="16"/>
  <c r="G62" i="16"/>
  <c r="O61" i="16"/>
  <c r="M61" i="16"/>
  <c r="L61" i="16"/>
  <c r="K61" i="16"/>
  <c r="J61" i="16"/>
  <c r="H61" i="16"/>
  <c r="G61" i="16"/>
  <c r="O60" i="16"/>
  <c r="M60" i="16"/>
  <c r="N60" i="16" s="1"/>
  <c r="L60" i="16"/>
  <c r="K60" i="16"/>
  <c r="J60" i="16"/>
  <c r="H60" i="16"/>
  <c r="G60" i="16"/>
  <c r="O59" i="16"/>
  <c r="N59" i="16"/>
  <c r="M59" i="16"/>
  <c r="L59" i="16"/>
  <c r="K59" i="16"/>
  <c r="J59" i="16"/>
  <c r="H59" i="16"/>
  <c r="G59" i="16"/>
  <c r="O58" i="16"/>
  <c r="M58" i="16"/>
  <c r="L58" i="16"/>
  <c r="N58" i="16" s="1"/>
  <c r="K58" i="16"/>
  <c r="H58" i="16"/>
  <c r="G58" i="16"/>
  <c r="O57" i="16"/>
  <c r="M57" i="16"/>
  <c r="L57" i="16"/>
  <c r="N57" i="16" s="1"/>
  <c r="K57" i="16"/>
  <c r="H57" i="16"/>
  <c r="G57" i="16"/>
  <c r="O56" i="16"/>
  <c r="M56" i="16"/>
  <c r="L56" i="16"/>
  <c r="N56" i="16" s="1"/>
  <c r="K56" i="16"/>
  <c r="O55" i="16"/>
  <c r="M55" i="16"/>
  <c r="L55" i="16"/>
  <c r="N55" i="16" s="1"/>
  <c r="K55" i="16"/>
  <c r="H55" i="16"/>
  <c r="G55" i="16"/>
  <c r="O54" i="16"/>
  <c r="M54" i="16"/>
  <c r="L54" i="16"/>
  <c r="N54" i="16" s="1"/>
  <c r="K54" i="16"/>
  <c r="H54" i="16"/>
  <c r="G54" i="16"/>
  <c r="O53" i="16"/>
  <c r="M53" i="16"/>
  <c r="L53" i="16"/>
  <c r="N53" i="16" s="1"/>
  <c r="K53" i="16"/>
  <c r="G53" i="16"/>
  <c r="H53" i="16" s="1"/>
  <c r="O52" i="16"/>
  <c r="M52" i="16"/>
  <c r="L52" i="16"/>
  <c r="N52" i="16" s="1"/>
  <c r="K52" i="16"/>
  <c r="J52" i="16"/>
  <c r="G52" i="16"/>
  <c r="H52" i="16" s="1"/>
  <c r="O51" i="16"/>
  <c r="M51" i="16"/>
  <c r="L51" i="16"/>
  <c r="N51" i="16" s="1"/>
  <c r="K51" i="16"/>
  <c r="O50" i="16"/>
  <c r="M50" i="16"/>
  <c r="L50" i="16"/>
  <c r="N50" i="16" s="1"/>
  <c r="K50" i="16"/>
  <c r="G50" i="16"/>
  <c r="H50" i="16" s="1"/>
  <c r="O49" i="16"/>
  <c r="N49" i="16"/>
  <c r="M49" i="16"/>
  <c r="L49" i="16"/>
  <c r="K49" i="16"/>
  <c r="G49" i="16"/>
  <c r="H49" i="16" s="1"/>
  <c r="O48" i="16"/>
  <c r="N48" i="16"/>
  <c r="M48" i="16"/>
  <c r="L48" i="16"/>
  <c r="K48" i="16"/>
  <c r="J48" i="16"/>
  <c r="G48" i="16"/>
  <c r="H48" i="16" s="1"/>
  <c r="N47" i="16"/>
  <c r="M47" i="16"/>
  <c r="L47" i="16"/>
  <c r="J47" i="16"/>
  <c r="G47" i="16"/>
  <c r="N46" i="16"/>
  <c r="M46" i="16"/>
  <c r="L46" i="16"/>
  <c r="J46" i="16"/>
  <c r="G46" i="16"/>
  <c r="M45" i="16"/>
  <c r="L45" i="16"/>
  <c r="N45" i="16" s="1"/>
  <c r="J45" i="16"/>
  <c r="H45" i="16"/>
  <c r="G45" i="16"/>
  <c r="M44" i="16"/>
  <c r="N44" i="16" s="1"/>
  <c r="L44" i="16"/>
  <c r="J44" i="16"/>
  <c r="G44" i="16"/>
  <c r="Q43" i="16"/>
  <c r="M43" i="16"/>
  <c r="L43" i="16"/>
  <c r="N43" i="16" s="1"/>
  <c r="J43" i="16"/>
  <c r="G43" i="16"/>
  <c r="M42" i="16"/>
  <c r="L42" i="16"/>
  <c r="N42" i="16" s="1"/>
  <c r="H42" i="16"/>
  <c r="G42" i="16"/>
  <c r="M41" i="16"/>
  <c r="N41" i="16" s="1"/>
  <c r="L41" i="16"/>
  <c r="G41" i="16"/>
  <c r="N40" i="16"/>
  <c r="M40" i="16"/>
  <c r="L40" i="16"/>
  <c r="G40" i="16"/>
  <c r="N39" i="16"/>
  <c r="M39" i="16"/>
  <c r="L39" i="16"/>
  <c r="G39" i="16"/>
  <c r="M38" i="16"/>
  <c r="L38" i="16"/>
  <c r="J38" i="16"/>
  <c r="H38" i="16"/>
  <c r="G38" i="16"/>
  <c r="M37" i="16"/>
  <c r="N37" i="16" s="1"/>
  <c r="L37" i="16"/>
  <c r="J37" i="16"/>
  <c r="G37" i="16"/>
  <c r="N36" i="16"/>
  <c r="M36" i="16"/>
  <c r="L36" i="16"/>
  <c r="J36" i="16"/>
  <c r="G36" i="16"/>
  <c r="M35" i="16"/>
  <c r="L35" i="16"/>
  <c r="J35" i="16"/>
  <c r="G35" i="16"/>
  <c r="M34" i="16"/>
  <c r="L34" i="16"/>
  <c r="J34" i="16"/>
  <c r="H34" i="16"/>
  <c r="G34" i="16"/>
  <c r="M33" i="16"/>
  <c r="N33" i="16" s="1"/>
  <c r="L33" i="16"/>
  <c r="H33" i="16"/>
  <c r="G33" i="16"/>
  <c r="N32" i="16"/>
  <c r="M32" i="16"/>
  <c r="L32" i="16"/>
  <c r="H32" i="16"/>
  <c r="G32" i="16"/>
  <c r="M31" i="16"/>
  <c r="L31" i="16"/>
  <c r="N31" i="16" s="1"/>
  <c r="G31" i="16"/>
  <c r="M30" i="16"/>
  <c r="L30" i="16"/>
  <c r="N30" i="16" s="1"/>
  <c r="J30" i="16"/>
  <c r="H30" i="16"/>
  <c r="G30" i="16"/>
  <c r="M29" i="16"/>
  <c r="L29" i="16"/>
  <c r="N29" i="16" s="1"/>
  <c r="J29" i="16"/>
  <c r="H29" i="16"/>
  <c r="G29" i="16"/>
  <c r="O28" i="16"/>
  <c r="M28" i="16"/>
  <c r="L28" i="16"/>
  <c r="N28" i="16" s="1"/>
  <c r="K28" i="16"/>
  <c r="J28" i="16"/>
  <c r="H28" i="16"/>
  <c r="O27" i="16"/>
  <c r="M27" i="16"/>
  <c r="N27" i="16" s="1"/>
  <c r="L27" i="16"/>
  <c r="K27" i="16"/>
  <c r="H27" i="16"/>
  <c r="O26" i="16"/>
  <c r="M26" i="16"/>
  <c r="L26" i="16"/>
  <c r="N26" i="16" s="1"/>
  <c r="K26" i="16"/>
  <c r="H26" i="16"/>
  <c r="O25" i="16"/>
  <c r="M25" i="16"/>
  <c r="N25" i="16" s="1"/>
  <c r="L25" i="16"/>
  <c r="K25" i="16"/>
  <c r="H25" i="16"/>
  <c r="M24" i="16"/>
  <c r="L24" i="16"/>
  <c r="N24" i="16" s="1"/>
  <c r="H24" i="16"/>
  <c r="N23" i="16"/>
  <c r="M23" i="16"/>
  <c r="L23" i="16"/>
  <c r="G23" i="16"/>
  <c r="M22" i="16"/>
  <c r="L22" i="16"/>
  <c r="N22" i="16" s="1"/>
  <c r="G22" i="16"/>
  <c r="O21" i="16"/>
  <c r="M21" i="16"/>
  <c r="N21" i="16" s="1"/>
  <c r="L21" i="16"/>
  <c r="K21" i="16"/>
  <c r="J21" i="16"/>
  <c r="G21" i="16"/>
  <c r="O20" i="16"/>
  <c r="M20" i="16"/>
  <c r="L20" i="16"/>
  <c r="N20" i="16" s="1"/>
  <c r="K20" i="16"/>
  <c r="G20" i="16"/>
  <c r="O19" i="16"/>
  <c r="N19" i="16"/>
  <c r="M19" i="16"/>
  <c r="L19" i="16"/>
  <c r="K19" i="16"/>
  <c r="G19" i="16"/>
  <c r="O18" i="16"/>
  <c r="M18" i="16"/>
  <c r="L18" i="16"/>
  <c r="N18" i="16" s="1"/>
  <c r="K18" i="16"/>
  <c r="G18" i="16"/>
  <c r="M17" i="16"/>
  <c r="N17" i="16" s="1"/>
  <c r="L17" i="16"/>
  <c r="J17" i="16"/>
  <c r="G17" i="16"/>
  <c r="M16" i="16"/>
  <c r="L16" i="16"/>
  <c r="N16" i="16" s="1"/>
  <c r="J16" i="16"/>
  <c r="H16" i="16"/>
  <c r="G16" i="16"/>
  <c r="M15" i="16"/>
  <c r="L15" i="16"/>
  <c r="N15" i="16" s="1"/>
  <c r="J15" i="16"/>
  <c r="H15" i="16"/>
  <c r="G15" i="16"/>
  <c r="N14" i="16"/>
  <c r="M14" i="16"/>
  <c r="L14" i="16"/>
  <c r="J14" i="16"/>
  <c r="H14" i="16"/>
  <c r="G14" i="16"/>
  <c r="N13" i="16"/>
  <c r="M13" i="16"/>
  <c r="L13" i="16"/>
  <c r="J13" i="16"/>
  <c r="H13" i="16"/>
  <c r="G13" i="16"/>
  <c r="K12" i="16"/>
  <c r="N11" i="16"/>
  <c r="M11" i="16"/>
  <c r="L11" i="16"/>
  <c r="G11" i="16"/>
  <c r="O10" i="16"/>
  <c r="M10" i="16"/>
  <c r="L10" i="16"/>
  <c r="N10" i="16" s="1"/>
  <c r="K10" i="16"/>
  <c r="G10" i="16"/>
  <c r="M9" i="16"/>
  <c r="N9" i="16" s="1"/>
  <c r="L9" i="16"/>
  <c r="G9" i="16"/>
  <c r="K8" i="16"/>
  <c r="J8" i="16"/>
  <c r="I8" i="16" s="1"/>
  <c r="M7" i="16"/>
  <c r="N7" i="16" s="1"/>
  <c r="L7" i="16"/>
  <c r="G7" i="16"/>
  <c r="K6" i="16"/>
  <c r="M5" i="16"/>
  <c r="L5" i="16"/>
  <c r="N5" i="16" s="1"/>
  <c r="G5" i="16"/>
  <c r="K4" i="16"/>
  <c r="M3" i="16"/>
  <c r="L3" i="16"/>
  <c r="N3" i="16" s="1"/>
  <c r="G3" i="16"/>
  <c r="M403" i="15"/>
  <c r="K403" i="15"/>
  <c r="J403" i="15"/>
  <c r="L403" i="15" s="1"/>
  <c r="M402" i="15"/>
  <c r="K402" i="15"/>
  <c r="J402" i="15"/>
  <c r="L402" i="15" s="1"/>
  <c r="M401" i="15"/>
  <c r="K401" i="15"/>
  <c r="J401" i="15"/>
  <c r="M400" i="15"/>
  <c r="K400" i="15"/>
  <c r="J400" i="15"/>
  <c r="L400" i="15" s="1"/>
  <c r="M399" i="15"/>
  <c r="K399" i="15"/>
  <c r="J399" i="15"/>
  <c r="L399" i="15" s="1"/>
  <c r="M398" i="15"/>
  <c r="K398" i="15"/>
  <c r="J398" i="15"/>
  <c r="L398" i="15" s="1"/>
  <c r="M397" i="15"/>
  <c r="K397" i="15"/>
  <c r="J397" i="15"/>
  <c r="L397" i="15" s="1"/>
  <c r="M396" i="15"/>
  <c r="K396" i="15"/>
  <c r="J396" i="15"/>
  <c r="M395" i="15"/>
  <c r="K395" i="15"/>
  <c r="J395" i="15"/>
  <c r="L395" i="15" s="1"/>
  <c r="M394" i="15"/>
  <c r="K394" i="15"/>
  <c r="J394" i="15"/>
  <c r="M393" i="15"/>
  <c r="K393" i="15"/>
  <c r="J393" i="15"/>
  <c r="M392" i="15"/>
  <c r="K392" i="15"/>
  <c r="J392" i="15"/>
  <c r="L392" i="15" s="1"/>
  <c r="M391" i="15"/>
  <c r="K391" i="15"/>
  <c r="J391" i="15"/>
  <c r="L391" i="15" s="1"/>
  <c r="M390" i="15"/>
  <c r="K390" i="15"/>
  <c r="J390" i="15"/>
  <c r="L390" i="15" s="1"/>
  <c r="M389" i="15"/>
  <c r="K389" i="15"/>
  <c r="J389" i="15"/>
  <c r="M388" i="15"/>
  <c r="K388" i="15"/>
  <c r="J388" i="15"/>
  <c r="M387" i="15"/>
  <c r="K387" i="15"/>
  <c r="J387" i="15"/>
  <c r="L387" i="15" s="1"/>
  <c r="M386" i="15"/>
  <c r="K386" i="15"/>
  <c r="J386" i="15"/>
  <c r="L386" i="15" s="1"/>
  <c r="M385" i="15"/>
  <c r="K385" i="15"/>
  <c r="J385" i="15"/>
  <c r="L385" i="15" s="1"/>
  <c r="M384" i="15"/>
  <c r="K384" i="15"/>
  <c r="J384" i="15"/>
  <c r="M383" i="15"/>
  <c r="L383" i="15"/>
  <c r="K383" i="15"/>
  <c r="J383" i="15"/>
  <c r="M382" i="15"/>
  <c r="K382" i="15"/>
  <c r="J382" i="15"/>
  <c r="L382" i="15" s="1"/>
  <c r="M381" i="15"/>
  <c r="K381" i="15"/>
  <c r="J381" i="15"/>
  <c r="L381" i="15" s="1"/>
  <c r="M380" i="15"/>
  <c r="K380" i="15"/>
  <c r="J380" i="15"/>
  <c r="L380" i="15" s="1"/>
  <c r="M379" i="15"/>
  <c r="K379" i="15"/>
  <c r="J379" i="15"/>
  <c r="L379" i="15" s="1"/>
  <c r="M378" i="15"/>
  <c r="K378" i="15"/>
  <c r="J378" i="15"/>
  <c r="M377" i="15"/>
  <c r="K377" i="15"/>
  <c r="J377" i="15"/>
  <c r="L377" i="15" s="1"/>
  <c r="M376" i="15"/>
  <c r="K376" i="15"/>
  <c r="J376" i="15"/>
  <c r="L376" i="15" s="1"/>
  <c r="M375" i="15"/>
  <c r="K375" i="15"/>
  <c r="L375" i="15" s="1"/>
  <c r="J375" i="15"/>
  <c r="M374" i="15"/>
  <c r="K374" i="15"/>
  <c r="J374" i="15"/>
  <c r="L374" i="15" s="1"/>
  <c r="M373" i="15"/>
  <c r="K373" i="15"/>
  <c r="J373" i="15"/>
  <c r="M372" i="15"/>
  <c r="K372" i="15"/>
  <c r="J372" i="15"/>
  <c r="L372" i="15" s="1"/>
  <c r="M371" i="15"/>
  <c r="K371" i="15"/>
  <c r="L371" i="15" s="1"/>
  <c r="J371" i="15"/>
  <c r="M370" i="15"/>
  <c r="K370" i="15"/>
  <c r="J370" i="15"/>
  <c r="M369" i="15"/>
  <c r="K369" i="15"/>
  <c r="J369" i="15"/>
  <c r="L369" i="15" s="1"/>
  <c r="M368" i="15"/>
  <c r="K368" i="15"/>
  <c r="J368" i="15"/>
  <c r="L368" i="15" s="1"/>
  <c r="M367" i="15"/>
  <c r="K367" i="15"/>
  <c r="J367" i="15"/>
  <c r="L367" i="15" s="1"/>
  <c r="M366" i="15"/>
  <c r="K366" i="15"/>
  <c r="J366" i="15"/>
  <c r="M365" i="15"/>
  <c r="K365" i="15"/>
  <c r="J365" i="15"/>
  <c r="M364" i="15"/>
  <c r="K364" i="15"/>
  <c r="J364" i="15"/>
  <c r="L364" i="15" s="1"/>
  <c r="M363" i="15"/>
  <c r="K363" i="15"/>
  <c r="J363" i="15"/>
  <c r="L363" i="15" s="1"/>
  <c r="M362" i="15"/>
  <c r="K362" i="15"/>
  <c r="J362" i="15"/>
  <c r="L362" i="15" s="1"/>
  <c r="M361" i="15"/>
  <c r="K361" i="15"/>
  <c r="J361" i="15"/>
  <c r="M360" i="15"/>
  <c r="K360" i="15"/>
  <c r="J360" i="15"/>
  <c r="L360" i="15" s="1"/>
  <c r="M359" i="15"/>
  <c r="K359" i="15"/>
  <c r="J359" i="15"/>
  <c r="L359" i="15" s="1"/>
  <c r="M358" i="15"/>
  <c r="K358" i="15"/>
  <c r="J358" i="15"/>
  <c r="L358" i="15" s="1"/>
  <c r="M357" i="15"/>
  <c r="K357" i="15"/>
  <c r="J357" i="15"/>
  <c r="L357" i="15" s="1"/>
  <c r="M356" i="15"/>
  <c r="K356" i="15"/>
  <c r="J356" i="15"/>
  <c r="L356" i="15" s="1"/>
  <c r="M355" i="15"/>
  <c r="K355" i="15"/>
  <c r="L355" i="15" s="1"/>
  <c r="J355" i="15"/>
  <c r="M354" i="15"/>
  <c r="K354" i="15"/>
  <c r="J354" i="15"/>
  <c r="L354" i="15" s="1"/>
  <c r="M353" i="15"/>
  <c r="K353" i="15"/>
  <c r="J353" i="15"/>
  <c r="L353" i="15" s="1"/>
  <c r="M352" i="15"/>
  <c r="K352" i="15"/>
  <c r="J352" i="15"/>
  <c r="L352" i="15" s="1"/>
  <c r="M351" i="15"/>
  <c r="K351" i="15"/>
  <c r="L351" i="15" s="1"/>
  <c r="J351" i="15"/>
  <c r="M350" i="15"/>
  <c r="K350" i="15"/>
  <c r="J350" i="15"/>
  <c r="M349" i="15"/>
  <c r="K349" i="15"/>
  <c r="J349" i="15"/>
  <c r="L349" i="15" s="1"/>
  <c r="M348" i="15"/>
  <c r="K348" i="15"/>
  <c r="J348" i="15"/>
  <c r="L348" i="15" s="1"/>
  <c r="M347" i="15"/>
  <c r="K347" i="15"/>
  <c r="L347" i="15" s="1"/>
  <c r="J347" i="15"/>
  <c r="M346" i="15"/>
  <c r="K346" i="15"/>
  <c r="J346" i="15"/>
  <c r="L346" i="15" s="1"/>
  <c r="M345" i="15"/>
  <c r="K345" i="15"/>
  <c r="J345" i="15"/>
  <c r="L345" i="15" s="1"/>
  <c r="M344" i="15"/>
  <c r="K344" i="15"/>
  <c r="J344" i="15"/>
  <c r="L344" i="15" s="1"/>
  <c r="M343" i="15"/>
  <c r="K343" i="15"/>
  <c r="L343" i="15" s="1"/>
  <c r="J343" i="15"/>
  <c r="M342" i="15"/>
  <c r="K342" i="15"/>
  <c r="J342" i="15"/>
  <c r="M341" i="15"/>
  <c r="K341" i="15"/>
  <c r="J341" i="15"/>
  <c r="L341" i="15" s="1"/>
  <c r="M340" i="15"/>
  <c r="K340" i="15"/>
  <c r="J340" i="15"/>
  <c r="L340" i="15" s="1"/>
  <c r="M339" i="15"/>
  <c r="K339" i="15"/>
  <c r="L339" i="15" s="1"/>
  <c r="J339" i="15"/>
  <c r="M338" i="15"/>
  <c r="K338" i="15"/>
  <c r="J338" i="15"/>
  <c r="M337" i="15"/>
  <c r="K337" i="15"/>
  <c r="J337" i="15"/>
  <c r="M336" i="15"/>
  <c r="K336" i="15"/>
  <c r="J336" i="15"/>
  <c r="L336" i="15" s="1"/>
  <c r="M335" i="15"/>
  <c r="K335" i="15"/>
  <c r="L335" i="15" s="1"/>
  <c r="J335" i="15"/>
  <c r="M334" i="15"/>
  <c r="K334" i="15"/>
  <c r="J334" i="15"/>
  <c r="M333" i="15"/>
  <c r="K333" i="15"/>
  <c r="J333" i="15"/>
  <c r="M332" i="15"/>
  <c r="K332" i="15"/>
  <c r="J332" i="15"/>
  <c r="M331" i="15"/>
  <c r="K331" i="15"/>
  <c r="J331" i="15"/>
  <c r="L331" i="15" s="1"/>
  <c r="M330" i="15"/>
  <c r="K330" i="15"/>
  <c r="J330" i="15"/>
  <c r="M329" i="15"/>
  <c r="K329" i="15"/>
  <c r="J329" i="15"/>
  <c r="M328" i="15"/>
  <c r="K328" i="15"/>
  <c r="J328" i="15"/>
  <c r="L328" i="15" s="1"/>
  <c r="M327" i="15"/>
  <c r="K327" i="15"/>
  <c r="L327" i="15" s="1"/>
  <c r="J327" i="15"/>
  <c r="M326" i="15"/>
  <c r="K326" i="15"/>
  <c r="J326" i="15"/>
  <c r="M325" i="15"/>
  <c r="K325" i="15"/>
  <c r="J325" i="15"/>
  <c r="M324" i="15"/>
  <c r="K324" i="15"/>
  <c r="J324" i="15"/>
  <c r="M323" i="15"/>
  <c r="K323" i="15"/>
  <c r="L323" i="15" s="1"/>
  <c r="J323" i="15"/>
  <c r="M322" i="15"/>
  <c r="K322" i="15"/>
  <c r="J322" i="15"/>
  <c r="L322" i="15" s="1"/>
  <c r="M321" i="15"/>
  <c r="K321" i="15"/>
  <c r="J321" i="15"/>
  <c r="M320" i="15"/>
  <c r="K320" i="15"/>
  <c r="J320" i="15"/>
  <c r="L320" i="15" s="1"/>
  <c r="M319" i="15"/>
  <c r="L319" i="15"/>
  <c r="K319" i="15"/>
  <c r="J319" i="15"/>
  <c r="M318" i="15"/>
  <c r="K318" i="15"/>
  <c r="J318" i="15"/>
  <c r="M317" i="15"/>
  <c r="K317" i="15"/>
  <c r="J317" i="15"/>
  <c r="L317" i="15" s="1"/>
  <c r="M316" i="15"/>
  <c r="K316" i="15"/>
  <c r="J316" i="15"/>
  <c r="L316" i="15" s="1"/>
  <c r="M315" i="15"/>
  <c r="K315" i="15"/>
  <c r="J315" i="15"/>
  <c r="L315" i="15" s="1"/>
  <c r="M314" i="15"/>
  <c r="K314" i="15"/>
  <c r="J314" i="15"/>
  <c r="M313" i="15"/>
  <c r="K313" i="15"/>
  <c r="J313" i="15"/>
  <c r="L313" i="15" s="1"/>
  <c r="M312" i="15"/>
  <c r="K312" i="15"/>
  <c r="J312" i="15"/>
  <c r="L312" i="15" s="1"/>
  <c r="M311" i="15"/>
  <c r="K311" i="15"/>
  <c r="L311" i="15" s="1"/>
  <c r="J311" i="15"/>
  <c r="M310" i="15"/>
  <c r="K310" i="15"/>
  <c r="J310" i="15"/>
  <c r="L310" i="15" s="1"/>
  <c r="M309" i="15"/>
  <c r="K309" i="15"/>
  <c r="J309" i="15"/>
  <c r="M308" i="15"/>
  <c r="K308" i="15"/>
  <c r="J308" i="15"/>
  <c r="L308" i="15" s="1"/>
  <c r="M307" i="15"/>
  <c r="K307" i="15"/>
  <c r="L307" i="15" s="1"/>
  <c r="J307" i="15"/>
  <c r="M306" i="15"/>
  <c r="K306" i="15"/>
  <c r="J306" i="15"/>
  <c r="M305" i="15"/>
  <c r="K305" i="15"/>
  <c r="J305" i="15"/>
  <c r="L305" i="15" s="1"/>
  <c r="M304" i="15"/>
  <c r="K304" i="15"/>
  <c r="J304" i="15"/>
  <c r="L304" i="15" s="1"/>
  <c r="M303" i="15"/>
  <c r="K303" i="15"/>
  <c r="J303" i="15"/>
  <c r="L303" i="15" s="1"/>
  <c r="M302" i="15"/>
  <c r="K302" i="15"/>
  <c r="J302" i="15"/>
  <c r="M301" i="15"/>
  <c r="K301" i="15"/>
  <c r="J301" i="15"/>
  <c r="M300" i="15"/>
  <c r="K300" i="15"/>
  <c r="J300" i="15"/>
  <c r="L300" i="15" s="1"/>
  <c r="M299" i="15"/>
  <c r="K299" i="15"/>
  <c r="J299" i="15"/>
  <c r="L299" i="15" s="1"/>
  <c r="M298" i="15"/>
  <c r="K298" i="15"/>
  <c r="J298" i="15"/>
  <c r="L298" i="15" s="1"/>
  <c r="M297" i="15"/>
  <c r="K297" i="15"/>
  <c r="J297" i="15"/>
  <c r="M296" i="15"/>
  <c r="K296" i="15"/>
  <c r="J296" i="15"/>
  <c r="L296" i="15" s="1"/>
  <c r="M295" i="15"/>
  <c r="K295" i="15"/>
  <c r="J295" i="15"/>
  <c r="L295" i="15" s="1"/>
  <c r="M294" i="15"/>
  <c r="L294" i="15"/>
  <c r="K294" i="15"/>
  <c r="J294" i="15"/>
  <c r="M293" i="15"/>
  <c r="K293" i="15"/>
  <c r="J293" i="15"/>
  <c r="M292" i="15"/>
  <c r="K292" i="15"/>
  <c r="J292" i="15"/>
  <c r="L292" i="15" s="1"/>
  <c r="M291" i="15"/>
  <c r="L291" i="15"/>
  <c r="K291" i="15"/>
  <c r="J291" i="15"/>
  <c r="M290" i="15"/>
  <c r="L290" i="15"/>
  <c r="K290" i="15"/>
  <c r="J290" i="15"/>
  <c r="M289" i="15"/>
  <c r="K289" i="15"/>
  <c r="J289" i="15"/>
  <c r="L289" i="15" s="1"/>
  <c r="M288" i="15"/>
  <c r="K288" i="15"/>
  <c r="J288" i="15"/>
  <c r="L288" i="15" s="1"/>
  <c r="M287" i="15"/>
  <c r="K287" i="15"/>
  <c r="J287" i="15"/>
  <c r="L287" i="15" s="1"/>
  <c r="M286" i="15"/>
  <c r="K286" i="15"/>
  <c r="J286" i="15"/>
  <c r="M285" i="15"/>
  <c r="K285" i="15"/>
  <c r="J285" i="15"/>
  <c r="M284" i="15"/>
  <c r="K284" i="15"/>
  <c r="J284" i="15"/>
  <c r="L284" i="15" s="1"/>
  <c r="M283" i="15"/>
  <c r="L283" i="15"/>
  <c r="K283" i="15"/>
  <c r="J283" i="15"/>
  <c r="M282" i="15"/>
  <c r="L282" i="15"/>
  <c r="K282" i="15"/>
  <c r="J282" i="15"/>
  <c r="M281" i="15"/>
  <c r="K281" i="15"/>
  <c r="J281" i="15"/>
  <c r="K280" i="15"/>
  <c r="J280" i="15"/>
  <c r="G280" i="15"/>
  <c r="H280" i="15" s="1"/>
  <c r="F280" i="15"/>
  <c r="K279" i="15"/>
  <c r="J279" i="15"/>
  <c r="L279" i="15" s="1"/>
  <c r="H279" i="15"/>
  <c r="G279" i="15"/>
  <c r="F279" i="15"/>
  <c r="L278" i="15"/>
  <c r="K278" i="15"/>
  <c r="J278" i="15"/>
  <c r="F278" i="15"/>
  <c r="G278" i="15" s="1"/>
  <c r="H278" i="15" s="1"/>
  <c r="K277" i="15"/>
  <c r="J277" i="15"/>
  <c r="L277" i="15" s="1"/>
  <c r="F277" i="15"/>
  <c r="G277" i="15" s="1"/>
  <c r="H277" i="15" s="1"/>
  <c r="K276" i="15"/>
  <c r="J276" i="15"/>
  <c r="L276" i="15" s="1"/>
  <c r="H276" i="15"/>
  <c r="F276" i="15"/>
  <c r="G276" i="15" s="1"/>
  <c r="K275" i="15"/>
  <c r="J275" i="15"/>
  <c r="L275" i="15" s="1"/>
  <c r="H275" i="15"/>
  <c r="G275" i="15"/>
  <c r="K274" i="15"/>
  <c r="J274" i="15"/>
  <c r="L274" i="15" s="1"/>
  <c r="G274" i="15"/>
  <c r="H274" i="15" s="1"/>
  <c r="K273" i="15"/>
  <c r="J273" i="15"/>
  <c r="L273" i="15" s="1"/>
  <c r="G273" i="15"/>
  <c r="H273" i="15" s="1"/>
  <c r="K272" i="15"/>
  <c r="J272" i="15"/>
  <c r="L272" i="15" s="1"/>
  <c r="G272" i="15"/>
  <c r="H272" i="15" s="1"/>
  <c r="K271" i="15"/>
  <c r="J271" i="15"/>
  <c r="L271" i="15" s="1"/>
  <c r="G271" i="15"/>
  <c r="H271" i="15" s="1"/>
  <c r="K270" i="15"/>
  <c r="L270" i="15" s="1"/>
  <c r="J270" i="15"/>
  <c r="H270" i="15"/>
  <c r="G270" i="15"/>
  <c r="K269" i="15"/>
  <c r="L269" i="15" s="1"/>
  <c r="J269" i="15"/>
  <c r="H269" i="15"/>
  <c r="G269" i="15"/>
  <c r="K268" i="15"/>
  <c r="J268" i="15"/>
  <c r="L268" i="15" s="1"/>
  <c r="G268" i="15"/>
  <c r="H268" i="15" s="1"/>
  <c r="L267" i="15"/>
  <c r="K267" i="15"/>
  <c r="J267" i="15"/>
  <c r="H267" i="15"/>
  <c r="G267" i="15"/>
  <c r="K266" i="15"/>
  <c r="J266" i="15"/>
  <c r="L266" i="15" s="1"/>
  <c r="G266" i="15"/>
  <c r="H266" i="15" s="1"/>
  <c r="K265" i="15"/>
  <c r="L265" i="15" s="1"/>
  <c r="J265" i="15"/>
  <c r="G265" i="15"/>
  <c r="H265" i="15" s="1"/>
  <c r="K264" i="15"/>
  <c r="J264" i="15"/>
  <c r="L264" i="15" s="1"/>
  <c r="G264" i="15"/>
  <c r="H264" i="15" s="1"/>
  <c r="K263" i="15"/>
  <c r="J263" i="15"/>
  <c r="L263" i="15" s="1"/>
  <c r="H263" i="15"/>
  <c r="G263" i="15"/>
  <c r="K262" i="15"/>
  <c r="J262" i="15"/>
  <c r="L262" i="15" s="1"/>
  <c r="H262" i="15"/>
  <c r="G262" i="15"/>
  <c r="K261" i="15"/>
  <c r="J261" i="15"/>
  <c r="L261" i="15" s="1"/>
  <c r="H261" i="15"/>
  <c r="G261" i="15"/>
  <c r="L260" i="15"/>
  <c r="K260" i="15"/>
  <c r="J260" i="15"/>
  <c r="H260" i="15"/>
  <c r="G260" i="15"/>
  <c r="K259" i="15"/>
  <c r="L259" i="15" s="1"/>
  <c r="J259" i="15"/>
  <c r="H259" i="15"/>
  <c r="G259" i="15"/>
  <c r="K258" i="15"/>
  <c r="L258" i="15" s="1"/>
  <c r="J258" i="15"/>
  <c r="H258" i="15"/>
  <c r="G258" i="15"/>
  <c r="K257" i="15"/>
  <c r="L257" i="15" s="1"/>
  <c r="J257" i="15"/>
  <c r="G257" i="15"/>
  <c r="H257" i="15" s="1"/>
  <c r="K256" i="15"/>
  <c r="J256" i="15"/>
  <c r="L256" i="15" s="1"/>
  <c r="G256" i="15"/>
  <c r="H256" i="15" s="1"/>
  <c r="K255" i="15"/>
  <c r="J255" i="15"/>
  <c r="H255" i="15"/>
  <c r="G255" i="15"/>
  <c r="K254" i="15"/>
  <c r="J254" i="15"/>
  <c r="L254" i="15" s="1"/>
  <c r="H254" i="15"/>
  <c r="G254" i="15"/>
  <c r="K253" i="15"/>
  <c r="J253" i="15"/>
  <c r="L253" i="15" s="1"/>
  <c r="H253" i="15"/>
  <c r="G253" i="15"/>
  <c r="L252" i="15"/>
  <c r="K252" i="15"/>
  <c r="J252" i="15"/>
  <c r="H252" i="15"/>
  <c r="G252" i="15"/>
  <c r="K251" i="15"/>
  <c r="L251" i="15" s="1"/>
  <c r="J251" i="15"/>
  <c r="H251" i="15"/>
  <c r="G251" i="15"/>
  <c r="K250" i="15"/>
  <c r="L250" i="15" s="1"/>
  <c r="J250" i="15"/>
  <c r="H250" i="15"/>
  <c r="G250" i="15"/>
  <c r="K249" i="15"/>
  <c r="L249" i="15" s="1"/>
  <c r="J249" i="15"/>
  <c r="G249" i="15"/>
  <c r="H249" i="15" s="1"/>
  <c r="K248" i="15"/>
  <c r="J248" i="15"/>
  <c r="L248" i="15" s="1"/>
  <c r="G248" i="15"/>
  <c r="H248" i="15" s="1"/>
  <c r="K247" i="15"/>
  <c r="J247" i="15"/>
  <c r="H247" i="15"/>
  <c r="G247" i="15"/>
  <c r="K246" i="15"/>
  <c r="J246" i="15"/>
  <c r="L246" i="15" s="1"/>
  <c r="H246" i="15"/>
  <c r="G246" i="15"/>
  <c r="K245" i="15"/>
  <c r="J245" i="15"/>
  <c r="L245" i="15" s="1"/>
  <c r="H245" i="15"/>
  <c r="G245" i="15"/>
  <c r="L244" i="15"/>
  <c r="K244" i="15"/>
  <c r="J244" i="15"/>
  <c r="H244" i="15"/>
  <c r="G244" i="15"/>
  <c r="L243" i="15"/>
  <c r="K243" i="15"/>
  <c r="J243" i="15"/>
  <c r="H243" i="15"/>
  <c r="G243" i="15"/>
  <c r="M242" i="15"/>
  <c r="K242" i="15"/>
  <c r="L242" i="15" s="1"/>
  <c r="J242" i="15"/>
  <c r="M241" i="15"/>
  <c r="L241" i="15"/>
  <c r="K241" i="15"/>
  <c r="J241" i="15"/>
  <c r="M240" i="15"/>
  <c r="K240" i="15"/>
  <c r="J240" i="15"/>
  <c r="L240" i="15" s="1"/>
  <c r="M239" i="15"/>
  <c r="K239" i="15"/>
  <c r="J239" i="15"/>
  <c r="L239" i="15" s="1"/>
  <c r="M238" i="15"/>
  <c r="K238" i="15"/>
  <c r="L238" i="15" s="1"/>
  <c r="J238" i="15"/>
  <c r="L237" i="15"/>
  <c r="K237" i="15"/>
  <c r="J237" i="15"/>
  <c r="K236" i="15"/>
  <c r="J236" i="15"/>
  <c r="L236" i="15" s="1"/>
  <c r="M235" i="15"/>
  <c r="K235" i="15"/>
  <c r="J235" i="15"/>
  <c r="L235" i="15" s="1"/>
  <c r="M234" i="15"/>
  <c r="K234" i="15"/>
  <c r="L234" i="15" s="1"/>
  <c r="J234" i="15"/>
  <c r="M233" i="15"/>
  <c r="L233" i="15"/>
  <c r="K233" i="15"/>
  <c r="J233" i="15"/>
  <c r="M232" i="15"/>
  <c r="K232" i="15"/>
  <c r="J232" i="15"/>
  <c r="L232" i="15" s="1"/>
  <c r="M231" i="15"/>
  <c r="K231" i="15"/>
  <c r="J231" i="15"/>
  <c r="L231" i="15" s="1"/>
  <c r="M230" i="15"/>
  <c r="K230" i="15"/>
  <c r="L230" i="15" s="1"/>
  <c r="J230" i="15"/>
  <c r="M229" i="15"/>
  <c r="K229" i="15"/>
  <c r="L229" i="15" s="1"/>
  <c r="J229" i="15"/>
  <c r="M228" i="15"/>
  <c r="K228" i="15"/>
  <c r="J228" i="15"/>
  <c r="L228" i="15" s="1"/>
  <c r="M227" i="15"/>
  <c r="K227" i="15"/>
  <c r="J227" i="15"/>
  <c r="L227" i="15" s="1"/>
  <c r="M226" i="15"/>
  <c r="K226" i="15"/>
  <c r="L226" i="15" s="1"/>
  <c r="J226" i="15"/>
  <c r="M225" i="15"/>
  <c r="K225" i="15"/>
  <c r="L225" i="15" s="1"/>
  <c r="J225" i="15"/>
  <c r="K224" i="15"/>
  <c r="J224" i="15"/>
  <c r="L224" i="15" s="1"/>
  <c r="M223" i="15"/>
  <c r="K223" i="15"/>
  <c r="J223" i="15"/>
  <c r="L223" i="15" s="1"/>
  <c r="M222" i="15"/>
  <c r="K222" i="15"/>
  <c r="L222" i="15" s="1"/>
  <c r="J222" i="15"/>
  <c r="H222" i="15"/>
  <c r="G222" i="15"/>
  <c r="M221" i="15"/>
  <c r="K221" i="15"/>
  <c r="L221" i="15" s="1"/>
  <c r="J221" i="15"/>
  <c r="G221" i="15"/>
  <c r="H221" i="15" s="1"/>
  <c r="K220" i="15"/>
  <c r="J220" i="15"/>
  <c r="L220" i="15" s="1"/>
  <c r="G220" i="15"/>
  <c r="H220" i="15" s="1"/>
  <c r="K219" i="15"/>
  <c r="J219" i="15"/>
  <c r="L219" i="15" s="1"/>
  <c r="H219" i="15"/>
  <c r="G219" i="15"/>
  <c r="K218" i="15"/>
  <c r="J218" i="15"/>
  <c r="L218" i="15" s="1"/>
  <c r="H218" i="15"/>
  <c r="G218" i="15"/>
  <c r="K217" i="15"/>
  <c r="J217" i="15"/>
  <c r="L217" i="15" s="1"/>
  <c r="H217" i="15"/>
  <c r="G217" i="15"/>
  <c r="M216" i="15"/>
  <c r="K216" i="15"/>
  <c r="L216" i="15" s="1"/>
  <c r="J216" i="15"/>
  <c r="M215" i="15"/>
  <c r="K215" i="15"/>
  <c r="J215" i="15"/>
  <c r="L215" i="15" s="1"/>
  <c r="M214" i="15"/>
  <c r="K214" i="15"/>
  <c r="J214" i="15"/>
  <c r="L214" i="15" s="1"/>
  <c r="M213" i="15"/>
  <c r="K213" i="15"/>
  <c r="L213" i="15" s="1"/>
  <c r="J213" i="15"/>
  <c r="M212" i="15"/>
  <c r="K212" i="15"/>
  <c r="L212" i="15" s="1"/>
  <c r="J212" i="15"/>
  <c r="M211" i="15"/>
  <c r="K211" i="15"/>
  <c r="J211" i="15"/>
  <c r="L211" i="15" s="1"/>
  <c r="M210" i="15"/>
  <c r="K210" i="15"/>
  <c r="J210" i="15"/>
  <c r="L210" i="15" s="1"/>
  <c r="M209" i="15"/>
  <c r="K209" i="15"/>
  <c r="L209" i="15" s="1"/>
  <c r="J209" i="15"/>
  <c r="N208" i="15"/>
  <c r="M208" i="15"/>
  <c r="K208" i="15"/>
  <c r="J208" i="15"/>
  <c r="L208" i="15" s="1"/>
  <c r="G208" i="15"/>
  <c r="H208" i="15" s="1"/>
  <c r="M207" i="15"/>
  <c r="L207" i="15"/>
  <c r="K207" i="15"/>
  <c r="J207" i="15"/>
  <c r="H207" i="15"/>
  <c r="G207" i="15"/>
  <c r="M206" i="15"/>
  <c r="L206" i="15"/>
  <c r="K206" i="15"/>
  <c r="J206" i="15"/>
  <c r="G206" i="15"/>
  <c r="H206" i="15" s="1"/>
  <c r="M205" i="15"/>
  <c r="L205" i="15"/>
  <c r="K205" i="15"/>
  <c r="J205" i="15"/>
  <c r="H205" i="15"/>
  <c r="G205" i="15"/>
  <c r="M204" i="15"/>
  <c r="L204" i="15"/>
  <c r="K204" i="15"/>
  <c r="J204" i="15"/>
  <c r="G204" i="15"/>
  <c r="H204" i="15" s="1"/>
  <c r="M203" i="15"/>
  <c r="L203" i="15"/>
  <c r="K203" i="15"/>
  <c r="J203" i="15"/>
  <c r="G203" i="15"/>
  <c r="H203" i="15" s="1"/>
  <c r="M202" i="15"/>
  <c r="K202" i="15"/>
  <c r="J202" i="15"/>
  <c r="G202" i="15"/>
  <c r="H202" i="15" s="1"/>
  <c r="M201" i="15"/>
  <c r="K201" i="15"/>
  <c r="J201" i="15"/>
  <c r="L201" i="15" s="1"/>
  <c r="G201" i="15"/>
  <c r="H201" i="15" s="1"/>
  <c r="K200" i="15"/>
  <c r="J200" i="15"/>
  <c r="L200" i="15" s="1"/>
  <c r="G200" i="15"/>
  <c r="H200" i="15" s="1"/>
  <c r="M199" i="15"/>
  <c r="L199" i="15"/>
  <c r="K199" i="15"/>
  <c r="J199" i="15"/>
  <c r="H199" i="15"/>
  <c r="G199" i="15"/>
  <c r="K198" i="15"/>
  <c r="J198" i="15"/>
  <c r="L198" i="15" s="1"/>
  <c r="G198" i="15"/>
  <c r="H198" i="15" s="1"/>
  <c r="L197" i="15"/>
  <c r="K197" i="15"/>
  <c r="J197" i="15"/>
  <c r="H197" i="15"/>
  <c r="G197" i="15"/>
  <c r="L196" i="15"/>
  <c r="K196" i="15"/>
  <c r="J196" i="15"/>
  <c r="G196" i="15"/>
  <c r="H196" i="15" s="1"/>
  <c r="L195" i="15"/>
  <c r="K195" i="15"/>
  <c r="J195" i="15"/>
  <c r="G195" i="15"/>
  <c r="H195" i="15" s="1"/>
  <c r="K194" i="15"/>
  <c r="J194" i="15"/>
  <c r="G194" i="15"/>
  <c r="H194" i="15" s="1"/>
  <c r="K193" i="15"/>
  <c r="J193" i="15"/>
  <c r="L193" i="15" s="1"/>
  <c r="G193" i="15"/>
  <c r="H193" i="15" s="1"/>
  <c r="K192" i="15"/>
  <c r="J192" i="15"/>
  <c r="L192" i="15" s="1"/>
  <c r="K191" i="15"/>
  <c r="J191" i="15"/>
  <c r="G191" i="15"/>
  <c r="H191" i="15" s="1"/>
  <c r="K190" i="15"/>
  <c r="J190" i="15"/>
  <c r="L190" i="15" s="1"/>
  <c r="G190" i="15"/>
  <c r="H190" i="15" s="1"/>
  <c r="L189" i="15"/>
  <c r="K189" i="15"/>
  <c r="J189" i="15"/>
  <c r="G189" i="15"/>
  <c r="H189" i="15" s="1"/>
  <c r="L188" i="15"/>
  <c r="K188" i="15"/>
  <c r="J188" i="15"/>
  <c r="H188" i="15"/>
  <c r="G188" i="15"/>
  <c r="L187" i="15"/>
  <c r="K187" i="15"/>
  <c r="J187" i="15"/>
  <c r="H187" i="15"/>
  <c r="G187" i="15"/>
  <c r="L186" i="15"/>
  <c r="K186" i="15"/>
  <c r="J186" i="15"/>
  <c r="G186" i="15"/>
  <c r="H186" i="15" s="1"/>
  <c r="L185" i="15"/>
  <c r="K185" i="15"/>
  <c r="J185" i="15"/>
  <c r="G185" i="15"/>
  <c r="H185" i="15" s="1"/>
  <c r="L184" i="15"/>
  <c r="K184" i="15"/>
  <c r="J184" i="15"/>
  <c r="G184" i="15"/>
  <c r="H184" i="15" s="1"/>
  <c r="K183" i="15"/>
  <c r="J183" i="15"/>
  <c r="L183" i="15" s="1"/>
  <c r="G183" i="15"/>
  <c r="H183" i="15" s="1"/>
  <c r="K182" i="15"/>
  <c r="J182" i="15"/>
  <c r="L182" i="15" s="1"/>
  <c r="G182" i="15"/>
  <c r="H182" i="15" s="1"/>
  <c r="K181" i="15"/>
  <c r="L181" i="15" s="1"/>
  <c r="J181" i="15"/>
  <c r="G181" i="15"/>
  <c r="H181" i="15" s="1"/>
  <c r="K180" i="15"/>
  <c r="J180" i="15"/>
  <c r="L180" i="15" s="1"/>
  <c r="G180" i="15"/>
  <c r="L179" i="15"/>
  <c r="K179" i="15"/>
  <c r="J179" i="15"/>
  <c r="G179" i="15"/>
  <c r="K178" i="15"/>
  <c r="L178" i="15" s="1"/>
  <c r="J178" i="15"/>
  <c r="G178" i="15"/>
  <c r="L177" i="15"/>
  <c r="K177" i="15"/>
  <c r="J177" i="15"/>
  <c r="G177" i="15"/>
  <c r="K176" i="15"/>
  <c r="L176" i="15" s="1"/>
  <c r="J176" i="15"/>
  <c r="G176" i="15"/>
  <c r="L175" i="15"/>
  <c r="K175" i="15"/>
  <c r="J175" i="15"/>
  <c r="G175" i="15"/>
  <c r="L174" i="15"/>
  <c r="K174" i="15"/>
  <c r="J174" i="15"/>
  <c r="G174" i="15"/>
  <c r="K173" i="15"/>
  <c r="J173" i="15"/>
  <c r="L173" i="15" s="1"/>
  <c r="G173" i="15"/>
  <c r="L172" i="15"/>
  <c r="K172" i="15"/>
  <c r="J172" i="15"/>
  <c r="G172" i="15"/>
  <c r="K171" i="15"/>
  <c r="J171" i="15"/>
  <c r="L171" i="15" s="1"/>
  <c r="G171" i="15"/>
  <c r="K170" i="15"/>
  <c r="J170" i="15"/>
  <c r="L170" i="15" s="1"/>
  <c r="G170" i="15"/>
  <c r="K169" i="15"/>
  <c r="J169" i="15"/>
  <c r="L169" i="15" s="1"/>
  <c r="G169" i="15"/>
  <c r="K168" i="15"/>
  <c r="J168" i="15"/>
  <c r="L168" i="15" s="1"/>
  <c r="H168" i="15"/>
  <c r="G168" i="15"/>
  <c r="K167" i="15"/>
  <c r="J167" i="15"/>
  <c r="L167" i="15" s="1"/>
  <c r="H167" i="15"/>
  <c r="G167" i="15"/>
  <c r="L166" i="15"/>
  <c r="K166" i="15"/>
  <c r="J166" i="15"/>
  <c r="H166" i="15"/>
  <c r="G166" i="15"/>
  <c r="L165" i="15"/>
  <c r="K165" i="15"/>
  <c r="J165" i="15"/>
  <c r="H165" i="15"/>
  <c r="G165" i="15"/>
  <c r="K164" i="15"/>
  <c r="L164" i="15" s="1"/>
  <c r="J164" i="15"/>
  <c r="G164" i="15"/>
  <c r="H164" i="15" s="1"/>
  <c r="K163" i="15"/>
  <c r="L163" i="15" s="1"/>
  <c r="J163" i="15"/>
  <c r="G163" i="15"/>
  <c r="H163" i="15" s="1"/>
  <c r="K162" i="15"/>
  <c r="J162" i="15"/>
  <c r="G162" i="15"/>
  <c r="H162" i="15" s="1"/>
  <c r="K161" i="15"/>
  <c r="J161" i="15"/>
  <c r="L161" i="15" s="1"/>
  <c r="H161" i="15"/>
  <c r="G161" i="15"/>
  <c r="K160" i="15"/>
  <c r="J160" i="15"/>
  <c r="L160" i="15" s="1"/>
  <c r="H160" i="15"/>
  <c r="G160" i="15"/>
  <c r="K159" i="15"/>
  <c r="J159" i="15"/>
  <c r="L159" i="15" s="1"/>
  <c r="H159" i="15"/>
  <c r="G159" i="15"/>
  <c r="K158" i="15"/>
  <c r="L158" i="15" s="1"/>
  <c r="J158" i="15"/>
  <c r="K157" i="15"/>
  <c r="J157" i="15"/>
  <c r="L157" i="15" s="1"/>
  <c r="K156" i="15"/>
  <c r="J156" i="15"/>
  <c r="K155" i="15"/>
  <c r="L155" i="15" s="1"/>
  <c r="J155" i="15"/>
  <c r="K154" i="15"/>
  <c r="L154" i="15" s="1"/>
  <c r="J154" i="15"/>
  <c r="K153" i="15"/>
  <c r="J153" i="15"/>
  <c r="L153" i="15" s="1"/>
  <c r="K152" i="15"/>
  <c r="J152" i="15"/>
  <c r="K151" i="15"/>
  <c r="L151" i="15" s="1"/>
  <c r="J151" i="15"/>
  <c r="K150" i="15"/>
  <c r="L150" i="15" s="1"/>
  <c r="J150" i="15"/>
  <c r="K149" i="15"/>
  <c r="J149" i="15"/>
  <c r="L149" i="15" s="1"/>
  <c r="K148" i="15"/>
  <c r="J148" i="15"/>
  <c r="K147" i="15"/>
  <c r="L147" i="15" s="1"/>
  <c r="J147" i="15"/>
  <c r="K146" i="15"/>
  <c r="L146" i="15" s="1"/>
  <c r="J146" i="15"/>
  <c r="K145" i="15"/>
  <c r="J145" i="15"/>
  <c r="L145" i="15" s="1"/>
  <c r="K144" i="15"/>
  <c r="J144" i="15"/>
  <c r="K143" i="15"/>
  <c r="L143" i="15" s="1"/>
  <c r="J143" i="15"/>
  <c r="K142" i="15"/>
  <c r="J142" i="15"/>
  <c r="L142" i="15" s="1"/>
  <c r="K141" i="15"/>
  <c r="J141" i="15"/>
  <c r="L141" i="15" s="1"/>
  <c r="K140" i="15"/>
  <c r="J140" i="15"/>
  <c r="K139" i="15"/>
  <c r="L139" i="15" s="1"/>
  <c r="J139" i="15"/>
  <c r="K138" i="15"/>
  <c r="J138" i="15"/>
  <c r="L138" i="15" s="1"/>
  <c r="K137" i="15"/>
  <c r="J137" i="15"/>
  <c r="L137" i="15" s="1"/>
  <c r="K136" i="15"/>
  <c r="J136" i="15"/>
  <c r="K135" i="15"/>
  <c r="L135" i="15" s="1"/>
  <c r="J135" i="15"/>
  <c r="K134" i="15"/>
  <c r="J134" i="15"/>
  <c r="L134" i="15" s="1"/>
  <c r="K133" i="15"/>
  <c r="J133" i="15"/>
  <c r="L133" i="15" s="1"/>
  <c r="K132" i="15"/>
  <c r="J132" i="15"/>
  <c r="K131" i="15"/>
  <c r="L131" i="15" s="1"/>
  <c r="J131" i="15"/>
  <c r="H131" i="15"/>
  <c r="G131" i="15"/>
  <c r="K130" i="15"/>
  <c r="L130" i="15" s="1"/>
  <c r="J130" i="15"/>
  <c r="H130" i="15"/>
  <c r="G130" i="15"/>
  <c r="K129" i="15"/>
  <c r="J129" i="15"/>
  <c r="L129" i="15" s="1"/>
  <c r="G129" i="15"/>
  <c r="H129" i="15" s="1"/>
  <c r="K128" i="15"/>
  <c r="J128" i="15"/>
  <c r="L128" i="15" s="1"/>
  <c r="H128" i="15"/>
  <c r="G128" i="15"/>
  <c r="K127" i="15"/>
  <c r="J127" i="15"/>
  <c r="H127" i="15"/>
  <c r="G127" i="15"/>
  <c r="K126" i="15"/>
  <c r="J126" i="15"/>
  <c r="L126" i="15" s="1"/>
  <c r="H126" i="15"/>
  <c r="G126" i="15"/>
  <c r="K125" i="15"/>
  <c r="J125" i="15"/>
  <c r="L125" i="15" s="1"/>
  <c r="H125" i="15"/>
  <c r="G125" i="15"/>
  <c r="L124" i="15"/>
  <c r="K124" i="15"/>
  <c r="J124" i="15"/>
  <c r="H124" i="15"/>
  <c r="G124" i="15"/>
  <c r="K123" i="15"/>
  <c r="L123" i="15" s="1"/>
  <c r="J123" i="15"/>
  <c r="G123" i="15"/>
  <c r="H123" i="15" s="1"/>
  <c r="L122" i="15"/>
  <c r="K122" i="15"/>
  <c r="J122" i="15"/>
  <c r="H122" i="15"/>
  <c r="G122" i="15"/>
  <c r="K121" i="15"/>
  <c r="J121" i="15"/>
  <c r="G121" i="15"/>
  <c r="H121" i="15" s="1"/>
  <c r="K120" i="15"/>
  <c r="J120" i="15"/>
  <c r="H120" i="15"/>
  <c r="G120" i="15"/>
  <c r="K119" i="15"/>
  <c r="J119" i="15"/>
  <c r="L119" i="15" s="1"/>
  <c r="H119" i="15"/>
  <c r="G119" i="15"/>
  <c r="K118" i="15"/>
  <c r="J118" i="15"/>
  <c r="L118" i="15" s="1"/>
  <c r="H118" i="15"/>
  <c r="G118" i="15"/>
  <c r="K117" i="15"/>
  <c r="J117" i="15"/>
  <c r="L117" i="15" s="1"/>
  <c r="H117" i="15"/>
  <c r="G117" i="15"/>
  <c r="K116" i="15"/>
  <c r="L116" i="15" s="1"/>
  <c r="J116" i="15"/>
  <c r="H116" i="15"/>
  <c r="G116" i="15"/>
  <c r="L115" i="15"/>
  <c r="K115" i="15"/>
  <c r="J115" i="15"/>
  <c r="G115" i="15"/>
  <c r="H115" i="15" s="1"/>
  <c r="L114" i="15"/>
  <c r="K114" i="15"/>
  <c r="J114" i="15"/>
  <c r="G114" i="15"/>
  <c r="H114" i="15" s="1"/>
  <c r="K113" i="15"/>
  <c r="J113" i="15"/>
  <c r="G113" i="15"/>
  <c r="H113" i="15" s="1"/>
  <c r="K112" i="15"/>
  <c r="J112" i="15"/>
  <c r="H112" i="15"/>
  <c r="G112" i="15"/>
  <c r="K111" i="15"/>
  <c r="J111" i="15"/>
  <c r="L111" i="15" s="1"/>
  <c r="H111" i="15"/>
  <c r="G111" i="15"/>
  <c r="K110" i="15"/>
  <c r="J110" i="15"/>
  <c r="L110" i="15" s="1"/>
  <c r="H110" i="15"/>
  <c r="G110" i="15"/>
  <c r="L109" i="15"/>
  <c r="K109" i="15"/>
  <c r="J109" i="15"/>
  <c r="H109" i="15"/>
  <c r="G109" i="15"/>
  <c r="K108" i="15"/>
  <c r="L108" i="15" s="1"/>
  <c r="J108" i="15"/>
  <c r="H108" i="15"/>
  <c r="G108" i="15"/>
  <c r="L107" i="15"/>
  <c r="K107" i="15"/>
  <c r="J107" i="15"/>
  <c r="G107" i="15"/>
  <c r="H107" i="15" s="1"/>
  <c r="L106" i="15"/>
  <c r="K106" i="15"/>
  <c r="J106" i="15"/>
  <c r="G106" i="15"/>
  <c r="H106" i="15" s="1"/>
  <c r="K105" i="15"/>
  <c r="J105" i="15"/>
  <c r="G105" i="15"/>
  <c r="H105" i="15" s="1"/>
  <c r="K104" i="15"/>
  <c r="J104" i="15"/>
  <c r="H104" i="15"/>
  <c r="G104" i="15"/>
  <c r="K103" i="15"/>
  <c r="J103" i="15"/>
  <c r="H103" i="15"/>
  <c r="G103" i="15"/>
  <c r="K102" i="15"/>
  <c r="J102" i="15"/>
  <c r="L102" i="15" s="1"/>
  <c r="H102" i="15"/>
  <c r="G102" i="15"/>
  <c r="K101" i="15"/>
  <c r="J101" i="15"/>
  <c r="L101" i="15" s="1"/>
  <c r="H101" i="15"/>
  <c r="G101" i="15"/>
  <c r="L100" i="15"/>
  <c r="K100" i="15"/>
  <c r="J100" i="15"/>
  <c r="H100" i="15"/>
  <c r="G100" i="15"/>
  <c r="L99" i="15"/>
  <c r="K99" i="15"/>
  <c r="J99" i="15"/>
  <c r="H99" i="15"/>
  <c r="G99" i="15"/>
  <c r="L98" i="15"/>
  <c r="K98" i="15"/>
  <c r="J98" i="15"/>
  <c r="G98" i="15"/>
  <c r="H98" i="15" s="1"/>
  <c r="K97" i="15"/>
  <c r="J97" i="15"/>
  <c r="G97" i="15"/>
  <c r="H97" i="15" s="1"/>
  <c r="K96" i="15"/>
  <c r="J96" i="15"/>
  <c r="H96" i="15"/>
  <c r="G96" i="15"/>
  <c r="K95" i="15"/>
  <c r="J95" i="15"/>
  <c r="L95" i="15" s="1"/>
  <c r="H95" i="15"/>
  <c r="G95" i="15"/>
  <c r="K94" i="15"/>
  <c r="J94" i="15"/>
  <c r="L94" i="15" s="1"/>
  <c r="H94" i="15"/>
  <c r="G94" i="15"/>
  <c r="K93" i="15"/>
  <c r="J93" i="15"/>
  <c r="L93" i="15" s="1"/>
  <c r="G93" i="15"/>
  <c r="L92" i="15"/>
  <c r="K92" i="15"/>
  <c r="J92" i="15"/>
  <c r="G92" i="15"/>
  <c r="K91" i="15"/>
  <c r="J91" i="15"/>
  <c r="L91" i="15" s="1"/>
  <c r="G91" i="15"/>
  <c r="L90" i="15"/>
  <c r="K90" i="15"/>
  <c r="J90" i="15"/>
  <c r="H90" i="15"/>
  <c r="G90" i="15"/>
  <c r="K89" i="15"/>
  <c r="J89" i="15"/>
  <c r="L89" i="15" s="1"/>
  <c r="G89" i="15"/>
  <c r="H89" i="15" s="1"/>
  <c r="K88" i="15"/>
  <c r="J88" i="15"/>
  <c r="L88" i="15" s="1"/>
  <c r="G88" i="15"/>
  <c r="H88" i="15" s="1"/>
  <c r="K87" i="15"/>
  <c r="J87" i="15"/>
  <c r="L87" i="15" s="1"/>
  <c r="G87" i="15"/>
  <c r="H87" i="15" s="1"/>
  <c r="L86" i="15"/>
  <c r="K86" i="15"/>
  <c r="J86" i="15"/>
  <c r="G86" i="15"/>
  <c r="H86" i="15" s="1"/>
  <c r="L85" i="15"/>
  <c r="K85" i="15"/>
  <c r="J85" i="15"/>
  <c r="H85" i="15"/>
  <c r="G85" i="15"/>
  <c r="K84" i="15"/>
  <c r="J84" i="15"/>
  <c r="L84" i="15" s="1"/>
  <c r="H84" i="15"/>
  <c r="G84" i="15"/>
  <c r="L83" i="15"/>
  <c r="K83" i="15"/>
  <c r="J83" i="15"/>
  <c r="G83" i="15"/>
  <c r="H83" i="15" s="1"/>
  <c r="K82" i="15"/>
  <c r="J82" i="15"/>
  <c r="L82" i="15" s="1"/>
  <c r="H82" i="15"/>
  <c r="G82" i="15"/>
  <c r="K81" i="15"/>
  <c r="J81" i="15"/>
  <c r="L81" i="15" s="1"/>
  <c r="G81" i="15"/>
  <c r="H81" i="15" s="1"/>
  <c r="L80" i="15"/>
  <c r="K80" i="15"/>
  <c r="J80" i="15"/>
  <c r="G80" i="15"/>
  <c r="H80" i="15" s="1"/>
  <c r="K79" i="15"/>
  <c r="J79" i="15"/>
  <c r="L79" i="15" s="1"/>
  <c r="G79" i="15"/>
  <c r="H79" i="15" s="1"/>
  <c r="L78" i="15"/>
  <c r="K78" i="15"/>
  <c r="J78" i="15"/>
  <c r="G78" i="15"/>
  <c r="H78" i="15" s="1"/>
  <c r="L77" i="15"/>
  <c r="K77" i="15"/>
  <c r="J77" i="15"/>
  <c r="H77" i="15"/>
  <c r="G77" i="15"/>
  <c r="K76" i="15"/>
  <c r="J76" i="15"/>
  <c r="L76" i="15" s="1"/>
  <c r="G76" i="15"/>
  <c r="H76" i="15" s="1"/>
  <c r="L75" i="15"/>
  <c r="K75" i="15"/>
  <c r="J75" i="15"/>
  <c r="G75" i="15"/>
  <c r="K74" i="15"/>
  <c r="J74" i="15"/>
  <c r="G74" i="15"/>
  <c r="K73" i="15"/>
  <c r="J73" i="15"/>
  <c r="L73" i="15" s="1"/>
  <c r="G73" i="15"/>
  <c r="K72" i="15"/>
  <c r="J72" i="15"/>
  <c r="H72" i="15"/>
  <c r="G72" i="15"/>
  <c r="K71" i="15"/>
  <c r="J71" i="15"/>
  <c r="L71" i="15" s="1"/>
  <c r="H71" i="15"/>
  <c r="G71" i="15"/>
  <c r="K70" i="15"/>
  <c r="J70" i="15"/>
  <c r="H70" i="15"/>
  <c r="G70" i="15"/>
  <c r="K69" i="15"/>
  <c r="J69" i="15"/>
  <c r="H69" i="15"/>
  <c r="G69" i="15"/>
  <c r="K68" i="15"/>
  <c r="J68" i="15"/>
  <c r="L68" i="15" s="1"/>
  <c r="H68" i="15"/>
  <c r="G68" i="15"/>
  <c r="M67" i="15"/>
  <c r="L67" i="15"/>
  <c r="K67" i="15"/>
  <c r="J67" i="15"/>
  <c r="H67" i="15"/>
  <c r="G67" i="15"/>
  <c r="L66" i="15"/>
  <c r="K66" i="15"/>
  <c r="J66" i="15"/>
  <c r="G66" i="15"/>
  <c r="H66" i="15" s="1"/>
  <c r="K65" i="15"/>
  <c r="L65" i="15" s="1"/>
  <c r="J65" i="15"/>
  <c r="G65" i="15"/>
  <c r="H65" i="15" s="1"/>
  <c r="K64" i="15"/>
  <c r="J64" i="15"/>
  <c r="H64" i="15"/>
  <c r="G64" i="15"/>
  <c r="K63" i="15"/>
  <c r="J63" i="15"/>
  <c r="L63" i="15" s="1"/>
  <c r="H63" i="15"/>
  <c r="G63" i="15"/>
  <c r="N63" i="15" s="1"/>
  <c r="L62" i="15"/>
  <c r="K62" i="15"/>
  <c r="J62" i="15"/>
  <c r="H62" i="15"/>
  <c r="G62" i="15"/>
  <c r="N62" i="15" s="1"/>
  <c r="L61" i="15"/>
  <c r="K61" i="15"/>
  <c r="J61" i="15"/>
  <c r="G61" i="15"/>
  <c r="N61" i="15" s="1"/>
  <c r="K60" i="15"/>
  <c r="J60" i="15"/>
  <c r="L60" i="15" s="1"/>
  <c r="H60" i="15"/>
  <c r="G60" i="15"/>
  <c r="K59" i="15"/>
  <c r="J59" i="15"/>
  <c r="L59" i="15" s="1"/>
  <c r="G59" i="15"/>
  <c r="H59" i="15" s="1"/>
  <c r="K58" i="15"/>
  <c r="L58" i="15" s="1"/>
  <c r="J58" i="15"/>
  <c r="H58" i="15"/>
  <c r="G58" i="15"/>
  <c r="N58" i="15" s="1"/>
  <c r="N57" i="15"/>
  <c r="L57" i="15"/>
  <c r="K57" i="15"/>
  <c r="J57" i="15"/>
  <c r="H57" i="15"/>
  <c r="G57" i="15"/>
  <c r="K56" i="15"/>
  <c r="J56" i="15"/>
  <c r="N56" i="15" s="1"/>
  <c r="H56" i="15"/>
  <c r="G56" i="15"/>
  <c r="N55" i="15"/>
  <c r="K55" i="15"/>
  <c r="J55" i="15"/>
  <c r="L55" i="15" s="1"/>
  <c r="H55" i="15"/>
  <c r="G55" i="15"/>
  <c r="K54" i="15"/>
  <c r="J54" i="15"/>
  <c r="L54" i="15" s="1"/>
  <c r="G54" i="15"/>
  <c r="N54" i="15" s="1"/>
  <c r="K53" i="15"/>
  <c r="J53" i="15"/>
  <c r="L53" i="15" s="1"/>
  <c r="G53" i="15"/>
  <c r="H53" i="15" s="1"/>
  <c r="K52" i="15"/>
  <c r="L52" i="15" s="1"/>
  <c r="J52" i="15"/>
  <c r="G52" i="15"/>
  <c r="H52" i="15" s="1"/>
  <c r="K51" i="15"/>
  <c r="J51" i="15"/>
  <c r="L51" i="15" s="1"/>
  <c r="H51" i="15"/>
  <c r="G51" i="15"/>
  <c r="N51" i="15" s="1"/>
  <c r="K50" i="15"/>
  <c r="L50" i="15" s="1"/>
  <c r="J50" i="15"/>
  <c r="H50" i="15"/>
  <c r="G50" i="15"/>
  <c r="N50" i="15" s="1"/>
  <c r="N49" i="15"/>
  <c r="L49" i="15"/>
  <c r="K49" i="15"/>
  <c r="J49" i="15"/>
  <c r="G49" i="15"/>
  <c r="H49" i="15" s="1"/>
  <c r="N48" i="15"/>
  <c r="K48" i="15"/>
  <c r="J48" i="15"/>
  <c r="H48" i="15"/>
  <c r="G48" i="15"/>
  <c r="K47" i="15"/>
  <c r="J47" i="15"/>
  <c r="N47" i="15" s="1"/>
  <c r="H47" i="15"/>
  <c r="G47" i="15"/>
  <c r="K46" i="15"/>
  <c r="L46" i="15" s="1"/>
  <c r="J46" i="15"/>
  <c r="H46" i="15"/>
  <c r="G46" i="15"/>
  <c r="N46" i="15" s="1"/>
  <c r="L45" i="15"/>
  <c r="K45" i="15"/>
  <c r="J45" i="15"/>
  <c r="G45" i="15"/>
  <c r="N45" i="15" s="1"/>
  <c r="N44" i="15"/>
  <c r="K44" i="15"/>
  <c r="J44" i="15"/>
  <c r="L44" i="15" s="1"/>
  <c r="H44" i="15"/>
  <c r="G44" i="15"/>
  <c r="L43" i="15"/>
  <c r="K43" i="15"/>
  <c r="J43" i="15"/>
  <c r="G43" i="15"/>
  <c r="H43" i="15" s="1"/>
  <c r="K42" i="15"/>
  <c r="L42" i="15" s="1"/>
  <c r="J42" i="15"/>
  <c r="H42" i="15"/>
  <c r="G42" i="15"/>
  <c r="N42" i="15" s="1"/>
  <c r="N41" i="15"/>
  <c r="K41" i="15"/>
  <c r="J41" i="15"/>
  <c r="L41" i="15" s="1"/>
  <c r="H41" i="15"/>
  <c r="G41" i="15"/>
  <c r="K40" i="15"/>
  <c r="J40" i="15"/>
  <c r="N40" i="15" s="1"/>
  <c r="H40" i="15"/>
  <c r="G40" i="15"/>
  <c r="L39" i="15"/>
  <c r="K39" i="15"/>
  <c r="J39" i="15"/>
  <c r="N39" i="15" s="1"/>
  <c r="G39" i="15"/>
  <c r="H39" i="15" s="1"/>
  <c r="N38" i="15"/>
  <c r="K38" i="15"/>
  <c r="L38" i="15" s="1"/>
  <c r="J38" i="15"/>
  <c r="H38" i="15"/>
  <c r="G38" i="15"/>
  <c r="K37" i="15"/>
  <c r="J37" i="15"/>
  <c r="L37" i="15" s="1"/>
  <c r="G37" i="15"/>
  <c r="H37" i="15" s="1"/>
  <c r="K36" i="15"/>
  <c r="L36" i="15" s="1"/>
  <c r="J36" i="15"/>
  <c r="G36" i="15"/>
  <c r="H36" i="15" s="1"/>
  <c r="L35" i="15"/>
  <c r="K35" i="15"/>
  <c r="J35" i="15"/>
  <c r="G35" i="15"/>
  <c r="H35" i="15" s="1"/>
  <c r="L34" i="15"/>
  <c r="K34" i="15"/>
  <c r="J34" i="15"/>
  <c r="G34" i="15"/>
  <c r="H34" i="15" s="1"/>
  <c r="L33" i="15"/>
  <c r="K33" i="15"/>
  <c r="J33" i="15"/>
  <c r="H33" i="15"/>
  <c r="G33" i="15"/>
  <c r="L32" i="15"/>
  <c r="K32" i="15"/>
  <c r="J32" i="15"/>
  <c r="H32" i="15"/>
  <c r="G32" i="15"/>
  <c r="K31" i="15"/>
  <c r="J31" i="15"/>
  <c r="L31" i="15" s="1"/>
  <c r="H31" i="15"/>
  <c r="G31" i="15"/>
  <c r="K30" i="15"/>
  <c r="L30" i="15" s="1"/>
  <c r="J30" i="15"/>
  <c r="H30" i="15"/>
  <c r="G30" i="15"/>
  <c r="L29" i="15"/>
  <c r="K29" i="15"/>
  <c r="J29" i="15"/>
  <c r="G29" i="15"/>
  <c r="H29" i="15" s="1"/>
  <c r="K28" i="15"/>
  <c r="J28" i="15"/>
  <c r="L28" i="15" s="1"/>
  <c r="G28" i="15"/>
  <c r="H28" i="15" s="1"/>
  <c r="L27" i="15"/>
  <c r="K27" i="15"/>
  <c r="J27" i="15"/>
  <c r="G27" i="15"/>
  <c r="H27" i="15" s="1"/>
  <c r="K26" i="15"/>
  <c r="J26" i="15"/>
  <c r="L26" i="15" s="1"/>
  <c r="H26" i="15"/>
  <c r="G26" i="15"/>
  <c r="K25" i="15"/>
  <c r="J25" i="15"/>
  <c r="L25" i="15" s="1"/>
  <c r="H25" i="15"/>
  <c r="G25" i="15"/>
  <c r="L24" i="15"/>
  <c r="K24" i="15"/>
  <c r="J24" i="15"/>
  <c r="H24" i="15"/>
  <c r="G24" i="15"/>
  <c r="J23" i="15"/>
  <c r="H23" i="15"/>
  <c r="J22" i="15"/>
  <c r="H22" i="15"/>
  <c r="L21" i="15"/>
  <c r="J21" i="15"/>
  <c r="H21" i="15"/>
  <c r="J20" i="15"/>
  <c r="H20" i="15"/>
  <c r="J19" i="15"/>
  <c r="L19" i="15" s="1"/>
  <c r="H19" i="15"/>
  <c r="K18" i="15"/>
  <c r="L18" i="15" s="1"/>
  <c r="J18" i="15"/>
  <c r="G18" i="15"/>
  <c r="K17" i="15"/>
  <c r="J17" i="15"/>
  <c r="L17" i="15" s="1"/>
  <c r="G17" i="15"/>
  <c r="M16" i="15"/>
  <c r="K16" i="15"/>
  <c r="J16" i="15"/>
  <c r="L16" i="15" s="1"/>
  <c r="H16" i="15"/>
  <c r="G16" i="15"/>
  <c r="M15" i="15"/>
  <c r="K15" i="15"/>
  <c r="J15" i="15"/>
  <c r="L15" i="15" s="1"/>
  <c r="H15" i="15"/>
  <c r="G15" i="15"/>
  <c r="L14" i="15"/>
  <c r="K14" i="15"/>
  <c r="J14" i="15"/>
  <c r="G14" i="15"/>
  <c r="H14" i="15" s="1"/>
  <c r="K13" i="15"/>
  <c r="J13" i="15"/>
  <c r="L13" i="15" s="1"/>
  <c r="H13" i="15"/>
  <c r="G13" i="15"/>
  <c r="L12" i="15"/>
  <c r="K12" i="15"/>
  <c r="J12" i="15"/>
  <c r="G12" i="15"/>
  <c r="H12" i="15" s="1"/>
  <c r="L11" i="15"/>
  <c r="K11" i="15"/>
  <c r="J11" i="15"/>
  <c r="G11" i="15"/>
  <c r="H11" i="15" s="1"/>
  <c r="L10" i="15"/>
  <c r="K10" i="15"/>
  <c r="J10" i="15"/>
  <c r="H10" i="15"/>
  <c r="G10" i="15"/>
  <c r="L9" i="15"/>
  <c r="K9" i="15"/>
  <c r="J9" i="15"/>
  <c r="G9" i="15"/>
  <c r="H9" i="15" s="1"/>
  <c r="L8" i="15"/>
  <c r="K8" i="15"/>
  <c r="J8" i="15"/>
  <c r="G8" i="15"/>
  <c r="H8" i="15" s="1"/>
  <c r="L7" i="15"/>
  <c r="K7" i="15"/>
  <c r="J7" i="15"/>
  <c r="G7" i="15"/>
  <c r="K6" i="15"/>
  <c r="J6" i="15"/>
  <c r="L6" i="15" s="1"/>
  <c r="G6" i="15"/>
  <c r="L5" i="15"/>
  <c r="K5" i="15"/>
  <c r="J5" i="15"/>
  <c r="G5" i="15"/>
  <c r="L4" i="15"/>
  <c r="K4" i="15"/>
  <c r="J4" i="15"/>
  <c r="G4" i="15"/>
  <c r="K3" i="15"/>
  <c r="J3" i="15"/>
  <c r="L3" i="15" s="1"/>
  <c r="G3" i="15"/>
  <c r="F1059" i="14"/>
  <c r="F1058" i="14"/>
  <c r="E1058" i="14"/>
  <c r="F1057" i="14"/>
  <c r="E1057" i="14"/>
  <c r="K1056" i="14"/>
  <c r="F1056" i="14"/>
  <c r="E1056" i="14"/>
  <c r="K1055" i="14"/>
  <c r="G1055" i="14"/>
  <c r="F1055" i="14"/>
  <c r="E1055" i="14"/>
  <c r="G1054" i="14"/>
  <c r="K1054" i="14" s="1"/>
  <c r="M155" i="15" s="1"/>
  <c r="F1054" i="14"/>
  <c r="E1054" i="14"/>
  <c r="K1053" i="14"/>
  <c r="F1053" i="14"/>
  <c r="E1053" i="14"/>
  <c r="K1052" i="14"/>
  <c r="F1052" i="14"/>
  <c r="E1052" i="14"/>
  <c r="K1051" i="14"/>
  <c r="F1051" i="14"/>
  <c r="E1051" i="14"/>
  <c r="K1050" i="14"/>
  <c r="F1050" i="14"/>
  <c r="E1050" i="14"/>
  <c r="G1049" i="14"/>
  <c r="K1049" i="14" s="1"/>
  <c r="F1049" i="14"/>
  <c r="E1049" i="14"/>
  <c r="K1048" i="14"/>
  <c r="G1048" i="14"/>
  <c r="F1048" i="14"/>
  <c r="E1048" i="14"/>
  <c r="K1047" i="14"/>
  <c r="G1047" i="14"/>
  <c r="F1047" i="14"/>
  <c r="E1047" i="14"/>
  <c r="K1046" i="14"/>
  <c r="G1046" i="14"/>
  <c r="F1046" i="14"/>
  <c r="E1046" i="14"/>
  <c r="G1045" i="14"/>
  <c r="K1045" i="14" s="1"/>
  <c r="F1045" i="14"/>
  <c r="E1045" i="14"/>
  <c r="G1044" i="14"/>
  <c r="K1044" i="14" s="1"/>
  <c r="F1044" i="14"/>
  <c r="E1044" i="14"/>
  <c r="K1043" i="14"/>
  <c r="G1043" i="14"/>
  <c r="F1043" i="14"/>
  <c r="E1043" i="14"/>
  <c r="K1042" i="14"/>
  <c r="F1042" i="14"/>
  <c r="E1042" i="14"/>
  <c r="K1041" i="14"/>
  <c r="G1041" i="14"/>
  <c r="F1041" i="14"/>
  <c r="E1041" i="14"/>
  <c r="K1040" i="14"/>
  <c r="G1040" i="14"/>
  <c r="F1040" i="14"/>
  <c r="E1040" i="14"/>
  <c r="K1039" i="14"/>
  <c r="F1039" i="14"/>
  <c r="E1039" i="14"/>
  <c r="K1038" i="14"/>
  <c r="F1038" i="14"/>
  <c r="E1038" i="14"/>
  <c r="K1037" i="14"/>
  <c r="F1037" i="14"/>
  <c r="E1037" i="14"/>
  <c r="G1036" i="14"/>
  <c r="K1036" i="14" s="1"/>
  <c r="F1036" i="14"/>
  <c r="E1036" i="14"/>
  <c r="K1035" i="14"/>
  <c r="G1035" i="14"/>
  <c r="F1035" i="14"/>
  <c r="E1035" i="14"/>
  <c r="K1034" i="14"/>
  <c r="G1034" i="14"/>
  <c r="F1034" i="14"/>
  <c r="E1034" i="14"/>
  <c r="K1033" i="14"/>
  <c r="G1033" i="14"/>
  <c r="F1033" i="14"/>
  <c r="E1033" i="14"/>
  <c r="G1032" i="14"/>
  <c r="K1032" i="14" s="1"/>
  <c r="F1032" i="14"/>
  <c r="E1032" i="14"/>
  <c r="G1031" i="14"/>
  <c r="K1031" i="14" s="1"/>
  <c r="F1031" i="14"/>
  <c r="E1031" i="14"/>
  <c r="G1030" i="14"/>
  <c r="K1030" i="14" s="1"/>
  <c r="F1030" i="14"/>
  <c r="E1030" i="14"/>
  <c r="K1029" i="14"/>
  <c r="F1029" i="14"/>
  <c r="E1029" i="14"/>
  <c r="K1028" i="14"/>
  <c r="F1028" i="14"/>
  <c r="E1028" i="14"/>
  <c r="K1027" i="14"/>
  <c r="F1027" i="14"/>
  <c r="E1027" i="14"/>
  <c r="K1026" i="14"/>
  <c r="F1026" i="14"/>
  <c r="E1026" i="14"/>
  <c r="K1025" i="14"/>
  <c r="F1025" i="14"/>
  <c r="E1025" i="14"/>
  <c r="K1024" i="14"/>
  <c r="F1024" i="14"/>
  <c r="E1024" i="14"/>
  <c r="G1023" i="14"/>
  <c r="K1023" i="14" s="1"/>
  <c r="F1023" i="14"/>
  <c r="E1023" i="14"/>
  <c r="K1022" i="14"/>
  <c r="G1022" i="14"/>
  <c r="F1022" i="14"/>
  <c r="E1022" i="14"/>
  <c r="G1021" i="14"/>
  <c r="K1021" i="14" s="1"/>
  <c r="F1021" i="14"/>
  <c r="E1021" i="14"/>
  <c r="G1020" i="14"/>
  <c r="K1020" i="14" s="1"/>
  <c r="M156" i="15" s="1"/>
  <c r="F1020" i="14"/>
  <c r="E1020" i="14"/>
  <c r="K1019" i="14"/>
  <c r="G1019" i="14"/>
  <c r="F1019" i="14"/>
  <c r="E1019" i="14"/>
  <c r="K1018" i="14"/>
  <c r="G1018" i="14"/>
  <c r="F1018" i="14"/>
  <c r="E1018" i="14"/>
  <c r="G1017" i="14"/>
  <c r="K1017" i="14" s="1"/>
  <c r="F1017" i="14"/>
  <c r="E1017" i="14"/>
  <c r="G1016" i="14"/>
  <c r="K1016" i="14" s="1"/>
  <c r="F1016" i="14"/>
  <c r="E1016" i="14"/>
  <c r="K1015" i="14"/>
  <c r="F1015" i="14"/>
  <c r="E1015" i="14"/>
  <c r="K1014" i="14"/>
  <c r="G1014" i="14"/>
  <c r="F1014" i="14"/>
  <c r="E1014" i="14"/>
  <c r="K1013" i="14"/>
  <c r="F1013" i="14"/>
  <c r="E1013" i="14"/>
  <c r="G1012" i="14"/>
  <c r="K1012" i="14" s="1"/>
  <c r="F1012" i="14"/>
  <c r="E1012" i="14"/>
  <c r="K1011" i="14"/>
  <c r="G1011" i="14"/>
  <c r="F1011" i="14"/>
  <c r="E1011" i="14"/>
  <c r="K1010" i="14"/>
  <c r="F1010" i="14"/>
  <c r="E1010" i="14"/>
  <c r="K1009" i="14"/>
  <c r="G1009" i="14"/>
  <c r="F1009" i="14"/>
  <c r="E1009" i="14"/>
  <c r="K1008" i="14"/>
  <c r="G1008" i="14"/>
  <c r="F1008" i="14"/>
  <c r="E1008" i="14"/>
  <c r="K1007" i="14"/>
  <c r="G1007" i="14"/>
  <c r="F1007" i="14"/>
  <c r="E1007" i="14"/>
  <c r="K1006" i="14"/>
  <c r="G1006" i="14"/>
  <c r="F1006" i="14"/>
  <c r="E1006" i="14"/>
  <c r="K1005" i="14"/>
  <c r="G1005" i="14"/>
  <c r="F1005" i="14"/>
  <c r="E1005" i="14"/>
  <c r="K1004" i="14"/>
  <c r="G1004" i="14"/>
  <c r="F1004" i="14"/>
  <c r="E1004" i="14"/>
  <c r="K1003" i="14"/>
  <c r="G1003" i="14"/>
  <c r="F1003" i="14"/>
  <c r="E1003" i="14"/>
  <c r="K1002" i="14"/>
  <c r="F1002" i="14"/>
  <c r="E1002" i="14"/>
  <c r="G1001" i="14"/>
  <c r="K1001" i="14" s="1"/>
  <c r="F1001" i="14"/>
  <c r="E1001" i="14"/>
  <c r="G1000" i="14"/>
  <c r="K1000" i="14" s="1"/>
  <c r="F1000" i="14"/>
  <c r="E1000" i="14"/>
  <c r="K999" i="14"/>
  <c r="G999" i="14"/>
  <c r="F999" i="14"/>
  <c r="E999" i="14"/>
  <c r="K998" i="14"/>
  <c r="G998" i="14"/>
  <c r="F998" i="14"/>
  <c r="E998" i="14"/>
  <c r="K997" i="14"/>
  <c r="G997" i="14"/>
  <c r="F997" i="14"/>
  <c r="E997" i="14"/>
  <c r="K996" i="14"/>
  <c r="F996" i="14"/>
  <c r="E996" i="14"/>
  <c r="G995" i="14"/>
  <c r="K995" i="14" s="1"/>
  <c r="F995" i="14"/>
  <c r="E995" i="14"/>
  <c r="K994" i="14"/>
  <c r="G994" i="14"/>
  <c r="F994" i="14"/>
  <c r="E994" i="14"/>
  <c r="G993" i="14"/>
  <c r="K993" i="14" s="1"/>
  <c r="F993" i="14"/>
  <c r="E993" i="14"/>
  <c r="K992" i="14"/>
  <c r="G992" i="14"/>
  <c r="F992" i="14"/>
  <c r="E992" i="14"/>
  <c r="G991" i="14"/>
  <c r="K991" i="14" s="1"/>
  <c r="F991" i="14"/>
  <c r="E991" i="14"/>
  <c r="K990" i="14"/>
  <c r="M152" i="15" s="1"/>
  <c r="G990" i="14"/>
  <c r="F990" i="14"/>
  <c r="E990" i="14"/>
  <c r="K989" i="14"/>
  <c r="F989" i="14"/>
  <c r="E989" i="14"/>
  <c r="K988" i="14"/>
  <c r="G988" i="14"/>
  <c r="F988" i="14"/>
  <c r="E988" i="14"/>
  <c r="K987" i="14"/>
  <c r="G987" i="14"/>
  <c r="F987" i="14"/>
  <c r="E987" i="14"/>
  <c r="K986" i="14"/>
  <c r="F986" i="14"/>
  <c r="E986" i="14"/>
  <c r="K985" i="14"/>
  <c r="F985" i="14"/>
  <c r="E985" i="14"/>
  <c r="K984" i="14"/>
  <c r="F984" i="14"/>
  <c r="E984" i="14"/>
  <c r="K983" i="14"/>
  <c r="F983" i="14"/>
  <c r="E983" i="14"/>
  <c r="K982" i="14"/>
  <c r="F982" i="14"/>
  <c r="E982" i="14"/>
  <c r="G981" i="14"/>
  <c r="K981" i="14" s="1"/>
  <c r="F981" i="14"/>
  <c r="E981" i="14"/>
  <c r="K980" i="14"/>
  <c r="G980" i="14"/>
  <c r="F980" i="14"/>
  <c r="E980" i="14"/>
  <c r="K979" i="14"/>
  <c r="F979" i="14"/>
  <c r="E979" i="14"/>
  <c r="K978" i="14"/>
  <c r="F978" i="14"/>
  <c r="E978" i="14"/>
  <c r="K977" i="14"/>
  <c r="F977" i="14"/>
  <c r="E977" i="14"/>
  <c r="K976" i="14"/>
  <c r="G976" i="14"/>
  <c r="F976" i="14"/>
  <c r="E976" i="14"/>
  <c r="K975" i="14"/>
  <c r="F975" i="14"/>
  <c r="E975" i="14"/>
  <c r="K974" i="14"/>
  <c r="F974" i="14"/>
  <c r="E974" i="14"/>
  <c r="K973" i="14"/>
  <c r="F973" i="14"/>
  <c r="E973" i="14"/>
  <c r="K972" i="14"/>
  <c r="F972" i="14"/>
  <c r="E972" i="14"/>
  <c r="K971" i="14"/>
  <c r="G971" i="14"/>
  <c r="F971" i="14"/>
  <c r="E971" i="14"/>
  <c r="G970" i="14"/>
  <c r="K970" i="14" s="1"/>
  <c r="F970" i="14"/>
  <c r="E970" i="14"/>
  <c r="G969" i="14"/>
  <c r="K969" i="14" s="1"/>
  <c r="F969" i="14"/>
  <c r="E969" i="14"/>
  <c r="G968" i="14"/>
  <c r="K968" i="14" s="1"/>
  <c r="F968" i="14"/>
  <c r="E968" i="14"/>
  <c r="G967" i="14"/>
  <c r="K967" i="14" s="1"/>
  <c r="F967" i="14"/>
  <c r="E967" i="14"/>
  <c r="K966" i="14"/>
  <c r="F966" i="14"/>
  <c r="E966" i="14"/>
  <c r="K965" i="14"/>
  <c r="F965" i="14"/>
  <c r="E965" i="14"/>
  <c r="K964" i="14"/>
  <c r="G964" i="14"/>
  <c r="F964" i="14"/>
  <c r="E964" i="14"/>
  <c r="G963" i="14"/>
  <c r="K963" i="14" s="1"/>
  <c r="F963" i="14"/>
  <c r="E963" i="14"/>
  <c r="K962" i="14"/>
  <c r="G962" i="14"/>
  <c r="F962" i="14"/>
  <c r="E962" i="14"/>
  <c r="G961" i="14"/>
  <c r="K961" i="14" s="1"/>
  <c r="F961" i="14"/>
  <c r="E961" i="14"/>
  <c r="K960" i="14"/>
  <c r="G960" i="14"/>
  <c r="F960" i="14"/>
  <c r="E960" i="14"/>
  <c r="G959" i="14"/>
  <c r="K959" i="14" s="1"/>
  <c r="F959" i="14"/>
  <c r="E959" i="14"/>
  <c r="K958" i="14"/>
  <c r="G958" i="14"/>
  <c r="F958" i="14"/>
  <c r="E958" i="14"/>
  <c r="G957" i="14"/>
  <c r="K957" i="14" s="1"/>
  <c r="F957" i="14"/>
  <c r="E957" i="14"/>
  <c r="K956" i="14"/>
  <c r="G956" i="14"/>
  <c r="F956" i="14"/>
  <c r="E956" i="14"/>
  <c r="G955" i="14"/>
  <c r="K955" i="14" s="1"/>
  <c r="F955" i="14"/>
  <c r="E955" i="14"/>
  <c r="K954" i="14"/>
  <c r="G954" i="14"/>
  <c r="F954" i="14"/>
  <c r="E954" i="14"/>
  <c r="G953" i="14"/>
  <c r="K953" i="14" s="1"/>
  <c r="F953" i="14"/>
  <c r="E953" i="14"/>
  <c r="K952" i="14"/>
  <c r="F952" i="14"/>
  <c r="E952" i="14"/>
  <c r="K951" i="14"/>
  <c r="F951" i="14"/>
  <c r="E951" i="14"/>
  <c r="G950" i="14"/>
  <c r="K950" i="14" s="1"/>
  <c r="F950" i="14"/>
  <c r="E950" i="14"/>
  <c r="G949" i="14"/>
  <c r="K949" i="14" s="1"/>
  <c r="F949" i="14"/>
  <c r="E949" i="14"/>
  <c r="K948" i="14"/>
  <c r="G948" i="14"/>
  <c r="F948" i="14"/>
  <c r="E948" i="14"/>
  <c r="K947" i="14"/>
  <c r="G947" i="14"/>
  <c r="F947" i="14"/>
  <c r="E947" i="14"/>
  <c r="K946" i="14"/>
  <c r="G946" i="14"/>
  <c r="F946" i="14"/>
  <c r="E946" i="14"/>
  <c r="K945" i="14"/>
  <c r="F945" i="14"/>
  <c r="E945" i="14"/>
  <c r="K944" i="14"/>
  <c r="F944" i="14"/>
  <c r="E944" i="14"/>
  <c r="K943" i="14"/>
  <c r="F943" i="14"/>
  <c r="E943" i="14"/>
  <c r="K942" i="14"/>
  <c r="F942" i="14"/>
  <c r="E942" i="14"/>
  <c r="K941" i="14"/>
  <c r="F941" i="14"/>
  <c r="E941" i="14"/>
  <c r="K940" i="14"/>
  <c r="M158" i="15" s="1"/>
  <c r="G940" i="14"/>
  <c r="F940" i="14"/>
  <c r="E940" i="14"/>
  <c r="G939" i="14"/>
  <c r="K939" i="14" s="1"/>
  <c r="M157" i="15" s="1"/>
  <c r="F939" i="14"/>
  <c r="E939" i="14"/>
  <c r="K938" i="14"/>
  <c r="G938" i="14"/>
  <c r="F938" i="14"/>
  <c r="E938" i="14"/>
  <c r="G937" i="14"/>
  <c r="K937" i="14" s="1"/>
  <c r="M146" i="15" s="1"/>
  <c r="F937" i="14"/>
  <c r="E937" i="14"/>
  <c r="K936" i="14"/>
  <c r="F936" i="14"/>
  <c r="E936" i="14"/>
  <c r="K935" i="14"/>
  <c r="F935" i="14"/>
  <c r="E935" i="14"/>
  <c r="K934" i="14"/>
  <c r="F934" i="14"/>
  <c r="E934" i="14"/>
  <c r="K933" i="14"/>
  <c r="G933" i="14"/>
  <c r="F933" i="14"/>
  <c r="E933" i="14"/>
  <c r="K932" i="14"/>
  <c r="G932" i="14"/>
  <c r="F932" i="14"/>
  <c r="E932" i="14"/>
  <c r="G931" i="14"/>
  <c r="K931" i="14" s="1"/>
  <c r="F931" i="14"/>
  <c r="E931" i="14"/>
  <c r="G930" i="14"/>
  <c r="K930" i="14" s="1"/>
  <c r="F930" i="14"/>
  <c r="E930" i="14"/>
  <c r="K929" i="14"/>
  <c r="G929" i="14"/>
  <c r="F929" i="14"/>
  <c r="E929" i="14"/>
  <c r="G928" i="14"/>
  <c r="K928" i="14" s="1"/>
  <c r="F928" i="14"/>
  <c r="E928" i="14"/>
  <c r="K927" i="14"/>
  <c r="F927" i="14"/>
  <c r="E927" i="14"/>
  <c r="K926" i="14"/>
  <c r="M224" i="15" s="1"/>
  <c r="G926" i="14"/>
  <c r="F926" i="14"/>
  <c r="E926" i="14"/>
  <c r="K925" i="14"/>
  <c r="F925" i="14"/>
  <c r="E925" i="14"/>
  <c r="K924" i="14"/>
  <c r="F924" i="14"/>
  <c r="E924" i="14"/>
  <c r="K923" i="14"/>
  <c r="M154" i="15" s="1"/>
  <c r="G923" i="14"/>
  <c r="F923" i="14"/>
  <c r="E923" i="14"/>
  <c r="K922" i="14"/>
  <c r="G922" i="14"/>
  <c r="F922" i="14"/>
  <c r="E922" i="14"/>
  <c r="K921" i="14"/>
  <c r="G921" i="14"/>
  <c r="F921" i="14"/>
  <c r="E921" i="14"/>
  <c r="K920" i="14"/>
  <c r="G920" i="14"/>
  <c r="F920" i="14"/>
  <c r="E920" i="14"/>
  <c r="K919" i="14"/>
  <c r="F919" i="14"/>
  <c r="E919" i="14"/>
  <c r="K918" i="14"/>
  <c r="F918" i="14"/>
  <c r="E918" i="14"/>
  <c r="K917" i="14"/>
  <c r="F917" i="14"/>
  <c r="E917" i="14"/>
  <c r="K916" i="14"/>
  <c r="F916" i="14"/>
  <c r="E916" i="14"/>
  <c r="K915" i="14"/>
  <c r="F915" i="14"/>
  <c r="E915" i="14"/>
  <c r="K914" i="14"/>
  <c r="F914" i="14"/>
  <c r="E914" i="14"/>
  <c r="K913" i="14"/>
  <c r="G913" i="14"/>
  <c r="F913" i="14"/>
  <c r="E913" i="14"/>
  <c r="K912" i="14"/>
  <c r="F912" i="14"/>
  <c r="E912" i="14"/>
  <c r="K911" i="14"/>
  <c r="F911" i="14"/>
  <c r="E911" i="14"/>
  <c r="K910" i="14"/>
  <c r="F910" i="14"/>
  <c r="E910" i="14"/>
  <c r="K909" i="14"/>
  <c r="F909" i="14"/>
  <c r="E909" i="14"/>
  <c r="K908" i="14"/>
  <c r="F908" i="14"/>
  <c r="E908" i="14"/>
  <c r="K907" i="14"/>
  <c r="F907" i="14"/>
  <c r="E907" i="14"/>
  <c r="K906" i="14"/>
  <c r="G906" i="14"/>
  <c r="F906" i="14"/>
  <c r="E906" i="14"/>
  <c r="K905" i="14"/>
  <c r="G905" i="14"/>
  <c r="F905" i="14"/>
  <c r="E905" i="14"/>
  <c r="K904" i="14"/>
  <c r="G904" i="14"/>
  <c r="F904" i="14"/>
  <c r="E904" i="14"/>
  <c r="K903" i="14"/>
  <c r="F903" i="14"/>
  <c r="E903" i="14"/>
  <c r="K902" i="14"/>
  <c r="F902" i="14"/>
  <c r="E902" i="14"/>
  <c r="K901" i="14"/>
  <c r="G901" i="14"/>
  <c r="F901" i="14"/>
  <c r="E901" i="14"/>
  <c r="K900" i="14"/>
  <c r="G900" i="14"/>
  <c r="F900" i="14"/>
  <c r="E900" i="14"/>
  <c r="K899" i="14"/>
  <c r="G899" i="14"/>
  <c r="F899" i="14"/>
  <c r="E899" i="14"/>
  <c r="K898" i="14"/>
  <c r="G898" i="14"/>
  <c r="F898" i="14"/>
  <c r="E898" i="14"/>
  <c r="K897" i="14"/>
  <c r="G897" i="14"/>
  <c r="F897" i="14"/>
  <c r="E897" i="14"/>
  <c r="K896" i="14"/>
  <c r="G896" i="14"/>
  <c r="F896" i="14"/>
  <c r="E896" i="14"/>
  <c r="K895" i="14"/>
  <c r="G895" i="14"/>
  <c r="F895" i="14"/>
  <c r="E895" i="14"/>
  <c r="K894" i="14"/>
  <c r="G894" i="14"/>
  <c r="F894" i="14"/>
  <c r="E894" i="14"/>
  <c r="K893" i="14"/>
  <c r="G893" i="14"/>
  <c r="F893" i="14"/>
  <c r="E893" i="14"/>
  <c r="K892" i="14"/>
  <c r="G892" i="14"/>
  <c r="F892" i="14"/>
  <c r="E892" i="14"/>
  <c r="K891" i="14"/>
  <c r="G891" i="14"/>
  <c r="F891" i="14"/>
  <c r="E891" i="14"/>
  <c r="K890" i="14"/>
  <c r="F890" i="14"/>
  <c r="E890" i="14"/>
  <c r="K889" i="14"/>
  <c r="F889" i="14"/>
  <c r="E889" i="14"/>
  <c r="K888" i="14"/>
  <c r="F888" i="14"/>
  <c r="E888" i="14"/>
  <c r="K887" i="14"/>
  <c r="F887" i="14"/>
  <c r="E887" i="14"/>
  <c r="K886" i="14"/>
  <c r="F886" i="14"/>
  <c r="E886" i="14"/>
  <c r="K885" i="14"/>
  <c r="F885" i="14"/>
  <c r="E885" i="14"/>
  <c r="K884" i="14"/>
  <c r="F884" i="14"/>
  <c r="E884" i="14"/>
  <c r="K883" i="14"/>
  <c r="F883" i="14"/>
  <c r="E883" i="14"/>
  <c r="K882" i="14"/>
  <c r="F882" i="14"/>
  <c r="E882" i="14"/>
  <c r="K881" i="14"/>
  <c r="F881" i="14"/>
  <c r="E881" i="14"/>
  <c r="K880" i="14"/>
  <c r="F880" i="14"/>
  <c r="E880" i="14"/>
  <c r="K879" i="14"/>
  <c r="F879" i="14"/>
  <c r="E879" i="14"/>
  <c r="K878" i="14"/>
  <c r="F878" i="14"/>
  <c r="E878" i="14"/>
  <c r="K877" i="14"/>
  <c r="F877" i="14"/>
  <c r="E877" i="14"/>
  <c r="K876" i="14"/>
  <c r="F876" i="14"/>
  <c r="E876" i="14"/>
  <c r="G875" i="14"/>
  <c r="K875" i="14" s="1"/>
  <c r="F875" i="14"/>
  <c r="E875" i="14"/>
  <c r="K874" i="14"/>
  <c r="G874" i="14"/>
  <c r="F874" i="14"/>
  <c r="E874" i="14"/>
  <c r="K873" i="14"/>
  <c r="G873" i="14"/>
  <c r="F873" i="14"/>
  <c r="E873" i="14"/>
  <c r="K872" i="14"/>
  <c r="M153" i="15" s="1"/>
  <c r="F872" i="14"/>
  <c r="E872" i="14"/>
  <c r="K871" i="14"/>
  <c r="F871" i="14"/>
  <c r="E871" i="14"/>
  <c r="K870" i="14"/>
  <c r="F870" i="14"/>
  <c r="E870" i="14"/>
  <c r="K869" i="14"/>
  <c r="F869" i="14"/>
  <c r="E869" i="14"/>
  <c r="K868" i="14"/>
  <c r="F868" i="14"/>
  <c r="E868" i="14"/>
  <c r="G867" i="14"/>
  <c r="K867" i="14" s="1"/>
  <c r="F867" i="14"/>
  <c r="E867" i="14"/>
  <c r="K866" i="14"/>
  <c r="G866" i="14"/>
  <c r="F866" i="14"/>
  <c r="E866" i="14"/>
  <c r="G865" i="14"/>
  <c r="K865" i="14" s="1"/>
  <c r="F865" i="14"/>
  <c r="E865" i="14"/>
  <c r="K864" i="14"/>
  <c r="F864" i="14"/>
  <c r="E864" i="14"/>
  <c r="K863" i="14"/>
  <c r="F863" i="14"/>
  <c r="E863" i="14"/>
  <c r="G862" i="14"/>
  <c r="K862" i="14" s="1"/>
  <c r="F862" i="14"/>
  <c r="E862" i="14"/>
  <c r="K861" i="14"/>
  <c r="G861" i="14"/>
  <c r="F861" i="14"/>
  <c r="E861" i="14"/>
  <c r="K860" i="14"/>
  <c r="F860" i="14"/>
  <c r="E860" i="14"/>
  <c r="K859" i="14"/>
  <c r="F859" i="14"/>
  <c r="E859" i="14"/>
  <c r="K858" i="14"/>
  <c r="F858" i="14"/>
  <c r="E858" i="14"/>
  <c r="K857" i="14"/>
  <c r="F857" i="14"/>
  <c r="E857" i="14"/>
  <c r="K856" i="14"/>
  <c r="G856" i="14"/>
  <c r="F856" i="14"/>
  <c r="E856" i="14"/>
  <c r="G855" i="14"/>
  <c r="K855" i="14" s="1"/>
  <c r="F855" i="14"/>
  <c r="E855" i="14"/>
  <c r="G854" i="14"/>
  <c r="K854" i="14" s="1"/>
  <c r="F854" i="14"/>
  <c r="E854" i="14"/>
  <c r="G853" i="14"/>
  <c r="K853" i="14" s="1"/>
  <c r="F853" i="14"/>
  <c r="E853" i="14"/>
  <c r="K852" i="14"/>
  <c r="G852" i="14"/>
  <c r="F852" i="14"/>
  <c r="E852" i="14"/>
  <c r="K851" i="14"/>
  <c r="F851" i="14"/>
  <c r="E851" i="14"/>
  <c r="K850" i="14"/>
  <c r="F850" i="14"/>
  <c r="E850" i="14"/>
  <c r="G849" i="14"/>
  <c r="K849" i="14" s="1"/>
  <c r="F849" i="14"/>
  <c r="E849" i="14"/>
  <c r="K848" i="14"/>
  <c r="G848" i="14"/>
  <c r="F848" i="14"/>
  <c r="E848" i="14"/>
  <c r="K847" i="14"/>
  <c r="F847" i="14"/>
  <c r="E847" i="14"/>
  <c r="K846" i="14"/>
  <c r="F846" i="14"/>
  <c r="E846" i="14"/>
  <c r="K845" i="14"/>
  <c r="F845" i="14"/>
  <c r="E845" i="14"/>
  <c r="K844" i="14"/>
  <c r="F844" i="14"/>
  <c r="E844" i="14"/>
  <c r="K843" i="14"/>
  <c r="F843" i="14"/>
  <c r="E843" i="14"/>
  <c r="K842" i="14"/>
  <c r="G842" i="14"/>
  <c r="F842" i="14"/>
  <c r="E842" i="14"/>
  <c r="K841" i="14"/>
  <c r="G841" i="14"/>
  <c r="F841" i="14"/>
  <c r="E841" i="14"/>
  <c r="K840" i="14"/>
  <c r="G840" i="14"/>
  <c r="F840" i="14"/>
  <c r="E840" i="14"/>
  <c r="K839" i="14"/>
  <c r="G839" i="14"/>
  <c r="F839" i="14"/>
  <c r="E839" i="14"/>
  <c r="K838" i="14"/>
  <c r="G838" i="14"/>
  <c r="F838" i="14"/>
  <c r="E838" i="14"/>
  <c r="K837" i="14"/>
  <c r="G837" i="14"/>
  <c r="F837" i="14"/>
  <c r="E837" i="14"/>
  <c r="K836" i="14"/>
  <c r="G836" i="14"/>
  <c r="F836" i="14"/>
  <c r="E836" i="14"/>
  <c r="K835" i="14"/>
  <c r="G835" i="14"/>
  <c r="F835" i="14"/>
  <c r="E835" i="14"/>
  <c r="K834" i="14"/>
  <c r="M192" i="15" s="1"/>
  <c r="G834" i="14"/>
  <c r="F834" i="14"/>
  <c r="E834" i="14"/>
  <c r="K833" i="14"/>
  <c r="G833" i="14"/>
  <c r="F833" i="14"/>
  <c r="E833" i="14"/>
  <c r="K832" i="14"/>
  <c r="F832" i="14"/>
  <c r="E832" i="14"/>
  <c r="G831" i="14"/>
  <c r="K831" i="14" s="1"/>
  <c r="F831" i="14"/>
  <c r="E831" i="14"/>
  <c r="K830" i="14"/>
  <c r="G830" i="14"/>
  <c r="F830" i="14"/>
  <c r="E830" i="14"/>
  <c r="G829" i="14"/>
  <c r="K829" i="14" s="1"/>
  <c r="F829" i="14"/>
  <c r="E829" i="14"/>
  <c r="K828" i="14"/>
  <c r="G828" i="14"/>
  <c r="F828" i="14"/>
  <c r="E828" i="14"/>
  <c r="G827" i="14"/>
  <c r="K827" i="14" s="1"/>
  <c r="F827" i="14"/>
  <c r="E827" i="14"/>
  <c r="K826" i="14"/>
  <c r="G826" i="14"/>
  <c r="F826" i="14"/>
  <c r="E826" i="14"/>
  <c r="G825" i="14"/>
  <c r="K825" i="14" s="1"/>
  <c r="F825" i="14"/>
  <c r="E825" i="14"/>
  <c r="K824" i="14"/>
  <c r="G824" i="14"/>
  <c r="F824" i="14"/>
  <c r="E824" i="14"/>
  <c r="K823" i="14"/>
  <c r="F823" i="14"/>
  <c r="E823" i="14"/>
  <c r="K822" i="14"/>
  <c r="F822" i="14"/>
  <c r="E822" i="14"/>
  <c r="K821" i="14"/>
  <c r="F821" i="14"/>
  <c r="E821" i="14"/>
  <c r="K820" i="14"/>
  <c r="F820" i="14"/>
  <c r="E820" i="14"/>
  <c r="K819" i="14"/>
  <c r="G819" i="14"/>
  <c r="F819" i="14"/>
  <c r="E819" i="14"/>
  <c r="G818" i="14"/>
  <c r="K818" i="14" s="1"/>
  <c r="F818" i="14"/>
  <c r="E818" i="14"/>
  <c r="K817" i="14"/>
  <c r="G817" i="14"/>
  <c r="F817" i="14"/>
  <c r="E817" i="14"/>
  <c r="G816" i="14"/>
  <c r="K816" i="14" s="1"/>
  <c r="F816" i="14"/>
  <c r="E816" i="14"/>
  <c r="K815" i="14"/>
  <c r="G815" i="14"/>
  <c r="F815" i="14"/>
  <c r="E815" i="14"/>
  <c r="G814" i="14"/>
  <c r="K814" i="14" s="1"/>
  <c r="F814" i="14"/>
  <c r="E814" i="14"/>
  <c r="K813" i="14"/>
  <c r="G813" i="14"/>
  <c r="F813" i="14"/>
  <c r="E813" i="14"/>
  <c r="G812" i="14"/>
  <c r="K812" i="14" s="1"/>
  <c r="F812" i="14"/>
  <c r="E812" i="14"/>
  <c r="K811" i="14"/>
  <c r="G811" i="14"/>
  <c r="F811" i="14"/>
  <c r="E811" i="14"/>
  <c r="G810" i="14"/>
  <c r="K810" i="14" s="1"/>
  <c r="F810" i="14"/>
  <c r="E810" i="14"/>
  <c r="K809" i="14"/>
  <c r="M54" i="15" s="1"/>
  <c r="F809" i="14"/>
  <c r="E809" i="14"/>
  <c r="K808" i="14"/>
  <c r="F808" i="14"/>
  <c r="E808" i="14"/>
  <c r="K807" i="14"/>
  <c r="F807" i="14"/>
  <c r="E807" i="14"/>
  <c r="K806" i="14"/>
  <c r="F806" i="14"/>
  <c r="E806" i="14"/>
  <c r="G805" i="14"/>
  <c r="K805" i="14" s="1"/>
  <c r="F805" i="14"/>
  <c r="E805" i="14"/>
  <c r="K804" i="14"/>
  <c r="F804" i="14"/>
  <c r="E804" i="14"/>
  <c r="K803" i="14"/>
  <c r="F803" i="14"/>
  <c r="E803" i="14"/>
  <c r="F802" i="14"/>
  <c r="E802" i="14"/>
  <c r="F801" i="14"/>
  <c r="E801" i="14"/>
  <c r="F800" i="14"/>
  <c r="E800" i="14"/>
  <c r="F799" i="14"/>
  <c r="E799" i="14"/>
  <c r="F798" i="14"/>
  <c r="E798" i="14"/>
  <c r="F797" i="14"/>
  <c r="E797" i="14"/>
  <c r="F796" i="14"/>
  <c r="E796" i="14"/>
  <c r="F795" i="14"/>
  <c r="E795" i="14"/>
  <c r="F794" i="14"/>
  <c r="E794" i="14"/>
  <c r="F793" i="14"/>
  <c r="E793" i="14"/>
  <c r="F792" i="14"/>
  <c r="E792" i="14"/>
  <c r="F791" i="14"/>
  <c r="E791" i="14"/>
  <c r="F790" i="14"/>
  <c r="E790" i="14"/>
  <c r="F789" i="14"/>
  <c r="E789" i="14"/>
  <c r="F788" i="14"/>
  <c r="E788" i="14"/>
  <c r="F787" i="14"/>
  <c r="E787" i="14"/>
  <c r="F786" i="14"/>
  <c r="E786" i="14"/>
  <c r="F785" i="14"/>
  <c r="E785" i="14"/>
  <c r="F784" i="14"/>
  <c r="E784" i="14"/>
  <c r="F783" i="14"/>
  <c r="E783" i="14"/>
  <c r="F782" i="14"/>
  <c r="E782" i="14"/>
  <c r="F781" i="14"/>
  <c r="E781" i="14"/>
  <c r="F780" i="14"/>
  <c r="E780" i="14"/>
  <c r="F779" i="14"/>
  <c r="E779" i="14"/>
  <c r="K778" i="14"/>
  <c r="M150" i="15" s="1"/>
  <c r="F778" i="14"/>
  <c r="E778" i="14"/>
  <c r="K777" i="14"/>
  <c r="M149" i="15" s="1"/>
  <c r="F777" i="14"/>
  <c r="E777" i="14"/>
  <c r="K776" i="14"/>
  <c r="F776" i="14"/>
  <c r="E776" i="14"/>
  <c r="K775" i="14"/>
  <c r="M147" i="15" s="1"/>
  <c r="F775" i="14"/>
  <c r="E775" i="14"/>
  <c r="K774" i="14"/>
  <c r="F774" i="14"/>
  <c r="E774" i="14"/>
  <c r="K773" i="14"/>
  <c r="M145" i="15" s="1"/>
  <c r="F773" i="14"/>
  <c r="E773" i="14"/>
  <c r="K772" i="14"/>
  <c r="F772" i="14"/>
  <c r="E772" i="14"/>
  <c r="K771" i="14"/>
  <c r="F771" i="14"/>
  <c r="E771" i="14"/>
  <c r="K770" i="14"/>
  <c r="M142" i="15" s="1"/>
  <c r="F770" i="14"/>
  <c r="E770" i="14"/>
  <c r="K769" i="14"/>
  <c r="M141" i="15" s="1"/>
  <c r="F769" i="14"/>
  <c r="E769" i="14"/>
  <c r="K768" i="14"/>
  <c r="M140" i="15" s="1"/>
  <c r="F768" i="14"/>
  <c r="E768" i="14"/>
  <c r="K767" i="14"/>
  <c r="F767" i="14"/>
  <c r="E767" i="14"/>
  <c r="K766" i="14"/>
  <c r="M138" i="15" s="1"/>
  <c r="F766" i="14"/>
  <c r="E766" i="14"/>
  <c r="K765" i="14"/>
  <c r="M137" i="15" s="1"/>
  <c r="F765" i="14"/>
  <c r="E765" i="14"/>
  <c r="K764" i="14"/>
  <c r="M136" i="15" s="1"/>
  <c r="F764" i="14"/>
  <c r="E764" i="14"/>
  <c r="K763" i="14"/>
  <c r="F763" i="14"/>
  <c r="E763" i="14"/>
  <c r="K762" i="14"/>
  <c r="M134" i="15" s="1"/>
  <c r="F762" i="14"/>
  <c r="E762" i="14"/>
  <c r="K761" i="14"/>
  <c r="M133" i="15" s="1"/>
  <c r="F761" i="14"/>
  <c r="E761" i="14"/>
  <c r="K760" i="14"/>
  <c r="F760" i="14"/>
  <c r="E760" i="14"/>
  <c r="K759" i="14"/>
  <c r="F759" i="14"/>
  <c r="E759" i="14"/>
  <c r="K758" i="14"/>
  <c r="F758" i="14"/>
  <c r="E758" i="14"/>
  <c r="K757" i="14"/>
  <c r="F757" i="14"/>
  <c r="E757" i="14"/>
  <c r="K756" i="14"/>
  <c r="F756" i="14"/>
  <c r="E756" i="14"/>
  <c r="K755" i="14"/>
  <c r="F755" i="14"/>
  <c r="E755" i="14"/>
  <c r="K754" i="14"/>
  <c r="G754" i="14"/>
  <c r="F754" i="14"/>
  <c r="E754" i="14"/>
  <c r="G753" i="14"/>
  <c r="K753" i="14" s="1"/>
  <c r="F753" i="14"/>
  <c r="E753" i="14"/>
  <c r="G752" i="14"/>
  <c r="K752" i="14" s="1"/>
  <c r="F752" i="14"/>
  <c r="E752" i="14"/>
  <c r="G751" i="14"/>
  <c r="K751" i="14" s="1"/>
  <c r="F751" i="14"/>
  <c r="E751" i="14"/>
  <c r="K750" i="14"/>
  <c r="G750" i="14"/>
  <c r="F750" i="14"/>
  <c r="E750" i="14"/>
  <c r="G749" i="14"/>
  <c r="K749" i="14" s="1"/>
  <c r="F749" i="14"/>
  <c r="E749" i="14"/>
  <c r="G748" i="14"/>
  <c r="K748" i="14" s="1"/>
  <c r="F748" i="14"/>
  <c r="E748" i="14"/>
  <c r="G747" i="14"/>
  <c r="K747" i="14" s="1"/>
  <c r="F747" i="14"/>
  <c r="E747" i="14"/>
  <c r="K746" i="14"/>
  <c r="G746" i="14"/>
  <c r="F746" i="14"/>
  <c r="E746" i="14"/>
  <c r="G745" i="14"/>
  <c r="K745" i="14" s="1"/>
  <c r="F745" i="14"/>
  <c r="E745" i="14"/>
  <c r="K744" i="14"/>
  <c r="F744" i="14"/>
  <c r="E744" i="14"/>
  <c r="K743" i="14"/>
  <c r="F743" i="14"/>
  <c r="E743" i="14"/>
  <c r="K742" i="14"/>
  <c r="F742" i="14"/>
  <c r="E742" i="14"/>
  <c r="K741" i="14"/>
  <c r="F741" i="14"/>
  <c r="E741" i="14"/>
  <c r="K740" i="14"/>
  <c r="F740" i="14"/>
  <c r="E740" i="14"/>
  <c r="K739" i="14"/>
  <c r="F739" i="14"/>
  <c r="E739" i="14"/>
  <c r="K738" i="14"/>
  <c r="F738" i="14"/>
  <c r="E738" i="14"/>
  <c r="K737" i="14"/>
  <c r="F737" i="14"/>
  <c r="E737" i="14"/>
  <c r="K736" i="14"/>
  <c r="F736" i="14"/>
  <c r="E736" i="14"/>
  <c r="K735" i="14"/>
  <c r="F735" i="14"/>
  <c r="E735" i="14"/>
  <c r="K734" i="14"/>
  <c r="F734" i="14"/>
  <c r="E734" i="14"/>
  <c r="K733" i="14"/>
  <c r="F733" i="14"/>
  <c r="E733" i="14"/>
  <c r="G732" i="14"/>
  <c r="K732" i="14" s="1"/>
  <c r="F732" i="14"/>
  <c r="E732" i="14"/>
  <c r="K731" i="14"/>
  <c r="F731" i="14"/>
  <c r="E731" i="14"/>
  <c r="K730" i="14"/>
  <c r="M50" i="15" s="1"/>
  <c r="F730" i="14"/>
  <c r="E730" i="14"/>
  <c r="K729" i="14"/>
  <c r="F729" i="14"/>
  <c r="E729" i="14"/>
  <c r="K728" i="14"/>
  <c r="F728" i="14"/>
  <c r="E728" i="14"/>
  <c r="K727" i="14"/>
  <c r="F727" i="14"/>
  <c r="E727" i="14"/>
  <c r="K726" i="14"/>
  <c r="F726" i="14"/>
  <c r="E726" i="14"/>
  <c r="K725" i="14"/>
  <c r="F725" i="14"/>
  <c r="E725" i="14"/>
  <c r="K724" i="14"/>
  <c r="F724" i="14"/>
  <c r="E724" i="14"/>
  <c r="K723" i="14"/>
  <c r="F723" i="14"/>
  <c r="E723" i="14"/>
  <c r="K722" i="14"/>
  <c r="F722" i="14"/>
  <c r="E722" i="14"/>
  <c r="K721" i="14"/>
  <c r="F721" i="14"/>
  <c r="E721" i="14"/>
  <c r="K720" i="14"/>
  <c r="F720" i="14"/>
  <c r="E720" i="14"/>
  <c r="K719" i="14"/>
  <c r="F719" i="14"/>
  <c r="E719" i="14"/>
  <c r="K718" i="14"/>
  <c r="F718" i="14"/>
  <c r="E718" i="14"/>
  <c r="K717" i="14"/>
  <c r="F717" i="14"/>
  <c r="E717" i="14"/>
  <c r="K716" i="14"/>
  <c r="F716" i="14"/>
  <c r="E716" i="14"/>
  <c r="K715" i="14"/>
  <c r="F715" i="14"/>
  <c r="E715" i="14"/>
  <c r="K714" i="14"/>
  <c r="F714" i="14"/>
  <c r="E714" i="14"/>
  <c r="K713" i="14"/>
  <c r="F713" i="14"/>
  <c r="E713" i="14"/>
  <c r="K712" i="14"/>
  <c r="F712" i="14"/>
  <c r="E712" i="14"/>
  <c r="K711" i="14"/>
  <c r="F711" i="14"/>
  <c r="E711" i="14"/>
  <c r="K710" i="14"/>
  <c r="G710" i="14"/>
  <c r="F710" i="14"/>
  <c r="E710" i="14"/>
  <c r="K709" i="14"/>
  <c r="G709" i="14"/>
  <c r="F709" i="14"/>
  <c r="E709" i="14"/>
  <c r="K708" i="14"/>
  <c r="F708" i="14"/>
  <c r="E708" i="14"/>
  <c r="K707" i="14"/>
  <c r="F707" i="14"/>
  <c r="E707" i="14"/>
  <c r="K706" i="14"/>
  <c r="F706" i="14"/>
  <c r="E706" i="14"/>
  <c r="K705" i="14"/>
  <c r="G705" i="14"/>
  <c r="F705" i="14"/>
  <c r="E705" i="14"/>
  <c r="G704" i="14"/>
  <c r="K704" i="14" s="1"/>
  <c r="F704" i="14"/>
  <c r="E704" i="14"/>
  <c r="G703" i="14"/>
  <c r="K703" i="14" s="1"/>
  <c r="F703" i="14"/>
  <c r="E703" i="14"/>
  <c r="K702" i="14"/>
  <c r="F702" i="14"/>
  <c r="E702" i="14"/>
  <c r="K701" i="14"/>
  <c r="G701" i="14"/>
  <c r="F701" i="14"/>
  <c r="E701" i="14"/>
  <c r="K700" i="14"/>
  <c r="G700" i="14"/>
  <c r="F700" i="14"/>
  <c r="E700" i="14"/>
  <c r="K699" i="14"/>
  <c r="F699" i="14"/>
  <c r="E699" i="14"/>
  <c r="K698" i="14"/>
  <c r="F698" i="14"/>
  <c r="E698" i="14"/>
  <c r="K697" i="14"/>
  <c r="F697" i="14"/>
  <c r="E697" i="14"/>
  <c r="F695" i="14"/>
  <c r="E695" i="14"/>
  <c r="F694" i="14"/>
  <c r="E694" i="14"/>
  <c r="F693" i="14"/>
  <c r="E693" i="14"/>
  <c r="F692" i="14"/>
  <c r="E692" i="14"/>
  <c r="F691" i="14"/>
  <c r="E691" i="14"/>
  <c r="K690" i="14"/>
  <c r="M237" i="15" s="1"/>
  <c r="F690" i="14"/>
  <c r="E690" i="14"/>
  <c r="K689" i="14"/>
  <c r="M236" i="15" s="1"/>
  <c r="F689" i="14"/>
  <c r="E689" i="14"/>
  <c r="F688" i="14"/>
  <c r="E688" i="14"/>
  <c r="F687" i="14"/>
  <c r="E687" i="14"/>
  <c r="F686" i="14"/>
  <c r="E686" i="14"/>
  <c r="F685" i="14"/>
  <c r="E685" i="14"/>
  <c r="F684" i="14"/>
  <c r="E684" i="14"/>
  <c r="F683" i="14"/>
  <c r="E683" i="14"/>
  <c r="F682" i="14"/>
  <c r="E682" i="14"/>
  <c r="F681" i="14"/>
  <c r="E681" i="14"/>
  <c r="F680" i="14"/>
  <c r="E680" i="14"/>
  <c r="F679" i="14"/>
  <c r="E679" i="14"/>
  <c r="F678" i="14"/>
  <c r="E678" i="14"/>
  <c r="F677" i="14"/>
  <c r="E677" i="14"/>
  <c r="K676" i="14"/>
  <c r="F676" i="14"/>
  <c r="E676" i="14"/>
  <c r="K675" i="14"/>
  <c r="F675" i="14"/>
  <c r="E675" i="14"/>
  <c r="K674" i="14"/>
  <c r="F674" i="14"/>
  <c r="E674" i="14"/>
  <c r="K673" i="14"/>
  <c r="F673" i="14"/>
  <c r="E673" i="14"/>
  <c r="K672" i="14"/>
  <c r="F672" i="14"/>
  <c r="E672" i="14"/>
  <c r="K671" i="14"/>
  <c r="F671" i="14"/>
  <c r="E671" i="14"/>
  <c r="K670" i="14"/>
  <c r="M13" i="15" s="1"/>
  <c r="F670" i="14"/>
  <c r="E670" i="14"/>
  <c r="K669" i="14"/>
  <c r="M200" i="15" s="1"/>
  <c r="F669" i="14"/>
  <c r="E669" i="14"/>
  <c r="K668" i="14"/>
  <c r="F668" i="14"/>
  <c r="E668" i="14"/>
  <c r="K667" i="14"/>
  <c r="M198" i="15" s="1"/>
  <c r="F667" i="14"/>
  <c r="E667" i="14"/>
  <c r="K666" i="14"/>
  <c r="M197" i="15" s="1"/>
  <c r="F666" i="14"/>
  <c r="E666" i="14"/>
  <c r="K665" i="14"/>
  <c r="M196" i="15" s="1"/>
  <c r="F665" i="14"/>
  <c r="E665" i="14"/>
  <c r="K664" i="14"/>
  <c r="M195" i="15" s="1"/>
  <c r="F664" i="14"/>
  <c r="E664" i="14"/>
  <c r="K663" i="14"/>
  <c r="M194" i="15" s="1"/>
  <c r="F663" i="14"/>
  <c r="E663" i="14"/>
  <c r="K662" i="14"/>
  <c r="M193" i="15" s="1"/>
  <c r="F662" i="14"/>
  <c r="E662" i="14"/>
  <c r="K661" i="14"/>
  <c r="G661" i="14"/>
  <c r="F661" i="14"/>
  <c r="E661" i="14"/>
  <c r="K660" i="14"/>
  <c r="G660" i="14"/>
  <c r="F660" i="14"/>
  <c r="E660" i="14"/>
  <c r="K659" i="14"/>
  <c r="G659" i="14"/>
  <c r="F659" i="14"/>
  <c r="E659" i="14"/>
  <c r="K658" i="14"/>
  <c r="F658" i="14"/>
  <c r="E658" i="14"/>
  <c r="K657" i="14"/>
  <c r="F657" i="14"/>
  <c r="E657" i="14"/>
  <c r="K656" i="14"/>
  <c r="F656" i="14"/>
  <c r="E656" i="14"/>
  <c r="K655" i="14"/>
  <c r="F655" i="14"/>
  <c r="E655" i="14"/>
  <c r="K654" i="14"/>
  <c r="F654" i="14"/>
  <c r="E654" i="14"/>
  <c r="K653" i="14"/>
  <c r="F653" i="14"/>
  <c r="E653" i="14"/>
  <c r="K652" i="14"/>
  <c r="F652" i="14"/>
  <c r="E652" i="14"/>
  <c r="K651" i="14"/>
  <c r="F651" i="14"/>
  <c r="E651" i="14"/>
  <c r="K650" i="14"/>
  <c r="F650" i="14"/>
  <c r="E650" i="14"/>
  <c r="K649" i="14"/>
  <c r="F649" i="14"/>
  <c r="E649" i="14"/>
  <c r="K648" i="14"/>
  <c r="F648" i="14"/>
  <c r="E648" i="14"/>
  <c r="K647" i="14"/>
  <c r="F647" i="14"/>
  <c r="E647" i="14"/>
  <c r="K646" i="14"/>
  <c r="F646" i="14"/>
  <c r="E646" i="14"/>
  <c r="K645" i="14"/>
  <c r="F645" i="14"/>
  <c r="E645" i="14"/>
  <c r="K644" i="14"/>
  <c r="F644" i="14"/>
  <c r="E644" i="14"/>
  <c r="K643" i="14"/>
  <c r="F643" i="14"/>
  <c r="E643" i="14"/>
  <c r="K642" i="14"/>
  <c r="F642" i="14"/>
  <c r="E642" i="14"/>
  <c r="K641" i="14"/>
  <c r="F641" i="14"/>
  <c r="E641" i="14"/>
  <c r="K640" i="14"/>
  <c r="F640" i="14"/>
  <c r="E640" i="14"/>
  <c r="K639" i="14"/>
  <c r="F639" i="14"/>
  <c r="E639" i="14"/>
  <c r="K638" i="14"/>
  <c r="F638" i="14"/>
  <c r="E638" i="14"/>
  <c r="K637" i="14"/>
  <c r="F637" i="14"/>
  <c r="E637" i="14"/>
  <c r="K636" i="14"/>
  <c r="F636" i="14"/>
  <c r="E636" i="14"/>
  <c r="K635" i="14"/>
  <c r="F635" i="14"/>
  <c r="E635" i="14"/>
  <c r="K634" i="14"/>
  <c r="F634" i="14"/>
  <c r="E634" i="14"/>
  <c r="K633" i="14"/>
  <c r="F633" i="14"/>
  <c r="E633" i="14"/>
  <c r="K632" i="14"/>
  <c r="F632" i="14"/>
  <c r="E632" i="14"/>
  <c r="K631" i="14"/>
  <c r="F631" i="14"/>
  <c r="E631" i="14"/>
  <c r="K630" i="14"/>
  <c r="G630" i="14"/>
  <c r="F630" i="14"/>
  <c r="E630" i="14"/>
  <c r="K629" i="14"/>
  <c r="F629" i="14"/>
  <c r="E629" i="14"/>
  <c r="K628" i="14"/>
  <c r="F628" i="14"/>
  <c r="E628" i="14"/>
  <c r="K627" i="14"/>
  <c r="F627" i="14"/>
  <c r="E627" i="14"/>
  <c r="K626" i="14"/>
  <c r="F626" i="14"/>
  <c r="E626" i="14"/>
  <c r="K625" i="14"/>
  <c r="G625" i="14"/>
  <c r="F625" i="14"/>
  <c r="E625" i="14"/>
  <c r="K624" i="14"/>
  <c r="G624" i="14"/>
  <c r="F624" i="14"/>
  <c r="E624" i="14"/>
  <c r="K623" i="14"/>
  <c r="G623" i="14"/>
  <c r="F623" i="14"/>
  <c r="E623" i="14"/>
  <c r="G622" i="14"/>
  <c r="K622" i="14" s="1"/>
  <c r="F622" i="14"/>
  <c r="E622" i="14"/>
  <c r="G621" i="14"/>
  <c r="K621" i="14" s="1"/>
  <c r="F621" i="14"/>
  <c r="E621" i="14"/>
  <c r="K620" i="14"/>
  <c r="F620" i="14"/>
  <c r="E620" i="14"/>
  <c r="K619" i="14"/>
  <c r="F619" i="14"/>
  <c r="E619" i="14"/>
  <c r="K618" i="14"/>
  <c r="F618" i="14"/>
  <c r="E618" i="14"/>
  <c r="K617" i="14"/>
  <c r="F617" i="14"/>
  <c r="E617" i="14"/>
  <c r="K616" i="14"/>
  <c r="F616" i="14"/>
  <c r="E616" i="14"/>
  <c r="K615" i="14"/>
  <c r="F615" i="14"/>
  <c r="E615" i="14"/>
  <c r="K614" i="14"/>
  <c r="F614" i="14"/>
  <c r="E614" i="14"/>
  <c r="K613" i="14"/>
  <c r="F613" i="14"/>
  <c r="E613" i="14"/>
  <c r="G612" i="14"/>
  <c r="K612" i="14" s="1"/>
  <c r="F612" i="14"/>
  <c r="E612" i="14"/>
  <c r="K611" i="14"/>
  <c r="F611" i="14"/>
  <c r="E611" i="14"/>
  <c r="K610" i="14"/>
  <c r="F610" i="14"/>
  <c r="E610" i="14"/>
  <c r="K609" i="14"/>
  <c r="F609" i="14"/>
  <c r="E609" i="14"/>
  <c r="K608" i="14"/>
  <c r="F608" i="14"/>
  <c r="E608" i="14"/>
  <c r="K607" i="14"/>
  <c r="F607" i="14"/>
  <c r="E607" i="14"/>
  <c r="K606" i="14"/>
  <c r="F606" i="14"/>
  <c r="E606" i="14"/>
  <c r="K605" i="14"/>
  <c r="F605" i="14"/>
  <c r="E605" i="14"/>
  <c r="K604" i="14"/>
  <c r="F604" i="14"/>
  <c r="E604" i="14"/>
  <c r="K603" i="14"/>
  <c r="F603" i="14"/>
  <c r="E603" i="14"/>
  <c r="K602" i="14"/>
  <c r="J602" i="14"/>
  <c r="F602" i="14"/>
  <c r="E602" i="14"/>
  <c r="K601" i="14"/>
  <c r="J601" i="14"/>
  <c r="F601" i="14"/>
  <c r="E601" i="14"/>
  <c r="K600" i="14"/>
  <c r="J600" i="14"/>
  <c r="G600" i="14"/>
  <c r="F600" i="14"/>
  <c r="E600" i="14"/>
  <c r="K599" i="14"/>
  <c r="J599" i="14"/>
  <c r="F599" i="14"/>
  <c r="E599" i="14"/>
  <c r="K598" i="14"/>
  <c r="J598" i="14"/>
  <c r="F598" i="14"/>
  <c r="E598" i="14"/>
  <c r="K597" i="14"/>
  <c r="J597" i="14"/>
  <c r="F597" i="14"/>
  <c r="E597" i="14"/>
  <c r="K596" i="14"/>
  <c r="J596" i="14"/>
  <c r="F596" i="14"/>
  <c r="E596" i="14"/>
  <c r="K595" i="14"/>
  <c r="J595" i="14"/>
  <c r="F595" i="14"/>
  <c r="E595" i="14"/>
  <c r="K594" i="14"/>
  <c r="J594" i="14"/>
  <c r="F594" i="14"/>
  <c r="E594" i="14"/>
  <c r="K593" i="14"/>
  <c r="J593" i="14"/>
  <c r="F593" i="14"/>
  <c r="E593" i="14"/>
  <c r="K592" i="14"/>
  <c r="J592" i="14"/>
  <c r="F592" i="14"/>
  <c r="E592" i="14"/>
  <c r="K591" i="14"/>
  <c r="J591" i="14"/>
  <c r="F591" i="14"/>
  <c r="E591" i="14"/>
  <c r="K590" i="14"/>
  <c r="J590" i="14"/>
  <c r="F590" i="14"/>
  <c r="E590" i="14"/>
  <c r="K589" i="14"/>
  <c r="J589" i="14"/>
  <c r="F589" i="14"/>
  <c r="E589" i="14"/>
  <c r="K588" i="14"/>
  <c r="J588" i="14"/>
  <c r="F588" i="14"/>
  <c r="E588" i="14"/>
  <c r="K587" i="14"/>
  <c r="J587" i="14"/>
  <c r="F587" i="14"/>
  <c r="E587" i="14"/>
  <c r="K586" i="14"/>
  <c r="J586" i="14"/>
  <c r="F586" i="14"/>
  <c r="E586" i="14"/>
  <c r="K585" i="14"/>
  <c r="J585" i="14"/>
  <c r="F585" i="14"/>
  <c r="E585" i="14"/>
  <c r="K584" i="14"/>
  <c r="J584" i="14"/>
  <c r="F584" i="14"/>
  <c r="E584" i="14"/>
  <c r="K583" i="14"/>
  <c r="J583" i="14"/>
  <c r="F583" i="14"/>
  <c r="E583" i="14"/>
  <c r="K582" i="14"/>
  <c r="J582" i="14"/>
  <c r="F582" i="14"/>
  <c r="E582" i="14"/>
  <c r="G581" i="14"/>
  <c r="K581" i="14" s="1"/>
  <c r="F581" i="14"/>
  <c r="E581" i="14"/>
  <c r="K580" i="14"/>
  <c r="J580" i="14"/>
  <c r="F580" i="14"/>
  <c r="E580" i="14"/>
  <c r="K579" i="14"/>
  <c r="J579" i="14"/>
  <c r="F579" i="14"/>
  <c r="E579" i="14"/>
  <c r="K578" i="14"/>
  <c r="J578" i="14"/>
  <c r="F578" i="14"/>
  <c r="E578" i="14"/>
  <c r="K577" i="14"/>
  <c r="J577" i="14"/>
  <c r="F577" i="14"/>
  <c r="E577" i="14"/>
  <c r="K576" i="14"/>
  <c r="J576" i="14"/>
  <c r="F576" i="14"/>
  <c r="E576" i="14"/>
  <c r="J575" i="14"/>
  <c r="G575" i="14"/>
  <c r="K575" i="14" s="1"/>
  <c r="M44" i="15" s="1"/>
  <c r="F575" i="14"/>
  <c r="E575" i="14"/>
  <c r="K574" i="14"/>
  <c r="J574" i="14"/>
  <c r="G574" i="14"/>
  <c r="F574" i="14"/>
  <c r="E574" i="14"/>
  <c r="K573" i="14"/>
  <c r="J573" i="14"/>
  <c r="F573" i="14"/>
  <c r="E573" i="14"/>
  <c r="K572" i="14"/>
  <c r="J572" i="14"/>
  <c r="F572" i="14"/>
  <c r="E572" i="14"/>
  <c r="G571" i="14"/>
  <c r="J571" i="14" s="1"/>
  <c r="F571" i="14"/>
  <c r="E571" i="14"/>
  <c r="K570" i="14"/>
  <c r="J570" i="14"/>
  <c r="F570" i="14"/>
  <c r="E570" i="14"/>
  <c r="K569" i="14"/>
  <c r="J569" i="14"/>
  <c r="F569" i="14"/>
  <c r="E569" i="14"/>
  <c r="K568" i="14"/>
  <c r="J568" i="14"/>
  <c r="F568" i="14"/>
  <c r="E568" i="14"/>
  <c r="K567" i="14"/>
  <c r="J567" i="14"/>
  <c r="F567" i="14"/>
  <c r="E567" i="14"/>
  <c r="K566" i="14"/>
  <c r="J566" i="14"/>
  <c r="F566" i="14"/>
  <c r="E566" i="14"/>
  <c r="K565" i="14"/>
  <c r="J565" i="14"/>
  <c r="F565" i="14"/>
  <c r="E565" i="14"/>
  <c r="K564" i="14"/>
  <c r="J564" i="14"/>
  <c r="F564" i="14"/>
  <c r="E564" i="14"/>
  <c r="K563" i="14"/>
  <c r="F563" i="14"/>
  <c r="E563" i="14"/>
  <c r="K562" i="14"/>
  <c r="J562" i="14"/>
  <c r="F562" i="14"/>
  <c r="E562" i="14"/>
  <c r="K561" i="14"/>
  <c r="J561" i="14"/>
  <c r="F561" i="14"/>
  <c r="E561" i="14"/>
  <c r="K560" i="14"/>
  <c r="M220" i="15" s="1"/>
  <c r="J560" i="14"/>
  <c r="G560" i="14"/>
  <c r="F560" i="14"/>
  <c r="E560" i="14"/>
  <c r="G559" i="14"/>
  <c r="K559" i="14" s="1"/>
  <c r="F559" i="14"/>
  <c r="E559" i="14"/>
  <c r="K558" i="14"/>
  <c r="J558" i="14"/>
  <c r="G558" i="14"/>
  <c r="F558" i="14"/>
  <c r="E558" i="14"/>
  <c r="K557" i="14"/>
  <c r="G557" i="14"/>
  <c r="J557" i="14" s="1"/>
  <c r="F557" i="14"/>
  <c r="E557" i="14"/>
  <c r="G556" i="14"/>
  <c r="J556" i="14" s="1"/>
  <c r="F556" i="14"/>
  <c r="E556" i="14"/>
  <c r="K555" i="14"/>
  <c r="J555" i="14"/>
  <c r="F555" i="14"/>
  <c r="E555" i="14"/>
  <c r="K554" i="14"/>
  <c r="J554" i="14"/>
  <c r="F554" i="14"/>
  <c r="E554" i="14"/>
  <c r="K553" i="14"/>
  <c r="J553" i="14"/>
  <c r="F553" i="14"/>
  <c r="E553" i="14"/>
  <c r="K552" i="14"/>
  <c r="J552" i="14"/>
  <c r="F552" i="14"/>
  <c r="E552" i="14"/>
  <c r="K551" i="14"/>
  <c r="J551" i="14"/>
  <c r="F551" i="14"/>
  <c r="E551" i="14"/>
  <c r="K550" i="14"/>
  <c r="J550" i="14"/>
  <c r="F550" i="14"/>
  <c r="E550" i="14"/>
  <c r="K549" i="14"/>
  <c r="J549" i="14"/>
  <c r="F549" i="14"/>
  <c r="E549" i="14"/>
  <c r="K548" i="14"/>
  <c r="J548" i="14"/>
  <c r="F548" i="14"/>
  <c r="E548" i="14"/>
  <c r="G547" i="14"/>
  <c r="K547" i="14" s="1"/>
  <c r="F547" i="14"/>
  <c r="E547" i="14"/>
  <c r="K546" i="14"/>
  <c r="M46" i="15" s="1"/>
  <c r="G546" i="14"/>
  <c r="J546" i="14" s="1"/>
  <c r="F546" i="14"/>
  <c r="E546" i="14"/>
  <c r="K545" i="14"/>
  <c r="J545" i="14"/>
  <c r="F545" i="14"/>
  <c r="E545" i="14"/>
  <c r="K544" i="14"/>
  <c r="J544" i="14"/>
  <c r="F544" i="14"/>
  <c r="E544" i="14"/>
  <c r="K543" i="14"/>
  <c r="J543" i="14"/>
  <c r="G543" i="14"/>
  <c r="F543" i="14"/>
  <c r="E543" i="14"/>
  <c r="K542" i="14"/>
  <c r="J542" i="14"/>
  <c r="F542" i="14"/>
  <c r="E542" i="14"/>
  <c r="K541" i="14"/>
  <c r="J541" i="14"/>
  <c r="F541" i="14"/>
  <c r="E541" i="14"/>
  <c r="K540" i="14"/>
  <c r="J540" i="14"/>
  <c r="F540" i="14"/>
  <c r="E540" i="14"/>
  <c r="K539" i="14"/>
  <c r="J539" i="14"/>
  <c r="F539" i="14"/>
  <c r="E539" i="14"/>
  <c r="K538" i="14"/>
  <c r="J538" i="14"/>
  <c r="F538" i="14"/>
  <c r="E538" i="14"/>
  <c r="K537" i="14"/>
  <c r="J537" i="14"/>
  <c r="F537" i="14"/>
  <c r="E537" i="14"/>
  <c r="K536" i="14"/>
  <c r="J536" i="14"/>
  <c r="F536" i="14"/>
  <c r="E536" i="14"/>
  <c r="K535" i="14"/>
  <c r="J535" i="14"/>
  <c r="F535" i="14"/>
  <c r="E535" i="14"/>
  <c r="K534" i="14"/>
  <c r="J534" i="14"/>
  <c r="F534" i="14"/>
  <c r="E534" i="14"/>
  <c r="K533" i="14"/>
  <c r="J533" i="14"/>
  <c r="F533" i="14"/>
  <c r="E533" i="14"/>
  <c r="K532" i="14"/>
  <c r="J532" i="14"/>
  <c r="F532" i="14"/>
  <c r="E532" i="14"/>
  <c r="K531" i="14"/>
  <c r="J531" i="14"/>
  <c r="F531" i="14"/>
  <c r="E531" i="14"/>
  <c r="K530" i="14"/>
  <c r="J530" i="14"/>
  <c r="F530" i="14"/>
  <c r="E530" i="14"/>
  <c r="K529" i="14"/>
  <c r="J529" i="14"/>
  <c r="F529" i="14"/>
  <c r="E529" i="14"/>
  <c r="K528" i="14"/>
  <c r="J528" i="14"/>
  <c r="F528" i="14"/>
  <c r="E528" i="14"/>
  <c r="G527" i="14"/>
  <c r="K527" i="14" s="1"/>
  <c r="F527" i="14"/>
  <c r="E527" i="14"/>
  <c r="J526" i="14"/>
  <c r="G526" i="14"/>
  <c r="K526" i="14" s="1"/>
  <c r="F526" i="14"/>
  <c r="E526" i="14"/>
  <c r="K525" i="14"/>
  <c r="J525" i="14"/>
  <c r="F525" i="14"/>
  <c r="E525" i="14"/>
  <c r="K524" i="14"/>
  <c r="J524" i="14"/>
  <c r="F524" i="14"/>
  <c r="E524" i="14"/>
  <c r="K523" i="14"/>
  <c r="J523" i="14"/>
  <c r="F523" i="14"/>
  <c r="E523" i="14"/>
  <c r="K522" i="14"/>
  <c r="J522" i="14"/>
  <c r="F522" i="14"/>
  <c r="E522" i="14"/>
  <c r="K521" i="14"/>
  <c r="J521" i="14"/>
  <c r="F521" i="14"/>
  <c r="E521" i="14"/>
  <c r="K520" i="14"/>
  <c r="J520" i="14"/>
  <c r="F520" i="14"/>
  <c r="E520" i="14"/>
  <c r="K519" i="14"/>
  <c r="J519" i="14"/>
  <c r="F519" i="14"/>
  <c r="E519" i="14"/>
  <c r="K518" i="14"/>
  <c r="J518" i="14"/>
  <c r="F518" i="14"/>
  <c r="E518" i="14"/>
  <c r="K517" i="14"/>
  <c r="J517" i="14"/>
  <c r="F517" i="14"/>
  <c r="E517" i="14"/>
  <c r="K516" i="14"/>
  <c r="J516" i="14"/>
  <c r="F516" i="14"/>
  <c r="E516" i="14"/>
  <c r="K515" i="14"/>
  <c r="J515" i="14"/>
  <c r="F515" i="14"/>
  <c r="E515" i="14"/>
  <c r="K514" i="14"/>
  <c r="J514" i="14"/>
  <c r="F514" i="14"/>
  <c r="E514" i="14"/>
  <c r="K513" i="14"/>
  <c r="G513" i="14"/>
  <c r="J513" i="14" s="1"/>
  <c r="F513" i="14"/>
  <c r="E513" i="14"/>
  <c r="K512" i="14"/>
  <c r="J512" i="14"/>
  <c r="G512" i="14"/>
  <c r="F512" i="14"/>
  <c r="E512" i="14"/>
  <c r="K511" i="14"/>
  <c r="G511" i="14"/>
  <c r="J511" i="14" s="1"/>
  <c r="F511" i="14"/>
  <c r="E511" i="14"/>
  <c r="K510" i="14"/>
  <c r="J510" i="14"/>
  <c r="F510" i="14"/>
  <c r="E510" i="14"/>
  <c r="K509" i="14"/>
  <c r="J509" i="14"/>
  <c r="F509" i="14"/>
  <c r="E509" i="14"/>
  <c r="K508" i="14"/>
  <c r="J508" i="14"/>
  <c r="F508" i="14"/>
  <c r="E508" i="14"/>
  <c r="K507" i="14"/>
  <c r="M66" i="15" s="1"/>
  <c r="J507" i="14"/>
  <c r="F507" i="14"/>
  <c r="E507" i="14"/>
  <c r="K506" i="14"/>
  <c r="M65" i="15" s="1"/>
  <c r="J506" i="14"/>
  <c r="F506" i="14"/>
  <c r="E506" i="14"/>
  <c r="K505" i="14"/>
  <c r="M64" i="15" s="1"/>
  <c r="J505" i="14"/>
  <c r="F505" i="14"/>
  <c r="E505" i="14"/>
  <c r="K504" i="14"/>
  <c r="J504" i="14"/>
  <c r="F504" i="14"/>
  <c r="E504" i="14"/>
  <c r="K503" i="14"/>
  <c r="M62" i="15" s="1"/>
  <c r="J503" i="14"/>
  <c r="F503" i="14"/>
  <c r="E503" i="14"/>
  <c r="K502" i="14"/>
  <c r="M61" i="15" s="1"/>
  <c r="J502" i="14"/>
  <c r="F502" i="14"/>
  <c r="E502" i="14"/>
  <c r="K501" i="14"/>
  <c r="M60" i="15" s="1"/>
  <c r="J501" i="14"/>
  <c r="F501" i="14"/>
  <c r="E501" i="14"/>
  <c r="K500" i="14"/>
  <c r="J500" i="14"/>
  <c r="F500" i="14"/>
  <c r="E500" i="14"/>
  <c r="K499" i="14"/>
  <c r="M58" i="15" s="1"/>
  <c r="J499" i="14"/>
  <c r="F499" i="14"/>
  <c r="E499" i="14"/>
  <c r="K498" i="14"/>
  <c r="J498" i="14"/>
  <c r="F498" i="14"/>
  <c r="E498" i="14"/>
  <c r="K497" i="14"/>
  <c r="M56" i="15" s="1"/>
  <c r="J497" i="14"/>
  <c r="F497" i="14"/>
  <c r="E497" i="14"/>
  <c r="K496" i="14"/>
  <c r="M55" i="15" s="1"/>
  <c r="J496" i="14"/>
  <c r="F496" i="14"/>
  <c r="E496" i="14"/>
  <c r="K495" i="14"/>
  <c r="J495" i="14"/>
  <c r="F495" i="14"/>
  <c r="E495" i="14"/>
  <c r="K494" i="14"/>
  <c r="J494" i="14"/>
  <c r="F494" i="14"/>
  <c r="E494" i="14"/>
  <c r="K493" i="14"/>
  <c r="M52" i="15" s="1"/>
  <c r="J493" i="14"/>
  <c r="F493" i="14"/>
  <c r="E493" i="14"/>
  <c r="K492" i="14"/>
  <c r="M51" i="15" s="1"/>
  <c r="J492" i="14"/>
  <c r="F492" i="14"/>
  <c r="E492" i="14"/>
  <c r="K491" i="14"/>
  <c r="J491" i="14"/>
  <c r="F491" i="14"/>
  <c r="E491" i="14"/>
  <c r="K490" i="14"/>
  <c r="M49" i="15" s="1"/>
  <c r="J490" i="14"/>
  <c r="F490" i="14"/>
  <c r="E490" i="14"/>
  <c r="K489" i="14"/>
  <c r="M48" i="15" s="1"/>
  <c r="J489" i="14"/>
  <c r="F489" i="14"/>
  <c r="E489" i="14"/>
  <c r="K488" i="14"/>
  <c r="M47" i="15" s="1"/>
  <c r="J488" i="14"/>
  <c r="F488" i="14"/>
  <c r="E488" i="14"/>
  <c r="K487" i="14"/>
  <c r="J487" i="14"/>
  <c r="F487" i="14"/>
  <c r="E487" i="14"/>
  <c r="K486" i="14"/>
  <c r="M45" i="15" s="1"/>
  <c r="J486" i="14"/>
  <c r="F486" i="14"/>
  <c r="E486" i="14"/>
  <c r="K485" i="14"/>
  <c r="J485" i="14"/>
  <c r="F485" i="14"/>
  <c r="E485" i="14"/>
  <c r="K484" i="14"/>
  <c r="M43" i="15" s="1"/>
  <c r="J484" i="14"/>
  <c r="F484" i="14"/>
  <c r="E484" i="14"/>
  <c r="J483" i="14"/>
  <c r="G483" i="14"/>
  <c r="K483" i="14" s="1"/>
  <c r="F483" i="14"/>
  <c r="E483" i="14"/>
  <c r="K482" i="14"/>
  <c r="G482" i="14"/>
  <c r="J482" i="14" s="1"/>
  <c r="F482" i="14"/>
  <c r="E482" i="14"/>
  <c r="K481" i="14"/>
  <c r="J481" i="14"/>
  <c r="G481" i="14"/>
  <c r="F481" i="14"/>
  <c r="E481" i="14"/>
  <c r="K480" i="14"/>
  <c r="G480" i="14"/>
  <c r="J480" i="14" s="1"/>
  <c r="F480" i="14"/>
  <c r="E480" i="14"/>
  <c r="K479" i="14"/>
  <c r="J479" i="14"/>
  <c r="G479" i="14"/>
  <c r="F479" i="14"/>
  <c r="E479" i="14"/>
  <c r="K478" i="14"/>
  <c r="J478" i="14"/>
  <c r="F478" i="14"/>
  <c r="E478" i="14"/>
  <c r="K477" i="14"/>
  <c r="J477" i="14"/>
  <c r="F477" i="14"/>
  <c r="E477" i="14"/>
  <c r="K476" i="14"/>
  <c r="J476" i="14"/>
  <c r="F476" i="14"/>
  <c r="E476" i="14"/>
  <c r="K475" i="14"/>
  <c r="J475" i="14"/>
  <c r="F475" i="14"/>
  <c r="E475" i="14"/>
  <c r="K474" i="14"/>
  <c r="J474" i="14"/>
  <c r="F474" i="14"/>
  <c r="E474" i="14"/>
  <c r="K473" i="14"/>
  <c r="J473" i="14"/>
  <c r="F473" i="14"/>
  <c r="E473" i="14"/>
  <c r="K472" i="14"/>
  <c r="J472" i="14"/>
  <c r="F472" i="14"/>
  <c r="E472" i="14"/>
  <c r="K471" i="14"/>
  <c r="J471" i="14"/>
  <c r="F471" i="14"/>
  <c r="E471" i="14"/>
  <c r="K470" i="14"/>
  <c r="J470" i="14"/>
  <c r="F470" i="14"/>
  <c r="E470" i="14"/>
  <c r="K469" i="14"/>
  <c r="G469" i="14"/>
  <c r="J469" i="14" s="1"/>
  <c r="F469" i="14"/>
  <c r="E469" i="14"/>
  <c r="K468" i="14"/>
  <c r="J468" i="14"/>
  <c r="G468" i="14"/>
  <c r="F468" i="14"/>
  <c r="E468" i="14"/>
  <c r="G467" i="14"/>
  <c r="F467" i="14"/>
  <c r="E467" i="14"/>
  <c r="K466" i="14"/>
  <c r="J466" i="14"/>
  <c r="G466" i="14"/>
  <c r="F466" i="14"/>
  <c r="E466" i="14"/>
  <c r="K465" i="14"/>
  <c r="J465" i="14"/>
  <c r="G465" i="14"/>
  <c r="F465" i="14"/>
  <c r="E465" i="14"/>
  <c r="J464" i="14"/>
  <c r="G464" i="14"/>
  <c r="K464" i="14" s="1"/>
  <c r="F464" i="14"/>
  <c r="E464" i="14"/>
  <c r="K463" i="14"/>
  <c r="J463" i="14"/>
  <c r="F463" i="14"/>
  <c r="E463" i="14"/>
  <c r="K462" i="14"/>
  <c r="J462" i="14"/>
  <c r="G462" i="14"/>
  <c r="F462" i="14"/>
  <c r="E462" i="14"/>
  <c r="K461" i="14"/>
  <c r="J461" i="14"/>
  <c r="G461" i="14"/>
  <c r="F461" i="14"/>
  <c r="E461" i="14"/>
  <c r="K460" i="14"/>
  <c r="J460" i="14"/>
  <c r="G460" i="14"/>
  <c r="F460" i="14"/>
  <c r="E460" i="14"/>
  <c r="K459" i="14"/>
  <c r="J459" i="14"/>
  <c r="F459" i="14"/>
  <c r="E459" i="14"/>
  <c r="K458" i="14"/>
  <c r="J458" i="14"/>
  <c r="F458" i="14"/>
  <c r="E458" i="14"/>
  <c r="K457" i="14"/>
  <c r="J457" i="14"/>
  <c r="F457" i="14"/>
  <c r="E457" i="14"/>
  <c r="K456" i="14"/>
  <c r="J456" i="14"/>
  <c r="F456" i="14"/>
  <c r="E456" i="14"/>
  <c r="K455" i="14"/>
  <c r="J455" i="14"/>
  <c r="F455" i="14"/>
  <c r="E455" i="14"/>
  <c r="K454" i="14"/>
  <c r="J454" i="14"/>
  <c r="F454" i="14"/>
  <c r="E454" i="14"/>
  <c r="K453" i="14"/>
  <c r="M280" i="15" s="1"/>
  <c r="J453" i="14"/>
  <c r="F453" i="14"/>
  <c r="E453" i="14"/>
  <c r="K452" i="14"/>
  <c r="M279" i="15" s="1"/>
  <c r="J452" i="14"/>
  <c r="F452" i="14"/>
  <c r="E452" i="14"/>
  <c r="K451" i="14"/>
  <c r="M278" i="15" s="1"/>
  <c r="J451" i="14"/>
  <c r="F451" i="14"/>
  <c r="E451" i="14"/>
  <c r="K450" i="14"/>
  <c r="M277" i="15" s="1"/>
  <c r="J450" i="14"/>
  <c r="F450" i="14"/>
  <c r="E450" i="14"/>
  <c r="K449" i="14"/>
  <c r="M276" i="15" s="1"/>
  <c r="J449" i="14"/>
  <c r="F449" i="14"/>
  <c r="E449" i="14"/>
  <c r="K448" i="14"/>
  <c r="M275" i="15" s="1"/>
  <c r="J448" i="14"/>
  <c r="F448" i="14"/>
  <c r="E448" i="14"/>
  <c r="K447" i="14"/>
  <c r="M274" i="15" s="1"/>
  <c r="J447" i="14"/>
  <c r="F447" i="14"/>
  <c r="E447" i="14"/>
  <c r="K446" i="14"/>
  <c r="M273" i="15" s="1"/>
  <c r="J446" i="14"/>
  <c r="F446" i="14"/>
  <c r="E446" i="14"/>
  <c r="K445" i="14"/>
  <c r="M272" i="15" s="1"/>
  <c r="J445" i="14"/>
  <c r="F445" i="14"/>
  <c r="E445" i="14"/>
  <c r="K444" i="14"/>
  <c r="M271" i="15" s="1"/>
  <c r="J444" i="14"/>
  <c r="F444" i="14"/>
  <c r="E444" i="14"/>
  <c r="K443" i="14"/>
  <c r="M270" i="15" s="1"/>
  <c r="J443" i="14"/>
  <c r="F443" i="14"/>
  <c r="E443" i="14"/>
  <c r="K442" i="14"/>
  <c r="M269" i="15" s="1"/>
  <c r="J442" i="14"/>
  <c r="F442" i="14"/>
  <c r="E442" i="14"/>
  <c r="K441" i="14"/>
  <c r="M268" i="15" s="1"/>
  <c r="J441" i="14"/>
  <c r="F441" i="14"/>
  <c r="E441" i="14"/>
  <c r="K440" i="14"/>
  <c r="M267" i="15" s="1"/>
  <c r="J440" i="14"/>
  <c r="F440" i="14"/>
  <c r="E440" i="14"/>
  <c r="K439" i="14"/>
  <c r="M266" i="15" s="1"/>
  <c r="J439" i="14"/>
  <c r="F439" i="14"/>
  <c r="E439" i="14"/>
  <c r="K438" i="14"/>
  <c r="M265" i="15" s="1"/>
  <c r="J438" i="14"/>
  <c r="F438" i="14"/>
  <c r="E438" i="14"/>
  <c r="K437" i="14"/>
  <c r="J437" i="14"/>
  <c r="F437" i="14"/>
  <c r="E437" i="14"/>
  <c r="K436" i="14"/>
  <c r="M263" i="15" s="1"/>
  <c r="J436" i="14"/>
  <c r="F436" i="14"/>
  <c r="E436" i="14"/>
  <c r="K435" i="14"/>
  <c r="M262" i="15" s="1"/>
  <c r="J435" i="14"/>
  <c r="F435" i="14"/>
  <c r="E435" i="14"/>
  <c r="K434" i="14"/>
  <c r="M261" i="15" s="1"/>
  <c r="J434" i="14"/>
  <c r="F434" i="14"/>
  <c r="E434" i="14"/>
  <c r="K433" i="14"/>
  <c r="M260" i="15" s="1"/>
  <c r="J433" i="14"/>
  <c r="F433" i="14"/>
  <c r="E433" i="14"/>
  <c r="K432" i="14"/>
  <c r="M259" i="15" s="1"/>
  <c r="J432" i="14"/>
  <c r="F432" i="14"/>
  <c r="E432" i="14"/>
  <c r="K431" i="14"/>
  <c r="M258" i="15" s="1"/>
  <c r="J431" i="14"/>
  <c r="F431" i="14"/>
  <c r="E431" i="14"/>
  <c r="K430" i="14"/>
  <c r="M257" i="15" s="1"/>
  <c r="J430" i="14"/>
  <c r="F430" i="14"/>
  <c r="E430" i="14"/>
  <c r="K429" i="14"/>
  <c r="M256" i="15" s="1"/>
  <c r="J429" i="14"/>
  <c r="F429" i="14"/>
  <c r="E429" i="14"/>
  <c r="K428" i="14"/>
  <c r="M255" i="15" s="1"/>
  <c r="J428" i="14"/>
  <c r="F428" i="14"/>
  <c r="E428" i="14"/>
  <c r="K427" i="14"/>
  <c r="M254" i="15" s="1"/>
  <c r="J427" i="14"/>
  <c r="F427" i="14"/>
  <c r="E427" i="14"/>
  <c r="K426" i="14"/>
  <c r="M253" i="15" s="1"/>
  <c r="J426" i="14"/>
  <c r="F426" i="14"/>
  <c r="E426" i="14"/>
  <c r="K425" i="14"/>
  <c r="M252" i="15" s="1"/>
  <c r="J425" i="14"/>
  <c r="F425" i="14"/>
  <c r="E425" i="14"/>
  <c r="K424" i="14"/>
  <c r="M251" i="15" s="1"/>
  <c r="J424" i="14"/>
  <c r="F424" i="14"/>
  <c r="E424" i="14"/>
  <c r="K423" i="14"/>
  <c r="M250" i="15" s="1"/>
  <c r="J423" i="14"/>
  <c r="F423" i="14"/>
  <c r="E423" i="14"/>
  <c r="K422" i="14"/>
  <c r="M249" i="15" s="1"/>
  <c r="J422" i="14"/>
  <c r="F422" i="14"/>
  <c r="E422" i="14"/>
  <c r="K421" i="14"/>
  <c r="M248" i="15" s="1"/>
  <c r="J421" i="14"/>
  <c r="F421" i="14"/>
  <c r="E421" i="14"/>
  <c r="K420" i="14"/>
  <c r="M247" i="15" s="1"/>
  <c r="J420" i="14"/>
  <c r="F420" i="14"/>
  <c r="E420" i="14"/>
  <c r="K419" i="14"/>
  <c r="M246" i="15" s="1"/>
  <c r="J419" i="14"/>
  <c r="F419" i="14"/>
  <c r="E419" i="14"/>
  <c r="K418" i="14"/>
  <c r="J418" i="14"/>
  <c r="F418" i="14"/>
  <c r="E418" i="14"/>
  <c r="K417" i="14"/>
  <c r="M244" i="15" s="1"/>
  <c r="J417" i="14"/>
  <c r="F417" i="14"/>
  <c r="E417" i="14"/>
  <c r="K416" i="14"/>
  <c r="M243" i="15" s="1"/>
  <c r="J416" i="14"/>
  <c r="F416" i="14"/>
  <c r="E416" i="14"/>
  <c r="K415" i="14"/>
  <c r="J415" i="14"/>
  <c r="F415" i="14"/>
  <c r="E415" i="14"/>
  <c r="K414" i="14"/>
  <c r="M219" i="15" s="1"/>
  <c r="J414" i="14"/>
  <c r="F414" i="14"/>
  <c r="E414" i="14"/>
  <c r="K413" i="14"/>
  <c r="J413" i="14"/>
  <c r="F413" i="14"/>
  <c r="E413" i="14"/>
  <c r="K412" i="14"/>
  <c r="M217" i="15" s="1"/>
  <c r="J412" i="14"/>
  <c r="F412" i="14"/>
  <c r="E412" i="14"/>
  <c r="K411" i="14"/>
  <c r="M191" i="15" s="1"/>
  <c r="J411" i="14"/>
  <c r="F411" i="14"/>
  <c r="E411" i="14"/>
  <c r="K410" i="14"/>
  <c r="J410" i="14"/>
  <c r="F410" i="14"/>
  <c r="E410" i="14"/>
  <c r="K409" i="14"/>
  <c r="M189" i="15" s="1"/>
  <c r="J409" i="14"/>
  <c r="F409" i="14"/>
  <c r="E409" i="14"/>
  <c r="K408" i="14"/>
  <c r="M188" i="15" s="1"/>
  <c r="J408" i="14"/>
  <c r="F408" i="14"/>
  <c r="E408" i="14"/>
  <c r="K407" i="14"/>
  <c r="J407" i="14"/>
  <c r="F407" i="14"/>
  <c r="E407" i="14"/>
  <c r="K406" i="14"/>
  <c r="J406" i="14"/>
  <c r="F406" i="14"/>
  <c r="E406" i="14"/>
  <c r="K405" i="14"/>
  <c r="J405" i="14"/>
  <c r="F405" i="14"/>
  <c r="E405" i="14"/>
  <c r="K404" i="14"/>
  <c r="J404" i="14"/>
  <c r="G404" i="14"/>
  <c r="F404" i="14"/>
  <c r="E404" i="14"/>
  <c r="K403" i="14"/>
  <c r="J403" i="14"/>
  <c r="G403" i="14"/>
  <c r="F403" i="14"/>
  <c r="E403" i="14"/>
  <c r="J402" i="14"/>
  <c r="G402" i="14"/>
  <c r="K402" i="14" s="1"/>
  <c r="F402" i="14"/>
  <c r="E402" i="14"/>
  <c r="K401" i="14"/>
  <c r="J401" i="14"/>
  <c r="G401" i="14"/>
  <c r="F401" i="14"/>
  <c r="E401" i="14"/>
  <c r="G400" i="14"/>
  <c r="F400" i="14"/>
  <c r="E400" i="14"/>
  <c r="G399" i="14"/>
  <c r="K399" i="14" s="1"/>
  <c r="F399" i="14"/>
  <c r="E399" i="14"/>
  <c r="J398" i="14"/>
  <c r="G398" i="14"/>
  <c r="K398" i="14" s="1"/>
  <c r="F398" i="14"/>
  <c r="E398" i="14"/>
  <c r="K397" i="14"/>
  <c r="G397" i="14"/>
  <c r="J397" i="14" s="1"/>
  <c r="F397" i="14"/>
  <c r="E397" i="14"/>
  <c r="K396" i="14"/>
  <c r="J396" i="14"/>
  <c r="G396" i="14"/>
  <c r="F396" i="14"/>
  <c r="E396" i="14"/>
  <c r="G395" i="14"/>
  <c r="F395" i="14"/>
  <c r="E395" i="14"/>
  <c r="K394" i="14"/>
  <c r="J394" i="14"/>
  <c r="G394" i="14"/>
  <c r="F394" i="14"/>
  <c r="E394" i="14"/>
  <c r="K393" i="14"/>
  <c r="J393" i="14"/>
  <c r="G393" i="14"/>
  <c r="F393" i="14"/>
  <c r="E393" i="14"/>
  <c r="K392" i="14"/>
  <c r="J392" i="14"/>
  <c r="G392" i="14"/>
  <c r="F392" i="14"/>
  <c r="E392" i="14"/>
  <c r="G391" i="14"/>
  <c r="K391" i="14" s="1"/>
  <c r="F391" i="14"/>
  <c r="E391" i="14"/>
  <c r="K390" i="14"/>
  <c r="J390" i="14"/>
  <c r="F390" i="14"/>
  <c r="E390" i="14"/>
  <c r="K389" i="14"/>
  <c r="J389" i="14"/>
  <c r="F389" i="14"/>
  <c r="E389" i="14"/>
  <c r="K388" i="14"/>
  <c r="J388" i="14"/>
  <c r="F388" i="14"/>
  <c r="E388" i="14"/>
  <c r="K387" i="14"/>
  <c r="J387" i="14"/>
  <c r="F387" i="14"/>
  <c r="E387" i="14"/>
  <c r="K386" i="14"/>
  <c r="J386" i="14"/>
  <c r="F386" i="14"/>
  <c r="E386" i="14"/>
  <c r="J385" i="14"/>
  <c r="G385" i="14"/>
  <c r="K385" i="14" s="1"/>
  <c r="F385" i="14"/>
  <c r="E385" i="14"/>
  <c r="K384" i="14"/>
  <c r="J384" i="14"/>
  <c r="F384" i="14"/>
  <c r="E384" i="14"/>
  <c r="K383" i="14"/>
  <c r="J383" i="14"/>
  <c r="F383" i="14"/>
  <c r="E383" i="14"/>
  <c r="K382" i="14"/>
  <c r="J382" i="14"/>
  <c r="F382" i="14"/>
  <c r="E382" i="14"/>
  <c r="K381" i="14"/>
  <c r="J381" i="14"/>
  <c r="F381" i="14"/>
  <c r="E381" i="14"/>
  <c r="K380" i="14"/>
  <c r="J380" i="14"/>
  <c r="G380" i="14"/>
  <c r="F380" i="14"/>
  <c r="E380" i="14"/>
  <c r="G379" i="14"/>
  <c r="F379" i="14"/>
  <c r="E379" i="14"/>
  <c r="G378" i="14"/>
  <c r="K378" i="14" s="1"/>
  <c r="F378" i="14"/>
  <c r="E378" i="14"/>
  <c r="J377" i="14"/>
  <c r="G377" i="14"/>
  <c r="K377" i="14" s="1"/>
  <c r="F377" i="14"/>
  <c r="E377" i="14"/>
  <c r="K376" i="14"/>
  <c r="G376" i="14"/>
  <c r="J376" i="14" s="1"/>
  <c r="F376" i="14"/>
  <c r="E376" i="14"/>
  <c r="K375" i="14"/>
  <c r="J375" i="14"/>
  <c r="G375" i="14"/>
  <c r="F375" i="14"/>
  <c r="E375" i="14"/>
  <c r="G374" i="14"/>
  <c r="F374" i="14"/>
  <c r="E374" i="14"/>
  <c r="K373" i="14"/>
  <c r="J373" i="14"/>
  <c r="G373" i="14"/>
  <c r="F373" i="14"/>
  <c r="E373" i="14"/>
  <c r="K372" i="14"/>
  <c r="J372" i="14"/>
  <c r="G372" i="14"/>
  <c r="F372" i="14"/>
  <c r="E372" i="14"/>
  <c r="K371" i="14"/>
  <c r="J371" i="14"/>
  <c r="G371" i="14"/>
  <c r="F371" i="14"/>
  <c r="E371" i="14"/>
  <c r="G370" i="14"/>
  <c r="K370" i="14" s="1"/>
  <c r="F370" i="14"/>
  <c r="E370" i="14"/>
  <c r="K369" i="14"/>
  <c r="G369" i="14"/>
  <c r="J369" i="14" s="1"/>
  <c r="F369" i="14"/>
  <c r="E369" i="14"/>
  <c r="K368" i="14"/>
  <c r="G368" i="14"/>
  <c r="J368" i="14" s="1"/>
  <c r="F368" i="14"/>
  <c r="E368" i="14"/>
  <c r="K367" i="14"/>
  <c r="J367" i="14"/>
  <c r="G367" i="14"/>
  <c r="F367" i="14"/>
  <c r="E367" i="14"/>
  <c r="K366" i="14"/>
  <c r="J366" i="14"/>
  <c r="G366" i="14"/>
  <c r="F366" i="14"/>
  <c r="E366" i="14"/>
  <c r="J365" i="14"/>
  <c r="G365" i="14"/>
  <c r="K365" i="14" s="1"/>
  <c r="F365" i="14"/>
  <c r="E365" i="14"/>
  <c r="K364" i="14"/>
  <c r="J364" i="14"/>
  <c r="G364" i="14"/>
  <c r="F364" i="14"/>
  <c r="E364" i="14"/>
  <c r="G363" i="14"/>
  <c r="F363" i="14"/>
  <c r="E363" i="14"/>
  <c r="G362" i="14"/>
  <c r="K362" i="14" s="1"/>
  <c r="F362" i="14"/>
  <c r="E362" i="14"/>
  <c r="J361" i="14"/>
  <c r="G361" i="14"/>
  <c r="K361" i="14" s="1"/>
  <c r="F361" i="14"/>
  <c r="E361" i="14"/>
  <c r="K360" i="14"/>
  <c r="G360" i="14"/>
  <c r="J360" i="14" s="1"/>
  <c r="F360" i="14"/>
  <c r="E360" i="14"/>
  <c r="K359" i="14"/>
  <c r="J359" i="14"/>
  <c r="G359" i="14"/>
  <c r="F359" i="14"/>
  <c r="E359" i="14"/>
  <c r="K358" i="14"/>
  <c r="J358" i="14"/>
  <c r="F358" i="14"/>
  <c r="E358" i="14"/>
  <c r="K357" i="14"/>
  <c r="J357" i="14"/>
  <c r="F357" i="14"/>
  <c r="E357" i="14"/>
  <c r="K356" i="14"/>
  <c r="J356" i="14"/>
  <c r="F356" i="14"/>
  <c r="E356" i="14"/>
  <c r="K355" i="14"/>
  <c r="J355" i="14"/>
  <c r="F355" i="14"/>
  <c r="E355" i="14"/>
  <c r="K354" i="14"/>
  <c r="J354" i="14"/>
  <c r="F354" i="14"/>
  <c r="E354" i="14"/>
  <c r="K353" i="14"/>
  <c r="J353" i="14"/>
  <c r="F353" i="14"/>
  <c r="E353" i="14"/>
  <c r="K352" i="14"/>
  <c r="J352" i="14"/>
  <c r="F352" i="14"/>
  <c r="E352" i="14"/>
  <c r="G351" i="14"/>
  <c r="K351" i="14" s="1"/>
  <c r="M181" i="15" s="1"/>
  <c r="F351" i="14"/>
  <c r="E351" i="14"/>
  <c r="J350" i="14"/>
  <c r="G350" i="14"/>
  <c r="K350" i="14" s="1"/>
  <c r="F350" i="14"/>
  <c r="E350" i="14"/>
  <c r="K349" i="14"/>
  <c r="J349" i="14"/>
  <c r="F349" i="14"/>
  <c r="E349" i="14"/>
  <c r="K348" i="14"/>
  <c r="J348" i="14"/>
  <c r="F348" i="14"/>
  <c r="E348" i="14"/>
  <c r="K347" i="14"/>
  <c r="J347" i="14"/>
  <c r="F347" i="14"/>
  <c r="E347" i="14"/>
  <c r="K346" i="14"/>
  <c r="J346" i="14"/>
  <c r="G346" i="14"/>
  <c r="F346" i="14"/>
  <c r="E346" i="14"/>
  <c r="K345" i="14"/>
  <c r="J345" i="14"/>
  <c r="F345" i="14"/>
  <c r="E345" i="14"/>
  <c r="K344" i="14"/>
  <c r="J344" i="14"/>
  <c r="F344" i="14"/>
  <c r="E344" i="14"/>
  <c r="K343" i="14"/>
  <c r="J343" i="14"/>
  <c r="F343" i="14"/>
  <c r="E343" i="14"/>
  <c r="K342" i="14"/>
  <c r="J342" i="14"/>
  <c r="F342" i="14"/>
  <c r="E342" i="14"/>
  <c r="K341" i="14"/>
  <c r="J341" i="14"/>
  <c r="E341" i="14"/>
  <c r="K340" i="14"/>
  <c r="J340" i="14"/>
  <c r="G340" i="14"/>
  <c r="K339" i="14"/>
  <c r="J339" i="14"/>
  <c r="F339" i="14"/>
  <c r="E339" i="14"/>
  <c r="K338" i="14"/>
  <c r="J338" i="14"/>
  <c r="F338" i="14"/>
  <c r="E338" i="14"/>
  <c r="K337" i="14"/>
  <c r="J337" i="14"/>
  <c r="F337" i="14"/>
  <c r="E337" i="14"/>
  <c r="K336" i="14"/>
  <c r="J336" i="14"/>
  <c r="F336" i="14"/>
  <c r="E336" i="14"/>
  <c r="K335" i="14"/>
  <c r="J335" i="14"/>
  <c r="F335" i="14"/>
  <c r="E335" i="14"/>
  <c r="K334" i="14"/>
  <c r="J334" i="14"/>
  <c r="F334" i="14"/>
  <c r="E334" i="14"/>
  <c r="K333" i="14"/>
  <c r="J333" i="14"/>
  <c r="F333" i="14"/>
  <c r="E333" i="14"/>
  <c r="K332" i="14"/>
  <c r="J332" i="14"/>
  <c r="I332" i="14"/>
  <c r="F332" i="14"/>
  <c r="E332" i="14"/>
  <c r="K331" i="14"/>
  <c r="G331" i="14"/>
  <c r="J331" i="14" s="1"/>
  <c r="F331" i="14"/>
  <c r="E331" i="14"/>
  <c r="K330" i="14"/>
  <c r="J330" i="14"/>
  <c r="G330" i="14"/>
  <c r="F330" i="14"/>
  <c r="E330" i="14"/>
  <c r="K329" i="14"/>
  <c r="J329" i="14"/>
  <c r="F329" i="14"/>
  <c r="E329" i="14"/>
  <c r="K328" i="14"/>
  <c r="J328" i="14"/>
  <c r="F328" i="14"/>
  <c r="E328" i="14"/>
  <c r="K327" i="14"/>
  <c r="J327" i="14"/>
  <c r="F327" i="14"/>
  <c r="E327" i="14"/>
  <c r="K326" i="14"/>
  <c r="J326" i="14"/>
  <c r="F326" i="14"/>
  <c r="E326" i="14"/>
  <c r="K325" i="14"/>
  <c r="J325" i="14"/>
  <c r="F325" i="14"/>
  <c r="E325" i="14"/>
  <c r="K324" i="14"/>
  <c r="J324" i="14"/>
  <c r="F324" i="14"/>
  <c r="E324" i="14"/>
  <c r="K323" i="14"/>
  <c r="J323" i="14"/>
  <c r="F323" i="14"/>
  <c r="E323" i="14"/>
  <c r="K322" i="14"/>
  <c r="J322" i="14"/>
  <c r="F322" i="14"/>
  <c r="E322" i="14"/>
  <c r="K321" i="14"/>
  <c r="J321" i="14"/>
  <c r="F321" i="14"/>
  <c r="E321" i="14"/>
  <c r="G320" i="14"/>
  <c r="K320" i="14" s="1"/>
  <c r="F320" i="14"/>
  <c r="E320" i="14"/>
  <c r="K319" i="14"/>
  <c r="J319" i="14"/>
  <c r="F319" i="14"/>
  <c r="E319" i="14"/>
  <c r="K318" i="14"/>
  <c r="J318" i="14"/>
  <c r="F318" i="14"/>
  <c r="E318" i="14"/>
  <c r="K317" i="14"/>
  <c r="J317" i="14"/>
  <c r="F317" i="14"/>
  <c r="E317" i="14"/>
  <c r="K316" i="14"/>
  <c r="J316" i="14"/>
  <c r="F316" i="14"/>
  <c r="E316" i="14"/>
  <c r="K315" i="14"/>
  <c r="J315" i="14"/>
  <c r="F315" i="14"/>
  <c r="E315" i="14"/>
  <c r="K314" i="14"/>
  <c r="J314" i="14"/>
  <c r="F314" i="14"/>
  <c r="E314" i="14"/>
  <c r="K313" i="14"/>
  <c r="J313" i="14"/>
  <c r="F313" i="14"/>
  <c r="E313" i="14"/>
  <c r="K312" i="14"/>
  <c r="J312" i="14"/>
  <c r="F312" i="14"/>
  <c r="E312" i="14"/>
  <c r="K311" i="14"/>
  <c r="J311" i="14"/>
  <c r="F311" i="14"/>
  <c r="E311" i="14"/>
  <c r="K310" i="14"/>
  <c r="J310" i="14"/>
  <c r="F310" i="14"/>
  <c r="E310" i="14"/>
  <c r="K309" i="14"/>
  <c r="J309" i="14"/>
  <c r="F309" i="14"/>
  <c r="E309" i="14"/>
  <c r="K308" i="14"/>
  <c r="J308" i="14"/>
  <c r="F308" i="14"/>
  <c r="E308" i="14"/>
  <c r="K307" i="14"/>
  <c r="J307" i="14"/>
  <c r="F307" i="14"/>
  <c r="E307" i="14"/>
  <c r="K306" i="14"/>
  <c r="J306" i="14"/>
  <c r="F306" i="14"/>
  <c r="E306" i="14"/>
  <c r="K305" i="14"/>
  <c r="J305" i="14"/>
  <c r="F305" i="14"/>
  <c r="E305" i="14"/>
  <c r="K304" i="14"/>
  <c r="J304" i="14"/>
  <c r="F304" i="14"/>
  <c r="E304" i="14"/>
  <c r="K303" i="14"/>
  <c r="J303" i="14"/>
  <c r="F303" i="14"/>
  <c r="E303" i="14"/>
  <c r="K302" i="14"/>
  <c r="J302" i="14"/>
  <c r="F302" i="14"/>
  <c r="E302" i="14"/>
  <c r="K301" i="14"/>
  <c r="G301" i="14"/>
  <c r="J301" i="14" s="1"/>
  <c r="F301" i="14"/>
  <c r="E301" i="14"/>
  <c r="K300" i="14"/>
  <c r="G300" i="14"/>
  <c r="J300" i="14" s="1"/>
  <c r="F300" i="14"/>
  <c r="E300" i="14"/>
  <c r="K299" i="14"/>
  <c r="J299" i="14"/>
  <c r="G299" i="14"/>
  <c r="F299" i="14"/>
  <c r="E299" i="14"/>
  <c r="K298" i="14"/>
  <c r="J298" i="14"/>
  <c r="G298" i="14"/>
  <c r="F298" i="14"/>
  <c r="E298" i="14"/>
  <c r="J297" i="14"/>
  <c r="G297" i="14"/>
  <c r="K297" i="14" s="1"/>
  <c r="F297" i="14"/>
  <c r="E297" i="14"/>
  <c r="K296" i="14"/>
  <c r="J296" i="14"/>
  <c r="G296" i="14"/>
  <c r="F296" i="14"/>
  <c r="E296" i="14"/>
  <c r="G295" i="14"/>
  <c r="F295" i="14"/>
  <c r="E295" i="14"/>
  <c r="G294" i="14"/>
  <c r="K294" i="14" s="1"/>
  <c r="F294" i="14"/>
  <c r="E294" i="14"/>
  <c r="G293" i="14"/>
  <c r="K293" i="14" s="1"/>
  <c r="F293" i="14"/>
  <c r="E293" i="14"/>
  <c r="K292" i="14"/>
  <c r="G292" i="14"/>
  <c r="J292" i="14" s="1"/>
  <c r="F292" i="14"/>
  <c r="E292" i="14"/>
  <c r="K291" i="14"/>
  <c r="J291" i="14"/>
  <c r="I291" i="14"/>
  <c r="F291" i="14"/>
  <c r="E291" i="14"/>
  <c r="J290" i="14"/>
  <c r="I290" i="14"/>
  <c r="K290" i="14" s="1"/>
  <c r="F290" i="14"/>
  <c r="E290" i="14"/>
  <c r="J289" i="14"/>
  <c r="I289" i="14"/>
  <c r="K289" i="14" s="1"/>
  <c r="F289" i="14"/>
  <c r="E289" i="14"/>
  <c r="K288" i="14"/>
  <c r="J288" i="14"/>
  <c r="I288" i="14"/>
  <c r="F288" i="14"/>
  <c r="E288" i="14"/>
  <c r="I287" i="14"/>
  <c r="F287" i="14"/>
  <c r="E287" i="14"/>
  <c r="J286" i="14"/>
  <c r="G286" i="14"/>
  <c r="K286" i="14" s="1"/>
  <c r="F286" i="14"/>
  <c r="E286" i="14"/>
  <c r="K285" i="14"/>
  <c r="J285" i="14"/>
  <c r="G285" i="14"/>
  <c r="F285" i="14"/>
  <c r="E285" i="14"/>
  <c r="K284" i="14"/>
  <c r="J284" i="14"/>
  <c r="G284" i="14"/>
  <c r="F284" i="14"/>
  <c r="E284" i="14"/>
  <c r="G283" i="14"/>
  <c r="K283" i="14" s="1"/>
  <c r="F283" i="14"/>
  <c r="E283" i="14"/>
  <c r="K282" i="14"/>
  <c r="G282" i="14"/>
  <c r="J282" i="14" s="1"/>
  <c r="F282" i="14"/>
  <c r="E282" i="14"/>
  <c r="K281" i="14"/>
  <c r="G281" i="14"/>
  <c r="J281" i="14" s="1"/>
  <c r="F281" i="14"/>
  <c r="E281" i="14"/>
  <c r="K280" i="14"/>
  <c r="J280" i="14"/>
  <c r="G280" i="14"/>
  <c r="F280" i="14"/>
  <c r="E280" i="14"/>
  <c r="K279" i="14"/>
  <c r="J279" i="14"/>
  <c r="G279" i="14"/>
  <c r="F279" i="14"/>
  <c r="E279" i="14"/>
  <c r="J278" i="14"/>
  <c r="G278" i="14"/>
  <c r="K278" i="14" s="1"/>
  <c r="F278" i="14"/>
  <c r="E278" i="14"/>
  <c r="K277" i="14"/>
  <c r="J277" i="14"/>
  <c r="G277" i="14"/>
  <c r="F277" i="14"/>
  <c r="E277" i="14"/>
  <c r="G276" i="14"/>
  <c r="F276" i="14"/>
  <c r="E276" i="14"/>
  <c r="G275" i="14"/>
  <c r="K275" i="14" s="1"/>
  <c r="F275" i="14"/>
  <c r="E275" i="14"/>
  <c r="G274" i="14"/>
  <c r="K274" i="14" s="1"/>
  <c r="F274" i="14"/>
  <c r="E274" i="14"/>
  <c r="K273" i="14"/>
  <c r="G273" i="14"/>
  <c r="J273" i="14" s="1"/>
  <c r="F273" i="14"/>
  <c r="E273" i="14"/>
  <c r="K272" i="14"/>
  <c r="J272" i="14"/>
  <c r="F272" i="14"/>
  <c r="E272" i="14"/>
  <c r="K271" i="14"/>
  <c r="J271" i="14"/>
  <c r="F271" i="14"/>
  <c r="E271" i="14"/>
  <c r="K270" i="14"/>
  <c r="J270" i="14"/>
  <c r="F270" i="14"/>
  <c r="E270" i="14"/>
  <c r="K269" i="14"/>
  <c r="J269" i="14"/>
  <c r="F269" i="14"/>
  <c r="E269" i="14"/>
  <c r="K268" i="14"/>
  <c r="J268" i="14"/>
  <c r="F268" i="14"/>
  <c r="E268" i="14"/>
  <c r="K267" i="14"/>
  <c r="J267" i="14"/>
  <c r="F267" i="14"/>
  <c r="E267" i="14"/>
  <c r="K266" i="14"/>
  <c r="J266" i="14"/>
  <c r="G266" i="14"/>
  <c r="F266" i="14"/>
  <c r="E266" i="14"/>
  <c r="K265" i="14"/>
  <c r="J265" i="14"/>
  <c r="G265" i="14"/>
  <c r="F265" i="14"/>
  <c r="E265" i="14"/>
  <c r="J264" i="14"/>
  <c r="G264" i="14"/>
  <c r="K264" i="14" s="1"/>
  <c r="F264" i="14"/>
  <c r="E264" i="14"/>
  <c r="K263" i="14"/>
  <c r="J263" i="14"/>
  <c r="G263" i="14"/>
  <c r="F263" i="14"/>
  <c r="E263" i="14"/>
  <c r="K262" i="14"/>
  <c r="J262" i="14"/>
  <c r="F262" i="14"/>
  <c r="E262" i="14"/>
  <c r="K261" i="14"/>
  <c r="J261" i="14"/>
  <c r="F261" i="14"/>
  <c r="E261" i="14"/>
  <c r="K260" i="14"/>
  <c r="J260" i="14"/>
  <c r="F260" i="14"/>
  <c r="E260" i="14"/>
  <c r="K259" i="14"/>
  <c r="J259" i="14"/>
  <c r="G259" i="14"/>
  <c r="F259" i="14"/>
  <c r="E259" i="14"/>
  <c r="K258" i="14"/>
  <c r="J258" i="14"/>
  <c r="G258" i="14"/>
  <c r="F258" i="14"/>
  <c r="E258" i="14"/>
  <c r="J257" i="14"/>
  <c r="G257" i="14"/>
  <c r="K257" i="14" s="1"/>
  <c r="F257" i="14"/>
  <c r="E257" i="14"/>
  <c r="K256" i="14"/>
  <c r="J256" i="14"/>
  <c r="G256" i="14"/>
  <c r="F256" i="14"/>
  <c r="E256" i="14"/>
  <c r="G255" i="14"/>
  <c r="F255" i="14"/>
  <c r="E255" i="14"/>
  <c r="K254" i="14"/>
  <c r="J254" i="14"/>
  <c r="F254" i="14"/>
  <c r="E254" i="14"/>
  <c r="K253" i="14"/>
  <c r="J253" i="14"/>
  <c r="F253" i="14"/>
  <c r="E253" i="14"/>
  <c r="K252" i="14"/>
  <c r="J252" i="14"/>
  <c r="F252" i="14"/>
  <c r="E252" i="14"/>
  <c r="K251" i="14"/>
  <c r="J251" i="14"/>
  <c r="F251" i="14"/>
  <c r="E251" i="14"/>
  <c r="G250" i="14"/>
  <c r="K250" i="14" s="1"/>
  <c r="F250" i="14"/>
  <c r="E250" i="14"/>
  <c r="J249" i="14"/>
  <c r="G249" i="14"/>
  <c r="K249" i="14" s="1"/>
  <c r="F249" i="14"/>
  <c r="E249" i="14"/>
  <c r="K248" i="14"/>
  <c r="J248" i="14"/>
  <c r="G248" i="14"/>
  <c r="F248" i="14"/>
  <c r="E248" i="14"/>
  <c r="K247" i="14"/>
  <c r="J247" i="14"/>
  <c r="F247" i="14"/>
  <c r="E247" i="14"/>
  <c r="K246" i="14"/>
  <c r="J246" i="14"/>
  <c r="F246" i="14"/>
  <c r="E246" i="14"/>
  <c r="K245" i="14"/>
  <c r="J245" i="14"/>
  <c r="F245" i="14"/>
  <c r="E245" i="14"/>
  <c r="K244" i="14"/>
  <c r="J244" i="14"/>
  <c r="F244" i="14"/>
  <c r="E244" i="14"/>
  <c r="K243" i="14"/>
  <c r="J243" i="14"/>
  <c r="F243" i="14"/>
  <c r="E243" i="14"/>
  <c r="K242" i="14"/>
  <c r="J242" i="14"/>
  <c r="F242" i="14"/>
  <c r="E242" i="14"/>
  <c r="K241" i="14"/>
  <c r="J241" i="14"/>
  <c r="G241" i="14"/>
  <c r="F241" i="14"/>
  <c r="E241" i="14"/>
  <c r="J240" i="14"/>
  <c r="G240" i="14"/>
  <c r="K240" i="14" s="1"/>
  <c r="F240" i="14"/>
  <c r="E240" i="14"/>
  <c r="J239" i="14"/>
  <c r="G239" i="14"/>
  <c r="K239" i="14" s="1"/>
  <c r="F239" i="14"/>
  <c r="E239" i="14"/>
  <c r="K238" i="14"/>
  <c r="J238" i="14"/>
  <c r="F238" i="14"/>
  <c r="E238" i="14"/>
  <c r="K237" i="14"/>
  <c r="J237" i="14"/>
  <c r="F237" i="14"/>
  <c r="E237" i="14"/>
  <c r="K236" i="14"/>
  <c r="J236" i="14"/>
  <c r="F236" i="14"/>
  <c r="E236" i="14"/>
  <c r="K235" i="14"/>
  <c r="J235" i="14"/>
  <c r="F235" i="14"/>
  <c r="E235" i="14"/>
  <c r="K234" i="14"/>
  <c r="J234" i="14"/>
  <c r="F234" i="14"/>
  <c r="E234" i="14"/>
  <c r="K233" i="14"/>
  <c r="J233" i="14"/>
  <c r="F233" i="14"/>
  <c r="E233" i="14"/>
  <c r="K232" i="14"/>
  <c r="J232" i="14"/>
  <c r="F232" i="14"/>
  <c r="E232" i="14"/>
  <c r="K231" i="14"/>
  <c r="J231" i="14"/>
  <c r="F231" i="14"/>
  <c r="E231" i="14"/>
  <c r="K230" i="14"/>
  <c r="J230" i="14"/>
  <c r="F230" i="14"/>
  <c r="E230" i="14"/>
  <c r="K229" i="14"/>
  <c r="J229" i="14"/>
  <c r="F229" i="14"/>
  <c r="E229" i="14"/>
  <c r="K228" i="14"/>
  <c r="J228" i="14"/>
  <c r="F228" i="14"/>
  <c r="E228" i="14"/>
  <c r="K227" i="14"/>
  <c r="J227" i="14"/>
  <c r="F227" i="14"/>
  <c r="E227" i="14"/>
  <c r="K226" i="14"/>
  <c r="J226" i="14"/>
  <c r="F226" i="14"/>
  <c r="E226" i="14"/>
  <c r="K225" i="14"/>
  <c r="J225" i="14"/>
  <c r="F225" i="14"/>
  <c r="E225" i="14"/>
  <c r="K224" i="14"/>
  <c r="J224" i="14"/>
  <c r="F224" i="14"/>
  <c r="E224" i="14"/>
  <c r="K223" i="14"/>
  <c r="J223" i="14"/>
  <c r="F223" i="14"/>
  <c r="E223" i="14"/>
  <c r="K222" i="14"/>
  <c r="J222" i="14"/>
  <c r="F222" i="14"/>
  <c r="E222" i="14"/>
  <c r="K221" i="14"/>
  <c r="J221" i="14"/>
  <c r="F221" i="14"/>
  <c r="E221" i="14"/>
  <c r="K220" i="14"/>
  <c r="J220" i="14"/>
  <c r="F220" i="14"/>
  <c r="E220" i="14"/>
  <c r="J219" i="14"/>
  <c r="F219" i="14"/>
  <c r="E219" i="14"/>
  <c r="J218" i="14"/>
  <c r="F218" i="14"/>
  <c r="E218" i="14"/>
  <c r="J217" i="14"/>
  <c r="F217" i="14"/>
  <c r="E217" i="14"/>
  <c r="J216" i="14"/>
  <c r="F216" i="14"/>
  <c r="E216" i="14"/>
  <c r="J215" i="14"/>
  <c r="F215" i="14"/>
  <c r="E215" i="14"/>
  <c r="J214" i="14"/>
  <c r="F214" i="14"/>
  <c r="E214" i="14"/>
  <c r="J213" i="14"/>
  <c r="F213" i="14"/>
  <c r="E213" i="14"/>
  <c r="J212" i="14"/>
  <c r="F212" i="14"/>
  <c r="E212" i="14"/>
  <c r="J211" i="14"/>
  <c r="F211" i="14"/>
  <c r="E211" i="14"/>
  <c r="J210" i="14"/>
  <c r="F210" i="14"/>
  <c r="E210" i="14"/>
  <c r="K209" i="14"/>
  <c r="J209" i="14"/>
  <c r="F209" i="14"/>
  <c r="E209" i="14"/>
  <c r="K208" i="14"/>
  <c r="J208" i="14"/>
  <c r="F208" i="14"/>
  <c r="E208" i="14"/>
  <c r="K207" i="14"/>
  <c r="J207" i="14"/>
  <c r="F207" i="14"/>
  <c r="E207" i="14"/>
  <c r="K206" i="14"/>
  <c r="J206" i="14"/>
  <c r="F206" i="14"/>
  <c r="E206" i="14"/>
  <c r="G205" i="14"/>
  <c r="K205" i="14" s="1"/>
  <c r="F205" i="14"/>
  <c r="E205" i="14"/>
  <c r="J204" i="14"/>
  <c r="G204" i="14"/>
  <c r="K204" i="14" s="1"/>
  <c r="F204" i="14"/>
  <c r="E204" i="14"/>
  <c r="K203" i="14"/>
  <c r="G203" i="14"/>
  <c r="J203" i="14" s="1"/>
  <c r="F203" i="14"/>
  <c r="E203" i="14"/>
  <c r="K202" i="14"/>
  <c r="J202" i="14"/>
  <c r="G202" i="14"/>
  <c r="F202" i="14"/>
  <c r="E202" i="14"/>
  <c r="G201" i="14"/>
  <c r="F201" i="14"/>
  <c r="E201" i="14"/>
  <c r="K200" i="14"/>
  <c r="J200" i="14"/>
  <c r="G200" i="14"/>
  <c r="F200" i="14"/>
  <c r="E200" i="14"/>
  <c r="K199" i="14"/>
  <c r="J199" i="14"/>
  <c r="F199" i="14"/>
  <c r="E199" i="14"/>
  <c r="K198" i="14"/>
  <c r="J198" i="14"/>
  <c r="F198" i="14"/>
  <c r="E198" i="14"/>
  <c r="K197" i="14"/>
  <c r="J197" i="14"/>
  <c r="F197" i="14"/>
  <c r="E197" i="14"/>
  <c r="K196" i="14"/>
  <c r="J196" i="14"/>
  <c r="F196" i="14"/>
  <c r="E196" i="14"/>
  <c r="K195" i="14"/>
  <c r="J195" i="14"/>
  <c r="F195" i="14"/>
  <c r="E195" i="14"/>
  <c r="K194" i="14"/>
  <c r="G194" i="14"/>
  <c r="J194" i="14" s="1"/>
  <c r="F194" i="14"/>
  <c r="E194" i="14"/>
  <c r="K193" i="14"/>
  <c r="J193" i="14"/>
  <c r="G193" i="14"/>
  <c r="F193" i="14"/>
  <c r="E193" i="14"/>
  <c r="K192" i="14"/>
  <c r="J192" i="14"/>
  <c r="G192" i="14"/>
  <c r="F192" i="14"/>
  <c r="E192" i="14"/>
  <c r="K191" i="14"/>
  <c r="J191" i="14"/>
  <c r="F191" i="14"/>
  <c r="E191" i="14"/>
  <c r="K190" i="14"/>
  <c r="J190" i="14"/>
  <c r="F190" i="14"/>
  <c r="E190" i="14"/>
  <c r="K189" i="14"/>
  <c r="J189" i="14"/>
  <c r="F189" i="14"/>
  <c r="E189" i="14"/>
  <c r="K188" i="14"/>
  <c r="J188" i="14"/>
  <c r="F188" i="14"/>
  <c r="E188" i="14"/>
  <c r="K187" i="14"/>
  <c r="J187" i="14"/>
  <c r="F187" i="14"/>
  <c r="E187" i="14"/>
  <c r="K186" i="14"/>
  <c r="J186" i="14"/>
  <c r="F186" i="14"/>
  <c r="E186" i="14"/>
  <c r="K185" i="14"/>
  <c r="J185" i="14"/>
  <c r="F185" i="14"/>
  <c r="E185" i="14"/>
  <c r="K184" i="14"/>
  <c r="J184" i="14"/>
  <c r="F184" i="14"/>
  <c r="E184" i="14"/>
  <c r="K183" i="14"/>
  <c r="J183" i="14"/>
  <c r="F183" i="14"/>
  <c r="E183" i="14"/>
  <c r="J182" i="14"/>
  <c r="I182" i="14"/>
  <c r="G182" i="14"/>
  <c r="F182" i="14"/>
  <c r="E182" i="14"/>
  <c r="J181" i="14"/>
  <c r="I181" i="14"/>
  <c r="K181" i="14" s="1"/>
  <c r="G181" i="14"/>
  <c r="F181" i="14"/>
  <c r="E181" i="14"/>
  <c r="J180" i="14"/>
  <c r="I180" i="14"/>
  <c r="G180" i="14"/>
  <c r="K180" i="14" s="1"/>
  <c r="F180" i="14"/>
  <c r="E180" i="14"/>
  <c r="K179" i="14"/>
  <c r="J179" i="14"/>
  <c r="I179" i="14"/>
  <c r="G179" i="14"/>
  <c r="F179" i="14"/>
  <c r="E179" i="14"/>
  <c r="K178" i="14"/>
  <c r="J178" i="14"/>
  <c r="I178" i="14"/>
  <c r="G178" i="14"/>
  <c r="F178" i="14"/>
  <c r="E178" i="14"/>
  <c r="K177" i="14"/>
  <c r="J177" i="14"/>
  <c r="F177" i="14"/>
  <c r="E177" i="14"/>
  <c r="K176" i="14"/>
  <c r="J176" i="14"/>
  <c r="F176" i="14"/>
  <c r="E176" i="14"/>
  <c r="K175" i="14"/>
  <c r="J175" i="14"/>
  <c r="F175" i="14"/>
  <c r="E175" i="14"/>
  <c r="K174" i="14"/>
  <c r="J174" i="14"/>
  <c r="F174" i="14"/>
  <c r="E174" i="14"/>
  <c r="K173" i="14"/>
  <c r="J173" i="14"/>
  <c r="F173" i="14"/>
  <c r="E173" i="14"/>
  <c r="K172" i="14"/>
  <c r="J172" i="14"/>
  <c r="G172" i="14"/>
  <c r="F172" i="14"/>
  <c r="E172" i="14"/>
  <c r="K171" i="14"/>
  <c r="J171" i="14"/>
  <c r="G171" i="14"/>
  <c r="F171" i="14"/>
  <c r="E171" i="14"/>
  <c r="J170" i="14"/>
  <c r="G170" i="14"/>
  <c r="K170" i="14" s="1"/>
  <c r="F170" i="14"/>
  <c r="E170" i="14"/>
  <c r="K169" i="14"/>
  <c r="J169" i="14"/>
  <c r="G169" i="14"/>
  <c r="F169" i="14"/>
  <c r="E169" i="14"/>
  <c r="G168" i="14"/>
  <c r="F168" i="14"/>
  <c r="E168" i="14"/>
  <c r="K167" i="14"/>
  <c r="J167" i="14"/>
  <c r="F167" i="14"/>
  <c r="E167" i="14"/>
  <c r="K166" i="14"/>
  <c r="J166" i="14"/>
  <c r="F166" i="14"/>
  <c r="E166" i="14"/>
  <c r="K165" i="14"/>
  <c r="J165" i="14"/>
  <c r="F165" i="14"/>
  <c r="E165" i="14"/>
  <c r="K164" i="14"/>
  <c r="J164" i="14"/>
  <c r="F164" i="14"/>
  <c r="E164" i="14"/>
  <c r="K163" i="14"/>
  <c r="J163" i="14"/>
  <c r="F163" i="14"/>
  <c r="E163" i="14"/>
  <c r="K162" i="14"/>
  <c r="J162" i="14"/>
  <c r="F162" i="14"/>
  <c r="E162" i="14"/>
  <c r="K161" i="14"/>
  <c r="J161" i="14"/>
  <c r="F161" i="14"/>
  <c r="E161" i="14"/>
  <c r="K160" i="14"/>
  <c r="J160" i="14"/>
  <c r="F160" i="14"/>
  <c r="E160" i="14"/>
  <c r="K159" i="14"/>
  <c r="J159" i="14"/>
  <c r="F159" i="14"/>
  <c r="E159" i="14"/>
  <c r="K158" i="14"/>
  <c r="J158" i="14"/>
  <c r="F158" i="14"/>
  <c r="E158" i="14"/>
  <c r="K157" i="14"/>
  <c r="J157" i="14"/>
  <c r="F157" i="14"/>
  <c r="E157" i="14"/>
  <c r="K156" i="14"/>
  <c r="J156" i="14"/>
  <c r="F156" i="14"/>
  <c r="E156" i="14"/>
  <c r="K155" i="14"/>
  <c r="J155" i="14"/>
  <c r="F155" i="14"/>
  <c r="E155" i="14"/>
  <c r="K154" i="14"/>
  <c r="J154" i="14"/>
  <c r="F154" i="14"/>
  <c r="E154" i="14"/>
  <c r="K153" i="14"/>
  <c r="J153" i="14"/>
  <c r="F153" i="14"/>
  <c r="E153" i="14"/>
  <c r="K152" i="14"/>
  <c r="J152" i="14"/>
  <c r="F152" i="14"/>
  <c r="E152" i="14"/>
  <c r="K151" i="14"/>
  <c r="J151" i="14"/>
  <c r="F151" i="14"/>
  <c r="E151" i="14"/>
  <c r="K150" i="14"/>
  <c r="J150" i="14"/>
  <c r="F150" i="14"/>
  <c r="E150" i="14"/>
  <c r="K149" i="14"/>
  <c r="J149" i="14"/>
  <c r="F149" i="14"/>
  <c r="E149" i="14"/>
  <c r="K148" i="14"/>
  <c r="J148" i="14"/>
  <c r="F148" i="14"/>
  <c r="E148" i="14"/>
  <c r="F147" i="14"/>
  <c r="E147" i="14"/>
  <c r="K146" i="14"/>
  <c r="J146" i="14"/>
  <c r="F146" i="14"/>
  <c r="E146" i="14"/>
  <c r="K145" i="14"/>
  <c r="J145" i="14"/>
  <c r="E145" i="14"/>
  <c r="K144" i="14"/>
  <c r="J144" i="14"/>
  <c r="E144" i="14"/>
  <c r="G143" i="14"/>
  <c r="J143" i="14" s="1"/>
  <c r="F143" i="14"/>
  <c r="E143" i="14"/>
  <c r="G142" i="14"/>
  <c r="F142" i="14"/>
  <c r="E142" i="14"/>
  <c r="G141" i="14"/>
  <c r="K141" i="14" s="1"/>
  <c r="M178" i="15" s="1"/>
  <c r="F141" i="14"/>
  <c r="E141" i="14"/>
  <c r="G140" i="14"/>
  <c r="K140" i="14" s="1"/>
  <c r="M177" i="15" s="1"/>
  <c r="F140" i="14"/>
  <c r="E140" i="14"/>
  <c r="G139" i="14"/>
  <c r="K139" i="14" s="1"/>
  <c r="F139" i="14"/>
  <c r="E139" i="14"/>
  <c r="G138" i="14"/>
  <c r="K138" i="14" s="1"/>
  <c r="M175" i="15" s="1"/>
  <c r="F138" i="14"/>
  <c r="E138" i="14"/>
  <c r="G137" i="14"/>
  <c r="J137" i="14" s="1"/>
  <c r="F137" i="14"/>
  <c r="E137" i="14"/>
  <c r="G136" i="14"/>
  <c r="J136" i="14" s="1"/>
  <c r="F136" i="14"/>
  <c r="E136" i="14"/>
  <c r="G135" i="14"/>
  <c r="K135" i="14" s="1"/>
  <c r="F135" i="14"/>
  <c r="E135" i="14"/>
  <c r="G134" i="14"/>
  <c r="K134" i="14" s="1"/>
  <c r="M171" i="15" s="1"/>
  <c r="F134" i="14"/>
  <c r="E134" i="14"/>
  <c r="G133" i="14"/>
  <c r="K133" i="14" s="1"/>
  <c r="M170" i="15" s="1"/>
  <c r="F133" i="14"/>
  <c r="E133" i="14"/>
  <c r="G132" i="14"/>
  <c r="J132" i="14" s="1"/>
  <c r="F132" i="14"/>
  <c r="E132" i="14"/>
  <c r="G131" i="14"/>
  <c r="F131" i="14"/>
  <c r="E131" i="14"/>
  <c r="G130" i="14"/>
  <c r="K130" i="14" s="1"/>
  <c r="M167" i="15" s="1"/>
  <c r="F130" i="14"/>
  <c r="E130" i="14"/>
  <c r="G129" i="14"/>
  <c r="K129" i="14" s="1"/>
  <c r="M166" i="15" s="1"/>
  <c r="F129" i="14"/>
  <c r="E129" i="14"/>
  <c r="J128" i="14"/>
  <c r="G128" i="14"/>
  <c r="K128" i="14" s="1"/>
  <c r="M165" i="15" s="1"/>
  <c r="F128" i="14"/>
  <c r="E128" i="14"/>
  <c r="G127" i="14"/>
  <c r="K127" i="14" s="1"/>
  <c r="M164" i="15" s="1"/>
  <c r="F127" i="14"/>
  <c r="E127" i="14"/>
  <c r="G126" i="14"/>
  <c r="F126" i="14"/>
  <c r="E126" i="14"/>
  <c r="G125" i="14"/>
  <c r="K125" i="14" s="1"/>
  <c r="M162" i="15" s="1"/>
  <c r="F125" i="14"/>
  <c r="E125" i="14"/>
  <c r="K124" i="14"/>
  <c r="M161" i="15" s="1"/>
  <c r="G124" i="14"/>
  <c r="J124" i="14" s="1"/>
  <c r="F124" i="14"/>
  <c r="E124" i="14"/>
  <c r="G123" i="14"/>
  <c r="K123" i="14" s="1"/>
  <c r="M160" i="15" s="1"/>
  <c r="F123" i="14"/>
  <c r="E123" i="14"/>
  <c r="G122" i="14"/>
  <c r="K122" i="14" s="1"/>
  <c r="M159" i="15" s="1"/>
  <c r="F122" i="14"/>
  <c r="E122" i="14"/>
  <c r="G121" i="14"/>
  <c r="J121" i="14" s="1"/>
  <c r="F121" i="14"/>
  <c r="E121" i="14"/>
  <c r="G120" i="14"/>
  <c r="J120" i="14" s="1"/>
  <c r="F120" i="14"/>
  <c r="E120" i="14"/>
  <c r="G119" i="14"/>
  <c r="K119" i="14" s="1"/>
  <c r="M131" i="15" s="1"/>
  <c r="F119" i="14"/>
  <c r="E119" i="14"/>
  <c r="G118" i="14"/>
  <c r="K118" i="14" s="1"/>
  <c r="M130" i="15" s="1"/>
  <c r="F118" i="14"/>
  <c r="E118" i="14"/>
  <c r="G117" i="14"/>
  <c r="K117" i="14" s="1"/>
  <c r="M129" i="15" s="1"/>
  <c r="F117" i="14"/>
  <c r="E117" i="14"/>
  <c r="G116" i="14"/>
  <c r="J116" i="14" s="1"/>
  <c r="F116" i="14"/>
  <c r="E116" i="14"/>
  <c r="G115" i="14"/>
  <c r="F115" i="14"/>
  <c r="E115" i="14"/>
  <c r="G114" i="14"/>
  <c r="K114" i="14" s="1"/>
  <c r="M126" i="15" s="1"/>
  <c r="F114" i="14"/>
  <c r="E114" i="14"/>
  <c r="G113" i="14"/>
  <c r="K113" i="14" s="1"/>
  <c r="M125" i="15" s="1"/>
  <c r="F113" i="14"/>
  <c r="E113" i="14"/>
  <c r="G112" i="14"/>
  <c r="K112" i="14" s="1"/>
  <c r="M124" i="15" s="1"/>
  <c r="F112" i="14"/>
  <c r="E112" i="14"/>
  <c r="G111" i="14"/>
  <c r="K111" i="14" s="1"/>
  <c r="M123" i="15" s="1"/>
  <c r="F111" i="14"/>
  <c r="E111" i="14"/>
  <c r="G110" i="14"/>
  <c r="F110" i="14"/>
  <c r="E110" i="14"/>
  <c r="G109" i="14"/>
  <c r="K109" i="14" s="1"/>
  <c r="M121" i="15" s="1"/>
  <c r="F109" i="14"/>
  <c r="E109" i="14"/>
  <c r="G108" i="14"/>
  <c r="J108" i="14" s="1"/>
  <c r="F108" i="14"/>
  <c r="E108" i="14"/>
  <c r="G107" i="14"/>
  <c r="K107" i="14" s="1"/>
  <c r="M119" i="15" s="1"/>
  <c r="F107" i="14"/>
  <c r="E107" i="14"/>
  <c r="G106" i="14"/>
  <c r="K106" i="14" s="1"/>
  <c r="M118" i="15" s="1"/>
  <c r="F106" i="14"/>
  <c r="E106" i="14"/>
  <c r="G105" i="14"/>
  <c r="J105" i="14" s="1"/>
  <c r="F105" i="14"/>
  <c r="E105" i="14"/>
  <c r="G104" i="14"/>
  <c r="J104" i="14" s="1"/>
  <c r="F104" i="14"/>
  <c r="E104" i="14"/>
  <c r="G103" i="14"/>
  <c r="K103" i="14" s="1"/>
  <c r="M115" i="15" s="1"/>
  <c r="F103" i="14"/>
  <c r="E103" i="14"/>
  <c r="G102" i="14"/>
  <c r="K102" i="14" s="1"/>
  <c r="M114" i="15" s="1"/>
  <c r="F102" i="14"/>
  <c r="E102" i="14"/>
  <c r="G101" i="14"/>
  <c r="K101" i="14" s="1"/>
  <c r="M113" i="15" s="1"/>
  <c r="F101" i="14"/>
  <c r="E101" i="14"/>
  <c r="G100" i="14"/>
  <c r="K100" i="14" s="1"/>
  <c r="M112" i="15" s="1"/>
  <c r="F100" i="14"/>
  <c r="E100" i="14"/>
  <c r="G99" i="14"/>
  <c r="F99" i="14"/>
  <c r="E99" i="14"/>
  <c r="G98" i="14"/>
  <c r="K98" i="14" s="1"/>
  <c r="M110" i="15" s="1"/>
  <c r="F98" i="14"/>
  <c r="E98" i="14"/>
  <c r="G97" i="14"/>
  <c r="K97" i="14" s="1"/>
  <c r="M109" i="15" s="1"/>
  <c r="F97" i="14"/>
  <c r="E97" i="14"/>
  <c r="G96" i="14"/>
  <c r="K96" i="14" s="1"/>
  <c r="M108" i="15" s="1"/>
  <c r="F96" i="14"/>
  <c r="E96" i="14"/>
  <c r="K95" i="14"/>
  <c r="M107" i="15" s="1"/>
  <c r="G95" i="14"/>
  <c r="J95" i="14" s="1"/>
  <c r="F95" i="14"/>
  <c r="E95" i="14"/>
  <c r="G94" i="14"/>
  <c r="F94" i="14"/>
  <c r="E94" i="14"/>
  <c r="G93" i="14"/>
  <c r="K93" i="14" s="1"/>
  <c r="M105" i="15" s="1"/>
  <c r="F93" i="14"/>
  <c r="E93" i="14"/>
  <c r="G92" i="14"/>
  <c r="K92" i="14" s="1"/>
  <c r="M104" i="15" s="1"/>
  <c r="F92" i="14"/>
  <c r="E92" i="14"/>
  <c r="G91" i="14"/>
  <c r="K91" i="14" s="1"/>
  <c r="M103" i="15" s="1"/>
  <c r="F91" i="14"/>
  <c r="E91" i="14"/>
  <c r="G90" i="14"/>
  <c r="K90" i="14" s="1"/>
  <c r="F90" i="14"/>
  <c r="E90" i="14"/>
  <c r="G89" i="14"/>
  <c r="J89" i="14" s="1"/>
  <c r="F89" i="14"/>
  <c r="E89" i="14"/>
  <c r="G88" i="14"/>
  <c r="J88" i="14" s="1"/>
  <c r="F88" i="14"/>
  <c r="E88" i="14"/>
  <c r="G87" i="14"/>
  <c r="K87" i="14" s="1"/>
  <c r="M99" i="15" s="1"/>
  <c r="F87" i="14"/>
  <c r="E87" i="14"/>
  <c r="G86" i="14"/>
  <c r="K86" i="14" s="1"/>
  <c r="M98" i="15" s="1"/>
  <c r="F86" i="14"/>
  <c r="E86" i="14"/>
  <c r="G85" i="14"/>
  <c r="K85" i="14" s="1"/>
  <c r="M97" i="15" s="1"/>
  <c r="F85" i="14"/>
  <c r="E85" i="14"/>
  <c r="G84" i="14"/>
  <c r="K84" i="14" s="1"/>
  <c r="M96" i="15" s="1"/>
  <c r="F84" i="14"/>
  <c r="E84" i="14"/>
  <c r="G83" i="14"/>
  <c r="F83" i="14"/>
  <c r="E83" i="14"/>
  <c r="G82" i="14"/>
  <c r="K82" i="14" s="1"/>
  <c r="M94" i="15" s="1"/>
  <c r="F82" i="14"/>
  <c r="E82" i="14"/>
  <c r="G81" i="14"/>
  <c r="K81" i="14" s="1"/>
  <c r="M93" i="15" s="1"/>
  <c r="F81" i="14"/>
  <c r="E81" i="14"/>
  <c r="G80" i="14"/>
  <c r="K80" i="14" s="1"/>
  <c r="M92" i="15" s="1"/>
  <c r="F80" i="14"/>
  <c r="E80" i="14"/>
  <c r="G79" i="14"/>
  <c r="K79" i="14" s="1"/>
  <c r="M91" i="15" s="1"/>
  <c r="F79" i="14"/>
  <c r="E79" i="14"/>
  <c r="G78" i="14"/>
  <c r="F78" i="14"/>
  <c r="E78" i="14"/>
  <c r="G77" i="14"/>
  <c r="K77" i="14" s="1"/>
  <c r="M89" i="15" s="1"/>
  <c r="F77" i="14"/>
  <c r="E77" i="14"/>
  <c r="G76" i="14"/>
  <c r="K76" i="14" s="1"/>
  <c r="F76" i="14"/>
  <c r="E76" i="14"/>
  <c r="G75" i="14"/>
  <c r="K75" i="14" s="1"/>
  <c r="F75" i="14"/>
  <c r="E75" i="14"/>
  <c r="G74" i="14"/>
  <c r="K74" i="14" s="1"/>
  <c r="F74" i="14"/>
  <c r="E74" i="14"/>
  <c r="G73" i="14"/>
  <c r="J73" i="14" s="1"/>
  <c r="F73" i="14"/>
  <c r="E73" i="14"/>
  <c r="G72" i="14"/>
  <c r="J72" i="14" s="1"/>
  <c r="F72" i="14"/>
  <c r="E72" i="14"/>
  <c r="G71" i="14"/>
  <c r="K71" i="14" s="1"/>
  <c r="M83" i="15" s="1"/>
  <c r="F71" i="14"/>
  <c r="E71" i="14"/>
  <c r="G70" i="14"/>
  <c r="K70" i="14" s="1"/>
  <c r="M82" i="15" s="1"/>
  <c r="F70" i="14"/>
  <c r="E70" i="14"/>
  <c r="G69" i="14"/>
  <c r="K69" i="14" s="1"/>
  <c r="M81" i="15" s="1"/>
  <c r="F69" i="14"/>
  <c r="E69" i="14"/>
  <c r="G68" i="14"/>
  <c r="K68" i="14" s="1"/>
  <c r="M80" i="15" s="1"/>
  <c r="F68" i="14"/>
  <c r="E68" i="14"/>
  <c r="G67" i="14"/>
  <c r="F67" i="14"/>
  <c r="E67" i="14"/>
  <c r="G66" i="14"/>
  <c r="K66" i="14" s="1"/>
  <c r="M78" i="15" s="1"/>
  <c r="F66" i="14"/>
  <c r="E66" i="14"/>
  <c r="G65" i="14"/>
  <c r="K65" i="14" s="1"/>
  <c r="M77" i="15" s="1"/>
  <c r="F65" i="14"/>
  <c r="E65" i="14"/>
  <c r="G64" i="14"/>
  <c r="K64" i="14" s="1"/>
  <c r="M76" i="15" s="1"/>
  <c r="F64" i="14"/>
  <c r="E64" i="14"/>
  <c r="G63" i="14"/>
  <c r="K63" i="14" s="1"/>
  <c r="M75" i="15" s="1"/>
  <c r="F63" i="14"/>
  <c r="E63" i="14"/>
  <c r="G62" i="14"/>
  <c r="F62" i="14"/>
  <c r="E62" i="14"/>
  <c r="G61" i="14"/>
  <c r="K61" i="14" s="1"/>
  <c r="M73" i="15" s="1"/>
  <c r="F61" i="14"/>
  <c r="E61" i="14"/>
  <c r="G60" i="14"/>
  <c r="K60" i="14" s="1"/>
  <c r="F60" i="14"/>
  <c r="E60" i="14"/>
  <c r="G59" i="14"/>
  <c r="K59" i="14" s="1"/>
  <c r="M71" i="15" s="1"/>
  <c r="F59" i="14"/>
  <c r="E59" i="14"/>
  <c r="G58" i="14"/>
  <c r="K58" i="14" s="1"/>
  <c r="M70" i="15" s="1"/>
  <c r="F58" i="14"/>
  <c r="E58" i="14"/>
  <c r="G57" i="14"/>
  <c r="J57" i="14" s="1"/>
  <c r="F57" i="14"/>
  <c r="E57" i="14"/>
  <c r="G56" i="14"/>
  <c r="J56" i="14" s="1"/>
  <c r="F56" i="14"/>
  <c r="E56" i="14"/>
  <c r="G55" i="14"/>
  <c r="K55" i="14" s="1"/>
  <c r="F55" i="14"/>
  <c r="E55" i="14"/>
  <c r="J54" i="14"/>
  <c r="G54" i="14"/>
  <c r="K54" i="14" s="1"/>
  <c r="F54" i="14"/>
  <c r="E54" i="14"/>
  <c r="G53" i="14"/>
  <c r="K53" i="14" s="1"/>
  <c r="M37" i="15" s="1"/>
  <c r="F53" i="14"/>
  <c r="E53" i="14"/>
  <c r="G52" i="14"/>
  <c r="K52" i="14" s="1"/>
  <c r="M36" i="15" s="1"/>
  <c r="F52" i="14"/>
  <c r="E52" i="14"/>
  <c r="G51" i="14"/>
  <c r="F51" i="14"/>
  <c r="E51" i="14"/>
  <c r="G50" i="14"/>
  <c r="K50" i="14" s="1"/>
  <c r="M34" i="15" s="1"/>
  <c r="F50" i="14"/>
  <c r="E50" i="14"/>
  <c r="G49" i="14"/>
  <c r="K49" i="14" s="1"/>
  <c r="M33" i="15" s="1"/>
  <c r="F49" i="14"/>
  <c r="E49" i="14"/>
  <c r="G48" i="14"/>
  <c r="J48" i="14" s="1"/>
  <c r="F48" i="14"/>
  <c r="E48" i="14"/>
  <c r="G47" i="14"/>
  <c r="K47" i="14" s="1"/>
  <c r="F47" i="14"/>
  <c r="E47" i="14"/>
  <c r="G46" i="14"/>
  <c r="F46" i="14"/>
  <c r="E46" i="14"/>
  <c r="J45" i="14"/>
  <c r="G45" i="14"/>
  <c r="K45" i="14" s="1"/>
  <c r="M29" i="15" s="1"/>
  <c r="F45" i="14"/>
  <c r="E45" i="14"/>
  <c r="G44" i="14"/>
  <c r="K44" i="14" s="1"/>
  <c r="M28" i="15" s="1"/>
  <c r="F44" i="14"/>
  <c r="E44" i="14"/>
  <c r="G43" i="14"/>
  <c r="K43" i="14" s="1"/>
  <c r="M27" i="15" s="1"/>
  <c r="F43" i="14"/>
  <c r="E43" i="14"/>
  <c r="G42" i="14"/>
  <c r="K42" i="14" s="1"/>
  <c r="M26" i="15" s="1"/>
  <c r="F42" i="14"/>
  <c r="E42" i="14"/>
  <c r="G41" i="14"/>
  <c r="J41" i="14" s="1"/>
  <c r="F41" i="14"/>
  <c r="E41" i="14"/>
  <c r="G40" i="14"/>
  <c r="J40" i="14" s="1"/>
  <c r="F40" i="14"/>
  <c r="E40" i="14"/>
  <c r="K39" i="14"/>
  <c r="J39" i="14"/>
  <c r="F39" i="14"/>
  <c r="E39" i="14"/>
  <c r="K38" i="14"/>
  <c r="J38" i="14"/>
  <c r="F38" i="14"/>
  <c r="E38" i="14"/>
  <c r="K37" i="14"/>
  <c r="J37" i="14"/>
  <c r="F37" i="14"/>
  <c r="E37" i="14"/>
  <c r="K36" i="14"/>
  <c r="J36" i="14"/>
  <c r="F36" i="14"/>
  <c r="E36" i="14"/>
  <c r="K35" i="14"/>
  <c r="J35" i="14"/>
  <c r="F35" i="14"/>
  <c r="E35" i="14"/>
  <c r="I34" i="14"/>
  <c r="K23" i="15" s="1"/>
  <c r="L23" i="15" s="1"/>
  <c r="G34" i="14"/>
  <c r="F34" i="14"/>
  <c r="E34" i="14"/>
  <c r="J33" i="14"/>
  <c r="I33" i="14"/>
  <c r="G33" i="14"/>
  <c r="K33" i="14" s="1"/>
  <c r="F33" i="14"/>
  <c r="E33" i="14"/>
  <c r="K32" i="14"/>
  <c r="I32" i="14"/>
  <c r="K21" i="15" s="1"/>
  <c r="G32" i="14"/>
  <c r="J32" i="14" s="1"/>
  <c r="F32" i="14"/>
  <c r="E32" i="14"/>
  <c r="K31" i="14"/>
  <c r="J31" i="14"/>
  <c r="I31" i="14"/>
  <c r="K20" i="15" s="1"/>
  <c r="G31" i="14"/>
  <c r="F31" i="14"/>
  <c r="E31" i="14"/>
  <c r="K30" i="14"/>
  <c r="J30" i="14"/>
  <c r="G30" i="14"/>
  <c r="F30" i="14"/>
  <c r="E30" i="14"/>
  <c r="K29" i="14"/>
  <c r="J29" i="14"/>
  <c r="F29" i="14"/>
  <c r="E29" i="14"/>
  <c r="K28" i="14"/>
  <c r="J28" i="14"/>
  <c r="F28" i="14"/>
  <c r="E28" i="14"/>
  <c r="I27" i="14"/>
  <c r="K19" i="15" s="1"/>
  <c r="G27" i="14"/>
  <c r="K27" i="14" s="1"/>
  <c r="F27" i="14"/>
  <c r="E27" i="14"/>
  <c r="G26" i="14"/>
  <c r="K26" i="14" s="1"/>
  <c r="F26" i="14"/>
  <c r="E26" i="14"/>
  <c r="K25" i="14"/>
  <c r="J25" i="14"/>
  <c r="F25" i="14"/>
  <c r="E25" i="14"/>
  <c r="G24" i="14"/>
  <c r="K24" i="14" s="1"/>
  <c r="F24" i="14"/>
  <c r="E24" i="14"/>
  <c r="G23" i="14"/>
  <c r="K23" i="14" s="1"/>
  <c r="F23" i="14"/>
  <c r="E23" i="14"/>
  <c r="G22" i="14"/>
  <c r="K22" i="14" s="1"/>
  <c r="M42" i="15" s="1"/>
  <c r="F22" i="14"/>
  <c r="E22" i="14"/>
  <c r="G21" i="14"/>
  <c r="J21" i="14" s="1"/>
  <c r="F21" i="14"/>
  <c r="E21" i="14"/>
  <c r="G20" i="14"/>
  <c r="J20" i="14" s="1"/>
  <c r="F20" i="14"/>
  <c r="E20" i="14"/>
  <c r="G19" i="14"/>
  <c r="K19" i="14" s="1"/>
  <c r="M39" i="15" s="1"/>
  <c r="F19" i="14"/>
  <c r="E19" i="14"/>
  <c r="G18" i="14"/>
  <c r="K18" i="14" s="1"/>
  <c r="M38" i="15" s="1"/>
  <c r="F18" i="14"/>
  <c r="E18" i="14"/>
  <c r="G17" i="14"/>
  <c r="K17" i="14" s="1"/>
  <c r="M12" i="15" s="1"/>
  <c r="F17" i="14"/>
  <c r="E17" i="14"/>
  <c r="G16" i="14"/>
  <c r="J16" i="14" s="1"/>
  <c r="F16" i="14"/>
  <c r="E16" i="14"/>
  <c r="G15" i="14"/>
  <c r="F15" i="14"/>
  <c r="E15" i="14"/>
  <c r="G14" i="14"/>
  <c r="K14" i="14" s="1"/>
  <c r="M9" i="15" s="1"/>
  <c r="F14" i="14"/>
  <c r="E14" i="14"/>
  <c r="G13" i="14"/>
  <c r="K13" i="14" s="1"/>
  <c r="M8" i="15" s="1"/>
  <c r="F13" i="14"/>
  <c r="E13" i="14"/>
  <c r="G12" i="14"/>
  <c r="J12" i="14" s="1"/>
  <c r="F12" i="14"/>
  <c r="E12" i="14"/>
  <c r="K11" i="14"/>
  <c r="G11" i="14"/>
  <c r="J11" i="14" s="1"/>
  <c r="F11" i="14"/>
  <c r="E11" i="14"/>
  <c r="G10" i="14"/>
  <c r="F10" i="14"/>
  <c r="E10" i="14"/>
  <c r="G9" i="14"/>
  <c r="J9" i="14" s="1"/>
  <c r="F9" i="14"/>
  <c r="E9" i="14"/>
  <c r="G8" i="14"/>
  <c r="J8" i="14" s="1"/>
  <c r="F8" i="14"/>
  <c r="E8" i="14"/>
  <c r="K7" i="14"/>
  <c r="J7" i="14"/>
  <c r="G7" i="14"/>
  <c r="F7" i="14"/>
  <c r="E7" i="14"/>
  <c r="G6" i="14"/>
  <c r="K6" i="14" s="1"/>
  <c r="F6" i="14"/>
  <c r="E6" i="14"/>
  <c r="K5" i="14"/>
  <c r="G5" i="14"/>
  <c r="J5" i="14" s="1"/>
  <c r="F5" i="14"/>
  <c r="E5" i="14"/>
  <c r="K4" i="14"/>
  <c r="G4" i="14"/>
  <c r="J4" i="14" s="1"/>
  <c r="F4" i="14"/>
  <c r="E4" i="14"/>
  <c r="K3" i="14"/>
  <c r="J3" i="14"/>
  <c r="G3" i="14"/>
  <c r="F3" i="14"/>
  <c r="E3" i="14"/>
  <c r="I375" i="13"/>
  <c r="J375" i="13" s="1"/>
  <c r="I374" i="13"/>
  <c r="J374" i="13" s="1"/>
  <c r="I373" i="13"/>
  <c r="J373" i="13" s="1"/>
  <c r="I372" i="13"/>
  <c r="J372" i="13" s="1"/>
  <c r="I371" i="13"/>
  <c r="J371" i="13" s="1"/>
  <c r="I370" i="13"/>
  <c r="J370" i="13" s="1"/>
  <c r="I369" i="13"/>
  <c r="J369" i="13" s="1"/>
  <c r="I368" i="13"/>
  <c r="J368" i="13" s="1"/>
  <c r="I367" i="13"/>
  <c r="J367" i="13" s="1"/>
  <c r="I366" i="13"/>
  <c r="J366" i="13" s="1"/>
  <c r="I365" i="13"/>
  <c r="J365" i="13" s="1"/>
  <c r="I364" i="13"/>
  <c r="J364" i="13" s="1"/>
  <c r="I363" i="13"/>
  <c r="J363" i="13" s="1"/>
  <c r="I362" i="13"/>
  <c r="J362" i="13" s="1"/>
  <c r="I361" i="13"/>
  <c r="J361" i="13" s="1"/>
  <c r="I360" i="13"/>
  <c r="J360" i="13" s="1"/>
  <c r="I359" i="13"/>
  <c r="J359" i="13" s="1"/>
  <c r="I358" i="13"/>
  <c r="J358" i="13" s="1"/>
  <c r="I357" i="13"/>
  <c r="J357" i="13" s="1"/>
  <c r="I356" i="13"/>
  <c r="J356" i="13" s="1"/>
  <c r="I355" i="13"/>
  <c r="J355" i="13" s="1"/>
  <c r="I354" i="13"/>
  <c r="J354" i="13" s="1"/>
  <c r="I353" i="13"/>
  <c r="J353" i="13" s="1"/>
  <c r="I352" i="13"/>
  <c r="J352" i="13" s="1"/>
  <c r="I351" i="13"/>
  <c r="J351" i="13" s="1"/>
  <c r="I350" i="13"/>
  <c r="J350" i="13" s="1"/>
  <c r="I349" i="13"/>
  <c r="J349" i="13" s="1"/>
  <c r="I348" i="13"/>
  <c r="J348" i="13" s="1"/>
  <c r="I347" i="13"/>
  <c r="J347" i="13" s="1"/>
  <c r="I346" i="13"/>
  <c r="J346" i="13" s="1"/>
  <c r="I345" i="13"/>
  <c r="J345" i="13" s="1"/>
  <c r="I344" i="13"/>
  <c r="J344" i="13" s="1"/>
  <c r="I343" i="13"/>
  <c r="J343" i="13" s="1"/>
  <c r="I342" i="13"/>
  <c r="J342" i="13" s="1"/>
  <c r="I341" i="13"/>
  <c r="J341" i="13" s="1"/>
  <c r="I340" i="13"/>
  <c r="J340" i="13" s="1"/>
  <c r="I338" i="13"/>
  <c r="J338" i="13" s="1"/>
  <c r="G338" i="13"/>
  <c r="F338" i="13"/>
  <c r="I337" i="13"/>
  <c r="G337" i="13"/>
  <c r="F337" i="13"/>
  <c r="I336" i="13"/>
  <c r="G336" i="13"/>
  <c r="F336" i="13"/>
  <c r="I335" i="13"/>
  <c r="G335" i="13"/>
  <c r="F335" i="13"/>
  <c r="I334" i="13"/>
  <c r="G334" i="13"/>
  <c r="F334" i="13"/>
  <c r="I333" i="13"/>
  <c r="G333" i="13"/>
  <c r="F333" i="13"/>
  <c r="I332" i="13"/>
  <c r="G332" i="13"/>
  <c r="F332" i="13"/>
  <c r="I331" i="13"/>
  <c r="G331" i="13"/>
  <c r="F331" i="13"/>
  <c r="J331" i="13" s="1"/>
  <c r="I330" i="13"/>
  <c r="J330" i="13" s="1"/>
  <c r="G330" i="13"/>
  <c r="F330" i="13"/>
  <c r="I329" i="13"/>
  <c r="G329" i="13"/>
  <c r="F329" i="13"/>
  <c r="I328" i="13"/>
  <c r="G328" i="13"/>
  <c r="F328" i="13"/>
  <c r="I327" i="13"/>
  <c r="G327" i="13"/>
  <c r="F327" i="13"/>
  <c r="I326" i="13"/>
  <c r="G326" i="13"/>
  <c r="F326" i="13"/>
  <c r="I325" i="13"/>
  <c r="J325" i="13" s="1"/>
  <c r="G325" i="13"/>
  <c r="F325" i="13"/>
  <c r="I324" i="13"/>
  <c r="G324" i="13"/>
  <c r="F324" i="13"/>
  <c r="I323" i="13"/>
  <c r="G323" i="13"/>
  <c r="F323" i="13"/>
  <c r="L322" i="13"/>
  <c r="K322" i="13" s="1"/>
  <c r="I322" i="13"/>
  <c r="G322" i="13"/>
  <c r="F322" i="13"/>
  <c r="I321" i="13"/>
  <c r="G321" i="13"/>
  <c r="F321" i="13"/>
  <c r="I320" i="13"/>
  <c r="G320" i="13"/>
  <c r="F320" i="13"/>
  <c r="I319" i="13"/>
  <c r="G319" i="13"/>
  <c r="F319" i="13"/>
  <c r="J319" i="13" s="1"/>
  <c r="I318" i="13"/>
  <c r="G318" i="13"/>
  <c r="F318" i="13"/>
  <c r="J318" i="13" s="1"/>
  <c r="I317" i="13"/>
  <c r="J317" i="13" s="1"/>
  <c r="G317" i="13"/>
  <c r="F317" i="13"/>
  <c r="I316" i="13"/>
  <c r="G316" i="13"/>
  <c r="F316" i="13"/>
  <c r="I315" i="13"/>
  <c r="G315" i="13"/>
  <c r="F315" i="13"/>
  <c r="L314" i="13"/>
  <c r="K314" i="13" s="1"/>
  <c r="I314" i="13"/>
  <c r="J314" i="13" s="1"/>
  <c r="G314" i="13"/>
  <c r="F314" i="13"/>
  <c r="I313" i="13"/>
  <c r="G313" i="13"/>
  <c r="F313" i="13"/>
  <c r="I312" i="13"/>
  <c r="G312" i="13"/>
  <c r="F312" i="13"/>
  <c r="I311" i="13"/>
  <c r="G311" i="13"/>
  <c r="F311" i="13"/>
  <c r="I310" i="13"/>
  <c r="G310" i="13"/>
  <c r="F310" i="13"/>
  <c r="L309" i="13"/>
  <c r="K309" i="13" s="1"/>
  <c r="I309" i="13"/>
  <c r="G309" i="13"/>
  <c r="F309" i="13"/>
  <c r="J309" i="13" s="1"/>
  <c r="I308" i="13"/>
  <c r="G308" i="13"/>
  <c r="F308" i="13"/>
  <c r="I307" i="13"/>
  <c r="G307" i="13"/>
  <c r="F307" i="13"/>
  <c r="I306" i="13"/>
  <c r="G306" i="13"/>
  <c r="F306" i="13"/>
  <c r="L305" i="13"/>
  <c r="K305" i="13" s="1"/>
  <c r="I305" i="13"/>
  <c r="G305" i="13"/>
  <c r="F305" i="13"/>
  <c r="L304" i="13"/>
  <c r="K304" i="13"/>
  <c r="I304" i="13"/>
  <c r="G304" i="13"/>
  <c r="F304" i="13"/>
  <c r="L303" i="13"/>
  <c r="K303" i="13" s="1"/>
  <c r="I303" i="13"/>
  <c r="G303" i="13"/>
  <c r="F303" i="13"/>
  <c r="L302" i="13"/>
  <c r="K302" i="13" s="1"/>
  <c r="I302" i="13"/>
  <c r="J302" i="13" s="1"/>
  <c r="G302" i="13"/>
  <c r="F302" i="13"/>
  <c r="L301" i="13"/>
  <c r="K301" i="13" s="1"/>
  <c r="I301" i="13"/>
  <c r="G301" i="13"/>
  <c r="F301" i="13"/>
  <c r="I300" i="13"/>
  <c r="F300" i="13"/>
  <c r="I299" i="13"/>
  <c r="F299" i="13"/>
  <c r="I298" i="13"/>
  <c r="F298" i="13"/>
  <c r="I297" i="13"/>
  <c r="F297" i="13"/>
  <c r="I296" i="13"/>
  <c r="F296" i="13"/>
  <c r="I295" i="13"/>
  <c r="G295" i="13"/>
  <c r="F295" i="13"/>
  <c r="I294" i="13"/>
  <c r="G294" i="13"/>
  <c r="F294" i="13"/>
  <c r="I293" i="13"/>
  <c r="G293" i="13"/>
  <c r="F293" i="13"/>
  <c r="I292" i="13"/>
  <c r="G292" i="13"/>
  <c r="F292" i="13"/>
  <c r="I291" i="13"/>
  <c r="G291" i="13"/>
  <c r="F291" i="13"/>
  <c r="I290" i="13"/>
  <c r="J290" i="13" s="1"/>
  <c r="G290" i="13"/>
  <c r="F290" i="13"/>
  <c r="I289" i="13"/>
  <c r="G289" i="13"/>
  <c r="F289" i="13"/>
  <c r="I288" i="13"/>
  <c r="G288" i="13"/>
  <c r="F288" i="13"/>
  <c r="I287" i="13"/>
  <c r="G287" i="13"/>
  <c r="F287" i="13"/>
  <c r="I286" i="13"/>
  <c r="G286" i="13"/>
  <c r="F286" i="13"/>
  <c r="I285" i="13"/>
  <c r="G285" i="13"/>
  <c r="F285" i="13"/>
  <c r="I284" i="13"/>
  <c r="G284" i="13"/>
  <c r="F284" i="13"/>
  <c r="I283" i="13"/>
  <c r="G283" i="13"/>
  <c r="F283" i="13"/>
  <c r="I282" i="13"/>
  <c r="J282" i="13" s="1"/>
  <c r="G282" i="13"/>
  <c r="F282" i="13"/>
  <c r="I281" i="13"/>
  <c r="G281" i="13"/>
  <c r="F281" i="13"/>
  <c r="I280" i="13"/>
  <c r="F280" i="13"/>
  <c r="I279" i="13"/>
  <c r="F279" i="13"/>
  <c r="I278" i="13"/>
  <c r="J278" i="13" s="1"/>
  <c r="F278" i="13"/>
  <c r="L277" i="13"/>
  <c r="K277" i="13" s="1"/>
  <c r="I277" i="13"/>
  <c r="G277" i="13"/>
  <c r="F277" i="13"/>
  <c r="I276" i="13"/>
  <c r="F276" i="13"/>
  <c r="I275" i="13"/>
  <c r="G275" i="13"/>
  <c r="F275" i="13"/>
  <c r="I274" i="13"/>
  <c r="F274" i="13"/>
  <c r="I273" i="13"/>
  <c r="G273" i="13"/>
  <c r="F273" i="13"/>
  <c r="I272" i="13"/>
  <c r="G272" i="13"/>
  <c r="F272" i="13"/>
  <c r="I271" i="13"/>
  <c r="G271" i="13"/>
  <c r="F271" i="13"/>
  <c r="I270" i="13"/>
  <c r="G270" i="13"/>
  <c r="F270" i="13"/>
  <c r="I269" i="13"/>
  <c r="J269" i="13" s="1"/>
  <c r="G269" i="13"/>
  <c r="F269" i="13"/>
  <c r="I268" i="13"/>
  <c r="G268" i="13"/>
  <c r="F268" i="13"/>
  <c r="I267" i="13"/>
  <c r="G267" i="13"/>
  <c r="F267" i="13"/>
  <c r="I266" i="13"/>
  <c r="J266" i="13" s="1"/>
  <c r="G266" i="13"/>
  <c r="F266" i="13"/>
  <c r="I265" i="13"/>
  <c r="G265" i="13"/>
  <c r="F265" i="13"/>
  <c r="I264" i="13"/>
  <c r="G264" i="13"/>
  <c r="F264" i="13"/>
  <c r="L263" i="13"/>
  <c r="K263" i="13" s="1"/>
  <c r="I263" i="13"/>
  <c r="G263" i="13"/>
  <c r="F263" i="13"/>
  <c r="L262" i="13"/>
  <c r="K262" i="13" s="1"/>
  <c r="I262" i="13"/>
  <c r="G262" i="13"/>
  <c r="F262" i="13"/>
  <c r="L261" i="13"/>
  <c r="K261" i="13" s="1"/>
  <c r="I261" i="13"/>
  <c r="G261" i="13"/>
  <c r="F261" i="13"/>
  <c r="I260" i="13"/>
  <c r="J260" i="13" s="1"/>
  <c r="G260" i="13"/>
  <c r="F260" i="13"/>
  <c r="I259" i="13"/>
  <c r="G259" i="13"/>
  <c r="F259" i="13"/>
  <c r="I258" i="13"/>
  <c r="G258" i="13"/>
  <c r="F258" i="13"/>
  <c r="I257" i="13"/>
  <c r="G257" i="13"/>
  <c r="F257" i="13"/>
  <c r="I256" i="13"/>
  <c r="G256" i="13"/>
  <c r="F256" i="13"/>
  <c r="I255" i="13"/>
  <c r="G255" i="13"/>
  <c r="F255" i="13"/>
  <c r="I254" i="13"/>
  <c r="G254" i="13"/>
  <c r="F254" i="13"/>
  <c r="I253" i="13"/>
  <c r="J253" i="13" s="1"/>
  <c r="G253" i="13"/>
  <c r="F253" i="13"/>
  <c r="I252" i="13"/>
  <c r="G252" i="13"/>
  <c r="F252" i="13"/>
  <c r="I251" i="13"/>
  <c r="G251" i="13"/>
  <c r="F251" i="13"/>
  <c r="I250" i="13"/>
  <c r="G250" i="13"/>
  <c r="F250" i="13"/>
  <c r="I249" i="13"/>
  <c r="G249" i="13"/>
  <c r="F249" i="13"/>
  <c r="I248" i="13"/>
  <c r="J248" i="13" s="1"/>
  <c r="G248" i="13"/>
  <c r="F248" i="13"/>
  <c r="I247" i="13"/>
  <c r="J247" i="13" s="1"/>
  <c r="G247" i="13"/>
  <c r="F247" i="13"/>
  <c r="I246" i="13"/>
  <c r="J246" i="13" s="1"/>
  <c r="F246" i="13"/>
  <c r="I245" i="13"/>
  <c r="J245" i="13" s="1"/>
  <c r="F245" i="13"/>
  <c r="I244" i="13"/>
  <c r="J244" i="13" s="1"/>
  <c r="F244" i="13"/>
  <c r="I243" i="13"/>
  <c r="F243" i="13"/>
  <c r="I242" i="13"/>
  <c r="J242" i="13" s="1"/>
  <c r="F242" i="13"/>
  <c r="I241" i="13"/>
  <c r="F241" i="13"/>
  <c r="I240" i="13"/>
  <c r="F240" i="13"/>
  <c r="I239" i="13"/>
  <c r="J239" i="13" s="1"/>
  <c r="F239" i="13"/>
  <c r="J238" i="13"/>
  <c r="I238" i="13"/>
  <c r="F238" i="13"/>
  <c r="I237" i="13"/>
  <c r="F237" i="13"/>
  <c r="I236" i="13"/>
  <c r="J236" i="13" s="1"/>
  <c r="F236" i="13"/>
  <c r="I235" i="13"/>
  <c r="F235" i="13"/>
  <c r="I234" i="13"/>
  <c r="F234" i="13"/>
  <c r="I233" i="13"/>
  <c r="F233" i="13"/>
  <c r="I232" i="13"/>
  <c r="F232" i="13"/>
  <c r="I231" i="13"/>
  <c r="F231" i="13"/>
  <c r="I230" i="13"/>
  <c r="J230" i="13" s="1"/>
  <c r="G230" i="13"/>
  <c r="F230" i="13"/>
  <c r="L229" i="13"/>
  <c r="K229" i="13" s="1"/>
  <c r="I229" i="13"/>
  <c r="G229" i="13"/>
  <c r="F229" i="13"/>
  <c r="L228" i="13"/>
  <c r="K228" i="13" s="1"/>
  <c r="I228" i="13"/>
  <c r="J228" i="13" s="1"/>
  <c r="G228" i="13"/>
  <c r="F228" i="13"/>
  <c r="I227" i="13"/>
  <c r="G227" i="13"/>
  <c r="F227" i="13"/>
  <c r="I226" i="13"/>
  <c r="G226" i="13"/>
  <c r="F226" i="13"/>
  <c r="I225" i="13"/>
  <c r="G225" i="13"/>
  <c r="F225" i="13"/>
  <c r="I224" i="13"/>
  <c r="J224" i="13" s="1"/>
  <c r="F224" i="13"/>
  <c r="L223" i="13"/>
  <c r="K223" i="13" s="1"/>
  <c r="I223" i="13"/>
  <c r="J223" i="13" s="1"/>
  <c r="F223" i="13"/>
  <c r="I222" i="13"/>
  <c r="J222" i="13" s="1"/>
  <c r="F222" i="13"/>
  <c r="I221" i="13"/>
  <c r="J221" i="13" s="1"/>
  <c r="F221" i="13"/>
  <c r="I220" i="13"/>
  <c r="J220" i="13" s="1"/>
  <c r="F220" i="13"/>
  <c r="I219" i="13"/>
  <c r="F219" i="13"/>
  <c r="I218" i="13"/>
  <c r="J218" i="13" s="1"/>
  <c r="G218" i="13"/>
  <c r="F218" i="13"/>
  <c r="L217" i="13"/>
  <c r="K217" i="13" s="1"/>
  <c r="I217" i="13"/>
  <c r="G217" i="13"/>
  <c r="F217" i="13"/>
  <c r="I216" i="13"/>
  <c r="G216" i="13"/>
  <c r="F216" i="13"/>
  <c r="I215" i="13"/>
  <c r="J215" i="13" s="1"/>
  <c r="G215" i="13"/>
  <c r="F215" i="13"/>
  <c r="I214" i="13"/>
  <c r="J214" i="13" s="1"/>
  <c r="G214" i="13"/>
  <c r="F214" i="13"/>
  <c r="I213" i="13"/>
  <c r="G213" i="13"/>
  <c r="F213" i="13"/>
  <c r="L212" i="13"/>
  <c r="K212" i="13" s="1"/>
  <c r="I212" i="13"/>
  <c r="J212" i="13" s="1"/>
  <c r="G212" i="13"/>
  <c r="F212" i="13"/>
  <c r="I211" i="13"/>
  <c r="G211" i="13"/>
  <c r="F211" i="13"/>
  <c r="I210" i="13"/>
  <c r="G210" i="13"/>
  <c r="F210" i="13"/>
  <c r="L209" i="13"/>
  <c r="K209" i="13" s="1"/>
  <c r="I209" i="13"/>
  <c r="G209" i="13"/>
  <c r="F209" i="13"/>
  <c r="I208" i="13"/>
  <c r="F208" i="13"/>
  <c r="I207" i="13"/>
  <c r="J207" i="13" s="1"/>
  <c r="F207" i="13"/>
  <c r="I206" i="13"/>
  <c r="J206" i="13" s="1"/>
  <c r="F206" i="13"/>
  <c r="I205" i="13"/>
  <c r="J205" i="13" s="1"/>
  <c r="F205" i="13"/>
  <c r="I204" i="13"/>
  <c r="J204" i="13" s="1"/>
  <c r="F204" i="13"/>
  <c r="I203" i="13"/>
  <c r="J203" i="13" s="1"/>
  <c r="F203" i="13"/>
  <c r="I202" i="13"/>
  <c r="F202" i="13"/>
  <c r="I201" i="13"/>
  <c r="F201" i="13"/>
  <c r="I200" i="13"/>
  <c r="F200" i="13"/>
  <c r="I199" i="13"/>
  <c r="J199" i="13" s="1"/>
  <c r="F199" i="13"/>
  <c r="I198" i="13"/>
  <c r="J198" i="13" s="1"/>
  <c r="F198" i="13"/>
  <c r="I197" i="13"/>
  <c r="F197" i="13"/>
  <c r="I196" i="13"/>
  <c r="F196" i="13"/>
  <c r="I195" i="13"/>
  <c r="J195" i="13" s="1"/>
  <c r="F195" i="13"/>
  <c r="I194" i="13"/>
  <c r="J194" i="13" s="1"/>
  <c r="F194" i="13"/>
  <c r="I193" i="13"/>
  <c r="F193" i="13"/>
  <c r="I192" i="13"/>
  <c r="J192" i="13" s="1"/>
  <c r="F192" i="13"/>
  <c r="I191" i="13"/>
  <c r="J191" i="13" s="1"/>
  <c r="F191" i="13"/>
  <c r="I190" i="13"/>
  <c r="F190" i="13"/>
  <c r="I189" i="13"/>
  <c r="F189" i="13"/>
  <c r="I188" i="13"/>
  <c r="J188" i="13" s="1"/>
  <c r="F188" i="13"/>
  <c r="I187" i="13"/>
  <c r="J187" i="13" s="1"/>
  <c r="F187" i="13"/>
  <c r="I186" i="13"/>
  <c r="F186" i="13"/>
  <c r="I185" i="13"/>
  <c r="J185" i="13" s="1"/>
  <c r="F185" i="13"/>
  <c r="I184" i="13"/>
  <c r="J184" i="13" s="1"/>
  <c r="F184" i="13"/>
  <c r="I183" i="13"/>
  <c r="J183" i="13" s="1"/>
  <c r="F183" i="13"/>
  <c r="I182" i="13"/>
  <c r="J182" i="13" s="1"/>
  <c r="F182" i="13"/>
  <c r="L181" i="13"/>
  <c r="K181" i="13" s="1"/>
  <c r="I181" i="13"/>
  <c r="G181" i="13"/>
  <c r="F181" i="13"/>
  <c r="L180" i="13"/>
  <c r="K180" i="13"/>
  <c r="I180" i="13"/>
  <c r="J180" i="13" s="1"/>
  <c r="G180" i="13"/>
  <c r="F180" i="13"/>
  <c r="I179" i="13"/>
  <c r="J179" i="13" s="1"/>
  <c r="G179" i="13"/>
  <c r="F179" i="13"/>
  <c r="L178" i="13"/>
  <c r="K178" i="13" s="1"/>
  <c r="I178" i="13"/>
  <c r="J178" i="13" s="1"/>
  <c r="G178" i="13"/>
  <c r="F178" i="13"/>
  <c r="L177" i="13"/>
  <c r="K177" i="13" s="1"/>
  <c r="I177" i="13"/>
  <c r="G177" i="13"/>
  <c r="F177" i="13"/>
  <c r="L176" i="13"/>
  <c r="K176" i="13" s="1"/>
  <c r="I176" i="13"/>
  <c r="J176" i="13" s="1"/>
  <c r="G176" i="13"/>
  <c r="F176" i="13"/>
  <c r="L175" i="13"/>
  <c r="K175" i="13" s="1"/>
  <c r="I175" i="13"/>
  <c r="J175" i="13" s="1"/>
  <c r="G175" i="13"/>
  <c r="F175" i="13"/>
  <c r="I174" i="13"/>
  <c r="G174" i="13"/>
  <c r="F174" i="13"/>
  <c r="I173" i="13"/>
  <c r="G173" i="13"/>
  <c r="F173" i="13"/>
  <c r="L172" i="13"/>
  <c r="K172" i="13" s="1"/>
  <c r="I172" i="13"/>
  <c r="G172" i="13"/>
  <c r="F172" i="13"/>
  <c r="J172" i="13" s="1"/>
  <c r="L171" i="13"/>
  <c r="K171" i="13" s="1"/>
  <c r="I171" i="13"/>
  <c r="J171" i="13" s="1"/>
  <c r="G171" i="13"/>
  <c r="F171" i="13"/>
  <c r="L170" i="13"/>
  <c r="K170" i="13" s="1"/>
  <c r="I170" i="13"/>
  <c r="G170" i="13"/>
  <c r="F170" i="13"/>
  <c r="I169" i="13"/>
  <c r="G169" i="13"/>
  <c r="F169" i="13"/>
  <c r="L168" i="13"/>
  <c r="K168" i="13" s="1"/>
  <c r="I168" i="13"/>
  <c r="J168" i="13" s="1"/>
  <c r="G168" i="13"/>
  <c r="F168" i="13"/>
  <c r="L167" i="13"/>
  <c r="K167" i="13" s="1"/>
  <c r="I167" i="13"/>
  <c r="J167" i="13" s="1"/>
  <c r="G167" i="13"/>
  <c r="F167" i="13"/>
  <c r="I166" i="13"/>
  <c r="G166" i="13"/>
  <c r="F166" i="13"/>
  <c r="L165" i="13"/>
  <c r="K165" i="13" s="1"/>
  <c r="I165" i="13"/>
  <c r="G165" i="13"/>
  <c r="F165" i="13"/>
  <c r="L164" i="13"/>
  <c r="K164" i="13" s="1"/>
  <c r="I164" i="13"/>
  <c r="J164" i="13" s="1"/>
  <c r="G164" i="13"/>
  <c r="F164" i="13"/>
  <c r="L163" i="13"/>
  <c r="K163" i="13" s="1"/>
  <c r="I163" i="13"/>
  <c r="J163" i="13" s="1"/>
  <c r="G163" i="13"/>
  <c r="F163" i="13"/>
  <c r="I162" i="13"/>
  <c r="J162" i="13" s="1"/>
  <c r="G162" i="13"/>
  <c r="F162" i="13"/>
  <c r="L161" i="13"/>
  <c r="K161" i="13" s="1"/>
  <c r="I161" i="13"/>
  <c r="J161" i="13" s="1"/>
  <c r="G161" i="13"/>
  <c r="F161" i="13"/>
  <c r="I160" i="13"/>
  <c r="J160" i="13" s="1"/>
  <c r="F160" i="13"/>
  <c r="I159" i="13"/>
  <c r="J159" i="13" s="1"/>
  <c r="F159" i="13"/>
  <c r="I158" i="13"/>
  <c r="J158" i="13" s="1"/>
  <c r="F158" i="13"/>
  <c r="I157" i="13"/>
  <c r="F157" i="13"/>
  <c r="I156" i="13"/>
  <c r="F156" i="13"/>
  <c r="I155" i="13"/>
  <c r="J155" i="13" s="1"/>
  <c r="F155" i="13"/>
  <c r="I154" i="13"/>
  <c r="F154" i="13"/>
  <c r="L153" i="13"/>
  <c r="K153" i="13" s="1"/>
  <c r="I153" i="13"/>
  <c r="J153" i="13" s="1"/>
  <c r="F153" i="13"/>
  <c r="I152" i="13"/>
  <c r="J152" i="13" s="1"/>
  <c r="F152" i="13"/>
  <c r="I151" i="13"/>
  <c r="J151" i="13" s="1"/>
  <c r="F151" i="13"/>
  <c r="I150" i="13"/>
  <c r="F150" i="13"/>
  <c r="L149" i="13"/>
  <c r="K149" i="13" s="1"/>
  <c r="I149" i="13"/>
  <c r="F149" i="13"/>
  <c r="I148" i="13"/>
  <c r="J148" i="13" s="1"/>
  <c r="F148" i="13"/>
  <c r="I147" i="13"/>
  <c r="F147" i="13"/>
  <c r="L146" i="13"/>
  <c r="K146" i="13" s="1"/>
  <c r="I146" i="13"/>
  <c r="G146" i="13"/>
  <c r="F146" i="13"/>
  <c r="L145" i="13"/>
  <c r="K145" i="13" s="1"/>
  <c r="I145" i="13"/>
  <c r="G145" i="13"/>
  <c r="F145" i="13"/>
  <c r="I144" i="13"/>
  <c r="J144" i="13" s="1"/>
  <c r="G144" i="13"/>
  <c r="F144" i="13"/>
  <c r="L143" i="13"/>
  <c r="K143" i="13" s="1"/>
  <c r="I143" i="13"/>
  <c r="J143" i="13" s="1"/>
  <c r="G143" i="13"/>
  <c r="F143" i="13"/>
  <c r="I142" i="13"/>
  <c r="J142" i="13" s="1"/>
  <c r="G142" i="13"/>
  <c r="F142" i="13"/>
  <c r="L141" i="13"/>
  <c r="K141" i="13" s="1"/>
  <c r="I141" i="13"/>
  <c r="G141" i="13"/>
  <c r="F141" i="13"/>
  <c r="I140" i="13"/>
  <c r="J140" i="13" s="1"/>
  <c r="G140" i="13"/>
  <c r="F140" i="13"/>
  <c r="L139" i="13"/>
  <c r="K139" i="13" s="1"/>
  <c r="I139" i="13"/>
  <c r="J139" i="13" s="1"/>
  <c r="G139" i="13"/>
  <c r="F139" i="13"/>
  <c r="I138" i="13"/>
  <c r="G138" i="13"/>
  <c r="F138" i="13"/>
  <c r="L137" i="13"/>
  <c r="K137" i="13" s="1"/>
  <c r="I137" i="13"/>
  <c r="G137" i="13"/>
  <c r="F137" i="13"/>
  <c r="I136" i="13"/>
  <c r="J136" i="13" s="1"/>
  <c r="G136" i="13"/>
  <c r="F136" i="13"/>
  <c r="I135" i="13"/>
  <c r="J135" i="13" s="1"/>
  <c r="G135" i="13"/>
  <c r="F135" i="13"/>
  <c r="I134" i="13"/>
  <c r="G134" i="13"/>
  <c r="F134" i="13"/>
  <c r="L133" i="13"/>
  <c r="K133" i="13" s="1"/>
  <c r="I133" i="13"/>
  <c r="G133" i="13"/>
  <c r="F133" i="13"/>
  <c r="L132" i="13"/>
  <c r="K132" i="13" s="1"/>
  <c r="I132" i="13"/>
  <c r="J132" i="13" s="1"/>
  <c r="G132" i="13"/>
  <c r="F132" i="13"/>
  <c r="L131" i="13"/>
  <c r="K131" i="13" s="1"/>
  <c r="I131" i="13"/>
  <c r="J131" i="13" s="1"/>
  <c r="G131" i="13"/>
  <c r="F131" i="13"/>
  <c r="L130" i="13"/>
  <c r="K130" i="13" s="1"/>
  <c r="I130" i="13"/>
  <c r="G130" i="13"/>
  <c r="F130" i="13"/>
  <c r="L129" i="13"/>
  <c r="K129" i="13" s="1"/>
  <c r="I129" i="13"/>
  <c r="J129" i="13" s="1"/>
  <c r="G129" i="13"/>
  <c r="F129" i="13"/>
  <c r="L128" i="13"/>
  <c r="K128" i="13" s="1"/>
  <c r="I128" i="13"/>
  <c r="J128" i="13" s="1"/>
  <c r="G128" i="13"/>
  <c r="F128" i="13"/>
  <c r="L127" i="13"/>
  <c r="K127" i="13" s="1"/>
  <c r="I127" i="13"/>
  <c r="J127" i="13" s="1"/>
  <c r="G127" i="13"/>
  <c r="F127" i="13"/>
  <c r="L126" i="13"/>
  <c r="K126" i="13" s="1"/>
  <c r="I126" i="13"/>
  <c r="G126" i="13"/>
  <c r="F126" i="13"/>
  <c r="J126" i="13" s="1"/>
  <c r="I125" i="13"/>
  <c r="G125" i="13"/>
  <c r="F125" i="13"/>
  <c r="I124" i="13"/>
  <c r="G124" i="13"/>
  <c r="F124" i="13"/>
  <c r="I123" i="13"/>
  <c r="J123" i="13" s="1"/>
  <c r="G123" i="13"/>
  <c r="F123" i="13"/>
  <c r="I122" i="13"/>
  <c r="J122" i="13" s="1"/>
  <c r="G122" i="13"/>
  <c r="F122" i="13"/>
  <c r="I121" i="13"/>
  <c r="G121" i="13"/>
  <c r="F121" i="13"/>
  <c r="I120" i="13"/>
  <c r="J120" i="13" s="1"/>
  <c r="G120" i="13"/>
  <c r="F120" i="13"/>
  <c r="L119" i="13"/>
  <c r="K119" i="13" s="1"/>
  <c r="I119" i="13"/>
  <c r="J119" i="13" s="1"/>
  <c r="G119" i="13"/>
  <c r="F119" i="13"/>
  <c r="I118" i="13"/>
  <c r="J118" i="13" s="1"/>
  <c r="G118" i="13"/>
  <c r="F118" i="13"/>
  <c r="I117" i="13"/>
  <c r="G117" i="13"/>
  <c r="F117" i="13"/>
  <c r="L116" i="13"/>
  <c r="K116" i="13" s="1"/>
  <c r="I116" i="13"/>
  <c r="J116" i="13" s="1"/>
  <c r="G116" i="13"/>
  <c r="F116" i="13"/>
  <c r="L115" i="13"/>
  <c r="K115" i="13" s="1"/>
  <c r="I115" i="13"/>
  <c r="J115" i="13" s="1"/>
  <c r="G115" i="13"/>
  <c r="F115" i="13"/>
  <c r="L114" i="13"/>
  <c r="K114" i="13" s="1"/>
  <c r="I114" i="13"/>
  <c r="J114" i="13" s="1"/>
  <c r="G114" i="13"/>
  <c r="F114" i="13"/>
  <c r="L113" i="13"/>
  <c r="K113" i="13" s="1"/>
  <c r="I113" i="13"/>
  <c r="G113" i="13"/>
  <c r="F113" i="13"/>
  <c r="L112" i="13"/>
  <c r="K112" i="13" s="1"/>
  <c r="I112" i="13"/>
  <c r="J112" i="13" s="1"/>
  <c r="G112" i="13"/>
  <c r="F112" i="13"/>
  <c r="I111" i="13"/>
  <c r="J111" i="13" s="1"/>
  <c r="G111" i="13"/>
  <c r="F111" i="13"/>
  <c r="I110" i="13"/>
  <c r="G110" i="13"/>
  <c r="F110" i="13"/>
  <c r="I109" i="13"/>
  <c r="G109" i="13"/>
  <c r="F109" i="13"/>
  <c r="I108" i="13"/>
  <c r="J108" i="13" s="1"/>
  <c r="G108" i="13"/>
  <c r="F108" i="13"/>
  <c r="L107" i="13"/>
  <c r="K107" i="13"/>
  <c r="I107" i="13"/>
  <c r="G107" i="13"/>
  <c r="F107" i="13"/>
  <c r="L106" i="13"/>
  <c r="K106" i="13" s="1"/>
  <c r="J106" i="13"/>
  <c r="I106" i="13"/>
  <c r="G106" i="13"/>
  <c r="F106" i="13"/>
  <c r="L105" i="13"/>
  <c r="K105" i="13" s="1"/>
  <c r="I105" i="13"/>
  <c r="J105" i="13" s="1"/>
  <c r="G105" i="13"/>
  <c r="F105" i="13"/>
  <c r="I104" i="13"/>
  <c r="J104" i="13" s="1"/>
  <c r="G104" i="13"/>
  <c r="F104" i="13"/>
  <c r="I103" i="13"/>
  <c r="J103" i="13" s="1"/>
  <c r="G103" i="13"/>
  <c r="F103" i="13"/>
  <c r="I102" i="13"/>
  <c r="G102" i="13"/>
  <c r="F102" i="13"/>
  <c r="I101" i="13"/>
  <c r="G101" i="13"/>
  <c r="F101" i="13"/>
  <c r="L100" i="13"/>
  <c r="K100" i="13" s="1"/>
  <c r="I100" i="13"/>
  <c r="J100" i="13" s="1"/>
  <c r="G100" i="13"/>
  <c r="F100" i="13"/>
  <c r="L99" i="13"/>
  <c r="K99" i="13" s="1"/>
  <c r="I99" i="13"/>
  <c r="G99" i="13"/>
  <c r="F99" i="13"/>
  <c r="L98" i="13"/>
  <c r="K98" i="13" s="1"/>
  <c r="I98" i="13"/>
  <c r="J98" i="13" s="1"/>
  <c r="G98" i="13"/>
  <c r="F98" i="13"/>
  <c r="I97" i="13"/>
  <c r="G97" i="13"/>
  <c r="F97" i="13"/>
  <c r="I96" i="13"/>
  <c r="J96" i="13" s="1"/>
  <c r="G96" i="13"/>
  <c r="F96" i="13"/>
  <c r="I95" i="13"/>
  <c r="J95" i="13" s="1"/>
  <c r="G95" i="13"/>
  <c r="F95" i="13"/>
  <c r="I94" i="13"/>
  <c r="J94" i="13" s="1"/>
  <c r="G94" i="13"/>
  <c r="F94" i="13"/>
  <c r="L93" i="13"/>
  <c r="K93" i="13" s="1"/>
  <c r="I93" i="13"/>
  <c r="G93" i="13"/>
  <c r="F93" i="13"/>
  <c r="I92" i="13"/>
  <c r="J92" i="13" s="1"/>
  <c r="G92" i="13"/>
  <c r="F92" i="13"/>
  <c r="I91" i="13"/>
  <c r="J91" i="13" s="1"/>
  <c r="G91" i="13"/>
  <c r="F91" i="13"/>
  <c r="I90" i="13"/>
  <c r="G90" i="13"/>
  <c r="F90" i="13"/>
  <c r="I89" i="13"/>
  <c r="G89" i="13"/>
  <c r="F89" i="13"/>
  <c r="I88" i="13"/>
  <c r="J88" i="13" s="1"/>
  <c r="G88" i="13"/>
  <c r="F88" i="13"/>
  <c r="I87" i="13"/>
  <c r="J87" i="13" s="1"/>
  <c r="G87" i="13"/>
  <c r="F87" i="13"/>
  <c r="L86" i="13"/>
  <c r="K86" i="13" s="1"/>
  <c r="I86" i="13"/>
  <c r="G86" i="13"/>
  <c r="F86" i="13"/>
  <c r="I85" i="13"/>
  <c r="G85" i="13"/>
  <c r="F85" i="13"/>
  <c r="I84" i="13"/>
  <c r="J84" i="13" s="1"/>
  <c r="G84" i="13"/>
  <c r="F84" i="13"/>
  <c r="I83" i="13"/>
  <c r="J83" i="13" s="1"/>
  <c r="G83" i="13"/>
  <c r="F83" i="13"/>
  <c r="I82" i="13"/>
  <c r="J82" i="13" s="1"/>
  <c r="G82" i="13"/>
  <c r="F82" i="13"/>
  <c r="I81" i="13"/>
  <c r="J81" i="13" s="1"/>
  <c r="G81" i="13"/>
  <c r="F81" i="13"/>
  <c r="I80" i="13"/>
  <c r="J80" i="13" s="1"/>
  <c r="G80" i="13"/>
  <c r="F80" i="13"/>
  <c r="J79" i="13"/>
  <c r="I79" i="13"/>
  <c r="G79" i="13"/>
  <c r="F79" i="13"/>
  <c r="I78" i="13"/>
  <c r="J78" i="13" s="1"/>
  <c r="G78" i="13"/>
  <c r="F78" i="13"/>
  <c r="I77" i="13"/>
  <c r="G77" i="13"/>
  <c r="F77" i="13"/>
  <c r="I76" i="13"/>
  <c r="G76" i="13"/>
  <c r="F76" i="13"/>
  <c r="L75" i="13"/>
  <c r="K75" i="13"/>
  <c r="I75" i="13"/>
  <c r="J75" i="13" s="1"/>
  <c r="G75" i="13"/>
  <c r="F75" i="13"/>
  <c r="I74" i="13"/>
  <c r="J74" i="13" s="1"/>
  <c r="G74" i="13"/>
  <c r="F74" i="13"/>
  <c r="I73" i="13"/>
  <c r="G73" i="13"/>
  <c r="F73" i="13"/>
  <c r="L72" i="13"/>
  <c r="K72" i="13" s="1"/>
  <c r="I72" i="13"/>
  <c r="J72" i="13" s="1"/>
  <c r="G72" i="13"/>
  <c r="F72" i="13"/>
  <c r="I71" i="13"/>
  <c r="J71" i="13" s="1"/>
  <c r="G71" i="13"/>
  <c r="F71" i="13"/>
  <c r="I70" i="13"/>
  <c r="G70" i="13"/>
  <c r="F70" i="13"/>
  <c r="L69" i="13"/>
  <c r="K69" i="13" s="1"/>
  <c r="I69" i="13"/>
  <c r="G69" i="13"/>
  <c r="F69" i="13"/>
  <c r="L68" i="13"/>
  <c r="K68" i="13" s="1"/>
  <c r="I68" i="13"/>
  <c r="J68" i="13" s="1"/>
  <c r="G68" i="13"/>
  <c r="F68" i="13"/>
  <c r="L67" i="13"/>
  <c r="K67" i="13" s="1"/>
  <c r="I67" i="13"/>
  <c r="G67" i="13"/>
  <c r="F67" i="13"/>
  <c r="L66" i="13"/>
  <c r="K66" i="13" s="1"/>
  <c r="I66" i="13"/>
  <c r="J66" i="13" s="1"/>
  <c r="G66" i="13"/>
  <c r="F66" i="13"/>
  <c r="L65" i="13"/>
  <c r="K65" i="13" s="1"/>
  <c r="I65" i="13"/>
  <c r="J65" i="13" s="1"/>
  <c r="G65" i="13"/>
  <c r="F65" i="13"/>
  <c r="L64" i="13"/>
  <c r="K64" i="13" s="1"/>
  <c r="I64" i="13"/>
  <c r="J64" i="13" s="1"/>
  <c r="G64" i="13"/>
  <c r="F64" i="13"/>
  <c r="L63" i="13"/>
  <c r="K63" i="13" s="1"/>
  <c r="I63" i="13"/>
  <c r="J63" i="13" s="1"/>
  <c r="G63" i="13"/>
  <c r="F63" i="13"/>
  <c r="L62" i="13"/>
  <c r="K62" i="13" s="1"/>
  <c r="I62" i="13"/>
  <c r="G62" i="13"/>
  <c r="F62" i="13"/>
  <c r="L61" i="13"/>
  <c r="K61" i="13" s="1"/>
  <c r="I61" i="13"/>
  <c r="G61" i="13"/>
  <c r="F61" i="13"/>
  <c r="L60" i="13"/>
  <c r="K60" i="13" s="1"/>
  <c r="I60" i="13"/>
  <c r="J60" i="13" s="1"/>
  <c r="G60" i="13"/>
  <c r="F60" i="13"/>
  <c r="L59" i="13"/>
  <c r="K59" i="13" s="1"/>
  <c r="I59" i="13"/>
  <c r="G59" i="13"/>
  <c r="F59" i="13"/>
  <c r="I58" i="13"/>
  <c r="J58" i="13" s="1"/>
  <c r="G58" i="13"/>
  <c r="F58" i="13"/>
  <c r="I57" i="13"/>
  <c r="G57" i="13"/>
  <c r="F57" i="13"/>
  <c r="J57" i="13" s="1"/>
  <c r="I56" i="13"/>
  <c r="J56" i="13" s="1"/>
  <c r="G56" i="13"/>
  <c r="F56" i="13"/>
  <c r="I55" i="13"/>
  <c r="J55" i="13" s="1"/>
  <c r="G55" i="13"/>
  <c r="F55" i="13"/>
  <c r="I54" i="13"/>
  <c r="G54" i="13"/>
  <c r="F54" i="13"/>
  <c r="I53" i="13"/>
  <c r="G53" i="13"/>
  <c r="F53" i="13"/>
  <c r="L52" i="13"/>
  <c r="K52" i="13" s="1"/>
  <c r="I52" i="13"/>
  <c r="J52" i="13" s="1"/>
  <c r="G52" i="13"/>
  <c r="F52" i="13"/>
  <c r="I51" i="13"/>
  <c r="J51" i="13" s="1"/>
  <c r="G51" i="13"/>
  <c r="F51" i="13"/>
  <c r="I50" i="13"/>
  <c r="G50" i="13"/>
  <c r="F50" i="13"/>
  <c r="I49" i="13"/>
  <c r="J49" i="13" s="1"/>
  <c r="G49" i="13"/>
  <c r="F49" i="13"/>
  <c r="L48" i="13"/>
  <c r="K48" i="13" s="1"/>
  <c r="I48" i="13"/>
  <c r="J48" i="13" s="1"/>
  <c r="G48" i="13"/>
  <c r="F48" i="13"/>
  <c r="L47" i="13"/>
  <c r="K47" i="13" s="1"/>
  <c r="I47" i="13"/>
  <c r="J47" i="13" s="1"/>
  <c r="G47" i="13"/>
  <c r="F47" i="13"/>
  <c r="L46" i="13"/>
  <c r="K46" i="13" s="1"/>
  <c r="I46" i="13"/>
  <c r="G46" i="13"/>
  <c r="F46" i="13"/>
  <c r="L45" i="13"/>
  <c r="K45" i="13" s="1"/>
  <c r="I45" i="13"/>
  <c r="G45" i="13"/>
  <c r="F45" i="13"/>
  <c r="L44" i="13"/>
  <c r="K44" i="13" s="1"/>
  <c r="I44" i="13"/>
  <c r="G44" i="13"/>
  <c r="F44" i="13"/>
  <c r="L43" i="13"/>
  <c r="K43" i="13"/>
  <c r="I43" i="13"/>
  <c r="J43" i="13" s="1"/>
  <c r="G43" i="13"/>
  <c r="F43" i="13"/>
  <c r="J42" i="13"/>
  <c r="I42" i="13"/>
  <c r="G42" i="13"/>
  <c r="F42" i="13"/>
  <c r="I41" i="13"/>
  <c r="G41" i="13"/>
  <c r="F41" i="13"/>
  <c r="I40" i="13"/>
  <c r="J40" i="13" s="1"/>
  <c r="G40" i="13"/>
  <c r="F40" i="13"/>
  <c r="I39" i="13"/>
  <c r="J39" i="13" s="1"/>
  <c r="G39" i="13"/>
  <c r="F39" i="13"/>
  <c r="L38" i="13"/>
  <c r="K38" i="13" s="1"/>
  <c r="I38" i="13"/>
  <c r="J38" i="13" s="1"/>
  <c r="G38" i="13"/>
  <c r="F38" i="13"/>
  <c r="L37" i="13"/>
  <c r="K37" i="13" s="1"/>
  <c r="I37" i="13"/>
  <c r="G37" i="13"/>
  <c r="F37" i="13"/>
  <c r="L36" i="13"/>
  <c r="K36" i="13" s="1"/>
  <c r="I36" i="13"/>
  <c r="J36" i="13" s="1"/>
  <c r="G36" i="13"/>
  <c r="F36" i="13"/>
  <c r="L35" i="13"/>
  <c r="K35" i="13" s="1"/>
  <c r="I35" i="13"/>
  <c r="J35" i="13" s="1"/>
  <c r="G35" i="13"/>
  <c r="F35" i="13"/>
  <c r="L34" i="13"/>
  <c r="K34" i="13" s="1"/>
  <c r="I34" i="13"/>
  <c r="J34" i="13" s="1"/>
  <c r="G34" i="13"/>
  <c r="F34" i="13"/>
  <c r="I33" i="13"/>
  <c r="G33" i="13"/>
  <c r="F33" i="13"/>
  <c r="I32" i="13"/>
  <c r="J32" i="13" s="1"/>
  <c r="G32" i="13"/>
  <c r="F32" i="13"/>
  <c r="I31" i="13"/>
  <c r="J31" i="13" s="1"/>
  <c r="G31" i="13"/>
  <c r="F31" i="13"/>
  <c r="L30" i="13"/>
  <c r="K30" i="13" s="1"/>
  <c r="I30" i="13"/>
  <c r="G30" i="13"/>
  <c r="F30" i="13"/>
  <c r="L29" i="13"/>
  <c r="K29" i="13" s="1"/>
  <c r="I29" i="13"/>
  <c r="G29" i="13"/>
  <c r="F29" i="13"/>
  <c r="L28" i="13"/>
  <c r="K28" i="13" s="1"/>
  <c r="I28" i="13"/>
  <c r="J28" i="13" s="1"/>
  <c r="G28" i="13"/>
  <c r="F28" i="13"/>
  <c r="I27" i="13"/>
  <c r="G27" i="13"/>
  <c r="F27" i="13"/>
  <c r="I26" i="13"/>
  <c r="J26" i="13" s="1"/>
  <c r="G26" i="13"/>
  <c r="F26" i="13"/>
  <c r="I25" i="13"/>
  <c r="G25" i="13"/>
  <c r="F25" i="13"/>
  <c r="I24" i="13"/>
  <c r="J24" i="13" s="1"/>
  <c r="G24" i="13"/>
  <c r="F24" i="13"/>
  <c r="I23" i="13"/>
  <c r="J23" i="13" s="1"/>
  <c r="G23" i="13"/>
  <c r="F23" i="13"/>
  <c r="I22" i="13"/>
  <c r="G22" i="13"/>
  <c r="F22" i="13"/>
  <c r="L21" i="13"/>
  <c r="K21" i="13" s="1"/>
  <c r="I21" i="13"/>
  <c r="G21" i="13"/>
  <c r="F21" i="13"/>
  <c r="I20" i="13"/>
  <c r="J20" i="13" s="1"/>
  <c r="G20" i="13"/>
  <c r="F20" i="13"/>
  <c r="I19" i="13"/>
  <c r="J19" i="13" s="1"/>
  <c r="G19" i="13"/>
  <c r="F19" i="13"/>
  <c r="I18" i="13"/>
  <c r="G18" i="13"/>
  <c r="F18" i="13"/>
  <c r="L17" i="13"/>
  <c r="K17" i="13" s="1"/>
  <c r="I17" i="13"/>
  <c r="G17" i="13"/>
  <c r="F17" i="13"/>
  <c r="L16" i="13"/>
  <c r="K16" i="13" s="1"/>
  <c r="I16" i="13"/>
  <c r="J16" i="13" s="1"/>
  <c r="G16" i="13"/>
  <c r="F16" i="13"/>
  <c r="L15" i="13"/>
  <c r="K15" i="13" s="1"/>
  <c r="I15" i="13"/>
  <c r="J15" i="13" s="1"/>
  <c r="G15" i="13"/>
  <c r="F15" i="13"/>
  <c r="L14" i="13"/>
  <c r="K14" i="13" s="1"/>
  <c r="I14" i="13"/>
  <c r="G14" i="13"/>
  <c r="F14" i="13"/>
  <c r="L13" i="13"/>
  <c r="K13" i="13" s="1"/>
  <c r="I13" i="13"/>
  <c r="G13" i="13"/>
  <c r="F13" i="13"/>
  <c r="I12" i="13"/>
  <c r="J12" i="13" s="1"/>
  <c r="H12" i="13"/>
  <c r="F12" i="13"/>
  <c r="I11" i="13"/>
  <c r="J11" i="13" s="1"/>
  <c r="F11" i="13"/>
  <c r="I10" i="13"/>
  <c r="H10" i="13"/>
  <c r="F10" i="13"/>
  <c r="I9" i="13"/>
  <c r="F9" i="13"/>
  <c r="L8" i="13"/>
  <c r="K8" i="13" s="1"/>
  <c r="I8" i="13"/>
  <c r="J8" i="13" s="1"/>
  <c r="H8" i="13"/>
  <c r="F8" i="13"/>
  <c r="I7" i="13"/>
  <c r="F7" i="13"/>
  <c r="I6" i="13"/>
  <c r="H6" i="13"/>
  <c r="F6" i="13"/>
  <c r="I5" i="13"/>
  <c r="J5" i="13" s="1"/>
  <c r="F5" i="13"/>
  <c r="I4" i="13"/>
  <c r="J4" i="13" s="1"/>
  <c r="H4" i="13"/>
  <c r="F4" i="13"/>
  <c r="I3" i="13"/>
  <c r="H3" i="13"/>
  <c r="F3" i="13"/>
  <c r="H375" i="12"/>
  <c r="I375" i="12" s="1"/>
  <c r="H374" i="12"/>
  <c r="I374" i="12" s="1"/>
  <c r="H373" i="12"/>
  <c r="I373" i="12" s="1"/>
  <c r="H372" i="12"/>
  <c r="I372" i="12" s="1"/>
  <c r="H371" i="12"/>
  <c r="I371" i="12" s="1"/>
  <c r="H370" i="12"/>
  <c r="I370" i="12" s="1"/>
  <c r="H369" i="12"/>
  <c r="I369" i="12" s="1"/>
  <c r="H368" i="12"/>
  <c r="I368" i="12" s="1"/>
  <c r="H367" i="12"/>
  <c r="I367" i="12" s="1"/>
  <c r="H366" i="12"/>
  <c r="I366" i="12" s="1"/>
  <c r="H365" i="12"/>
  <c r="I365" i="12" s="1"/>
  <c r="H364" i="12"/>
  <c r="I364" i="12" s="1"/>
  <c r="H363" i="12"/>
  <c r="I363" i="12" s="1"/>
  <c r="H362" i="12"/>
  <c r="I362" i="12" s="1"/>
  <c r="H361" i="12"/>
  <c r="I361" i="12" s="1"/>
  <c r="H360" i="12"/>
  <c r="I360" i="12" s="1"/>
  <c r="H359" i="12"/>
  <c r="I359" i="12" s="1"/>
  <c r="H358" i="12"/>
  <c r="I358" i="12" s="1"/>
  <c r="H357" i="12"/>
  <c r="I357" i="12" s="1"/>
  <c r="H356" i="12"/>
  <c r="I356" i="12" s="1"/>
  <c r="H355" i="12"/>
  <c r="I355" i="12" s="1"/>
  <c r="H354" i="12"/>
  <c r="I354" i="12" s="1"/>
  <c r="H353" i="12"/>
  <c r="I353" i="12" s="1"/>
  <c r="H352" i="12"/>
  <c r="I352" i="12" s="1"/>
  <c r="H351" i="12"/>
  <c r="I351" i="12" s="1"/>
  <c r="H350" i="12"/>
  <c r="I350" i="12" s="1"/>
  <c r="H349" i="12"/>
  <c r="I349" i="12" s="1"/>
  <c r="H348" i="12"/>
  <c r="I348" i="12" s="1"/>
  <c r="H347" i="12"/>
  <c r="I347" i="12" s="1"/>
  <c r="H346" i="12"/>
  <c r="I346" i="12" s="1"/>
  <c r="H345" i="12"/>
  <c r="I345" i="12" s="1"/>
  <c r="H344" i="12"/>
  <c r="I344" i="12" s="1"/>
  <c r="H343" i="12"/>
  <c r="I343" i="12" s="1"/>
  <c r="H342" i="12"/>
  <c r="I342" i="12" s="1"/>
  <c r="H341" i="12"/>
  <c r="I341" i="12" s="1"/>
  <c r="H340" i="12"/>
  <c r="I340" i="12" s="1"/>
  <c r="H338" i="12"/>
  <c r="G338" i="12"/>
  <c r="F338" i="12"/>
  <c r="I338" i="12" s="1"/>
  <c r="H337" i="12"/>
  <c r="G337" i="12"/>
  <c r="F337" i="12"/>
  <c r="H336" i="12"/>
  <c r="G336" i="12"/>
  <c r="F336" i="12"/>
  <c r="H335" i="12"/>
  <c r="G335" i="12"/>
  <c r="F335" i="12"/>
  <c r="H334" i="12"/>
  <c r="G334" i="12"/>
  <c r="F334" i="12"/>
  <c r="H333" i="12"/>
  <c r="G333" i="12"/>
  <c r="F333" i="12"/>
  <c r="H332" i="12"/>
  <c r="G332" i="12"/>
  <c r="F332" i="12"/>
  <c r="H331" i="12"/>
  <c r="G331" i="12"/>
  <c r="F331" i="12"/>
  <c r="H330" i="12"/>
  <c r="I330" i="12" s="1"/>
  <c r="G330" i="12"/>
  <c r="F330" i="12"/>
  <c r="H329" i="12"/>
  <c r="I329" i="12" s="1"/>
  <c r="G329" i="12"/>
  <c r="F329" i="12"/>
  <c r="H328" i="12"/>
  <c r="G328" i="12"/>
  <c r="F328" i="12"/>
  <c r="H327" i="12"/>
  <c r="I327" i="12" s="1"/>
  <c r="G327" i="12"/>
  <c r="F327" i="12"/>
  <c r="H326" i="12"/>
  <c r="I326" i="12" s="1"/>
  <c r="G326" i="12"/>
  <c r="F326" i="12"/>
  <c r="H325" i="12"/>
  <c r="I325" i="12" s="1"/>
  <c r="G325" i="12"/>
  <c r="F325" i="12"/>
  <c r="H324" i="12"/>
  <c r="G324" i="12"/>
  <c r="F324" i="12"/>
  <c r="H323" i="12"/>
  <c r="I323" i="12" s="1"/>
  <c r="G323" i="12"/>
  <c r="F323" i="12"/>
  <c r="K322" i="12"/>
  <c r="J322" i="12" s="1"/>
  <c r="H322" i="12"/>
  <c r="G322" i="12"/>
  <c r="F322" i="12"/>
  <c r="H321" i="12"/>
  <c r="I321" i="12" s="1"/>
  <c r="G321" i="12"/>
  <c r="F321" i="12"/>
  <c r="H320" i="12"/>
  <c r="G320" i="12"/>
  <c r="F320" i="12"/>
  <c r="H319" i="12"/>
  <c r="G319" i="12"/>
  <c r="F319" i="12"/>
  <c r="H318" i="12"/>
  <c r="G318" i="12"/>
  <c r="F318" i="12"/>
  <c r="H317" i="12"/>
  <c r="I317" i="12" s="1"/>
  <c r="G317" i="12"/>
  <c r="F317" i="12"/>
  <c r="H316" i="12"/>
  <c r="I316" i="12" s="1"/>
  <c r="G316" i="12"/>
  <c r="F316" i="12"/>
  <c r="H315" i="12"/>
  <c r="I315" i="12" s="1"/>
  <c r="G315" i="12"/>
  <c r="F315" i="12"/>
  <c r="K314" i="12"/>
  <c r="J314" i="12" s="1"/>
  <c r="H314" i="12"/>
  <c r="G314" i="12"/>
  <c r="F314" i="12"/>
  <c r="H313" i="12"/>
  <c r="I313" i="12" s="1"/>
  <c r="G313" i="12"/>
  <c r="F313" i="12"/>
  <c r="H312" i="12"/>
  <c r="G312" i="12"/>
  <c r="F312" i="12"/>
  <c r="H311" i="12"/>
  <c r="I311" i="12" s="1"/>
  <c r="G311" i="12"/>
  <c r="F311" i="12"/>
  <c r="H310" i="12"/>
  <c r="G310" i="12"/>
  <c r="F310" i="12"/>
  <c r="K309" i="12"/>
  <c r="J309" i="12" s="1"/>
  <c r="H309" i="12"/>
  <c r="I309" i="12" s="1"/>
  <c r="G309" i="12"/>
  <c r="F309" i="12"/>
  <c r="H308" i="12"/>
  <c r="I308" i="12" s="1"/>
  <c r="G308" i="12"/>
  <c r="F308" i="12"/>
  <c r="H307" i="12"/>
  <c r="I307" i="12" s="1"/>
  <c r="G307" i="12"/>
  <c r="F307" i="12"/>
  <c r="H306" i="12"/>
  <c r="I306" i="12" s="1"/>
  <c r="G306" i="12"/>
  <c r="F306" i="12"/>
  <c r="K305" i="12"/>
  <c r="J305" i="12" s="1"/>
  <c r="H305" i="12"/>
  <c r="G305" i="12"/>
  <c r="F305" i="12"/>
  <c r="K304" i="12"/>
  <c r="J304" i="12" s="1"/>
  <c r="H304" i="12"/>
  <c r="G304" i="12"/>
  <c r="F304" i="12"/>
  <c r="K303" i="12"/>
  <c r="J303" i="12" s="1"/>
  <c r="H303" i="12"/>
  <c r="I303" i="12" s="1"/>
  <c r="G303" i="12"/>
  <c r="F303" i="12"/>
  <c r="K302" i="12"/>
  <c r="J302" i="12" s="1"/>
  <c r="H302" i="12"/>
  <c r="G302" i="12"/>
  <c r="F302" i="12"/>
  <c r="K301" i="12"/>
  <c r="J301" i="12" s="1"/>
  <c r="H301" i="12"/>
  <c r="I301" i="12" s="1"/>
  <c r="G301" i="12"/>
  <c r="F301" i="12"/>
  <c r="H300" i="12"/>
  <c r="F300" i="12"/>
  <c r="H299" i="12"/>
  <c r="F299" i="12"/>
  <c r="H298" i="12"/>
  <c r="I298" i="12" s="1"/>
  <c r="F298" i="12"/>
  <c r="H297" i="12"/>
  <c r="F297" i="12"/>
  <c r="H296" i="12"/>
  <c r="F296" i="12"/>
  <c r="H295" i="12"/>
  <c r="I295" i="12" s="1"/>
  <c r="G295" i="12"/>
  <c r="F295" i="12"/>
  <c r="H294" i="12"/>
  <c r="I294" i="12" s="1"/>
  <c r="G294" i="12"/>
  <c r="F294" i="12"/>
  <c r="H293" i="12"/>
  <c r="G293" i="12"/>
  <c r="F293" i="12"/>
  <c r="H292" i="12"/>
  <c r="G292" i="12"/>
  <c r="F292" i="12"/>
  <c r="H291" i="12"/>
  <c r="I291" i="12" s="1"/>
  <c r="G291" i="12"/>
  <c r="F291" i="12"/>
  <c r="H290" i="12"/>
  <c r="I290" i="12" s="1"/>
  <c r="G290" i="12"/>
  <c r="F290" i="12"/>
  <c r="H289" i="12"/>
  <c r="I289" i="12" s="1"/>
  <c r="G289" i="12"/>
  <c r="F289" i="12"/>
  <c r="H288" i="12"/>
  <c r="G288" i="12"/>
  <c r="F288" i="12"/>
  <c r="H287" i="12"/>
  <c r="G287" i="12"/>
  <c r="F287" i="12"/>
  <c r="H286" i="12"/>
  <c r="I286" i="12" s="1"/>
  <c r="G286" i="12"/>
  <c r="F286" i="12"/>
  <c r="H285" i="12"/>
  <c r="G285" i="12"/>
  <c r="F285" i="12"/>
  <c r="H284" i="12"/>
  <c r="I284" i="12" s="1"/>
  <c r="G284" i="12"/>
  <c r="F284" i="12"/>
  <c r="H283" i="12"/>
  <c r="I283" i="12" s="1"/>
  <c r="G283" i="12"/>
  <c r="F283" i="12"/>
  <c r="H282" i="12"/>
  <c r="G282" i="12"/>
  <c r="F282" i="12"/>
  <c r="H281" i="12"/>
  <c r="G281" i="12"/>
  <c r="F281" i="12"/>
  <c r="H280" i="12"/>
  <c r="I280" i="12" s="1"/>
  <c r="F280" i="12"/>
  <c r="H279" i="12"/>
  <c r="I279" i="12" s="1"/>
  <c r="F279" i="12"/>
  <c r="H278" i="12"/>
  <c r="I278" i="12" s="1"/>
  <c r="F278" i="12"/>
  <c r="K277" i="12"/>
  <c r="J277" i="12" s="1"/>
  <c r="H277" i="12"/>
  <c r="G277" i="12"/>
  <c r="F277" i="12"/>
  <c r="H276" i="12"/>
  <c r="I276" i="12" s="1"/>
  <c r="F276" i="12"/>
  <c r="I275" i="12"/>
  <c r="H275" i="12"/>
  <c r="G275" i="12"/>
  <c r="F275" i="12"/>
  <c r="H274" i="12"/>
  <c r="F274" i="12"/>
  <c r="H273" i="12"/>
  <c r="I273" i="12" s="1"/>
  <c r="G273" i="12"/>
  <c r="F273" i="12"/>
  <c r="H272" i="12"/>
  <c r="G272" i="12"/>
  <c r="F272" i="12"/>
  <c r="H271" i="12"/>
  <c r="G271" i="12"/>
  <c r="F271" i="12"/>
  <c r="H270" i="12"/>
  <c r="I270" i="12" s="1"/>
  <c r="G270" i="12"/>
  <c r="F270" i="12"/>
  <c r="H269" i="12"/>
  <c r="I269" i="12" s="1"/>
  <c r="G269" i="12"/>
  <c r="F269" i="12"/>
  <c r="H268" i="12"/>
  <c r="I268" i="12" s="1"/>
  <c r="G268" i="12"/>
  <c r="F268" i="12"/>
  <c r="H267" i="12"/>
  <c r="I267" i="12" s="1"/>
  <c r="G267" i="12"/>
  <c r="F267" i="12"/>
  <c r="H266" i="12"/>
  <c r="G266" i="12"/>
  <c r="F266" i="12"/>
  <c r="H265" i="12"/>
  <c r="I265" i="12" s="1"/>
  <c r="G265" i="12"/>
  <c r="F265" i="12"/>
  <c r="H264" i="12"/>
  <c r="G264" i="12"/>
  <c r="F264" i="12"/>
  <c r="K263" i="12"/>
  <c r="J263" i="12" s="1"/>
  <c r="H263" i="12"/>
  <c r="G263" i="12"/>
  <c r="F263" i="12"/>
  <c r="K262" i="12"/>
  <c r="J262" i="12" s="1"/>
  <c r="H262" i="12"/>
  <c r="I262" i="12" s="1"/>
  <c r="G262" i="12"/>
  <c r="F262" i="12"/>
  <c r="K261" i="12"/>
  <c r="J261" i="12" s="1"/>
  <c r="H261" i="12"/>
  <c r="G261" i="12"/>
  <c r="F261" i="12"/>
  <c r="H260" i="12"/>
  <c r="I260" i="12" s="1"/>
  <c r="G260" i="12"/>
  <c r="F260" i="12"/>
  <c r="H259" i="12"/>
  <c r="I259" i="12" s="1"/>
  <c r="G259" i="12"/>
  <c r="F259" i="12"/>
  <c r="H258" i="12"/>
  <c r="G258" i="12"/>
  <c r="F258" i="12"/>
  <c r="H257" i="12"/>
  <c r="G257" i="12"/>
  <c r="F257" i="12"/>
  <c r="H256" i="12"/>
  <c r="I256" i="12" s="1"/>
  <c r="G256" i="12"/>
  <c r="F256" i="12"/>
  <c r="H255" i="12"/>
  <c r="G255" i="12"/>
  <c r="F255" i="12"/>
  <c r="H254" i="12"/>
  <c r="I254" i="12" s="1"/>
  <c r="G254" i="12"/>
  <c r="F254" i="12"/>
  <c r="H253" i="12"/>
  <c r="G253" i="12"/>
  <c r="F253" i="12"/>
  <c r="H252" i="12"/>
  <c r="G252" i="12"/>
  <c r="F252" i="12"/>
  <c r="H251" i="12"/>
  <c r="I251" i="12" s="1"/>
  <c r="G251" i="12"/>
  <c r="F251" i="12"/>
  <c r="H250" i="12"/>
  <c r="I250" i="12" s="1"/>
  <c r="G250" i="12"/>
  <c r="F250" i="12"/>
  <c r="I249" i="12"/>
  <c r="H249" i="12"/>
  <c r="G249" i="12"/>
  <c r="F249" i="12"/>
  <c r="H248" i="12"/>
  <c r="I248" i="12" s="1"/>
  <c r="G248" i="12"/>
  <c r="F248" i="12"/>
  <c r="H247" i="12"/>
  <c r="G247" i="12"/>
  <c r="F247" i="12"/>
  <c r="H246" i="12"/>
  <c r="F246" i="12"/>
  <c r="H245" i="12"/>
  <c r="I245" i="12" s="1"/>
  <c r="F245" i="12"/>
  <c r="H244" i="12"/>
  <c r="F244" i="12"/>
  <c r="H243" i="12"/>
  <c r="I243" i="12" s="1"/>
  <c r="F243" i="12"/>
  <c r="H242" i="12"/>
  <c r="F242" i="12"/>
  <c r="H241" i="12"/>
  <c r="I241" i="12" s="1"/>
  <c r="F241" i="12"/>
  <c r="H240" i="12"/>
  <c r="I240" i="12" s="1"/>
  <c r="F240" i="12"/>
  <c r="H239" i="12"/>
  <c r="F239" i="12"/>
  <c r="H238" i="12"/>
  <c r="F238" i="12"/>
  <c r="H237" i="12"/>
  <c r="I237" i="12" s="1"/>
  <c r="F237" i="12"/>
  <c r="H236" i="12"/>
  <c r="F236" i="12"/>
  <c r="H235" i="12"/>
  <c r="I235" i="12" s="1"/>
  <c r="F235" i="12"/>
  <c r="H234" i="12"/>
  <c r="F234" i="12"/>
  <c r="H233" i="12"/>
  <c r="F233" i="12"/>
  <c r="H232" i="12"/>
  <c r="I232" i="12" s="1"/>
  <c r="F232" i="12"/>
  <c r="H231" i="12"/>
  <c r="I231" i="12" s="1"/>
  <c r="F231" i="12"/>
  <c r="H230" i="12"/>
  <c r="I230" i="12" s="1"/>
  <c r="G230" i="12"/>
  <c r="F230" i="12"/>
  <c r="K229" i="12"/>
  <c r="J229" i="12" s="1"/>
  <c r="H229" i="12"/>
  <c r="I229" i="12" s="1"/>
  <c r="G229" i="12"/>
  <c r="F229" i="12"/>
  <c r="K228" i="12"/>
  <c r="J228" i="12" s="1"/>
  <c r="H228" i="12"/>
  <c r="G228" i="12"/>
  <c r="F228" i="12"/>
  <c r="H227" i="12"/>
  <c r="I227" i="12" s="1"/>
  <c r="G227" i="12"/>
  <c r="F227" i="12"/>
  <c r="H226" i="12"/>
  <c r="I226" i="12" s="1"/>
  <c r="G226" i="12"/>
  <c r="F226" i="12"/>
  <c r="H225" i="12"/>
  <c r="G225" i="12"/>
  <c r="F225" i="12"/>
  <c r="H224" i="12"/>
  <c r="I224" i="12" s="1"/>
  <c r="F224" i="12"/>
  <c r="K223" i="12"/>
  <c r="J223" i="12" s="1"/>
  <c r="H223" i="12"/>
  <c r="F223" i="12"/>
  <c r="H222" i="12"/>
  <c r="F222" i="12"/>
  <c r="H221" i="12"/>
  <c r="F221" i="12"/>
  <c r="H220" i="12"/>
  <c r="I220" i="12" s="1"/>
  <c r="F220" i="12"/>
  <c r="H219" i="12"/>
  <c r="I219" i="12" s="1"/>
  <c r="F219" i="12"/>
  <c r="H218" i="12"/>
  <c r="I218" i="12" s="1"/>
  <c r="G218" i="12"/>
  <c r="F218" i="12"/>
  <c r="K217" i="12"/>
  <c r="J217" i="12" s="1"/>
  <c r="H217" i="12"/>
  <c r="G217" i="12"/>
  <c r="F217" i="12"/>
  <c r="H216" i="12"/>
  <c r="G216" i="12"/>
  <c r="F216" i="12"/>
  <c r="H215" i="12"/>
  <c r="G215" i="12"/>
  <c r="F215" i="12"/>
  <c r="I215" i="12" s="1"/>
  <c r="H214" i="12"/>
  <c r="G214" i="12"/>
  <c r="F214" i="12"/>
  <c r="H213" i="12"/>
  <c r="I213" i="12" s="1"/>
  <c r="G213" i="12"/>
  <c r="F213" i="12"/>
  <c r="K212" i="12"/>
  <c r="J212" i="12" s="1"/>
  <c r="H212" i="12"/>
  <c r="G212" i="12"/>
  <c r="F212" i="12"/>
  <c r="H211" i="12"/>
  <c r="I211" i="12" s="1"/>
  <c r="G211" i="12"/>
  <c r="F211" i="12"/>
  <c r="H210" i="12"/>
  <c r="I210" i="12" s="1"/>
  <c r="G210" i="12"/>
  <c r="F210" i="12"/>
  <c r="K209" i="12"/>
  <c r="J209" i="12" s="1"/>
  <c r="H209" i="12"/>
  <c r="G209" i="12"/>
  <c r="F209" i="12"/>
  <c r="I209" i="12" s="1"/>
  <c r="H208" i="12"/>
  <c r="I208" i="12" s="1"/>
  <c r="F208" i="12"/>
  <c r="H207" i="12"/>
  <c r="I207" i="12" s="1"/>
  <c r="F207" i="12"/>
  <c r="H206" i="12"/>
  <c r="F206" i="12"/>
  <c r="H205" i="12"/>
  <c r="I205" i="12" s="1"/>
  <c r="F205" i="12"/>
  <c r="H204" i="12"/>
  <c r="F204" i="12"/>
  <c r="H203" i="12"/>
  <c r="I203" i="12" s="1"/>
  <c r="F203" i="12"/>
  <c r="H202" i="12"/>
  <c r="I202" i="12" s="1"/>
  <c r="F202" i="12"/>
  <c r="H201" i="12"/>
  <c r="I201" i="12" s="1"/>
  <c r="F201" i="12"/>
  <c r="H200" i="12"/>
  <c r="I200" i="12" s="1"/>
  <c r="F200" i="12"/>
  <c r="H199" i="12"/>
  <c r="I199" i="12" s="1"/>
  <c r="F199" i="12"/>
  <c r="H198" i="12"/>
  <c r="F198" i="12"/>
  <c r="H197" i="12"/>
  <c r="F197" i="12"/>
  <c r="H196" i="12"/>
  <c r="I196" i="12" s="1"/>
  <c r="F196" i="12"/>
  <c r="H195" i="12"/>
  <c r="I195" i="12" s="1"/>
  <c r="F195" i="12"/>
  <c r="H194" i="12"/>
  <c r="I194" i="12" s="1"/>
  <c r="F194" i="12"/>
  <c r="H193" i="12"/>
  <c r="F193" i="12"/>
  <c r="H192" i="12"/>
  <c r="I192" i="12" s="1"/>
  <c r="F192" i="12"/>
  <c r="I191" i="12"/>
  <c r="H191" i="12"/>
  <c r="F191" i="12"/>
  <c r="H190" i="12"/>
  <c r="F190" i="12"/>
  <c r="H189" i="12"/>
  <c r="I189" i="12" s="1"/>
  <c r="F189" i="12"/>
  <c r="H188" i="12"/>
  <c r="I188" i="12" s="1"/>
  <c r="F188" i="12"/>
  <c r="H187" i="12"/>
  <c r="I187" i="12" s="1"/>
  <c r="F187" i="12"/>
  <c r="H186" i="12"/>
  <c r="F186" i="12"/>
  <c r="H185" i="12"/>
  <c r="F185" i="12"/>
  <c r="H184" i="12"/>
  <c r="F184" i="12"/>
  <c r="H183" i="12"/>
  <c r="F183" i="12"/>
  <c r="H182" i="12"/>
  <c r="I182" i="12" s="1"/>
  <c r="F182" i="12"/>
  <c r="K181" i="12"/>
  <c r="J181" i="12" s="1"/>
  <c r="H181" i="12"/>
  <c r="G181" i="12"/>
  <c r="F181" i="12"/>
  <c r="K180" i="12"/>
  <c r="J180" i="12" s="1"/>
  <c r="H180" i="12"/>
  <c r="I180" i="12" s="1"/>
  <c r="G180" i="12"/>
  <c r="F180" i="12"/>
  <c r="H179" i="12"/>
  <c r="I179" i="12" s="1"/>
  <c r="G179" i="12"/>
  <c r="F179" i="12"/>
  <c r="K178" i="12"/>
  <c r="J178" i="12" s="1"/>
  <c r="H178" i="12"/>
  <c r="G178" i="12"/>
  <c r="F178" i="12"/>
  <c r="K177" i="12"/>
  <c r="J177" i="12" s="1"/>
  <c r="H177" i="12"/>
  <c r="I177" i="12" s="1"/>
  <c r="G177" i="12"/>
  <c r="F177" i="12"/>
  <c r="K176" i="12"/>
  <c r="J176" i="12" s="1"/>
  <c r="H176" i="12"/>
  <c r="G176" i="12"/>
  <c r="F176" i="12"/>
  <c r="K175" i="12"/>
  <c r="J175" i="12" s="1"/>
  <c r="H175" i="12"/>
  <c r="I175" i="12" s="1"/>
  <c r="G175" i="12"/>
  <c r="F175" i="12"/>
  <c r="H174" i="12"/>
  <c r="G174" i="12"/>
  <c r="F174" i="12"/>
  <c r="H173" i="12"/>
  <c r="G173" i="12"/>
  <c r="F173" i="12"/>
  <c r="K172" i="12"/>
  <c r="J172" i="12" s="1"/>
  <c r="H172" i="12"/>
  <c r="G172" i="12"/>
  <c r="F172" i="12"/>
  <c r="K171" i="12"/>
  <c r="J171" i="12" s="1"/>
  <c r="H171" i="12"/>
  <c r="I171" i="12" s="1"/>
  <c r="G171" i="12"/>
  <c r="F171" i="12"/>
  <c r="K170" i="12"/>
  <c r="J170" i="12" s="1"/>
  <c r="H170" i="12"/>
  <c r="I170" i="12" s="1"/>
  <c r="G170" i="12"/>
  <c r="F170" i="12"/>
  <c r="H169" i="12"/>
  <c r="I169" i="12" s="1"/>
  <c r="G169" i="12"/>
  <c r="F169" i="12"/>
  <c r="K168" i="12"/>
  <c r="J168" i="12" s="1"/>
  <c r="H168" i="12"/>
  <c r="G168" i="12"/>
  <c r="F168" i="12"/>
  <c r="K167" i="12"/>
  <c r="J167" i="12" s="1"/>
  <c r="H167" i="12"/>
  <c r="I167" i="12" s="1"/>
  <c r="G167" i="12"/>
  <c r="F167" i="12"/>
  <c r="H166" i="12"/>
  <c r="G166" i="12"/>
  <c r="F166" i="12"/>
  <c r="K165" i="12"/>
  <c r="J165" i="12" s="1"/>
  <c r="H165" i="12"/>
  <c r="G165" i="12"/>
  <c r="F165" i="12"/>
  <c r="K164" i="12"/>
  <c r="J164" i="12" s="1"/>
  <c r="H164" i="12"/>
  <c r="I164" i="12" s="1"/>
  <c r="G164" i="12"/>
  <c r="F164" i="12"/>
  <c r="K163" i="12"/>
  <c r="J163" i="12" s="1"/>
  <c r="H163" i="12"/>
  <c r="I163" i="12" s="1"/>
  <c r="G163" i="12"/>
  <c r="F163" i="12"/>
  <c r="H162" i="12"/>
  <c r="I162" i="12" s="1"/>
  <c r="G162" i="12"/>
  <c r="F162" i="12"/>
  <c r="K161" i="12"/>
  <c r="J161" i="12" s="1"/>
  <c r="I161" i="12"/>
  <c r="H161" i="12"/>
  <c r="G161" i="12"/>
  <c r="F161" i="12"/>
  <c r="H160" i="12"/>
  <c r="F160" i="12"/>
  <c r="H159" i="12"/>
  <c r="F159" i="12"/>
  <c r="H158" i="12"/>
  <c r="I158" i="12" s="1"/>
  <c r="F158" i="12"/>
  <c r="H157" i="12"/>
  <c r="F157" i="12"/>
  <c r="H156" i="12"/>
  <c r="I156" i="12" s="1"/>
  <c r="F156" i="12"/>
  <c r="H155" i="12"/>
  <c r="I155" i="12" s="1"/>
  <c r="F155" i="12"/>
  <c r="H154" i="12"/>
  <c r="F154" i="12"/>
  <c r="K153" i="12"/>
  <c r="J153" i="12" s="1"/>
  <c r="H153" i="12"/>
  <c r="F153" i="12"/>
  <c r="H152" i="12"/>
  <c r="I152" i="12" s="1"/>
  <c r="F152" i="12"/>
  <c r="H151" i="12"/>
  <c r="I151" i="12" s="1"/>
  <c r="F151" i="12"/>
  <c r="H150" i="12"/>
  <c r="F150" i="12"/>
  <c r="K149" i="12"/>
  <c r="J149" i="12" s="1"/>
  <c r="H149" i="12"/>
  <c r="F149" i="12"/>
  <c r="H148" i="12"/>
  <c r="F148" i="12"/>
  <c r="H147" i="12"/>
  <c r="I147" i="12" s="1"/>
  <c r="F147" i="12"/>
  <c r="K146" i="12"/>
  <c r="J146" i="12" s="1"/>
  <c r="H146" i="12"/>
  <c r="G146" i="12"/>
  <c r="F146" i="12"/>
  <c r="K145" i="12"/>
  <c r="J145" i="12" s="1"/>
  <c r="H145" i="12"/>
  <c r="I145" i="12" s="1"/>
  <c r="G145" i="12"/>
  <c r="F145" i="12"/>
  <c r="H144" i="12"/>
  <c r="I144" i="12" s="1"/>
  <c r="G144" i="12"/>
  <c r="F144" i="12"/>
  <c r="K143" i="12"/>
  <c r="J143" i="12" s="1"/>
  <c r="H143" i="12"/>
  <c r="G143" i="12"/>
  <c r="F143" i="12"/>
  <c r="H142" i="12"/>
  <c r="I142" i="12" s="1"/>
  <c r="G142" i="12"/>
  <c r="F142" i="12"/>
  <c r="K141" i="12"/>
  <c r="J141" i="12" s="1"/>
  <c r="H141" i="12"/>
  <c r="G141" i="12"/>
  <c r="F141" i="12"/>
  <c r="H140" i="12"/>
  <c r="I140" i="12" s="1"/>
  <c r="G140" i="12"/>
  <c r="F140" i="12"/>
  <c r="K139" i="12"/>
  <c r="J139" i="12" s="1"/>
  <c r="H139" i="12"/>
  <c r="I139" i="12" s="1"/>
  <c r="G139" i="12"/>
  <c r="F139" i="12"/>
  <c r="H138" i="12"/>
  <c r="G138" i="12"/>
  <c r="F138" i="12"/>
  <c r="K137" i="12"/>
  <c r="J137" i="12" s="1"/>
  <c r="H137" i="12"/>
  <c r="I137" i="12" s="1"/>
  <c r="G137" i="12"/>
  <c r="F137" i="12"/>
  <c r="H136" i="12"/>
  <c r="I136" i="12" s="1"/>
  <c r="G136" i="12"/>
  <c r="F136" i="12"/>
  <c r="H135" i="12"/>
  <c r="G135" i="12"/>
  <c r="F135" i="12"/>
  <c r="H134" i="12"/>
  <c r="G134" i="12"/>
  <c r="F134" i="12"/>
  <c r="K133" i="12"/>
  <c r="J133" i="12" s="1"/>
  <c r="H133" i="12"/>
  <c r="G133" i="12"/>
  <c r="F133" i="12"/>
  <c r="K132" i="12"/>
  <c r="J132" i="12" s="1"/>
  <c r="H132" i="12"/>
  <c r="I132" i="12" s="1"/>
  <c r="G132" i="12"/>
  <c r="F132" i="12"/>
  <c r="K131" i="12"/>
  <c r="J131" i="12"/>
  <c r="H131" i="12"/>
  <c r="I131" i="12" s="1"/>
  <c r="G131" i="12"/>
  <c r="F131" i="12"/>
  <c r="K130" i="12"/>
  <c r="J130" i="12" s="1"/>
  <c r="H130" i="12"/>
  <c r="G130" i="12"/>
  <c r="F130" i="12"/>
  <c r="K129" i="12"/>
  <c r="J129" i="12" s="1"/>
  <c r="H129" i="12"/>
  <c r="G129" i="12"/>
  <c r="F129" i="12"/>
  <c r="K128" i="12"/>
  <c r="J128" i="12" s="1"/>
  <c r="H128" i="12"/>
  <c r="I128" i="12" s="1"/>
  <c r="G128" i="12"/>
  <c r="F128" i="12"/>
  <c r="K127" i="12"/>
  <c r="J127" i="12" s="1"/>
  <c r="H127" i="12"/>
  <c r="I127" i="12" s="1"/>
  <c r="G127" i="12"/>
  <c r="F127" i="12"/>
  <c r="K126" i="12"/>
  <c r="J126" i="12" s="1"/>
  <c r="H126" i="12"/>
  <c r="I126" i="12" s="1"/>
  <c r="G126" i="12"/>
  <c r="F126" i="12"/>
  <c r="H125" i="12"/>
  <c r="G125" i="12"/>
  <c r="F125" i="12"/>
  <c r="H124" i="12"/>
  <c r="G124" i="12"/>
  <c r="F124" i="12"/>
  <c r="H123" i="12"/>
  <c r="I123" i="12" s="1"/>
  <c r="G123" i="12"/>
  <c r="F123" i="12"/>
  <c r="H122" i="12"/>
  <c r="G122" i="12"/>
  <c r="F122" i="12"/>
  <c r="H121" i="12"/>
  <c r="I121" i="12" s="1"/>
  <c r="G121" i="12"/>
  <c r="F121" i="12"/>
  <c r="H120" i="12"/>
  <c r="I120" i="12" s="1"/>
  <c r="G120" i="12"/>
  <c r="F120" i="12"/>
  <c r="K119" i="12"/>
  <c r="J119" i="12" s="1"/>
  <c r="H119" i="12"/>
  <c r="G119" i="12"/>
  <c r="F119" i="12"/>
  <c r="H118" i="12"/>
  <c r="I118" i="12" s="1"/>
  <c r="G118" i="12"/>
  <c r="F118" i="12"/>
  <c r="H117" i="12"/>
  <c r="G117" i="12"/>
  <c r="F117" i="12"/>
  <c r="I117" i="12" s="1"/>
  <c r="K116" i="12"/>
  <c r="J116" i="12" s="1"/>
  <c r="H116" i="12"/>
  <c r="G116" i="12"/>
  <c r="F116" i="12"/>
  <c r="K115" i="12"/>
  <c r="J115" i="12" s="1"/>
  <c r="H115" i="12"/>
  <c r="I115" i="12" s="1"/>
  <c r="G115" i="12"/>
  <c r="F115" i="12"/>
  <c r="K114" i="12"/>
  <c r="J114" i="12" s="1"/>
  <c r="H114" i="12"/>
  <c r="G114" i="12"/>
  <c r="F114" i="12"/>
  <c r="I114" i="12" s="1"/>
  <c r="K113" i="12"/>
  <c r="J113" i="12" s="1"/>
  <c r="H113" i="12"/>
  <c r="I113" i="12" s="1"/>
  <c r="G113" i="12"/>
  <c r="F113" i="12"/>
  <c r="K112" i="12"/>
  <c r="J112" i="12" s="1"/>
  <c r="H112" i="12"/>
  <c r="I112" i="12" s="1"/>
  <c r="G112" i="12"/>
  <c r="F112" i="12"/>
  <c r="H111" i="12"/>
  <c r="G111" i="12"/>
  <c r="F111" i="12"/>
  <c r="H110" i="12"/>
  <c r="G110" i="12"/>
  <c r="F110" i="12"/>
  <c r="H109" i="12"/>
  <c r="G109" i="12"/>
  <c r="F109" i="12"/>
  <c r="H108" i="12"/>
  <c r="G108" i="12"/>
  <c r="F108" i="12"/>
  <c r="K107" i="12"/>
  <c r="J107" i="12" s="1"/>
  <c r="H107" i="12"/>
  <c r="G107" i="12"/>
  <c r="F107" i="12"/>
  <c r="K106" i="12"/>
  <c r="J106" i="12" s="1"/>
  <c r="H106" i="12"/>
  <c r="G106" i="12"/>
  <c r="F106" i="12"/>
  <c r="K105" i="12"/>
  <c r="J105" i="12" s="1"/>
  <c r="H105" i="12"/>
  <c r="I105" i="12" s="1"/>
  <c r="G105" i="12"/>
  <c r="F105" i="12"/>
  <c r="H104" i="12"/>
  <c r="G104" i="12"/>
  <c r="F104" i="12"/>
  <c r="H103" i="12"/>
  <c r="G103" i="12"/>
  <c r="F103" i="12"/>
  <c r="H102" i="12"/>
  <c r="I102" i="12" s="1"/>
  <c r="G102" i="12"/>
  <c r="F102" i="12"/>
  <c r="H101" i="12"/>
  <c r="G101" i="12"/>
  <c r="F101" i="12"/>
  <c r="K100" i="12"/>
  <c r="J100" i="12"/>
  <c r="H100" i="12"/>
  <c r="G100" i="12"/>
  <c r="F100" i="12"/>
  <c r="K99" i="12"/>
  <c r="J99" i="12" s="1"/>
  <c r="H99" i="12"/>
  <c r="I99" i="12" s="1"/>
  <c r="G99" i="12"/>
  <c r="F99" i="12"/>
  <c r="K98" i="12"/>
  <c r="J98" i="12" s="1"/>
  <c r="H98" i="12"/>
  <c r="G98" i="12"/>
  <c r="F98" i="12"/>
  <c r="H97" i="12"/>
  <c r="I97" i="12" s="1"/>
  <c r="G97" i="12"/>
  <c r="F97" i="12"/>
  <c r="H96" i="12"/>
  <c r="G96" i="12"/>
  <c r="F96" i="12"/>
  <c r="H95" i="12"/>
  <c r="G95" i="12"/>
  <c r="F95" i="12"/>
  <c r="H94" i="12"/>
  <c r="G94" i="12"/>
  <c r="F94" i="12"/>
  <c r="K93" i="12"/>
  <c r="J93" i="12"/>
  <c r="H93" i="12"/>
  <c r="G93" i="12"/>
  <c r="F93" i="12"/>
  <c r="H92" i="12"/>
  <c r="G92" i="12"/>
  <c r="F92" i="12"/>
  <c r="H91" i="12"/>
  <c r="I91" i="12" s="1"/>
  <c r="G91" i="12"/>
  <c r="F91" i="12"/>
  <c r="H90" i="12"/>
  <c r="G90" i="12"/>
  <c r="F90" i="12"/>
  <c r="I89" i="12"/>
  <c r="H89" i="12"/>
  <c r="G89" i="12"/>
  <c r="F89" i="12"/>
  <c r="H88" i="12"/>
  <c r="G88" i="12"/>
  <c r="F88" i="12"/>
  <c r="H87" i="12"/>
  <c r="G87" i="12"/>
  <c r="F87" i="12"/>
  <c r="K86" i="12"/>
  <c r="J86" i="12" s="1"/>
  <c r="H86" i="12"/>
  <c r="I86" i="12" s="1"/>
  <c r="G86" i="12"/>
  <c r="F86" i="12"/>
  <c r="H85" i="12"/>
  <c r="G85" i="12"/>
  <c r="F85" i="12"/>
  <c r="H84" i="12"/>
  <c r="G84" i="12"/>
  <c r="F84" i="12"/>
  <c r="H83" i="12"/>
  <c r="G83" i="12"/>
  <c r="F83" i="12"/>
  <c r="H82" i="12"/>
  <c r="G82" i="12"/>
  <c r="F82" i="12"/>
  <c r="H81" i="12"/>
  <c r="I81" i="12" s="1"/>
  <c r="G81" i="12"/>
  <c r="F81" i="12"/>
  <c r="H80" i="12"/>
  <c r="G80" i="12"/>
  <c r="F80" i="12"/>
  <c r="H79" i="12"/>
  <c r="G79" i="12"/>
  <c r="F79" i="12"/>
  <c r="H78" i="12"/>
  <c r="I78" i="12" s="1"/>
  <c r="G78" i="12"/>
  <c r="F78" i="12"/>
  <c r="H77" i="12"/>
  <c r="G77" i="12"/>
  <c r="F77" i="12"/>
  <c r="H76" i="12"/>
  <c r="G76" i="12"/>
  <c r="F76" i="12"/>
  <c r="K75" i="12"/>
  <c r="J75" i="12" s="1"/>
  <c r="H75" i="12"/>
  <c r="I75" i="12" s="1"/>
  <c r="G75" i="12"/>
  <c r="F75" i="12"/>
  <c r="H74" i="12"/>
  <c r="G74" i="12"/>
  <c r="F74" i="12"/>
  <c r="I74" i="12" s="1"/>
  <c r="H73" i="12"/>
  <c r="I73" i="12" s="1"/>
  <c r="G73" i="12"/>
  <c r="F73" i="12"/>
  <c r="K72" i="12"/>
  <c r="J72" i="12" s="1"/>
  <c r="H72" i="12"/>
  <c r="G72" i="12"/>
  <c r="F72" i="12"/>
  <c r="H71" i="12"/>
  <c r="G71" i="12"/>
  <c r="F71" i="12"/>
  <c r="H70" i="12"/>
  <c r="G70" i="12"/>
  <c r="F70" i="12"/>
  <c r="K69" i="12"/>
  <c r="J69" i="12" s="1"/>
  <c r="H69" i="12"/>
  <c r="G69" i="12"/>
  <c r="F69" i="12"/>
  <c r="K68" i="12"/>
  <c r="J68" i="12" s="1"/>
  <c r="H68" i="12"/>
  <c r="G68" i="12"/>
  <c r="F68" i="12"/>
  <c r="K67" i="12"/>
  <c r="J67" i="12" s="1"/>
  <c r="H67" i="12"/>
  <c r="G67" i="12"/>
  <c r="F67" i="12"/>
  <c r="K66" i="12"/>
  <c r="J66" i="12" s="1"/>
  <c r="H66" i="12"/>
  <c r="G66" i="12"/>
  <c r="F66" i="12"/>
  <c r="K65" i="12"/>
  <c r="J65" i="12" s="1"/>
  <c r="H65" i="12"/>
  <c r="I65" i="12" s="1"/>
  <c r="G65" i="12"/>
  <c r="F65" i="12"/>
  <c r="K64" i="12"/>
  <c r="J64" i="12" s="1"/>
  <c r="H64" i="12"/>
  <c r="G64" i="12"/>
  <c r="F64" i="12"/>
  <c r="K63" i="12"/>
  <c r="J63" i="12" s="1"/>
  <c r="H63" i="12"/>
  <c r="G63" i="12"/>
  <c r="F63" i="12"/>
  <c r="K62" i="12"/>
  <c r="J62" i="12" s="1"/>
  <c r="H62" i="12"/>
  <c r="I62" i="12" s="1"/>
  <c r="G62" i="12"/>
  <c r="F62" i="12"/>
  <c r="K61" i="12"/>
  <c r="J61" i="12" s="1"/>
  <c r="H61" i="12"/>
  <c r="G61" i="12"/>
  <c r="F61" i="12"/>
  <c r="I61" i="12" s="1"/>
  <c r="K60" i="12"/>
  <c r="J60" i="12" s="1"/>
  <c r="H60" i="12"/>
  <c r="G60" i="12"/>
  <c r="F60" i="12"/>
  <c r="K59" i="12"/>
  <c r="J59" i="12" s="1"/>
  <c r="H59" i="12"/>
  <c r="G59" i="12"/>
  <c r="F59" i="12"/>
  <c r="H58" i="12"/>
  <c r="G58" i="12"/>
  <c r="F58" i="12"/>
  <c r="H57" i="12"/>
  <c r="I57" i="12" s="1"/>
  <c r="G57" i="12"/>
  <c r="F57" i="12"/>
  <c r="H56" i="12"/>
  <c r="G56" i="12"/>
  <c r="F56" i="12"/>
  <c r="H55" i="12"/>
  <c r="G55" i="12"/>
  <c r="F55" i="12"/>
  <c r="H54" i="12"/>
  <c r="I54" i="12" s="1"/>
  <c r="G54" i="12"/>
  <c r="F54" i="12"/>
  <c r="H53" i="12"/>
  <c r="G53" i="12"/>
  <c r="F53" i="12"/>
  <c r="K52" i="12"/>
  <c r="J52" i="12" s="1"/>
  <c r="H52" i="12"/>
  <c r="G52" i="12"/>
  <c r="F52" i="12"/>
  <c r="H51" i="12"/>
  <c r="I51" i="12" s="1"/>
  <c r="G51" i="12"/>
  <c r="F51" i="12"/>
  <c r="H50" i="12"/>
  <c r="G50" i="12"/>
  <c r="F50" i="12"/>
  <c r="H49" i="12"/>
  <c r="I49" i="12" s="1"/>
  <c r="G49" i="12"/>
  <c r="F49" i="12"/>
  <c r="K48" i="12"/>
  <c r="J48" i="12"/>
  <c r="H48" i="12"/>
  <c r="G48" i="12"/>
  <c r="F48" i="12"/>
  <c r="K47" i="12"/>
  <c r="J47" i="12" s="1"/>
  <c r="H47" i="12"/>
  <c r="G47" i="12"/>
  <c r="F47" i="12"/>
  <c r="K46" i="12"/>
  <c r="J46" i="12" s="1"/>
  <c r="H46" i="12"/>
  <c r="I46" i="12" s="1"/>
  <c r="G46" i="12"/>
  <c r="F46" i="12"/>
  <c r="K45" i="12"/>
  <c r="J45" i="12" s="1"/>
  <c r="H45" i="12"/>
  <c r="G45" i="12"/>
  <c r="F45" i="12"/>
  <c r="K44" i="12"/>
  <c r="J44" i="12" s="1"/>
  <c r="H44" i="12"/>
  <c r="G44" i="12"/>
  <c r="F44" i="12"/>
  <c r="K43" i="12"/>
  <c r="J43" i="12" s="1"/>
  <c r="H43" i="12"/>
  <c r="G43" i="12"/>
  <c r="F43" i="12"/>
  <c r="H42" i="12"/>
  <c r="G42" i="12"/>
  <c r="F42" i="12"/>
  <c r="H41" i="12"/>
  <c r="I41" i="12" s="1"/>
  <c r="G41" i="12"/>
  <c r="F41" i="12"/>
  <c r="H40" i="12"/>
  <c r="G40" i="12"/>
  <c r="F40" i="12"/>
  <c r="H39" i="12"/>
  <c r="G39" i="12"/>
  <c r="F39" i="12"/>
  <c r="K38" i="12"/>
  <c r="J38" i="12" s="1"/>
  <c r="H38" i="12"/>
  <c r="I38" i="12" s="1"/>
  <c r="G38" i="12"/>
  <c r="F38" i="12"/>
  <c r="K37" i="12"/>
  <c r="J37" i="12" s="1"/>
  <c r="H37" i="12"/>
  <c r="G37" i="12"/>
  <c r="F37" i="12"/>
  <c r="K36" i="12"/>
  <c r="J36" i="12" s="1"/>
  <c r="H36" i="12"/>
  <c r="G36" i="12"/>
  <c r="F36" i="12"/>
  <c r="K35" i="12"/>
  <c r="J35" i="12" s="1"/>
  <c r="H35" i="12"/>
  <c r="G35" i="12"/>
  <c r="F35" i="12"/>
  <c r="K34" i="12"/>
  <c r="J34" i="12" s="1"/>
  <c r="H34" i="12"/>
  <c r="G34" i="12"/>
  <c r="F34" i="12"/>
  <c r="H33" i="12"/>
  <c r="I33" i="12" s="1"/>
  <c r="G33" i="12"/>
  <c r="F33" i="12"/>
  <c r="H32" i="12"/>
  <c r="G32" i="12"/>
  <c r="F32" i="12"/>
  <c r="H31" i="12"/>
  <c r="G31" i="12"/>
  <c r="F31" i="12"/>
  <c r="I31" i="12" s="1"/>
  <c r="K30" i="12"/>
  <c r="J30" i="12" s="1"/>
  <c r="H30" i="12"/>
  <c r="G30" i="12"/>
  <c r="F30" i="12"/>
  <c r="I30" i="12" s="1"/>
  <c r="K29" i="12"/>
  <c r="J29" i="12" s="1"/>
  <c r="H29" i="12"/>
  <c r="G29" i="12"/>
  <c r="F29" i="12"/>
  <c r="K28" i="12"/>
  <c r="J28" i="12" s="1"/>
  <c r="H28" i="12"/>
  <c r="G28" i="12"/>
  <c r="F28" i="12"/>
  <c r="H27" i="12"/>
  <c r="G27" i="12"/>
  <c r="F27" i="12"/>
  <c r="H26" i="12"/>
  <c r="G26" i="12"/>
  <c r="F26" i="12"/>
  <c r="H25" i="12"/>
  <c r="I25" i="12" s="1"/>
  <c r="G25" i="12"/>
  <c r="F25" i="12"/>
  <c r="H24" i="12"/>
  <c r="G24" i="12"/>
  <c r="F24" i="12"/>
  <c r="H23" i="12"/>
  <c r="G23" i="12"/>
  <c r="F23" i="12"/>
  <c r="H22" i="12"/>
  <c r="G22" i="12"/>
  <c r="F22" i="12"/>
  <c r="K21" i="12"/>
  <c r="J21" i="12" s="1"/>
  <c r="H21" i="12"/>
  <c r="G21" i="12"/>
  <c r="F21" i="12"/>
  <c r="H20" i="12"/>
  <c r="G20" i="12"/>
  <c r="F20" i="12"/>
  <c r="H19" i="12"/>
  <c r="I19" i="12" s="1"/>
  <c r="G19" i="12"/>
  <c r="F19" i="12"/>
  <c r="H18" i="12"/>
  <c r="G18" i="12"/>
  <c r="F18" i="12"/>
  <c r="K17" i="12"/>
  <c r="J17" i="12" s="1"/>
  <c r="H17" i="12"/>
  <c r="I17" i="12" s="1"/>
  <c r="G17" i="12"/>
  <c r="F17" i="12"/>
  <c r="K16" i="12"/>
  <c r="J16" i="12" s="1"/>
  <c r="H16" i="12"/>
  <c r="G16" i="12"/>
  <c r="F16" i="12"/>
  <c r="K15" i="12"/>
  <c r="J15" i="12"/>
  <c r="H15" i="12"/>
  <c r="G15" i="12"/>
  <c r="F15" i="12"/>
  <c r="K14" i="12"/>
  <c r="J14" i="12" s="1"/>
  <c r="H14" i="12"/>
  <c r="I14" i="12" s="1"/>
  <c r="G14" i="12"/>
  <c r="F14" i="12"/>
  <c r="K13" i="12"/>
  <c r="J13" i="12" s="1"/>
  <c r="H13" i="12"/>
  <c r="G13" i="12"/>
  <c r="F13" i="12"/>
  <c r="H12" i="12"/>
  <c r="F12" i="12"/>
  <c r="H11" i="12"/>
  <c r="F11" i="12"/>
  <c r="H10" i="12"/>
  <c r="F10" i="12"/>
  <c r="I10" i="12" s="1"/>
  <c r="H9" i="12"/>
  <c r="I9" i="12" s="1"/>
  <c r="F9" i="12"/>
  <c r="K8" i="12"/>
  <c r="J8" i="12" s="1"/>
  <c r="H8" i="12"/>
  <c r="F8" i="12"/>
  <c r="H7" i="12"/>
  <c r="F7" i="12"/>
  <c r="H6" i="12"/>
  <c r="I6" i="12" s="1"/>
  <c r="F6" i="12"/>
  <c r="H5" i="12"/>
  <c r="F5" i="12"/>
  <c r="H4" i="12"/>
  <c r="F4" i="12"/>
  <c r="I4" i="12" s="1"/>
  <c r="H3" i="12"/>
  <c r="F3" i="12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J3" i="11"/>
  <c r="F37" i="10"/>
  <c r="D37" i="10"/>
  <c r="H36" i="10"/>
  <c r="F36" i="10"/>
  <c r="D36" i="10"/>
  <c r="H35" i="10"/>
  <c r="F35" i="10"/>
  <c r="D35" i="10"/>
  <c r="F34" i="10"/>
  <c r="H34" i="10" s="1"/>
  <c r="D34" i="10"/>
  <c r="H33" i="10"/>
  <c r="F33" i="10"/>
  <c r="D33" i="10"/>
  <c r="F32" i="10"/>
  <c r="H32" i="10" s="1"/>
  <c r="D32" i="10"/>
  <c r="F31" i="10"/>
  <c r="D31" i="10"/>
  <c r="H31" i="10" s="1"/>
  <c r="F30" i="10"/>
  <c r="D30" i="10"/>
  <c r="F29" i="10"/>
  <c r="D29" i="10"/>
  <c r="H29" i="10" s="1"/>
  <c r="F28" i="10"/>
  <c r="D28" i="10"/>
  <c r="H28" i="10" s="1"/>
  <c r="H27" i="10"/>
  <c r="F27" i="10"/>
  <c r="D27" i="10"/>
  <c r="H26" i="10"/>
  <c r="F26" i="10"/>
  <c r="D26" i="10"/>
  <c r="H25" i="10"/>
  <c r="F25" i="10"/>
  <c r="D25" i="10"/>
  <c r="F24" i="10"/>
  <c r="D24" i="10"/>
  <c r="H24" i="10" s="1"/>
  <c r="F23" i="10"/>
  <c r="D23" i="10"/>
  <c r="H23" i="10" s="1"/>
  <c r="F22" i="10"/>
  <c r="D22" i="10"/>
  <c r="H21" i="10"/>
  <c r="F21" i="10"/>
  <c r="D21" i="10"/>
  <c r="F20" i="10"/>
  <c r="H20" i="10" s="1"/>
  <c r="D20" i="10"/>
  <c r="H19" i="10"/>
  <c r="F19" i="10"/>
  <c r="D19" i="10"/>
  <c r="F18" i="10"/>
  <c r="D18" i="10"/>
  <c r="H18" i="10" s="1"/>
  <c r="H17" i="10"/>
  <c r="F17" i="10"/>
  <c r="D17" i="10"/>
  <c r="F16" i="10"/>
  <c r="D16" i="10"/>
  <c r="H16" i="10" s="1"/>
  <c r="F15" i="10"/>
  <c r="D15" i="10"/>
  <c r="F14" i="10"/>
  <c r="D14" i="10"/>
  <c r="H14" i="10" s="1"/>
  <c r="F13" i="10"/>
  <c r="D13" i="10"/>
  <c r="H13" i="10" s="1"/>
  <c r="H12" i="10"/>
  <c r="F12" i="10"/>
  <c r="D12" i="10"/>
  <c r="F11" i="10"/>
  <c r="D11" i="10"/>
  <c r="H11" i="10" s="1"/>
  <c r="F10" i="10"/>
  <c r="D10" i="10"/>
  <c r="H10" i="10" s="1"/>
  <c r="H9" i="10"/>
  <c r="F9" i="10"/>
  <c r="D9" i="10"/>
  <c r="F8" i="10"/>
  <c r="D8" i="10"/>
  <c r="H8" i="10" s="1"/>
  <c r="F7" i="10"/>
  <c r="D7" i="10"/>
  <c r="H7" i="10" s="1"/>
  <c r="F6" i="10"/>
  <c r="D6" i="10"/>
  <c r="H5" i="10"/>
  <c r="F5" i="10"/>
  <c r="D5" i="10"/>
  <c r="H4" i="10"/>
  <c r="F4" i="10"/>
  <c r="D4" i="10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D4995" i="8"/>
  <c r="F4995" i="8" s="1"/>
  <c r="C4995" i="8"/>
  <c r="B4995" i="8"/>
  <c r="D4994" i="8"/>
  <c r="F4994" i="8" s="1"/>
  <c r="C4994" i="8"/>
  <c r="B4994" i="8"/>
  <c r="D4993" i="8"/>
  <c r="F4993" i="8" s="1"/>
  <c r="C4993" i="8"/>
  <c r="B4993" i="8"/>
  <c r="D4992" i="8"/>
  <c r="F4992" i="8" s="1"/>
  <c r="C4992" i="8"/>
  <c r="B4992" i="8"/>
  <c r="D4991" i="8"/>
  <c r="F4991" i="8" s="1"/>
  <c r="C4991" i="8"/>
  <c r="B4991" i="8"/>
  <c r="D4990" i="8"/>
  <c r="F4990" i="8" s="1"/>
  <c r="C4990" i="8"/>
  <c r="B4990" i="8"/>
  <c r="D4989" i="8"/>
  <c r="F4989" i="8" s="1"/>
  <c r="C4989" i="8"/>
  <c r="B4989" i="8"/>
  <c r="D4988" i="8"/>
  <c r="F4988" i="8" s="1"/>
  <c r="C4988" i="8"/>
  <c r="B4988" i="8"/>
  <c r="D4987" i="8"/>
  <c r="F4987" i="8" s="1"/>
  <c r="C4987" i="8"/>
  <c r="B4987" i="8"/>
  <c r="D4986" i="8"/>
  <c r="F4986" i="8" s="1"/>
  <c r="C4986" i="8"/>
  <c r="B4986" i="8"/>
  <c r="D4985" i="8"/>
  <c r="F4985" i="8" s="1"/>
  <c r="C4985" i="8"/>
  <c r="B4985" i="8"/>
  <c r="D4984" i="8"/>
  <c r="F4984" i="8" s="1"/>
  <c r="C4984" i="8"/>
  <c r="B4984" i="8"/>
  <c r="D4983" i="8"/>
  <c r="F4983" i="8" s="1"/>
  <c r="C4983" i="8"/>
  <c r="B4983" i="8"/>
  <c r="D4982" i="8"/>
  <c r="F4982" i="8" s="1"/>
  <c r="C4982" i="8"/>
  <c r="B4982" i="8"/>
  <c r="D4981" i="8"/>
  <c r="F4981" i="8" s="1"/>
  <c r="C4981" i="8"/>
  <c r="B4981" i="8"/>
  <c r="D4980" i="8"/>
  <c r="F4980" i="8" s="1"/>
  <c r="C4980" i="8"/>
  <c r="B4980" i="8"/>
  <c r="D4979" i="8"/>
  <c r="F4979" i="8" s="1"/>
  <c r="C4979" i="8"/>
  <c r="B4979" i="8"/>
  <c r="D4978" i="8"/>
  <c r="F4978" i="8" s="1"/>
  <c r="C4978" i="8"/>
  <c r="B4978" i="8"/>
  <c r="D4977" i="8"/>
  <c r="F4977" i="8" s="1"/>
  <c r="C4977" i="8"/>
  <c r="B4977" i="8"/>
  <c r="D4976" i="8"/>
  <c r="F4976" i="8" s="1"/>
  <c r="C4976" i="8"/>
  <c r="B4976" i="8"/>
  <c r="D4975" i="8"/>
  <c r="F4975" i="8" s="1"/>
  <c r="C4975" i="8"/>
  <c r="B4975" i="8"/>
  <c r="D4974" i="8"/>
  <c r="F4974" i="8" s="1"/>
  <c r="C4974" i="8"/>
  <c r="B4974" i="8"/>
  <c r="D4973" i="8"/>
  <c r="F4973" i="8" s="1"/>
  <c r="C4973" i="8"/>
  <c r="B4973" i="8"/>
  <c r="D4972" i="8"/>
  <c r="F4972" i="8" s="1"/>
  <c r="C4972" i="8"/>
  <c r="B4972" i="8"/>
  <c r="D4971" i="8"/>
  <c r="F4971" i="8" s="1"/>
  <c r="C4971" i="8"/>
  <c r="B4971" i="8"/>
  <c r="D4970" i="8"/>
  <c r="F4970" i="8" s="1"/>
  <c r="C4970" i="8"/>
  <c r="B4970" i="8"/>
  <c r="D4969" i="8"/>
  <c r="F4969" i="8" s="1"/>
  <c r="C4969" i="8"/>
  <c r="B4969" i="8"/>
  <c r="D4968" i="8"/>
  <c r="F4968" i="8" s="1"/>
  <c r="C4968" i="8"/>
  <c r="B4968" i="8"/>
  <c r="D4967" i="8"/>
  <c r="F4967" i="8" s="1"/>
  <c r="C4967" i="8"/>
  <c r="B4967" i="8"/>
  <c r="D4966" i="8"/>
  <c r="F4966" i="8" s="1"/>
  <c r="C4966" i="8"/>
  <c r="B4966" i="8"/>
  <c r="D4965" i="8"/>
  <c r="F4965" i="8" s="1"/>
  <c r="C4965" i="8"/>
  <c r="B4965" i="8"/>
  <c r="D4964" i="8"/>
  <c r="F4964" i="8" s="1"/>
  <c r="C4964" i="8"/>
  <c r="B4964" i="8"/>
  <c r="D4963" i="8"/>
  <c r="F4963" i="8" s="1"/>
  <c r="C4963" i="8"/>
  <c r="B4963" i="8"/>
  <c r="D4962" i="8"/>
  <c r="F4962" i="8" s="1"/>
  <c r="C4962" i="8"/>
  <c r="B4962" i="8"/>
  <c r="D4961" i="8"/>
  <c r="F4961" i="8" s="1"/>
  <c r="C4961" i="8"/>
  <c r="B4961" i="8"/>
  <c r="D4960" i="8"/>
  <c r="F4960" i="8" s="1"/>
  <c r="C4960" i="8"/>
  <c r="B4960" i="8"/>
  <c r="D4959" i="8"/>
  <c r="F4959" i="8" s="1"/>
  <c r="C4959" i="8"/>
  <c r="B4959" i="8"/>
  <c r="D4958" i="8"/>
  <c r="F4958" i="8" s="1"/>
  <c r="C4958" i="8"/>
  <c r="B4958" i="8"/>
  <c r="D4957" i="8"/>
  <c r="F4957" i="8" s="1"/>
  <c r="C4957" i="8"/>
  <c r="B4957" i="8"/>
  <c r="D4956" i="8"/>
  <c r="F4956" i="8" s="1"/>
  <c r="C4956" i="8"/>
  <c r="B4956" i="8"/>
  <c r="D4955" i="8"/>
  <c r="F4955" i="8" s="1"/>
  <c r="C4955" i="8"/>
  <c r="B4955" i="8"/>
  <c r="D4954" i="8"/>
  <c r="F4954" i="8" s="1"/>
  <c r="C4954" i="8"/>
  <c r="B4954" i="8"/>
  <c r="D4953" i="8"/>
  <c r="F4953" i="8" s="1"/>
  <c r="C4953" i="8"/>
  <c r="B4953" i="8"/>
  <c r="D4952" i="8"/>
  <c r="F4952" i="8" s="1"/>
  <c r="C4952" i="8"/>
  <c r="B4952" i="8"/>
  <c r="D4951" i="8"/>
  <c r="F4951" i="8" s="1"/>
  <c r="C4951" i="8"/>
  <c r="B4951" i="8"/>
  <c r="D4950" i="8"/>
  <c r="F4950" i="8" s="1"/>
  <c r="C4950" i="8"/>
  <c r="B4950" i="8"/>
  <c r="D4949" i="8"/>
  <c r="F4949" i="8" s="1"/>
  <c r="C4949" i="8"/>
  <c r="B4949" i="8"/>
  <c r="D4948" i="8"/>
  <c r="F4948" i="8" s="1"/>
  <c r="C4948" i="8"/>
  <c r="B4948" i="8"/>
  <c r="D4947" i="8"/>
  <c r="F4947" i="8" s="1"/>
  <c r="C4947" i="8"/>
  <c r="B4947" i="8"/>
  <c r="D4946" i="8"/>
  <c r="F4946" i="8" s="1"/>
  <c r="C4946" i="8"/>
  <c r="B4946" i="8"/>
  <c r="D4945" i="8"/>
  <c r="F4945" i="8" s="1"/>
  <c r="C4945" i="8"/>
  <c r="B4945" i="8"/>
  <c r="D4944" i="8"/>
  <c r="F4944" i="8" s="1"/>
  <c r="C4944" i="8"/>
  <c r="B4944" i="8"/>
  <c r="D4943" i="8"/>
  <c r="F4943" i="8" s="1"/>
  <c r="C4943" i="8"/>
  <c r="B4943" i="8"/>
  <c r="D4942" i="8"/>
  <c r="F4942" i="8" s="1"/>
  <c r="C4942" i="8"/>
  <c r="B4942" i="8"/>
  <c r="D4941" i="8"/>
  <c r="F4941" i="8" s="1"/>
  <c r="C4941" i="8"/>
  <c r="B4941" i="8"/>
  <c r="D4940" i="8"/>
  <c r="F4940" i="8" s="1"/>
  <c r="C4940" i="8"/>
  <c r="B4940" i="8"/>
  <c r="D4939" i="8"/>
  <c r="F4939" i="8" s="1"/>
  <c r="C4939" i="8"/>
  <c r="B4939" i="8"/>
  <c r="D4938" i="8"/>
  <c r="F4938" i="8" s="1"/>
  <c r="C4938" i="8"/>
  <c r="B4938" i="8"/>
  <c r="D4937" i="8"/>
  <c r="F4937" i="8" s="1"/>
  <c r="K590" i="5" s="1"/>
  <c r="C4937" i="8"/>
  <c r="B4937" i="8"/>
  <c r="D4936" i="8"/>
  <c r="F4936" i="8" s="1"/>
  <c r="C4936" i="8"/>
  <c r="B4936" i="8"/>
  <c r="D4935" i="8"/>
  <c r="F4935" i="8" s="1"/>
  <c r="C4935" i="8"/>
  <c r="B4935" i="8"/>
  <c r="D4934" i="8"/>
  <c r="F4934" i="8" s="1"/>
  <c r="C4934" i="8"/>
  <c r="B4934" i="8"/>
  <c r="D4933" i="8"/>
  <c r="F4933" i="8" s="1"/>
  <c r="C4933" i="8"/>
  <c r="B4933" i="8"/>
  <c r="D4932" i="8"/>
  <c r="F4932" i="8" s="1"/>
  <c r="C4932" i="8"/>
  <c r="B4932" i="8"/>
  <c r="D4931" i="8"/>
  <c r="F4931" i="8" s="1"/>
  <c r="C4931" i="8"/>
  <c r="B4931" i="8"/>
  <c r="D4930" i="8"/>
  <c r="F4930" i="8" s="1"/>
  <c r="C4930" i="8"/>
  <c r="B4930" i="8"/>
  <c r="D4929" i="8"/>
  <c r="F4929" i="8" s="1"/>
  <c r="C4929" i="8"/>
  <c r="B4929" i="8"/>
  <c r="D4928" i="8"/>
  <c r="F4928" i="8" s="1"/>
  <c r="C4928" i="8"/>
  <c r="B4928" i="8"/>
  <c r="D4927" i="8"/>
  <c r="F4927" i="8" s="1"/>
  <c r="C4927" i="8"/>
  <c r="B4927" i="8"/>
  <c r="D4926" i="8"/>
  <c r="F4926" i="8" s="1"/>
  <c r="C4926" i="8"/>
  <c r="B4926" i="8"/>
  <c r="D4925" i="8"/>
  <c r="F4925" i="8" s="1"/>
  <c r="C4925" i="8"/>
  <c r="B4925" i="8"/>
  <c r="D4924" i="8"/>
  <c r="F4924" i="8" s="1"/>
  <c r="C4924" i="8"/>
  <c r="B4924" i="8"/>
  <c r="D4923" i="8"/>
  <c r="F4923" i="8" s="1"/>
  <c r="C4923" i="8"/>
  <c r="B4923" i="8"/>
  <c r="D4922" i="8"/>
  <c r="F4922" i="8" s="1"/>
  <c r="C4922" i="8"/>
  <c r="B4922" i="8"/>
  <c r="D4921" i="8"/>
  <c r="F4921" i="8" s="1"/>
  <c r="C4921" i="8"/>
  <c r="B4921" i="8"/>
  <c r="D4920" i="8"/>
  <c r="F4920" i="8" s="1"/>
  <c r="C4920" i="8"/>
  <c r="B4920" i="8"/>
  <c r="D4919" i="8"/>
  <c r="F4919" i="8" s="1"/>
  <c r="C4919" i="8"/>
  <c r="B4919" i="8"/>
  <c r="D4918" i="8"/>
  <c r="F4918" i="8" s="1"/>
  <c r="C4918" i="8"/>
  <c r="B4918" i="8"/>
  <c r="D4917" i="8"/>
  <c r="F4917" i="8" s="1"/>
  <c r="C4917" i="8"/>
  <c r="B4917" i="8"/>
  <c r="D4916" i="8"/>
  <c r="F4916" i="8" s="1"/>
  <c r="C4916" i="8"/>
  <c r="B4916" i="8"/>
  <c r="D4915" i="8"/>
  <c r="F4915" i="8" s="1"/>
  <c r="C4915" i="8"/>
  <c r="B4915" i="8"/>
  <c r="D4914" i="8"/>
  <c r="F4914" i="8" s="1"/>
  <c r="C4914" i="8"/>
  <c r="B4914" i="8"/>
  <c r="D4913" i="8"/>
  <c r="F4913" i="8" s="1"/>
  <c r="C4913" i="8"/>
  <c r="B4913" i="8"/>
  <c r="D4912" i="8"/>
  <c r="F4912" i="8" s="1"/>
  <c r="C4912" i="8"/>
  <c r="B4912" i="8"/>
  <c r="D4911" i="8"/>
  <c r="F4911" i="8" s="1"/>
  <c r="C4911" i="8"/>
  <c r="B4911" i="8"/>
  <c r="D4910" i="8"/>
  <c r="F4910" i="8" s="1"/>
  <c r="C4910" i="8"/>
  <c r="B4910" i="8"/>
  <c r="D4909" i="8"/>
  <c r="F4909" i="8" s="1"/>
  <c r="C4909" i="8"/>
  <c r="B4909" i="8"/>
  <c r="D4908" i="8"/>
  <c r="F4908" i="8" s="1"/>
  <c r="C4908" i="8"/>
  <c r="B4908" i="8"/>
  <c r="D4907" i="8"/>
  <c r="F4907" i="8" s="1"/>
  <c r="C4907" i="8"/>
  <c r="B4907" i="8"/>
  <c r="D4906" i="8"/>
  <c r="F4906" i="8" s="1"/>
  <c r="C4906" i="8"/>
  <c r="B4906" i="8"/>
  <c r="D4905" i="8"/>
  <c r="F4905" i="8" s="1"/>
  <c r="C4905" i="8"/>
  <c r="B4905" i="8"/>
  <c r="D4904" i="8"/>
  <c r="F4904" i="8" s="1"/>
  <c r="C4904" i="8"/>
  <c r="B4904" i="8"/>
  <c r="D4903" i="8"/>
  <c r="F4903" i="8" s="1"/>
  <c r="C4903" i="8"/>
  <c r="B4903" i="8"/>
  <c r="D4902" i="8"/>
  <c r="F4902" i="8" s="1"/>
  <c r="C4902" i="8"/>
  <c r="B4902" i="8"/>
  <c r="D4901" i="8"/>
  <c r="F4901" i="8" s="1"/>
  <c r="C4901" i="8"/>
  <c r="B4901" i="8"/>
  <c r="D4900" i="8"/>
  <c r="F4900" i="8" s="1"/>
  <c r="C4900" i="8"/>
  <c r="B4900" i="8"/>
  <c r="D4899" i="8"/>
  <c r="F4899" i="8" s="1"/>
  <c r="C4899" i="8"/>
  <c r="B4899" i="8"/>
  <c r="D4898" i="8"/>
  <c r="F4898" i="8" s="1"/>
  <c r="C4898" i="8"/>
  <c r="B4898" i="8"/>
  <c r="D4897" i="8"/>
  <c r="F4897" i="8" s="1"/>
  <c r="C4897" i="8"/>
  <c r="B4897" i="8"/>
  <c r="D4896" i="8"/>
  <c r="F4896" i="8" s="1"/>
  <c r="C4896" i="8"/>
  <c r="B4896" i="8"/>
  <c r="D4895" i="8"/>
  <c r="F4895" i="8" s="1"/>
  <c r="C4895" i="8"/>
  <c r="B4895" i="8"/>
  <c r="D4894" i="8"/>
  <c r="F4894" i="8" s="1"/>
  <c r="C4894" i="8"/>
  <c r="B4894" i="8"/>
  <c r="D4893" i="8"/>
  <c r="F4893" i="8" s="1"/>
  <c r="C4893" i="8"/>
  <c r="B4893" i="8"/>
  <c r="D4892" i="8"/>
  <c r="F4892" i="8" s="1"/>
  <c r="C4892" i="8"/>
  <c r="B4892" i="8"/>
  <c r="D4891" i="8"/>
  <c r="F4891" i="8" s="1"/>
  <c r="C4891" i="8"/>
  <c r="B4891" i="8"/>
  <c r="D4890" i="8"/>
  <c r="F4890" i="8" s="1"/>
  <c r="C4890" i="8"/>
  <c r="B4890" i="8"/>
  <c r="D4889" i="8"/>
  <c r="F4889" i="8" s="1"/>
  <c r="C4889" i="8"/>
  <c r="B4889" i="8"/>
  <c r="D4888" i="8"/>
  <c r="F4888" i="8" s="1"/>
  <c r="C4888" i="8"/>
  <c r="B4888" i="8"/>
  <c r="D4887" i="8"/>
  <c r="F4887" i="8" s="1"/>
  <c r="C4887" i="8"/>
  <c r="B4887" i="8"/>
  <c r="D4886" i="8"/>
  <c r="F4886" i="8" s="1"/>
  <c r="C4886" i="8"/>
  <c r="B4886" i="8"/>
  <c r="D4885" i="8"/>
  <c r="F4885" i="8" s="1"/>
  <c r="C4885" i="8"/>
  <c r="B4885" i="8"/>
  <c r="D4884" i="8"/>
  <c r="F4884" i="8" s="1"/>
  <c r="C4884" i="8"/>
  <c r="B4884" i="8"/>
  <c r="D4883" i="8"/>
  <c r="F4883" i="8" s="1"/>
  <c r="C4883" i="8"/>
  <c r="B4883" i="8"/>
  <c r="D4882" i="8"/>
  <c r="F4882" i="8" s="1"/>
  <c r="C4882" i="8"/>
  <c r="B4882" i="8"/>
  <c r="D4881" i="8"/>
  <c r="F4881" i="8" s="1"/>
  <c r="C4881" i="8"/>
  <c r="B4881" i="8"/>
  <c r="D4880" i="8"/>
  <c r="F4880" i="8" s="1"/>
  <c r="C4880" i="8"/>
  <c r="B4880" i="8"/>
  <c r="D4879" i="8"/>
  <c r="F4879" i="8" s="1"/>
  <c r="C4879" i="8"/>
  <c r="B4879" i="8"/>
  <c r="D4878" i="8"/>
  <c r="F4878" i="8" s="1"/>
  <c r="C4878" i="8"/>
  <c r="B4878" i="8"/>
  <c r="D4877" i="8"/>
  <c r="F4877" i="8" s="1"/>
  <c r="C4877" i="8"/>
  <c r="B4877" i="8"/>
  <c r="D4876" i="8"/>
  <c r="F4876" i="8" s="1"/>
  <c r="C4876" i="8"/>
  <c r="B4876" i="8"/>
  <c r="D4875" i="8"/>
  <c r="F4875" i="8" s="1"/>
  <c r="C4875" i="8"/>
  <c r="B4875" i="8"/>
  <c r="D4874" i="8"/>
  <c r="F4874" i="8" s="1"/>
  <c r="C4874" i="8"/>
  <c r="B4874" i="8"/>
  <c r="D4873" i="8"/>
  <c r="F4873" i="8" s="1"/>
  <c r="C4873" i="8"/>
  <c r="B4873" i="8"/>
  <c r="D4872" i="8"/>
  <c r="F4872" i="8" s="1"/>
  <c r="C4872" i="8"/>
  <c r="B4872" i="8"/>
  <c r="D4871" i="8"/>
  <c r="F4871" i="8" s="1"/>
  <c r="C4871" i="8"/>
  <c r="B4871" i="8"/>
  <c r="D4870" i="8"/>
  <c r="F4870" i="8" s="1"/>
  <c r="C4870" i="8"/>
  <c r="B4870" i="8"/>
  <c r="D4869" i="8"/>
  <c r="F4869" i="8" s="1"/>
  <c r="C4869" i="8"/>
  <c r="B4869" i="8"/>
  <c r="D4868" i="8"/>
  <c r="F4868" i="8" s="1"/>
  <c r="C4868" i="8"/>
  <c r="B4868" i="8"/>
  <c r="D4867" i="8"/>
  <c r="F4867" i="8" s="1"/>
  <c r="C4867" i="8"/>
  <c r="B4867" i="8"/>
  <c r="D4866" i="8"/>
  <c r="F4866" i="8" s="1"/>
  <c r="C4866" i="8"/>
  <c r="B4866" i="8"/>
  <c r="D4865" i="8"/>
  <c r="F4865" i="8" s="1"/>
  <c r="C4865" i="8"/>
  <c r="B4865" i="8"/>
  <c r="D4864" i="8"/>
  <c r="F4864" i="8" s="1"/>
  <c r="C4864" i="8"/>
  <c r="B4864" i="8"/>
  <c r="D4863" i="8"/>
  <c r="F4863" i="8" s="1"/>
  <c r="C4863" i="8"/>
  <c r="B4863" i="8"/>
  <c r="D4862" i="8"/>
  <c r="F4862" i="8" s="1"/>
  <c r="C4862" i="8"/>
  <c r="B4862" i="8"/>
  <c r="D4861" i="8"/>
  <c r="F4861" i="8" s="1"/>
  <c r="C4861" i="8"/>
  <c r="B4861" i="8"/>
  <c r="D4860" i="8"/>
  <c r="F4860" i="8" s="1"/>
  <c r="C4860" i="8"/>
  <c r="B4860" i="8"/>
  <c r="D4859" i="8"/>
  <c r="F4859" i="8" s="1"/>
  <c r="C4859" i="8"/>
  <c r="B4859" i="8"/>
  <c r="D4858" i="8"/>
  <c r="F4858" i="8" s="1"/>
  <c r="C4858" i="8"/>
  <c r="B4858" i="8"/>
  <c r="D4857" i="8"/>
  <c r="F4857" i="8" s="1"/>
  <c r="C4857" i="8"/>
  <c r="B4857" i="8"/>
  <c r="D4856" i="8"/>
  <c r="F4856" i="8" s="1"/>
  <c r="C4856" i="8"/>
  <c r="B4856" i="8"/>
  <c r="D4855" i="8"/>
  <c r="F4855" i="8" s="1"/>
  <c r="C4855" i="8"/>
  <c r="B4855" i="8"/>
  <c r="D4854" i="8"/>
  <c r="F4854" i="8" s="1"/>
  <c r="C4854" i="8"/>
  <c r="B4854" i="8"/>
  <c r="D4853" i="8"/>
  <c r="F4853" i="8" s="1"/>
  <c r="C4853" i="8"/>
  <c r="B4853" i="8"/>
  <c r="D4852" i="8"/>
  <c r="F4852" i="8" s="1"/>
  <c r="C4852" i="8"/>
  <c r="B4852" i="8"/>
  <c r="D4851" i="8"/>
  <c r="F4851" i="8" s="1"/>
  <c r="C4851" i="8"/>
  <c r="B4851" i="8"/>
  <c r="D4850" i="8"/>
  <c r="F4850" i="8" s="1"/>
  <c r="C4850" i="8"/>
  <c r="B4850" i="8"/>
  <c r="D4849" i="8"/>
  <c r="F4849" i="8" s="1"/>
  <c r="C4849" i="8"/>
  <c r="B4849" i="8"/>
  <c r="D4848" i="8"/>
  <c r="F4848" i="8" s="1"/>
  <c r="C4848" i="8"/>
  <c r="B4848" i="8"/>
  <c r="D4847" i="8"/>
  <c r="F4847" i="8" s="1"/>
  <c r="C4847" i="8"/>
  <c r="B4847" i="8"/>
  <c r="D4846" i="8"/>
  <c r="F4846" i="8" s="1"/>
  <c r="C4846" i="8"/>
  <c r="B4846" i="8"/>
  <c r="D4845" i="8"/>
  <c r="F4845" i="8" s="1"/>
  <c r="C4845" i="8"/>
  <c r="B4845" i="8"/>
  <c r="D4844" i="8"/>
  <c r="F4844" i="8" s="1"/>
  <c r="C4844" i="8"/>
  <c r="B4844" i="8"/>
  <c r="D4843" i="8"/>
  <c r="F4843" i="8" s="1"/>
  <c r="C4843" i="8"/>
  <c r="B4843" i="8"/>
  <c r="D4842" i="8"/>
  <c r="F4842" i="8" s="1"/>
  <c r="C4842" i="8"/>
  <c r="B4842" i="8"/>
  <c r="D4841" i="8"/>
  <c r="F4841" i="8" s="1"/>
  <c r="C4841" i="8"/>
  <c r="B4841" i="8"/>
  <c r="D4840" i="8"/>
  <c r="F4840" i="8" s="1"/>
  <c r="C4840" i="8"/>
  <c r="B4840" i="8"/>
  <c r="D4839" i="8"/>
  <c r="F4839" i="8" s="1"/>
  <c r="C4839" i="8"/>
  <c r="B4839" i="8"/>
  <c r="D4838" i="8"/>
  <c r="F4838" i="8" s="1"/>
  <c r="C4838" i="8"/>
  <c r="B4838" i="8"/>
  <c r="D4837" i="8"/>
  <c r="F4837" i="8" s="1"/>
  <c r="C4837" i="8"/>
  <c r="B4837" i="8"/>
  <c r="D4836" i="8"/>
  <c r="F4836" i="8" s="1"/>
  <c r="C4836" i="8"/>
  <c r="B4836" i="8"/>
  <c r="D4835" i="8"/>
  <c r="F4835" i="8" s="1"/>
  <c r="C4835" i="8"/>
  <c r="B4835" i="8"/>
  <c r="D4834" i="8"/>
  <c r="F4834" i="8" s="1"/>
  <c r="C4834" i="8"/>
  <c r="B4834" i="8"/>
  <c r="D4833" i="8"/>
  <c r="F4833" i="8" s="1"/>
  <c r="C4833" i="8"/>
  <c r="B4833" i="8"/>
  <c r="D4832" i="8"/>
  <c r="F4832" i="8" s="1"/>
  <c r="C4832" i="8"/>
  <c r="B4832" i="8"/>
  <c r="D4831" i="8"/>
  <c r="F4831" i="8" s="1"/>
  <c r="C4831" i="8"/>
  <c r="B4831" i="8"/>
  <c r="D4830" i="8"/>
  <c r="F4830" i="8" s="1"/>
  <c r="C4830" i="8"/>
  <c r="B4830" i="8"/>
  <c r="D4829" i="8"/>
  <c r="F4829" i="8" s="1"/>
  <c r="C4829" i="8"/>
  <c r="B4829" i="8"/>
  <c r="D4828" i="8"/>
  <c r="F4828" i="8" s="1"/>
  <c r="C4828" i="8"/>
  <c r="B4828" i="8"/>
  <c r="D4827" i="8"/>
  <c r="F4827" i="8" s="1"/>
  <c r="C4827" i="8"/>
  <c r="B4827" i="8"/>
  <c r="D4826" i="8"/>
  <c r="F4826" i="8" s="1"/>
  <c r="C4826" i="8"/>
  <c r="B4826" i="8"/>
  <c r="D4825" i="8"/>
  <c r="F4825" i="8" s="1"/>
  <c r="C4825" i="8"/>
  <c r="B4825" i="8"/>
  <c r="D4824" i="8"/>
  <c r="F4824" i="8" s="1"/>
  <c r="C4824" i="8"/>
  <c r="B4824" i="8"/>
  <c r="D4823" i="8"/>
  <c r="F4823" i="8" s="1"/>
  <c r="C4823" i="8"/>
  <c r="B4823" i="8"/>
  <c r="D4822" i="8"/>
  <c r="F4822" i="8" s="1"/>
  <c r="C4822" i="8"/>
  <c r="B4822" i="8"/>
  <c r="D4821" i="8"/>
  <c r="F4821" i="8" s="1"/>
  <c r="C4821" i="8"/>
  <c r="B4821" i="8"/>
  <c r="D4820" i="8"/>
  <c r="F4820" i="8" s="1"/>
  <c r="C4820" i="8"/>
  <c r="B4820" i="8"/>
  <c r="D4819" i="8"/>
  <c r="F4819" i="8" s="1"/>
  <c r="C4819" i="8"/>
  <c r="B4819" i="8"/>
  <c r="D4818" i="8"/>
  <c r="F4818" i="8" s="1"/>
  <c r="C4818" i="8"/>
  <c r="B4818" i="8"/>
  <c r="D4817" i="8"/>
  <c r="F4817" i="8" s="1"/>
  <c r="C4817" i="8"/>
  <c r="B4817" i="8"/>
  <c r="D4816" i="8"/>
  <c r="F4816" i="8" s="1"/>
  <c r="C4816" i="8"/>
  <c r="B4816" i="8"/>
  <c r="D4815" i="8"/>
  <c r="F4815" i="8" s="1"/>
  <c r="C4815" i="8"/>
  <c r="B4815" i="8"/>
  <c r="D4814" i="8"/>
  <c r="F4814" i="8" s="1"/>
  <c r="C4814" i="8"/>
  <c r="B4814" i="8"/>
  <c r="D4813" i="8"/>
  <c r="F4813" i="8" s="1"/>
  <c r="C4813" i="8"/>
  <c r="B4813" i="8"/>
  <c r="D4812" i="8"/>
  <c r="F4812" i="8" s="1"/>
  <c r="C4812" i="8"/>
  <c r="B4812" i="8"/>
  <c r="D4811" i="8"/>
  <c r="F4811" i="8" s="1"/>
  <c r="C4811" i="8"/>
  <c r="B4811" i="8"/>
  <c r="D4810" i="8"/>
  <c r="F4810" i="8" s="1"/>
  <c r="C4810" i="8"/>
  <c r="B4810" i="8"/>
  <c r="D4809" i="8"/>
  <c r="F4809" i="8" s="1"/>
  <c r="C4809" i="8"/>
  <c r="B4809" i="8"/>
  <c r="D4808" i="8"/>
  <c r="F4808" i="8" s="1"/>
  <c r="C4808" i="8"/>
  <c r="B4808" i="8"/>
  <c r="D4807" i="8"/>
  <c r="F4807" i="8" s="1"/>
  <c r="C4807" i="8"/>
  <c r="B4807" i="8"/>
  <c r="D4806" i="8"/>
  <c r="F4806" i="8" s="1"/>
  <c r="C4806" i="8"/>
  <c r="B4806" i="8"/>
  <c r="D4805" i="8"/>
  <c r="F4805" i="8" s="1"/>
  <c r="C4805" i="8"/>
  <c r="B4805" i="8"/>
  <c r="D4804" i="8"/>
  <c r="F4804" i="8" s="1"/>
  <c r="C4804" i="8"/>
  <c r="B4804" i="8"/>
  <c r="D4803" i="8"/>
  <c r="F4803" i="8" s="1"/>
  <c r="C4803" i="8"/>
  <c r="B4803" i="8"/>
  <c r="D4802" i="8"/>
  <c r="F4802" i="8" s="1"/>
  <c r="C4802" i="8"/>
  <c r="B4802" i="8"/>
  <c r="D4801" i="8"/>
  <c r="F4801" i="8" s="1"/>
  <c r="C4801" i="8"/>
  <c r="B4801" i="8"/>
  <c r="D4800" i="8"/>
  <c r="F4800" i="8" s="1"/>
  <c r="C4800" i="8"/>
  <c r="B4800" i="8"/>
  <c r="D4799" i="8"/>
  <c r="F4799" i="8" s="1"/>
  <c r="C4799" i="8"/>
  <c r="B4799" i="8"/>
  <c r="D4798" i="8"/>
  <c r="F4798" i="8" s="1"/>
  <c r="C4798" i="8"/>
  <c r="B4798" i="8"/>
  <c r="D4797" i="8"/>
  <c r="F4797" i="8" s="1"/>
  <c r="C4797" i="8"/>
  <c r="B4797" i="8"/>
  <c r="D4796" i="8"/>
  <c r="F4796" i="8" s="1"/>
  <c r="C4796" i="8"/>
  <c r="B4796" i="8"/>
  <c r="D4795" i="8"/>
  <c r="F4795" i="8" s="1"/>
  <c r="C4795" i="8"/>
  <c r="B4795" i="8"/>
  <c r="D4794" i="8"/>
  <c r="F4794" i="8" s="1"/>
  <c r="C4794" i="8"/>
  <c r="B4794" i="8"/>
  <c r="D4793" i="8"/>
  <c r="F4793" i="8" s="1"/>
  <c r="C4793" i="8"/>
  <c r="B4793" i="8"/>
  <c r="D4792" i="8"/>
  <c r="F4792" i="8" s="1"/>
  <c r="C4792" i="8"/>
  <c r="B4792" i="8"/>
  <c r="D4791" i="8"/>
  <c r="F4791" i="8" s="1"/>
  <c r="C4791" i="8"/>
  <c r="B4791" i="8"/>
  <c r="D4790" i="8"/>
  <c r="F4790" i="8" s="1"/>
  <c r="C4790" i="8"/>
  <c r="B4790" i="8"/>
  <c r="D4789" i="8"/>
  <c r="F4789" i="8" s="1"/>
  <c r="C4789" i="8"/>
  <c r="B4789" i="8"/>
  <c r="D4788" i="8"/>
  <c r="F4788" i="8" s="1"/>
  <c r="C4788" i="8"/>
  <c r="B4788" i="8"/>
  <c r="D4787" i="8"/>
  <c r="F4787" i="8" s="1"/>
  <c r="C4787" i="8"/>
  <c r="B4787" i="8"/>
  <c r="D4786" i="8"/>
  <c r="F4786" i="8" s="1"/>
  <c r="C4786" i="8"/>
  <c r="B4786" i="8"/>
  <c r="D4785" i="8"/>
  <c r="F4785" i="8" s="1"/>
  <c r="C4785" i="8"/>
  <c r="B4785" i="8"/>
  <c r="D4784" i="8"/>
  <c r="F4784" i="8" s="1"/>
  <c r="C4784" i="8"/>
  <c r="B4784" i="8"/>
  <c r="D4783" i="8"/>
  <c r="F4783" i="8" s="1"/>
  <c r="C4783" i="8"/>
  <c r="B4783" i="8"/>
  <c r="D4782" i="8"/>
  <c r="F4782" i="8" s="1"/>
  <c r="C4782" i="8"/>
  <c r="B4782" i="8"/>
  <c r="D4781" i="8"/>
  <c r="F4781" i="8" s="1"/>
  <c r="C4781" i="8"/>
  <c r="B4781" i="8"/>
  <c r="D4780" i="8"/>
  <c r="F4780" i="8" s="1"/>
  <c r="C4780" i="8"/>
  <c r="B4780" i="8"/>
  <c r="D4779" i="8"/>
  <c r="F4779" i="8" s="1"/>
  <c r="C4779" i="8"/>
  <c r="B4779" i="8"/>
  <c r="D4778" i="8"/>
  <c r="F4778" i="8" s="1"/>
  <c r="C4778" i="8"/>
  <c r="B4778" i="8"/>
  <c r="D4777" i="8"/>
  <c r="F4777" i="8" s="1"/>
  <c r="C4777" i="8"/>
  <c r="B4777" i="8"/>
  <c r="D4776" i="8"/>
  <c r="F4776" i="8" s="1"/>
  <c r="C4776" i="8"/>
  <c r="B4776" i="8"/>
  <c r="D4775" i="8"/>
  <c r="F4775" i="8" s="1"/>
  <c r="C4775" i="8"/>
  <c r="B4775" i="8"/>
  <c r="D4774" i="8"/>
  <c r="F4774" i="8" s="1"/>
  <c r="C4774" i="8"/>
  <c r="B4774" i="8"/>
  <c r="D4773" i="8"/>
  <c r="F4773" i="8" s="1"/>
  <c r="C4773" i="8"/>
  <c r="B4773" i="8"/>
  <c r="D4772" i="8"/>
  <c r="F4772" i="8" s="1"/>
  <c r="C4772" i="8"/>
  <c r="B4772" i="8"/>
  <c r="D4771" i="8"/>
  <c r="F4771" i="8" s="1"/>
  <c r="C4771" i="8"/>
  <c r="B4771" i="8"/>
  <c r="D4770" i="8"/>
  <c r="F4770" i="8" s="1"/>
  <c r="C4770" i="8"/>
  <c r="B4770" i="8"/>
  <c r="D4769" i="8"/>
  <c r="F4769" i="8" s="1"/>
  <c r="C4769" i="8"/>
  <c r="B4769" i="8"/>
  <c r="D4768" i="8"/>
  <c r="F4768" i="8" s="1"/>
  <c r="C4768" i="8"/>
  <c r="B4768" i="8"/>
  <c r="F4767" i="8"/>
  <c r="D4767" i="8"/>
  <c r="C4767" i="8"/>
  <c r="B4767" i="8"/>
  <c r="D4766" i="8"/>
  <c r="F4766" i="8" s="1"/>
  <c r="C4766" i="8"/>
  <c r="B4766" i="8"/>
  <c r="D4765" i="8"/>
  <c r="F4765" i="8" s="1"/>
  <c r="C4765" i="8"/>
  <c r="B4765" i="8"/>
  <c r="D4764" i="8"/>
  <c r="F4764" i="8" s="1"/>
  <c r="C4764" i="8"/>
  <c r="B4764" i="8"/>
  <c r="D4763" i="8"/>
  <c r="F4763" i="8" s="1"/>
  <c r="C4763" i="8"/>
  <c r="B4763" i="8"/>
  <c r="D4762" i="8"/>
  <c r="F4762" i="8" s="1"/>
  <c r="C4762" i="8"/>
  <c r="B4762" i="8"/>
  <c r="D4761" i="8"/>
  <c r="F4761" i="8" s="1"/>
  <c r="C4761" i="8"/>
  <c r="B4761" i="8"/>
  <c r="D4760" i="8"/>
  <c r="F4760" i="8" s="1"/>
  <c r="C4760" i="8"/>
  <c r="B4760" i="8"/>
  <c r="D4759" i="8"/>
  <c r="F4759" i="8" s="1"/>
  <c r="K415" i="5" s="1"/>
  <c r="J415" i="5" s="1"/>
  <c r="C4759" i="8"/>
  <c r="B4759" i="8"/>
  <c r="D4758" i="8"/>
  <c r="F4758" i="8" s="1"/>
  <c r="C4758" i="8"/>
  <c r="B4758" i="8"/>
  <c r="D4757" i="8"/>
  <c r="F4757" i="8" s="1"/>
  <c r="C4757" i="8"/>
  <c r="B4757" i="8"/>
  <c r="D4756" i="8"/>
  <c r="F4756" i="8" s="1"/>
  <c r="C4756" i="8"/>
  <c r="B4756" i="8"/>
  <c r="D4755" i="8"/>
  <c r="F4755" i="8" s="1"/>
  <c r="C4755" i="8"/>
  <c r="B4755" i="8"/>
  <c r="D4754" i="8"/>
  <c r="F4754" i="8" s="1"/>
  <c r="C4754" i="8"/>
  <c r="B4754" i="8"/>
  <c r="D4753" i="8"/>
  <c r="F4753" i="8" s="1"/>
  <c r="C4753" i="8"/>
  <c r="B4753" i="8"/>
  <c r="D4752" i="8"/>
  <c r="F4752" i="8" s="1"/>
  <c r="C4752" i="8"/>
  <c r="B4752" i="8"/>
  <c r="D4751" i="8"/>
  <c r="F4751" i="8" s="1"/>
  <c r="C4751" i="8"/>
  <c r="B4751" i="8"/>
  <c r="D4750" i="8"/>
  <c r="F4750" i="8" s="1"/>
  <c r="C4750" i="8"/>
  <c r="B4750" i="8"/>
  <c r="D4749" i="8"/>
  <c r="F4749" i="8" s="1"/>
  <c r="C4749" i="8"/>
  <c r="B4749" i="8"/>
  <c r="D4748" i="8"/>
  <c r="F4748" i="8" s="1"/>
  <c r="C4748" i="8"/>
  <c r="B4748" i="8"/>
  <c r="D4747" i="8"/>
  <c r="F4747" i="8" s="1"/>
  <c r="C4747" i="8"/>
  <c r="B4747" i="8"/>
  <c r="D4746" i="8"/>
  <c r="F4746" i="8" s="1"/>
  <c r="C4746" i="8"/>
  <c r="B4746" i="8"/>
  <c r="D4745" i="8"/>
  <c r="F4745" i="8" s="1"/>
  <c r="C4745" i="8"/>
  <c r="B4745" i="8"/>
  <c r="D4744" i="8"/>
  <c r="F4744" i="8" s="1"/>
  <c r="C4744" i="8"/>
  <c r="B4744" i="8"/>
  <c r="D4743" i="8"/>
  <c r="F4743" i="8" s="1"/>
  <c r="C4743" i="8"/>
  <c r="B4743" i="8"/>
  <c r="D4742" i="8"/>
  <c r="F4742" i="8" s="1"/>
  <c r="C4742" i="8"/>
  <c r="B4742" i="8"/>
  <c r="D4741" i="8"/>
  <c r="F4741" i="8" s="1"/>
  <c r="C4741" i="8"/>
  <c r="B4741" i="8"/>
  <c r="D4740" i="8"/>
  <c r="F4740" i="8" s="1"/>
  <c r="C4740" i="8"/>
  <c r="B4740" i="8"/>
  <c r="D4739" i="8"/>
  <c r="F4739" i="8" s="1"/>
  <c r="C4739" i="8"/>
  <c r="B4739" i="8"/>
  <c r="D4738" i="8"/>
  <c r="F4738" i="8" s="1"/>
  <c r="C4738" i="8"/>
  <c r="B4738" i="8"/>
  <c r="D4737" i="8"/>
  <c r="F4737" i="8" s="1"/>
  <c r="C4737" i="8"/>
  <c r="B4737" i="8"/>
  <c r="D4736" i="8"/>
  <c r="F4736" i="8" s="1"/>
  <c r="C4736" i="8"/>
  <c r="B4736" i="8"/>
  <c r="F4735" i="8"/>
  <c r="D4735" i="8"/>
  <c r="C4735" i="8"/>
  <c r="B4735" i="8"/>
  <c r="D4734" i="8"/>
  <c r="F4734" i="8" s="1"/>
  <c r="C4734" i="8"/>
  <c r="B4734" i="8"/>
  <c r="D4733" i="8"/>
  <c r="F4733" i="8" s="1"/>
  <c r="C4733" i="8"/>
  <c r="B4733" i="8"/>
  <c r="D4732" i="8"/>
  <c r="F4732" i="8" s="1"/>
  <c r="C4732" i="8"/>
  <c r="B4732" i="8"/>
  <c r="D4731" i="8"/>
  <c r="F4731" i="8" s="1"/>
  <c r="C4731" i="8"/>
  <c r="B4731" i="8"/>
  <c r="D4730" i="8"/>
  <c r="F4730" i="8" s="1"/>
  <c r="C4730" i="8"/>
  <c r="B4730" i="8"/>
  <c r="D4729" i="8"/>
  <c r="F4729" i="8" s="1"/>
  <c r="C4729" i="8"/>
  <c r="B4729" i="8"/>
  <c r="D4728" i="8"/>
  <c r="F4728" i="8" s="1"/>
  <c r="C4728" i="8"/>
  <c r="B4728" i="8"/>
  <c r="D4727" i="8"/>
  <c r="F4727" i="8" s="1"/>
  <c r="C4727" i="8"/>
  <c r="B4727" i="8"/>
  <c r="D4726" i="8"/>
  <c r="F4726" i="8" s="1"/>
  <c r="C4726" i="8"/>
  <c r="B4726" i="8"/>
  <c r="D4725" i="8"/>
  <c r="F4725" i="8" s="1"/>
  <c r="C4725" i="8"/>
  <c r="B4725" i="8"/>
  <c r="D4724" i="8"/>
  <c r="F4724" i="8" s="1"/>
  <c r="C4724" i="8"/>
  <c r="B4724" i="8"/>
  <c r="D4723" i="8"/>
  <c r="F4723" i="8" s="1"/>
  <c r="C4723" i="8"/>
  <c r="B4723" i="8"/>
  <c r="D4722" i="8"/>
  <c r="F4722" i="8" s="1"/>
  <c r="C4722" i="8"/>
  <c r="B4722" i="8"/>
  <c r="D4721" i="8"/>
  <c r="F4721" i="8" s="1"/>
  <c r="C4721" i="8"/>
  <c r="B4721" i="8"/>
  <c r="D4720" i="8"/>
  <c r="F4720" i="8" s="1"/>
  <c r="C4720" i="8"/>
  <c r="B4720" i="8"/>
  <c r="D4719" i="8"/>
  <c r="F4719" i="8" s="1"/>
  <c r="C4719" i="8"/>
  <c r="B4719" i="8"/>
  <c r="D4718" i="8"/>
  <c r="F4718" i="8" s="1"/>
  <c r="C4718" i="8"/>
  <c r="B4718" i="8"/>
  <c r="D4717" i="8"/>
  <c r="F4717" i="8" s="1"/>
  <c r="C4717" i="8"/>
  <c r="B4717" i="8"/>
  <c r="D4716" i="8"/>
  <c r="F4716" i="8" s="1"/>
  <c r="C4716" i="8"/>
  <c r="B4716" i="8"/>
  <c r="D4715" i="8"/>
  <c r="F4715" i="8" s="1"/>
  <c r="C4715" i="8"/>
  <c r="B4715" i="8"/>
  <c r="D4714" i="8"/>
  <c r="F4714" i="8" s="1"/>
  <c r="C4714" i="8"/>
  <c r="B4714" i="8"/>
  <c r="D4713" i="8"/>
  <c r="F4713" i="8" s="1"/>
  <c r="C4713" i="8"/>
  <c r="B4713" i="8"/>
  <c r="D4712" i="8"/>
  <c r="F4712" i="8" s="1"/>
  <c r="C4712" i="8"/>
  <c r="B4712" i="8"/>
  <c r="D4711" i="8"/>
  <c r="F4711" i="8" s="1"/>
  <c r="C4711" i="8"/>
  <c r="B4711" i="8"/>
  <c r="D4710" i="8"/>
  <c r="F4710" i="8" s="1"/>
  <c r="C4710" i="8"/>
  <c r="B4710" i="8"/>
  <c r="D4709" i="8"/>
  <c r="F4709" i="8" s="1"/>
  <c r="C4709" i="8"/>
  <c r="B4709" i="8"/>
  <c r="D4708" i="8"/>
  <c r="F4708" i="8" s="1"/>
  <c r="C4708" i="8"/>
  <c r="B4708" i="8"/>
  <c r="D4707" i="8"/>
  <c r="F4707" i="8" s="1"/>
  <c r="C4707" i="8"/>
  <c r="B4707" i="8"/>
  <c r="D4706" i="8"/>
  <c r="F4706" i="8" s="1"/>
  <c r="C4706" i="8"/>
  <c r="B4706" i="8"/>
  <c r="D4705" i="8"/>
  <c r="F4705" i="8" s="1"/>
  <c r="C4705" i="8"/>
  <c r="B4705" i="8"/>
  <c r="D4704" i="8"/>
  <c r="F4704" i="8" s="1"/>
  <c r="C4704" i="8"/>
  <c r="B4704" i="8"/>
  <c r="F4703" i="8"/>
  <c r="D4703" i="8"/>
  <c r="C4703" i="8"/>
  <c r="B4703" i="8"/>
  <c r="D4702" i="8"/>
  <c r="F4702" i="8" s="1"/>
  <c r="C4702" i="8"/>
  <c r="B4702" i="8"/>
  <c r="D4701" i="8"/>
  <c r="F4701" i="8" s="1"/>
  <c r="C4701" i="8"/>
  <c r="B4701" i="8"/>
  <c r="D4700" i="8"/>
  <c r="F4700" i="8" s="1"/>
  <c r="C4700" i="8"/>
  <c r="B4700" i="8"/>
  <c r="D4699" i="8"/>
  <c r="F4699" i="8" s="1"/>
  <c r="C4699" i="8"/>
  <c r="B4699" i="8"/>
  <c r="D4698" i="8"/>
  <c r="F4698" i="8" s="1"/>
  <c r="C4698" i="8"/>
  <c r="B4698" i="8"/>
  <c r="D4697" i="8"/>
  <c r="F4697" i="8" s="1"/>
  <c r="C4697" i="8"/>
  <c r="B4697" i="8"/>
  <c r="D4696" i="8"/>
  <c r="F4696" i="8" s="1"/>
  <c r="C4696" i="8"/>
  <c r="B4696" i="8"/>
  <c r="D4695" i="8"/>
  <c r="F4695" i="8" s="1"/>
  <c r="C4695" i="8"/>
  <c r="B4695" i="8"/>
  <c r="D4694" i="8"/>
  <c r="F4694" i="8" s="1"/>
  <c r="C4694" i="8"/>
  <c r="B4694" i="8"/>
  <c r="F4693" i="8"/>
  <c r="D4693" i="8"/>
  <c r="C4693" i="8"/>
  <c r="B4693" i="8"/>
  <c r="D4692" i="8"/>
  <c r="F4692" i="8" s="1"/>
  <c r="C4692" i="8"/>
  <c r="B4692" i="8"/>
  <c r="D4691" i="8"/>
  <c r="F4691" i="8" s="1"/>
  <c r="C4691" i="8"/>
  <c r="B4691" i="8"/>
  <c r="D4690" i="8"/>
  <c r="F4690" i="8" s="1"/>
  <c r="C4690" i="8"/>
  <c r="B4690" i="8"/>
  <c r="D4689" i="8"/>
  <c r="F4689" i="8" s="1"/>
  <c r="C4689" i="8"/>
  <c r="B4689" i="8"/>
  <c r="D4688" i="8"/>
  <c r="F4688" i="8" s="1"/>
  <c r="C4688" i="8"/>
  <c r="B4688" i="8"/>
  <c r="D4687" i="8"/>
  <c r="F4687" i="8" s="1"/>
  <c r="C4687" i="8"/>
  <c r="B4687" i="8"/>
  <c r="D4686" i="8"/>
  <c r="F4686" i="8" s="1"/>
  <c r="C4686" i="8"/>
  <c r="B4686" i="8"/>
  <c r="D4685" i="8"/>
  <c r="F4685" i="8" s="1"/>
  <c r="C4685" i="8"/>
  <c r="B4685" i="8"/>
  <c r="D4684" i="8"/>
  <c r="F4684" i="8" s="1"/>
  <c r="C4684" i="8"/>
  <c r="B4684" i="8"/>
  <c r="D4683" i="8"/>
  <c r="F4683" i="8" s="1"/>
  <c r="C4683" i="8"/>
  <c r="B4683" i="8"/>
  <c r="D4682" i="8"/>
  <c r="F4682" i="8" s="1"/>
  <c r="C4682" i="8"/>
  <c r="B4682" i="8"/>
  <c r="D4681" i="8"/>
  <c r="F4681" i="8" s="1"/>
  <c r="C4681" i="8"/>
  <c r="B4681" i="8"/>
  <c r="D4680" i="8"/>
  <c r="F4680" i="8" s="1"/>
  <c r="C4680" i="8"/>
  <c r="B4680" i="8"/>
  <c r="D4679" i="8"/>
  <c r="F4679" i="8" s="1"/>
  <c r="C4679" i="8"/>
  <c r="B4679" i="8"/>
  <c r="D4678" i="8"/>
  <c r="F4678" i="8" s="1"/>
  <c r="C4678" i="8"/>
  <c r="B4678" i="8"/>
  <c r="D4677" i="8"/>
  <c r="F4677" i="8" s="1"/>
  <c r="C4677" i="8"/>
  <c r="B4677" i="8"/>
  <c r="D4676" i="8"/>
  <c r="F4676" i="8" s="1"/>
  <c r="C4676" i="8"/>
  <c r="B4676" i="8"/>
  <c r="D4675" i="8"/>
  <c r="F4675" i="8" s="1"/>
  <c r="C4675" i="8"/>
  <c r="B4675" i="8"/>
  <c r="D4674" i="8"/>
  <c r="F4674" i="8" s="1"/>
  <c r="C4674" i="8"/>
  <c r="B4674" i="8"/>
  <c r="D4673" i="8"/>
  <c r="F4673" i="8" s="1"/>
  <c r="C4673" i="8"/>
  <c r="B4673" i="8"/>
  <c r="D4672" i="8"/>
  <c r="F4672" i="8" s="1"/>
  <c r="C4672" i="8"/>
  <c r="B4672" i="8"/>
  <c r="D4671" i="8"/>
  <c r="F4671" i="8" s="1"/>
  <c r="C4671" i="8"/>
  <c r="B4671" i="8"/>
  <c r="D4670" i="8"/>
  <c r="F4670" i="8" s="1"/>
  <c r="C4670" i="8"/>
  <c r="B4670" i="8"/>
  <c r="D4669" i="8"/>
  <c r="F4669" i="8" s="1"/>
  <c r="C4669" i="8"/>
  <c r="B4669" i="8"/>
  <c r="D4668" i="8"/>
  <c r="F4668" i="8" s="1"/>
  <c r="C4668" i="8"/>
  <c r="B4668" i="8"/>
  <c r="D4667" i="8"/>
  <c r="F4667" i="8" s="1"/>
  <c r="C4667" i="8"/>
  <c r="B4667" i="8"/>
  <c r="D4666" i="8"/>
  <c r="F4666" i="8" s="1"/>
  <c r="C4666" i="8"/>
  <c r="B4666" i="8"/>
  <c r="D4665" i="8"/>
  <c r="F4665" i="8" s="1"/>
  <c r="C4665" i="8"/>
  <c r="B4665" i="8"/>
  <c r="D4664" i="8"/>
  <c r="F4664" i="8" s="1"/>
  <c r="C4664" i="8"/>
  <c r="B4664" i="8"/>
  <c r="D4663" i="8"/>
  <c r="F4663" i="8" s="1"/>
  <c r="C4663" i="8"/>
  <c r="B4663" i="8"/>
  <c r="D4662" i="8"/>
  <c r="F4662" i="8" s="1"/>
  <c r="C4662" i="8"/>
  <c r="B4662" i="8"/>
  <c r="D4661" i="8"/>
  <c r="F4661" i="8" s="1"/>
  <c r="C4661" i="8"/>
  <c r="B4661" i="8"/>
  <c r="D4660" i="8"/>
  <c r="F4660" i="8" s="1"/>
  <c r="C4660" i="8"/>
  <c r="B4660" i="8"/>
  <c r="D4659" i="8"/>
  <c r="F4659" i="8" s="1"/>
  <c r="C4659" i="8"/>
  <c r="B4659" i="8"/>
  <c r="D4658" i="8"/>
  <c r="F4658" i="8" s="1"/>
  <c r="C4658" i="8"/>
  <c r="B4658" i="8"/>
  <c r="D4657" i="8"/>
  <c r="F4657" i="8" s="1"/>
  <c r="C4657" i="8"/>
  <c r="B4657" i="8"/>
  <c r="D4656" i="8"/>
  <c r="F4656" i="8" s="1"/>
  <c r="C4656" i="8"/>
  <c r="B4656" i="8"/>
  <c r="D4655" i="8"/>
  <c r="F4655" i="8" s="1"/>
  <c r="C4655" i="8"/>
  <c r="B4655" i="8"/>
  <c r="D4654" i="8"/>
  <c r="F4654" i="8" s="1"/>
  <c r="C4654" i="8"/>
  <c r="B4654" i="8"/>
  <c r="D4653" i="8"/>
  <c r="F4653" i="8" s="1"/>
  <c r="C4653" i="8"/>
  <c r="B4653" i="8"/>
  <c r="D4652" i="8"/>
  <c r="F4652" i="8" s="1"/>
  <c r="C4652" i="8"/>
  <c r="B4652" i="8"/>
  <c r="D4651" i="8"/>
  <c r="F4651" i="8" s="1"/>
  <c r="C4651" i="8"/>
  <c r="B4651" i="8"/>
  <c r="D4650" i="8"/>
  <c r="F4650" i="8" s="1"/>
  <c r="C4650" i="8"/>
  <c r="B4650" i="8"/>
  <c r="D4649" i="8"/>
  <c r="F4649" i="8" s="1"/>
  <c r="C4649" i="8"/>
  <c r="B4649" i="8"/>
  <c r="D4648" i="8"/>
  <c r="F4648" i="8" s="1"/>
  <c r="C4648" i="8"/>
  <c r="B4648" i="8"/>
  <c r="D4647" i="8"/>
  <c r="F4647" i="8" s="1"/>
  <c r="C4647" i="8"/>
  <c r="B4647" i="8"/>
  <c r="D4646" i="8"/>
  <c r="F4646" i="8" s="1"/>
  <c r="C4646" i="8"/>
  <c r="B4646" i="8"/>
  <c r="D4645" i="8"/>
  <c r="F4645" i="8" s="1"/>
  <c r="C4645" i="8"/>
  <c r="B4645" i="8"/>
  <c r="D4644" i="8"/>
  <c r="F4644" i="8" s="1"/>
  <c r="C4644" i="8"/>
  <c r="B4644" i="8"/>
  <c r="D4643" i="8"/>
  <c r="F4643" i="8" s="1"/>
  <c r="C4643" i="8"/>
  <c r="B4643" i="8"/>
  <c r="D4642" i="8"/>
  <c r="F4642" i="8" s="1"/>
  <c r="C4642" i="8"/>
  <c r="B4642" i="8"/>
  <c r="D4641" i="8"/>
  <c r="F4641" i="8" s="1"/>
  <c r="C4641" i="8"/>
  <c r="B4641" i="8"/>
  <c r="D4640" i="8"/>
  <c r="F4640" i="8" s="1"/>
  <c r="C4640" i="8"/>
  <c r="B4640" i="8"/>
  <c r="D4639" i="8"/>
  <c r="F4639" i="8" s="1"/>
  <c r="C4639" i="8"/>
  <c r="B4639" i="8"/>
  <c r="D4638" i="8"/>
  <c r="F4638" i="8" s="1"/>
  <c r="C4638" i="8"/>
  <c r="B4638" i="8"/>
  <c r="D4637" i="8"/>
  <c r="F4637" i="8" s="1"/>
  <c r="C4637" i="8"/>
  <c r="B4637" i="8"/>
  <c r="D4636" i="8"/>
  <c r="F4636" i="8" s="1"/>
  <c r="C4636" i="8"/>
  <c r="B4636" i="8"/>
  <c r="D4635" i="8"/>
  <c r="F4635" i="8" s="1"/>
  <c r="C4635" i="8"/>
  <c r="B4635" i="8"/>
  <c r="D4634" i="8"/>
  <c r="F4634" i="8" s="1"/>
  <c r="C4634" i="8"/>
  <c r="B4634" i="8"/>
  <c r="D4633" i="8"/>
  <c r="F4633" i="8" s="1"/>
  <c r="C4633" i="8"/>
  <c r="B4633" i="8"/>
  <c r="D4632" i="8"/>
  <c r="F4632" i="8" s="1"/>
  <c r="C4632" i="8"/>
  <c r="B4632" i="8"/>
  <c r="D4631" i="8"/>
  <c r="F4631" i="8" s="1"/>
  <c r="C4631" i="8"/>
  <c r="B4631" i="8"/>
  <c r="D4630" i="8"/>
  <c r="F4630" i="8" s="1"/>
  <c r="C4630" i="8"/>
  <c r="B4630" i="8"/>
  <c r="D4629" i="8"/>
  <c r="F4629" i="8" s="1"/>
  <c r="C4629" i="8"/>
  <c r="B4629" i="8"/>
  <c r="D4628" i="8"/>
  <c r="F4628" i="8" s="1"/>
  <c r="C4628" i="8"/>
  <c r="B4628" i="8"/>
  <c r="D4627" i="8"/>
  <c r="F4627" i="8" s="1"/>
  <c r="C4627" i="8"/>
  <c r="B4627" i="8"/>
  <c r="D4626" i="8"/>
  <c r="F4626" i="8" s="1"/>
  <c r="C4626" i="8"/>
  <c r="B4626" i="8"/>
  <c r="D4625" i="8"/>
  <c r="F4625" i="8" s="1"/>
  <c r="C4625" i="8"/>
  <c r="B4625" i="8"/>
  <c r="D4624" i="8"/>
  <c r="F4624" i="8" s="1"/>
  <c r="C4624" i="8"/>
  <c r="B4624" i="8"/>
  <c r="F4623" i="8"/>
  <c r="D4623" i="8"/>
  <c r="C4623" i="8"/>
  <c r="B4623" i="8"/>
  <c r="D4622" i="8"/>
  <c r="F4622" i="8" s="1"/>
  <c r="C4622" i="8"/>
  <c r="B4622" i="8"/>
  <c r="D4621" i="8"/>
  <c r="F4621" i="8" s="1"/>
  <c r="C4621" i="8"/>
  <c r="B4621" i="8"/>
  <c r="D4620" i="8"/>
  <c r="F4620" i="8" s="1"/>
  <c r="C4620" i="8"/>
  <c r="B4620" i="8"/>
  <c r="D4619" i="8"/>
  <c r="F4619" i="8" s="1"/>
  <c r="C4619" i="8"/>
  <c r="B4619" i="8"/>
  <c r="D4618" i="8"/>
  <c r="F4618" i="8" s="1"/>
  <c r="C4618" i="8"/>
  <c r="B4618" i="8"/>
  <c r="D4617" i="8"/>
  <c r="F4617" i="8" s="1"/>
  <c r="C4617" i="8"/>
  <c r="B4617" i="8"/>
  <c r="D4616" i="8"/>
  <c r="F4616" i="8" s="1"/>
  <c r="C4616" i="8"/>
  <c r="B4616" i="8"/>
  <c r="D4615" i="8"/>
  <c r="F4615" i="8" s="1"/>
  <c r="C4615" i="8"/>
  <c r="B4615" i="8"/>
  <c r="D4614" i="8"/>
  <c r="F4614" i="8" s="1"/>
  <c r="C4614" i="8"/>
  <c r="B4614" i="8"/>
  <c r="D4613" i="8"/>
  <c r="F4613" i="8" s="1"/>
  <c r="C4613" i="8"/>
  <c r="B4613" i="8"/>
  <c r="D4612" i="8"/>
  <c r="F4612" i="8" s="1"/>
  <c r="C4612" i="8"/>
  <c r="B4612" i="8"/>
  <c r="D4611" i="8"/>
  <c r="F4611" i="8" s="1"/>
  <c r="C4611" i="8"/>
  <c r="B4611" i="8"/>
  <c r="D4610" i="8"/>
  <c r="F4610" i="8" s="1"/>
  <c r="C4610" i="8"/>
  <c r="B4610" i="8"/>
  <c r="D4609" i="8"/>
  <c r="F4609" i="8" s="1"/>
  <c r="C4609" i="8"/>
  <c r="B4609" i="8"/>
  <c r="D4608" i="8"/>
  <c r="F4608" i="8" s="1"/>
  <c r="C4608" i="8"/>
  <c r="B4608" i="8"/>
  <c r="D4607" i="8"/>
  <c r="F4607" i="8" s="1"/>
  <c r="C4607" i="8"/>
  <c r="B4607" i="8"/>
  <c r="D4606" i="8"/>
  <c r="F4606" i="8" s="1"/>
  <c r="C4606" i="8"/>
  <c r="B4606" i="8"/>
  <c r="D4605" i="8"/>
  <c r="F4605" i="8" s="1"/>
  <c r="C4605" i="8"/>
  <c r="B4605" i="8"/>
  <c r="D4604" i="8"/>
  <c r="F4604" i="8" s="1"/>
  <c r="C4604" i="8"/>
  <c r="B4604" i="8"/>
  <c r="D4603" i="8"/>
  <c r="F4603" i="8" s="1"/>
  <c r="C4603" i="8"/>
  <c r="B4603" i="8"/>
  <c r="D4602" i="8"/>
  <c r="F4602" i="8" s="1"/>
  <c r="C4602" i="8"/>
  <c r="B4602" i="8"/>
  <c r="D4601" i="8"/>
  <c r="F4601" i="8" s="1"/>
  <c r="C4601" i="8"/>
  <c r="B4601" i="8"/>
  <c r="D4600" i="8"/>
  <c r="F4600" i="8" s="1"/>
  <c r="C4600" i="8"/>
  <c r="B4600" i="8"/>
  <c r="D4599" i="8"/>
  <c r="F4599" i="8" s="1"/>
  <c r="C4599" i="8"/>
  <c r="B4599" i="8"/>
  <c r="D4598" i="8"/>
  <c r="F4598" i="8" s="1"/>
  <c r="C4598" i="8"/>
  <c r="B4598" i="8"/>
  <c r="D4597" i="8"/>
  <c r="F4597" i="8" s="1"/>
  <c r="C4597" i="8"/>
  <c r="B4597" i="8"/>
  <c r="D4596" i="8"/>
  <c r="F4596" i="8" s="1"/>
  <c r="C4596" i="8"/>
  <c r="B4596" i="8"/>
  <c r="D4595" i="8"/>
  <c r="F4595" i="8" s="1"/>
  <c r="C4595" i="8"/>
  <c r="B4595" i="8"/>
  <c r="D4594" i="8"/>
  <c r="F4594" i="8" s="1"/>
  <c r="C4594" i="8"/>
  <c r="B4594" i="8"/>
  <c r="D4593" i="8"/>
  <c r="F4593" i="8" s="1"/>
  <c r="C4593" i="8"/>
  <c r="B4593" i="8"/>
  <c r="D4592" i="8"/>
  <c r="F4592" i="8" s="1"/>
  <c r="C4592" i="8"/>
  <c r="B4592" i="8"/>
  <c r="D4591" i="8"/>
  <c r="F4591" i="8" s="1"/>
  <c r="C4591" i="8"/>
  <c r="B4591" i="8"/>
  <c r="D4590" i="8"/>
  <c r="F4590" i="8" s="1"/>
  <c r="C4590" i="8"/>
  <c r="B4590" i="8"/>
  <c r="D4589" i="8"/>
  <c r="F4589" i="8" s="1"/>
  <c r="C4589" i="8"/>
  <c r="B4589" i="8"/>
  <c r="D4588" i="8"/>
  <c r="F4588" i="8" s="1"/>
  <c r="C4588" i="8"/>
  <c r="B4588" i="8"/>
  <c r="D4587" i="8"/>
  <c r="F4587" i="8" s="1"/>
  <c r="C4587" i="8"/>
  <c r="B4587" i="8"/>
  <c r="D4586" i="8"/>
  <c r="F4586" i="8" s="1"/>
  <c r="C4586" i="8"/>
  <c r="B4586" i="8"/>
  <c r="D4585" i="8"/>
  <c r="F4585" i="8" s="1"/>
  <c r="C4585" i="8"/>
  <c r="B4585" i="8"/>
  <c r="D4584" i="8"/>
  <c r="F4584" i="8" s="1"/>
  <c r="C4584" i="8"/>
  <c r="B4584" i="8"/>
  <c r="D4583" i="8"/>
  <c r="F4583" i="8" s="1"/>
  <c r="C4583" i="8"/>
  <c r="B4583" i="8"/>
  <c r="D4582" i="8"/>
  <c r="F4582" i="8" s="1"/>
  <c r="C4582" i="8"/>
  <c r="B4582" i="8"/>
  <c r="D4581" i="8"/>
  <c r="F4581" i="8" s="1"/>
  <c r="C4581" i="8"/>
  <c r="B4581" i="8"/>
  <c r="D4580" i="8"/>
  <c r="F4580" i="8" s="1"/>
  <c r="C4580" i="8"/>
  <c r="B4580" i="8"/>
  <c r="D4579" i="8"/>
  <c r="F4579" i="8" s="1"/>
  <c r="C4579" i="8"/>
  <c r="B4579" i="8"/>
  <c r="D4578" i="8"/>
  <c r="F4578" i="8" s="1"/>
  <c r="C4578" i="8"/>
  <c r="B4578" i="8"/>
  <c r="D4577" i="8"/>
  <c r="F4577" i="8" s="1"/>
  <c r="K258" i="5" s="1"/>
  <c r="J258" i="5" s="1"/>
  <c r="C4577" i="8"/>
  <c r="B4577" i="8"/>
  <c r="D4576" i="8"/>
  <c r="F4576" i="8" s="1"/>
  <c r="C4576" i="8"/>
  <c r="B4576" i="8"/>
  <c r="D4575" i="8"/>
  <c r="F4575" i="8" s="1"/>
  <c r="C4575" i="8"/>
  <c r="B4575" i="8"/>
  <c r="D4574" i="8"/>
  <c r="F4574" i="8" s="1"/>
  <c r="C4574" i="8"/>
  <c r="B4574" i="8"/>
  <c r="D4573" i="8"/>
  <c r="F4573" i="8" s="1"/>
  <c r="C4573" i="8"/>
  <c r="B4573" i="8"/>
  <c r="D4572" i="8"/>
  <c r="F4572" i="8" s="1"/>
  <c r="C4572" i="8"/>
  <c r="B4572" i="8"/>
  <c r="D4571" i="8"/>
  <c r="F4571" i="8" s="1"/>
  <c r="C4571" i="8"/>
  <c r="B4571" i="8"/>
  <c r="D4570" i="8"/>
  <c r="F4570" i="8" s="1"/>
  <c r="C4570" i="8"/>
  <c r="B4570" i="8"/>
  <c r="D4569" i="8"/>
  <c r="F4569" i="8" s="1"/>
  <c r="C4569" i="8"/>
  <c r="B4569" i="8"/>
  <c r="D4568" i="8"/>
  <c r="F4568" i="8" s="1"/>
  <c r="C4568" i="8"/>
  <c r="B4568" i="8"/>
  <c r="D4567" i="8"/>
  <c r="F4567" i="8" s="1"/>
  <c r="C4567" i="8"/>
  <c r="B4567" i="8"/>
  <c r="D4566" i="8"/>
  <c r="F4566" i="8" s="1"/>
  <c r="C4566" i="8"/>
  <c r="B4566" i="8"/>
  <c r="D4565" i="8"/>
  <c r="F4565" i="8" s="1"/>
  <c r="C4565" i="8"/>
  <c r="B4565" i="8"/>
  <c r="D4564" i="8"/>
  <c r="F4564" i="8" s="1"/>
  <c r="C4564" i="8"/>
  <c r="B4564" i="8"/>
  <c r="D4563" i="8"/>
  <c r="F4563" i="8" s="1"/>
  <c r="C4563" i="8"/>
  <c r="B4563" i="8"/>
  <c r="D4562" i="8"/>
  <c r="F4562" i="8" s="1"/>
  <c r="C4562" i="8"/>
  <c r="B4562" i="8"/>
  <c r="D4561" i="8"/>
  <c r="F4561" i="8" s="1"/>
  <c r="C4561" i="8"/>
  <c r="B4561" i="8"/>
  <c r="D4560" i="8"/>
  <c r="F4560" i="8" s="1"/>
  <c r="C4560" i="8"/>
  <c r="B4560" i="8"/>
  <c r="D4559" i="8"/>
  <c r="F4559" i="8" s="1"/>
  <c r="C4559" i="8"/>
  <c r="B4559" i="8"/>
  <c r="D4558" i="8"/>
  <c r="F4558" i="8" s="1"/>
  <c r="C4558" i="8"/>
  <c r="B4558" i="8"/>
  <c r="D4557" i="8"/>
  <c r="F4557" i="8" s="1"/>
  <c r="C4557" i="8"/>
  <c r="B4557" i="8"/>
  <c r="D4556" i="8"/>
  <c r="F4556" i="8" s="1"/>
  <c r="C4556" i="8"/>
  <c r="B4556" i="8"/>
  <c r="D4555" i="8"/>
  <c r="F4555" i="8" s="1"/>
  <c r="C4555" i="8"/>
  <c r="B4555" i="8"/>
  <c r="D4554" i="8"/>
  <c r="F4554" i="8" s="1"/>
  <c r="C4554" i="8"/>
  <c r="B4554" i="8"/>
  <c r="D4553" i="8"/>
  <c r="F4553" i="8" s="1"/>
  <c r="C4553" i="8"/>
  <c r="B4553" i="8"/>
  <c r="D4552" i="8"/>
  <c r="F4552" i="8" s="1"/>
  <c r="C4552" i="8"/>
  <c r="B4552" i="8"/>
  <c r="D4551" i="8"/>
  <c r="F4551" i="8" s="1"/>
  <c r="C4551" i="8"/>
  <c r="B4551" i="8"/>
  <c r="D4550" i="8"/>
  <c r="F4550" i="8" s="1"/>
  <c r="C4550" i="8"/>
  <c r="B4550" i="8"/>
  <c r="D4549" i="8"/>
  <c r="F4549" i="8" s="1"/>
  <c r="C4549" i="8"/>
  <c r="B4549" i="8"/>
  <c r="D4548" i="8"/>
  <c r="F4548" i="8" s="1"/>
  <c r="C4548" i="8"/>
  <c r="B4548" i="8"/>
  <c r="D4547" i="8"/>
  <c r="F4547" i="8" s="1"/>
  <c r="C4547" i="8"/>
  <c r="B4547" i="8"/>
  <c r="D4546" i="8"/>
  <c r="F4546" i="8" s="1"/>
  <c r="C4546" i="8"/>
  <c r="B4546" i="8"/>
  <c r="D4545" i="8"/>
  <c r="F4545" i="8" s="1"/>
  <c r="C4545" i="8"/>
  <c r="B4545" i="8"/>
  <c r="D4544" i="8"/>
  <c r="F4544" i="8" s="1"/>
  <c r="C4544" i="8"/>
  <c r="B4544" i="8"/>
  <c r="D4543" i="8"/>
  <c r="F4543" i="8" s="1"/>
  <c r="C4543" i="8"/>
  <c r="B4543" i="8"/>
  <c r="D4542" i="8"/>
  <c r="F4542" i="8" s="1"/>
  <c r="C4542" i="8"/>
  <c r="B4542" i="8"/>
  <c r="D4541" i="8"/>
  <c r="F4541" i="8" s="1"/>
  <c r="C4541" i="8"/>
  <c r="B4541" i="8"/>
  <c r="D4540" i="8"/>
  <c r="F4540" i="8" s="1"/>
  <c r="C4540" i="8"/>
  <c r="B4540" i="8"/>
  <c r="F4539" i="8"/>
  <c r="D4539" i="8"/>
  <c r="C4539" i="8"/>
  <c r="B4539" i="8"/>
  <c r="D4538" i="8"/>
  <c r="F4538" i="8" s="1"/>
  <c r="C4538" i="8"/>
  <c r="B4538" i="8"/>
  <c r="D4537" i="8"/>
  <c r="F4537" i="8" s="1"/>
  <c r="C4537" i="8"/>
  <c r="B4537" i="8"/>
  <c r="D4536" i="8"/>
  <c r="F4536" i="8" s="1"/>
  <c r="C4536" i="8"/>
  <c r="B4536" i="8"/>
  <c r="D4535" i="8"/>
  <c r="F4535" i="8" s="1"/>
  <c r="C4535" i="8"/>
  <c r="B4535" i="8"/>
  <c r="D4534" i="8"/>
  <c r="F4534" i="8" s="1"/>
  <c r="C4534" i="8"/>
  <c r="B4534" i="8"/>
  <c r="D4533" i="8"/>
  <c r="F4533" i="8" s="1"/>
  <c r="C4533" i="8"/>
  <c r="B4533" i="8"/>
  <c r="D4532" i="8"/>
  <c r="F4532" i="8" s="1"/>
  <c r="C4532" i="8"/>
  <c r="B4532" i="8"/>
  <c r="D4531" i="8"/>
  <c r="F4531" i="8" s="1"/>
  <c r="C4531" i="8"/>
  <c r="B4531" i="8"/>
  <c r="D4530" i="8"/>
  <c r="F4530" i="8" s="1"/>
  <c r="C4530" i="8"/>
  <c r="B4530" i="8"/>
  <c r="D4529" i="8"/>
  <c r="F4529" i="8" s="1"/>
  <c r="C4529" i="8"/>
  <c r="B4529" i="8"/>
  <c r="D4528" i="8"/>
  <c r="F4528" i="8" s="1"/>
  <c r="C4528" i="8"/>
  <c r="B4528" i="8"/>
  <c r="D4527" i="8"/>
  <c r="F4527" i="8" s="1"/>
  <c r="C4527" i="8"/>
  <c r="B4527" i="8"/>
  <c r="D4526" i="8"/>
  <c r="F4526" i="8" s="1"/>
  <c r="C4526" i="8"/>
  <c r="B4526" i="8"/>
  <c r="D4525" i="8"/>
  <c r="F4525" i="8" s="1"/>
  <c r="C4525" i="8"/>
  <c r="B4525" i="8"/>
  <c r="D4524" i="8"/>
  <c r="F4524" i="8" s="1"/>
  <c r="C4524" i="8"/>
  <c r="B4524" i="8"/>
  <c r="D4523" i="8"/>
  <c r="F4523" i="8" s="1"/>
  <c r="C4523" i="8"/>
  <c r="B4523" i="8"/>
  <c r="D4522" i="8"/>
  <c r="F4522" i="8" s="1"/>
  <c r="C4522" i="8"/>
  <c r="B4522" i="8"/>
  <c r="D4521" i="8"/>
  <c r="F4521" i="8" s="1"/>
  <c r="C4521" i="8"/>
  <c r="B4521" i="8"/>
  <c r="D4520" i="8"/>
  <c r="F4520" i="8" s="1"/>
  <c r="C4520" i="8"/>
  <c r="B4520" i="8"/>
  <c r="D4519" i="8"/>
  <c r="F4519" i="8" s="1"/>
  <c r="C4519" i="8"/>
  <c r="B4519" i="8"/>
  <c r="D4518" i="8"/>
  <c r="F4518" i="8" s="1"/>
  <c r="C4518" i="8"/>
  <c r="B4518" i="8"/>
  <c r="D4517" i="8"/>
  <c r="F4517" i="8" s="1"/>
  <c r="C4517" i="8"/>
  <c r="B4517" i="8"/>
  <c r="D4516" i="8"/>
  <c r="F4516" i="8" s="1"/>
  <c r="C4516" i="8"/>
  <c r="B4516" i="8"/>
  <c r="D4515" i="8"/>
  <c r="F4515" i="8" s="1"/>
  <c r="C4515" i="8"/>
  <c r="B4515" i="8"/>
  <c r="D4514" i="8"/>
  <c r="F4514" i="8" s="1"/>
  <c r="C4514" i="8"/>
  <c r="B4514" i="8"/>
  <c r="D4513" i="8"/>
  <c r="F4513" i="8" s="1"/>
  <c r="C4513" i="8"/>
  <c r="B4513" i="8"/>
  <c r="D4512" i="8"/>
  <c r="F4512" i="8" s="1"/>
  <c r="C4512" i="8"/>
  <c r="B4512" i="8"/>
  <c r="D4511" i="8"/>
  <c r="F4511" i="8" s="1"/>
  <c r="C4511" i="8"/>
  <c r="B4511" i="8"/>
  <c r="D4510" i="8"/>
  <c r="F4510" i="8" s="1"/>
  <c r="C4510" i="8"/>
  <c r="B4510" i="8"/>
  <c r="D4509" i="8"/>
  <c r="F4509" i="8" s="1"/>
  <c r="C4509" i="8"/>
  <c r="B4509" i="8"/>
  <c r="D4508" i="8"/>
  <c r="F4508" i="8" s="1"/>
  <c r="C4508" i="8"/>
  <c r="B4508" i="8"/>
  <c r="D4507" i="8"/>
  <c r="F4507" i="8" s="1"/>
  <c r="C4507" i="8"/>
  <c r="B4507" i="8"/>
  <c r="D4506" i="8"/>
  <c r="F4506" i="8" s="1"/>
  <c r="C4506" i="8"/>
  <c r="B4506" i="8"/>
  <c r="D4505" i="8"/>
  <c r="F4505" i="8" s="1"/>
  <c r="C4505" i="8"/>
  <c r="B4505" i="8"/>
  <c r="D4504" i="8"/>
  <c r="F4504" i="8" s="1"/>
  <c r="C4504" i="8"/>
  <c r="B4504" i="8"/>
  <c r="D4503" i="8"/>
  <c r="F4503" i="8" s="1"/>
  <c r="C4503" i="8"/>
  <c r="B4503" i="8"/>
  <c r="D4502" i="8"/>
  <c r="F4502" i="8" s="1"/>
  <c r="C4502" i="8"/>
  <c r="B4502" i="8"/>
  <c r="D4501" i="8"/>
  <c r="F4501" i="8" s="1"/>
  <c r="C4501" i="8"/>
  <c r="B4501" i="8"/>
  <c r="D4500" i="8"/>
  <c r="F4500" i="8" s="1"/>
  <c r="C4500" i="8"/>
  <c r="B4500" i="8"/>
  <c r="D4499" i="8"/>
  <c r="F4499" i="8" s="1"/>
  <c r="C4499" i="8"/>
  <c r="B4499" i="8"/>
  <c r="D4498" i="8"/>
  <c r="F4498" i="8" s="1"/>
  <c r="C4498" i="8"/>
  <c r="B4498" i="8"/>
  <c r="D4497" i="8"/>
  <c r="F4497" i="8" s="1"/>
  <c r="C4497" i="8"/>
  <c r="B4497" i="8"/>
  <c r="D4496" i="8"/>
  <c r="F4496" i="8" s="1"/>
  <c r="C4496" i="8"/>
  <c r="B4496" i="8"/>
  <c r="D4495" i="8"/>
  <c r="F4495" i="8" s="1"/>
  <c r="C4495" i="8"/>
  <c r="B4495" i="8"/>
  <c r="D4494" i="8"/>
  <c r="F4494" i="8" s="1"/>
  <c r="C4494" i="8"/>
  <c r="B4494" i="8"/>
  <c r="D4493" i="8"/>
  <c r="F4493" i="8" s="1"/>
  <c r="C4493" i="8"/>
  <c r="B4493" i="8"/>
  <c r="D4492" i="8"/>
  <c r="F4492" i="8" s="1"/>
  <c r="C4492" i="8"/>
  <c r="B4492" i="8"/>
  <c r="D4491" i="8"/>
  <c r="F4491" i="8" s="1"/>
  <c r="C4491" i="8"/>
  <c r="B4491" i="8"/>
  <c r="D4490" i="8"/>
  <c r="F4490" i="8" s="1"/>
  <c r="C4490" i="8"/>
  <c r="B4490" i="8"/>
  <c r="D4489" i="8"/>
  <c r="F4489" i="8" s="1"/>
  <c r="C4489" i="8"/>
  <c r="B4489" i="8"/>
  <c r="D4488" i="8"/>
  <c r="F4488" i="8" s="1"/>
  <c r="C4488" i="8"/>
  <c r="B4488" i="8"/>
  <c r="D4487" i="8"/>
  <c r="F4487" i="8" s="1"/>
  <c r="C4487" i="8"/>
  <c r="B4487" i="8"/>
  <c r="D4486" i="8"/>
  <c r="F4486" i="8" s="1"/>
  <c r="C4486" i="8"/>
  <c r="B4486" i="8"/>
  <c r="D4485" i="8"/>
  <c r="F4485" i="8" s="1"/>
  <c r="C4485" i="8"/>
  <c r="B4485" i="8"/>
  <c r="D4484" i="8"/>
  <c r="F4484" i="8" s="1"/>
  <c r="C4484" i="8"/>
  <c r="B4484" i="8"/>
  <c r="D4483" i="8"/>
  <c r="F4483" i="8" s="1"/>
  <c r="C4483" i="8"/>
  <c r="B4483" i="8"/>
  <c r="D4482" i="8"/>
  <c r="F4482" i="8" s="1"/>
  <c r="C4482" i="8"/>
  <c r="B4482" i="8"/>
  <c r="D4481" i="8"/>
  <c r="F4481" i="8" s="1"/>
  <c r="C4481" i="8"/>
  <c r="B4481" i="8"/>
  <c r="D4480" i="8"/>
  <c r="F4480" i="8" s="1"/>
  <c r="C4480" i="8"/>
  <c r="B4480" i="8"/>
  <c r="D4479" i="8"/>
  <c r="F4479" i="8" s="1"/>
  <c r="C4479" i="8"/>
  <c r="B4479" i="8"/>
  <c r="D4478" i="8"/>
  <c r="F4478" i="8" s="1"/>
  <c r="C4478" i="8"/>
  <c r="B4478" i="8"/>
  <c r="D4477" i="8"/>
  <c r="F4477" i="8" s="1"/>
  <c r="C4477" i="8"/>
  <c r="B4477" i="8"/>
  <c r="D4476" i="8"/>
  <c r="F4476" i="8" s="1"/>
  <c r="C4476" i="8"/>
  <c r="B4476" i="8"/>
  <c r="D4475" i="8"/>
  <c r="F4475" i="8" s="1"/>
  <c r="C4475" i="8"/>
  <c r="B4475" i="8"/>
  <c r="D4474" i="8"/>
  <c r="F4474" i="8" s="1"/>
  <c r="C4474" i="8"/>
  <c r="B4474" i="8"/>
  <c r="D4473" i="8"/>
  <c r="F4473" i="8" s="1"/>
  <c r="C4473" i="8"/>
  <c r="B4473" i="8"/>
  <c r="D4472" i="8"/>
  <c r="F4472" i="8" s="1"/>
  <c r="C4472" i="8"/>
  <c r="B4472" i="8"/>
  <c r="D4471" i="8"/>
  <c r="F4471" i="8" s="1"/>
  <c r="C4471" i="8"/>
  <c r="B4471" i="8"/>
  <c r="D4470" i="8"/>
  <c r="F4470" i="8" s="1"/>
  <c r="C4470" i="8"/>
  <c r="B4470" i="8"/>
  <c r="D4469" i="8"/>
  <c r="F4469" i="8" s="1"/>
  <c r="C4469" i="8"/>
  <c r="B4469" i="8"/>
  <c r="D4468" i="8"/>
  <c r="F4468" i="8" s="1"/>
  <c r="C4468" i="8"/>
  <c r="B4468" i="8"/>
  <c r="D4467" i="8"/>
  <c r="F4467" i="8" s="1"/>
  <c r="C4467" i="8"/>
  <c r="B4467" i="8"/>
  <c r="D4466" i="8"/>
  <c r="F4466" i="8" s="1"/>
  <c r="C4466" i="8"/>
  <c r="B4466" i="8"/>
  <c r="D4465" i="8"/>
  <c r="F4465" i="8" s="1"/>
  <c r="C4465" i="8"/>
  <c r="B4465" i="8"/>
  <c r="D4464" i="8"/>
  <c r="F4464" i="8" s="1"/>
  <c r="C4464" i="8"/>
  <c r="B4464" i="8"/>
  <c r="D4463" i="8"/>
  <c r="F4463" i="8" s="1"/>
  <c r="C4463" i="8"/>
  <c r="B4463" i="8"/>
  <c r="D4462" i="8"/>
  <c r="F4462" i="8" s="1"/>
  <c r="C4462" i="8"/>
  <c r="B4462" i="8"/>
  <c r="D4461" i="8"/>
  <c r="F4461" i="8" s="1"/>
  <c r="C4461" i="8"/>
  <c r="B4461" i="8"/>
  <c r="D4460" i="8"/>
  <c r="F4460" i="8" s="1"/>
  <c r="C4460" i="8"/>
  <c r="B4460" i="8"/>
  <c r="D4459" i="8"/>
  <c r="F4459" i="8" s="1"/>
  <c r="C4459" i="8"/>
  <c r="B4459" i="8"/>
  <c r="D4458" i="8"/>
  <c r="F4458" i="8" s="1"/>
  <c r="C4458" i="8"/>
  <c r="B4458" i="8"/>
  <c r="D4457" i="8"/>
  <c r="F4457" i="8" s="1"/>
  <c r="C4457" i="8"/>
  <c r="B4457" i="8"/>
  <c r="D4456" i="8"/>
  <c r="F4456" i="8" s="1"/>
  <c r="C4456" i="8"/>
  <c r="B4456" i="8"/>
  <c r="D4455" i="8"/>
  <c r="F4455" i="8" s="1"/>
  <c r="K537" i="5" s="1"/>
  <c r="J537" i="5" s="1"/>
  <c r="C4455" i="8"/>
  <c r="B4455" i="8"/>
  <c r="D4454" i="8"/>
  <c r="F4454" i="8" s="1"/>
  <c r="C4454" i="8"/>
  <c r="B4454" i="8"/>
  <c r="D4453" i="8"/>
  <c r="F4453" i="8" s="1"/>
  <c r="C4453" i="8"/>
  <c r="B4453" i="8"/>
  <c r="D4452" i="8"/>
  <c r="F4452" i="8" s="1"/>
  <c r="C4452" i="8"/>
  <c r="B4452" i="8"/>
  <c r="D4451" i="8"/>
  <c r="F4451" i="8" s="1"/>
  <c r="C4451" i="8"/>
  <c r="B4451" i="8"/>
  <c r="D4450" i="8"/>
  <c r="F4450" i="8" s="1"/>
  <c r="C4450" i="8"/>
  <c r="B4450" i="8"/>
  <c r="D4449" i="8"/>
  <c r="F4449" i="8" s="1"/>
  <c r="C4449" i="8"/>
  <c r="B4449" i="8"/>
  <c r="D4448" i="8"/>
  <c r="F4448" i="8" s="1"/>
  <c r="C4448" i="8"/>
  <c r="B4448" i="8"/>
  <c r="D4447" i="8"/>
  <c r="F4447" i="8" s="1"/>
  <c r="C4447" i="8"/>
  <c r="B4447" i="8"/>
  <c r="D4446" i="8"/>
  <c r="F4446" i="8" s="1"/>
  <c r="C4446" i="8"/>
  <c r="B4446" i="8"/>
  <c r="F4445" i="8"/>
  <c r="D4445" i="8"/>
  <c r="C4445" i="8"/>
  <c r="B4445" i="8"/>
  <c r="D4444" i="8"/>
  <c r="F4444" i="8" s="1"/>
  <c r="C4444" i="8"/>
  <c r="B4444" i="8"/>
  <c r="D4443" i="8"/>
  <c r="F4443" i="8" s="1"/>
  <c r="C4443" i="8"/>
  <c r="B4443" i="8"/>
  <c r="D4442" i="8"/>
  <c r="F4442" i="8" s="1"/>
  <c r="C4442" i="8"/>
  <c r="B4442" i="8"/>
  <c r="F4441" i="8"/>
  <c r="D4441" i="8"/>
  <c r="C4441" i="8"/>
  <c r="B4441" i="8"/>
  <c r="D4440" i="8"/>
  <c r="F4440" i="8" s="1"/>
  <c r="C4440" i="8"/>
  <c r="B4440" i="8"/>
  <c r="D4439" i="8"/>
  <c r="F4439" i="8" s="1"/>
  <c r="C4439" i="8"/>
  <c r="B4439" i="8"/>
  <c r="D4438" i="8"/>
  <c r="F4438" i="8" s="1"/>
  <c r="C4438" i="8"/>
  <c r="B4438" i="8"/>
  <c r="D4437" i="8"/>
  <c r="F4437" i="8" s="1"/>
  <c r="C4437" i="8"/>
  <c r="B4437" i="8"/>
  <c r="D4436" i="8"/>
  <c r="F4436" i="8" s="1"/>
  <c r="C4436" i="8"/>
  <c r="B4436" i="8"/>
  <c r="D4435" i="8"/>
  <c r="F4435" i="8" s="1"/>
  <c r="C4435" i="8"/>
  <c r="B4435" i="8"/>
  <c r="D4434" i="8"/>
  <c r="F4434" i="8" s="1"/>
  <c r="C4434" i="8"/>
  <c r="B4434" i="8"/>
  <c r="D4433" i="8"/>
  <c r="F4433" i="8" s="1"/>
  <c r="C4433" i="8"/>
  <c r="B4433" i="8"/>
  <c r="D4432" i="8"/>
  <c r="F4432" i="8" s="1"/>
  <c r="C4432" i="8"/>
  <c r="B4432" i="8"/>
  <c r="D4431" i="8"/>
  <c r="F4431" i="8" s="1"/>
  <c r="C4431" i="8"/>
  <c r="B4431" i="8"/>
  <c r="D4430" i="8"/>
  <c r="F4430" i="8" s="1"/>
  <c r="C4430" i="8"/>
  <c r="B4430" i="8"/>
  <c r="D4429" i="8"/>
  <c r="F4429" i="8" s="1"/>
  <c r="C4429" i="8"/>
  <c r="B4429" i="8"/>
  <c r="D4428" i="8"/>
  <c r="F4428" i="8" s="1"/>
  <c r="C4428" i="8"/>
  <c r="B4428" i="8"/>
  <c r="D4427" i="8"/>
  <c r="F4427" i="8" s="1"/>
  <c r="C4427" i="8"/>
  <c r="B4427" i="8"/>
  <c r="D4426" i="8"/>
  <c r="F4426" i="8" s="1"/>
  <c r="C4426" i="8"/>
  <c r="B4426" i="8"/>
  <c r="D4425" i="8"/>
  <c r="F4425" i="8" s="1"/>
  <c r="C4425" i="8"/>
  <c r="B4425" i="8"/>
  <c r="D4424" i="8"/>
  <c r="F4424" i="8" s="1"/>
  <c r="C4424" i="8"/>
  <c r="B4424" i="8"/>
  <c r="D4423" i="8"/>
  <c r="F4423" i="8" s="1"/>
  <c r="C4423" i="8"/>
  <c r="B4423" i="8"/>
  <c r="D4422" i="8"/>
  <c r="F4422" i="8" s="1"/>
  <c r="C4422" i="8"/>
  <c r="B4422" i="8"/>
  <c r="D4421" i="8"/>
  <c r="F4421" i="8" s="1"/>
  <c r="C4421" i="8"/>
  <c r="B4421" i="8"/>
  <c r="D4420" i="8"/>
  <c r="F4420" i="8" s="1"/>
  <c r="C4420" i="8"/>
  <c r="B4420" i="8"/>
  <c r="D4419" i="8"/>
  <c r="F4419" i="8" s="1"/>
  <c r="C4419" i="8"/>
  <c r="B4419" i="8"/>
  <c r="D4418" i="8"/>
  <c r="F4418" i="8" s="1"/>
  <c r="C4418" i="8"/>
  <c r="B4418" i="8"/>
  <c r="D4417" i="8"/>
  <c r="F4417" i="8" s="1"/>
  <c r="C4417" i="8"/>
  <c r="B4417" i="8"/>
  <c r="D4416" i="8"/>
  <c r="F4416" i="8" s="1"/>
  <c r="C4416" i="8"/>
  <c r="B4416" i="8"/>
  <c r="D4415" i="8"/>
  <c r="F4415" i="8" s="1"/>
  <c r="C4415" i="8"/>
  <c r="B4415" i="8"/>
  <c r="D4414" i="8"/>
  <c r="F4414" i="8" s="1"/>
  <c r="C4414" i="8"/>
  <c r="B4414" i="8"/>
  <c r="D4413" i="8"/>
  <c r="F4413" i="8" s="1"/>
  <c r="C4413" i="8"/>
  <c r="B4413" i="8"/>
  <c r="D4412" i="8"/>
  <c r="F4412" i="8" s="1"/>
  <c r="C4412" i="8"/>
  <c r="B4412" i="8"/>
  <c r="D4411" i="8"/>
  <c r="F4411" i="8" s="1"/>
  <c r="C4411" i="8"/>
  <c r="B4411" i="8"/>
  <c r="D4410" i="8"/>
  <c r="F4410" i="8" s="1"/>
  <c r="C4410" i="8"/>
  <c r="B4410" i="8"/>
  <c r="D4409" i="8"/>
  <c r="F4409" i="8" s="1"/>
  <c r="C4409" i="8"/>
  <c r="B4409" i="8"/>
  <c r="D4408" i="8"/>
  <c r="F4408" i="8" s="1"/>
  <c r="C4408" i="8"/>
  <c r="B4408" i="8"/>
  <c r="D4407" i="8"/>
  <c r="F4407" i="8" s="1"/>
  <c r="C4407" i="8"/>
  <c r="B4407" i="8"/>
  <c r="D4406" i="8"/>
  <c r="F4406" i="8" s="1"/>
  <c r="C4406" i="8"/>
  <c r="B4406" i="8"/>
  <c r="D4405" i="8"/>
  <c r="F4405" i="8" s="1"/>
  <c r="C4405" i="8"/>
  <c r="B4405" i="8"/>
  <c r="D4404" i="8"/>
  <c r="F4404" i="8" s="1"/>
  <c r="C4404" i="8"/>
  <c r="B4404" i="8"/>
  <c r="D4403" i="8"/>
  <c r="F4403" i="8" s="1"/>
  <c r="C4403" i="8"/>
  <c r="B4403" i="8"/>
  <c r="D4402" i="8"/>
  <c r="F4402" i="8" s="1"/>
  <c r="C4402" i="8"/>
  <c r="B4402" i="8"/>
  <c r="D4401" i="8"/>
  <c r="F4401" i="8" s="1"/>
  <c r="C4401" i="8"/>
  <c r="B4401" i="8"/>
  <c r="D4400" i="8"/>
  <c r="F4400" i="8" s="1"/>
  <c r="C4400" i="8"/>
  <c r="B4400" i="8"/>
  <c r="D4399" i="8"/>
  <c r="F4399" i="8" s="1"/>
  <c r="C4399" i="8"/>
  <c r="B4399" i="8"/>
  <c r="D4398" i="8"/>
  <c r="F4398" i="8" s="1"/>
  <c r="C4398" i="8"/>
  <c r="B4398" i="8"/>
  <c r="D4397" i="8"/>
  <c r="F4397" i="8" s="1"/>
  <c r="C4397" i="8"/>
  <c r="B4397" i="8"/>
  <c r="D4396" i="8"/>
  <c r="F4396" i="8" s="1"/>
  <c r="C4396" i="8"/>
  <c r="B4396" i="8"/>
  <c r="D4395" i="8"/>
  <c r="F4395" i="8" s="1"/>
  <c r="C4395" i="8"/>
  <c r="B4395" i="8"/>
  <c r="D4394" i="8"/>
  <c r="F4394" i="8" s="1"/>
  <c r="C4394" i="8"/>
  <c r="B4394" i="8"/>
  <c r="D4393" i="8"/>
  <c r="F4393" i="8" s="1"/>
  <c r="C4393" i="8"/>
  <c r="B4393" i="8"/>
  <c r="D4392" i="8"/>
  <c r="F4392" i="8" s="1"/>
  <c r="C4392" i="8"/>
  <c r="B4392" i="8"/>
  <c r="D4391" i="8"/>
  <c r="F4391" i="8" s="1"/>
  <c r="C4391" i="8"/>
  <c r="B4391" i="8"/>
  <c r="D4390" i="8"/>
  <c r="F4390" i="8" s="1"/>
  <c r="C4390" i="8"/>
  <c r="B4390" i="8"/>
  <c r="D4389" i="8"/>
  <c r="F4389" i="8" s="1"/>
  <c r="C4389" i="8"/>
  <c r="B4389" i="8"/>
  <c r="D4388" i="8"/>
  <c r="F4388" i="8" s="1"/>
  <c r="C4388" i="8"/>
  <c r="B4388" i="8"/>
  <c r="D4387" i="8"/>
  <c r="F4387" i="8" s="1"/>
  <c r="C4387" i="8"/>
  <c r="B4387" i="8"/>
  <c r="D4386" i="8"/>
  <c r="F4386" i="8" s="1"/>
  <c r="C4386" i="8"/>
  <c r="B4386" i="8"/>
  <c r="D4385" i="8"/>
  <c r="F4385" i="8" s="1"/>
  <c r="C4385" i="8"/>
  <c r="B4385" i="8"/>
  <c r="D4384" i="8"/>
  <c r="F4384" i="8" s="1"/>
  <c r="C4384" i="8"/>
  <c r="B4384" i="8"/>
  <c r="D4383" i="8"/>
  <c r="F4383" i="8" s="1"/>
  <c r="C4383" i="8"/>
  <c r="B4383" i="8"/>
  <c r="D4382" i="8"/>
  <c r="F4382" i="8" s="1"/>
  <c r="C4382" i="8"/>
  <c r="B4382" i="8"/>
  <c r="D4381" i="8"/>
  <c r="F4381" i="8" s="1"/>
  <c r="C4381" i="8"/>
  <c r="B4381" i="8"/>
  <c r="D4380" i="8"/>
  <c r="F4380" i="8" s="1"/>
  <c r="C4380" i="8"/>
  <c r="B4380" i="8"/>
  <c r="D4379" i="8"/>
  <c r="F4379" i="8" s="1"/>
  <c r="C4379" i="8"/>
  <c r="B4379" i="8"/>
  <c r="D4378" i="8"/>
  <c r="F4378" i="8" s="1"/>
  <c r="C4378" i="8"/>
  <c r="B4378" i="8"/>
  <c r="F4377" i="8"/>
  <c r="D4377" i="8"/>
  <c r="C4377" i="8"/>
  <c r="B4377" i="8"/>
  <c r="D4376" i="8"/>
  <c r="F4376" i="8" s="1"/>
  <c r="C4376" i="8"/>
  <c r="B4376" i="8"/>
  <c r="D4375" i="8"/>
  <c r="F4375" i="8" s="1"/>
  <c r="C4375" i="8"/>
  <c r="B4375" i="8"/>
  <c r="D4374" i="8"/>
  <c r="F4374" i="8" s="1"/>
  <c r="C4374" i="8"/>
  <c r="B4374" i="8"/>
  <c r="D4373" i="8"/>
  <c r="F4373" i="8" s="1"/>
  <c r="C4373" i="8"/>
  <c r="B4373" i="8"/>
  <c r="D4372" i="8"/>
  <c r="F4372" i="8" s="1"/>
  <c r="C4372" i="8"/>
  <c r="B4372" i="8"/>
  <c r="D4371" i="8"/>
  <c r="F4371" i="8" s="1"/>
  <c r="C4371" i="8"/>
  <c r="B4371" i="8"/>
  <c r="D4370" i="8"/>
  <c r="F4370" i="8" s="1"/>
  <c r="C4370" i="8"/>
  <c r="B4370" i="8"/>
  <c r="D4369" i="8"/>
  <c r="F4369" i="8" s="1"/>
  <c r="C4369" i="8"/>
  <c r="B4369" i="8"/>
  <c r="D4368" i="8"/>
  <c r="F4368" i="8" s="1"/>
  <c r="C4368" i="8"/>
  <c r="B4368" i="8"/>
  <c r="D4367" i="8"/>
  <c r="F4367" i="8" s="1"/>
  <c r="C4367" i="8"/>
  <c r="B4367" i="8"/>
  <c r="D4366" i="8"/>
  <c r="F4366" i="8" s="1"/>
  <c r="C4366" i="8"/>
  <c r="B4366" i="8"/>
  <c r="D4365" i="8"/>
  <c r="F4365" i="8" s="1"/>
  <c r="C4365" i="8"/>
  <c r="B4365" i="8"/>
  <c r="D4364" i="8"/>
  <c r="F4364" i="8" s="1"/>
  <c r="C4364" i="8"/>
  <c r="B4364" i="8"/>
  <c r="D4363" i="8"/>
  <c r="F4363" i="8" s="1"/>
  <c r="C4363" i="8"/>
  <c r="B4363" i="8"/>
  <c r="D4362" i="8"/>
  <c r="F4362" i="8" s="1"/>
  <c r="C4362" i="8"/>
  <c r="B4362" i="8"/>
  <c r="D4361" i="8"/>
  <c r="F4361" i="8" s="1"/>
  <c r="C4361" i="8"/>
  <c r="B4361" i="8"/>
  <c r="D4360" i="8"/>
  <c r="F4360" i="8" s="1"/>
  <c r="C4360" i="8"/>
  <c r="B4360" i="8"/>
  <c r="F4359" i="8"/>
  <c r="D4359" i="8"/>
  <c r="C4359" i="8"/>
  <c r="B4359" i="8"/>
  <c r="D4358" i="8"/>
  <c r="F4358" i="8" s="1"/>
  <c r="C4358" i="8"/>
  <c r="B4358" i="8"/>
  <c r="D4357" i="8"/>
  <c r="F4357" i="8" s="1"/>
  <c r="C4357" i="8"/>
  <c r="B4357" i="8"/>
  <c r="D4356" i="8"/>
  <c r="F4356" i="8" s="1"/>
  <c r="C4356" i="8"/>
  <c r="B4356" i="8"/>
  <c r="D4355" i="8"/>
  <c r="F4355" i="8" s="1"/>
  <c r="C4355" i="8"/>
  <c r="B4355" i="8"/>
  <c r="D4354" i="8"/>
  <c r="F4354" i="8" s="1"/>
  <c r="C4354" i="8"/>
  <c r="B4354" i="8"/>
  <c r="D4353" i="8"/>
  <c r="F4353" i="8" s="1"/>
  <c r="C4353" i="8"/>
  <c r="B4353" i="8"/>
  <c r="D4352" i="8"/>
  <c r="F4352" i="8" s="1"/>
  <c r="C4352" i="8"/>
  <c r="B4352" i="8"/>
  <c r="F4351" i="8"/>
  <c r="D4351" i="8"/>
  <c r="C4351" i="8"/>
  <c r="B4351" i="8"/>
  <c r="D4350" i="8"/>
  <c r="F4350" i="8" s="1"/>
  <c r="C4350" i="8"/>
  <c r="B4350" i="8"/>
  <c r="D4349" i="8"/>
  <c r="F4349" i="8" s="1"/>
  <c r="C4349" i="8"/>
  <c r="B4349" i="8"/>
  <c r="D4348" i="8"/>
  <c r="F4348" i="8" s="1"/>
  <c r="C4348" i="8"/>
  <c r="B4348" i="8"/>
  <c r="D4347" i="8"/>
  <c r="F4347" i="8" s="1"/>
  <c r="C4347" i="8"/>
  <c r="B4347" i="8"/>
  <c r="D4346" i="8"/>
  <c r="F4346" i="8" s="1"/>
  <c r="C4346" i="8"/>
  <c r="B4346" i="8"/>
  <c r="D4345" i="8"/>
  <c r="F4345" i="8" s="1"/>
  <c r="C4345" i="8"/>
  <c r="B4345" i="8"/>
  <c r="D4344" i="8"/>
  <c r="F4344" i="8" s="1"/>
  <c r="C4344" i="8"/>
  <c r="B4344" i="8"/>
  <c r="D4343" i="8"/>
  <c r="F4343" i="8" s="1"/>
  <c r="C4343" i="8"/>
  <c r="B4343" i="8"/>
  <c r="D4342" i="8"/>
  <c r="F4342" i="8" s="1"/>
  <c r="C4342" i="8"/>
  <c r="B4342" i="8"/>
  <c r="D4341" i="8"/>
  <c r="F4341" i="8" s="1"/>
  <c r="C4341" i="8"/>
  <c r="B4341" i="8"/>
  <c r="D4340" i="8"/>
  <c r="F4340" i="8" s="1"/>
  <c r="C4340" i="8"/>
  <c r="B4340" i="8"/>
  <c r="D4339" i="8"/>
  <c r="F4339" i="8" s="1"/>
  <c r="C4339" i="8"/>
  <c r="B4339" i="8"/>
  <c r="D4338" i="8"/>
  <c r="F4338" i="8" s="1"/>
  <c r="C4338" i="8"/>
  <c r="B4338" i="8"/>
  <c r="D4337" i="8"/>
  <c r="F4337" i="8" s="1"/>
  <c r="C4337" i="8"/>
  <c r="B4337" i="8"/>
  <c r="D4336" i="8"/>
  <c r="F4336" i="8" s="1"/>
  <c r="C4336" i="8"/>
  <c r="B4336" i="8"/>
  <c r="D4335" i="8"/>
  <c r="F4335" i="8" s="1"/>
  <c r="C4335" i="8"/>
  <c r="B4335" i="8"/>
  <c r="D4334" i="8"/>
  <c r="F4334" i="8" s="1"/>
  <c r="C4334" i="8"/>
  <c r="B4334" i="8"/>
  <c r="D4333" i="8"/>
  <c r="F4333" i="8" s="1"/>
  <c r="C4333" i="8"/>
  <c r="B4333" i="8"/>
  <c r="D4332" i="8"/>
  <c r="F4332" i="8" s="1"/>
  <c r="C4332" i="8"/>
  <c r="B4332" i="8"/>
  <c r="D4331" i="8"/>
  <c r="F4331" i="8" s="1"/>
  <c r="C4331" i="8"/>
  <c r="B4331" i="8"/>
  <c r="D4330" i="8"/>
  <c r="F4330" i="8" s="1"/>
  <c r="C4330" i="8"/>
  <c r="B4330" i="8"/>
  <c r="D4329" i="8"/>
  <c r="F4329" i="8" s="1"/>
  <c r="C4329" i="8"/>
  <c r="B4329" i="8"/>
  <c r="D4328" i="8"/>
  <c r="F4328" i="8" s="1"/>
  <c r="C4328" i="8"/>
  <c r="B4328" i="8"/>
  <c r="D4327" i="8"/>
  <c r="F4327" i="8" s="1"/>
  <c r="C4327" i="8"/>
  <c r="B4327" i="8"/>
  <c r="D4326" i="8"/>
  <c r="F4326" i="8" s="1"/>
  <c r="C4326" i="8"/>
  <c r="B4326" i="8"/>
  <c r="D4325" i="8"/>
  <c r="F4325" i="8" s="1"/>
  <c r="C4325" i="8"/>
  <c r="B4325" i="8"/>
  <c r="D4324" i="8"/>
  <c r="F4324" i="8" s="1"/>
  <c r="C4324" i="8"/>
  <c r="B4324" i="8"/>
  <c r="F4323" i="8"/>
  <c r="D4323" i="8"/>
  <c r="C4323" i="8"/>
  <c r="B4323" i="8"/>
  <c r="D4322" i="8"/>
  <c r="F4322" i="8" s="1"/>
  <c r="C4322" i="8"/>
  <c r="B4322" i="8"/>
  <c r="D4321" i="8"/>
  <c r="F4321" i="8" s="1"/>
  <c r="C4321" i="8"/>
  <c r="B4321" i="8"/>
  <c r="D4320" i="8"/>
  <c r="F4320" i="8" s="1"/>
  <c r="C4320" i="8"/>
  <c r="B4320" i="8"/>
  <c r="D4319" i="8"/>
  <c r="F4319" i="8" s="1"/>
  <c r="C4319" i="8"/>
  <c r="B4319" i="8"/>
  <c r="D4318" i="8"/>
  <c r="F4318" i="8" s="1"/>
  <c r="C4318" i="8"/>
  <c r="B4318" i="8"/>
  <c r="D4317" i="8"/>
  <c r="F4317" i="8" s="1"/>
  <c r="C4317" i="8"/>
  <c r="B4317" i="8"/>
  <c r="D4316" i="8"/>
  <c r="F4316" i="8" s="1"/>
  <c r="C4316" i="8"/>
  <c r="B4316" i="8"/>
  <c r="D4315" i="8"/>
  <c r="F4315" i="8" s="1"/>
  <c r="C4315" i="8"/>
  <c r="B4315" i="8"/>
  <c r="D4314" i="8"/>
  <c r="F4314" i="8" s="1"/>
  <c r="C4314" i="8"/>
  <c r="B4314" i="8"/>
  <c r="D4313" i="8"/>
  <c r="F4313" i="8" s="1"/>
  <c r="C4313" i="8"/>
  <c r="B4313" i="8"/>
  <c r="D4312" i="8"/>
  <c r="F4312" i="8" s="1"/>
  <c r="C4312" i="8"/>
  <c r="B4312" i="8"/>
  <c r="D4311" i="8"/>
  <c r="F4311" i="8" s="1"/>
  <c r="C4311" i="8"/>
  <c r="B4311" i="8"/>
  <c r="D4310" i="8"/>
  <c r="F4310" i="8" s="1"/>
  <c r="C4310" i="8"/>
  <c r="B4310" i="8"/>
  <c r="D4309" i="8"/>
  <c r="F4309" i="8" s="1"/>
  <c r="C4309" i="8"/>
  <c r="B4309" i="8"/>
  <c r="D4308" i="8"/>
  <c r="F4308" i="8" s="1"/>
  <c r="C4308" i="8"/>
  <c r="B4308" i="8"/>
  <c r="D4307" i="8"/>
  <c r="F4307" i="8" s="1"/>
  <c r="C4307" i="8"/>
  <c r="B4307" i="8"/>
  <c r="D4306" i="8"/>
  <c r="F4306" i="8" s="1"/>
  <c r="C4306" i="8"/>
  <c r="B4306" i="8"/>
  <c r="D4305" i="8"/>
  <c r="F4305" i="8" s="1"/>
  <c r="C4305" i="8"/>
  <c r="B4305" i="8"/>
  <c r="D4304" i="8"/>
  <c r="F4304" i="8" s="1"/>
  <c r="C4304" i="8"/>
  <c r="B4304" i="8"/>
  <c r="D4303" i="8"/>
  <c r="F4303" i="8" s="1"/>
  <c r="C4303" i="8"/>
  <c r="B4303" i="8"/>
  <c r="D4302" i="8"/>
  <c r="F4302" i="8" s="1"/>
  <c r="C4302" i="8"/>
  <c r="B4302" i="8"/>
  <c r="D4301" i="8"/>
  <c r="F4301" i="8" s="1"/>
  <c r="C4301" i="8"/>
  <c r="B4301" i="8"/>
  <c r="D4300" i="8"/>
  <c r="F4300" i="8" s="1"/>
  <c r="C4300" i="8"/>
  <c r="B4300" i="8"/>
  <c r="D4299" i="8"/>
  <c r="F4299" i="8" s="1"/>
  <c r="C4299" i="8"/>
  <c r="B4299" i="8"/>
  <c r="D4298" i="8"/>
  <c r="F4298" i="8" s="1"/>
  <c r="C4298" i="8"/>
  <c r="B4298" i="8"/>
  <c r="D4297" i="8"/>
  <c r="F4297" i="8" s="1"/>
  <c r="C4297" i="8"/>
  <c r="B4297" i="8"/>
  <c r="D4296" i="8"/>
  <c r="F4296" i="8" s="1"/>
  <c r="C4296" i="8"/>
  <c r="B4296" i="8"/>
  <c r="D4295" i="8"/>
  <c r="F4295" i="8" s="1"/>
  <c r="C4295" i="8"/>
  <c r="B4295" i="8"/>
  <c r="D4294" i="8"/>
  <c r="F4294" i="8" s="1"/>
  <c r="C4294" i="8"/>
  <c r="B4294" i="8"/>
  <c r="H4293" i="8"/>
  <c r="D4293" i="8"/>
  <c r="F4293" i="8" s="1"/>
  <c r="C4293" i="8"/>
  <c r="B4293" i="8"/>
  <c r="D4292" i="8"/>
  <c r="F4292" i="8" s="1"/>
  <c r="C4292" i="8"/>
  <c r="B4292" i="8"/>
  <c r="D4291" i="8"/>
  <c r="F4291" i="8" s="1"/>
  <c r="C4291" i="8"/>
  <c r="B4291" i="8"/>
  <c r="D4290" i="8"/>
  <c r="F4290" i="8" s="1"/>
  <c r="C4290" i="8"/>
  <c r="B4290" i="8"/>
  <c r="D4289" i="8"/>
  <c r="F4289" i="8" s="1"/>
  <c r="C4289" i="8"/>
  <c r="B4289" i="8"/>
  <c r="D4288" i="8"/>
  <c r="F4288" i="8" s="1"/>
  <c r="C4288" i="8"/>
  <c r="B4288" i="8"/>
  <c r="D4287" i="8"/>
  <c r="F4287" i="8" s="1"/>
  <c r="C4287" i="8"/>
  <c r="B4287" i="8"/>
  <c r="D4286" i="8"/>
  <c r="F4286" i="8" s="1"/>
  <c r="C4286" i="8"/>
  <c r="B4286" i="8"/>
  <c r="D4285" i="8"/>
  <c r="F4285" i="8" s="1"/>
  <c r="C4285" i="8"/>
  <c r="B4285" i="8"/>
  <c r="D4284" i="8"/>
  <c r="F4284" i="8" s="1"/>
  <c r="C4284" i="8"/>
  <c r="B4284" i="8"/>
  <c r="D4283" i="8"/>
  <c r="F4283" i="8" s="1"/>
  <c r="C4283" i="8"/>
  <c r="B4283" i="8"/>
  <c r="D4282" i="8"/>
  <c r="F4282" i="8" s="1"/>
  <c r="C4282" i="8"/>
  <c r="B4282" i="8"/>
  <c r="D4281" i="8"/>
  <c r="F4281" i="8" s="1"/>
  <c r="C4281" i="8"/>
  <c r="B4281" i="8"/>
  <c r="D4280" i="8"/>
  <c r="F4280" i="8" s="1"/>
  <c r="C4280" i="8"/>
  <c r="B4280" i="8"/>
  <c r="D4279" i="8"/>
  <c r="F4279" i="8" s="1"/>
  <c r="C4279" i="8"/>
  <c r="B4279" i="8"/>
  <c r="D4278" i="8"/>
  <c r="F4278" i="8" s="1"/>
  <c r="C4278" i="8"/>
  <c r="B4278" i="8"/>
  <c r="D4277" i="8"/>
  <c r="F4277" i="8" s="1"/>
  <c r="K587" i="5" s="1"/>
  <c r="J587" i="5" s="1"/>
  <c r="C4277" i="8"/>
  <c r="B4277" i="8"/>
  <c r="D4276" i="8"/>
  <c r="F4276" i="8" s="1"/>
  <c r="C4276" i="8"/>
  <c r="B4276" i="8"/>
  <c r="D4275" i="8"/>
  <c r="F4275" i="8" s="1"/>
  <c r="C4275" i="8"/>
  <c r="B4275" i="8"/>
  <c r="D4274" i="8"/>
  <c r="F4274" i="8" s="1"/>
  <c r="C4274" i="8"/>
  <c r="B4274" i="8"/>
  <c r="D4273" i="8"/>
  <c r="F4273" i="8" s="1"/>
  <c r="C4273" i="8"/>
  <c r="B4273" i="8"/>
  <c r="D4272" i="8"/>
  <c r="F4272" i="8" s="1"/>
  <c r="C4272" i="8"/>
  <c r="B4272" i="8"/>
  <c r="D4271" i="8"/>
  <c r="F4271" i="8" s="1"/>
  <c r="C4271" i="8"/>
  <c r="B4271" i="8"/>
  <c r="D4270" i="8"/>
  <c r="F4270" i="8" s="1"/>
  <c r="C4270" i="8"/>
  <c r="B4270" i="8"/>
  <c r="D4269" i="8"/>
  <c r="F4269" i="8" s="1"/>
  <c r="C4269" i="8"/>
  <c r="B4269" i="8"/>
  <c r="D4268" i="8"/>
  <c r="F4268" i="8" s="1"/>
  <c r="C4268" i="8"/>
  <c r="B4268" i="8"/>
  <c r="D4267" i="8"/>
  <c r="F4267" i="8" s="1"/>
  <c r="C4267" i="8"/>
  <c r="B4267" i="8"/>
  <c r="D4266" i="8"/>
  <c r="F4266" i="8" s="1"/>
  <c r="C4266" i="8"/>
  <c r="B4266" i="8"/>
  <c r="D4265" i="8"/>
  <c r="F4265" i="8" s="1"/>
  <c r="C4265" i="8"/>
  <c r="B4265" i="8"/>
  <c r="D4264" i="8"/>
  <c r="F4264" i="8" s="1"/>
  <c r="C4264" i="8"/>
  <c r="B4264" i="8"/>
  <c r="D4263" i="8"/>
  <c r="F4263" i="8" s="1"/>
  <c r="C4263" i="8"/>
  <c r="B4263" i="8"/>
  <c r="D4262" i="8"/>
  <c r="F4262" i="8" s="1"/>
  <c r="C4262" i="8"/>
  <c r="B4262" i="8"/>
  <c r="D4261" i="8"/>
  <c r="F4261" i="8" s="1"/>
  <c r="C4261" i="8"/>
  <c r="B4261" i="8"/>
  <c r="D4260" i="8"/>
  <c r="F4260" i="8" s="1"/>
  <c r="C4260" i="8"/>
  <c r="B4260" i="8"/>
  <c r="D4259" i="8"/>
  <c r="F4259" i="8" s="1"/>
  <c r="C4259" i="8"/>
  <c r="B4259" i="8"/>
  <c r="D4258" i="8"/>
  <c r="F4258" i="8" s="1"/>
  <c r="C4258" i="8"/>
  <c r="B4258" i="8"/>
  <c r="D4257" i="8"/>
  <c r="F4257" i="8" s="1"/>
  <c r="C4257" i="8"/>
  <c r="B4257" i="8"/>
  <c r="D4256" i="8"/>
  <c r="F4256" i="8" s="1"/>
  <c r="C4256" i="8"/>
  <c r="B4256" i="8"/>
  <c r="D4255" i="8"/>
  <c r="F4255" i="8" s="1"/>
  <c r="C4255" i="8"/>
  <c r="B4255" i="8"/>
  <c r="D4254" i="8"/>
  <c r="F4254" i="8" s="1"/>
  <c r="C4254" i="8"/>
  <c r="B4254" i="8"/>
  <c r="D4253" i="8"/>
  <c r="F4253" i="8" s="1"/>
  <c r="C4253" i="8"/>
  <c r="B4253" i="8"/>
  <c r="D4252" i="8"/>
  <c r="F4252" i="8" s="1"/>
  <c r="C4252" i="8"/>
  <c r="B4252" i="8"/>
  <c r="D4251" i="8"/>
  <c r="F4251" i="8" s="1"/>
  <c r="C4251" i="8"/>
  <c r="B4251" i="8"/>
  <c r="D4250" i="8"/>
  <c r="F4250" i="8" s="1"/>
  <c r="C4250" i="8"/>
  <c r="B4250" i="8"/>
  <c r="D4249" i="8"/>
  <c r="F4249" i="8" s="1"/>
  <c r="C4249" i="8"/>
  <c r="B4249" i="8"/>
  <c r="D4248" i="8"/>
  <c r="F4248" i="8" s="1"/>
  <c r="C4248" i="8"/>
  <c r="B4248" i="8"/>
  <c r="D4247" i="8"/>
  <c r="F4247" i="8" s="1"/>
  <c r="C4247" i="8"/>
  <c r="B4247" i="8"/>
  <c r="D4246" i="8"/>
  <c r="F4246" i="8" s="1"/>
  <c r="C4246" i="8"/>
  <c r="B4246" i="8"/>
  <c r="D4245" i="8"/>
  <c r="F4245" i="8" s="1"/>
  <c r="C4245" i="8"/>
  <c r="B4245" i="8"/>
  <c r="D4244" i="8"/>
  <c r="F4244" i="8" s="1"/>
  <c r="C4244" i="8"/>
  <c r="B4244" i="8"/>
  <c r="D4243" i="8"/>
  <c r="F4243" i="8" s="1"/>
  <c r="C4243" i="8"/>
  <c r="B4243" i="8"/>
  <c r="D4242" i="8"/>
  <c r="F4242" i="8" s="1"/>
  <c r="C4242" i="8"/>
  <c r="B4242" i="8"/>
  <c r="D4241" i="8"/>
  <c r="F4241" i="8" s="1"/>
  <c r="C4241" i="8"/>
  <c r="B4241" i="8"/>
  <c r="D4240" i="8"/>
  <c r="F4240" i="8" s="1"/>
  <c r="C4240" i="8"/>
  <c r="B4240" i="8"/>
  <c r="D4239" i="8"/>
  <c r="F4239" i="8" s="1"/>
  <c r="C4239" i="8"/>
  <c r="B4239" i="8"/>
  <c r="D4238" i="8"/>
  <c r="F4238" i="8" s="1"/>
  <c r="C4238" i="8"/>
  <c r="B4238" i="8"/>
  <c r="D4237" i="8"/>
  <c r="F4237" i="8" s="1"/>
  <c r="C4237" i="8"/>
  <c r="B4237" i="8"/>
  <c r="D4236" i="8"/>
  <c r="F4236" i="8" s="1"/>
  <c r="C4236" i="8"/>
  <c r="B4236" i="8"/>
  <c r="D4235" i="8"/>
  <c r="F4235" i="8" s="1"/>
  <c r="C4235" i="8"/>
  <c r="B4235" i="8"/>
  <c r="D4234" i="8"/>
  <c r="F4234" i="8" s="1"/>
  <c r="C4234" i="8"/>
  <c r="B4234" i="8"/>
  <c r="D4233" i="8"/>
  <c r="F4233" i="8" s="1"/>
  <c r="C4233" i="8"/>
  <c r="B4233" i="8"/>
  <c r="D4232" i="8"/>
  <c r="F4232" i="8" s="1"/>
  <c r="C4232" i="8"/>
  <c r="B4232" i="8"/>
  <c r="D4231" i="8"/>
  <c r="F4231" i="8" s="1"/>
  <c r="C4231" i="8"/>
  <c r="B4231" i="8"/>
  <c r="D4230" i="8"/>
  <c r="F4230" i="8" s="1"/>
  <c r="C4230" i="8"/>
  <c r="B4230" i="8"/>
  <c r="D4229" i="8"/>
  <c r="F4229" i="8" s="1"/>
  <c r="C4229" i="8"/>
  <c r="B4229" i="8"/>
  <c r="D4228" i="8"/>
  <c r="F4228" i="8" s="1"/>
  <c r="C4228" i="8"/>
  <c r="B4228" i="8"/>
  <c r="D4227" i="8"/>
  <c r="F4227" i="8" s="1"/>
  <c r="C4227" i="8"/>
  <c r="B4227" i="8"/>
  <c r="D4226" i="8"/>
  <c r="F4226" i="8" s="1"/>
  <c r="C4226" i="8"/>
  <c r="B4226" i="8"/>
  <c r="D4225" i="8"/>
  <c r="F4225" i="8" s="1"/>
  <c r="C4225" i="8"/>
  <c r="B4225" i="8"/>
  <c r="D4224" i="8"/>
  <c r="F4224" i="8" s="1"/>
  <c r="C4224" i="8"/>
  <c r="B4224" i="8"/>
  <c r="D4223" i="8"/>
  <c r="F4223" i="8" s="1"/>
  <c r="C4223" i="8"/>
  <c r="B4223" i="8"/>
  <c r="D4222" i="8"/>
  <c r="F4222" i="8" s="1"/>
  <c r="C4222" i="8"/>
  <c r="B4222" i="8"/>
  <c r="D4221" i="8"/>
  <c r="F4221" i="8" s="1"/>
  <c r="C4221" i="8"/>
  <c r="B4221" i="8"/>
  <c r="D4220" i="8"/>
  <c r="F4220" i="8" s="1"/>
  <c r="C4220" i="8"/>
  <c r="B4220" i="8"/>
  <c r="D4219" i="8"/>
  <c r="F4219" i="8" s="1"/>
  <c r="C4219" i="8"/>
  <c r="B4219" i="8"/>
  <c r="D4218" i="8"/>
  <c r="F4218" i="8" s="1"/>
  <c r="C4218" i="8"/>
  <c r="B4218" i="8"/>
  <c r="D4217" i="8"/>
  <c r="F4217" i="8" s="1"/>
  <c r="C4217" i="8"/>
  <c r="B4217" i="8"/>
  <c r="D4216" i="8"/>
  <c r="F4216" i="8" s="1"/>
  <c r="C4216" i="8"/>
  <c r="B4216" i="8"/>
  <c r="D4215" i="8"/>
  <c r="F4215" i="8" s="1"/>
  <c r="C4215" i="8"/>
  <c r="B4215" i="8"/>
  <c r="D4214" i="8"/>
  <c r="F4214" i="8" s="1"/>
  <c r="C4214" i="8"/>
  <c r="B4214" i="8"/>
  <c r="D4213" i="8"/>
  <c r="F4213" i="8" s="1"/>
  <c r="C4213" i="8"/>
  <c r="B4213" i="8"/>
  <c r="D4212" i="8"/>
  <c r="F4212" i="8" s="1"/>
  <c r="C4212" i="8"/>
  <c r="B4212" i="8"/>
  <c r="D4211" i="8"/>
  <c r="F4211" i="8" s="1"/>
  <c r="C4211" i="8"/>
  <c r="B4211" i="8"/>
  <c r="D4210" i="8"/>
  <c r="F4210" i="8" s="1"/>
  <c r="C4210" i="8"/>
  <c r="B4210" i="8"/>
  <c r="D4209" i="8"/>
  <c r="F4209" i="8" s="1"/>
  <c r="K545" i="5" s="1"/>
  <c r="J545" i="5" s="1"/>
  <c r="C4209" i="8"/>
  <c r="B4209" i="8"/>
  <c r="D4208" i="8"/>
  <c r="F4208" i="8" s="1"/>
  <c r="C4208" i="8"/>
  <c r="B4208" i="8"/>
  <c r="D4207" i="8"/>
  <c r="F4207" i="8" s="1"/>
  <c r="C4207" i="8"/>
  <c r="B4207" i="8"/>
  <c r="D4206" i="8"/>
  <c r="F4206" i="8" s="1"/>
  <c r="C4206" i="8"/>
  <c r="B4206" i="8"/>
  <c r="D4205" i="8"/>
  <c r="F4205" i="8" s="1"/>
  <c r="C4205" i="8"/>
  <c r="B4205" i="8"/>
  <c r="D4204" i="8"/>
  <c r="F4204" i="8" s="1"/>
  <c r="C4204" i="8"/>
  <c r="B4204" i="8"/>
  <c r="D4203" i="8"/>
  <c r="F4203" i="8" s="1"/>
  <c r="C4203" i="8"/>
  <c r="B4203" i="8"/>
  <c r="D4202" i="8"/>
  <c r="F4202" i="8" s="1"/>
  <c r="C4202" i="8"/>
  <c r="B4202" i="8"/>
  <c r="D4201" i="8"/>
  <c r="F4201" i="8" s="1"/>
  <c r="C4201" i="8"/>
  <c r="B4201" i="8"/>
  <c r="D4200" i="8"/>
  <c r="F4200" i="8" s="1"/>
  <c r="C4200" i="8"/>
  <c r="B4200" i="8"/>
  <c r="D4199" i="8"/>
  <c r="F4199" i="8" s="1"/>
  <c r="C4199" i="8"/>
  <c r="B4199" i="8"/>
  <c r="D4198" i="8"/>
  <c r="F4198" i="8" s="1"/>
  <c r="C4198" i="8"/>
  <c r="B4198" i="8"/>
  <c r="D4197" i="8"/>
  <c r="F4197" i="8" s="1"/>
  <c r="C4197" i="8"/>
  <c r="B4197" i="8"/>
  <c r="D4196" i="8"/>
  <c r="F4196" i="8" s="1"/>
  <c r="C4196" i="8"/>
  <c r="B4196" i="8"/>
  <c r="D4195" i="8"/>
  <c r="F4195" i="8" s="1"/>
  <c r="C4195" i="8"/>
  <c r="B4195" i="8"/>
  <c r="D4194" i="8"/>
  <c r="F4194" i="8" s="1"/>
  <c r="C4194" i="8"/>
  <c r="B4194" i="8"/>
  <c r="D4193" i="8"/>
  <c r="F4193" i="8" s="1"/>
  <c r="C4193" i="8"/>
  <c r="B4193" i="8"/>
  <c r="D4192" i="8"/>
  <c r="F4192" i="8" s="1"/>
  <c r="C4192" i="8"/>
  <c r="B4192" i="8"/>
  <c r="D4191" i="8"/>
  <c r="F4191" i="8" s="1"/>
  <c r="C4191" i="8"/>
  <c r="B4191" i="8"/>
  <c r="D4190" i="8"/>
  <c r="F4190" i="8" s="1"/>
  <c r="C4190" i="8"/>
  <c r="B4190" i="8"/>
  <c r="D4189" i="8"/>
  <c r="F4189" i="8" s="1"/>
  <c r="C4189" i="8"/>
  <c r="B4189" i="8"/>
  <c r="D4188" i="8"/>
  <c r="F4188" i="8" s="1"/>
  <c r="C4188" i="8"/>
  <c r="B4188" i="8"/>
  <c r="D4187" i="8"/>
  <c r="F4187" i="8" s="1"/>
  <c r="C4187" i="8"/>
  <c r="B4187" i="8"/>
  <c r="D4186" i="8"/>
  <c r="F4186" i="8" s="1"/>
  <c r="C4186" i="8"/>
  <c r="B4186" i="8"/>
  <c r="D4185" i="8"/>
  <c r="F4185" i="8" s="1"/>
  <c r="C4185" i="8"/>
  <c r="B4185" i="8"/>
  <c r="D4184" i="8"/>
  <c r="F4184" i="8" s="1"/>
  <c r="C4184" i="8"/>
  <c r="B4184" i="8"/>
  <c r="D4183" i="8"/>
  <c r="F4183" i="8" s="1"/>
  <c r="C4183" i="8"/>
  <c r="B4183" i="8"/>
  <c r="D4182" i="8"/>
  <c r="F4182" i="8" s="1"/>
  <c r="C4182" i="8"/>
  <c r="B4182" i="8"/>
  <c r="D4181" i="8"/>
  <c r="F4181" i="8" s="1"/>
  <c r="C4181" i="8"/>
  <c r="B4181" i="8"/>
  <c r="D4180" i="8"/>
  <c r="F4180" i="8" s="1"/>
  <c r="C4180" i="8"/>
  <c r="B4180" i="8"/>
  <c r="D4179" i="8"/>
  <c r="F4179" i="8" s="1"/>
  <c r="C4179" i="8"/>
  <c r="B4179" i="8"/>
  <c r="D4178" i="8"/>
  <c r="F4178" i="8" s="1"/>
  <c r="C4178" i="8"/>
  <c r="B4178" i="8"/>
  <c r="D4177" i="8"/>
  <c r="F4177" i="8" s="1"/>
  <c r="C4177" i="8"/>
  <c r="B4177" i="8"/>
  <c r="D4176" i="8"/>
  <c r="F4176" i="8" s="1"/>
  <c r="C4176" i="8"/>
  <c r="B4176" i="8"/>
  <c r="D4175" i="8"/>
  <c r="F4175" i="8" s="1"/>
  <c r="C4175" i="8"/>
  <c r="B4175" i="8"/>
  <c r="D4174" i="8"/>
  <c r="F4174" i="8" s="1"/>
  <c r="C4174" i="8"/>
  <c r="B4174" i="8"/>
  <c r="D4173" i="8"/>
  <c r="F4173" i="8" s="1"/>
  <c r="C4173" i="8"/>
  <c r="B4173" i="8"/>
  <c r="D4172" i="8"/>
  <c r="F4172" i="8" s="1"/>
  <c r="C4172" i="8"/>
  <c r="B4172" i="8"/>
  <c r="D4171" i="8"/>
  <c r="F4171" i="8" s="1"/>
  <c r="C4171" i="8"/>
  <c r="B4171" i="8"/>
  <c r="D4170" i="8"/>
  <c r="F4170" i="8" s="1"/>
  <c r="C4170" i="8"/>
  <c r="B4170" i="8"/>
  <c r="D4169" i="8"/>
  <c r="F4169" i="8" s="1"/>
  <c r="K292" i="5" s="1"/>
  <c r="J292" i="5" s="1"/>
  <c r="C4169" i="8"/>
  <c r="B4169" i="8"/>
  <c r="D4168" i="8"/>
  <c r="F4168" i="8" s="1"/>
  <c r="C4168" i="8"/>
  <c r="B4168" i="8"/>
  <c r="D4167" i="8"/>
  <c r="F4167" i="8" s="1"/>
  <c r="C4167" i="8"/>
  <c r="B4167" i="8"/>
  <c r="D4166" i="8"/>
  <c r="F4166" i="8" s="1"/>
  <c r="C4166" i="8"/>
  <c r="B4166" i="8"/>
  <c r="D4165" i="8"/>
  <c r="F4165" i="8" s="1"/>
  <c r="C4165" i="8"/>
  <c r="B4165" i="8"/>
  <c r="D4164" i="8"/>
  <c r="F4164" i="8" s="1"/>
  <c r="C4164" i="8"/>
  <c r="B4164" i="8"/>
  <c r="D4163" i="8"/>
  <c r="F4163" i="8" s="1"/>
  <c r="C4163" i="8"/>
  <c r="B4163" i="8"/>
  <c r="D4162" i="8"/>
  <c r="F4162" i="8" s="1"/>
  <c r="C4162" i="8"/>
  <c r="B4162" i="8"/>
  <c r="D4161" i="8"/>
  <c r="F4161" i="8" s="1"/>
  <c r="C4161" i="8"/>
  <c r="B4161" i="8"/>
  <c r="D4160" i="8"/>
  <c r="F4160" i="8" s="1"/>
  <c r="C4160" i="8"/>
  <c r="B4160" i="8"/>
  <c r="D4159" i="8"/>
  <c r="F4159" i="8" s="1"/>
  <c r="C4159" i="8"/>
  <c r="B4159" i="8"/>
  <c r="D4158" i="8"/>
  <c r="F4158" i="8" s="1"/>
  <c r="C4158" i="8"/>
  <c r="B4158" i="8"/>
  <c r="D4157" i="8"/>
  <c r="F4157" i="8" s="1"/>
  <c r="C4157" i="8"/>
  <c r="B4157" i="8"/>
  <c r="D4156" i="8"/>
  <c r="F4156" i="8" s="1"/>
  <c r="C4156" i="8"/>
  <c r="B4156" i="8"/>
  <c r="D4155" i="8"/>
  <c r="F4155" i="8" s="1"/>
  <c r="C4155" i="8"/>
  <c r="B4155" i="8"/>
  <c r="D4154" i="8"/>
  <c r="F4154" i="8" s="1"/>
  <c r="C4154" i="8"/>
  <c r="B4154" i="8"/>
  <c r="D4153" i="8"/>
  <c r="F4153" i="8" s="1"/>
  <c r="C4153" i="8"/>
  <c r="B4153" i="8"/>
  <c r="D4152" i="8"/>
  <c r="F4152" i="8" s="1"/>
  <c r="C4152" i="8"/>
  <c r="B4152" i="8"/>
  <c r="D4151" i="8"/>
  <c r="F4151" i="8" s="1"/>
  <c r="C4151" i="8"/>
  <c r="B4151" i="8"/>
  <c r="D4150" i="8"/>
  <c r="F4150" i="8" s="1"/>
  <c r="C4150" i="8"/>
  <c r="B4150" i="8"/>
  <c r="D4149" i="8"/>
  <c r="F4149" i="8" s="1"/>
  <c r="C4149" i="8"/>
  <c r="B4149" i="8"/>
  <c r="D4148" i="8"/>
  <c r="F4148" i="8" s="1"/>
  <c r="C4148" i="8"/>
  <c r="B4148" i="8"/>
  <c r="D4147" i="8"/>
  <c r="F4147" i="8" s="1"/>
  <c r="C4147" i="8"/>
  <c r="B4147" i="8"/>
  <c r="D4146" i="8"/>
  <c r="F4146" i="8" s="1"/>
  <c r="C4146" i="8"/>
  <c r="B4146" i="8"/>
  <c r="D4145" i="8"/>
  <c r="F4145" i="8" s="1"/>
  <c r="C4145" i="8"/>
  <c r="B4145" i="8"/>
  <c r="D4144" i="8"/>
  <c r="F4144" i="8" s="1"/>
  <c r="C4144" i="8"/>
  <c r="B4144" i="8"/>
  <c r="D4143" i="8"/>
  <c r="F4143" i="8" s="1"/>
  <c r="C4143" i="8"/>
  <c r="B4143" i="8"/>
  <c r="D4142" i="8"/>
  <c r="F4142" i="8" s="1"/>
  <c r="C4142" i="8"/>
  <c r="B4142" i="8"/>
  <c r="D4141" i="8"/>
  <c r="F4141" i="8" s="1"/>
  <c r="C4141" i="8"/>
  <c r="B4141" i="8"/>
  <c r="D4140" i="8"/>
  <c r="F4140" i="8" s="1"/>
  <c r="C4140" i="8"/>
  <c r="B4140" i="8"/>
  <c r="D4139" i="8"/>
  <c r="F4139" i="8" s="1"/>
  <c r="C4139" i="8"/>
  <c r="B4139" i="8"/>
  <c r="D4138" i="8"/>
  <c r="F4138" i="8" s="1"/>
  <c r="C4138" i="8"/>
  <c r="B4138" i="8"/>
  <c r="D4137" i="8"/>
  <c r="F4137" i="8" s="1"/>
  <c r="C4137" i="8"/>
  <c r="B4137" i="8"/>
  <c r="D4136" i="8"/>
  <c r="F4136" i="8" s="1"/>
  <c r="C4136" i="8"/>
  <c r="B4136" i="8"/>
  <c r="D4135" i="8"/>
  <c r="F4135" i="8" s="1"/>
  <c r="C4135" i="8"/>
  <c r="B4135" i="8"/>
  <c r="D4134" i="8"/>
  <c r="F4134" i="8" s="1"/>
  <c r="C4134" i="8"/>
  <c r="B4134" i="8"/>
  <c r="D4133" i="8"/>
  <c r="F4133" i="8" s="1"/>
  <c r="C4133" i="8"/>
  <c r="B4133" i="8"/>
  <c r="D4132" i="8"/>
  <c r="F4132" i="8" s="1"/>
  <c r="C4132" i="8"/>
  <c r="B4132" i="8"/>
  <c r="D4131" i="8"/>
  <c r="F4131" i="8" s="1"/>
  <c r="C4131" i="8"/>
  <c r="B4131" i="8"/>
  <c r="D4130" i="8"/>
  <c r="F4130" i="8" s="1"/>
  <c r="C4130" i="8"/>
  <c r="B4130" i="8"/>
  <c r="D4129" i="8"/>
  <c r="F4129" i="8" s="1"/>
  <c r="C4129" i="8"/>
  <c r="B4129" i="8"/>
  <c r="D4128" i="8"/>
  <c r="F4128" i="8" s="1"/>
  <c r="C4128" i="8"/>
  <c r="B4128" i="8"/>
  <c r="D4127" i="8"/>
  <c r="F4127" i="8" s="1"/>
  <c r="C4127" i="8"/>
  <c r="B4127" i="8"/>
  <c r="D4126" i="8"/>
  <c r="F4126" i="8" s="1"/>
  <c r="C4126" i="8"/>
  <c r="B4126" i="8"/>
  <c r="D4125" i="8"/>
  <c r="F4125" i="8" s="1"/>
  <c r="C4125" i="8"/>
  <c r="B4125" i="8"/>
  <c r="D4124" i="8"/>
  <c r="F4124" i="8" s="1"/>
  <c r="C4124" i="8"/>
  <c r="B4124" i="8"/>
  <c r="D4123" i="8"/>
  <c r="F4123" i="8" s="1"/>
  <c r="C4123" i="8"/>
  <c r="B4123" i="8"/>
  <c r="D4122" i="8"/>
  <c r="F4122" i="8" s="1"/>
  <c r="C4122" i="8"/>
  <c r="B4122" i="8"/>
  <c r="D4121" i="8"/>
  <c r="F4121" i="8" s="1"/>
  <c r="C4121" i="8"/>
  <c r="B4121" i="8"/>
  <c r="D4120" i="8"/>
  <c r="F4120" i="8" s="1"/>
  <c r="C4120" i="8"/>
  <c r="B4120" i="8"/>
  <c r="D4119" i="8"/>
  <c r="F4119" i="8" s="1"/>
  <c r="C4119" i="8"/>
  <c r="B4119" i="8"/>
  <c r="D4118" i="8"/>
  <c r="F4118" i="8" s="1"/>
  <c r="C4118" i="8"/>
  <c r="B4118" i="8"/>
  <c r="D4117" i="8"/>
  <c r="F4117" i="8" s="1"/>
  <c r="C4117" i="8"/>
  <c r="B4117" i="8"/>
  <c r="D4116" i="8"/>
  <c r="F4116" i="8" s="1"/>
  <c r="C4116" i="8"/>
  <c r="B4116" i="8"/>
  <c r="D4115" i="8"/>
  <c r="F4115" i="8" s="1"/>
  <c r="C4115" i="8"/>
  <c r="B4115" i="8"/>
  <c r="D4114" i="8"/>
  <c r="F4114" i="8" s="1"/>
  <c r="C4114" i="8"/>
  <c r="B4114" i="8"/>
  <c r="D4113" i="8"/>
  <c r="F4113" i="8" s="1"/>
  <c r="C4113" i="8"/>
  <c r="B4113" i="8"/>
  <c r="D4112" i="8"/>
  <c r="F4112" i="8" s="1"/>
  <c r="C4112" i="8"/>
  <c r="B4112" i="8"/>
  <c r="D4111" i="8"/>
  <c r="F4111" i="8" s="1"/>
  <c r="C4111" i="8"/>
  <c r="B4111" i="8"/>
  <c r="D4110" i="8"/>
  <c r="F4110" i="8" s="1"/>
  <c r="C4110" i="8"/>
  <c r="B4110" i="8"/>
  <c r="D4109" i="8"/>
  <c r="F4109" i="8" s="1"/>
  <c r="C4109" i="8"/>
  <c r="B4109" i="8"/>
  <c r="D4108" i="8"/>
  <c r="F4108" i="8" s="1"/>
  <c r="C4108" i="8"/>
  <c r="B4108" i="8"/>
  <c r="D4107" i="8"/>
  <c r="F4107" i="8" s="1"/>
  <c r="C4107" i="8"/>
  <c r="B4107" i="8"/>
  <c r="D4106" i="8"/>
  <c r="F4106" i="8" s="1"/>
  <c r="C4106" i="8"/>
  <c r="B4106" i="8"/>
  <c r="D4105" i="8"/>
  <c r="F4105" i="8" s="1"/>
  <c r="C4105" i="8"/>
  <c r="B4105" i="8"/>
  <c r="D4104" i="8"/>
  <c r="F4104" i="8" s="1"/>
  <c r="C4104" i="8"/>
  <c r="B4104" i="8"/>
  <c r="D4103" i="8"/>
  <c r="F4103" i="8" s="1"/>
  <c r="C4103" i="8"/>
  <c r="B4103" i="8"/>
  <c r="D4102" i="8"/>
  <c r="F4102" i="8" s="1"/>
  <c r="C4102" i="8"/>
  <c r="B4102" i="8"/>
  <c r="D4101" i="8"/>
  <c r="F4101" i="8" s="1"/>
  <c r="C4101" i="8"/>
  <c r="B4101" i="8"/>
  <c r="D4100" i="8"/>
  <c r="F4100" i="8" s="1"/>
  <c r="C4100" i="8"/>
  <c r="B4100" i="8"/>
  <c r="D4099" i="8"/>
  <c r="F4099" i="8" s="1"/>
  <c r="C4099" i="8"/>
  <c r="B4099" i="8"/>
  <c r="D4098" i="8"/>
  <c r="F4098" i="8" s="1"/>
  <c r="C4098" i="8"/>
  <c r="B4098" i="8"/>
  <c r="D4097" i="8"/>
  <c r="F4097" i="8" s="1"/>
  <c r="C4097" i="8"/>
  <c r="B4097" i="8"/>
  <c r="D4096" i="8"/>
  <c r="F4096" i="8" s="1"/>
  <c r="C4096" i="8"/>
  <c r="B4096" i="8"/>
  <c r="D4095" i="8"/>
  <c r="F4095" i="8" s="1"/>
  <c r="C4095" i="8"/>
  <c r="B4095" i="8"/>
  <c r="D4094" i="8"/>
  <c r="F4094" i="8" s="1"/>
  <c r="C4094" i="8"/>
  <c r="B4094" i="8"/>
  <c r="D4093" i="8"/>
  <c r="F4093" i="8" s="1"/>
  <c r="C4093" i="8"/>
  <c r="B4093" i="8"/>
  <c r="D4092" i="8"/>
  <c r="F4092" i="8" s="1"/>
  <c r="C4092" i="8"/>
  <c r="B4092" i="8"/>
  <c r="D4091" i="8"/>
  <c r="F4091" i="8" s="1"/>
  <c r="C4091" i="8"/>
  <c r="B4091" i="8"/>
  <c r="D4090" i="8"/>
  <c r="F4090" i="8" s="1"/>
  <c r="C4090" i="8"/>
  <c r="B4090" i="8"/>
  <c r="D4089" i="8"/>
  <c r="F4089" i="8" s="1"/>
  <c r="C4089" i="8"/>
  <c r="B4089" i="8"/>
  <c r="D4088" i="8"/>
  <c r="F4088" i="8" s="1"/>
  <c r="C4088" i="8"/>
  <c r="B4088" i="8"/>
  <c r="D4087" i="8"/>
  <c r="F4087" i="8" s="1"/>
  <c r="C4087" i="8"/>
  <c r="B4087" i="8"/>
  <c r="D4086" i="8"/>
  <c r="F4086" i="8" s="1"/>
  <c r="C4086" i="8"/>
  <c r="B4086" i="8"/>
  <c r="D4085" i="8"/>
  <c r="F4085" i="8" s="1"/>
  <c r="C4085" i="8"/>
  <c r="B4085" i="8"/>
  <c r="D4084" i="8"/>
  <c r="F4084" i="8" s="1"/>
  <c r="C4084" i="8"/>
  <c r="B4084" i="8"/>
  <c r="D4083" i="8"/>
  <c r="F4083" i="8" s="1"/>
  <c r="C4083" i="8"/>
  <c r="B4083" i="8"/>
  <c r="D4082" i="8"/>
  <c r="F4082" i="8" s="1"/>
  <c r="C4082" i="8"/>
  <c r="B4082" i="8"/>
  <c r="D4081" i="8"/>
  <c r="F4081" i="8" s="1"/>
  <c r="C4081" i="8"/>
  <c r="B4081" i="8"/>
  <c r="D4080" i="8"/>
  <c r="F4080" i="8" s="1"/>
  <c r="C4080" i="8"/>
  <c r="B4080" i="8"/>
  <c r="D4079" i="8"/>
  <c r="F4079" i="8" s="1"/>
  <c r="C4079" i="8"/>
  <c r="B4079" i="8"/>
  <c r="D4078" i="8"/>
  <c r="F4078" i="8" s="1"/>
  <c r="C4078" i="8"/>
  <c r="B4078" i="8"/>
  <c r="D4077" i="8"/>
  <c r="F4077" i="8" s="1"/>
  <c r="C4077" i="8"/>
  <c r="B4077" i="8"/>
  <c r="D4076" i="8"/>
  <c r="F4076" i="8" s="1"/>
  <c r="C4076" i="8"/>
  <c r="B4076" i="8"/>
  <c r="D4075" i="8"/>
  <c r="F4075" i="8" s="1"/>
  <c r="C4075" i="8"/>
  <c r="B4075" i="8"/>
  <c r="D4074" i="8"/>
  <c r="F4074" i="8" s="1"/>
  <c r="C4074" i="8"/>
  <c r="B4074" i="8"/>
  <c r="D4073" i="8"/>
  <c r="F4073" i="8" s="1"/>
  <c r="C4073" i="8"/>
  <c r="B4073" i="8"/>
  <c r="D4072" i="8"/>
  <c r="F4072" i="8" s="1"/>
  <c r="C4072" i="8"/>
  <c r="B4072" i="8"/>
  <c r="D4071" i="8"/>
  <c r="F4071" i="8" s="1"/>
  <c r="C4071" i="8"/>
  <c r="B4071" i="8"/>
  <c r="D4070" i="8"/>
  <c r="F4070" i="8" s="1"/>
  <c r="C4070" i="8"/>
  <c r="B4070" i="8"/>
  <c r="D4069" i="8"/>
  <c r="F4069" i="8" s="1"/>
  <c r="C4069" i="8"/>
  <c r="B4069" i="8"/>
  <c r="D4068" i="8"/>
  <c r="F4068" i="8" s="1"/>
  <c r="C4068" i="8"/>
  <c r="B4068" i="8"/>
  <c r="D4067" i="8"/>
  <c r="F4067" i="8" s="1"/>
  <c r="C4067" i="8"/>
  <c r="B4067" i="8"/>
  <c r="D4066" i="8"/>
  <c r="F4066" i="8" s="1"/>
  <c r="C4066" i="8"/>
  <c r="B4066" i="8"/>
  <c r="D4065" i="8"/>
  <c r="F4065" i="8" s="1"/>
  <c r="C4065" i="8"/>
  <c r="B4065" i="8"/>
  <c r="D4064" i="8"/>
  <c r="F4064" i="8" s="1"/>
  <c r="C4064" i="8"/>
  <c r="B4064" i="8"/>
  <c r="D4063" i="8"/>
  <c r="F4063" i="8" s="1"/>
  <c r="C4063" i="8"/>
  <c r="B4063" i="8"/>
  <c r="D4062" i="8"/>
  <c r="F4062" i="8" s="1"/>
  <c r="C4062" i="8"/>
  <c r="B4062" i="8"/>
  <c r="D4061" i="8"/>
  <c r="F4061" i="8" s="1"/>
  <c r="C4061" i="8"/>
  <c r="B4061" i="8"/>
  <c r="D4060" i="8"/>
  <c r="F4060" i="8" s="1"/>
  <c r="C4060" i="8"/>
  <c r="B4060" i="8"/>
  <c r="D4059" i="8"/>
  <c r="F4059" i="8" s="1"/>
  <c r="C4059" i="8"/>
  <c r="B4059" i="8"/>
  <c r="D4058" i="8"/>
  <c r="F4058" i="8" s="1"/>
  <c r="C4058" i="8"/>
  <c r="B4058" i="8"/>
  <c r="D4057" i="8"/>
  <c r="F4057" i="8" s="1"/>
  <c r="C4057" i="8"/>
  <c r="B4057" i="8"/>
  <c r="D4056" i="8"/>
  <c r="F4056" i="8" s="1"/>
  <c r="C4056" i="8"/>
  <c r="B4056" i="8"/>
  <c r="D4055" i="8"/>
  <c r="F4055" i="8" s="1"/>
  <c r="C4055" i="8"/>
  <c r="B4055" i="8"/>
  <c r="D4054" i="8"/>
  <c r="F4054" i="8" s="1"/>
  <c r="C4054" i="8"/>
  <c r="B4054" i="8"/>
  <c r="D4053" i="8"/>
  <c r="F4053" i="8" s="1"/>
  <c r="C4053" i="8"/>
  <c r="B4053" i="8"/>
  <c r="D4052" i="8"/>
  <c r="F4052" i="8" s="1"/>
  <c r="C4052" i="8"/>
  <c r="B4052" i="8"/>
  <c r="D4051" i="8"/>
  <c r="F4051" i="8" s="1"/>
  <c r="C4051" i="8"/>
  <c r="B4051" i="8"/>
  <c r="D4050" i="8"/>
  <c r="F4050" i="8" s="1"/>
  <c r="C4050" i="8"/>
  <c r="B4050" i="8"/>
  <c r="D4049" i="8"/>
  <c r="F4049" i="8" s="1"/>
  <c r="C4049" i="8"/>
  <c r="B4049" i="8"/>
  <c r="D4048" i="8"/>
  <c r="F4048" i="8" s="1"/>
  <c r="C4048" i="8"/>
  <c r="B4048" i="8"/>
  <c r="D4047" i="8"/>
  <c r="F4047" i="8" s="1"/>
  <c r="C4047" i="8"/>
  <c r="B4047" i="8"/>
  <c r="D4046" i="8"/>
  <c r="F4046" i="8" s="1"/>
  <c r="C4046" i="8"/>
  <c r="B4046" i="8"/>
  <c r="D4045" i="8"/>
  <c r="F4045" i="8" s="1"/>
  <c r="C4045" i="8"/>
  <c r="B4045" i="8"/>
  <c r="D4044" i="8"/>
  <c r="F4044" i="8" s="1"/>
  <c r="C4044" i="8"/>
  <c r="B4044" i="8"/>
  <c r="D4043" i="8"/>
  <c r="F4043" i="8" s="1"/>
  <c r="C4043" i="8"/>
  <c r="B4043" i="8"/>
  <c r="D4042" i="8"/>
  <c r="F4042" i="8" s="1"/>
  <c r="C4042" i="8"/>
  <c r="B4042" i="8"/>
  <c r="D4041" i="8"/>
  <c r="F4041" i="8" s="1"/>
  <c r="C4041" i="8"/>
  <c r="B4041" i="8"/>
  <c r="D4040" i="8"/>
  <c r="F4040" i="8" s="1"/>
  <c r="C4040" i="8"/>
  <c r="B4040" i="8"/>
  <c r="D4039" i="8"/>
  <c r="F4039" i="8" s="1"/>
  <c r="C4039" i="8"/>
  <c r="B4039" i="8"/>
  <c r="D4038" i="8"/>
  <c r="F4038" i="8" s="1"/>
  <c r="C4038" i="8"/>
  <c r="B4038" i="8"/>
  <c r="D4037" i="8"/>
  <c r="F4037" i="8" s="1"/>
  <c r="C4037" i="8"/>
  <c r="B4037" i="8"/>
  <c r="D4036" i="8"/>
  <c r="F4036" i="8" s="1"/>
  <c r="C4036" i="8"/>
  <c r="B4036" i="8"/>
  <c r="D4035" i="8"/>
  <c r="F4035" i="8" s="1"/>
  <c r="C4035" i="8"/>
  <c r="B4035" i="8"/>
  <c r="D4034" i="8"/>
  <c r="F4034" i="8" s="1"/>
  <c r="C4034" i="8"/>
  <c r="B4034" i="8"/>
  <c r="D4033" i="8"/>
  <c r="F4033" i="8" s="1"/>
  <c r="C4033" i="8"/>
  <c r="B4033" i="8"/>
  <c r="D4032" i="8"/>
  <c r="F4032" i="8" s="1"/>
  <c r="C4032" i="8"/>
  <c r="B4032" i="8"/>
  <c r="D4031" i="8"/>
  <c r="F4031" i="8" s="1"/>
  <c r="C4031" i="8"/>
  <c r="B4031" i="8"/>
  <c r="D4030" i="8"/>
  <c r="F4030" i="8" s="1"/>
  <c r="C4030" i="8"/>
  <c r="B4030" i="8"/>
  <c r="D4029" i="8"/>
  <c r="F4029" i="8" s="1"/>
  <c r="C4029" i="8"/>
  <c r="B4029" i="8"/>
  <c r="D4028" i="8"/>
  <c r="F4028" i="8" s="1"/>
  <c r="C4028" i="8"/>
  <c r="B4028" i="8"/>
  <c r="D4027" i="8"/>
  <c r="F4027" i="8" s="1"/>
  <c r="C4027" i="8"/>
  <c r="B4027" i="8"/>
  <c r="D4026" i="8"/>
  <c r="F4026" i="8" s="1"/>
  <c r="C4026" i="8"/>
  <c r="B4026" i="8"/>
  <c r="D4025" i="8"/>
  <c r="F4025" i="8" s="1"/>
  <c r="C4025" i="8"/>
  <c r="B4025" i="8"/>
  <c r="D4024" i="8"/>
  <c r="F4024" i="8" s="1"/>
  <c r="C4024" i="8"/>
  <c r="B4024" i="8"/>
  <c r="D4023" i="8"/>
  <c r="F4023" i="8" s="1"/>
  <c r="C4023" i="8"/>
  <c r="B4023" i="8"/>
  <c r="D4022" i="8"/>
  <c r="F4022" i="8" s="1"/>
  <c r="C4022" i="8"/>
  <c r="B4022" i="8"/>
  <c r="D4021" i="8"/>
  <c r="F4021" i="8" s="1"/>
  <c r="C4021" i="8"/>
  <c r="B4021" i="8"/>
  <c r="D4020" i="8"/>
  <c r="F4020" i="8" s="1"/>
  <c r="C4020" i="8"/>
  <c r="B4020" i="8"/>
  <c r="D4019" i="8"/>
  <c r="F4019" i="8" s="1"/>
  <c r="C4019" i="8"/>
  <c r="B4019" i="8"/>
  <c r="D4018" i="8"/>
  <c r="F4018" i="8" s="1"/>
  <c r="C4018" i="8"/>
  <c r="B4018" i="8"/>
  <c r="D4017" i="8"/>
  <c r="F4017" i="8" s="1"/>
  <c r="C4017" i="8"/>
  <c r="B4017" i="8"/>
  <c r="D4016" i="8"/>
  <c r="F4016" i="8" s="1"/>
  <c r="C4016" i="8"/>
  <c r="B4016" i="8"/>
  <c r="D4015" i="8"/>
  <c r="F4015" i="8" s="1"/>
  <c r="C4015" i="8"/>
  <c r="B4015" i="8"/>
  <c r="D4014" i="8"/>
  <c r="F4014" i="8" s="1"/>
  <c r="C4014" i="8"/>
  <c r="B4014" i="8"/>
  <c r="D4013" i="8"/>
  <c r="F4013" i="8" s="1"/>
  <c r="C4013" i="8"/>
  <c r="B4013" i="8"/>
  <c r="D4012" i="8"/>
  <c r="F4012" i="8" s="1"/>
  <c r="C4012" i="8"/>
  <c r="B4012" i="8"/>
  <c r="D4011" i="8"/>
  <c r="F4011" i="8" s="1"/>
  <c r="C4011" i="8"/>
  <c r="B4011" i="8"/>
  <c r="D4010" i="8"/>
  <c r="F4010" i="8" s="1"/>
  <c r="C4010" i="8"/>
  <c r="B4010" i="8"/>
  <c r="D4009" i="8"/>
  <c r="F4009" i="8" s="1"/>
  <c r="C4009" i="8"/>
  <c r="B4009" i="8"/>
  <c r="D4008" i="8"/>
  <c r="F4008" i="8" s="1"/>
  <c r="C4008" i="8"/>
  <c r="B4008" i="8"/>
  <c r="D4007" i="8"/>
  <c r="F4007" i="8" s="1"/>
  <c r="C4007" i="8"/>
  <c r="B4007" i="8"/>
  <c r="D4006" i="8"/>
  <c r="F4006" i="8" s="1"/>
  <c r="C4006" i="8"/>
  <c r="B4006" i="8"/>
  <c r="D4005" i="8"/>
  <c r="F4005" i="8" s="1"/>
  <c r="C4005" i="8"/>
  <c r="B4005" i="8"/>
  <c r="D4004" i="8"/>
  <c r="F4004" i="8" s="1"/>
  <c r="C4004" i="8"/>
  <c r="B4004" i="8"/>
  <c r="D4003" i="8"/>
  <c r="F4003" i="8" s="1"/>
  <c r="C4003" i="8"/>
  <c r="B4003" i="8"/>
  <c r="D4002" i="8"/>
  <c r="F4002" i="8" s="1"/>
  <c r="C4002" i="8"/>
  <c r="B4002" i="8"/>
  <c r="D4001" i="8"/>
  <c r="F4001" i="8" s="1"/>
  <c r="C4001" i="8"/>
  <c r="B4001" i="8"/>
  <c r="D4000" i="8"/>
  <c r="F4000" i="8" s="1"/>
  <c r="C4000" i="8"/>
  <c r="B4000" i="8"/>
  <c r="D3999" i="8"/>
  <c r="F3999" i="8" s="1"/>
  <c r="C3999" i="8"/>
  <c r="B3999" i="8"/>
  <c r="D3998" i="8"/>
  <c r="F3998" i="8" s="1"/>
  <c r="C3998" i="8"/>
  <c r="B3998" i="8"/>
  <c r="D3997" i="8"/>
  <c r="F3997" i="8" s="1"/>
  <c r="C3997" i="8"/>
  <c r="B3997" i="8"/>
  <c r="D3996" i="8"/>
  <c r="F3996" i="8" s="1"/>
  <c r="C3996" i="8"/>
  <c r="B3996" i="8"/>
  <c r="D3995" i="8"/>
  <c r="F3995" i="8" s="1"/>
  <c r="C3995" i="8"/>
  <c r="B3995" i="8"/>
  <c r="D3994" i="8"/>
  <c r="F3994" i="8" s="1"/>
  <c r="C3994" i="8"/>
  <c r="B3994" i="8"/>
  <c r="D3993" i="8"/>
  <c r="F3993" i="8" s="1"/>
  <c r="C3993" i="8"/>
  <c r="B3993" i="8"/>
  <c r="D3992" i="8"/>
  <c r="F3992" i="8" s="1"/>
  <c r="C3992" i="8"/>
  <c r="B3992" i="8"/>
  <c r="D3991" i="8"/>
  <c r="F3991" i="8" s="1"/>
  <c r="C3991" i="8"/>
  <c r="B3991" i="8"/>
  <c r="D3990" i="8"/>
  <c r="F3990" i="8" s="1"/>
  <c r="C3990" i="8"/>
  <c r="B3990" i="8"/>
  <c r="D3989" i="8"/>
  <c r="F3989" i="8" s="1"/>
  <c r="C3989" i="8"/>
  <c r="B3989" i="8"/>
  <c r="D3988" i="8"/>
  <c r="F3988" i="8" s="1"/>
  <c r="C3988" i="8"/>
  <c r="B3988" i="8"/>
  <c r="D3987" i="8"/>
  <c r="F3987" i="8" s="1"/>
  <c r="C3987" i="8"/>
  <c r="B3987" i="8"/>
  <c r="D3986" i="8"/>
  <c r="F3986" i="8" s="1"/>
  <c r="C3986" i="8"/>
  <c r="B3986" i="8"/>
  <c r="D3985" i="8"/>
  <c r="F3985" i="8" s="1"/>
  <c r="C3985" i="8"/>
  <c r="B3985" i="8"/>
  <c r="D3984" i="8"/>
  <c r="F3984" i="8" s="1"/>
  <c r="C3984" i="8"/>
  <c r="B3984" i="8"/>
  <c r="D3983" i="8"/>
  <c r="F3983" i="8" s="1"/>
  <c r="C3983" i="8"/>
  <c r="B3983" i="8"/>
  <c r="D3982" i="8"/>
  <c r="F3982" i="8" s="1"/>
  <c r="C3982" i="8"/>
  <c r="B3982" i="8"/>
  <c r="D3981" i="8"/>
  <c r="F3981" i="8" s="1"/>
  <c r="C3981" i="8"/>
  <c r="B3981" i="8"/>
  <c r="D3980" i="8"/>
  <c r="F3980" i="8" s="1"/>
  <c r="C3980" i="8"/>
  <c r="B3980" i="8"/>
  <c r="D3979" i="8"/>
  <c r="F3979" i="8" s="1"/>
  <c r="C3979" i="8"/>
  <c r="B3979" i="8"/>
  <c r="D3978" i="8"/>
  <c r="F3978" i="8" s="1"/>
  <c r="C3978" i="8"/>
  <c r="B3978" i="8"/>
  <c r="D3977" i="8"/>
  <c r="F3977" i="8" s="1"/>
  <c r="C3977" i="8"/>
  <c r="B3977" i="8"/>
  <c r="D3976" i="8"/>
  <c r="F3976" i="8" s="1"/>
  <c r="C3976" i="8"/>
  <c r="B3976" i="8"/>
  <c r="D3975" i="8"/>
  <c r="F3975" i="8" s="1"/>
  <c r="C3975" i="8"/>
  <c r="B3975" i="8"/>
  <c r="D3974" i="8"/>
  <c r="F3974" i="8" s="1"/>
  <c r="C3974" i="8"/>
  <c r="B3974" i="8"/>
  <c r="D3973" i="8"/>
  <c r="F3973" i="8" s="1"/>
  <c r="C3973" i="8"/>
  <c r="B3973" i="8"/>
  <c r="D3972" i="8"/>
  <c r="F3972" i="8" s="1"/>
  <c r="C3972" i="8"/>
  <c r="B3972" i="8"/>
  <c r="D3971" i="8"/>
  <c r="F3971" i="8" s="1"/>
  <c r="C3971" i="8"/>
  <c r="B3971" i="8"/>
  <c r="D3970" i="8"/>
  <c r="F3970" i="8" s="1"/>
  <c r="C3970" i="8"/>
  <c r="B3970" i="8"/>
  <c r="D3969" i="8"/>
  <c r="F3969" i="8" s="1"/>
  <c r="C3969" i="8"/>
  <c r="B3969" i="8"/>
  <c r="D3968" i="8"/>
  <c r="F3968" i="8" s="1"/>
  <c r="C3968" i="8"/>
  <c r="B3968" i="8"/>
  <c r="D3967" i="8"/>
  <c r="F3967" i="8" s="1"/>
  <c r="C3967" i="8"/>
  <c r="B3967" i="8"/>
  <c r="D3966" i="8"/>
  <c r="F3966" i="8" s="1"/>
  <c r="C3966" i="8"/>
  <c r="B3966" i="8"/>
  <c r="D3965" i="8"/>
  <c r="F3965" i="8" s="1"/>
  <c r="C3965" i="8"/>
  <c r="B3965" i="8"/>
  <c r="D3964" i="8"/>
  <c r="F3964" i="8" s="1"/>
  <c r="C3964" i="8"/>
  <c r="B3964" i="8"/>
  <c r="D3963" i="8"/>
  <c r="F3963" i="8" s="1"/>
  <c r="C3963" i="8"/>
  <c r="B3963" i="8"/>
  <c r="D3962" i="8"/>
  <c r="F3962" i="8" s="1"/>
  <c r="C3962" i="8"/>
  <c r="B3962" i="8"/>
  <c r="D3961" i="8"/>
  <c r="F3961" i="8" s="1"/>
  <c r="C3961" i="8"/>
  <c r="B3961" i="8"/>
  <c r="D3960" i="8"/>
  <c r="F3960" i="8" s="1"/>
  <c r="C3960" i="8"/>
  <c r="B3960" i="8"/>
  <c r="D3959" i="8"/>
  <c r="F3959" i="8" s="1"/>
  <c r="C3959" i="8"/>
  <c r="B3959" i="8"/>
  <c r="D3958" i="8"/>
  <c r="F3958" i="8" s="1"/>
  <c r="C3958" i="8"/>
  <c r="B3958" i="8"/>
  <c r="D3957" i="8"/>
  <c r="F3957" i="8" s="1"/>
  <c r="C3957" i="8"/>
  <c r="B3957" i="8"/>
  <c r="D3956" i="8"/>
  <c r="F3956" i="8" s="1"/>
  <c r="C3956" i="8"/>
  <c r="B3956" i="8"/>
  <c r="D3955" i="8"/>
  <c r="F3955" i="8" s="1"/>
  <c r="C3955" i="8"/>
  <c r="B3955" i="8"/>
  <c r="D3954" i="8"/>
  <c r="F3954" i="8" s="1"/>
  <c r="C3954" i="8"/>
  <c r="B3954" i="8"/>
  <c r="D3953" i="8"/>
  <c r="F3953" i="8" s="1"/>
  <c r="C3953" i="8"/>
  <c r="B3953" i="8"/>
  <c r="D3952" i="8"/>
  <c r="F3952" i="8" s="1"/>
  <c r="C3952" i="8"/>
  <c r="B3952" i="8"/>
  <c r="D3951" i="8"/>
  <c r="F3951" i="8" s="1"/>
  <c r="C3951" i="8"/>
  <c r="B3951" i="8"/>
  <c r="F3950" i="8"/>
  <c r="D3950" i="8"/>
  <c r="C3950" i="8"/>
  <c r="B3950" i="8"/>
  <c r="D3949" i="8"/>
  <c r="F3949" i="8" s="1"/>
  <c r="C3949" i="8"/>
  <c r="B3949" i="8"/>
  <c r="D3948" i="8"/>
  <c r="F3948" i="8" s="1"/>
  <c r="C3948" i="8"/>
  <c r="B3948" i="8"/>
  <c r="D3947" i="8"/>
  <c r="F3947" i="8" s="1"/>
  <c r="C3947" i="8"/>
  <c r="B3947" i="8"/>
  <c r="D3946" i="8"/>
  <c r="F3946" i="8" s="1"/>
  <c r="C3946" i="8"/>
  <c r="B3946" i="8"/>
  <c r="D3945" i="8"/>
  <c r="F3945" i="8" s="1"/>
  <c r="C3945" i="8"/>
  <c r="B3945" i="8"/>
  <c r="D3944" i="8"/>
  <c r="F3944" i="8" s="1"/>
  <c r="C3944" i="8"/>
  <c r="B3944" i="8"/>
  <c r="D3943" i="8"/>
  <c r="F3943" i="8" s="1"/>
  <c r="C3943" i="8"/>
  <c r="B3943" i="8"/>
  <c r="D3942" i="8"/>
  <c r="F3942" i="8" s="1"/>
  <c r="C3942" i="8"/>
  <c r="B3942" i="8"/>
  <c r="D3941" i="8"/>
  <c r="F3941" i="8" s="1"/>
  <c r="C3941" i="8"/>
  <c r="B3941" i="8"/>
  <c r="D3940" i="8"/>
  <c r="F3940" i="8" s="1"/>
  <c r="C3940" i="8"/>
  <c r="B3940" i="8"/>
  <c r="D3939" i="8"/>
  <c r="F3939" i="8" s="1"/>
  <c r="C3939" i="8"/>
  <c r="B3939" i="8"/>
  <c r="D3938" i="8"/>
  <c r="F3938" i="8" s="1"/>
  <c r="C3938" i="8"/>
  <c r="B3938" i="8"/>
  <c r="D3937" i="8"/>
  <c r="F3937" i="8" s="1"/>
  <c r="C3937" i="8"/>
  <c r="B3937" i="8"/>
  <c r="D3936" i="8"/>
  <c r="F3936" i="8" s="1"/>
  <c r="C3936" i="8"/>
  <c r="B3936" i="8"/>
  <c r="D3935" i="8"/>
  <c r="F3935" i="8" s="1"/>
  <c r="C3935" i="8"/>
  <c r="B3935" i="8"/>
  <c r="D3934" i="8"/>
  <c r="F3934" i="8" s="1"/>
  <c r="C3934" i="8"/>
  <c r="B3934" i="8"/>
  <c r="D3933" i="8"/>
  <c r="F3933" i="8" s="1"/>
  <c r="C3933" i="8"/>
  <c r="B3933" i="8"/>
  <c r="D3932" i="8"/>
  <c r="F3932" i="8" s="1"/>
  <c r="C3932" i="8"/>
  <c r="B3932" i="8"/>
  <c r="D3931" i="8"/>
  <c r="F3931" i="8" s="1"/>
  <c r="C3931" i="8"/>
  <c r="B3931" i="8"/>
  <c r="D3930" i="8"/>
  <c r="F3930" i="8" s="1"/>
  <c r="C3930" i="8"/>
  <c r="B3930" i="8"/>
  <c r="D3929" i="8"/>
  <c r="F3929" i="8" s="1"/>
  <c r="C3929" i="8"/>
  <c r="B3929" i="8"/>
  <c r="D3928" i="8"/>
  <c r="F3928" i="8" s="1"/>
  <c r="C3928" i="8"/>
  <c r="B3928" i="8"/>
  <c r="D3927" i="8"/>
  <c r="F3927" i="8" s="1"/>
  <c r="C3927" i="8"/>
  <c r="B3927" i="8"/>
  <c r="D3926" i="8"/>
  <c r="F3926" i="8" s="1"/>
  <c r="C3926" i="8"/>
  <c r="B3926" i="8"/>
  <c r="D3925" i="8"/>
  <c r="F3925" i="8" s="1"/>
  <c r="C3925" i="8"/>
  <c r="B3925" i="8"/>
  <c r="D3924" i="8"/>
  <c r="F3924" i="8" s="1"/>
  <c r="C3924" i="8"/>
  <c r="B3924" i="8"/>
  <c r="D3923" i="8"/>
  <c r="F3923" i="8" s="1"/>
  <c r="C3923" i="8"/>
  <c r="B3923" i="8"/>
  <c r="D3922" i="8"/>
  <c r="F3922" i="8" s="1"/>
  <c r="K509" i="5" s="1"/>
  <c r="J509" i="5" s="1"/>
  <c r="C3922" i="8"/>
  <c r="B3922" i="8"/>
  <c r="D3921" i="8"/>
  <c r="F3921" i="8" s="1"/>
  <c r="C3921" i="8"/>
  <c r="B3921" i="8"/>
  <c r="D3920" i="8"/>
  <c r="F3920" i="8" s="1"/>
  <c r="C3920" i="8"/>
  <c r="B3920" i="8"/>
  <c r="D3919" i="8"/>
  <c r="F3919" i="8" s="1"/>
  <c r="C3919" i="8"/>
  <c r="B3919" i="8"/>
  <c r="D3918" i="8"/>
  <c r="F3918" i="8" s="1"/>
  <c r="C3918" i="8"/>
  <c r="B3918" i="8"/>
  <c r="D3917" i="8"/>
  <c r="F3917" i="8" s="1"/>
  <c r="C3917" i="8"/>
  <c r="B3917" i="8"/>
  <c r="D3916" i="8"/>
  <c r="F3916" i="8" s="1"/>
  <c r="C3916" i="8"/>
  <c r="B3916" i="8"/>
  <c r="D3915" i="8"/>
  <c r="F3915" i="8" s="1"/>
  <c r="C3915" i="8"/>
  <c r="B3915" i="8"/>
  <c r="D3914" i="8"/>
  <c r="F3914" i="8" s="1"/>
  <c r="C3914" i="8"/>
  <c r="B3914" i="8"/>
  <c r="D3913" i="8"/>
  <c r="F3913" i="8" s="1"/>
  <c r="C3913" i="8"/>
  <c r="B3913" i="8"/>
  <c r="D3912" i="8"/>
  <c r="F3912" i="8" s="1"/>
  <c r="C3912" i="8"/>
  <c r="B3912" i="8"/>
  <c r="D3911" i="8"/>
  <c r="F3911" i="8" s="1"/>
  <c r="C3911" i="8"/>
  <c r="B3911" i="8"/>
  <c r="D3910" i="8"/>
  <c r="F3910" i="8" s="1"/>
  <c r="C3910" i="8"/>
  <c r="B3910" i="8"/>
  <c r="D3909" i="8"/>
  <c r="F3909" i="8" s="1"/>
  <c r="C3909" i="8"/>
  <c r="B3909" i="8"/>
  <c r="D3908" i="8"/>
  <c r="F3908" i="8" s="1"/>
  <c r="C3908" i="8"/>
  <c r="B3908" i="8"/>
  <c r="D3907" i="8"/>
  <c r="F3907" i="8" s="1"/>
  <c r="C3907" i="8"/>
  <c r="B3907" i="8"/>
  <c r="D3906" i="8"/>
  <c r="F3906" i="8" s="1"/>
  <c r="C3906" i="8"/>
  <c r="B3906" i="8"/>
  <c r="D3905" i="8"/>
  <c r="F3905" i="8" s="1"/>
  <c r="C3905" i="8"/>
  <c r="B3905" i="8"/>
  <c r="D3904" i="8"/>
  <c r="F3904" i="8" s="1"/>
  <c r="C3904" i="8"/>
  <c r="B3904" i="8"/>
  <c r="D3903" i="8"/>
  <c r="F3903" i="8" s="1"/>
  <c r="C3903" i="8"/>
  <c r="B3903" i="8"/>
  <c r="D3902" i="8"/>
  <c r="F3902" i="8" s="1"/>
  <c r="C3902" i="8"/>
  <c r="B3902" i="8"/>
  <c r="D3901" i="8"/>
  <c r="F3901" i="8" s="1"/>
  <c r="C3901" i="8"/>
  <c r="B3901" i="8"/>
  <c r="D3900" i="8"/>
  <c r="F3900" i="8" s="1"/>
  <c r="C3900" i="8"/>
  <c r="B3900" i="8"/>
  <c r="D3899" i="8"/>
  <c r="F3899" i="8" s="1"/>
  <c r="C3899" i="8"/>
  <c r="B3899" i="8"/>
  <c r="D3898" i="8"/>
  <c r="F3898" i="8" s="1"/>
  <c r="C3898" i="8"/>
  <c r="B3898" i="8"/>
  <c r="D3897" i="8"/>
  <c r="F3897" i="8" s="1"/>
  <c r="C3897" i="8"/>
  <c r="B3897" i="8"/>
  <c r="D3896" i="8"/>
  <c r="F3896" i="8" s="1"/>
  <c r="C3896" i="8"/>
  <c r="B3896" i="8"/>
  <c r="D3895" i="8"/>
  <c r="F3895" i="8" s="1"/>
  <c r="C3895" i="8"/>
  <c r="B3895" i="8"/>
  <c r="D3894" i="8"/>
  <c r="F3894" i="8" s="1"/>
  <c r="C3894" i="8"/>
  <c r="B3894" i="8"/>
  <c r="D3893" i="8"/>
  <c r="F3893" i="8" s="1"/>
  <c r="C3893" i="8"/>
  <c r="B3893" i="8"/>
  <c r="D3892" i="8"/>
  <c r="F3892" i="8" s="1"/>
  <c r="C3892" i="8"/>
  <c r="B3892" i="8"/>
  <c r="D3891" i="8"/>
  <c r="F3891" i="8" s="1"/>
  <c r="C3891" i="8"/>
  <c r="B3891" i="8"/>
  <c r="D3890" i="8"/>
  <c r="F3890" i="8" s="1"/>
  <c r="C3890" i="8"/>
  <c r="B3890" i="8"/>
  <c r="D3889" i="8"/>
  <c r="F3889" i="8" s="1"/>
  <c r="C3889" i="8"/>
  <c r="B3889" i="8"/>
  <c r="D3888" i="8"/>
  <c r="F3888" i="8" s="1"/>
  <c r="C3888" i="8"/>
  <c r="B3888" i="8"/>
  <c r="D3887" i="8"/>
  <c r="F3887" i="8" s="1"/>
  <c r="C3887" i="8"/>
  <c r="B3887" i="8"/>
  <c r="D3886" i="8"/>
  <c r="F3886" i="8" s="1"/>
  <c r="C3886" i="8"/>
  <c r="B3886" i="8"/>
  <c r="D3885" i="8"/>
  <c r="F3885" i="8" s="1"/>
  <c r="C3885" i="8"/>
  <c r="B3885" i="8"/>
  <c r="D3884" i="8"/>
  <c r="F3884" i="8" s="1"/>
  <c r="C3884" i="8"/>
  <c r="B3884" i="8"/>
  <c r="D3883" i="8"/>
  <c r="F3883" i="8" s="1"/>
  <c r="C3883" i="8"/>
  <c r="B3883" i="8"/>
  <c r="D3882" i="8"/>
  <c r="F3882" i="8" s="1"/>
  <c r="C3882" i="8"/>
  <c r="B3882" i="8"/>
  <c r="D3881" i="8"/>
  <c r="F3881" i="8" s="1"/>
  <c r="C3881" i="8"/>
  <c r="B3881" i="8"/>
  <c r="D3880" i="8"/>
  <c r="F3880" i="8" s="1"/>
  <c r="C3880" i="8"/>
  <c r="B3880" i="8"/>
  <c r="D3879" i="8"/>
  <c r="F3879" i="8" s="1"/>
  <c r="C3879" i="8"/>
  <c r="B3879" i="8"/>
  <c r="D3878" i="8"/>
  <c r="F3878" i="8" s="1"/>
  <c r="C3878" i="8"/>
  <c r="B3878" i="8"/>
  <c r="D3877" i="8"/>
  <c r="F3877" i="8" s="1"/>
  <c r="C3877" i="8"/>
  <c r="B3877" i="8"/>
  <c r="D3876" i="8"/>
  <c r="F3876" i="8" s="1"/>
  <c r="C3876" i="8"/>
  <c r="B3876" i="8"/>
  <c r="D3875" i="8"/>
  <c r="F3875" i="8" s="1"/>
  <c r="C3875" i="8"/>
  <c r="B3875" i="8"/>
  <c r="D3874" i="8"/>
  <c r="F3874" i="8" s="1"/>
  <c r="C3874" i="8"/>
  <c r="B3874" i="8"/>
  <c r="D3873" i="8"/>
  <c r="F3873" i="8" s="1"/>
  <c r="C3873" i="8"/>
  <c r="B3873" i="8"/>
  <c r="D3872" i="8"/>
  <c r="F3872" i="8" s="1"/>
  <c r="C3872" i="8"/>
  <c r="B3872" i="8"/>
  <c r="D3871" i="8"/>
  <c r="F3871" i="8" s="1"/>
  <c r="C3871" i="8"/>
  <c r="B3871" i="8"/>
  <c r="D3870" i="8"/>
  <c r="F3870" i="8" s="1"/>
  <c r="C3870" i="8"/>
  <c r="B3870" i="8"/>
  <c r="D3869" i="8"/>
  <c r="F3869" i="8" s="1"/>
  <c r="C3869" i="8"/>
  <c r="B3869" i="8"/>
  <c r="D3868" i="8"/>
  <c r="F3868" i="8" s="1"/>
  <c r="C3868" i="8"/>
  <c r="B3868" i="8"/>
  <c r="D3867" i="8"/>
  <c r="F3867" i="8" s="1"/>
  <c r="C3867" i="8"/>
  <c r="B3867" i="8"/>
  <c r="D3866" i="8"/>
  <c r="F3866" i="8" s="1"/>
  <c r="C3866" i="8"/>
  <c r="B3866" i="8"/>
  <c r="D3865" i="8"/>
  <c r="F3865" i="8" s="1"/>
  <c r="C3865" i="8"/>
  <c r="B3865" i="8"/>
  <c r="D3864" i="8"/>
  <c r="F3864" i="8" s="1"/>
  <c r="C3864" i="8"/>
  <c r="B3864" i="8"/>
  <c r="D3863" i="8"/>
  <c r="F3863" i="8" s="1"/>
  <c r="C3863" i="8"/>
  <c r="B3863" i="8"/>
  <c r="D3862" i="8"/>
  <c r="F3862" i="8" s="1"/>
  <c r="C3862" i="8"/>
  <c r="B3862" i="8"/>
  <c r="D3861" i="8"/>
  <c r="F3861" i="8" s="1"/>
  <c r="C3861" i="8"/>
  <c r="B3861" i="8"/>
  <c r="D3860" i="8"/>
  <c r="F3860" i="8" s="1"/>
  <c r="C3860" i="8"/>
  <c r="B3860" i="8"/>
  <c r="D3859" i="8"/>
  <c r="F3859" i="8" s="1"/>
  <c r="C3859" i="8"/>
  <c r="B3859" i="8"/>
  <c r="D3858" i="8"/>
  <c r="F3858" i="8" s="1"/>
  <c r="C3858" i="8"/>
  <c r="B3858" i="8"/>
  <c r="D3857" i="8"/>
  <c r="F3857" i="8" s="1"/>
  <c r="C3857" i="8"/>
  <c r="B3857" i="8"/>
  <c r="D3856" i="8"/>
  <c r="F3856" i="8" s="1"/>
  <c r="C3856" i="8"/>
  <c r="B3856" i="8"/>
  <c r="D3855" i="8"/>
  <c r="F3855" i="8" s="1"/>
  <c r="C3855" i="8"/>
  <c r="B3855" i="8"/>
  <c r="D3854" i="8"/>
  <c r="F3854" i="8" s="1"/>
  <c r="C3854" i="8"/>
  <c r="B3854" i="8"/>
  <c r="D3853" i="8"/>
  <c r="F3853" i="8" s="1"/>
  <c r="C3853" i="8"/>
  <c r="B3853" i="8"/>
  <c r="D3852" i="8"/>
  <c r="F3852" i="8" s="1"/>
  <c r="C3852" i="8"/>
  <c r="B3852" i="8"/>
  <c r="D3851" i="8"/>
  <c r="F3851" i="8" s="1"/>
  <c r="C3851" i="8"/>
  <c r="B3851" i="8"/>
  <c r="D3850" i="8"/>
  <c r="F3850" i="8" s="1"/>
  <c r="C3850" i="8"/>
  <c r="B3850" i="8"/>
  <c r="D3849" i="8"/>
  <c r="F3849" i="8" s="1"/>
  <c r="C3849" i="8"/>
  <c r="B3849" i="8"/>
  <c r="D3848" i="8"/>
  <c r="F3848" i="8" s="1"/>
  <c r="C3848" i="8"/>
  <c r="B3848" i="8"/>
  <c r="D3847" i="8"/>
  <c r="F3847" i="8" s="1"/>
  <c r="K541" i="5" s="1"/>
  <c r="J541" i="5" s="1"/>
  <c r="C3847" i="8"/>
  <c r="B3847" i="8"/>
  <c r="D3846" i="8"/>
  <c r="F3846" i="8" s="1"/>
  <c r="C3846" i="8"/>
  <c r="B3846" i="8"/>
  <c r="D3845" i="8"/>
  <c r="F3845" i="8" s="1"/>
  <c r="C3845" i="8"/>
  <c r="B3845" i="8"/>
  <c r="D3844" i="8"/>
  <c r="F3844" i="8" s="1"/>
  <c r="C3844" i="8"/>
  <c r="B3844" i="8"/>
  <c r="D3843" i="8"/>
  <c r="F3843" i="8" s="1"/>
  <c r="C3843" i="8"/>
  <c r="B3843" i="8"/>
  <c r="D3842" i="8"/>
  <c r="F3842" i="8" s="1"/>
  <c r="C3842" i="8"/>
  <c r="B3842" i="8"/>
  <c r="D3841" i="8"/>
  <c r="F3841" i="8" s="1"/>
  <c r="C3841" i="8"/>
  <c r="B3841" i="8"/>
  <c r="D3840" i="8"/>
  <c r="F3840" i="8" s="1"/>
  <c r="C3840" i="8"/>
  <c r="B3840" i="8"/>
  <c r="D3839" i="8"/>
  <c r="F3839" i="8" s="1"/>
  <c r="C3839" i="8"/>
  <c r="B3839" i="8"/>
  <c r="D3838" i="8"/>
  <c r="F3838" i="8" s="1"/>
  <c r="C3838" i="8"/>
  <c r="B3838" i="8"/>
  <c r="D3837" i="8"/>
  <c r="F3837" i="8" s="1"/>
  <c r="C3837" i="8"/>
  <c r="B3837" i="8"/>
  <c r="D3836" i="8"/>
  <c r="F3836" i="8" s="1"/>
  <c r="C3836" i="8"/>
  <c r="B3836" i="8"/>
  <c r="D3835" i="8"/>
  <c r="F3835" i="8" s="1"/>
  <c r="C3835" i="8"/>
  <c r="B3835" i="8"/>
  <c r="D3834" i="8"/>
  <c r="F3834" i="8" s="1"/>
  <c r="C3834" i="8"/>
  <c r="B3834" i="8"/>
  <c r="D3833" i="8"/>
  <c r="F3833" i="8" s="1"/>
  <c r="C3833" i="8"/>
  <c r="B3833" i="8"/>
  <c r="D3832" i="8"/>
  <c r="F3832" i="8" s="1"/>
  <c r="C3832" i="8"/>
  <c r="B3832" i="8"/>
  <c r="D3831" i="8"/>
  <c r="F3831" i="8" s="1"/>
  <c r="C3831" i="8"/>
  <c r="B3831" i="8"/>
  <c r="D3830" i="8"/>
  <c r="F3830" i="8" s="1"/>
  <c r="C3830" i="8"/>
  <c r="B3830" i="8"/>
  <c r="D3829" i="8"/>
  <c r="F3829" i="8" s="1"/>
  <c r="C3829" i="8"/>
  <c r="B3829" i="8"/>
  <c r="D3828" i="8"/>
  <c r="F3828" i="8" s="1"/>
  <c r="C3828" i="8"/>
  <c r="B3828" i="8"/>
  <c r="D3827" i="8"/>
  <c r="F3827" i="8" s="1"/>
  <c r="C3827" i="8"/>
  <c r="B3827" i="8"/>
  <c r="D3826" i="8"/>
  <c r="F3826" i="8" s="1"/>
  <c r="C3826" i="8"/>
  <c r="B3826" i="8"/>
  <c r="D3825" i="8"/>
  <c r="F3825" i="8" s="1"/>
  <c r="C3825" i="8"/>
  <c r="B3825" i="8"/>
  <c r="D3824" i="8"/>
  <c r="F3824" i="8" s="1"/>
  <c r="C3824" i="8"/>
  <c r="B3824" i="8"/>
  <c r="D3823" i="8"/>
  <c r="F3823" i="8" s="1"/>
  <c r="C3823" i="8"/>
  <c r="B3823" i="8"/>
  <c r="D3822" i="8"/>
  <c r="F3822" i="8" s="1"/>
  <c r="C3822" i="8"/>
  <c r="B3822" i="8"/>
  <c r="D3821" i="8"/>
  <c r="F3821" i="8" s="1"/>
  <c r="C3821" i="8"/>
  <c r="B3821" i="8"/>
  <c r="D3820" i="8"/>
  <c r="F3820" i="8" s="1"/>
  <c r="C3820" i="8"/>
  <c r="B3820" i="8"/>
  <c r="D3819" i="8"/>
  <c r="F3819" i="8" s="1"/>
  <c r="C3819" i="8"/>
  <c r="B3819" i="8"/>
  <c r="D3818" i="8"/>
  <c r="F3818" i="8" s="1"/>
  <c r="C3818" i="8"/>
  <c r="B3818" i="8"/>
  <c r="D3817" i="8"/>
  <c r="F3817" i="8" s="1"/>
  <c r="C3817" i="8"/>
  <c r="B3817" i="8"/>
  <c r="D3816" i="8"/>
  <c r="F3816" i="8" s="1"/>
  <c r="C3816" i="8"/>
  <c r="B3816" i="8"/>
  <c r="D3815" i="8"/>
  <c r="F3815" i="8" s="1"/>
  <c r="K362" i="5" s="1"/>
  <c r="J362" i="5" s="1"/>
  <c r="C3815" i="8"/>
  <c r="B3815" i="8"/>
  <c r="D3814" i="8"/>
  <c r="F3814" i="8" s="1"/>
  <c r="C3814" i="8"/>
  <c r="B3814" i="8"/>
  <c r="D3813" i="8"/>
  <c r="F3813" i="8" s="1"/>
  <c r="C3813" i="8"/>
  <c r="B3813" i="8"/>
  <c r="D3812" i="8"/>
  <c r="F3812" i="8" s="1"/>
  <c r="C3812" i="8"/>
  <c r="B3812" i="8"/>
  <c r="D3811" i="8"/>
  <c r="F3811" i="8" s="1"/>
  <c r="C3811" i="8"/>
  <c r="B3811" i="8"/>
  <c r="D3810" i="8"/>
  <c r="F3810" i="8" s="1"/>
  <c r="C3810" i="8"/>
  <c r="B3810" i="8"/>
  <c r="D3809" i="8"/>
  <c r="F3809" i="8" s="1"/>
  <c r="C3809" i="8"/>
  <c r="B3809" i="8"/>
  <c r="D3808" i="8"/>
  <c r="F3808" i="8" s="1"/>
  <c r="C3808" i="8"/>
  <c r="B3808" i="8"/>
  <c r="D3807" i="8"/>
  <c r="F3807" i="8" s="1"/>
  <c r="C3807" i="8"/>
  <c r="B3807" i="8"/>
  <c r="D3806" i="8"/>
  <c r="F3806" i="8" s="1"/>
  <c r="C3806" i="8"/>
  <c r="B3806" i="8"/>
  <c r="D3805" i="8"/>
  <c r="F3805" i="8" s="1"/>
  <c r="C3805" i="8"/>
  <c r="B3805" i="8"/>
  <c r="D3804" i="8"/>
  <c r="F3804" i="8" s="1"/>
  <c r="C3804" i="8"/>
  <c r="B3804" i="8"/>
  <c r="D3803" i="8"/>
  <c r="F3803" i="8" s="1"/>
  <c r="C3803" i="8"/>
  <c r="B3803" i="8"/>
  <c r="D3802" i="8"/>
  <c r="F3802" i="8" s="1"/>
  <c r="C3802" i="8"/>
  <c r="B3802" i="8"/>
  <c r="D3801" i="8"/>
  <c r="F3801" i="8" s="1"/>
  <c r="C3801" i="8"/>
  <c r="B3801" i="8"/>
  <c r="D3800" i="8"/>
  <c r="F3800" i="8" s="1"/>
  <c r="C3800" i="8"/>
  <c r="B3800" i="8"/>
  <c r="D3799" i="8"/>
  <c r="F3799" i="8" s="1"/>
  <c r="C3799" i="8"/>
  <c r="B3799" i="8"/>
  <c r="D3798" i="8"/>
  <c r="F3798" i="8" s="1"/>
  <c r="C3798" i="8"/>
  <c r="B3798" i="8"/>
  <c r="D3797" i="8"/>
  <c r="F3797" i="8" s="1"/>
  <c r="C3797" i="8"/>
  <c r="B3797" i="8"/>
  <c r="D3796" i="8"/>
  <c r="F3796" i="8" s="1"/>
  <c r="C3796" i="8"/>
  <c r="B3796" i="8"/>
  <c r="D3795" i="8"/>
  <c r="F3795" i="8" s="1"/>
  <c r="C3795" i="8"/>
  <c r="B3795" i="8"/>
  <c r="D3794" i="8"/>
  <c r="F3794" i="8" s="1"/>
  <c r="C3794" i="8"/>
  <c r="B3794" i="8"/>
  <c r="D3793" i="8"/>
  <c r="F3793" i="8" s="1"/>
  <c r="C3793" i="8"/>
  <c r="B3793" i="8"/>
  <c r="D3792" i="8"/>
  <c r="F3792" i="8" s="1"/>
  <c r="C3792" i="8"/>
  <c r="B3792" i="8"/>
  <c r="D3791" i="8"/>
  <c r="F3791" i="8" s="1"/>
  <c r="C3791" i="8"/>
  <c r="B3791" i="8"/>
  <c r="D3790" i="8"/>
  <c r="F3790" i="8" s="1"/>
  <c r="C3790" i="8"/>
  <c r="B3790" i="8"/>
  <c r="D3789" i="8"/>
  <c r="F3789" i="8" s="1"/>
  <c r="C3789" i="8"/>
  <c r="B3789" i="8"/>
  <c r="D3788" i="8"/>
  <c r="F3788" i="8" s="1"/>
  <c r="C3788" i="8"/>
  <c r="B3788" i="8"/>
  <c r="D3787" i="8"/>
  <c r="F3787" i="8" s="1"/>
  <c r="C3787" i="8"/>
  <c r="B3787" i="8"/>
  <c r="D3786" i="8"/>
  <c r="F3786" i="8" s="1"/>
  <c r="C3786" i="8"/>
  <c r="B3786" i="8"/>
  <c r="D3785" i="8"/>
  <c r="F3785" i="8" s="1"/>
  <c r="C3785" i="8"/>
  <c r="B3785" i="8"/>
  <c r="D3784" i="8"/>
  <c r="F3784" i="8" s="1"/>
  <c r="C3784" i="8"/>
  <c r="B3784" i="8"/>
  <c r="D3783" i="8"/>
  <c r="F3783" i="8" s="1"/>
  <c r="C3783" i="8"/>
  <c r="B3783" i="8"/>
  <c r="D3782" i="8"/>
  <c r="F3782" i="8" s="1"/>
  <c r="C3782" i="8"/>
  <c r="B3782" i="8"/>
  <c r="D3781" i="8"/>
  <c r="F3781" i="8" s="1"/>
  <c r="C3781" i="8"/>
  <c r="B3781" i="8"/>
  <c r="D3780" i="8"/>
  <c r="F3780" i="8" s="1"/>
  <c r="C3780" i="8"/>
  <c r="B3780" i="8"/>
  <c r="D3779" i="8"/>
  <c r="F3779" i="8" s="1"/>
  <c r="C3779" i="8"/>
  <c r="B3779" i="8"/>
  <c r="D3778" i="8"/>
  <c r="F3778" i="8" s="1"/>
  <c r="C3778" i="8"/>
  <c r="B3778" i="8"/>
  <c r="D3777" i="8"/>
  <c r="F3777" i="8" s="1"/>
  <c r="C3777" i="8"/>
  <c r="B3777" i="8"/>
  <c r="D3776" i="8"/>
  <c r="F3776" i="8" s="1"/>
  <c r="C3776" i="8"/>
  <c r="B3776" i="8"/>
  <c r="D3775" i="8"/>
  <c r="F3775" i="8" s="1"/>
  <c r="C3775" i="8"/>
  <c r="B3775" i="8"/>
  <c r="D3774" i="8"/>
  <c r="F3774" i="8" s="1"/>
  <c r="C3774" i="8"/>
  <c r="B3774" i="8"/>
  <c r="D3773" i="8"/>
  <c r="F3773" i="8" s="1"/>
  <c r="C3773" i="8"/>
  <c r="B3773" i="8"/>
  <c r="D3772" i="8"/>
  <c r="F3772" i="8" s="1"/>
  <c r="C3772" i="8"/>
  <c r="B3772" i="8"/>
  <c r="D3771" i="8"/>
  <c r="F3771" i="8" s="1"/>
  <c r="C3771" i="8"/>
  <c r="B3771" i="8"/>
  <c r="D3770" i="8"/>
  <c r="F3770" i="8" s="1"/>
  <c r="C3770" i="8"/>
  <c r="B3770" i="8"/>
  <c r="D3769" i="8"/>
  <c r="F3769" i="8" s="1"/>
  <c r="C3769" i="8"/>
  <c r="B3769" i="8"/>
  <c r="D3768" i="8"/>
  <c r="F3768" i="8" s="1"/>
  <c r="C3768" i="8"/>
  <c r="B3768" i="8"/>
  <c r="D3767" i="8"/>
  <c r="F3767" i="8" s="1"/>
  <c r="C3767" i="8"/>
  <c r="B3767" i="8"/>
  <c r="D3766" i="8"/>
  <c r="F3766" i="8" s="1"/>
  <c r="C3766" i="8"/>
  <c r="B3766" i="8"/>
  <c r="D3765" i="8"/>
  <c r="F3765" i="8" s="1"/>
  <c r="C3765" i="8"/>
  <c r="B3765" i="8"/>
  <c r="D3764" i="8"/>
  <c r="F3764" i="8" s="1"/>
  <c r="C3764" i="8"/>
  <c r="B3764" i="8"/>
  <c r="D3763" i="8"/>
  <c r="F3763" i="8" s="1"/>
  <c r="C3763" i="8"/>
  <c r="B3763" i="8"/>
  <c r="D3762" i="8"/>
  <c r="F3762" i="8" s="1"/>
  <c r="C3762" i="8"/>
  <c r="B3762" i="8"/>
  <c r="D3761" i="8"/>
  <c r="F3761" i="8" s="1"/>
  <c r="C3761" i="8"/>
  <c r="B3761" i="8"/>
  <c r="D3760" i="8"/>
  <c r="F3760" i="8" s="1"/>
  <c r="C3760" i="8"/>
  <c r="B3760" i="8"/>
  <c r="D3759" i="8"/>
  <c r="F3759" i="8" s="1"/>
  <c r="C3759" i="8"/>
  <c r="B3759" i="8"/>
  <c r="D3758" i="8"/>
  <c r="F3758" i="8" s="1"/>
  <c r="C3758" i="8"/>
  <c r="B3758" i="8"/>
  <c r="D3757" i="8"/>
  <c r="F3757" i="8" s="1"/>
  <c r="C3757" i="8"/>
  <c r="B3757" i="8"/>
  <c r="D3756" i="8"/>
  <c r="F3756" i="8" s="1"/>
  <c r="C3756" i="8"/>
  <c r="B3756" i="8"/>
  <c r="D3755" i="8"/>
  <c r="F3755" i="8" s="1"/>
  <c r="C3755" i="8"/>
  <c r="B3755" i="8"/>
  <c r="D3754" i="8"/>
  <c r="F3754" i="8" s="1"/>
  <c r="C3754" i="8"/>
  <c r="B3754" i="8"/>
  <c r="D3753" i="8"/>
  <c r="F3753" i="8" s="1"/>
  <c r="C3753" i="8"/>
  <c r="B3753" i="8"/>
  <c r="D3752" i="8"/>
  <c r="F3752" i="8" s="1"/>
  <c r="C3752" i="8"/>
  <c r="B3752" i="8"/>
  <c r="D3751" i="8"/>
  <c r="F3751" i="8" s="1"/>
  <c r="C3751" i="8"/>
  <c r="B3751" i="8"/>
  <c r="D3750" i="8"/>
  <c r="F3750" i="8" s="1"/>
  <c r="C3750" i="8"/>
  <c r="B3750" i="8"/>
  <c r="D3749" i="8"/>
  <c r="F3749" i="8" s="1"/>
  <c r="C3749" i="8"/>
  <c r="B3749" i="8"/>
  <c r="D3748" i="8"/>
  <c r="F3748" i="8" s="1"/>
  <c r="C3748" i="8"/>
  <c r="B3748" i="8"/>
  <c r="D3747" i="8"/>
  <c r="F3747" i="8" s="1"/>
  <c r="C3747" i="8"/>
  <c r="B3747" i="8"/>
  <c r="D3746" i="8"/>
  <c r="F3746" i="8" s="1"/>
  <c r="C3746" i="8"/>
  <c r="B3746" i="8"/>
  <c r="D3745" i="8"/>
  <c r="F3745" i="8" s="1"/>
  <c r="C3745" i="8"/>
  <c r="B3745" i="8"/>
  <c r="D3744" i="8"/>
  <c r="F3744" i="8" s="1"/>
  <c r="C3744" i="8"/>
  <c r="B3744" i="8"/>
  <c r="D3743" i="8"/>
  <c r="F3743" i="8" s="1"/>
  <c r="C3743" i="8"/>
  <c r="B3743" i="8"/>
  <c r="D3742" i="8"/>
  <c r="F3742" i="8" s="1"/>
  <c r="C3742" i="8"/>
  <c r="B3742" i="8"/>
  <c r="D3741" i="8"/>
  <c r="F3741" i="8" s="1"/>
  <c r="C3741" i="8"/>
  <c r="B3741" i="8"/>
  <c r="D3740" i="8"/>
  <c r="F3740" i="8" s="1"/>
  <c r="C3740" i="8"/>
  <c r="B3740" i="8"/>
  <c r="D3739" i="8"/>
  <c r="F3739" i="8" s="1"/>
  <c r="C3739" i="8"/>
  <c r="B3739" i="8"/>
  <c r="D3738" i="8"/>
  <c r="F3738" i="8" s="1"/>
  <c r="C3738" i="8"/>
  <c r="B3738" i="8"/>
  <c r="D3737" i="8"/>
  <c r="F3737" i="8" s="1"/>
  <c r="C3737" i="8"/>
  <c r="B3737" i="8"/>
  <c r="D3736" i="8"/>
  <c r="F3736" i="8" s="1"/>
  <c r="C3736" i="8"/>
  <c r="B3736" i="8"/>
  <c r="D3735" i="8"/>
  <c r="F3735" i="8" s="1"/>
  <c r="C3735" i="8"/>
  <c r="B3735" i="8"/>
  <c r="D3734" i="8"/>
  <c r="F3734" i="8" s="1"/>
  <c r="C3734" i="8"/>
  <c r="B3734" i="8"/>
  <c r="D3733" i="8"/>
  <c r="F3733" i="8" s="1"/>
  <c r="C3733" i="8"/>
  <c r="B3733" i="8"/>
  <c r="D3732" i="8"/>
  <c r="F3732" i="8" s="1"/>
  <c r="C3732" i="8"/>
  <c r="B3732" i="8"/>
  <c r="D3731" i="8"/>
  <c r="F3731" i="8" s="1"/>
  <c r="C3731" i="8"/>
  <c r="B3731" i="8"/>
  <c r="D3730" i="8"/>
  <c r="F3730" i="8" s="1"/>
  <c r="C3730" i="8"/>
  <c r="B3730" i="8"/>
  <c r="D3729" i="8"/>
  <c r="F3729" i="8" s="1"/>
  <c r="C3729" i="8"/>
  <c r="B3729" i="8"/>
  <c r="D3728" i="8"/>
  <c r="F3728" i="8" s="1"/>
  <c r="C3728" i="8"/>
  <c r="B3728" i="8"/>
  <c r="D3727" i="8"/>
  <c r="F3727" i="8" s="1"/>
  <c r="C3727" i="8"/>
  <c r="B3727" i="8"/>
  <c r="D3726" i="8"/>
  <c r="F3726" i="8" s="1"/>
  <c r="C3726" i="8"/>
  <c r="B3726" i="8"/>
  <c r="D3725" i="8"/>
  <c r="F3725" i="8" s="1"/>
  <c r="C3725" i="8"/>
  <c r="B3725" i="8"/>
  <c r="D3724" i="8"/>
  <c r="F3724" i="8" s="1"/>
  <c r="C3724" i="8"/>
  <c r="B3724" i="8"/>
  <c r="D3723" i="8"/>
  <c r="F3723" i="8" s="1"/>
  <c r="C3723" i="8"/>
  <c r="B3723" i="8"/>
  <c r="D3722" i="8"/>
  <c r="F3722" i="8" s="1"/>
  <c r="C3722" i="8"/>
  <c r="B3722" i="8"/>
  <c r="D3721" i="8"/>
  <c r="F3721" i="8" s="1"/>
  <c r="C3721" i="8"/>
  <c r="B3721" i="8"/>
  <c r="D3720" i="8"/>
  <c r="F3720" i="8" s="1"/>
  <c r="C3720" i="8"/>
  <c r="B3720" i="8"/>
  <c r="D3719" i="8"/>
  <c r="F3719" i="8" s="1"/>
  <c r="C3719" i="8"/>
  <c r="B3719" i="8"/>
  <c r="D3718" i="8"/>
  <c r="F3718" i="8" s="1"/>
  <c r="C3718" i="8"/>
  <c r="B3718" i="8"/>
  <c r="D3717" i="8"/>
  <c r="F3717" i="8" s="1"/>
  <c r="C3717" i="8"/>
  <c r="B3717" i="8"/>
  <c r="D3716" i="8"/>
  <c r="F3716" i="8" s="1"/>
  <c r="C3716" i="8"/>
  <c r="B3716" i="8"/>
  <c r="D3715" i="8"/>
  <c r="F3715" i="8" s="1"/>
  <c r="C3715" i="8"/>
  <c r="B3715" i="8"/>
  <c r="D3714" i="8"/>
  <c r="F3714" i="8" s="1"/>
  <c r="C3714" i="8"/>
  <c r="B3714" i="8"/>
  <c r="D3713" i="8"/>
  <c r="F3713" i="8" s="1"/>
  <c r="C3713" i="8"/>
  <c r="B3713" i="8"/>
  <c r="D3712" i="8"/>
  <c r="F3712" i="8" s="1"/>
  <c r="C3712" i="8"/>
  <c r="B3712" i="8"/>
  <c r="D3711" i="8"/>
  <c r="F3711" i="8" s="1"/>
  <c r="C3711" i="8"/>
  <c r="B3711" i="8"/>
  <c r="D3710" i="8"/>
  <c r="F3710" i="8" s="1"/>
  <c r="C3710" i="8"/>
  <c r="B3710" i="8"/>
  <c r="D3709" i="8"/>
  <c r="F3709" i="8" s="1"/>
  <c r="C3709" i="8"/>
  <c r="B3709" i="8"/>
  <c r="D3708" i="8"/>
  <c r="F3708" i="8" s="1"/>
  <c r="C3708" i="8"/>
  <c r="B3708" i="8"/>
  <c r="D3707" i="8"/>
  <c r="F3707" i="8" s="1"/>
  <c r="C3707" i="8"/>
  <c r="B3707" i="8"/>
  <c r="D3706" i="8"/>
  <c r="F3706" i="8" s="1"/>
  <c r="C3706" i="8"/>
  <c r="B3706" i="8"/>
  <c r="D3705" i="8"/>
  <c r="F3705" i="8" s="1"/>
  <c r="C3705" i="8"/>
  <c r="B3705" i="8"/>
  <c r="D3704" i="8"/>
  <c r="F3704" i="8" s="1"/>
  <c r="C3704" i="8"/>
  <c r="B3704" i="8"/>
  <c r="D3703" i="8"/>
  <c r="F3703" i="8" s="1"/>
  <c r="C3703" i="8"/>
  <c r="B3703" i="8"/>
  <c r="D3702" i="8"/>
  <c r="F3702" i="8" s="1"/>
  <c r="C3702" i="8"/>
  <c r="B3702" i="8"/>
  <c r="D3701" i="8"/>
  <c r="F3701" i="8" s="1"/>
  <c r="C3701" i="8"/>
  <c r="B3701" i="8"/>
  <c r="D3700" i="8"/>
  <c r="F3700" i="8" s="1"/>
  <c r="C3700" i="8"/>
  <c r="B3700" i="8"/>
  <c r="D3699" i="8"/>
  <c r="F3699" i="8" s="1"/>
  <c r="C3699" i="8"/>
  <c r="B3699" i="8"/>
  <c r="D3698" i="8"/>
  <c r="F3698" i="8" s="1"/>
  <c r="C3698" i="8"/>
  <c r="B3698" i="8"/>
  <c r="D3697" i="8"/>
  <c r="F3697" i="8" s="1"/>
  <c r="C3697" i="8"/>
  <c r="B3697" i="8"/>
  <c r="D3696" i="8"/>
  <c r="F3696" i="8" s="1"/>
  <c r="C3696" i="8"/>
  <c r="B3696" i="8"/>
  <c r="D3695" i="8"/>
  <c r="F3695" i="8" s="1"/>
  <c r="C3695" i="8"/>
  <c r="B3695" i="8"/>
  <c r="D3694" i="8"/>
  <c r="F3694" i="8" s="1"/>
  <c r="C3694" i="8"/>
  <c r="B3694" i="8"/>
  <c r="D3693" i="8"/>
  <c r="F3693" i="8" s="1"/>
  <c r="C3693" i="8"/>
  <c r="B3693" i="8"/>
  <c r="D3692" i="8"/>
  <c r="F3692" i="8" s="1"/>
  <c r="C3692" i="8"/>
  <c r="B3692" i="8"/>
  <c r="D3691" i="8"/>
  <c r="F3691" i="8" s="1"/>
  <c r="C3691" i="8"/>
  <c r="B3691" i="8"/>
  <c r="D3690" i="8"/>
  <c r="F3690" i="8" s="1"/>
  <c r="C3690" i="8"/>
  <c r="B3690" i="8"/>
  <c r="D3689" i="8"/>
  <c r="F3689" i="8" s="1"/>
  <c r="C3689" i="8"/>
  <c r="B3689" i="8"/>
  <c r="D3688" i="8"/>
  <c r="F3688" i="8" s="1"/>
  <c r="C3688" i="8"/>
  <c r="B3688" i="8"/>
  <c r="D3687" i="8"/>
  <c r="F3687" i="8" s="1"/>
  <c r="C3687" i="8"/>
  <c r="B3687" i="8"/>
  <c r="D3686" i="8"/>
  <c r="F3686" i="8" s="1"/>
  <c r="C3686" i="8"/>
  <c r="B3686" i="8"/>
  <c r="D3685" i="8"/>
  <c r="F3685" i="8" s="1"/>
  <c r="C3685" i="8"/>
  <c r="B3685" i="8"/>
  <c r="D3684" i="8"/>
  <c r="F3684" i="8" s="1"/>
  <c r="C3684" i="8"/>
  <c r="B3684" i="8"/>
  <c r="D3683" i="8"/>
  <c r="F3683" i="8" s="1"/>
  <c r="C3683" i="8"/>
  <c r="B3683" i="8"/>
  <c r="D3682" i="8"/>
  <c r="F3682" i="8" s="1"/>
  <c r="C3682" i="8"/>
  <c r="B3682" i="8"/>
  <c r="D3681" i="8"/>
  <c r="F3681" i="8" s="1"/>
  <c r="C3681" i="8"/>
  <c r="B3681" i="8"/>
  <c r="D3680" i="8"/>
  <c r="F3680" i="8" s="1"/>
  <c r="C3680" i="8"/>
  <c r="B3680" i="8"/>
  <c r="D3679" i="8"/>
  <c r="F3679" i="8" s="1"/>
  <c r="C3679" i="8"/>
  <c r="B3679" i="8"/>
  <c r="D3678" i="8"/>
  <c r="F3678" i="8" s="1"/>
  <c r="C3678" i="8"/>
  <c r="B3678" i="8"/>
  <c r="D3677" i="8"/>
  <c r="F3677" i="8" s="1"/>
  <c r="C3677" i="8"/>
  <c r="B3677" i="8"/>
  <c r="D3676" i="8"/>
  <c r="F3676" i="8" s="1"/>
  <c r="C3676" i="8"/>
  <c r="B3676" i="8"/>
  <c r="D3675" i="8"/>
  <c r="F3675" i="8" s="1"/>
  <c r="C3675" i="8"/>
  <c r="B3675" i="8"/>
  <c r="D3674" i="8"/>
  <c r="F3674" i="8" s="1"/>
  <c r="C3674" i="8"/>
  <c r="B3674" i="8"/>
  <c r="D3673" i="8"/>
  <c r="F3673" i="8" s="1"/>
  <c r="C3673" i="8"/>
  <c r="B3673" i="8"/>
  <c r="D3672" i="8"/>
  <c r="F3672" i="8" s="1"/>
  <c r="C3672" i="8"/>
  <c r="B3672" i="8"/>
  <c r="D3671" i="8"/>
  <c r="F3671" i="8" s="1"/>
  <c r="C3671" i="8"/>
  <c r="B3671" i="8"/>
  <c r="D3670" i="8"/>
  <c r="F3670" i="8" s="1"/>
  <c r="C3670" i="8"/>
  <c r="B3670" i="8"/>
  <c r="D3669" i="8"/>
  <c r="F3669" i="8" s="1"/>
  <c r="C3669" i="8"/>
  <c r="B3669" i="8"/>
  <c r="D3668" i="8"/>
  <c r="F3668" i="8" s="1"/>
  <c r="C3668" i="8"/>
  <c r="B3668" i="8"/>
  <c r="D3667" i="8"/>
  <c r="F3667" i="8" s="1"/>
  <c r="C3667" i="8"/>
  <c r="B3667" i="8"/>
  <c r="D3666" i="8"/>
  <c r="F3666" i="8" s="1"/>
  <c r="C3666" i="8"/>
  <c r="B3666" i="8"/>
  <c r="D3665" i="8"/>
  <c r="F3665" i="8" s="1"/>
  <c r="C3665" i="8"/>
  <c r="B3665" i="8"/>
  <c r="D3664" i="8"/>
  <c r="F3664" i="8" s="1"/>
  <c r="C3664" i="8"/>
  <c r="B3664" i="8"/>
  <c r="D3663" i="8"/>
  <c r="F3663" i="8" s="1"/>
  <c r="C3663" i="8"/>
  <c r="B3663" i="8"/>
  <c r="D3662" i="8"/>
  <c r="F3662" i="8" s="1"/>
  <c r="C3662" i="8"/>
  <c r="B3662" i="8"/>
  <c r="D3661" i="8"/>
  <c r="F3661" i="8" s="1"/>
  <c r="C3661" i="8"/>
  <c r="B3661" i="8"/>
  <c r="D3660" i="8"/>
  <c r="F3660" i="8" s="1"/>
  <c r="C3660" i="8"/>
  <c r="B3660" i="8"/>
  <c r="D3659" i="8"/>
  <c r="F3659" i="8" s="1"/>
  <c r="C3659" i="8"/>
  <c r="B3659" i="8"/>
  <c r="D3658" i="8"/>
  <c r="F3658" i="8" s="1"/>
  <c r="C3658" i="8"/>
  <c r="B3658" i="8"/>
  <c r="D3657" i="8"/>
  <c r="F3657" i="8" s="1"/>
  <c r="C3657" i="8"/>
  <c r="B3657" i="8"/>
  <c r="D3656" i="8"/>
  <c r="F3656" i="8" s="1"/>
  <c r="C3656" i="8"/>
  <c r="B3656" i="8"/>
  <c r="D3655" i="8"/>
  <c r="F3655" i="8" s="1"/>
  <c r="C3655" i="8"/>
  <c r="B3655" i="8"/>
  <c r="D3654" i="8"/>
  <c r="F3654" i="8" s="1"/>
  <c r="C3654" i="8"/>
  <c r="B3654" i="8"/>
  <c r="D3653" i="8"/>
  <c r="F3653" i="8" s="1"/>
  <c r="C3653" i="8"/>
  <c r="B3653" i="8"/>
  <c r="D3652" i="8"/>
  <c r="F3652" i="8" s="1"/>
  <c r="C3652" i="8"/>
  <c r="B3652" i="8"/>
  <c r="D3651" i="8"/>
  <c r="F3651" i="8" s="1"/>
  <c r="C3651" i="8"/>
  <c r="B3651" i="8"/>
  <c r="D3650" i="8"/>
  <c r="F3650" i="8" s="1"/>
  <c r="C3650" i="8"/>
  <c r="B3650" i="8"/>
  <c r="D3649" i="8"/>
  <c r="F3649" i="8" s="1"/>
  <c r="C3649" i="8"/>
  <c r="B3649" i="8"/>
  <c r="D3648" i="8"/>
  <c r="F3648" i="8" s="1"/>
  <c r="C3648" i="8"/>
  <c r="B3648" i="8"/>
  <c r="D3647" i="8"/>
  <c r="F3647" i="8" s="1"/>
  <c r="C3647" i="8"/>
  <c r="B3647" i="8"/>
  <c r="D3646" i="8"/>
  <c r="F3646" i="8" s="1"/>
  <c r="C3646" i="8"/>
  <c r="B3646" i="8"/>
  <c r="D3645" i="8"/>
  <c r="F3645" i="8" s="1"/>
  <c r="C3645" i="8"/>
  <c r="B3645" i="8"/>
  <c r="D3644" i="8"/>
  <c r="F3644" i="8" s="1"/>
  <c r="C3644" i="8"/>
  <c r="B3644" i="8"/>
  <c r="D3643" i="8"/>
  <c r="F3643" i="8" s="1"/>
  <c r="C3643" i="8"/>
  <c r="B3643" i="8"/>
  <c r="D3642" i="8"/>
  <c r="F3642" i="8" s="1"/>
  <c r="C3642" i="8"/>
  <c r="B3642" i="8"/>
  <c r="D3641" i="8"/>
  <c r="F3641" i="8" s="1"/>
  <c r="C3641" i="8"/>
  <c r="B3641" i="8"/>
  <c r="D3640" i="8"/>
  <c r="F3640" i="8" s="1"/>
  <c r="C3640" i="8"/>
  <c r="B3640" i="8"/>
  <c r="D3639" i="8"/>
  <c r="F3639" i="8" s="1"/>
  <c r="C3639" i="8"/>
  <c r="B3639" i="8"/>
  <c r="D3638" i="8"/>
  <c r="F3638" i="8" s="1"/>
  <c r="C3638" i="8"/>
  <c r="B3638" i="8"/>
  <c r="D3637" i="8"/>
  <c r="F3637" i="8" s="1"/>
  <c r="C3637" i="8"/>
  <c r="B3637" i="8"/>
  <c r="D3636" i="8"/>
  <c r="F3636" i="8" s="1"/>
  <c r="C3636" i="8"/>
  <c r="B3636" i="8"/>
  <c r="D3635" i="8"/>
  <c r="F3635" i="8" s="1"/>
  <c r="C3635" i="8"/>
  <c r="B3635" i="8"/>
  <c r="D3634" i="8"/>
  <c r="F3634" i="8" s="1"/>
  <c r="C3634" i="8"/>
  <c r="B3634" i="8"/>
  <c r="D3633" i="8"/>
  <c r="F3633" i="8" s="1"/>
  <c r="C3633" i="8"/>
  <c r="B3633" i="8"/>
  <c r="D3632" i="8"/>
  <c r="F3632" i="8" s="1"/>
  <c r="C3632" i="8"/>
  <c r="B3632" i="8"/>
  <c r="D3631" i="8"/>
  <c r="F3631" i="8" s="1"/>
  <c r="C3631" i="8"/>
  <c r="B3631" i="8"/>
  <c r="D3630" i="8"/>
  <c r="F3630" i="8" s="1"/>
  <c r="C3630" i="8"/>
  <c r="B3630" i="8"/>
  <c r="D3629" i="8"/>
  <c r="F3629" i="8" s="1"/>
  <c r="C3629" i="8"/>
  <c r="B3629" i="8"/>
  <c r="D3628" i="8"/>
  <c r="F3628" i="8" s="1"/>
  <c r="C3628" i="8"/>
  <c r="B3628" i="8"/>
  <c r="D3627" i="8"/>
  <c r="F3627" i="8" s="1"/>
  <c r="C3627" i="8"/>
  <c r="B3627" i="8"/>
  <c r="D3626" i="8"/>
  <c r="F3626" i="8" s="1"/>
  <c r="C3626" i="8"/>
  <c r="B3626" i="8"/>
  <c r="D3625" i="8"/>
  <c r="F3625" i="8" s="1"/>
  <c r="C3625" i="8"/>
  <c r="B3625" i="8"/>
  <c r="D3624" i="8"/>
  <c r="F3624" i="8" s="1"/>
  <c r="C3624" i="8"/>
  <c r="B3624" i="8"/>
  <c r="D3623" i="8"/>
  <c r="F3623" i="8" s="1"/>
  <c r="C3623" i="8"/>
  <c r="B3623" i="8"/>
  <c r="D3622" i="8"/>
  <c r="F3622" i="8" s="1"/>
  <c r="C3622" i="8"/>
  <c r="B3622" i="8"/>
  <c r="D3621" i="8"/>
  <c r="F3621" i="8" s="1"/>
  <c r="C3621" i="8"/>
  <c r="B3621" i="8"/>
  <c r="D3620" i="8"/>
  <c r="F3620" i="8" s="1"/>
  <c r="C3620" i="8"/>
  <c r="B3620" i="8"/>
  <c r="D3619" i="8"/>
  <c r="F3619" i="8" s="1"/>
  <c r="C3619" i="8"/>
  <c r="B3619" i="8"/>
  <c r="D3618" i="8"/>
  <c r="F3618" i="8" s="1"/>
  <c r="C3618" i="8"/>
  <c r="B3618" i="8"/>
  <c r="D3617" i="8"/>
  <c r="F3617" i="8" s="1"/>
  <c r="C3617" i="8"/>
  <c r="B3617" i="8"/>
  <c r="D3616" i="8"/>
  <c r="F3616" i="8" s="1"/>
  <c r="C3616" i="8"/>
  <c r="B3616" i="8"/>
  <c r="D3615" i="8"/>
  <c r="F3615" i="8" s="1"/>
  <c r="C3615" i="8"/>
  <c r="B3615" i="8"/>
  <c r="D3614" i="8"/>
  <c r="F3614" i="8" s="1"/>
  <c r="C3614" i="8"/>
  <c r="B3614" i="8"/>
  <c r="D3613" i="8"/>
  <c r="F3613" i="8" s="1"/>
  <c r="C3613" i="8"/>
  <c r="B3613" i="8"/>
  <c r="D3612" i="8"/>
  <c r="F3612" i="8" s="1"/>
  <c r="C3612" i="8"/>
  <c r="B3612" i="8"/>
  <c r="D3611" i="8"/>
  <c r="F3611" i="8" s="1"/>
  <c r="C3611" i="8"/>
  <c r="B3611" i="8"/>
  <c r="D3610" i="8"/>
  <c r="F3610" i="8" s="1"/>
  <c r="C3610" i="8"/>
  <c r="B3610" i="8"/>
  <c r="D3609" i="8"/>
  <c r="F3609" i="8" s="1"/>
  <c r="C3609" i="8"/>
  <c r="B3609" i="8"/>
  <c r="D3608" i="8"/>
  <c r="F3608" i="8" s="1"/>
  <c r="C3608" i="8"/>
  <c r="B3608" i="8"/>
  <c r="D3607" i="8"/>
  <c r="F3607" i="8" s="1"/>
  <c r="K547" i="5" s="1"/>
  <c r="J547" i="5" s="1"/>
  <c r="C3607" i="8"/>
  <c r="B3607" i="8"/>
  <c r="D3606" i="8"/>
  <c r="F3606" i="8" s="1"/>
  <c r="C3606" i="8"/>
  <c r="B3606" i="8"/>
  <c r="D3605" i="8"/>
  <c r="F3605" i="8" s="1"/>
  <c r="C3605" i="8"/>
  <c r="B3605" i="8"/>
  <c r="D3604" i="8"/>
  <c r="F3604" i="8" s="1"/>
  <c r="C3604" i="8"/>
  <c r="B3604" i="8"/>
  <c r="D3603" i="8"/>
  <c r="F3603" i="8" s="1"/>
  <c r="C3603" i="8"/>
  <c r="B3603" i="8"/>
  <c r="D3602" i="8"/>
  <c r="F3602" i="8" s="1"/>
  <c r="C3602" i="8"/>
  <c r="B3602" i="8"/>
  <c r="D3601" i="8"/>
  <c r="F3601" i="8" s="1"/>
  <c r="C3601" i="8"/>
  <c r="B3601" i="8"/>
  <c r="D3600" i="8"/>
  <c r="F3600" i="8" s="1"/>
  <c r="C3600" i="8"/>
  <c r="B3600" i="8"/>
  <c r="D3599" i="8"/>
  <c r="F3599" i="8" s="1"/>
  <c r="C3599" i="8"/>
  <c r="B3599" i="8"/>
  <c r="D3598" i="8"/>
  <c r="F3598" i="8" s="1"/>
  <c r="C3598" i="8"/>
  <c r="B3598" i="8"/>
  <c r="D3597" i="8"/>
  <c r="F3597" i="8" s="1"/>
  <c r="C3597" i="8"/>
  <c r="B3597" i="8"/>
  <c r="D3596" i="8"/>
  <c r="F3596" i="8" s="1"/>
  <c r="C3596" i="8"/>
  <c r="B3596" i="8"/>
  <c r="D3595" i="8"/>
  <c r="F3595" i="8" s="1"/>
  <c r="C3595" i="8"/>
  <c r="B3595" i="8"/>
  <c r="D3594" i="8"/>
  <c r="F3594" i="8" s="1"/>
  <c r="C3594" i="8"/>
  <c r="B3594" i="8"/>
  <c r="D3593" i="8"/>
  <c r="F3593" i="8" s="1"/>
  <c r="C3593" i="8"/>
  <c r="B3593" i="8"/>
  <c r="D3592" i="8"/>
  <c r="F3592" i="8" s="1"/>
  <c r="C3592" i="8"/>
  <c r="B3592" i="8"/>
  <c r="D3591" i="8"/>
  <c r="F3591" i="8" s="1"/>
  <c r="C3591" i="8"/>
  <c r="B3591" i="8"/>
  <c r="D3590" i="8"/>
  <c r="F3590" i="8" s="1"/>
  <c r="C3590" i="8"/>
  <c r="B3590" i="8"/>
  <c r="D3589" i="8"/>
  <c r="F3589" i="8" s="1"/>
  <c r="C3589" i="8"/>
  <c r="B3589" i="8"/>
  <c r="D3588" i="8"/>
  <c r="F3588" i="8" s="1"/>
  <c r="C3588" i="8"/>
  <c r="B3588" i="8"/>
  <c r="D3587" i="8"/>
  <c r="F3587" i="8" s="1"/>
  <c r="C3587" i="8"/>
  <c r="B3587" i="8"/>
  <c r="D3586" i="8"/>
  <c r="F3586" i="8" s="1"/>
  <c r="C3586" i="8"/>
  <c r="B3586" i="8"/>
  <c r="D3585" i="8"/>
  <c r="F3585" i="8" s="1"/>
  <c r="C3585" i="8"/>
  <c r="B3585" i="8"/>
  <c r="D3584" i="8"/>
  <c r="F3584" i="8" s="1"/>
  <c r="C3584" i="8"/>
  <c r="B3584" i="8"/>
  <c r="D3583" i="8"/>
  <c r="F3583" i="8" s="1"/>
  <c r="C3583" i="8"/>
  <c r="B3583" i="8"/>
  <c r="D3582" i="8"/>
  <c r="F3582" i="8" s="1"/>
  <c r="C3582" i="8"/>
  <c r="B3582" i="8"/>
  <c r="D3581" i="8"/>
  <c r="F3581" i="8" s="1"/>
  <c r="C3581" i="8"/>
  <c r="B3581" i="8"/>
  <c r="F3580" i="8"/>
  <c r="D3580" i="8"/>
  <c r="C3580" i="8"/>
  <c r="B3580" i="8"/>
  <c r="D3579" i="8"/>
  <c r="F3579" i="8" s="1"/>
  <c r="C3579" i="8"/>
  <c r="B3579" i="8"/>
  <c r="D3578" i="8"/>
  <c r="F3578" i="8" s="1"/>
  <c r="C3578" i="8"/>
  <c r="B3578" i="8"/>
  <c r="D3577" i="8"/>
  <c r="F3577" i="8" s="1"/>
  <c r="C3577" i="8"/>
  <c r="B3577" i="8"/>
  <c r="D3576" i="8"/>
  <c r="F3576" i="8" s="1"/>
  <c r="C3576" i="8"/>
  <c r="B3576" i="8"/>
  <c r="D3575" i="8"/>
  <c r="F3575" i="8" s="1"/>
  <c r="C3575" i="8"/>
  <c r="B3575" i="8"/>
  <c r="D3574" i="8"/>
  <c r="F3574" i="8" s="1"/>
  <c r="C3574" i="8"/>
  <c r="B3574" i="8"/>
  <c r="D3573" i="8"/>
  <c r="F3573" i="8" s="1"/>
  <c r="C3573" i="8"/>
  <c r="B3573" i="8"/>
  <c r="D3572" i="8"/>
  <c r="F3572" i="8" s="1"/>
  <c r="C3572" i="8"/>
  <c r="B3572" i="8"/>
  <c r="D3571" i="8"/>
  <c r="F3571" i="8" s="1"/>
  <c r="C3571" i="8"/>
  <c r="B3571" i="8"/>
  <c r="D3570" i="8"/>
  <c r="F3570" i="8" s="1"/>
  <c r="C3570" i="8"/>
  <c r="B3570" i="8"/>
  <c r="D3569" i="8"/>
  <c r="F3569" i="8" s="1"/>
  <c r="C3569" i="8"/>
  <c r="B3569" i="8"/>
  <c r="D3568" i="8"/>
  <c r="F3568" i="8" s="1"/>
  <c r="C3568" i="8"/>
  <c r="B3568" i="8"/>
  <c r="D3567" i="8"/>
  <c r="F3567" i="8" s="1"/>
  <c r="C3567" i="8"/>
  <c r="B3567" i="8"/>
  <c r="D3566" i="8"/>
  <c r="F3566" i="8" s="1"/>
  <c r="C3566" i="8"/>
  <c r="B3566" i="8"/>
  <c r="D3565" i="8"/>
  <c r="F3565" i="8" s="1"/>
  <c r="C3565" i="8"/>
  <c r="B3565" i="8"/>
  <c r="D3564" i="8"/>
  <c r="F3564" i="8" s="1"/>
  <c r="C3564" i="8"/>
  <c r="B3564" i="8"/>
  <c r="D3563" i="8"/>
  <c r="F3563" i="8" s="1"/>
  <c r="C3563" i="8"/>
  <c r="B3563" i="8"/>
  <c r="D3562" i="8"/>
  <c r="F3562" i="8" s="1"/>
  <c r="C3562" i="8"/>
  <c r="B3562" i="8"/>
  <c r="D3561" i="8"/>
  <c r="F3561" i="8" s="1"/>
  <c r="C3561" i="8"/>
  <c r="B3561" i="8"/>
  <c r="D3560" i="8"/>
  <c r="F3560" i="8" s="1"/>
  <c r="C3560" i="8"/>
  <c r="B3560" i="8"/>
  <c r="D3559" i="8"/>
  <c r="F3559" i="8" s="1"/>
  <c r="C3559" i="8"/>
  <c r="B3559" i="8"/>
  <c r="D3558" i="8"/>
  <c r="F3558" i="8" s="1"/>
  <c r="C3558" i="8"/>
  <c r="B3558" i="8"/>
  <c r="D3557" i="8"/>
  <c r="F3557" i="8" s="1"/>
  <c r="C3557" i="8"/>
  <c r="B3557" i="8"/>
  <c r="D3556" i="8"/>
  <c r="F3556" i="8" s="1"/>
  <c r="C3556" i="8"/>
  <c r="B3556" i="8"/>
  <c r="D3555" i="8"/>
  <c r="F3555" i="8" s="1"/>
  <c r="C3555" i="8"/>
  <c r="B3555" i="8"/>
  <c r="D3554" i="8"/>
  <c r="F3554" i="8" s="1"/>
  <c r="C3554" i="8"/>
  <c r="B3554" i="8"/>
  <c r="D3553" i="8"/>
  <c r="F3553" i="8" s="1"/>
  <c r="C3553" i="8"/>
  <c r="B3553" i="8"/>
  <c r="D3552" i="8"/>
  <c r="F3552" i="8" s="1"/>
  <c r="C3552" i="8"/>
  <c r="B3552" i="8"/>
  <c r="D3551" i="8"/>
  <c r="F3551" i="8" s="1"/>
  <c r="C3551" i="8"/>
  <c r="B3551" i="8"/>
  <c r="D3550" i="8"/>
  <c r="F3550" i="8" s="1"/>
  <c r="C3550" i="8"/>
  <c r="B3550" i="8"/>
  <c r="D3549" i="8"/>
  <c r="F3549" i="8" s="1"/>
  <c r="C3549" i="8"/>
  <c r="B3549" i="8"/>
  <c r="D3548" i="8"/>
  <c r="F3548" i="8" s="1"/>
  <c r="C3548" i="8"/>
  <c r="B3548" i="8"/>
  <c r="D3547" i="8"/>
  <c r="F3547" i="8" s="1"/>
  <c r="C3547" i="8"/>
  <c r="B3547" i="8"/>
  <c r="D3546" i="8"/>
  <c r="F3546" i="8" s="1"/>
  <c r="C3546" i="8"/>
  <c r="B3546" i="8"/>
  <c r="D3545" i="8"/>
  <c r="F3545" i="8" s="1"/>
  <c r="C3545" i="8"/>
  <c r="B3545" i="8"/>
  <c r="D3544" i="8"/>
  <c r="F3544" i="8" s="1"/>
  <c r="C3544" i="8"/>
  <c r="B3544" i="8"/>
  <c r="D3543" i="8"/>
  <c r="F3543" i="8" s="1"/>
  <c r="C3543" i="8"/>
  <c r="B3543" i="8"/>
  <c r="D3542" i="8"/>
  <c r="F3542" i="8" s="1"/>
  <c r="C3542" i="8"/>
  <c r="B3542" i="8"/>
  <c r="D3541" i="8"/>
  <c r="F3541" i="8" s="1"/>
  <c r="C3541" i="8"/>
  <c r="B3541" i="8"/>
  <c r="D3540" i="8"/>
  <c r="F3540" i="8" s="1"/>
  <c r="C3540" i="8"/>
  <c r="B3540" i="8"/>
  <c r="D3539" i="8"/>
  <c r="F3539" i="8" s="1"/>
  <c r="C3539" i="8"/>
  <c r="B3539" i="8"/>
  <c r="D3538" i="8"/>
  <c r="F3538" i="8" s="1"/>
  <c r="C3538" i="8"/>
  <c r="B3538" i="8"/>
  <c r="D3537" i="8"/>
  <c r="F3537" i="8" s="1"/>
  <c r="C3537" i="8"/>
  <c r="B3537" i="8"/>
  <c r="D3536" i="8"/>
  <c r="F3536" i="8" s="1"/>
  <c r="C3536" i="8"/>
  <c r="B3536" i="8"/>
  <c r="D3535" i="8"/>
  <c r="F3535" i="8" s="1"/>
  <c r="C3535" i="8"/>
  <c r="B3535" i="8"/>
  <c r="D3534" i="8"/>
  <c r="F3534" i="8" s="1"/>
  <c r="C3534" i="8"/>
  <c r="B3534" i="8"/>
  <c r="D3533" i="8"/>
  <c r="F3533" i="8" s="1"/>
  <c r="C3533" i="8"/>
  <c r="B3533" i="8"/>
  <c r="D3532" i="8"/>
  <c r="F3532" i="8" s="1"/>
  <c r="C3532" i="8"/>
  <c r="B3532" i="8"/>
  <c r="D3531" i="8"/>
  <c r="F3531" i="8" s="1"/>
  <c r="C3531" i="8"/>
  <c r="B3531" i="8"/>
  <c r="D3530" i="8"/>
  <c r="F3530" i="8" s="1"/>
  <c r="C3530" i="8"/>
  <c r="B3530" i="8"/>
  <c r="D3529" i="8"/>
  <c r="F3529" i="8" s="1"/>
  <c r="C3529" i="8"/>
  <c r="B3529" i="8"/>
  <c r="D3528" i="8"/>
  <c r="F3528" i="8" s="1"/>
  <c r="C3528" i="8"/>
  <c r="B3528" i="8"/>
  <c r="D3527" i="8"/>
  <c r="F3527" i="8" s="1"/>
  <c r="C3527" i="8"/>
  <c r="B3527" i="8"/>
  <c r="D3526" i="8"/>
  <c r="F3526" i="8" s="1"/>
  <c r="C3526" i="8"/>
  <c r="B3526" i="8"/>
  <c r="D3525" i="8"/>
  <c r="F3525" i="8" s="1"/>
  <c r="C3525" i="8"/>
  <c r="B3525" i="8"/>
  <c r="D3524" i="8"/>
  <c r="F3524" i="8" s="1"/>
  <c r="C3524" i="8"/>
  <c r="B3524" i="8"/>
  <c r="D3523" i="8"/>
  <c r="F3523" i="8" s="1"/>
  <c r="C3523" i="8"/>
  <c r="B3523" i="8"/>
  <c r="D3522" i="8"/>
  <c r="F3522" i="8" s="1"/>
  <c r="C3522" i="8"/>
  <c r="B3522" i="8"/>
  <c r="D3521" i="8"/>
  <c r="F3521" i="8" s="1"/>
  <c r="C3521" i="8"/>
  <c r="B3521" i="8"/>
  <c r="D3520" i="8"/>
  <c r="F3520" i="8" s="1"/>
  <c r="C3520" i="8"/>
  <c r="B3520" i="8"/>
  <c r="D3519" i="8"/>
  <c r="F3519" i="8" s="1"/>
  <c r="C3519" i="8"/>
  <c r="B3519" i="8"/>
  <c r="D3518" i="8"/>
  <c r="F3518" i="8" s="1"/>
  <c r="C3518" i="8"/>
  <c r="B3518" i="8"/>
  <c r="D3517" i="8"/>
  <c r="F3517" i="8" s="1"/>
  <c r="C3517" i="8"/>
  <c r="B3517" i="8"/>
  <c r="D3516" i="8"/>
  <c r="F3516" i="8" s="1"/>
  <c r="C3516" i="8"/>
  <c r="B3516" i="8"/>
  <c r="D3515" i="8"/>
  <c r="F3515" i="8" s="1"/>
  <c r="C3515" i="8"/>
  <c r="B3515" i="8"/>
  <c r="D3514" i="8"/>
  <c r="F3514" i="8" s="1"/>
  <c r="C3514" i="8"/>
  <c r="B3514" i="8"/>
  <c r="D3513" i="8"/>
  <c r="F3513" i="8" s="1"/>
  <c r="C3513" i="8"/>
  <c r="B3513" i="8"/>
  <c r="D3512" i="8"/>
  <c r="F3512" i="8" s="1"/>
  <c r="C3512" i="8"/>
  <c r="B3512" i="8"/>
  <c r="D3511" i="8"/>
  <c r="F3511" i="8" s="1"/>
  <c r="C3511" i="8"/>
  <c r="B3511" i="8"/>
  <c r="D3510" i="8"/>
  <c r="F3510" i="8" s="1"/>
  <c r="C3510" i="8"/>
  <c r="B3510" i="8"/>
  <c r="D3509" i="8"/>
  <c r="F3509" i="8" s="1"/>
  <c r="C3509" i="8"/>
  <c r="B3509" i="8"/>
  <c r="D3508" i="8"/>
  <c r="F3508" i="8" s="1"/>
  <c r="C3508" i="8"/>
  <c r="B3508" i="8"/>
  <c r="D3507" i="8"/>
  <c r="F3507" i="8" s="1"/>
  <c r="C3507" i="8"/>
  <c r="B3507" i="8"/>
  <c r="D3506" i="8"/>
  <c r="F3506" i="8" s="1"/>
  <c r="C3506" i="8"/>
  <c r="B3506" i="8"/>
  <c r="D3505" i="8"/>
  <c r="F3505" i="8" s="1"/>
  <c r="C3505" i="8"/>
  <c r="B3505" i="8"/>
  <c r="D3504" i="8"/>
  <c r="F3504" i="8" s="1"/>
  <c r="C3504" i="8"/>
  <c r="B3504" i="8"/>
  <c r="D3503" i="8"/>
  <c r="F3503" i="8" s="1"/>
  <c r="C3503" i="8"/>
  <c r="B3503" i="8"/>
  <c r="D3502" i="8"/>
  <c r="F3502" i="8" s="1"/>
  <c r="C3502" i="8"/>
  <c r="B3502" i="8"/>
  <c r="D3501" i="8"/>
  <c r="F3501" i="8" s="1"/>
  <c r="C3501" i="8"/>
  <c r="B3501" i="8"/>
  <c r="D3500" i="8"/>
  <c r="F3500" i="8" s="1"/>
  <c r="C3500" i="8"/>
  <c r="B3500" i="8"/>
  <c r="D3499" i="8"/>
  <c r="F3499" i="8" s="1"/>
  <c r="C3499" i="8"/>
  <c r="B3499" i="8"/>
  <c r="D3498" i="8"/>
  <c r="F3498" i="8" s="1"/>
  <c r="C3498" i="8"/>
  <c r="B3498" i="8"/>
  <c r="D3497" i="8"/>
  <c r="F3497" i="8" s="1"/>
  <c r="C3497" i="8"/>
  <c r="B3497" i="8"/>
  <c r="D3496" i="8"/>
  <c r="F3496" i="8" s="1"/>
  <c r="C3496" i="8"/>
  <c r="B3496" i="8"/>
  <c r="D3495" i="8"/>
  <c r="F3495" i="8" s="1"/>
  <c r="C3495" i="8"/>
  <c r="B3495" i="8"/>
  <c r="D3494" i="8"/>
  <c r="F3494" i="8" s="1"/>
  <c r="C3494" i="8"/>
  <c r="B3494" i="8"/>
  <c r="D3493" i="8"/>
  <c r="F3493" i="8" s="1"/>
  <c r="C3493" i="8"/>
  <c r="B3493" i="8"/>
  <c r="D3492" i="8"/>
  <c r="F3492" i="8" s="1"/>
  <c r="C3492" i="8"/>
  <c r="B3492" i="8"/>
  <c r="D3491" i="8"/>
  <c r="F3491" i="8" s="1"/>
  <c r="C3491" i="8"/>
  <c r="B3491" i="8"/>
  <c r="D3490" i="8"/>
  <c r="F3490" i="8" s="1"/>
  <c r="C3490" i="8"/>
  <c r="B3490" i="8"/>
  <c r="D3489" i="8"/>
  <c r="F3489" i="8" s="1"/>
  <c r="C3489" i="8"/>
  <c r="B3489" i="8"/>
  <c r="D3488" i="8"/>
  <c r="F3488" i="8" s="1"/>
  <c r="C3488" i="8"/>
  <c r="B3488" i="8"/>
  <c r="D3487" i="8"/>
  <c r="F3487" i="8" s="1"/>
  <c r="C3487" i="8"/>
  <c r="B3487" i="8"/>
  <c r="D3486" i="8"/>
  <c r="F3486" i="8" s="1"/>
  <c r="C3486" i="8"/>
  <c r="B3486" i="8"/>
  <c r="D3485" i="8"/>
  <c r="F3485" i="8" s="1"/>
  <c r="C3485" i="8"/>
  <c r="B3485" i="8"/>
  <c r="D3484" i="8"/>
  <c r="F3484" i="8" s="1"/>
  <c r="C3484" i="8"/>
  <c r="B3484" i="8"/>
  <c r="D3483" i="8"/>
  <c r="F3483" i="8" s="1"/>
  <c r="C3483" i="8"/>
  <c r="B3483" i="8"/>
  <c r="D3482" i="8"/>
  <c r="F3482" i="8" s="1"/>
  <c r="C3482" i="8"/>
  <c r="B3482" i="8"/>
  <c r="D3481" i="8"/>
  <c r="F3481" i="8" s="1"/>
  <c r="C3481" i="8"/>
  <c r="B3481" i="8"/>
  <c r="D3480" i="8"/>
  <c r="F3480" i="8" s="1"/>
  <c r="C3480" i="8"/>
  <c r="B3480" i="8"/>
  <c r="D3479" i="8"/>
  <c r="F3479" i="8" s="1"/>
  <c r="C3479" i="8"/>
  <c r="B3479" i="8"/>
  <c r="D3478" i="8"/>
  <c r="F3478" i="8" s="1"/>
  <c r="C3478" i="8"/>
  <c r="B3478" i="8"/>
  <c r="D3477" i="8"/>
  <c r="F3477" i="8" s="1"/>
  <c r="C3477" i="8"/>
  <c r="B3477" i="8"/>
  <c r="D3476" i="8"/>
  <c r="F3476" i="8" s="1"/>
  <c r="C3476" i="8"/>
  <c r="B3476" i="8"/>
  <c r="D3475" i="8"/>
  <c r="F3475" i="8" s="1"/>
  <c r="C3475" i="8"/>
  <c r="B3475" i="8"/>
  <c r="D3474" i="8"/>
  <c r="F3474" i="8" s="1"/>
  <c r="C3474" i="8"/>
  <c r="B3474" i="8"/>
  <c r="D3473" i="8"/>
  <c r="F3473" i="8" s="1"/>
  <c r="C3473" i="8"/>
  <c r="B3473" i="8"/>
  <c r="D3472" i="8"/>
  <c r="F3472" i="8" s="1"/>
  <c r="C3472" i="8"/>
  <c r="B3472" i="8"/>
  <c r="D3471" i="8"/>
  <c r="F3471" i="8" s="1"/>
  <c r="C3471" i="8"/>
  <c r="B3471" i="8"/>
  <c r="D3470" i="8"/>
  <c r="F3470" i="8" s="1"/>
  <c r="C3470" i="8"/>
  <c r="B3470" i="8"/>
  <c r="D3469" i="8"/>
  <c r="F3469" i="8" s="1"/>
  <c r="C3469" i="8"/>
  <c r="B3469" i="8"/>
  <c r="D3468" i="8"/>
  <c r="F3468" i="8" s="1"/>
  <c r="C3468" i="8"/>
  <c r="B3468" i="8"/>
  <c r="D3467" i="8"/>
  <c r="F3467" i="8" s="1"/>
  <c r="C3467" i="8"/>
  <c r="B3467" i="8"/>
  <c r="D3466" i="8"/>
  <c r="F3466" i="8" s="1"/>
  <c r="C3466" i="8"/>
  <c r="B3466" i="8"/>
  <c r="D3465" i="8"/>
  <c r="F3465" i="8" s="1"/>
  <c r="C3465" i="8"/>
  <c r="B3465" i="8"/>
  <c r="D3464" i="8"/>
  <c r="F3464" i="8" s="1"/>
  <c r="K544" i="5" s="1"/>
  <c r="C3464" i="8"/>
  <c r="B3464" i="8"/>
  <c r="D3463" i="8"/>
  <c r="F3463" i="8" s="1"/>
  <c r="C3463" i="8"/>
  <c r="B3463" i="8"/>
  <c r="D3462" i="8"/>
  <c r="F3462" i="8" s="1"/>
  <c r="C3462" i="8"/>
  <c r="B3462" i="8"/>
  <c r="D3461" i="8"/>
  <c r="F3461" i="8" s="1"/>
  <c r="C3461" i="8"/>
  <c r="B3461" i="8"/>
  <c r="D3460" i="8"/>
  <c r="F3460" i="8" s="1"/>
  <c r="C3460" i="8"/>
  <c r="B3460" i="8"/>
  <c r="D3459" i="8"/>
  <c r="F3459" i="8" s="1"/>
  <c r="C3459" i="8"/>
  <c r="B3459" i="8"/>
  <c r="D3458" i="8"/>
  <c r="F3458" i="8" s="1"/>
  <c r="C3458" i="8"/>
  <c r="B3458" i="8"/>
  <c r="D3457" i="8"/>
  <c r="F3457" i="8" s="1"/>
  <c r="C3457" i="8"/>
  <c r="B3457" i="8"/>
  <c r="D3456" i="8"/>
  <c r="F3456" i="8" s="1"/>
  <c r="C3456" i="8"/>
  <c r="B3456" i="8"/>
  <c r="D3455" i="8"/>
  <c r="F3455" i="8" s="1"/>
  <c r="C3455" i="8"/>
  <c r="B3455" i="8"/>
  <c r="D3454" i="8"/>
  <c r="F3454" i="8" s="1"/>
  <c r="C3454" i="8"/>
  <c r="B3454" i="8"/>
  <c r="D3453" i="8"/>
  <c r="F3453" i="8" s="1"/>
  <c r="C3453" i="8"/>
  <c r="B3453" i="8"/>
  <c r="D3452" i="8"/>
  <c r="F3452" i="8" s="1"/>
  <c r="C3452" i="8"/>
  <c r="B3452" i="8"/>
  <c r="D3451" i="8"/>
  <c r="F3451" i="8" s="1"/>
  <c r="C3451" i="8"/>
  <c r="B3451" i="8"/>
  <c r="D3450" i="8"/>
  <c r="F3450" i="8" s="1"/>
  <c r="C3450" i="8"/>
  <c r="B3450" i="8"/>
  <c r="D3449" i="8"/>
  <c r="F3449" i="8" s="1"/>
  <c r="C3449" i="8"/>
  <c r="B3449" i="8"/>
  <c r="D3448" i="8"/>
  <c r="F3448" i="8" s="1"/>
  <c r="C3448" i="8"/>
  <c r="B3448" i="8"/>
  <c r="D3447" i="8"/>
  <c r="F3447" i="8" s="1"/>
  <c r="C3447" i="8"/>
  <c r="B3447" i="8"/>
  <c r="D3446" i="8"/>
  <c r="F3446" i="8" s="1"/>
  <c r="C3446" i="8"/>
  <c r="B3446" i="8"/>
  <c r="D3445" i="8"/>
  <c r="F3445" i="8" s="1"/>
  <c r="C3445" i="8"/>
  <c r="B3445" i="8"/>
  <c r="D3444" i="8"/>
  <c r="F3444" i="8" s="1"/>
  <c r="C3444" i="8"/>
  <c r="B3444" i="8"/>
  <c r="D3443" i="8"/>
  <c r="F3443" i="8" s="1"/>
  <c r="C3443" i="8"/>
  <c r="B3443" i="8"/>
  <c r="D3442" i="8"/>
  <c r="F3442" i="8" s="1"/>
  <c r="C3442" i="8"/>
  <c r="B3442" i="8"/>
  <c r="D3441" i="8"/>
  <c r="F3441" i="8" s="1"/>
  <c r="C3441" i="8"/>
  <c r="B3441" i="8"/>
  <c r="D3440" i="8"/>
  <c r="F3440" i="8" s="1"/>
  <c r="C3440" i="8"/>
  <c r="B3440" i="8"/>
  <c r="D3439" i="8"/>
  <c r="F3439" i="8" s="1"/>
  <c r="C3439" i="8"/>
  <c r="B3439" i="8"/>
  <c r="D3438" i="8"/>
  <c r="F3438" i="8" s="1"/>
  <c r="C3438" i="8"/>
  <c r="B3438" i="8"/>
  <c r="D3437" i="8"/>
  <c r="F3437" i="8" s="1"/>
  <c r="C3437" i="8"/>
  <c r="B3437" i="8"/>
  <c r="D3436" i="8"/>
  <c r="F3436" i="8" s="1"/>
  <c r="C3436" i="8"/>
  <c r="B3436" i="8"/>
  <c r="D3435" i="8"/>
  <c r="F3435" i="8" s="1"/>
  <c r="C3435" i="8"/>
  <c r="B3435" i="8"/>
  <c r="D3434" i="8"/>
  <c r="F3434" i="8" s="1"/>
  <c r="C3434" i="8"/>
  <c r="B3434" i="8"/>
  <c r="D3433" i="8"/>
  <c r="F3433" i="8" s="1"/>
  <c r="C3433" i="8"/>
  <c r="B3433" i="8"/>
  <c r="D3432" i="8"/>
  <c r="F3432" i="8" s="1"/>
  <c r="C3432" i="8"/>
  <c r="B3432" i="8"/>
  <c r="D3431" i="8"/>
  <c r="F3431" i="8" s="1"/>
  <c r="C3431" i="8"/>
  <c r="B3431" i="8"/>
  <c r="D3430" i="8"/>
  <c r="F3430" i="8" s="1"/>
  <c r="C3430" i="8"/>
  <c r="B3430" i="8"/>
  <c r="D3429" i="8"/>
  <c r="F3429" i="8" s="1"/>
  <c r="C3429" i="8"/>
  <c r="B3429" i="8"/>
  <c r="D3428" i="8"/>
  <c r="F3428" i="8" s="1"/>
  <c r="C3428" i="8"/>
  <c r="B3428" i="8"/>
  <c r="D3427" i="8"/>
  <c r="F3427" i="8" s="1"/>
  <c r="C3427" i="8"/>
  <c r="B3427" i="8"/>
  <c r="D3426" i="8"/>
  <c r="F3426" i="8" s="1"/>
  <c r="C3426" i="8"/>
  <c r="B3426" i="8"/>
  <c r="D3425" i="8"/>
  <c r="F3425" i="8" s="1"/>
  <c r="C3425" i="8"/>
  <c r="B3425" i="8"/>
  <c r="D3424" i="8"/>
  <c r="F3424" i="8" s="1"/>
  <c r="C3424" i="8"/>
  <c r="B3424" i="8"/>
  <c r="D3423" i="8"/>
  <c r="F3423" i="8" s="1"/>
  <c r="C3423" i="8"/>
  <c r="B3423" i="8"/>
  <c r="D3422" i="8"/>
  <c r="F3422" i="8" s="1"/>
  <c r="C3422" i="8"/>
  <c r="B3422" i="8"/>
  <c r="D3421" i="8"/>
  <c r="F3421" i="8" s="1"/>
  <c r="C3421" i="8"/>
  <c r="B3421" i="8"/>
  <c r="D3420" i="8"/>
  <c r="F3420" i="8" s="1"/>
  <c r="C3420" i="8"/>
  <c r="B3420" i="8"/>
  <c r="D3419" i="8"/>
  <c r="F3419" i="8" s="1"/>
  <c r="C3419" i="8"/>
  <c r="B3419" i="8"/>
  <c r="D3418" i="8"/>
  <c r="F3418" i="8" s="1"/>
  <c r="C3418" i="8"/>
  <c r="B3418" i="8"/>
  <c r="D3417" i="8"/>
  <c r="F3417" i="8" s="1"/>
  <c r="C3417" i="8"/>
  <c r="B3417" i="8"/>
  <c r="D3416" i="8"/>
  <c r="F3416" i="8" s="1"/>
  <c r="C3416" i="8"/>
  <c r="B3416" i="8"/>
  <c r="D3415" i="8"/>
  <c r="F3415" i="8" s="1"/>
  <c r="C3415" i="8"/>
  <c r="B3415" i="8"/>
  <c r="D3414" i="8"/>
  <c r="F3414" i="8" s="1"/>
  <c r="C3414" i="8"/>
  <c r="B3414" i="8"/>
  <c r="D3413" i="8"/>
  <c r="F3413" i="8" s="1"/>
  <c r="C3413" i="8"/>
  <c r="B3413" i="8"/>
  <c r="D3412" i="8"/>
  <c r="F3412" i="8" s="1"/>
  <c r="C3412" i="8"/>
  <c r="B3412" i="8"/>
  <c r="D3411" i="8"/>
  <c r="F3411" i="8" s="1"/>
  <c r="C3411" i="8"/>
  <c r="B3411" i="8"/>
  <c r="D3410" i="8"/>
  <c r="F3410" i="8" s="1"/>
  <c r="C3410" i="8"/>
  <c r="B3410" i="8"/>
  <c r="D3409" i="8"/>
  <c r="F3409" i="8" s="1"/>
  <c r="C3409" i="8"/>
  <c r="B3409" i="8"/>
  <c r="D3408" i="8"/>
  <c r="F3408" i="8" s="1"/>
  <c r="C3408" i="8"/>
  <c r="B3408" i="8"/>
  <c r="D3407" i="8"/>
  <c r="F3407" i="8" s="1"/>
  <c r="C3407" i="8"/>
  <c r="B3407" i="8"/>
  <c r="D3406" i="8"/>
  <c r="F3406" i="8" s="1"/>
  <c r="C3406" i="8"/>
  <c r="B3406" i="8"/>
  <c r="D3405" i="8"/>
  <c r="F3405" i="8" s="1"/>
  <c r="C3405" i="8"/>
  <c r="B3405" i="8"/>
  <c r="D3404" i="8"/>
  <c r="F3404" i="8" s="1"/>
  <c r="C3404" i="8"/>
  <c r="B3404" i="8"/>
  <c r="D3403" i="8"/>
  <c r="F3403" i="8" s="1"/>
  <c r="C3403" i="8"/>
  <c r="B3403" i="8"/>
  <c r="D3402" i="8"/>
  <c r="F3402" i="8" s="1"/>
  <c r="C3402" i="8"/>
  <c r="B3402" i="8"/>
  <c r="D3401" i="8"/>
  <c r="F3401" i="8" s="1"/>
  <c r="C3401" i="8"/>
  <c r="D3400" i="8"/>
  <c r="F3400" i="8" s="1"/>
  <c r="C3400" i="8"/>
  <c r="B3400" i="8"/>
  <c r="D3399" i="8"/>
  <c r="F3399" i="8" s="1"/>
  <c r="C3399" i="8"/>
  <c r="B3399" i="8"/>
  <c r="D3398" i="8"/>
  <c r="F3398" i="8" s="1"/>
  <c r="C3398" i="8"/>
  <c r="B3398" i="8"/>
  <c r="F3397" i="8"/>
  <c r="D3397" i="8"/>
  <c r="C3397" i="8"/>
  <c r="B3397" i="8"/>
  <c r="D3396" i="8"/>
  <c r="F3396" i="8" s="1"/>
  <c r="C3396" i="8"/>
  <c r="B3396" i="8"/>
  <c r="D3395" i="8"/>
  <c r="F3395" i="8" s="1"/>
  <c r="C3395" i="8"/>
  <c r="B3395" i="8"/>
  <c r="D3394" i="8"/>
  <c r="F3394" i="8" s="1"/>
  <c r="C3394" i="8"/>
  <c r="B3394" i="8"/>
  <c r="D3393" i="8"/>
  <c r="F3393" i="8" s="1"/>
  <c r="C3393" i="8"/>
  <c r="B3393" i="8"/>
  <c r="D3392" i="8"/>
  <c r="F3392" i="8" s="1"/>
  <c r="C3392" i="8"/>
  <c r="B3392" i="8"/>
  <c r="D3391" i="8"/>
  <c r="F3391" i="8" s="1"/>
  <c r="C3391" i="8"/>
  <c r="B3391" i="8"/>
  <c r="D3390" i="8"/>
  <c r="F3390" i="8" s="1"/>
  <c r="C3390" i="8"/>
  <c r="B3390" i="8"/>
  <c r="D3389" i="8"/>
  <c r="F3389" i="8" s="1"/>
  <c r="C3389" i="8"/>
  <c r="B3389" i="8"/>
  <c r="D3388" i="8"/>
  <c r="F3388" i="8" s="1"/>
  <c r="C3388" i="8"/>
  <c r="B3388" i="8"/>
  <c r="D3387" i="8"/>
  <c r="F3387" i="8" s="1"/>
  <c r="C3387" i="8"/>
  <c r="B3387" i="8"/>
  <c r="D3386" i="8"/>
  <c r="F3386" i="8" s="1"/>
  <c r="C3386" i="8"/>
  <c r="B3386" i="8"/>
  <c r="D3385" i="8"/>
  <c r="F3385" i="8" s="1"/>
  <c r="C3385" i="8"/>
  <c r="B3385" i="8"/>
  <c r="D3384" i="8"/>
  <c r="F3384" i="8" s="1"/>
  <c r="K500" i="5" s="1"/>
  <c r="J500" i="5" s="1"/>
  <c r="C3384" i="8"/>
  <c r="B3384" i="8"/>
  <c r="D3383" i="8"/>
  <c r="F3383" i="8" s="1"/>
  <c r="C3383" i="8"/>
  <c r="B3383" i="8"/>
  <c r="D3382" i="8"/>
  <c r="F3382" i="8" s="1"/>
  <c r="C3382" i="8"/>
  <c r="B3382" i="8"/>
  <c r="F3381" i="8"/>
  <c r="D3381" i="8"/>
  <c r="C3381" i="8"/>
  <c r="B3381" i="8"/>
  <c r="D3380" i="8"/>
  <c r="F3380" i="8" s="1"/>
  <c r="C3380" i="8"/>
  <c r="B3380" i="8"/>
  <c r="D3379" i="8"/>
  <c r="F3379" i="8" s="1"/>
  <c r="C3379" i="8"/>
  <c r="B3379" i="8"/>
  <c r="D3378" i="8"/>
  <c r="F3378" i="8" s="1"/>
  <c r="C3378" i="8"/>
  <c r="B3378" i="8"/>
  <c r="D3377" i="8"/>
  <c r="F3377" i="8" s="1"/>
  <c r="C3377" i="8"/>
  <c r="B3377" i="8"/>
  <c r="D3376" i="8"/>
  <c r="F3376" i="8" s="1"/>
  <c r="C3376" i="8"/>
  <c r="B3376" i="8"/>
  <c r="D3375" i="8"/>
  <c r="F3375" i="8" s="1"/>
  <c r="C3375" i="8"/>
  <c r="B3375" i="8"/>
  <c r="D3374" i="8"/>
  <c r="F3374" i="8" s="1"/>
  <c r="C3374" i="8"/>
  <c r="B3374" i="8"/>
  <c r="D3373" i="8"/>
  <c r="F3373" i="8" s="1"/>
  <c r="C3373" i="8"/>
  <c r="B3373" i="8"/>
  <c r="D3372" i="8"/>
  <c r="F3372" i="8" s="1"/>
  <c r="C3372" i="8"/>
  <c r="B3372" i="8"/>
  <c r="D3371" i="8"/>
  <c r="F3371" i="8" s="1"/>
  <c r="C3371" i="8"/>
  <c r="B3371" i="8"/>
  <c r="D3370" i="8"/>
  <c r="F3370" i="8" s="1"/>
  <c r="C3370" i="8"/>
  <c r="B3370" i="8"/>
  <c r="D3369" i="8"/>
  <c r="F3369" i="8" s="1"/>
  <c r="C3369" i="8"/>
  <c r="B3369" i="8"/>
  <c r="F3368" i="8"/>
  <c r="D3368" i="8"/>
  <c r="C3368" i="8"/>
  <c r="B3368" i="8"/>
  <c r="D3367" i="8"/>
  <c r="F3367" i="8" s="1"/>
  <c r="C3367" i="8"/>
  <c r="B3367" i="8"/>
  <c r="D3366" i="8"/>
  <c r="F3366" i="8" s="1"/>
  <c r="C3366" i="8"/>
  <c r="B3366" i="8"/>
  <c r="D3365" i="8"/>
  <c r="F3365" i="8" s="1"/>
  <c r="C3365" i="8"/>
  <c r="B3365" i="8"/>
  <c r="D3364" i="8"/>
  <c r="F3364" i="8" s="1"/>
  <c r="C3364" i="8"/>
  <c r="B3364" i="8"/>
  <c r="D3363" i="8"/>
  <c r="F3363" i="8" s="1"/>
  <c r="C3363" i="8"/>
  <c r="B3363" i="8"/>
  <c r="D3362" i="8"/>
  <c r="F3362" i="8" s="1"/>
  <c r="C3362" i="8"/>
  <c r="B3362" i="8"/>
  <c r="D3361" i="8"/>
  <c r="F3361" i="8" s="1"/>
  <c r="C3361" i="8"/>
  <c r="B3361" i="8"/>
  <c r="D3360" i="8"/>
  <c r="F3360" i="8" s="1"/>
  <c r="C3360" i="8"/>
  <c r="B3360" i="8"/>
  <c r="D3359" i="8"/>
  <c r="F3359" i="8" s="1"/>
  <c r="C3359" i="8"/>
  <c r="B3359" i="8"/>
  <c r="D3358" i="8"/>
  <c r="F3358" i="8" s="1"/>
  <c r="C3358" i="8"/>
  <c r="B3358" i="8"/>
  <c r="D3357" i="8"/>
  <c r="F3357" i="8" s="1"/>
  <c r="C3357" i="8"/>
  <c r="B3357" i="8"/>
  <c r="D3356" i="8"/>
  <c r="F3356" i="8" s="1"/>
  <c r="C3356" i="8"/>
  <c r="B3356" i="8"/>
  <c r="D3355" i="8"/>
  <c r="F3355" i="8" s="1"/>
  <c r="C3355" i="8"/>
  <c r="B3355" i="8"/>
  <c r="D3354" i="8"/>
  <c r="F3354" i="8" s="1"/>
  <c r="C3354" i="8"/>
  <c r="B3354" i="8"/>
  <c r="D3353" i="8"/>
  <c r="F3353" i="8" s="1"/>
  <c r="C3353" i="8"/>
  <c r="B3353" i="8"/>
  <c r="F3352" i="8"/>
  <c r="D3352" i="8"/>
  <c r="C3352" i="8"/>
  <c r="B3352" i="8"/>
  <c r="D3351" i="8"/>
  <c r="F3351" i="8" s="1"/>
  <c r="C3351" i="8"/>
  <c r="B3351" i="8"/>
  <c r="D3350" i="8"/>
  <c r="F3350" i="8" s="1"/>
  <c r="C3350" i="8"/>
  <c r="B3350" i="8"/>
  <c r="D3349" i="8"/>
  <c r="F3349" i="8" s="1"/>
  <c r="C3349" i="8"/>
  <c r="B3349" i="8"/>
  <c r="D3348" i="8"/>
  <c r="F3348" i="8" s="1"/>
  <c r="C3348" i="8"/>
  <c r="B3348" i="8"/>
  <c r="D3347" i="8"/>
  <c r="F3347" i="8" s="1"/>
  <c r="C3347" i="8"/>
  <c r="B3347" i="8"/>
  <c r="D3346" i="8"/>
  <c r="F3346" i="8" s="1"/>
  <c r="C3346" i="8"/>
  <c r="B3346" i="8"/>
  <c r="F3345" i="8"/>
  <c r="D3345" i="8"/>
  <c r="C3345" i="8"/>
  <c r="B3345" i="8"/>
  <c r="D3344" i="8"/>
  <c r="F3344" i="8" s="1"/>
  <c r="C3344" i="8"/>
  <c r="B3344" i="8"/>
  <c r="D3343" i="8"/>
  <c r="F3343" i="8" s="1"/>
  <c r="C3343" i="8"/>
  <c r="B3343" i="8"/>
  <c r="D3342" i="8"/>
  <c r="F3342" i="8" s="1"/>
  <c r="C3342" i="8"/>
  <c r="B3342" i="8"/>
  <c r="D3341" i="8"/>
  <c r="F3341" i="8" s="1"/>
  <c r="C3341" i="8"/>
  <c r="B3341" i="8"/>
  <c r="F3340" i="8"/>
  <c r="D3340" i="8"/>
  <c r="C3340" i="8"/>
  <c r="B3340" i="8"/>
  <c r="D3339" i="8"/>
  <c r="F3339" i="8" s="1"/>
  <c r="C3339" i="8"/>
  <c r="B3339" i="8"/>
  <c r="D3338" i="8"/>
  <c r="F3338" i="8" s="1"/>
  <c r="C3338" i="8"/>
  <c r="B3338" i="8"/>
  <c r="D3337" i="8"/>
  <c r="F3337" i="8" s="1"/>
  <c r="C3337" i="8"/>
  <c r="B3337" i="8"/>
  <c r="D3336" i="8"/>
  <c r="F3336" i="8" s="1"/>
  <c r="C3336" i="8"/>
  <c r="B3336" i="8"/>
  <c r="D3335" i="8"/>
  <c r="F3335" i="8" s="1"/>
  <c r="C3335" i="8"/>
  <c r="B3335" i="8"/>
  <c r="D3334" i="8"/>
  <c r="F3334" i="8" s="1"/>
  <c r="C3334" i="8"/>
  <c r="B3334" i="8"/>
  <c r="F3333" i="8"/>
  <c r="D3333" i="8"/>
  <c r="C3333" i="8"/>
  <c r="B3333" i="8"/>
  <c r="D3332" i="8"/>
  <c r="F3332" i="8" s="1"/>
  <c r="C3332" i="8"/>
  <c r="B3332" i="8"/>
  <c r="D3331" i="8"/>
  <c r="F3331" i="8" s="1"/>
  <c r="C3331" i="8"/>
  <c r="B3331" i="8"/>
  <c r="D3330" i="8"/>
  <c r="F3330" i="8" s="1"/>
  <c r="C3330" i="8"/>
  <c r="B3330" i="8"/>
  <c r="D3329" i="8"/>
  <c r="F3329" i="8" s="1"/>
  <c r="C3329" i="8"/>
  <c r="B3329" i="8"/>
  <c r="D3328" i="8"/>
  <c r="F3328" i="8" s="1"/>
  <c r="C3328" i="8"/>
  <c r="B3328" i="8"/>
  <c r="D3327" i="8"/>
  <c r="F3327" i="8" s="1"/>
  <c r="C3327" i="8"/>
  <c r="B3327" i="8"/>
  <c r="D3326" i="8"/>
  <c r="F3326" i="8" s="1"/>
  <c r="C3326" i="8"/>
  <c r="B3326" i="8"/>
  <c r="D3325" i="8"/>
  <c r="F3325" i="8" s="1"/>
  <c r="C3325" i="8"/>
  <c r="B3325" i="8"/>
  <c r="D3324" i="8"/>
  <c r="F3324" i="8" s="1"/>
  <c r="C3324" i="8"/>
  <c r="B3324" i="8"/>
  <c r="D3323" i="8"/>
  <c r="F3323" i="8" s="1"/>
  <c r="C3323" i="8"/>
  <c r="B3323" i="8"/>
  <c r="D3322" i="8"/>
  <c r="F3322" i="8" s="1"/>
  <c r="C3322" i="8"/>
  <c r="B3322" i="8"/>
  <c r="D3321" i="8"/>
  <c r="F3321" i="8" s="1"/>
  <c r="C3321" i="8"/>
  <c r="B3321" i="8"/>
  <c r="D3320" i="8"/>
  <c r="F3320" i="8" s="1"/>
  <c r="K270" i="5" s="1"/>
  <c r="J270" i="5" s="1"/>
  <c r="C3320" i="8"/>
  <c r="B3320" i="8"/>
  <c r="D3319" i="8"/>
  <c r="F3319" i="8" s="1"/>
  <c r="C3319" i="8"/>
  <c r="B3319" i="8"/>
  <c r="D3318" i="8"/>
  <c r="F3318" i="8" s="1"/>
  <c r="C3318" i="8"/>
  <c r="B3318" i="8"/>
  <c r="D3317" i="8"/>
  <c r="F3317" i="8" s="1"/>
  <c r="K390" i="5" s="1"/>
  <c r="J390" i="5" s="1"/>
  <c r="C3317" i="8"/>
  <c r="B3317" i="8"/>
  <c r="D3316" i="8"/>
  <c r="F3316" i="8" s="1"/>
  <c r="C3316" i="8"/>
  <c r="B3316" i="8"/>
  <c r="D3315" i="8"/>
  <c r="F3315" i="8" s="1"/>
  <c r="C3315" i="8"/>
  <c r="B3315" i="8"/>
  <c r="D3314" i="8"/>
  <c r="F3314" i="8" s="1"/>
  <c r="C3314" i="8"/>
  <c r="B3314" i="8"/>
  <c r="D3313" i="8"/>
  <c r="F3313" i="8" s="1"/>
  <c r="C3313" i="8"/>
  <c r="B3313" i="8"/>
  <c r="D3312" i="8"/>
  <c r="F3312" i="8" s="1"/>
  <c r="C3312" i="8"/>
  <c r="B3312" i="8"/>
  <c r="D3311" i="8"/>
  <c r="F3311" i="8" s="1"/>
  <c r="C3311" i="8"/>
  <c r="B3311" i="8"/>
  <c r="D3310" i="8"/>
  <c r="F3310" i="8" s="1"/>
  <c r="C3310" i="8"/>
  <c r="B3310" i="8"/>
  <c r="D3309" i="8"/>
  <c r="F3309" i="8" s="1"/>
  <c r="C3309" i="8"/>
  <c r="B3309" i="8"/>
  <c r="D3308" i="8"/>
  <c r="F3308" i="8" s="1"/>
  <c r="C3308" i="8"/>
  <c r="B3308" i="8"/>
  <c r="D3307" i="8"/>
  <c r="F3307" i="8" s="1"/>
  <c r="C3307" i="8"/>
  <c r="B3307" i="8"/>
  <c r="D3306" i="8"/>
  <c r="F3306" i="8" s="1"/>
  <c r="C3306" i="8"/>
  <c r="B3306" i="8"/>
  <c r="D3305" i="8"/>
  <c r="F3305" i="8" s="1"/>
  <c r="C3305" i="8"/>
  <c r="B3305" i="8"/>
  <c r="F3304" i="8"/>
  <c r="D3304" i="8"/>
  <c r="C3304" i="8"/>
  <c r="B3304" i="8"/>
  <c r="D3303" i="8"/>
  <c r="F3303" i="8" s="1"/>
  <c r="C3303" i="8"/>
  <c r="B3303" i="8"/>
  <c r="D3302" i="8"/>
  <c r="F3302" i="8" s="1"/>
  <c r="C3302" i="8"/>
  <c r="B3302" i="8"/>
  <c r="D3301" i="8"/>
  <c r="F3301" i="8" s="1"/>
  <c r="C3301" i="8"/>
  <c r="B3301" i="8"/>
  <c r="D3300" i="8"/>
  <c r="F3300" i="8" s="1"/>
  <c r="C3300" i="8"/>
  <c r="B3300" i="8"/>
  <c r="D3299" i="8"/>
  <c r="F3299" i="8" s="1"/>
  <c r="C3299" i="8"/>
  <c r="B3299" i="8"/>
  <c r="D3298" i="8"/>
  <c r="F3298" i="8" s="1"/>
  <c r="C3298" i="8"/>
  <c r="B3298" i="8"/>
  <c r="D3297" i="8"/>
  <c r="F3297" i="8" s="1"/>
  <c r="C3297" i="8"/>
  <c r="B3297" i="8"/>
  <c r="D3296" i="8"/>
  <c r="F3296" i="8" s="1"/>
  <c r="C3296" i="8"/>
  <c r="B3296" i="8"/>
  <c r="D3295" i="8"/>
  <c r="F3295" i="8" s="1"/>
  <c r="C3295" i="8"/>
  <c r="B3295" i="8"/>
  <c r="D3294" i="8"/>
  <c r="F3294" i="8" s="1"/>
  <c r="C3294" i="8"/>
  <c r="B3294" i="8"/>
  <c r="D3293" i="8"/>
  <c r="F3293" i="8" s="1"/>
  <c r="C3293" i="8"/>
  <c r="B3293" i="8"/>
  <c r="D3292" i="8"/>
  <c r="F3292" i="8" s="1"/>
  <c r="C3292" i="8"/>
  <c r="B3292" i="8"/>
  <c r="D3291" i="8"/>
  <c r="F3291" i="8" s="1"/>
  <c r="C3291" i="8"/>
  <c r="B3291" i="8"/>
  <c r="D3290" i="8"/>
  <c r="F3290" i="8" s="1"/>
  <c r="C3290" i="8"/>
  <c r="B3290" i="8"/>
  <c r="D3289" i="8"/>
  <c r="F3289" i="8" s="1"/>
  <c r="C3289" i="8"/>
  <c r="B3289" i="8"/>
  <c r="F3288" i="8"/>
  <c r="D3288" i="8"/>
  <c r="C3288" i="8"/>
  <c r="B3288" i="8"/>
  <c r="D3287" i="8"/>
  <c r="F3287" i="8" s="1"/>
  <c r="C3287" i="8"/>
  <c r="B3287" i="8"/>
  <c r="D3286" i="8"/>
  <c r="F3286" i="8" s="1"/>
  <c r="C3286" i="8"/>
  <c r="B3286" i="8"/>
  <c r="D3285" i="8"/>
  <c r="F3285" i="8" s="1"/>
  <c r="C3285" i="8"/>
  <c r="B3285" i="8"/>
  <c r="D3284" i="8"/>
  <c r="F3284" i="8" s="1"/>
  <c r="C3284" i="8"/>
  <c r="B3284" i="8"/>
  <c r="D3283" i="8"/>
  <c r="F3283" i="8" s="1"/>
  <c r="C3283" i="8"/>
  <c r="B3283" i="8"/>
  <c r="D3282" i="8"/>
  <c r="F3282" i="8" s="1"/>
  <c r="C3282" i="8"/>
  <c r="B3282" i="8"/>
  <c r="D3281" i="8"/>
  <c r="F3281" i="8" s="1"/>
  <c r="K257" i="5" s="1"/>
  <c r="J257" i="5" s="1"/>
  <c r="C3281" i="8"/>
  <c r="B3281" i="8"/>
  <c r="D3280" i="8"/>
  <c r="F3280" i="8" s="1"/>
  <c r="C3280" i="8"/>
  <c r="B3280" i="8"/>
  <c r="D3279" i="8"/>
  <c r="F3279" i="8" s="1"/>
  <c r="C3279" i="8"/>
  <c r="B3279" i="8"/>
  <c r="D3278" i="8"/>
  <c r="F3278" i="8" s="1"/>
  <c r="C3278" i="8"/>
  <c r="B3278" i="8"/>
  <c r="D3277" i="8"/>
  <c r="F3277" i="8" s="1"/>
  <c r="C3277" i="8"/>
  <c r="B3277" i="8"/>
  <c r="D3276" i="8"/>
  <c r="F3276" i="8" s="1"/>
  <c r="K518" i="5" s="1"/>
  <c r="J518" i="5" s="1"/>
  <c r="C3276" i="8"/>
  <c r="B3276" i="8"/>
  <c r="D3275" i="8"/>
  <c r="F3275" i="8" s="1"/>
  <c r="C3275" i="8"/>
  <c r="B3275" i="8"/>
  <c r="D3274" i="8"/>
  <c r="F3274" i="8" s="1"/>
  <c r="C3274" i="8"/>
  <c r="B3274" i="8"/>
  <c r="D3273" i="8"/>
  <c r="F3273" i="8" s="1"/>
  <c r="C3273" i="8"/>
  <c r="B3273" i="8"/>
  <c r="D3272" i="8"/>
  <c r="F3272" i="8" s="1"/>
  <c r="C3272" i="8"/>
  <c r="B3272" i="8"/>
  <c r="D3271" i="8"/>
  <c r="F3271" i="8" s="1"/>
  <c r="C3271" i="8"/>
  <c r="B3271" i="8"/>
  <c r="D3270" i="8"/>
  <c r="F3270" i="8" s="1"/>
  <c r="C3270" i="8"/>
  <c r="B3270" i="8"/>
  <c r="D3269" i="8"/>
  <c r="F3269" i="8" s="1"/>
  <c r="K228" i="5" s="1"/>
  <c r="J228" i="5" s="1"/>
  <c r="C3269" i="8"/>
  <c r="B3269" i="8"/>
  <c r="H3268" i="8"/>
  <c r="D3268" i="8"/>
  <c r="F3268" i="8" s="1"/>
  <c r="C3268" i="8"/>
  <c r="B3268" i="8"/>
  <c r="D3267" i="8"/>
  <c r="F3267" i="8" s="1"/>
  <c r="C3267" i="8"/>
  <c r="B3267" i="8"/>
  <c r="D3266" i="8"/>
  <c r="F3266" i="8" s="1"/>
  <c r="C3266" i="8"/>
  <c r="B3266" i="8"/>
  <c r="D3265" i="8"/>
  <c r="F3265" i="8" s="1"/>
  <c r="C3265" i="8"/>
  <c r="B3265" i="8"/>
  <c r="D3264" i="8"/>
  <c r="F3264" i="8" s="1"/>
  <c r="C3264" i="8"/>
  <c r="B3264" i="8"/>
  <c r="D3263" i="8"/>
  <c r="F3263" i="8" s="1"/>
  <c r="C3263" i="8"/>
  <c r="B3263" i="8"/>
  <c r="D3262" i="8"/>
  <c r="F3262" i="8" s="1"/>
  <c r="C3262" i="8"/>
  <c r="B3262" i="8"/>
  <c r="D3261" i="8"/>
  <c r="F3261" i="8" s="1"/>
  <c r="C3261" i="8"/>
  <c r="B3261" i="8"/>
  <c r="D3260" i="8"/>
  <c r="F3260" i="8" s="1"/>
  <c r="C3260" i="8"/>
  <c r="B3260" i="8"/>
  <c r="D3259" i="8"/>
  <c r="F3259" i="8" s="1"/>
  <c r="C3259" i="8"/>
  <c r="B3259" i="8"/>
  <c r="D3258" i="8"/>
  <c r="F3258" i="8" s="1"/>
  <c r="C3258" i="8"/>
  <c r="B3258" i="8"/>
  <c r="D3257" i="8"/>
  <c r="F3257" i="8" s="1"/>
  <c r="C3257" i="8"/>
  <c r="B3257" i="8"/>
  <c r="D3256" i="8"/>
  <c r="F3256" i="8" s="1"/>
  <c r="C3256" i="8"/>
  <c r="B3256" i="8"/>
  <c r="D3255" i="8"/>
  <c r="F3255" i="8" s="1"/>
  <c r="C3255" i="8"/>
  <c r="B3255" i="8"/>
  <c r="D3254" i="8"/>
  <c r="F3254" i="8" s="1"/>
  <c r="C3254" i="8"/>
  <c r="B3254" i="8"/>
  <c r="D3253" i="8"/>
  <c r="F3253" i="8" s="1"/>
  <c r="C3253" i="8"/>
  <c r="B3253" i="8"/>
  <c r="D3252" i="8"/>
  <c r="F3252" i="8" s="1"/>
  <c r="C3252" i="8"/>
  <c r="B3252" i="8"/>
  <c r="D3251" i="8"/>
  <c r="F3251" i="8" s="1"/>
  <c r="C3251" i="8"/>
  <c r="B3251" i="8"/>
  <c r="D3250" i="8"/>
  <c r="F3250" i="8" s="1"/>
  <c r="C3250" i="8"/>
  <c r="B3250" i="8"/>
  <c r="D3249" i="8"/>
  <c r="F3249" i="8" s="1"/>
  <c r="C3249" i="8"/>
  <c r="B3249" i="8"/>
  <c r="D3248" i="8"/>
  <c r="F3248" i="8" s="1"/>
  <c r="C3248" i="8"/>
  <c r="B3248" i="8"/>
  <c r="D3247" i="8"/>
  <c r="F3247" i="8" s="1"/>
  <c r="C3247" i="8"/>
  <c r="B3247" i="8"/>
  <c r="D3246" i="8"/>
  <c r="F3246" i="8" s="1"/>
  <c r="C3246" i="8"/>
  <c r="B3246" i="8"/>
  <c r="D3245" i="8"/>
  <c r="F3245" i="8" s="1"/>
  <c r="C3245" i="8"/>
  <c r="B3245" i="8"/>
  <c r="D3244" i="8"/>
  <c r="F3244" i="8" s="1"/>
  <c r="C3244" i="8"/>
  <c r="B3244" i="8"/>
  <c r="D3243" i="8"/>
  <c r="F3243" i="8" s="1"/>
  <c r="C3243" i="8"/>
  <c r="B3243" i="8"/>
  <c r="D3242" i="8"/>
  <c r="F3242" i="8" s="1"/>
  <c r="C3242" i="8"/>
  <c r="B3242" i="8"/>
  <c r="D3241" i="8"/>
  <c r="F3241" i="8" s="1"/>
  <c r="C3241" i="8"/>
  <c r="B3241" i="8"/>
  <c r="D3240" i="8"/>
  <c r="F3240" i="8" s="1"/>
  <c r="C3240" i="8"/>
  <c r="B3240" i="8"/>
  <c r="D3239" i="8"/>
  <c r="F3239" i="8" s="1"/>
  <c r="C3239" i="8"/>
  <c r="B3239" i="8"/>
  <c r="D3238" i="8"/>
  <c r="F3238" i="8" s="1"/>
  <c r="C3238" i="8"/>
  <c r="B3238" i="8"/>
  <c r="D3237" i="8"/>
  <c r="F3237" i="8" s="1"/>
  <c r="C3237" i="8"/>
  <c r="B3237" i="8"/>
  <c r="D3236" i="8"/>
  <c r="F3236" i="8" s="1"/>
  <c r="C3236" i="8"/>
  <c r="B3236" i="8"/>
  <c r="D3235" i="8"/>
  <c r="F3235" i="8" s="1"/>
  <c r="C3235" i="8"/>
  <c r="B3235" i="8"/>
  <c r="D3234" i="8"/>
  <c r="F3234" i="8" s="1"/>
  <c r="C3234" i="8"/>
  <c r="B3234" i="8"/>
  <c r="D3233" i="8"/>
  <c r="F3233" i="8" s="1"/>
  <c r="C3233" i="8"/>
  <c r="B3233" i="8"/>
  <c r="D3232" i="8"/>
  <c r="F3232" i="8" s="1"/>
  <c r="C3232" i="8"/>
  <c r="B3232" i="8"/>
  <c r="D3231" i="8"/>
  <c r="F3231" i="8" s="1"/>
  <c r="C3231" i="8"/>
  <c r="B3231" i="8"/>
  <c r="D3230" i="8"/>
  <c r="F3230" i="8" s="1"/>
  <c r="C3230" i="8"/>
  <c r="B3230" i="8"/>
  <c r="D3229" i="8"/>
  <c r="F3229" i="8" s="1"/>
  <c r="C3229" i="8"/>
  <c r="B3229" i="8"/>
  <c r="D3228" i="8"/>
  <c r="F3228" i="8" s="1"/>
  <c r="C3228" i="8"/>
  <c r="B3228" i="8"/>
  <c r="D3227" i="8"/>
  <c r="F3227" i="8" s="1"/>
  <c r="C3227" i="8"/>
  <c r="B3227" i="8"/>
  <c r="D3226" i="8"/>
  <c r="F3226" i="8" s="1"/>
  <c r="C3226" i="8"/>
  <c r="B3226" i="8"/>
  <c r="D3225" i="8"/>
  <c r="F3225" i="8" s="1"/>
  <c r="C3225" i="8"/>
  <c r="B3225" i="8"/>
  <c r="D3224" i="8"/>
  <c r="F3224" i="8" s="1"/>
  <c r="C3224" i="8"/>
  <c r="B3224" i="8"/>
  <c r="D3223" i="8"/>
  <c r="F3223" i="8" s="1"/>
  <c r="C3223" i="8"/>
  <c r="B3223" i="8"/>
  <c r="D3222" i="8"/>
  <c r="F3222" i="8" s="1"/>
  <c r="C3222" i="8"/>
  <c r="B3222" i="8"/>
  <c r="D3221" i="8"/>
  <c r="F3221" i="8" s="1"/>
  <c r="C3221" i="8"/>
  <c r="B3221" i="8"/>
  <c r="D3220" i="8"/>
  <c r="F3220" i="8" s="1"/>
  <c r="C3220" i="8"/>
  <c r="B3220" i="8"/>
  <c r="D3219" i="8"/>
  <c r="F3219" i="8" s="1"/>
  <c r="C3219" i="8"/>
  <c r="B3219" i="8"/>
  <c r="D3218" i="8"/>
  <c r="F3218" i="8" s="1"/>
  <c r="C3218" i="8"/>
  <c r="B3218" i="8"/>
  <c r="D3217" i="8"/>
  <c r="F3217" i="8" s="1"/>
  <c r="C3217" i="8"/>
  <c r="B3217" i="8"/>
  <c r="D3216" i="8"/>
  <c r="F3216" i="8" s="1"/>
  <c r="C3216" i="8"/>
  <c r="B3216" i="8"/>
  <c r="D3215" i="8"/>
  <c r="F3215" i="8" s="1"/>
  <c r="C3215" i="8"/>
  <c r="B3215" i="8"/>
  <c r="D3214" i="8"/>
  <c r="F3214" i="8" s="1"/>
  <c r="C3214" i="8"/>
  <c r="B3214" i="8"/>
  <c r="D3213" i="8"/>
  <c r="F3213" i="8" s="1"/>
  <c r="C3213" i="8"/>
  <c r="B3213" i="8"/>
  <c r="D3212" i="8"/>
  <c r="F3212" i="8" s="1"/>
  <c r="C3212" i="8"/>
  <c r="B3212" i="8"/>
  <c r="D3211" i="8"/>
  <c r="F3211" i="8" s="1"/>
  <c r="C3211" i="8"/>
  <c r="B3211" i="8"/>
  <c r="D3210" i="8"/>
  <c r="F3210" i="8" s="1"/>
  <c r="C3210" i="8"/>
  <c r="B3210" i="8"/>
  <c r="D3209" i="8"/>
  <c r="F3209" i="8" s="1"/>
  <c r="C3209" i="8"/>
  <c r="B3209" i="8"/>
  <c r="D3208" i="8"/>
  <c r="F3208" i="8" s="1"/>
  <c r="C3208" i="8"/>
  <c r="B3208" i="8"/>
  <c r="D3207" i="8"/>
  <c r="F3207" i="8" s="1"/>
  <c r="C3207" i="8"/>
  <c r="B3207" i="8"/>
  <c r="D3206" i="8"/>
  <c r="F3206" i="8" s="1"/>
  <c r="C3206" i="8"/>
  <c r="B3206" i="8"/>
  <c r="D3205" i="8"/>
  <c r="F3205" i="8" s="1"/>
  <c r="C3205" i="8"/>
  <c r="B3205" i="8"/>
  <c r="D3204" i="8"/>
  <c r="F3204" i="8" s="1"/>
  <c r="C3204" i="8"/>
  <c r="B3204" i="8"/>
  <c r="D3203" i="8"/>
  <c r="F3203" i="8" s="1"/>
  <c r="C3203" i="8"/>
  <c r="B3203" i="8"/>
  <c r="D3202" i="8"/>
  <c r="F3202" i="8" s="1"/>
  <c r="C3202" i="8"/>
  <c r="B3202" i="8"/>
  <c r="D3201" i="8"/>
  <c r="F3201" i="8" s="1"/>
  <c r="C3201" i="8"/>
  <c r="B3201" i="8"/>
  <c r="D3200" i="8"/>
  <c r="F3200" i="8" s="1"/>
  <c r="C3200" i="8"/>
  <c r="B3200" i="8"/>
  <c r="D3199" i="8"/>
  <c r="F3199" i="8" s="1"/>
  <c r="C3199" i="8"/>
  <c r="B3199" i="8"/>
  <c r="D3198" i="8"/>
  <c r="F3198" i="8" s="1"/>
  <c r="C3198" i="8"/>
  <c r="B3198" i="8"/>
  <c r="D3197" i="8"/>
  <c r="F3197" i="8" s="1"/>
  <c r="C3197" i="8"/>
  <c r="B3197" i="8"/>
  <c r="D3196" i="8"/>
  <c r="F3196" i="8" s="1"/>
  <c r="C3196" i="8"/>
  <c r="B3196" i="8"/>
  <c r="D3195" i="8"/>
  <c r="F3195" i="8" s="1"/>
  <c r="C3195" i="8"/>
  <c r="B3195" i="8"/>
  <c r="D3194" i="8"/>
  <c r="F3194" i="8" s="1"/>
  <c r="C3194" i="8"/>
  <c r="B3194" i="8"/>
  <c r="D3193" i="8"/>
  <c r="F3193" i="8" s="1"/>
  <c r="C3193" i="8"/>
  <c r="B3193" i="8"/>
  <c r="D3192" i="8"/>
  <c r="F3192" i="8" s="1"/>
  <c r="C3192" i="8"/>
  <c r="B3192" i="8"/>
  <c r="D3191" i="8"/>
  <c r="F3191" i="8" s="1"/>
  <c r="C3191" i="8"/>
  <c r="B3191" i="8"/>
  <c r="D3190" i="8"/>
  <c r="F3190" i="8" s="1"/>
  <c r="C3190" i="8"/>
  <c r="B3190" i="8"/>
  <c r="D3189" i="8"/>
  <c r="F3189" i="8" s="1"/>
  <c r="C3189" i="8"/>
  <c r="B3189" i="8"/>
  <c r="D3188" i="8"/>
  <c r="F3188" i="8" s="1"/>
  <c r="C3188" i="8"/>
  <c r="B3188" i="8"/>
  <c r="D3187" i="8"/>
  <c r="F3187" i="8" s="1"/>
  <c r="C3187" i="8"/>
  <c r="B3187" i="8"/>
  <c r="D3186" i="8"/>
  <c r="F3186" i="8" s="1"/>
  <c r="C3186" i="8"/>
  <c r="B3186" i="8"/>
  <c r="D3185" i="8"/>
  <c r="F3185" i="8" s="1"/>
  <c r="C3185" i="8"/>
  <c r="B3185" i="8"/>
  <c r="D3184" i="8"/>
  <c r="F3184" i="8" s="1"/>
  <c r="C3184" i="8"/>
  <c r="B3184" i="8"/>
  <c r="D3183" i="8"/>
  <c r="F3183" i="8" s="1"/>
  <c r="C3183" i="8"/>
  <c r="B3183" i="8"/>
  <c r="D3182" i="8"/>
  <c r="F3182" i="8" s="1"/>
  <c r="C3182" i="8"/>
  <c r="B3182" i="8"/>
  <c r="D3181" i="8"/>
  <c r="F3181" i="8" s="1"/>
  <c r="C3181" i="8"/>
  <c r="B3181" i="8"/>
  <c r="D3180" i="8"/>
  <c r="F3180" i="8" s="1"/>
  <c r="C3180" i="8"/>
  <c r="B3180" i="8"/>
  <c r="D3179" i="8"/>
  <c r="F3179" i="8" s="1"/>
  <c r="C3179" i="8"/>
  <c r="B3179" i="8"/>
  <c r="D3178" i="8"/>
  <c r="F3178" i="8" s="1"/>
  <c r="C3178" i="8"/>
  <c r="B3178" i="8"/>
  <c r="D3177" i="8"/>
  <c r="F3177" i="8" s="1"/>
  <c r="C3177" i="8"/>
  <c r="B3177" i="8"/>
  <c r="D3176" i="8"/>
  <c r="F3176" i="8" s="1"/>
  <c r="C3176" i="8"/>
  <c r="B3176" i="8"/>
  <c r="D3175" i="8"/>
  <c r="F3175" i="8" s="1"/>
  <c r="C3175" i="8"/>
  <c r="B3175" i="8"/>
  <c r="D3174" i="8"/>
  <c r="F3174" i="8" s="1"/>
  <c r="C3174" i="8"/>
  <c r="B3174" i="8"/>
  <c r="D3173" i="8"/>
  <c r="F3173" i="8" s="1"/>
  <c r="C3173" i="8"/>
  <c r="B3173" i="8"/>
  <c r="D3172" i="8"/>
  <c r="F3172" i="8" s="1"/>
  <c r="C3172" i="8"/>
  <c r="B3172" i="8"/>
  <c r="D3171" i="8"/>
  <c r="F3171" i="8" s="1"/>
  <c r="C3171" i="8"/>
  <c r="B3171" i="8"/>
  <c r="D3170" i="8"/>
  <c r="F3170" i="8" s="1"/>
  <c r="C3170" i="8"/>
  <c r="B3170" i="8"/>
  <c r="D3169" i="8"/>
  <c r="F3169" i="8" s="1"/>
  <c r="C3169" i="8"/>
  <c r="B3169" i="8"/>
  <c r="D3168" i="8"/>
  <c r="F3168" i="8" s="1"/>
  <c r="C3168" i="8"/>
  <c r="B3168" i="8"/>
  <c r="D3167" i="8"/>
  <c r="F3167" i="8" s="1"/>
  <c r="C3167" i="8"/>
  <c r="B3167" i="8"/>
  <c r="D3166" i="8"/>
  <c r="F3166" i="8" s="1"/>
  <c r="C3166" i="8"/>
  <c r="B3166" i="8"/>
  <c r="D3165" i="8"/>
  <c r="F3165" i="8" s="1"/>
  <c r="C3165" i="8"/>
  <c r="B3165" i="8"/>
  <c r="D3164" i="8"/>
  <c r="F3164" i="8" s="1"/>
  <c r="C3164" i="8"/>
  <c r="B3164" i="8"/>
  <c r="D3163" i="8"/>
  <c r="F3163" i="8" s="1"/>
  <c r="C3163" i="8"/>
  <c r="B3163" i="8"/>
  <c r="D3162" i="8"/>
  <c r="F3162" i="8" s="1"/>
  <c r="C3162" i="8"/>
  <c r="B3162" i="8"/>
  <c r="D3161" i="8"/>
  <c r="F3161" i="8" s="1"/>
  <c r="C3161" i="8"/>
  <c r="B3161" i="8"/>
  <c r="D3160" i="8"/>
  <c r="F3160" i="8" s="1"/>
  <c r="C3160" i="8"/>
  <c r="B3160" i="8"/>
  <c r="D3159" i="8"/>
  <c r="F3159" i="8" s="1"/>
  <c r="C3159" i="8"/>
  <c r="B3159" i="8"/>
  <c r="D3158" i="8"/>
  <c r="F3158" i="8" s="1"/>
  <c r="C3158" i="8"/>
  <c r="B3158" i="8"/>
  <c r="D3157" i="8"/>
  <c r="F3157" i="8" s="1"/>
  <c r="C3157" i="8"/>
  <c r="B3157" i="8"/>
  <c r="D3156" i="8"/>
  <c r="F3156" i="8" s="1"/>
  <c r="C3156" i="8"/>
  <c r="B3156" i="8"/>
  <c r="D3155" i="8"/>
  <c r="F3155" i="8" s="1"/>
  <c r="C3155" i="8"/>
  <c r="B3155" i="8"/>
  <c r="D3154" i="8"/>
  <c r="F3154" i="8" s="1"/>
  <c r="C3154" i="8"/>
  <c r="B3154" i="8"/>
  <c r="D3153" i="8"/>
  <c r="F3153" i="8" s="1"/>
  <c r="C3153" i="8"/>
  <c r="B3153" i="8"/>
  <c r="D3152" i="8"/>
  <c r="F3152" i="8" s="1"/>
  <c r="C3152" i="8"/>
  <c r="B3152" i="8"/>
  <c r="D3151" i="8"/>
  <c r="F3151" i="8" s="1"/>
  <c r="C3151" i="8"/>
  <c r="B3151" i="8"/>
  <c r="D3150" i="8"/>
  <c r="F3150" i="8" s="1"/>
  <c r="C3150" i="8"/>
  <c r="B3150" i="8"/>
  <c r="D3149" i="8"/>
  <c r="F3149" i="8" s="1"/>
  <c r="C3149" i="8"/>
  <c r="B3149" i="8"/>
  <c r="D3148" i="8"/>
  <c r="F3148" i="8" s="1"/>
  <c r="C3148" i="8"/>
  <c r="B3148" i="8"/>
  <c r="D3147" i="8"/>
  <c r="F3147" i="8" s="1"/>
  <c r="C3147" i="8"/>
  <c r="B3147" i="8"/>
  <c r="D3146" i="8"/>
  <c r="F3146" i="8" s="1"/>
  <c r="C3146" i="8"/>
  <c r="B3146" i="8"/>
  <c r="D3145" i="8"/>
  <c r="F3145" i="8" s="1"/>
  <c r="C3145" i="8"/>
  <c r="B3145" i="8"/>
  <c r="D3144" i="8"/>
  <c r="F3144" i="8" s="1"/>
  <c r="C3144" i="8"/>
  <c r="B3144" i="8"/>
  <c r="D3143" i="8"/>
  <c r="F3143" i="8" s="1"/>
  <c r="C3143" i="8"/>
  <c r="B3143" i="8"/>
  <c r="D3142" i="8"/>
  <c r="F3142" i="8" s="1"/>
  <c r="C3142" i="8"/>
  <c r="B3142" i="8"/>
  <c r="D3141" i="8"/>
  <c r="F3141" i="8" s="1"/>
  <c r="C3141" i="8"/>
  <c r="B3141" i="8"/>
  <c r="D3140" i="8"/>
  <c r="F3140" i="8" s="1"/>
  <c r="C3140" i="8"/>
  <c r="B3140" i="8"/>
  <c r="D3139" i="8"/>
  <c r="F3139" i="8" s="1"/>
  <c r="C3139" i="8"/>
  <c r="B3139" i="8"/>
  <c r="D3138" i="8"/>
  <c r="F3138" i="8" s="1"/>
  <c r="C3138" i="8"/>
  <c r="B3138" i="8"/>
  <c r="D3137" i="8"/>
  <c r="F3137" i="8" s="1"/>
  <c r="C3137" i="8"/>
  <c r="B3137" i="8"/>
  <c r="D3136" i="8"/>
  <c r="F3136" i="8" s="1"/>
  <c r="C3136" i="8"/>
  <c r="B3136" i="8"/>
  <c r="D3135" i="8"/>
  <c r="F3135" i="8" s="1"/>
  <c r="C3135" i="8"/>
  <c r="B3135" i="8"/>
  <c r="D3134" i="8"/>
  <c r="F3134" i="8" s="1"/>
  <c r="C3134" i="8"/>
  <c r="B3134" i="8"/>
  <c r="D3133" i="8"/>
  <c r="F3133" i="8" s="1"/>
  <c r="C3133" i="8"/>
  <c r="B3133" i="8"/>
  <c r="D3132" i="8"/>
  <c r="F3132" i="8" s="1"/>
  <c r="C3132" i="8"/>
  <c r="B3132" i="8"/>
  <c r="D3131" i="8"/>
  <c r="F3131" i="8" s="1"/>
  <c r="C3131" i="8"/>
  <c r="B3131" i="8"/>
  <c r="D3130" i="8"/>
  <c r="F3130" i="8" s="1"/>
  <c r="C3130" i="8"/>
  <c r="B3130" i="8"/>
  <c r="D3129" i="8"/>
  <c r="F3129" i="8" s="1"/>
  <c r="C3129" i="8"/>
  <c r="B3129" i="8"/>
  <c r="D3128" i="8"/>
  <c r="F3128" i="8" s="1"/>
  <c r="C3128" i="8"/>
  <c r="B3128" i="8"/>
  <c r="D3127" i="8"/>
  <c r="F3127" i="8" s="1"/>
  <c r="C3127" i="8"/>
  <c r="B3127" i="8"/>
  <c r="D3126" i="8"/>
  <c r="F3126" i="8" s="1"/>
  <c r="C3126" i="8"/>
  <c r="B3126" i="8"/>
  <c r="D3125" i="8"/>
  <c r="F3125" i="8" s="1"/>
  <c r="C3125" i="8"/>
  <c r="B3125" i="8"/>
  <c r="D3124" i="8"/>
  <c r="F3124" i="8" s="1"/>
  <c r="C3124" i="8"/>
  <c r="B3124" i="8"/>
  <c r="D3123" i="8"/>
  <c r="F3123" i="8" s="1"/>
  <c r="C3123" i="8"/>
  <c r="B3123" i="8"/>
  <c r="D3122" i="8"/>
  <c r="F3122" i="8" s="1"/>
  <c r="C3122" i="8"/>
  <c r="B3122" i="8"/>
  <c r="D3121" i="8"/>
  <c r="F3121" i="8" s="1"/>
  <c r="C3121" i="8"/>
  <c r="B3121" i="8"/>
  <c r="D3120" i="8"/>
  <c r="F3120" i="8" s="1"/>
  <c r="C3120" i="8"/>
  <c r="B3120" i="8"/>
  <c r="D3119" i="8"/>
  <c r="F3119" i="8" s="1"/>
  <c r="C3119" i="8"/>
  <c r="B3119" i="8"/>
  <c r="D3118" i="8"/>
  <c r="F3118" i="8" s="1"/>
  <c r="C3118" i="8"/>
  <c r="B3118" i="8"/>
  <c r="D3117" i="8"/>
  <c r="F3117" i="8" s="1"/>
  <c r="C3117" i="8"/>
  <c r="B3117" i="8"/>
  <c r="D3116" i="8"/>
  <c r="F3116" i="8" s="1"/>
  <c r="C3116" i="8"/>
  <c r="B3116" i="8"/>
  <c r="D3115" i="8"/>
  <c r="F3115" i="8" s="1"/>
  <c r="C3115" i="8"/>
  <c r="B3115" i="8"/>
  <c r="D3114" i="8"/>
  <c r="F3114" i="8" s="1"/>
  <c r="C3114" i="8"/>
  <c r="B3114" i="8"/>
  <c r="D3113" i="8"/>
  <c r="F3113" i="8" s="1"/>
  <c r="C3113" i="8"/>
  <c r="B3113" i="8"/>
  <c r="D3112" i="8"/>
  <c r="F3112" i="8" s="1"/>
  <c r="C3112" i="8"/>
  <c r="B3112" i="8"/>
  <c r="D3111" i="8"/>
  <c r="F3111" i="8" s="1"/>
  <c r="C3111" i="8"/>
  <c r="B3111" i="8"/>
  <c r="D3110" i="8"/>
  <c r="F3110" i="8" s="1"/>
  <c r="C3110" i="8"/>
  <c r="B3110" i="8"/>
  <c r="D3109" i="8"/>
  <c r="F3109" i="8" s="1"/>
  <c r="C3109" i="8"/>
  <c r="B3109" i="8"/>
  <c r="D3108" i="8"/>
  <c r="F3108" i="8" s="1"/>
  <c r="C3108" i="8"/>
  <c r="B3108" i="8"/>
  <c r="D3107" i="8"/>
  <c r="F3107" i="8" s="1"/>
  <c r="C3107" i="8"/>
  <c r="B3107" i="8"/>
  <c r="D3106" i="8"/>
  <c r="F3106" i="8" s="1"/>
  <c r="C3106" i="8"/>
  <c r="B3106" i="8"/>
  <c r="D3105" i="8"/>
  <c r="F3105" i="8" s="1"/>
  <c r="C3105" i="8"/>
  <c r="B3105" i="8"/>
  <c r="D3104" i="8"/>
  <c r="F3104" i="8" s="1"/>
  <c r="C3104" i="8"/>
  <c r="B3104" i="8"/>
  <c r="D3103" i="8"/>
  <c r="F3103" i="8" s="1"/>
  <c r="C3103" i="8"/>
  <c r="B3103" i="8"/>
  <c r="D3102" i="8"/>
  <c r="F3102" i="8" s="1"/>
  <c r="C3102" i="8"/>
  <c r="B3102" i="8"/>
  <c r="D3101" i="8"/>
  <c r="F3101" i="8" s="1"/>
  <c r="C3101" i="8"/>
  <c r="B3101" i="8"/>
  <c r="D3100" i="8"/>
  <c r="F3100" i="8" s="1"/>
  <c r="C3100" i="8"/>
  <c r="B3100" i="8"/>
  <c r="D3099" i="8"/>
  <c r="F3099" i="8" s="1"/>
  <c r="C3099" i="8"/>
  <c r="B3099" i="8"/>
  <c r="D3098" i="8"/>
  <c r="F3098" i="8" s="1"/>
  <c r="C3098" i="8"/>
  <c r="B3098" i="8"/>
  <c r="D3097" i="8"/>
  <c r="F3097" i="8" s="1"/>
  <c r="C3097" i="8"/>
  <c r="B3097" i="8"/>
  <c r="D3096" i="8"/>
  <c r="F3096" i="8" s="1"/>
  <c r="C3096" i="8"/>
  <c r="B3096" i="8"/>
  <c r="D3095" i="8"/>
  <c r="F3095" i="8" s="1"/>
  <c r="C3095" i="8"/>
  <c r="B3095" i="8"/>
  <c r="D3094" i="8"/>
  <c r="F3094" i="8" s="1"/>
  <c r="C3094" i="8"/>
  <c r="B3094" i="8"/>
  <c r="D3093" i="8"/>
  <c r="F3093" i="8" s="1"/>
  <c r="C3093" i="8"/>
  <c r="B3093" i="8"/>
  <c r="D3092" i="8"/>
  <c r="F3092" i="8" s="1"/>
  <c r="C3092" i="8"/>
  <c r="B3092" i="8"/>
  <c r="D3091" i="8"/>
  <c r="F3091" i="8" s="1"/>
  <c r="C3091" i="8"/>
  <c r="B3091" i="8"/>
  <c r="D3090" i="8"/>
  <c r="F3090" i="8" s="1"/>
  <c r="C3090" i="8"/>
  <c r="B3090" i="8"/>
  <c r="D3089" i="8"/>
  <c r="F3089" i="8" s="1"/>
  <c r="C3089" i="8"/>
  <c r="B3089" i="8"/>
  <c r="D3088" i="8"/>
  <c r="F3088" i="8" s="1"/>
  <c r="C3088" i="8"/>
  <c r="B3088" i="8"/>
  <c r="D3087" i="8"/>
  <c r="F3087" i="8" s="1"/>
  <c r="C3087" i="8"/>
  <c r="B3087" i="8"/>
  <c r="D3086" i="8"/>
  <c r="F3086" i="8" s="1"/>
  <c r="C3086" i="8"/>
  <c r="B3086" i="8"/>
  <c r="D3085" i="8"/>
  <c r="F3085" i="8" s="1"/>
  <c r="C3085" i="8"/>
  <c r="B3085" i="8"/>
  <c r="D3084" i="8"/>
  <c r="F3084" i="8" s="1"/>
  <c r="C3084" i="8"/>
  <c r="B3084" i="8"/>
  <c r="D3083" i="8"/>
  <c r="F3083" i="8" s="1"/>
  <c r="C3083" i="8"/>
  <c r="B3083" i="8"/>
  <c r="D3082" i="8"/>
  <c r="F3082" i="8" s="1"/>
  <c r="C3082" i="8"/>
  <c r="B3082" i="8"/>
  <c r="D3081" i="8"/>
  <c r="F3081" i="8" s="1"/>
  <c r="C3081" i="8"/>
  <c r="B3081" i="8"/>
  <c r="D3080" i="8"/>
  <c r="F3080" i="8" s="1"/>
  <c r="C3080" i="8"/>
  <c r="B3080" i="8"/>
  <c r="D3079" i="8"/>
  <c r="F3079" i="8" s="1"/>
  <c r="C3079" i="8"/>
  <c r="B3079" i="8"/>
  <c r="D3078" i="8"/>
  <c r="F3078" i="8" s="1"/>
  <c r="C3078" i="8"/>
  <c r="B3078" i="8"/>
  <c r="D3077" i="8"/>
  <c r="F3077" i="8" s="1"/>
  <c r="C3077" i="8"/>
  <c r="B3077" i="8"/>
  <c r="D3076" i="8"/>
  <c r="F3076" i="8" s="1"/>
  <c r="C3076" i="8"/>
  <c r="B3076" i="8"/>
  <c r="D3075" i="8"/>
  <c r="F3075" i="8" s="1"/>
  <c r="C3075" i="8"/>
  <c r="B3075" i="8"/>
  <c r="D3074" i="8"/>
  <c r="F3074" i="8" s="1"/>
  <c r="C3074" i="8"/>
  <c r="B3074" i="8"/>
  <c r="D3073" i="8"/>
  <c r="F3073" i="8" s="1"/>
  <c r="C3073" i="8"/>
  <c r="B3073" i="8"/>
  <c r="D3072" i="8"/>
  <c r="F3072" i="8" s="1"/>
  <c r="C3072" i="8"/>
  <c r="B3072" i="8"/>
  <c r="D3071" i="8"/>
  <c r="F3071" i="8" s="1"/>
  <c r="C3071" i="8"/>
  <c r="B3071" i="8"/>
  <c r="D3070" i="8"/>
  <c r="F3070" i="8" s="1"/>
  <c r="C3070" i="8"/>
  <c r="B3070" i="8"/>
  <c r="D3069" i="8"/>
  <c r="F3069" i="8" s="1"/>
  <c r="C3069" i="8"/>
  <c r="B3069" i="8"/>
  <c r="D3068" i="8"/>
  <c r="F3068" i="8" s="1"/>
  <c r="C3068" i="8"/>
  <c r="B3068" i="8"/>
  <c r="D3067" i="8"/>
  <c r="F3067" i="8" s="1"/>
  <c r="C3067" i="8"/>
  <c r="B3067" i="8"/>
  <c r="D3066" i="8"/>
  <c r="F3066" i="8" s="1"/>
  <c r="C3066" i="8"/>
  <c r="B3066" i="8"/>
  <c r="D3065" i="8"/>
  <c r="F3065" i="8" s="1"/>
  <c r="C3065" i="8"/>
  <c r="B3065" i="8"/>
  <c r="D3064" i="8"/>
  <c r="F3064" i="8" s="1"/>
  <c r="C3064" i="8"/>
  <c r="B3064" i="8"/>
  <c r="D3063" i="8"/>
  <c r="F3063" i="8" s="1"/>
  <c r="C3063" i="8"/>
  <c r="B3063" i="8"/>
  <c r="D3062" i="8"/>
  <c r="F3062" i="8" s="1"/>
  <c r="C3062" i="8"/>
  <c r="B3062" i="8"/>
  <c r="D3061" i="8"/>
  <c r="F3061" i="8" s="1"/>
  <c r="C3061" i="8"/>
  <c r="B3061" i="8"/>
  <c r="D3060" i="8"/>
  <c r="F3060" i="8" s="1"/>
  <c r="C3060" i="8"/>
  <c r="B3060" i="8"/>
  <c r="D3059" i="8"/>
  <c r="F3059" i="8" s="1"/>
  <c r="C3059" i="8"/>
  <c r="B3059" i="8"/>
  <c r="D3058" i="8"/>
  <c r="F3058" i="8" s="1"/>
  <c r="C3058" i="8"/>
  <c r="B3058" i="8"/>
  <c r="D3057" i="8"/>
  <c r="F3057" i="8" s="1"/>
  <c r="C3057" i="8"/>
  <c r="B3057" i="8"/>
  <c r="D3056" i="8"/>
  <c r="F3056" i="8" s="1"/>
  <c r="C3056" i="8"/>
  <c r="B3056" i="8"/>
  <c r="D3055" i="8"/>
  <c r="F3055" i="8" s="1"/>
  <c r="C3055" i="8"/>
  <c r="B3055" i="8"/>
  <c r="D3054" i="8"/>
  <c r="F3054" i="8" s="1"/>
  <c r="C3054" i="8"/>
  <c r="B3054" i="8"/>
  <c r="D3053" i="8"/>
  <c r="F3053" i="8" s="1"/>
  <c r="C3053" i="8"/>
  <c r="B3053" i="8"/>
  <c r="D3052" i="8"/>
  <c r="F3052" i="8" s="1"/>
  <c r="C3052" i="8"/>
  <c r="B3052" i="8"/>
  <c r="D3051" i="8"/>
  <c r="F3051" i="8" s="1"/>
  <c r="C3051" i="8"/>
  <c r="B3051" i="8"/>
  <c r="D3050" i="8"/>
  <c r="F3050" i="8" s="1"/>
  <c r="C3050" i="8"/>
  <c r="B3050" i="8"/>
  <c r="D3049" i="8"/>
  <c r="F3049" i="8" s="1"/>
  <c r="C3049" i="8"/>
  <c r="B3049" i="8"/>
  <c r="D3048" i="8"/>
  <c r="F3048" i="8" s="1"/>
  <c r="C3048" i="8"/>
  <c r="B3048" i="8"/>
  <c r="D3047" i="8"/>
  <c r="F3047" i="8" s="1"/>
  <c r="C3047" i="8"/>
  <c r="B3047" i="8"/>
  <c r="D3046" i="8"/>
  <c r="F3046" i="8" s="1"/>
  <c r="C3046" i="8"/>
  <c r="B3046" i="8"/>
  <c r="D3045" i="8"/>
  <c r="F3045" i="8" s="1"/>
  <c r="C3045" i="8"/>
  <c r="B3045" i="8"/>
  <c r="D3044" i="8"/>
  <c r="F3044" i="8" s="1"/>
  <c r="C3044" i="8"/>
  <c r="B3044" i="8"/>
  <c r="D3043" i="8"/>
  <c r="F3043" i="8" s="1"/>
  <c r="C3043" i="8"/>
  <c r="B3043" i="8"/>
  <c r="D3042" i="8"/>
  <c r="F3042" i="8" s="1"/>
  <c r="C3042" i="8"/>
  <c r="B3042" i="8"/>
  <c r="D3041" i="8"/>
  <c r="F3041" i="8" s="1"/>
  <c r="C3041" i="8"/>
  <c r="B3041" i="8"/>
  <c r="D3040" i="8"/>
  <c r="F3040" i="8" s="1"/>
  <c r="C3040" i="8"/>
  <c r="B3040" i="8"/>
  <c r="D3039" i="8"/>
  <c r="F3039" i="8" s="1"/>
  <c r="C3039" i="8"/>
  <c r="B3039" i="8"/>
  <c r="D3038" i="8"/>
  <c r="F3038" i="8" s="1"/>
  <c r="C3038" i="8"/>
  <c r="B3038" i="8"/>
  <c r="D3037" i="8"/>
  <c r="F3037" i="8" s="1"/>
  <c r="C3037" i="8"/>
  <c r="B3037" i="8"/>
  <c r="D3036" i="8"/>
  <c r="F3036" i="8" s="1"/>
  <c r="C3036" i="8"/>
  <c r="B3036" i="8"/>
  <c r="D3035" i="8"/>
  <c r="F3035" i="8" s="1"/>
  <c r="C3035" i="8"/>
  <c r="B3035" i="8"/>
  <c r="D3034" i="8"/>
  <c r="F3034" i="8" s="1"/>
  <c r="C3034" i="8"/>
  <c r="B3034" i="8"/>
  <c r="D3033" i="8"/>
  <c r="F3033" i="8" s="1"/>
  <c r="C3033" i="8"/>
  <c r="B3033" i="8"/>
  <c r="D3032" i="8"/>
  <c r="F3032" i="8" s="1"/>
  <c r="C3032" i="8"/>
  <c r="B3032" i="8"/>
  <c r="D3031" i="8"/>
  <c r="F3031" i="8" s="1"/>
  <c r="C3031" i="8"/>
  <c r="B3031" i="8"/>
  <c r="D3030" i="8"/>
  <c r="F3030" i="8" s="1"/>
  <c r="C3030" i="8"/>
  <c r="B3030" i="8"/>
  <c r="D3029" i="8"/>
  <c r="F3029" i="8" s="1"/>
  <c r="C3029" i="8"/>
  <c r="B3029" i="8"/>
  <c r="D3028" i="8"/>
  <c r="F3028" i="8" s="1"/>
  <c r="C3028" i="8"/>
  <c r="B3028" i="8"/>
  <c r="D3027" i="8"/>
  <c r="F3027" i="8" s="1"/>
  <c r="C3027" i="8"/>
  <c r="B3027" i="8"/>
  <c r="D3026" i="8"/>
  <c r="F3026" i="8" s="1"/>
  <c r="C3026" i="8"/>
  <c r="B3026" i="8"/>
  <c r="D3025" i="8"/>
  <c r="F3025" i="8" s="1"/>
  <c r="C3025" i="8"/>
  <c r="B3025" i="8"/>
  <c r="D3024" i="8"/>
  <c r="F3024" i="8" s="1"/>
  <c r="C3024" i="8"/>
  <c r="B3024" i="8"/>
  <c r="D3023" i="8"/>
  <c r="F3023" i="8" s="1"/>
  <c r="C3023" i="8"/>
  <c r="B3023" i="8"/>
  <c r="D3022" i="8"/>
  <c r="F3022" i="8" s="1"/>
  <c r="C3022" i="8"/>
  <c r="B3022" i="8"/>
  <c r="D3021" i="8"/>
  <c r="F3021" i="8" s="1"/>
  <c r="C3021" i="8"/>
  <c r="B3021" i="8"/>
  <c r="D3020" i="8"/>
  <c r="F3020" i="8" s="1"/>
  <c r="C3020" i="8"/>
  <c r="B3020" i="8"/>
  <c r="D3019" i="8"/>
  <c r="F3019" i="8" s="1"/>
  <c r="C3019" i="8"/>
  <c r="B3019" i="8"/>
  <c r="D3018" i="8"/>
  <c r="F3018" i="8" s="1"/>
  <c r="C3018" i="8"/>
  <c r="B3018" i="8"/>
  <c r="D3017" i="8"/>
  <c r="F3017" i="8" s="1"/>
  <c r="C3017" i="8"/>
  <c r="B3017" i="8"/>
  <c r="D3016" i="8"/>
  <c r="F3016" i="8" s="1"/>
  <c r="C3016" i="8"/>
  <c r="B3016" i="8"/>
  <c r="D3015" i="8"/>
  <c r="F3015" i="8" s="1"/>
  <c r="C3015" i="8"/>
  <c r="B3015" i="8"/>
  <c r="D3014" i="8"/>
  <c r="F3014" i="8" s="1"/>
  <c r="C3014" i="8"/>
  <c r="B3014" i="8"/>
  <c r="D3013" i="8"/>
  <c r="F3013" i="8" s="1"/>
  <c r="C3013" i="8"/>
  <c r="B3013" i="8"/>
  <c r="D3012" i="8"/>
  <c r="F3012" i="8" s="1"/>
  <c r="C3012" i="8"/>
  <c r="B3012" i="8"/>
  <c r="D3011" i="8"/>
  <c r="F3011" i="8" s="1"/>
  <c r="C3011" i="8"/>
  <c r="B3011" i="8"/>
  <c r="D3010" i="8"/>
  <c r="F3010" i="8" s="1"/>
  <c r="C3010" i="8"/>
  <c r="B3010" i="8"/>
  <c r="D3009" i="8"/>
  <c r="F3009" i="8" s="1"/>
  <c r="C3009" i="8"/>
  <c r="B3009" i="8"/>
  <c r="D3008" i="8"/>
  <c r="F3008" i="8" s="1"/>
  <c r="C3008" i="8"/>
  <c r="B3008" i="8"/>
  <c r="D3007" i="8"/>
  <c r="F3007" i="8" s="1"/>
  <c r="C3007" i="8"/>
  <c r="B3007" i="8"/>
  <c r="D3006" i="8"/>
  <c r="F3006" i="8" s="1"/>
  <c r="C3006" i="8"/>
  <c r="B3006" i="8"/>
  <c r="D3005" i="8"/>
  <c r="F3005" i="8" s="1"/>
  <c r="C3005" i="8"/>
  <c r="B3005" i="8"/>
  <c r="D3004" i="8"/>
  <c r="F3004" i="8" s="1"/>
  <c r="C3004" i="8"/>
  <c r="B3004" i="8"/>
  <c r="D3003" i="8"/>
  <c r="F3003" i="8" s="1"/>
  <c r="C3003" i="8"/>
  <c r="B3003" i="8"/>
  <c r="D3002" i="8"/>
  <c r="F3002" i="8" s="1"/>
  <c r="C3002" i="8"/>
  <c r="B3002" i="8"/>
  <c r="D3001" i="8"/>
  <c r="F3001" i="8" s="1"/>
  <c r="C3001" i="8"/>
  <c r="B3001" i="8"/>
  <c r="D3000" i="8"/>
  <c r="F3000" i="8" s="1"/>
  <c r="C3000" i="8"/>
  <c r="B3000" i="8"/>
  <c r="D2999" i="8"/>
  <c r="F2999" i="8" s="1"/>
  <c r="C2999" i="8"/>
  <c r="B2999" i="8"/>
  <c r="D2998" i="8"/>
  <c r="F2998" i="8" s="1"/>
  <c r="C2998" i="8"/>
  <c r="B2998" i="8"/>
  <c r="D2997" i="8"/>
  <c r="F2997" i="8" s="1"/>
  <c r="C2997" i="8"/>
  <c r="B2997" i="8"/>
  <c r="D2996" i="8"/>
  <c r="F2996" i="8" s="1"/>
  <c r="C2996" i="8"/>
  <c r="B2996" i="8"/>
  <c r="D2995" i="8"/>
  <c r="F2995" i="8" s="1"/>
  <c r="C2995" i="8"/>
  <c r="B2995" i="8"/>
  <c r="D2994" i="8"/>
  <c r="F2994" i="8" s="1"/>
  <c r="C2994" i="8"/>
  <c r="B2994" i="8"/>
  <c r="D2993" i="8"/>
  <c r="F2993" i="8" s="1"/>
  <c r="C2993" i="8"/>
  <c r="B2993" i="8"/>
  <c r="D2992" i="8"/>
  <c r="F2992" i="8" s="1"/>
  <c r="C2992" i="8"/>
  <c r="B2992" i="8"/>
  <c r="D2991" i="8"/>
  <c r="F2991" i="8" s="1"/>
  <c r="C2991" i="8"/>
  <c r="B2991" i="8"/>
  <c r="D2990" i="8"/>
  <c r="F2990" i="8" s="1"/>
  <c r="C2990" i="8"/>
  <c r="B2990" i="8"/>
  <c r="D2989" i="8"/>
  <c r="F2989" i="8" s="1"/>
  <c r="C2989" i="8"/>
  <c r="B2989" i="8"/>
  <c r="D2988" i="8"/>
  <c r="F2988" i="8" s="1"/>
  <c r="C2988" i="8"/>
  <c r="B2988" i="8"/>
  <c r="D2987" i="8"/>
  <c r="F2987" i="8" s="1"/>
  <c r="C2987" i="8"/>
  <c r="B2987" i="8"/>
  <c r="D2986" i="8"/>
  <c r="F2986" i="8" s="1"/>
  <c r="C2986" i="8"/>
  <c r="B2986" i="8"/>
  <c r="D2985" i="8"/>
  <c r="F2985" i="8" s="1"/>
  <c r="C2985" i="8"/>
  <c r="B2985" i="8"/>
  <c r="D2984" i="8"/>
  <c r="F2984" i="8" s="1"/>
  <c r="C2984" i="8"/>
  <c r="B2984" i="8"/>
  <c r="D2983" i="8"/>
  <c r="F2983" i="8" s="1"/>
  <c r="C2983" i="8"/>
  <c r="B2983" i="8"/>
  <c r="D2982" i="8"/>
  <c r="F2982" i="8" s="1"/>
  <c r="C2982" i="8"/>
  <c r="B2982" i="8"/>
  <c r="D2981" i="8"/>
  <c r="F2981" i="8" s="1"/>
  <c r="C2981" i="8"/>
  <c r="B2981" i="8"/>
  <c r="D2980" i="8"/>
  <c r="F2980" i="8" s="1"/>
  <c r="C2980" i="8"/>
  <c r="B2980" i="8"/>
  <c r="D2979" i="8"/>
  <c r="F2979" i="8" s="1"/>
  <c r="C2979" i="8"/>
  <c r="B2979" i="8"/>
  <c r="D2978" i="8"/>
  <c r="F2978" i="8" s="1"/>
  <c r="C2978" i="8"/>
  <c r="B2978" i="8"/>
  <c r="D2977" i="8"/>
  <c r="F2977" i="8" s="1"/>
  <c r="C2977" i="8"/>
  <c r="B2977" i="8"/>
  <c r="D2976" i="8"/>
  <c r="F2976" i="8" s="1"/>
  <c r="C2976" i="8"/>
  <c r="B2976" i="8"/>
  <c r="D2975" i="8"/>
  <c r="F2975" i="8" s="1"/>
  <c r="C2975" i="8"/>
  <c r="B2975" i="8"/>
  <c r="D2974" i="8"/>
  <c r="F2974" i="8" s="1"/>
  <c r="C2974" i="8"/>
  <c r="B2974" i="8"/>
  <c r="D2973" i="8"/>
  <c r="F2973" i="8" s="1"/>
  <c r="C2973" i="8"/>
  <c r="B2973" i="8"/>
  <c r="D2972" i="8"/>
  <c r="F2972" i="8" s="1"/>
  <c r="C2972" i="8"/>
  <c r="B2972" i="8"/>
  <c r="D2971" i="8"/>
  <c r="F2971" i="8" s="1"/>
  <c r="C2971" i="8"/>
  <c r="B2971" i="8"/>
  <c r="D2970" i="8"/>
  <c r="F2970" i="8" s="1"/>
  <c r="C2970" i="8"/>
  <c r="B2970" i="8"/>
  <c r="D2969" i="8"/>
  <c r="F2969" i="8" s="1"/>
  <c r="C2969" i="8"/>
  <c r="B2969" i="8"/>
  <c r="D2968" i="8"/>
  <c r="F2968" i="8" s="1"/>
  <c r="C2968" i="8"/>
  <c r="B2968" i="8"/>
  <c r="D2967" i="8"/>
  <c r="F2967" i="8" s="1"/>
  <c r="C2967" i="8"/>
  <c r="B2967" i="8"/>
  <c r="D2966" i="8"/>
  <c r="F2966" i="8" s="1"/>
  <c r="C2966" i="8"/>
  <c r="B2966" i="8"/>
  <c r="D2965" i="8"/>
  <c r="F2965" i="8" s="1"/>
  <c r="C2965" i="8"/>
  <c r="B2965" i="8"/>
  <c r="D2964" i="8"/>
  <c r="F2964" i="8" s="1"/>
  <c r="C2964" i="8"/>
  <c r="B2964" i="8"/>
  <c r="D2963" i="8"/>
  <c r="F2963" i="8" s="1"/>
  <c r="C2963" i="8"/>
  <c r="B2963" i="8"/>
  <c r="D2962" i="8"/>
  <c r="F2962" i="8" s="1"/>
  <c r="C2962" i="8"/>
  <c r="B2962" i="8"/>
  <c r="D2961" i="8"/>
  <c r="F2961" i="8" s="1"/>
  <c r="C2961" i="8"/>
  <c r="B2961" i="8"/>
  <c r="D2960" i="8"/>
  <c r="F2960" i="8" s="1"/>
  <c r="C2960" i="8"/>
  <c r="B2960" i="8"/>
  <c r="D2959" i="8"/>
  <c r="F2959" i="8" s="1"/>
  <c r="C2959" i="8"/>
  <c r="B2959" i="8"/>
  <c r="D2958" i="8"/>
  <c r="F2958" i="8" s="1"/>
  <c r="C2958" i="8"/>
  <c r="B2958" i="8"/>
  <c r="D2957" i="8"/>
  <c r="F2957" i="8" s="1"/>
  <c r="C2957" i="8"/>
  <c r="B2957" i="8"/>
  <c r="D2956" i="8"/>
  <c r="F2956" i="8" s="1"/>
  <c r="C2956" i="8"/>
  <c r="B2956" i="8"/>
  <c r="D2955" i="8"/>
  <c r="F2955" i="8" s="1"/>
  <c r="C2955" i="8"/>
  <c r="B2955" i="8"/>
  <c r="D2954" i="8"/>
  <c r="F2954" i="8" s="1"/>
  <c r="C2954" i="8"/>
  <c r="B2954" i="8"/>
  <c r="D2953" i="8"/>
  <c r="F2953" i="8" s="1"/>
  <c r="C2953" i="8"/>
  <c r="B2953" i="8"/>
  <c r="D2952" i="8"/>
  <c r="F2952" i="8" s="1"/>
  <c r="C2952" i="8"/>
  <c r="B2952" i="8"/>
  <c r="D2951" i="8"/>
  <c r="F2951" i="8" s="1"/>
  <c r="C2951" i="8"/>
  <c r="B2951" i="8"/>
  <c r="D2950" i="8"/>
  <c r="F2950" i="8" s="1"/>
  <c r="C2950" i="8"/>
  <c r="B2950" i="8"/>
  <c r="D2949" i="8"/>
  <c r="F2949" i="8" s="1"/>
  <c r="C2949" i="8"/>
  <c r="B2949" i="8"/>
  <c r="D2948" i="8"/>
  <c r="F2948" i="8" s="1"/>
  <c r="C2948" i="8"/>
  <c r="B2948" i="8"/>
  <c r="D2947" i="8"/>
  <c r="F2947" i="8" s="1"/>
  <c r="C2947" i="8"/>
  <c r="B2947" i="8"/>
  <c r="D2946" i="8"/>
  <c r="F2946" i="8" s="1"/>
  <c r="C2946" i="8"/>
  <c r="B2946" i="8"/>
  <c r="D2945" i="8"/>
  <c r="F2945" i="8" s="1"/>
  <c r="C2945" i="8"/>
  <c r="B2945" i="8"/>
  <c r="D2944" i="8"/>
  <c r="F2944" i="8" s="1"/>
  <c r="C2944" i="8"/>
  <c r="B2944" i="8"/>
  <c r="D2943" i="8"/>
  <c r="F2943" i="8" s="1"/>
  <c r="C2943" i="8"/>
  <c r="B2943" i="8"/>
  <c r="D2942" i="8"/>
  <c r="F2942" i="8" s="1"/>
  <c r="C2942" i="8"/>
  <c r="B2942" i="8"/>
  <c r="D2941" i="8"/>
  <c r="F2941" i="8" s="1"/>
  <c r="C2941" i="8"/>
  <c r="B2941" i="8"/>
  <c r="D2940" i="8"/>
  <c r="F2940" i="8" s="1"/>
  <c r="C2940" i="8"/>
  <c r="B2940" i="8"/>
  <c r="D2939" i="8"/>
  <c r="F2939" i="8" s="1"/>
  <c r="C2939" i="8"/>
  <c r="B2939" i="8"/>
  <c r="D2938" i="8"/>
  <c r="F2938" i="8" s="1"/>
  <c r="C2938" i="8"/>
  <c r="B2938" i="8"/>
  <c r="D2937" i="8"/>
  <c r="F2937" i="8" s="1"/>
  <c r="C2937" i="8"/>
  <c r="B2937" i="8"/>
  <c r="D2936" i="8"/>
  <c r="F2936" i="8" s="1"/>
  <c r="C2936" i="8"/>
  <c r="B2936" i="8"/>
  <c r="D2935" i="8"/>
  <c r="F2935" i="8" s="1"/>
  <c r="C2935" i="8"/>
  <c r="B2935" i="8"/>
  <c r="D2934" i="8"/>
  <c r="F2934" i="8" s="1"/>
  <c r="C2934" i="8"/>
  <c r="B2934" i="8"/>
  <c r="D2933" i="8"/>
  <c r="F2933" i="8" s="1"/>
  <c r="C2933" i="8"/>
  <c r="B2933" i="8"/>
  <c r="D2932" i="8"/>
  <c r="F2932" i="8" s="1"/>
  <c r="C2932" i="8"/>
  <c r="B2932" i="8"/>
  <c r="D2931" i="8"/>
  <c r="F2931" i="8" s="1"/>
  <c r="C2931" i="8"/>
  <c r="B2931" i="8"/>
  <c r="D2930" i="8"/>
  <c r="F2930" i="8" s="1"/>
  <c r="C2930" i="8"/>
  <c r="B2930" i="8"/>
  <c r="D2929" i="8"/>
  <c r="F2929" i="8" s="1"/>
  <c r="C2929" i="8"/>
  <c r="B2929" i="8"/>
  <c r="D2928" i="8"/>
  <c r="F2928" i="8" s="1"/>
  <c r="C2928" i="8"/>
  <c r="B2928" i="8"/>
  <c r="D2927" i="8"/>
  <c r="F2927" i="8" s="1"/>
  <c r="C2927" i="8"/>
  <c r="B2927" i="8"/>
  <c r="D2926" i="8"/>
  <c r="F2926" i="8" s="1"/>
  <c r="C2926" i="8"/>
  <c r="B2926" i="8"/>
  <c r="D2925" i="8"/>
  <c r="F2925" i="8" s="1"/>
  <c r="C2925" i="8"/>
  <c r="B2925" i="8"/>
  <c r="D2924" i="8"/>
  <c r="F2924" i="8" s="1"/>
  <c r="C2924" i="8"/>
  <c r="B2924" i="8"/>
  <c r="D2923" i="8"/>
  <c r="F2923" i="8" s="1"/>
  <c r="C2923" i="8"/>
  <c r="B2923" i="8"/>
  <c r="D2922" i="8"/>
  <c r="F2922" i="8" s="1"/>
  <c r="C2922" i="8"/>
  <c r="B2922" i="8"/>
  <c r="D2921" i="8"/>
  <c r="F2921" i="8" s="1"/>
  <c r="C2921" i="8"/>
  <c r="B2921" i="8"/>
  <c r="D2920" i="8"/>
  <c r="F2920" i="8" s="1"/>
  <c r="C2920" i="8"/>
  <c r="B2920" i="8"/>
  <c r="D2919" i="8"/>
  <c r="F2919" i="8" s="1"/>
  <c r="C2919" i="8"/>
  <c r="B2919" i="8"/>
  <c r="D2918" i="8"/>
  <c r="F2918" i="8" s="1"/>
  <c r="C2918" i="8"/>
  <c r="B2918" i="8"/>
  <c r="D2917" i="8"/>
  <c r="F2917" i="8" s="1"/>
  <c r="C2917" i="8"/>
  <c r="B2917" i="8"/>
  <c r="D2916" i="8"/>
  <c r="F2916" i="8" s="1"/>
  <c r="C2916" i="8"/>
  <c r="B2916" i="8"/>
  <c r="D2915" i="8"/>
  <c r="F2915" i="8" s="1"/>
  <c r="C2915" i="8"/>
  <c r="B2915" i="8"/>
  <c r="D2914" i="8"/>
  <c r="F2914" i="8" s="1"/>
  <c r="C2914" i="8"/>
  <c r="B2914" i="8"/>
  <c r="D2913" i="8"/>
  <c r="F2913" i="8" s="1"/>
  <c r="C2913" i="8"/>
  <c r="B2913" i="8"/>
  <c r="D2912" i="8"/>
  <c r="F2912" i="8" s="1"/>
  <c r="C2912" i="8"/>
  <c r="B2912" i="8"/>
  <c r="D2911" i="8"/>
  <c r="F2911" i="8" s="1"/>
  <c r="C2911" i="8"/>
  <c r="B2911" i="8"/>
  <c r="D2910" i="8"/>
  <c r="F2910" i="8" s="1"/>
  <c r="C2910" i="8"/>
  <c r="B2910" i="8"/>
  <c r="D2909" i="8"/>
  <c r="F2909" i="8" s="1"/>
  <c r="C2909" i="8"/>
  <c r="B2909" i="8"/>
  <c r="D2908" i="8"/>
  <c r="F2908" i="8" s="1"/>
  <c r="C2908" i="8"/>
  <c r="B2908" i="8"/>
  <c r="D2907" i="8"/>
  <c r="F2907" i="8" s="1"/>
  <c r="C2907" i="8"/>
  <c r="B2907" i="8"/>
  <c r="D2906" i="8"/>
  <c r="F2906" i="8" s="1"/>
  <c r="C2906" i="8"/>
  <c r="B2906" i="8"/>
  <c r="D2905" i="8"/>
  <c r="F2905" i="8" s="1"/>
  <c r="C2905" i="8"/>
  <c r="B2905" i="8"/>
  <c r="D2904" i="8"/>
  <c r="F2904" i="8" s="1"/>
  <c r="C2904" i="8"/>
  <c r="B2904" i="8"/>
  <c r="D2903" i="8"/>
  <c r="F2903" i="8" s="1"/>
  <c r="C2903" i="8"/>
  <c r="B2903" i="8"/>
  <c r="D2902" i="8"/>
  <c r="F2902" i="8" s="1"/>
  <c r="C2902" i="8"/>
  <c r="B2902" i="8"/>
  <c r="D2901" i="8"/>
  <c r="F2901" i="8" s="1"/>
  <c r="C2901" i="8"/>
  <c r="B2901" i="8"/>
  <c r="D2900" i="8"/>
  <c r="F2900" i="8" s="1"/>
  <c r="C2900" i="8"/>
  <c r="B2900" i="8"/>
  <c r="D2899" i="8"/>
  <c r="F2899" i="8" s="1"/>
  <c r="C2899" i="8"/>
  <c r="B2899" i="8"/>
  <c r="D2898" i="8"/>
  <c r="F2898" i="8" s="1"/>
  <c r="C2898" i="8"/>
  <c r="B2898" i="8"/>
  <c r="D2897" i="8"/>
  <c r="F2897" i="8" s="1"/>
  <c r="C2897" i="8"/>
  <c r="B2897" i="8"/>
  <c r="D2896" i="8"/>
  <c r="F2896" i="8" s="1"/>
  <c r="C2896" i="8"/>
  <c r="B2896" i="8"/>
  <c r="D2895" i="8"/>
  <c r="F2895" i="8" s="1"/>
  <c r="C2895" i="8"/>
  <c r="B2895" i="8"/>
  <c r="D2894" i="8"/>
  <c r="F2894" i="8" s="1"/>
  <c r="C2894" i="8"/>
  <c r="B2894" i="8"/>
  <c r="D2893" i="8"/>
  <c r="F2893" i="8" s="1"/>
  <c r="C2893" i="8"/>
  <c r="B2893" i="8"/>
  <c r="D2892" i="8"/>
  <c r="F2892" i="8" s="1"/>
  <c r="C2892" i="8"/>
  <c r="B2892" i="8"/>
  <c r="D2891" i="8"/>
  <c r="F2891" i="8" s="1"/>
  <c r="C2891" i="8"/>
  <c r="B2891" i="8"/>
  <c r="D2890" i="8"/>
  <c r="F2890" i="8" s="1"/>
  <c r="C2890" i="8"/>
  <c r="B2890" i="8"/>
  <c r="D2889" i="8"/>
  <c r="F2889" i="8" s="1"/>
  <c r="C2889" i="8"/>
  <c r="B2889" i="8"/>
  <c r="D2888" i="8"/>
  <c r="F2888" i="8" s="1"/>
  <c r="C2888" i="8"/>
  <c r="B2888" i="8"/>
  <c r="D2887" i="8"/>
  <c r="F2887" i="8" s="1"/>
  <c r="C2887" i="8"/>
  <c r="B2887" i="8"/>
  <c r="D2886" i="8"/>
  <c r="F2886" i="8" s="1"/>
  <c r="C2886" i="8"/>
  <c r="B2886" i="8"/>
  <c r="D2885" i="8"/>
  <c r="F2885" i="8" s="1"/>
  <c r="C2885" i="8"/>
  <c r="B2885" i="8"/>
  <c r="D2884" i="8"/>
  <c r="F2884" i="8" s="1"/>
  <c r="C2884" i="8"/>
  <c r="B2884" i="8"/>
  <c r="D2883" i="8"/>
  <c r="F2883" i="8" s="1"/>
  <c r="C2883" i="8"/>
  <c r="B2883" i="8"/>
  <c r="D2882" i="8"/>
  <c r="F2882" i="8" s="1"/>
  <c r="C2882" i="8"/>
  <c r="B2882" i="8"/>
  <c r="D2881" i="8"/>
  <c r="F2881" i="8" s="1"/>
  <c r="C2881" i="8"/>
  <c r="B2881" i="8"/>
  <c r="D2880" i="8"/>
  <c r="F2880" i="8" s="1"/>
  <c r="C2880" i="8"/>
  <c r="B2880" i="8"/>
  <c r="D2879" i="8"/>
  <c r="F2879" i="8" s="1"/>
  <c r="C2879" i="8"/>
  <c r="B2879" i="8"/>
  <c r="D2878" i="8"/>
  <c r="F2878" i="8" s="1"/>
  <c r="C2878" i="8"/>
  <c r="B2878" i="8"/>
  <c r="D2877" i="8"/>
  <c r="F2877" i="8" s="1"/>
  <c r="C2877" i="8"/>
  <c r="B2877" i="8"/>
  <c r="D2876" i="8"/>
  <c r="F2876" i="8" s="1"/>
  <c r="C2876" i="8"/>
  <c r="B2876" i="8"/>
  <c r="D2875" i="8"/>
  <c r="F2875" i="8" s="1"/>
  <c r="C2875" i="8"/>
  <c r="B2875" i="8"/>
  <c r="D2874" i="8"/>
  <c r="F2874" i="8" s="1"/>
  <c r="C2874" i="8"/>
  <c r="B2874" i="8"/>
  <c r="D2873" i="8"/>
  <c r="F2873" i="8" s="1"/>
  <c r="C2873" i="8"/>
  <c r="B2873" i="8"/>
  <c r="D2872" i="8"/>
  <c r="F2872" i="8" s="1"/>
  <c r="C2872" i="8"/>
  <c r="B2872" i="8"/>
  <c r="D2871" i="8"/>
  <c r="F2871" i="8" s="1"/>
  <c r="C2871" i="8"/>
  <c r="B2871" i="8"/>
  <c r="D2870" i="8"/>
  <c r="F2870" i="8" s="1"/>
  <c r="C2870" i="8"/>
  <c r="B2870" i="8"/>
  <c r="D2869" i="8"/>
  <c r="F2869" i="8" s="1"/>
  <c r="C2869" i="8"/>
  <c r="B2869" i="8"/>
  <c r="D2868" i="8"/>
  <c r="F2868" i="8" s="1"/>
  <c r="C2868" i="8"/>
  <c r="B2868" i="8"/>
  <c r="D2867" i="8"/>
  <c r="F2867" i="8" s="1"/>
  <c r="C2867" i="8"/>
  <c r="B2867" i="8"/>
  <c r="D2866" i="8"/>
  <c r="F2866" i="8" s="1"/>
  <c r="C2866" i="8"/>
  <c r="B2866" i="8"/>
  <c r="D2865" i="8"/>
  <c r="F2865" i="8" s="1"/>
  <c r="C2865" i="8"/>
  <c r="B2865" i="8"/>
  <c r="D2864" i="8"/>
  <c r="F2864" i="8" s="1"/>
  <c r="C2864" i="8"/>
  <c r="B2864" i="8"/>
  <c r="D2863" i="8"/>
  <c r="F2863" i="8" s="1"/>
  <c r="C2863" i="8"/>
  <c r="B2863" i="8"/>
  <c r="D2862" i="8"/>
  <c r="F2862" i="8" s="1"/>
  <c r="C2862" i="8"/>
  <c r="B2862" i="8"/>
  <c r="D2861" i="8"/>
  <c r="F2861" i="8" s="1"/>
  <c r="C2861" i="8"/>
  <c r="B2861" i="8"/>
  <c r="D2860" i="8"/>
  <c r="F2860" i="8" s="1"/>
  <c r="C2860" i="8"/>
  <c r="B2860" i="8"/>
  <c r="D2859" i="8"/>
  <c r="F2859" i="8" s="1"/>
  <c r="C2859" i="8"/>
  <c r="B2859" i="8"/>
  <c r="D2858" i="8"/>
  <c r="F2858" i="8" s="1"/>
  <c r="C2858" i="8"/>
  <c r="B2858" i="8"/>
  <c r="D2857" i="8"/>
  <c r="F2857" i="8" s="1"/>
  <c r="C2857" i="8"/>
  <c r="B2857" i="8"/>
  <c r="D2856" i="8"/>
  <c r="F2856" i="8" s="1"/>
  <c r="C2856" i="8"/>
  <c r="B2856" i="8"/>
  <c r="D2855" i="8"/>
  <c r="F2855" i="8" s="1"/>
  <c r="C2855" i="8"/>
  <c r="B2855" i="8"/>
  <c r="D2854" i="8"/>
  <c r="F2854" i="8" s="1"/>
  <c r="C2854" i="8"/>
  <c r="B2854" i="8"/>
  <c r="D2853" i="8"/>
  <c r="F2853" i="8" s="1"/>
  <c r="C2853" i="8"/>
  <c r="B2853" i="8"/>
  <c r="D2852" i="8"/>
  <c r="F2852" i="8" s="1"/>
  <c r="C2852" i="8"/>
  <c r="B2852" i="8"/>
  <c r="D2851" i="8"/>
  <c r="F2851" i="8" s="1"/>
  <c r="C2851" i="8"/>
  <c r="B2851" i="8"/>
  <c r="D2850" i="8"/>
  <c r="F2850" i="8" s="1"/>
  <c r="C2850" i="8"/>
  <c r="B2850" i="8"/>
  <c r="D2849" i="8"/>
  <c r="F2849" i="8" s="1"/>
  <c r="C2849" i="8"/>
  <c r="B2849" i="8"/>
  <c r="D2848" i="8"/>
  <c r="F2848" i="8" s="1"/>
  <c r="C2848" i="8"/>
  <c r="B2848" i="8"/>
  <c r="D2847" i="8"/>
  <c r="F2847" i="8" s="1"/>
  <c r="C2847" i="8"/>
  <c r="B2847" i="8"/>
  <c r="D2846" i="8"/>
  <c r="F2846" i="8" s="1"/>
  <c r="C2846" i="8"/>
  <c r="B2846" i="8"/>
  <c r="D2845" i="8"/>
  <c r="F2845" i="8" s="1"/>
  <c r="C2845" i="8"/>
  <c r="B2845" i="8"/>
  <c r="D2844" i="8"/>
  <c r="F2844" i="8" s="1"/>
  <c r="C2844" i="8"/>
  <c r="B2844" i="8"/>
  <c r="D2843" i="8"/>
  <c r="F2843" i="8" s="1"/>
  <c r="C2843" i="8"/>
  <c r="B2843" i="8"/>
  <c r="D2842" i="8"/>
  <c r="F2842" i="8" s="1"/>
  <c r="C2842" i="8"/>
  <c r="B2842" i="8"/>
  <c r="D2841" i="8"/>
  <c r="F2841" i="8" s="1"/>
  <c r="C2841" i="8"/>
  <c r="B2841" i="8"/>
  <c r="D2840" i="8"/>
  <c r="F2840" i="8" s="1"/>
  <c r="C2840" i="8"/>
  <c r="B2840" i="8"/>
  <c r="D2839" i="8"/>
  <c r="F2839" i="8" s="1"/>
  <c r="C2839" i="8"/>
  <c r="B2839" i="8"/>
  <c r="D2838" i="8"/>
  <c r="F2838" i="8" s="1"/>
  <c r="C2838" i="8"/>
  <c r="B2838" i="8"/>
  <c r="D2837" i="8"/>
  <c r="F2837" i="8" s="1"/>
  <c r="C2837" i="8"/>
  <c r="B2837" i="8"/>
  <c r="D2836" i="8"/>
  <c r="F2836" i="8" s="1"/>
  <c r="C2836" i="8"/>
  <c r="B2836" i="8"/>
  <c r="D2835" i="8"/>
  <c r="F2835" i="8" s="1"/>
  <c r="C2835" i="8"/>
  <c r="B2835" i="8"/>
  <c r="D2834" i="8"/>
  <c r="F2834" i="8" s="1"/>
  <c r="C2834" i="8"/>
  <c r="B2834" i="8"/>
  <c r="D2833" i="8"/>
  <c r="F2833" i="8" s="1"/>
  <c r="C2833" i="8"/>
  <c r="B2833" i="8"/>
  <c r="D2832" i="8"/>
  <c r="F2832" i="8" s="1"/>
  <c r="C2832" i="8"/>
  <c r="B2832" i="8"/>
  <c r="D2831" i="8"/>
  <c r="F2831" i="8" s="1"/>
  <c r="C2831" i="8"/>
  <c r="B2831" i="8"/>
  <c r="D2830" i="8"/>
  <c r="F2830" i="8" s="1"/>
  <c r="C2830" i="8"/>
  <c r="B2830" i="8"/>
  <c r="D2829" i="8"/>
  <c r="F2829" i="8" s="1"/>
  <c r="C2829" i="8"/>
  <c r="B2829" i="8"/>
  <c r="D2828" i="8"/>
  <c r="F2828" i="8" s="1"/>
  <c r="C2828" i="8"/>
  <c r="B2828" i="8"/>
  <c r="D2827" i="8"/>
  <c r="F2827" i="8" s="1"/>
  <c r="C2827" i="8"/>
  <c r="B2827" i="8"/>
  <c r="D2826" i="8"/>
  <c r="F2826" i="8" s="1"/>
  <c r="C2826" i="8"/>
  <c r="B2826" i="8"/>
  <c r="D2825" i="8"/>
  <c r="F2825" i="8" s="1"/>
  <c r="C2825" i="8"/>
  <c r="B2825" i="8"/>
  <c r="D2824" i="8"/>
  <c r="F2824" i="8" s="1"/>
  <c r="C2824" i="8"/>
  <c r="B2824" i="8"/>
  <c r="D2823" i="8"/>
  <c r="F2823" i="8" s="1"/>
  <c r="C2823" i="8"/>
  <c r="B2823" i="8"/>
  <c r="D2822" i="8"/>
  <c r="F2822" i="8" s="1"/>
  <c r="C2822" i="8"/>
  <c r="B2822" i="8"/>
  <c r="D2821" i="8"/>
  <c r="F2821" i="8" s="1"/>
  <c r="C2821" i="8"/>
  <c r="B2821" i="8"/>
  <c r="D2820" i="8"/>
  <c r="F2820" i="8" s="1"/>
  <c r="C2820" i="8"/>
  <c r="B2820" i="8"/>
  <c r="D2819" i="8"/>
  <c r="F2819" i="8" s="1"/>
  <c r="C2819" i="8"/>
  <c r="B2819" i="8"/>
  <c r="D2818" i="8"/>
  <c r="F2818" i="8" s="1"/>
  <c r="C2818" i="8"/>
  <c r="B2818" i="8"/>
  <c r="D2817" i="8"/>
  <c r="F2817" i="8" s="1"/>
  <c r="C2817" i="8"/>
  <c r="B2817" i="8"/>
  <c r="D2816" i="8"/>
  <c r="F2816" i="8" s="1"/>
  <c r="C2816" i="8"/>
  <c r="B2816" i="8"/>
  <c r="D2815" i="8"/>
  <c r="F2815" i="8" s="1"/>
  <c r="C2815" i="8"/>
  <c r="B2815" i="8"/>
  <c r="D2814" i="8"/>
  <c r="F2814" i="8" s="1"/>
  <c r="C2814" i="8"/>
  <c r="B2814" i="8"/>
  <c r="D2813" i="8"/>
  <c r="F2813" i="8" s="1"/>
  <c r="C2813" i="8"/>
  <c r="B2813" i="8"/>
  <c r="D2812" i="8"/>
  <c r="F2812" i="8" s="1"/>
  <c r="C2812" i="8"/>
  <c r="B2812" i="8"/>
  <c r="D2811" i="8"/>
  <c r="F2811" i="8" s="1"/>
  <c r="C2811" i="8"/>
  <c r="B2811" i="8"/>
  <c r="D2810" i="8"/>
  <c r="F2810" i="8" s="1"/>
  <c r="C2810" i="8"/>
  <c r="B2810" i="8"/>
  <c r="D2809" i="8"/>
  <c r="F2809" i="8" s="1"/>
  <c r="C2809" i="8"/>
  <c r="B2809" i="8"/>
  <c r="D2808" i="8"/>
  <c r="F2808" i="8" s="1"/>
  <c r="C2808" i="8"/>
  <c r="B2808" i="8"/>
  <c r="D2807" i="8"/>
  <c r="F2807" i="8" s="1"/>
  <c r="C2807" i="8"/>
  <c r="B2807" i="8"/>
  <c r="D2806" i="8"/>
  <c r="F2806" i="8" s="1"/>
  <c r="C2806" i="8"/>
  <c r="B2806" i="8"/>
  <c r="D2805" i="8"/>
  <c r="F2805" i="8" s="1"/>
  <c r="C2805" i="8"/>
  <c r="B2805" i="8"/>
  <c r="D2804" i="8"/>
  <c r="F2804" i="8" s="1"/>
  <c r="C2804" i="8"/>
  <c r="B2804" i="8"/>
  <c r="D2803" i="8"/>
  <c r="F2803" i="8" s="1"/>
  <c r="C2803" i="8"/>
  <c r="B2803" i="8"/>
  <c r="D2802" i="8"/>
  <c r="F2802" i="8" s="1"/>
  <c r="C2802" i="8"/>
  <c r="B2802" i="8"/>
  <c r="D2801" i="8"/>
  <c r="F2801" i="8" s="1"/>
  <c r="C2801" i="8"/>
  <c r="B2801" i="8"/>
  <c r="D2800" i="8"/>
  <c r="F2800" i="8" s="1"/>
  <c r="C2800" i="8"/>
  <c r="B2800" i="8"/>
  <c r="D2799" i="8"/>
  <c r="F2799" i="8" s="1"/>
  <c r="C2799" i="8"/>
  <c r="B2799" i="8"/>
  <c r="D2798" i="8"/>
  <c r="F2798" i="8" s="1"/>
  <c r="C2798" i="8"/>
  <c r="B2798" i="8"/>
  <c r="D2797" i="8"/>
  <c r="F2797" i="8" s="1"/>
  <c r="C2797" i="8"/>
  <c r="B2797" i="8"/>
  <c r="D2796" i="8"/>
  <c r="F2796" i="8" s="1"/>
  <c r="C2796" i="8"/>
  <c r="B2796" i="8"/>
  <c r="D2795" i="8"/>
  <c r="F2795" i="8" s="1"/>
  <c r="C2795" i="8"/>
  <c r="B2795" i="8"/>
  <c r="D2794" i="8"/>
  <c r="F2794" i="8" s="1"/>
  <c r="C2794" i="8"/>
  <c r="B2794" i="8"/>
  <c r="D2793" i="8"/>
  <c r="F2793" i="8" s="1"/>
  <c r="C2793" i="8"/>
  <c r="B2793" i="8"/>
  <c r="D2792" i="8"/>
  <c r="F2792" i="8" s="1"/>
  <c r="C2792" i="8"/>
  <c r="B2792" i="8"/>
  <c r="D2791" i="8"/>
  <c r="F2791" i="8" s="1"/>
  <c r="C2791" i="8"/>
  <c r="B2791" i="8"/>
  <c r="D2790" i="8"/>
  <c r="F2790" i="8" s="1"/>
  <c r="C2790" i="8"/>
  <c r="B2790" i="8"/>
  <c r="D2789" i="8"/>
  <c r="F2789" i="8" s="1"/>
  <c r="C2789" i="8"/>
  <c r="B2789" i="8"/>
  <c r="D2788" i="8"/>
  <c r="F2788" i="8" s="1"/>
  <c r="C2788" i="8"/>
  <c r="B2788" i="8"/>
  <c r="D2787" i="8"/>
  <c r="F2787" i="8" s="1"/>
  <c r="C2787" i="8"/>
  <c r="B2787" i="8"/>
  <c r="D2786" i="8"/>
  <c r="F2786" i="8" s="1"/>
  <c r="C2786" i="8"/>
  <c r="B2786" i="8"/>
  <c r="D2785" i="8"/>
  <c r="F2785" i="8" s="1"/>
  <c r="C2785" i="8"/>
  <c r="B2785" i="8"/>
  <c r="D2784" i="8"/>
  <c r="F2784" i="8" s="1"/>
  <c r="C2784" i="8"/>
  <c r="B2784" i="8"/>
  <c r="D2783" i="8"/>
  <c r="F2783" i="8" s="1"/>
  <c r="C2783" i="8"/>
  <c r="B2783" i="8"/>
  <c r="D2782" i="8"/>
  <c r="F2782" i="8" s="1"/>
  <c r="C2782" i="8"/>
  <c r="B2782" i="8"/>
  <c r="D2781" i="8"/>
  <c r="F2781" i="8" s="1"/>
  <c r="C2781" i="8"/>
  <c r="B2781" i="8"/>
  <c r="D2780" i="8"/>
  <c r="F2780" i="8" s="1"/>
  <c r="C2780" i="8"/>
  <c r="B2780" i="8"/>
  <c r="D2779" i="8"/>
  <c r="F2779" i="8" s="1"/>
  <c r="C2779" i="8"/>
  <c r="B2779" i="8"/>
  <c r="D2778" i="8"/>
  <c r="F2778" i="8" s="1"/>
  <c r="C2778" i="8"/>
  <c r="B2778" i="8"/>
  <c r="D2777" i="8"/>
  <c r="F2777" i="8" s="1"/>
  <c r="C2777" i="8"/>
  <c r="B2777" i="8"/>
  <c r="D2776" i="8"/>
  <c r="F2776" i="8" s="1"/>
  <c r="C2776" i="8"/>
  <c r="B2776" i="8"/>
  <c r="D2775" i="8"/>
  <c r="F2775" i="8" s="1"/>
  <c r="C2775" i="8"/>
  <c r="B2775" i="8"/>
  <c r="D2774" i="8"/>
  <c r="F2774" i="8" s="1"/>
  <c r="C2774" i="8"/>
  <c r="B2774" i="8"/>
  <c r="D2773" i="8"/>
  <c r="F2773" i="8" s="1"/>
  <c r="C2773" i="8"/>
  <c r="B2773" i="8"/>
  <c r="D2772" i="8"/>
  <c r="F2772" i="8" s="1"/>
  <c r="C2772" i="8"/>
  <c r="B2772" i="8"/>
  <c r="D2771" i="8"/>
  <c r="F2771" i="8" s="1"/>
  <c r="C2771" i="8"/>
  <c r="B2771" i="8"/>
  <c r="D2770" i="8"/>
  <c r="F2770" i="8" s="1"/>
  <c r="C2770" i="8"/>
  <c r="B2770" i="8"/>
  <c r="D2769" i="8"/>
  <c r="F2769" i="8" s="1"/>
  <c r="C2769" i="8"/>
  <c r="B2769" i="8"/>
  <c r="D2768" i="8"/>
  <c r="F2768" i="8" s="1"/>
  <c r="C2768" i="8"/>
  <c r="B2768" i="8"/>
  <c r="D2767" i="8"/>
  <c r="F2767" i="8" s="1"/>
  <c r="C2767" i="8"/>
  <c r="B2767" i="8"/>
  <c r="D2766" i="8"/>
  <c r="F2766" i="8" s="1"/>
  <c r="C2766" i="8"/>
  <c r="B2766" i="8"/>
  <c r="D2765" i="8"/>
  <c r="F2765" i="8" s="1"/>
  <c r="C2765" i="8"/>
  <c r="B2765" i="8"/>
  <c r="D2764" i="8"/>
  <c r="F2764" i="8" s="1"/>
  <c r="C2764" i="8"/>
  <c r="B2764" i="8"/>
  <c r="D2763" i="8"/>
  <c r="F2763" i="8" s="1"/>
  <c r="C2763" i="8"/>
  <c r="B2763" i="8"/>
  <c r="D2762" i="8"/>
  <c r="F2762" i="8" s="1"/>
  <c r="C2762" i="8"/>
  <c r="B2762" i="8"/>
  <c r="D2761" i="8"/>
  <c r="F2761" i="8" s="1"/>
  <c r="C2761" i="8"/>
  <c r="B2761" i="8"/>
  <c r="D2760" i="8"/>
  <c r="F2760" i="8" s="1"/>
  <c r="C2760" i="8"/>
  <c r="B2760" i="8"/>
  <c r="D2759" i="8"/>
  <c r="F2759" i="8" s="1"/>
  <c r="C2759" i="8"/>
  <c r="B2759" i="8"/>
  <c r="D2758" i="8"/>
  <c r="F2758" i="8" s="1"/>
  <c r="C2758" i="8"/>
  <c r="B2758" i="8"/>
  <c r="D2757" i="8"/>
  <c r="F2757" i="8" s="1"/>
  <c r="C2757" i="8"/>
  <c r="B2757" i="8"/>
  <c r="D2756" i="8"/>
  <c r="F2756" i="8" s="1"/>
  <c r="C2756" i="8"/>
  <c r="B2756" i="8"/>
  <c r="D2755" i="8"/>
  <c r="F2755" i="8" s="1"/>
  <c r="C2755" i="8"/>
  <c r="B2755" i="8"/>
  <c r="D2754" i="8"/>
  <c r="F2754" i="8" s="1"/>
  <c r="C2754" i="8"/>
  <c r="B2754" i="8"/>
  <c r="D2753" i="8"/>
  <c r="F2753" i="8" s="1"/>
  <c r="C2753" i="8"/>
  <c r="B2753" i="8"/>
  <c r="D2752" i="8"/>
  <c r="F2752" i="8" s="1"/>
  <c r="C2752" i="8"/>
  <c r="B2752" i="8"/>
  <c r="D2751" i="8"/>
  <c r="F2751" i="8" s="1"/>
  <c r="C2751" i="8"/>
  <c r="B2751" i="8"/>
  <c r="D2750" i="8"/>
  <c r="F2750" i="8" s="1"/>
  <c r="C2750" i="8"/>
  <c r="B2750" i="8"/>
  <c r="D2749" i="8"/>
  <c r="F2749" i="8" s="1"/>
  <c r="C2749" i="8"/>
  <c r="B2749" i="8"/>
  <c r="D2748" i="8"/>
  <c r="F2748" i="8" s="1"/>
  <c r="C2748" i="8"/>
  <c r="B2748" i="8"/>
  <c r="D2747" i="8"/>
  <c r="F2747" i="8" s="1"/>
  <c r="C2747" i="8"/>
  <c r="B2747" i="8"/>
  <c r="D2746" i="8"/>
  <c r="F2746" i="8" s="1"/>
  <c r="C2746" i="8"/>
  <c r="B2746" i="8"/>
  <c r="D2745" i="8"/>
  <c r="F2745" i="8" s="1"/>
  <c r="C2745" i="8"/>
  <c r="B2745" i="8"/>
  <c r="D2744" i="8"/>
  <c r="F2744" i="8" s="1"/>
  <c r="C2744" i="8"/>
  <c r="B2744" i="8"/>
  <c r="D2743" i="8"/>
  <c r="F2743" i="8" s="1"/>
  <c r="C2743" i="8"/>
  <c r="B2743" i="8"/>
  <c r="D2742" i="8"/>
  <c r="F2742" i="8" s="1"/>
  <c r="C2742" i="8"/>
  <c r="B2742" i="8"/>
  <c r="D2741" i="8"/>
  <c r="F2741" i="8" s="1"/>
  <c r="C2741" i="8"/>
  <c r="B2741" i="8"/>
  <c r="D2740" i="8"/>
  <c r="F2740" i="8" s="1"/>
  <c r="C2740" i="8"/>
  <c r="B2740" i="8"/>
  <c r="D2739" i="8"/>
  <c r="F2739" i="8" s="1"/>
  <c r="C2739" i="8"/>
  <c r="B2739" i="8"/>
  <c r="D2738" i="8"/>
  <c r="F2738" i="8" s="1"/>
  <c r="C2738" i="8"/>
  <c r="B2738" i="8"/>
  <c r="D2737" i="8"/>
  <c r="F2737" i="8" s="1"/>
  <c r="C2737" i="8"/>
  <c r="B2737" i="8"/>
  <c r="D2736" i="8"/>
  <c r="F2736" i="8" s="1"/>
  <c r="C2736" i="8"/>
  <c r="B2736" i="8"/>
  <c r="D2735" i="8"/>
  <c r="F2735" i="8" s="1"/>
  <c r="C2735" i="8"/>
  <c r="B2735" i="8"/>
  <c r="D2734" i="8"/>
  <c r="F2734" i="8" s="1"/>
  <c r="C2734" i="8"/>
  <c r="B2734" i="8"/>
  <c r="D2733" i="8"/>
  <c r="F2733" i="8" s="1"/>
  <c r="C2733" i="8"/>
  <c r="B2733" i="8"/>
  <c r="D2732" i="8"/>
  <c r="F2732" i="8" s="1"/>
  <c r="C2732" i="8"/>
  <c r="B2732" i="8"/>
  <c r="D2731" i="8"/>
  <c r="F2731" i="8" s="1"/>
  <c r="C2731" i="8"/>
  <c r="B2731" i="8"/>
  <c r="D2730" i="8"/>
  <c r="F2730" i="8" s="1"/>
  <c r="C2730" i="8"/>
  <c r="B2730" i="8"/>
  <c r="D2729" i="8"/>
  <c r="F2729" i="8" s="1"/>
  <c r="C2729" i="8"/>
  <c r="B2729" i="8"/>
  <c r="D2728" i="8"/>
  <c r="F2728" i="8" s="1"/>
  <c r="C2728" i="8"/>
  <c r="B2728" i="8"/>
  <c r="D2727" i="8"/>
  <c r="F2727" i="8" s="1"/>
  <c r="C2727" i="8"/>
  <c r="B2727" i="8"/>
  <c r="D2726" i="8"/>
  <c r="F2726" i="8" s="1"/>
  <c r="C2726" i="8"/>
  <c r="B2726" i="8"/>
  <c r="F2725" i="8"/>
  <c r="D2725" i="8"/>
  <c r="C2725" i="8"/>
  <c r="B2725" i="8"/>
  <c r="D2724" i="8"/>
  <c r="F2724" i="8" s="1"/>
  <c r="C2724" i="8"/>
  <c r="B2724" i="8"/>
  <c r="D2723" i="8"/>
  <c r="F2723" i="8" s="1"/>
  <c r="C2723" i="8"/>
  <c r="B2723" i="8"/>
  <c r="D2722" i="8"/>
  <c r="F2722" i="8" s="1"/>
  <c r="C2722" i="8"/>
  <c r="B2722" i="8"/>
  <c r="D2721" i="8"/>
  <c r="F2721" i="8" s="1"/>
  <c r="C2721" i="8"/>
  <c r="B2721" i="8"/>
  <c r="D2720" i="8"/>
  <c r="F2720" i="8" s="1"/>
  <c r="C2720" i="8"/>
  <c r="B2720" i="8"/>
  <c r="D2719" i="8"/>
  <c r="F2719" i="8" s="1"/>
  <c r="C2719" i="8"/>
  <c r="B2719" i="8"/>
  <c r="D2718" i="8"/>
  <c r="F2718" i="8" s="1"/>
  <c r="C2718" i="8"/>
  <c r="B2718" i="8"/>
  <c r="D2717" i="8"/>
  <c r="F2717" i="8" s="1"/>
  <c r="C2717" i="8"/>
  <c r="B2717" i="8"/>
  <c r="D2716" i="8"/>
  <c r="F2716" i="8" s="1"/>
  <c r="C2716" i="8"/>
  <c r="B2716" i="8"/>
  <c r="D2715" i="8"/>
  <c r="F2715" i="8" s="1"/>
  <c r="C2715" i="8"/>
  <c r="B2715" i="8"/>
  <c r="D2714" i="8"/>
  <c r="F2714" i="8" s="1"/>
  <c r="C2714" i="8"/>
  <c r="B2714" i="8"/>
  <c r="D2713" i="8"/>
  <c r="F2713" i="8" s="1"/>
  <c r="C2713" i="8"/>
  <c r="B2713" i="8"/>
  <c r="D2712" i="8"/>
  <c r="F2712" i="8" s="1"/>
  <c r="C2712" i="8"/>
  <c r="B2712" i="8"/>
  <c r="D2711" i="8"/>
  <c r="F2711" i="8" s="1"/>
  <c r="C2711" i="8"/>
  <c r="B2711" i="8"/>
  <c r="D2710" i="8"/>
  <c r="F2710" i="8" s="1"/>
  <c r="C2710" i="8"/>
  <c r="B2710" i="8"/>
  <c r="D2709" i="8"/>
  <c r="F2709" i="8" s="1"/>
  <c r="C2709" i="8"/>
  <c r="B2709" i="8"/>
  <c r="D2708" i="8"/>
  <c r="F2708" i="8" s="1"/>
  <c r="C2708" i="8"/>
  <c r="B2708" i="8"/>
  <c r="D2707" i="8"/>
  <c r="F2707" i="8" s="1"/>
  <c r="C2707" i="8"/>
  <c r="B2707" i="8"/>
  <c r="D2706" i="8"/>
  <c r="F2706" i="8" s="1"/>
  <c r="C2706" i="8"/>
  <c r="B2706" i="8"/>
  <c r="D2705" i="8"/>
  <c r="F2705" i="8" s="1"/>
  <c r="C2705" i="8"/>
  <c r="B2705" i="8"/>
  <c r="D2704" i="8"/>
  <c r="F2704" i="8" s="1"/>
  <c r="C2704" i="8"/>
  <c r="B2704" i="8"/>
  <c r="D2703" i="8"/>
  <c r="F2703" i="8" s="1"/>
  <c r="C2703" i="8"/>
  <c r="B2703" i="8"/>
  <c r="D2702" i="8"/>
  <c r="F2702" i="8" s="1"/>
  <c r="C2702" i="8"/>
  <c r="B2702" i="8"/>
  <c r="D2701" i="8"/>
  <c r="F2701" i="8" s="1"/>
  <c r="C2701" i="8"/>
  <c r="B2701" i="8"/>
  <c r="D2700" i="8"/>
  <c r="F2700" i="8" s="1"/>
  <c r="C2700" i="8"/>
  <c r="B2700" i="8"/>
  <c r="D2699" i="8"/>
  <c r="F2699" i="8" s="1"/>
  <c r="C2699" i="8"/>
  <c r="B2699" i="8"/>
  <c r="D2698" i="8"/>
  <c r="F2698" i="8" s="1"/>
  <c r="C2698" i="8"/>
  <c r="B2698" i="8"/>
  <c r="D2697" i="8"/>
  <c r="F2697" i="8" s="1"/>
  <c r="C2697" i="8"/>
  <c r="B2697" i="8"/>
  <c r="D2696" i="8"/>
  <c r="F2696" i="8" s="1"/>
  <c r="C2696" i="8"/>
  <c r="B2696" i="8"/>
  <c r="D2695" i="8"/>
  <c r="F2695" i="8" s="1"/>
  <c r="C2695" i="8"/>
  <c r="B2695" i="8"/>
  <c r="D2694" i="8"/>
  <c r="F2694" i="8" s="1"/>
  <c r="C2694" i="8"/>
  <c r="B2694" i="8"/>
  <c r="D2693" i="8"/>
  <c r="F2693" i="8" s="1"/>
  <c r="C2693" i="8"/>
  <c r="B2693" i="8"/>
  <c r="D2692" i="8"/>
  <c r="F2692" i="8" s="1"/>
  <c r="C2692" i="8"/>
  <c r="B2692" i="8"/>
  <c r="D2691" i="8"/>
  <c r="F2691" i="8" s="1"/>
  <c r="C2691" i="8"/>
  <c r="B2691" i="8"/>
  <c r="D2690" i="8"/>
  <c r="F2690" i="8" s="1"/>
  <c r="C2690" i="8"/>
  <c r="B2690" i="8"/>
  <c r="D2689" i="8"/>
  <c r="F2689" i="8" s="1"/>
  <c r="C2689" i="8"/>
  <c r="B2689" i="8"/>
  <c r="D2688" i="8"/>
  <c r="F2688" i="8" s="1"/>
  <c r="C2688" i="8"/>
  <c r="B2688" i="8"/>
  <c r="D2687" i="8"/>
  <c r="F2687" i="8" s="1"/>
  <c r="C2687" i="8"/>
  <c r="B2687" i="8"/>
  <c r="D2686" i="8"/>
  <c r="F2686" i="8" s="1"/>
  <c r="C2686" i="8"/>
  <c r="B2686" i="8"/>
  <c r="D2685" i="8"/>
  <c r="F2685" i="8" s="1"/>
  <c r="C2685" i="8"/>
  <c r="B2685" i="8"/>
  <c r="D2684" i="8"/>
  <c r="F2684" i="8" s="1"/>
  <c r="C2684" i="8"/>
  <c r="B2684" i="8"/>
  <c r="D2683" i="8"/>
  <c r="F2683" i="8" s="1"/>
  <c r="C2683" i="8"/>
  <c r="B2683" i="8"/>
  <c r="D2682" i="8"/>
  <c r="F2682" i="8" s="1"/>
  <c r="C2682" i="8"/>
  <c r="B2682" i="8"/>
  <c r="D2681" i="8"/>
  <c r="F2681" i="8" s="1"/>
  <c r="C2681" i="8"/>
  <c r="B2681" i="8"/>
  <c r="D2680" i="8"/>
  <c r="F2680" i="8" s="1"/>
  <c r="C2680" i="8"/>
  <c r="B2680" i="8"/>
  <c r="D2679" i="8"/>
  <c r="F2679" i="8" s="1"/>
  <c r="C2679" i="8"/>
  <c r="B2679" i="8"/>
  <c r="D2678" i="8"/>
  <c r="F2678" i="8" s="1"/>
  <c r="C2678" i="8"/>
  <c r="B2678" i="8"/>
  <c r="D2677" i="8"/>
  <c r="F2677" i="8" s="1"/>
  <c r="C2677" i="8"/>
  <c r="B2677" i="8"/>
  <c r="D2676" i="8"/>
  <c r="F2676" i="8" s="1"/>
  <c r="C2676" i="8"/>
  <c r="B2676" i="8"/>
  <c r="D2675" i="8"/>
  <c r="F2675" i="8" s="1"/>
  <c r="C2675" i="8"/>
  <c r="B2675" i="8"/>
  <c r="D2674" i="8"/>
  <c r="F2674" i="8" s="1"/>
  <c r="C2674" i="8"/>
  <c r="B2674" i="8"/>
  <c r="D2673" i="8"/>
  <c r="F2673" i="8" s="1"/>
  <c r="C2673" i="8"/>
  <c r="B2673" i="8"/>
  <c r="D2672" i="8"/>
  <c r="F2672" i="8" s="1"/>
  <c r="C2672" i="8"/>
  <c r="B2672" i="8"/>
  <c r="D2671" i="8"/>
  <c r="F2671" i="8" s="1"/>
  <c r="C2671" i="8"/>
  <c r="B2671" i="8"/>
  <c r="D2670" i="8"/>
  <c r="F2670" i="8" s="1"/>
  <c r="C2670" i="8"/>
  <c r="B2670" i="8"/>
  <c r="D2669" i="8"/>
  <c r="F2669" i="8" s="1"/>
  <c r="C2669" i="8"/>
  <c r="B2669" i="8"/>
  <c r="D2668" i="8"/>
  <c r="F2668" i="8" s="1"/>
  <c r="C2668" i="8"/>
  <c r="B2668" i="8"/>
  <c r="D2667" i="8"/>
  <c r="F2667" i="8" s="1"/>
  <c r="C2667" i="8"/>
  <c r="B2667" i="8"/>
  <c r="D2666" i="8"/>
  <c r="F2666" i="8" s="1"/>
  <c r="C2666" i="8"/>
  <c r="B2666" i="8"/>
  <c r="D2665" i="8"/>
  <c r="F2665" i="8" s="1"/>
  <c r="C2665" i="8"/>
  <c r="B2665" i="8"/>
  <c r="D2664" i="8"/>
  <c r="F2664" i="8" s="1"/>
  <c r="C2664" i="8"/>
  <c r="B2664" i="8"/>
  <c r="D2663" i="8"/>
  <c r="F2663" i="8" s="1"/>
  <c r="C2663" i="8"/>
  <c r="B2663" i="8"/>
  <c r="D2662" i="8"/>
  <c r="F2662" i="8" s="1"/>
  <c r="C2662" i="8"/>
  <c r="B2662" i="8"/>
  <c r="D2661" i="8"/>
  <c r="F2661" i="8" s="1"/>
  <c r="C2661" i="8"/>
  <c r="B2661" i="8"/>
  <c r="D2660" i="8"/>
  <c r="F2660" i="8" s="1"/>
  <c r="C2660" i="8"/>
  <c r="B2660" i="8"/>
  <c r="D2659" i="8"/>
  <c r="F2659" i="8" s="1"/>
  <c r="C2659" i="8"/>
  <c r="B2659" i="8"/>
  <c r="D2658" i="8"/>
  <c r="F2658" i="8" s="1"/>
  <c r="C2658" i="8"/>
  <c r="B2658" i="8"/>
  <c r="D2657" i="8"/>
  <c r="F2657" i="8" s="1"/>
  <c r="C2657" i="8"/>
  <c r="B2657" i="8"/>
  <c r="D2656" i="8"/>
  <c r="F2656" i="8" s="1"/>
  <c r="C2656" i="8"/>
  <c r="B2656" i="8"/>
  <c r="D2655" i="8"/>
  <c r="F2655" i="8" s="1"/>
  <c r="C2655" i="8"/>
  <c r="B2655" i="8"/>
  <c r="D2654" i="8"/>
  <c r="F2654" i="8" s="1"/>
  <c r="C2654" i="8"/>
  <c r="B2654" i="8"/>
  <c r="D2653" i="8"/>
  <c r="F2653" i="8" s="1"/>
  <c r="C2653" i="8"/>
  <c r="B2653" i="8"/>
  <c r="D2652" i="8"/>
  <c r="F2652" i="8" s="1"/>
  <c r="C2652" i="8"/>
  <c r="B2652" i="8"/>
  <c r="D2651" i="8"/>
  <c r="F2651" i="8" s="1"/>
  <c r="C2651" i="8"/>
  <c r="B2651" i="8"/>
  <c r="D2650" i="8"/>
  <c r="F2650" i="8" s="1"/>
  <c r="C2650" i="8"/>
  <c r="B2650" i="8"/>
  <c r="D2649" i="8"/>
  <c r="F2649" i="8" s="1"/>
  <c r="C2649" i="8"/>
  <c r="B2649" i="8"/>
  <c r="D2648" i="8"/>
  <c r="F2648" i="8" s="1"/>
  <c r="C2648" i="8"/>
  <c r="B2648" i="8"/>
  <c r="D2647" i="8"/>
  <c r="F2647" i="8" s="1"/>
  <c r="C2647" i="8"/>
  <c r="B2647" i="8"/>
  <c r="D2646" i="8"/>
  <c r="F2646" i="8" s="1"/>
  <c r="C2646" i="8"/>
  <c r="B2646" i="8"/>
  <c r="D2645" i="8"/>
  <c r="F2645" i="8" s="1"/>
  <c r="C2645" i="8"/>
  <c r="B2645" i="8"/>
  <c r="D2644" i="8"/>
  <c r="F2644" i="8" s="1"/>
  <c r="C2644" i="8"/>
  <c r="B2644" i="8"/>
  <c r="D2643" i="8"/>
  <c r="F2643" i="8" s="1"/>
  <c r="C2643" i="8"/>
  <c r="B2643" i="8"/>
  <c r="D2642" i="8"/>
  <c r="F2642" i="8" s="1"/>
  <c r="C2642" i="8"/>
  <c r="B2642" i="8"/>
  <c r="D2641" i="8"/>
  <c r="F2641" i="8" s="1"/>
  <c r="C2641" i="8"/>
  <c r="B2641" i="8"/>
  <c r="D2640" i="8"/>
  <c r="F2640" i="8" s="1"/>
  <c r="C2640" i="8"/>
  <c r="B2640" i="8"/>
  <c r="D2639" i="8"/>
  <c r="F2639" i="8" s="1"/>
  <c r="C2639" i="8"/>
  <c r="B2639" i="8"/>
  <c r="D2638" i="8"/>
  <c r="F2638" i="8" s="1"/>
  <c r="C2638" i="8"/>
  <c r="B2638" i="8"/>
  <c r="D2637" i="8"/>
  <c r="F2637" i="8" s="1"/>
  <c r="C2637" i="8"/>
  <c r="B2637" i="8"/>
  <c r="D2636" i="8"/>
  <c r="F2636" i="8" s="1"/>
  <c r="C2636" i="8"/>
  <c r="B2636" i="8"/>
  <c r="D2635" i="8"/>
  <c r="F2635" i="8" s="1"/>
  <c r="C2635" i="8"/>
  <c r="B2635" i="8"/>
  <c r="D2634" i="8"/>
  <c r="F2634" i="8" s="1"/>
  <c r="C2634" i="8"/>
  <c r="B2634" i="8"/>
  <c r="D2633" i="8"/>
  <c r="F2633" i="8" s="1"/>
  <c r="C2633" i="8"/>
  <c r="B2633" i="8"/>
  <c r="D2632" i="8"/>
  <c r="F2632" i="8" s="1"/>
  <c r="C2632" i="8"/>
  <c r="B2632" i="8"/>
  <c r="D2631" i="8"/>
  <c r="F2631" i="8" s="1"/>
  <c r="C2631" i="8"/>
  <c r="B2631" i="8"/>
  <c r="D2630" i="8"/>
  <c r="F2630" i="8" s="1"/>
  <c r="C2630" i="8"/>
  <c r="B2630" i="8"/>
  <c r="D2629" i="8"/>
  <c r="F2629" i="8" s="1"/>
  <c r="C2629" i="8"/>
  <c r="B2629" i="8"/>
  <c r="D2628" i="8"/>
  <c r="F2628" i="8" s="1"/>
  <c r="C2628" i="8"/>
  <c r="B2628" i="8"/>
  <c r="D2627" i="8"/>
  <c r="F2627" i="8" s="1"/>
  <c r="C2627" i="8"/>
  <c r="B2627" i="8"/>
  <c r="D2626" i="8"/>
  <c r="F2626" i="8" s="1"/>
  <c r="C2626" i="8"/>
  <c r="B2626" i="8"/>
  <c r="D2625" i="8"/>
  <c r="F2625" i="8" s="1"/>
  <c r="C2625" i="8"/>
  <c r="B2625" i="8"/>
  <c r="D2624" i="8"/>
  <c r="F2624" i="8" s="1"/>
  <c r="C2624" i="8"/>
  <c r="B2624" i="8"/>
  <c r="D2623" i="8"/>
  <c r="F2623" i="8" s="1"/>
  <c r="C2623" i="8"/>
  <c r="B2623" i="8"/>
  <c r="D2622" i="8"/>
  <c r="F2622" i="8" s="1"/>
  <c r="C2622" i="8"/>
  <c r="B2622" i="8"/>
  <c r="D2621" i="8"/>
  <c r="F2621" i="8" s="1"/>
  <c r="C2621" i="8"/>
  <c r="B2621" i="8"/>
  <c r="D2620" i="8"/>
  <c r="F2620" i="8" s="1"/>
  <c r="C2620" i="8"/>
  <c r="B2620" i="8"/>
  <c r="D2619" i="8"/>
  <c r="F2619" i="8" s="1"/>
  <c r="C2619" i="8"/>
  <c r="B2619" i="8"/>
  <c r="D2618" i="8"/>
  <c r="F2618" i="8" s="1"/>
  <c r="C2618" i="8"/>
  <c r="B2618" i="8"/>
  <c r="D2617" i="8"/>
  <c r="F2617" i="8" s="1"/>
  <c r="C2617" i="8"/>
  <c r="B2617" i="8"/>
  <c r="D2616" i="8"/>
  <c r="F2616" i="8" s="1"/>
  <c r="C2616" i="8"/>
  <c r="B2616" i="8"/>
  <c r="D2615" i="8"/>
  <c r="F2615" i="8" s="1"/>
  <c r="C2615" i="8"/>
  <c r="B2615" i="8"/>
  <c r="D2614" i="8"/>
  <c r="F2614" i="8" s="1"/>
  <c r="C2614" i="8"/>
  <c r="B2614" i="8"/>
  <c r="D2613" i="8"/>
  <c r="F2613" i="8" s="1"/>
  <c r="C2613" i="8"/>
  <c r="B2613" i="8"/>
  <c r="D2612" i="8"/>
  <c r="F2612" i="8" s="1"/>
  <c r="C2612" i="8"/>
  <c r="B2612" i="8"/>
  <c r="D2611" i="8"/>
  <c r="F2611" i="8" s="1"/>
  <c r="C2611" i="8"/>
  <c r="B2611" i="8"/>
  <c r="D2610" i="8"/>
  <c r="F2610" i="8" s="1"/>
  <c r="C2610" i="8"/>
  <c r="B2610" i="8"/>
  <c r="D2609" i="8"/>
  <c r="F2609" i="8" s="1"/>
  <c r="C2609" i="8"/>
  <c r="B2609" i="8"/>
  <c r="D2608" i="8"/>
  <c r="F2608" i="8" s="1"/>
  <c r="C2608" i="8"/>
  <c r="B2608" i="8"/>
  <c r="D2607" i="8"/>
  <c r="F2607" i="8" s="1"/>
  <c r="C2607" i="8"/>
  <c r="B2607" i="8"/>
  <c r="D2606" i="8"/>
  <c r="F2606" i="8" s="1"/>
  <c r="C2606" i="8"/>
  <c r="B2606" i="8"/>
  <c r="D2605" i="8"/>
  <c r="F2605" i="8" s="1"/>
  <c r="C2605" i="8"/>
  <c r="B2605" i="8"/>
  <c r="D2604" i="8"/>
  <c r="F2604" i="8" s="1"/>
  <c r="C2604" i="8"/>
  <c r="B2604" i="8"/>
  <c r="D2603" i="8"/>
  <c r="F2603" i="8" s="1"/>
  <c r="C2603" i="8"/>
  <c r="B2603" i="8"/>
  <c r="D2602" i="8"/>
  <c r="F2602" i="8" s="1"/>
  <c r="C2602" i="8"/>
  <c r="B2602" i="8"/>
  <c r="D2601" i="8"/>
  <c r="F2601" i="8" s="1"/>
  <c r="C2601" i="8"/>
  <c r="B2601" i="8"/>
  <c r="D2600" i="8"/>
  <c r="F2600" i="8" s="1"/>
  <c r="C2600" i="8"/>
  <c r="B2600" i="8"/>
  <c r="D2599" i="8"/>
  <c r="F2599" i="8" s="1"/>
  <c r="C2599" i="8"/>
  <c r="B2599" i="8"/>
  <c r="D2598" i="8"/>
  <c r="F2598" i="8" s="1"/>
  <c r="C2598" i="8"/>
  <c r="B2598" i="8"/>
  <c r="D2597" i="8"/>
  <c r="F2597" i="8" s="1"/>
  <c r="C2597" i="8"/>
  <c r="B2597" i="8"/>
  <c r="D2596" i="8"/>
  <c r="F2596" i="8" s="1"/>
  <c r="C2596" i="8"/>
  <c r="B2596" i="8"/>
  <c r="D2595" i="8"/>
  <c r="F2595" i="8" s="1"/>
  <c r="C2595" i="8"/>
  <c r="B2595" i="8"/>
  <c r="D2594" i="8"/>
  <c r="F2594" i="8" s="1"/>
  <c r="C2594" i="8"/>
  <c r="B2594" i="8"/>
  <c r="D2593" i="8"/>
  <c r="F2593" i="8" s="1"/>
  <c r="C2593" i="8"/>
  <c r="B2593" i="8"/>
  <c r="D2592" i="8"/>
  <c r="F2592" i="8" s="1"/>
  <c r="C2592" i="8"/>
  <c r="B2592" i="8"/>
  <c r="D2591" i="8"/>
  <c r="F2591" i="8" s="1"/>
  <c r="C2591" i="8"/>
  <c r="B2591" i="8"/>
  <c r="D2590" i="8"/>
  <c r="F2590" i="8" s="1"/>
  <c r="C2590" i="8"/>
  <c r="B2590" i="8"/>
  <c r="D2589" i="8"/>
  <c r="F2589" i="8" s="1"/>
  <c r="C2589" i="8"/>
  <c r="B2589" i="8"/>
  <c r="D2588" i="8"/>
  <c r="F2588" i="8" s="1"/>
  <c r="C2588" i="8"/>
  <c r="B2588" i="8"/>
  <c r="D2587" i="8"/>
  <c r="F2587" i="8" s="1"/>
  <c r="C2587" i="8"/>
  <c r="B2587" i="8"/>
  <c r="D2586" i="8"/>
  <c r="F2586" i="8" s="1"/>
  <c r="C2586" i="8"/>
  <c r="B2586" i="8"/>
  <c r="D2585" i="8"/>
  <c r="F2585" i="8" s="1"/>
  <c r="C2585" i="8"/>
  <c r="B2585" i="8"/>
  <c r="D2584" i="8"/>
  <c r="F2584" i="8" s="1"/>
  <c r="C2584" i="8"/>
  <c r="B2584" i="8"/>
  <c r="D2583" i="8"/>
  <c r="F2583" i="8" s="1"/>
  <c r="C2583" i="8"/>
  <c r="B2583" i="8"/>
  <c r="D2582" i="8"/>
  <c r="F2582" i="8" s="1"/>
  <c r="C2582" i="8"/>
  <c r="B2582" i="8"/>
  <c r="D2581" i="8"/>
  <c r="F2581" i="8" s="1"/>
  <c r="K487" i="5" s="1"/>
  <c r="J487" i="5" s="1"/>
  <c r="C2581" i="8"/>
  <c r="B2581" i="8"/>
  <c r="D2580" i="8"/>
  <c r="F2580" i="8" s="1"/>
  <c r="C2580" i="8"/>
  <c r="B2580" i="8"/>
  <c r="D2579" i="8"/>
  <c r="F2579" i="8" s="1"/>
  <c r="C2579" i="8"/>
  <c r="B2579" i="8"/>
  <c r="D2578" i="8"/>
  <c r="F2578" i="8" s="1"/>
  <c r="C2578" i="8"/>
  <c r="B2578" i="8"/>
  <c r="D2577" i="8"/>
  <c r="F2577" i="8" s="1"/>
  <c r="C2577" i="8"/>
  <c r="B2577" i="8"/>
  <c r="D2576" i="8"/>
  <c r="F2576" i="8" s="1"/>
  <c r="C2576" i="8"/>
  <c r="B2576" i="8"/>
  <c r="D2575" i="8"/>
  <c r="F2575" i="8" s="1"/>
  <c r="C2575" i="8"/>
  <c r="B2575" i="8"/>
  <c r="D2574" i="8"/>
  <c r="F2574" i="8" s="1"/>
  <c r="C2574" i="8"/>
  <c r="B2574" i="8"/>
  <c r="D2573" i="8"/>
  <c r="F2573" i="8" s="1"/>
  <c r="C2573" i="8"/>
  <c r="B2573" i="8"/>
  <c r="D2572" i="8"/>
  <c r="F2572" i="8" s="1"/>
  <c r="C2572" i="8"/>
  <c r="B2572" i="8"/>
  <c r="D2571" i="8"/>
  <c r="F2571" i="8" s="1"/>
  <c r="C2571" i="8"/>
  <c r="B2571" i="8"/>
  <c r="D2570" i="8"/>
  <c r="F2570" i="8" s="1"/>
  <c r="C2570" i="8"/>
  <c r="B2570" i="8"/>
  <c r="D2569" i="8"/>
  <c r="F2569" i="8" s="1"/>
  <c r="C2569" i="8"/>
  <c r="B2569" i="8"/>
  <c r="D2568" i="8"/>
  <c r="F2568" i="8" s="1"/>
  <c r="C2568" i="8"/>
  <c r="B2568" i="8"/>
  <c r="D2567" i="8"/>
  <c r="F2567" i="8" s="1"/>
  <c r="C2567" i="8"/>
  <c r="B2567" i="8"/>
  <c r="D2566" i="8"/>
  <c r="F2566" i="8" s="1"/>
  <c r="C2566" i="8"/>
  <c r="B2566" i="8"/>
  <c r="D2565" i="8"/>
  <c r="F2565" i="8" s="1"/>
  <c r="C2565" i="8"/>
  <c r="B2565" i="8"/>
  <c r="D2564" i="8"/>
  <c r="F2564" i="8" s="1"/>
  <c r="C2564" i="8"/>
  <c r="B2564" i="8"/>
  <c r="D2563" i="8"/>
  <c r="F2563" i="8" s="1"/>
  <c r="C2563" i="8"/>
  <c r="B2563" i="8"/>
  <c r="D2562" i="8"/>
  <c r="F2562" i="8" s="1"/>
  <c r="C2562" i="8"/>
  <c r="B2562" i="8"/>
  <c r="D2561" i="8"/>
  <c r="F2561" i="8" s="1"/>
  <c r="C2561" i="8"/>
  <c r="B2561" i="8"/>
  <c r="D2560" i="8"/>
  <c r="F2560" i="8" s="1"/>
  <c r="C2560" i="8"/>
  <c r="B2560" i="8"/>
  <c r="D2559" i="8"/>
  <c r="F2559" i="8" s="1"/>
  <c r="C2559" i="8"/>
  <c r="B2559" i="8"/>
  <c r="D2558" i="8"/>
  <c r="F2558" i="8" s="1"/>
  <c r="C2558" i="8"/>
  <c r="B2558" i="8"/>
  <c r="D2557" i="8"/>
  <c r="F2557" i="8" s="1"/>
  <c r="C2557" i="8"/>
  <c r="B2557" i="8"/>
  <c r="D2556" i="8"/>
  <c r="F2556" i="8" s="1"/>
  <c r="C2556" i="8"/>
  <c r="B2556" i="8"/>
  <c r="D2555" i="8"/>
  <c r="F2555" i="8" s="1"/>
  <c r="C2555" i="8"/>
  <c r="B2555" i="8"/>
  <c r="D2554" i="8"/>
  <c r="F2554" i="8" s="1"/>
  <c r="C2554" i="8"/>
  <c r="B2554" i="8"/>
  <c r="D2553" i="8"/>
  <c r="F2553" i="8" s="1"/>
  <c r="C2553" i="8"/>
  <c r="B2553" i="8"/>
  <c r="D2552" i="8"/>
  <c r="F2552" i="8" s="1"/>
  <c r="C2552" i="8"/>
  <c r="B2552" i="8"/>
  <c r="D2551" i="8"/>
  <c r="F2551" i="8" s="1"/>
  <c r="C2551" i="8"/>
  <c r="B2551" i="8"/>
  <c r="D2550" i="8"/>
  <c r="F2550" i="8" s="1"/>
  <c r="C2550" i="8"/>
  <c r="B2550" i="8"/>
  <c r="D2549" i="8"/>
  <c r="F2549" i="8" s="1"/>
  <c r="C2549" i="8"/>
  <c r="B2549" i="8"/>
  <c r="D2548" i="8"/>
  <c r="F2548" i="8" s="1"/>
  <c r="C2548" i="8"/>
  <c r="B2548" i="8"/>
  <c r="D2547" i="8"/>
  <c r="F2547" i="8" s="1"/>
  <c r="C2547" i="8"/>
  <c r="B2547" i="8"/>
  <c r="D2546" i="8"/>
  <c r="F2546" i="8" s="1"/>
  <c r="C2546" i="8"/>
  <c r="B2546" i="8"/>
  <c r="D2545" i="8"/>
  <c r="F2545" i="8" s="1"/>
  <c r="C2545" i="8"/>
  <c r="B2545" i="8"/>
  <c r="D2544" i="8"/>
  <c r="F2544" i="8" s="1"/>
  <c r="C2544" i="8"/>
  <c r="B2544" i="8"/>
  <c r="D2543" i="8"/>
  <c r="F2543" i="8" s="1"/>
  <c r="C2543" i="8"/>
  <c r="B2543" i="8"/>
  <c r="D2542" i="8"/>
  <c r="F2542" i="8" s="1"/>
  <c r="C2542" i="8"/>
  <c r="B2542" i="8"/>
  <c r="D2541" i="8"/>
  <c r="F2541" i="8" s="1"/>
  <c r="C2541" i="8"/>
  <c r="B2541" i="8"/>
  <c r="D2540" i="8"/>
  <c r="F2540" i="8" s="1"/>
  <c r="C2540" i="8"/>
  <c r="B2540" i="8"/>
  <c r="D2539" i="8"/>
  <c r="F2539" i="8" s="1"/>
  <c r="C2539" i="8"/>
  <c r="B2539" i="8"/>
  <c r="D2538" i="8"/>
  <c r="F2538" i="8" s="1"/>
  <c r="C2538" i="8"/>
  <c r="B2538" i="8"/>
  <c r="D2537" i="8"/>
  <c r="F2537" i="8" s="1"/>
  <c r="C2537" i="8"/>
  <c r="B2537" i="8"/>
  <c r="D2536" i="8"/>
  <c r="F2536" i="8" s="1"/>
  <c r="C2536" i="8"/>
  <c r="B2536" i="8"/>
  <c r="D2535" i="8"/>
  <c r="F2535" i="8" s="1"/>
  <c r="C2535" i="8"/>
  <c r="B2535" i="8"/>
  <c r="D2534" i="8"/>
  <c r="F2534" i="8" s="1"/>
  <c r="C2534" i="8"/>
  <c r="B2534" i="8"/>
  <c r="D2533" i="8"/>
  <c r="F2533" i="8" s="1"/>
  <c r="C2533" i="8"/>
  <c r="B2533" i="8"/>
  <c r="D2532" i="8"/>
  <c r="F2532" i="8" s="1"/>
  <c r="C2532" i="8"/>
  <c r="B2532" i="8"/>
  <c r="D2531" i="8"/>
  <c r="F2531" i="8" s="1"/>
  <c r="C2531" i="8"/>
  <c r="B2531" i="8"/>
  <c r="D2530" i="8"/>
  <c r="F2530" i="8" s="1"/>
  <c r="C2530" i="8"/>
  <c r="B2530" i="8"/>
  <c r="D2529" i="8"/>
  <c r="F2529" i="8" s="1"/>
  <c r="C2529" i="8"/>
  <c r="B2529" i="8"/>
  <c r="D2528" i="8"/>
  <c r="F2528" i="8" s="1"/>
  <c r="C2528" i="8"/>
  <c r="B2528" i="8"/>
  <c r="D2527" i="8"/>
  <c r="F2527" i="8" s="1"/>
  <c r="C2527" i="8"/>
  <c r="B2527" i="8"/>
  <c r="D2526" i="8"/>
  <c r="F2526" i="8" s="1"/>
  <c r="C2526" i="8"/>
  <c r="B2526" i="8"/>
  <c r="D2525" i="8"/>
  <c r="F2525" i="8" s="1"/>
  <c r="C2525" i="8"/>
  <c r="B2525" i="8"/>
  <c r="D2524" i="8"/>
  <c r="F2524" i="8" s="1"/>
  <c r="C2524" i="8"/>
  <c r="B2524" i="8"/>
  <c r="D2523" i="8"/>
  <c r="F2523" i="8" s="1"/>
  <c r="C2523" i="8"/>
  <c r="B2523" i="8"/>
  <c r="D2522" i="8"/>
  <c r="F2522" i="8" s="1"/>
  <c r="C2522" i="8"/>
  <c r="B2522" i="8"/>
  <c r="D2521" i="8"/>
  <c r="F2521" i="8" s="1"/>
  <c r="C2521" i="8"/>
  <c r="B2521" i="8"/>
  <c r="D2520" i="8"/>
  <c r="F2520" i="8" s="1"/>
  <c r="C2520" i="8"/>
  <c r="B2520" i="8"/>
  <c r="D2519" i="8"/>
  <c r="F2519" i="8" s="1"/>
  <c r="C2519" i="8"/>
  <c r="B2519" i="8"/>
  <c r="D2518" i="8"/>
  <c r="F2518" i="8" s="1"/>
  <c r="C2518" i="8"/>
  <c r="B2518" i="8"/>
  <c r="D2517" i="8"/>
  <c r="F2517" i="8" s="1"/>
  <c r="C2517" i="8"/>
  <c r="B2517" i="8"/>
  <c r="D2516" i="8"/>
  <c r="F2516" i="8" s="1"/>
  <c r="C2516" i="8"/>
  <c r="B2516" i="8"/>
  <c r="D2515" i="8"/>
  <c r="F2515" i="8" s="1"/>
  <c r="C2515" i="8"/>
  <c r="B2515" i="8"/>
  <c r="D2514" i="8"/>
  <c r="F2514" i="8" s="1"/>
  <c r="C2514" i="8"/>
  <c r="B2514" i="8"/>
  <c r="D2513" i="8"/>
  <c r="F2513" i="8" s="1"/>
  <c r="C2513" i="8"/>
  <c r="B2513" i="8"/>
  <c r="D2512" i="8"/>
  <c r="F2512" i="8" s="1"/>
  <c r="C2512" i="8"/>
  <c r="B2512" i="8"/>
  <c r="D2511" i="8"/>
  <c r="F2511" i="8" s="1"/>
  <c r="C2511" i="8"/>
  <c r="B2511" i="8"/>
  <c r="D2510" i="8"/>
  <c r="F2510" i="8" s="1"/>
  <c r="C2510" i="8"/>
  <c r="B2510" i="8"/>
  <c r="D2509" i="8"/>
  <c r="F2509" i="8" s="1"/>
  <c r="C2509" i="8"/>
  <c r="B2509" i="8"/>
  <c r="D2508" i="8"/>
  <c r="F2508" i="8" s="1"/>
  <c r="C2508" i="8"/>
  <c r="B2508" i="8"/>
  <c r="D2507" i="8"/>
  <c r="F2507" i="8" s="1"/>
  <c r="C2507" i="8"/>
  <c r="B2507" i="8"/>
  <c r="D2506" i="8"/>
  <c r="F2506" i="8" s="1"/>
  <c r="C2506" i="8"/>
  <c r="B2506" i="8"/>
  <c r="D2505" i="8"/>
  <c r="F2505" i="8" s="1"/>
  <c r="C2505" i="8"/>
  <c r="B2505" i="8"/>
  <c r="D2504" i="8"/>
  <c r="F2504" i="8" s="1"/>
  <c r="C2504" i="8"/>
  <c r="B2504" i="8"/>
  <c r="D2503" i="8"/>
  <c r="F2503" i="8" s="1"/>
  <c r="C2503" i="8"/>
  <c r="B2503" i="8"/>
  <c r="D2502" i="8"/>
  <c r="F2502" i="8" s="1"/>
  <c r="C2502" i="8"/>
  <c r="B2502" i="8"/>
  <c r="D2501" i="8"/>
  <c r="F2501" i="8" s="1"/>
  <c r="C2501" i="8"/>
  <c r="B2501" i="8"/>
  <c r="D2500" i="8"/>
  <c r="F2500" i="8" s="1"/>
  <c r="C2500" i="8"/>
  <c r="B2500" i="8"/>
  <c r="D2499" i="8"/>
  <c r="F2499" i="8" s="1"/>
  <c r="C2499" i="8"/>
  <c r="B2499" i="8"/>
  <c r="D2498" i="8"/>
  <c r="F2498" i="8" s="1"/>
  <c r="C2498" i="8"/>
  <c r="B2498" i="8"/>
  <c r="D2497" i="8"/>
  <c r="F2497" i="8" s="1"/>
  <c r="C2497" i="8"/>
  <c r="B2497" i="8"/>
  <c r="D2496" i="8"/>
  <c r="F2496" i="8" s="1"/>
  <c r="C2496" i="8"/>
  <c r="B2496" i="8"/>
  <c r="D2495" i="8"/>
  <c r="F2495" i="8" s="1"/>
  <c r="C2495" i="8"/>
  <c r="B2495" i="8"/>
  <c r="D2494" i="8"/>
  <c r="F2494" i="8" s="1"/>
  <c r="C2494" i="8"/>
  <c r="B2494" i="8"/>
  <c r="D2493" i="8"/>
  <c r="F2493" i="8" s="1"/>
  <c r="C2493" i="8"/>
  <c r="B2493" i="8"/>
  <c r="D2492" i="8"/>
  <c r="F2492" i="8" s="1"/>
  <c r="C2492" i="8"/>
  <c r="B2492" i="8"/>
  <c r="D2491" i="8"/>
  <c r="F2491" i="8" s="1"/>
  <c r="C2491" i="8"/>
  <c r="B2491" i="8"/>
  <c r="D2490" i="8"/>
  <c r="F2490" i="8" s="1"/>
  <c r="C2490" i="8"/>
  <c r="B2490" i="8"/>
  <c r="D2489" i="8"/>
  <c r="F2489" i="8" s="1"/>
  <c r="C2489" i="8"/>
  <c r="B2489" i="8"/>
  <c r="D2488" i="8"/>
  <c r="F2488" i="8" s="1"/>
  <c r="C2488" i="8"/>
  <c r="B2488" i="8"/>
  <c r="D2487" i="8"/>
  <c r="F2487" i="8" s="1"/>
  <c r="C2487" i="8"/>
  <c r="B2487" i="8"/>
  <c r="D2486" i="8"/>
  <c r="F2486" i="8" s="1"/>
  <c r="C2486" i="8"/>
  <c r="B2486" i="8"/>
  <c r="D2485" i="8"/>
  <c r="F2485" i="8" s="1"/>
  <c r="C2485" i="8"/>
  <c r="B2485" i="8"/>
  <c r="D2484" i="8"/>
  <c r="F2484" i="8" s="1"/>
  <c r="C2484" i="8"/>
  <c r="B2484" i="8"/>
  <c r="D2483" i="8"/>
  <c r="F2483" i="8" s="1"/>
  <c r="C2483" i="8"/>
  <c r="B2483" i="8"/>
  <c r="D2482" i="8"/>
  <c r="F2482" i="8" s="1"/>
  <c r="C2482" i="8"/>
  <c r="B2482" i="8"/>
  <c r="D2481" i="8"/>
  <c r="F2481" i="8" s="1"/>
  <c r="C2481" i="8"/>
  <c r="B2481" i="8"/>
  <c r="D2480" i="8"/>
  <c r="F2480" i="8" s="1"/>
  <c r="C2480" i="8"/>
  <c r="B2480" i="8"/>
  <c r="D2479" i="8"/>
  <c r="F2479" i="8" s="1"/>
  <c r="C2479" i="8"/>
  <c r="B2479" i="8"/>
  <c r="D2478" i="8"/>
  <c r="F2478" i="8" s="1"/>
  <c r="C2478" i="8"/>
  <c r="B2478" i="8"/>
  <c r="D2477" i="8"/>
  <c r="F2477" i="8" s="1"/>
  <c r="C2477" i="8"/>
  <c r="B2477" i="8"/>
  <c r="D2476" i="8"/>
  <c r="F2476" i="8" s="1"/>
  <c r="C2476" i="8"/>
  <c r="B2476" i="8"/>
  <c r="D2475" i="8"/>
  <c r="F2475" i="8" s="1"/>
  <c r="C2475" i="8"/>
  <c r="B2475" i="8"/>
  <c r="D2474" i="8"/>
  <c r="F2474" i="8" s="1"/>
  <c r="C2474" i="8"/>
  <c r="B2474" i="8"/>
  <c r="D2473" i="8"/>
  <c r="F2473" i="8" s="1"/>
  <c r="C2473" i="8"/>
  <c r="B2473" i="8"/>
  <c r="D2472" i="8"/>
  <c r="F2472" i="8" s="1"/>
  <c r="C2472" i="8"/>
  <c r="B2472" i="8"/>
  <c r="D2471" i="8"/>
  <c r="F2471" i="8" s="1"/>
  <c r="C2471" i="8"/>
  <c r="B2471" i="8"/>
  <c r="D2470" i="8"/>
  <c r="F2470" i="8" s="1"/>
  <c r="C2470" i="8"/>
  <c r="B2470" i="8"/>
  <c r="D2469" i="8"/>
  <c r="F2469" i="8" s="1"/>
  <c r="C2469" i="8"/>
  <c r="B2469" i="8"/>
  <c r="D2468" i="8"/>
  <c r="F2468" i="8" s="1"/>
  <c r="C2468" i="8"/>
  <c r="B2468" i="8"/>
  <c r="D2467" i="8"/>
  <c r="F2467" i="8" s="1"/>
  <c r="C2467" i="8"/>
  <c r="B2467" i="8"/>
  <c r="D2466" i="8"/>
  <c r="F2466" i="8" s="1"/>
  <c r="C2466" i="8"/>
  <c r="B2466" i="8"/>
  <c r="D2465" i="8"/>
  <c r="F2465" i="8" s="1"/>
  <c r="C2465" i="8"/>
  <c r="B2465" i="8"/>
  <c r="D2464" i="8"/>
  <c r="F2464" i="8" s="1"/>
  <c r="C2464" i="8"/>
  <c r="B2464" i="8"/>
  <c r="D2463" i="8"/>
  <c r="F2463" i="8" s="1"/>
  <c r="C2463" i="8"/>
  <c r="B2463" i="8"/>
  <c r="D2462" i="8"/>
  <c r="F2462" i="8" s="1"/>
  <c r="C2462" i="8"/>
  <c r="B2462" i="8"/>
  <c r="D2461" i="8"/>
  <c r="F2461" i="8" s="1"/>
  <c r="C2461" i="8"/>
  <c r="B2461" i="8"/>
  <c r="D2460" i="8"/>
  <c r="F2460" i="8" s="1"/>
  <c r="C2460" i="8"/>
  <c r="B2460" i="8"/>
  <c r="D2459" i="8"/>
  <c r="F2459" i="8" s="1"/>
  <c r="C2459" i="8"/>
  <c r="B2459" i="8"/>
  <c r="D2458" i="8"/>
  <c r="F2458" i="8" s="1"/>
  <c r="C2458" i="8"/>
  <c r="B2458" i="8"/>
  <c r="D2457" i="8"/>
  <c r="F2457" i="8" s="1"/>
  <c r="C2457" i="8"/>
  <c r="B2457" i="8"/>
  <c r="D2456" i="8"/>
  <c r="F2456" i="8" s="1"/>
  <c r="C2456" i="8"/>
  <c r="B2456" i="8"/>
  <c r="D2455" i="8"/>
  <c r="F2455" i="8" s="1"/>
  <c r="C2455" i="8"/>
  <c r="B2455" i="8"/>
  <c r="D2454" i="8"/>
  <c r="F2454" i="8" s="1"/>
  <c r="C2454" i="8"/>
  <c r="B2454" i="8"/>
  <c r="D2453" i="8"/>
  <c r="F2453" i="8" s="1"/>
  <c r="C2453" i="8"/>
  <c r="B2453" i="8"/>
  <c r="D2452" i="8"/>
  <c r="F2452" i="8" s="1"/>
  <c r="C2452" i="8"/>
  <c r="B2452" i="8"/>
  <c r="D2451" i="8"/>
  <c r="F2451" i="8" s="1"/>
  <c r="C2451" i="8"/>
  <c r="B2451" i="8"/>
  <c r="D2450" i="8"/>
  <c r="F2450" i="8" s="1"/>
  <c r="C2450" i="8"/>
  <c r="B2450" i="8"/>
  <c r="D2449" i="8"/>
  <c r="F2449" i="8" s="1"/>
  <c r="C2449" i="8"/>
  <c r="B2449" i="8"/>
  <c r="D2448" i="8"/>
  <c r="F2448" i="8" s="1"/>
  <c r="C2448" i="8"/>
  <c r="B2448" i="8"/>
  <c r="D2447" i="8"/>
  <c r="F2447" i="8" s="1"/>
  <c r="C2447" i="8"/>
  <c r="B2447" i="8"/>
  <c r="D2446" i="8"/>
  <c r="F2446" i="8" s="1"/>
  <c r="C2446" i="8"/>
  <c r="B2446" i="8"/>
  <c r="D2445" i="8"/>
  <c r="F2445" i="8" s="1"/>
  <c r="C2445" i="8"/>
  <c r="B2445" i="8"/>
  <c r="D2444" i="8"/>
  <c r="F2444" i="8" s="1"/>
  <c r="C2444" i="8"/>
  <c r="B2444" i="8"/>
  <c r="D2443" i="8"/>
  <c r="F2443" i="8" s="1"/>
  <c r="C2443" i="8"/>
  <c r="B2443" i="8"/>
  <c r="D2442" i="8"/>
  <c r="F2442" i="8" s="1"/>
  <c r="C2442" i="8"/>
  <c r="B2442" i="8"/>
  <c r="D2441" i="8"/>
  <c r="F2441" i="8" s="1"/>
  <c r="C2441" i="8"/>
  <c r="B2441" i="8"/>
  <c r="D2440" i="8"/>
  <c r="F2440" i="8" s="1"/>
  <c r="C2440" i="8"/>
  <c r="B2440" i="8"/>
  <c r="D2439" i="8"/>
  <c r="F2439" i="8" s="1"/>
  <c r="C2439" i="8"/>
  <c r="B2439" i="8"/>
  <c r="D2438" i="8"/>
  <c r="F2438" i="8" s="1"/>
  <c r="C2438" i="8"/>
  <c r="B2438" i="8"/>
  <c r="D2437" i="8"/>
  <c r="F2437" i="8" s="1"/>
  <c r="C2437" i="8"/>
  <c r="B2437" i="8"/>
  <c r="D2436" i="8"/>
  <c r="F2436" i="8" s="1"/>
  <c r="C2436" i="8"/>
  <c r="B2436" i="8"/>
  <c r="D2435" i="8"/>
  <c r="F2435" i="8" s="1"/>
  <c r="C2435" i="8"/>
  <c r="B2435" i="8"/>
  <c r="D2434" i="8"/>
  <c r="F2434" i="8" s="1"/>
  <c r="C2434" i="8"/>
  <c r="B2434" i="8"/>
  <c r="D2433" i="8"/>
  <c r="F2433" i="8" s="1"/>
  <c r="C2433" i="8"/>
  <c r="B2433" i="8"/>
  <c r="D2432" i="8"/>
  <c r="F2432" i="8" s="1"/>
  <c r="C2432" i="8"/>
  <c r="B2432" i="8"/>
  <c r="D2431" i="8"/>
  <c r="F2431" i="8" s="1"/>
  <c r="C2431" i="8"/>
  <c r="B2431" i="8"/>
  <c r="D2430" i="8"/>
  <c r="F2430" i="8" s="1"/>
  <c r="C2430" i="8"/>
  <c r="B2430" i="8"/>
  <c r="D2429" i="8"/>
  <c r="F2429" i="8" s="1"/>
  <c r="C2429" i="8"/>
  <c r="B2429" i="8"/>
  <c r="D2428" i="8"/>
  <c r="F2428" i="8" s="1"/>
  <c r="C2428" i="8"/>
  <c r="B2428" i="8"/>
  <c r="D2427" i="8"/>
  <c r="F2427" i="8" s="1"/>
  <c r="C2427" i="8"/>
  <c r="B2427" i="8"/>
  <c r="D2426" i="8"/>
  <c r="F2426" i="8" s="1"/>
  <c r="C2426" i="8"/>
  <c r="B2426" i="8"/>
  <c r="D2425" i="8"/>
  <c r="F2425" i="8" s="1"/>
  <c r="C2425" i="8"/>
  <c r="B2425" i="8"/>
  <c r="D2424" i="8"/>
  <c r="F2424" i="8" s="1"/>
  <c r="C2424" i="8"/>
  <c r="B2424" i="8"/>
  <c r="D2423" i="8"/>
  <c r="F2423" i="8" s="1"/>
  <c r="C2423" i="8"/>
  <c r="B2423" i="8"/>
  <c r="D2422" i="8"/>
  <c r="F2422" i="8" s="1"/>
  <c r="C2422" i="8"/>
  <c r="B2422" i="8"/>
  <c r="D2421" i="8"/>
  <c r="F2421" i="8" s="1"/>
  <c r="C2421" i="8"/>
  <c r="B2421" i="8"/>
  <c r="D2420" i="8"/>
  <c r="F2420" i="8" s="1"/>
  <c r="C2420" i="8"/>
  <c r="B2420" i="8"/>
  <c r="D2419" i="8"/>
  <c r="F2419" i="8" s="1"/>
  <c r="C2419" i="8"/>
  <c r="B2419" i="8"/>
  <c r="D2418" i="8"/>
  <c r="F2418" i="8" s="1"/>
  <c r="C2418" i="8"/>
  <c r="B2418" i="8"/>
  <c r="D2417" i="8"/>
  <c r="F2417" i="8" s="1"/>
  <c r="C2417" i="8"/>
  <c r="B2417" i="8"/>
  <c r="D2416" i="8"/>
  <c r="F2416" i="8" s="1"/>
  <c r="C2416" i="8"/>
  <c r="B2416" i="8"/>
  <c r="D2415" i="8"/>
  <c r="F2415" i="8" s="1"/>
  <c r="C2415" i="8"/>
  <c r="B2415" i="8"/>
  <c r="D2414" i="8"/>
  <c r="F2414" i="8" s="1"/>
  <c r="C2414" i="8"/>
  <c r="B2414" i="8"/>
  <c r="D2413" i="8"/>
  <c r="F2413" i="8" s="1"/>
  <c r="C2413" i="8"/>
  <c r="B2413" i="8"/>
  <c r="D2412" i="8"/>
  <c r="F2412" i="8" s="1"/>
  <c r="C2412" i="8"/>
  <c r="B2412" i="8"/>
  <c r="D2411" i="8"/>
  <c r="F2411" i="8" s="1"/>
  <c r="C2411" i="8"/>
  <c r="B2411" i="8"/>
  <c r="D2410" i="8"/>
  <c r="F2410" i="8" s="1"/>
  <c r="C2410" i="8"/>
  <c r="B2410" i="8"/>
  <c r="D2409" i="8"/>
  <c r="F2409" i="8" s="1"/>
  <c r="C2409" i="8"/>
  <c r="B2409" i="8"/>
  <c r="D2408" i="8"/>
  <c r="F2408" i="8" s="1"/>
  <c r="C2408" i="8"/>
  <c r="B2408" i="8"/>
  <c r="D2407" i="8"/>
  <c r="F2407" i="8" s="1"/>
  <c r="C2407" i="8"/>
  <c r="B2407" i="8"/>
  <c r="D2406" i="8"/>
  <c r="F2406" i="8" s="1"/>
  <c r="C2406" i="8"/>
  <c r="B2406" i="8"/>
  <c r="D2405" i="8"/>
  <c r="F2405" i="8" s="1"/>
  <c r="C2405" i="8"/>
  <c r="B2405" i="8"/>
  <c r="D2404" i="8"/>
  <c r="F2404" i="8" s="1"/>
  <c r="C2404" i="8"/>
  <c r="B2404" i="8"/>
  <c r="D2403" i="8"/>
  <c r="F2403" i="8" s="1"/>
  <c r="C2403" i="8"/>
  <c r="B2403" i="8"/>
  <c r="D2402" i="8"/>
  <c r="F2402" i="8" s="1"/>
  <c r="C2402" i="8"/>
  <c r="B2402" i="8"/>
  <c r="D2401" i="8"/>
  <c r="F2401" i="8" s="1"/>
  <c r="C2401" i="8"/>
  <c r="B2401" i="8"/>
  <c r="D2400" i="8"/>
  <c r="F2400" i="8" s="1"/>
  <c r="C2400" i="8"/>
  <c r="B2400" i="8"/>
  <c r="D2399" i="8"/>
  <c r="F2399" i="8" s="1"/>
  <c r="C2399" i="8"/>
  <c r="B2399" i="8"/>
  <c r="D2398" i="8"/>
  <c r="F2398" i="8" s="1"/>
  <c r="C2398" i="8"/>
  <c r="B2398" i="8"/>
  <c r="D2397" i="8"/>
  <c r="F2397" i="8" s="1"/>
  <c r="C2397" i="8"/>
  <c r="B2397" i="8"/>
  <c r="D2396" i="8"/>
  <c r="F2396" i="8" s="1"/>
  <c r="C2396" i="8"/>
  <c r="B2396" i="8"/>
  <c r="D2395" i="8"/>
  <c r="F2395" i="8" s="1"/>
  <c r="C2395" i="8"/>
  <c r="B2395" i="8"/>
  <c r="D2394" i="8"/>
  <c r="F2394" i="8" s="1"/>
  <c r="C2394" i="8"/>
  <c r="B2394" i="8"/>
  <c r="D2393" i="8"/>
  <c r="F2393" i="8" s="1"/>
  <c r="C2393" i="8"/>
  <c r="B2393" i="8"/>
  <c r="D2392" i="8"/>
  <c r="F2392" i="8" s="1"/>
  <c r="C2392" i="8"/>
  <c r="B2392" i="8"/>
  <c r="D2391" i="8"/>
  <c r="F2391" i="8" s="1"/>
  <c r="C2391" i="8"/>
  <c r="B2391" i="8"/>
  <c r="D2390" i="8"/>
  <c r="F2390" i="8" s="1"/>
  <c r="C2390" i="8"/>
  <c r="B2390" i="8"/>
  <c r="D2389" i="8"/>
  <c r="F2389" i="8" s="1"/>
  <c r="C2389" i="8"/>
  <c r="B2389" i="8"/>
  <c r="D2388" i="8"/>
  <c r="F2388" i="8" s="1"/>
  <c r="C2388" i="8"/>
  <c r="B2388" i="8"/>
  <c r="D2387" i="8"/>
  <c r="F2387" i="8" s="1"/>
  <c r="C2387" i="8"/>
  <c r="B2387" i="8"/>
  <c r="D2386" i="8"/>
  <c r="F2386" i="8" s="1"/>
  <c r="C2386" i="8"/>
  <c r="B2386" i="8"/>
  <c r="D2385" i="8"/>
  <c r="F2385" i="8" s="1"/>
  <c r="C2385" i="8"/>
  <c r="B2385" i="8"/>
  <c r="D2384" i="8"/>
  <c r="F2384" i="8" s="1"/>
  <c r="C2384" i="8"/>
  <c r="B2384" i="8"/>
  <c r="D2383" i="8"/>
  <c r="F2383" i="8" s="1"/>
  <c r="C2383" i="8"/>
  <c r="B2383" i="8"/>
  <c r="D2382" i="8"/>
  <c r="F2382" i="8" s="1"/>
  <c r="C2382" i="8"/>
  <c r="B2382" i="8"/>
  <c r="D2381" i="8"/>
  <c r="F2381" i="8" s="1"/>
  <c r="C2381" i="8"/>
  <c r="B2381" i="8"/>
  <c r="D2380" i="8"/>
  <c r="F2380" i="8" s="1"/>
  <c r="C2380" i="8"/>
  <c r="B2380" i="8"/>
  <c r="D2379" i="8"/>
  <c r="F2379" i="8" s="1"/>
  <c r="C2379" i="8"/>
  <c r="B2379" i="8"/>
  <c r="D2378" i="8"/>
  <c r="F2378" i="8" s="1"/>
  <c r="C2378" i="8"/>
  <c r="B2378" i="8"/>
  <c r="D2377" i="8"/>
  <c r="F2377" i="8" s="1"/>
  <c r="C2377" i="8"/>
  <c r="B2377" i="8"/>
  <c r="D2376" i="8"/>
  <c r="F2376" i="8" s="1"/>
  <c r="C2376" i="8"/>
  <c r="B2376" i="8"/>
  <c r="D2375" i="8"/>
  <c r="F2375" i="8" s="1"/>
  <c r="C2375" i="8"/>
  <c r="B2375" i="8"/>
  <c r="D2374" i="8"/>
  <c r="F2374" i="8" s="1"/>
  <c r="C2374" i="8"/>
  <c r="B2374" i="8"/>
  <c r="D2373" i="8"/>
  <c r="F2373" i="8" s="1"/>
  <c r="C2373" i="8"/>
  <c r="B2373" i="8"/>
  <c r="D2372" i="8"/>
  <c r="F2372" i="8" s="1"/>
  <c r="C2372" i="8"/>
  <c r="B2372" i="8"/>
  <c r="D2371" i="8"/>
  <c r="F2371" i="8" s="1"/>
  <c r="C2371" i="8"/>
  <c r="B2371" i="8"/>
  <c r="D2370" i="8"/>
  <c r="F2370" i="8" s="1"/>
  <c r="C2370" i="8"/>
  <c r="B2370" i="8"/>
  <c r="D2369" i="8"/>
  <c r="F2369" i="8" s="1"/>
  <c r="C2369" i="8"/>
  <c r="B2369" i="8"/>
  <c r="D2368" i="8"/>
  <c r="F2368" i="8" s="1"/>
  <c r="C2368" i="8"/>
  <c r="B2368" i="8"/>
  <c r="D2367" i="8"/>
  <c r="F2367" i="8" s="1"/>
  <c r="C2367" i="8"/>
  <c r="B2367" i="8"/>
  <c r="D2366" i="8"/>
  <c r="F2366" i="8" s="1"/>
  <c r="C2366" i="8"/>
  <c r="B2366" i="8"/>
  <c r="D2365" i="8"/>
  <c r="F2365" i="8" s="1"/>
  <c r="C2365" i="8"/>
  <c r="B2365" i="8"/>
  <c r="D2364" i="8"/>
  <c r="F2364" i="8" s="1"/>
  <c r="C2364" i="8"/>
  <c r="B2364" i="8"/>
  <c r="D2363" i="8"/>
  <c r="F2363" i="8" s="1"/>
  <c r="C2363" i="8"/>
  <c r="B2363" i="8"/>
  <c r="D2362" i="8"/>
  <c r="F2362" i="8" s="1"/>
  <c r="C2362" i="8"/>
  <c r="B2362" i="8"/>
  <c r="D2361" i="8"/>
  <c r="F2361" i="8" s="1"/>
  <c r="C2361" i="8"/>
  <c r="B2361" i="8"/>
  <c r="D2360" i="8"/>
  <c r="F2360" i="8" s="1"/>
  <c r="C2360" i="8"/>
  <c r="B2360" i="8"/>
  <c r="D2359" i="8"/>
  <c r="F2359" i="8" s="1"/>
  <c r="C2359" i="8"/>
  <c r="B2359" i="8"/>
  <c r="D2358" i="8"/>
  <c r="F2358" i="8" s="1"/>
  <c r="C2358" i="8"/>
  <c r="B2358" i="8"/>
  <c r="D2357" i="8"/>
  <c r="F2357" i="8" s="1"/>
  <c r="C2357" i="8"/>
  <c r="B2357" i="8"/>
  <c r="D2356" i="8"/>
  <c r="F2356" i="8" s="1"/>
  <c r="C2356" i="8"/>
  <c r="B2356" i="8"/>
  <c r="D2355" i="8"/>
  <c r="F2355" i="8" s="1"/>
  <c r="C2355" i="8"/>
  <c r="B2355" i="8"/>
  <c r="D2354" i="8"/>
  <c r="F2354" i="8" s="1"/>
  <c r="C2354" i="8"/>
  <c r="B2354" i="8"/>
  <c r="D2353" i="8"/>
  <c r="F2353" i="8" s="1"/>
  <c r="C2353" i="8"/>
  <c r="B2353" i="8"/>
  <c r="D2352" i="8"/>
  <c r="F2352" i="8" s="1"/>
  <c r="C2352" i="8"/>
  <c r="B2352" i="8"/>
  <c r="D2351" i="8"/>
  <c r="F2351" i="8" s="1"/>
  <c r="C2351" i="8"/>
  <c r="B2351" i="8"/>
  <c r="D2350" i="8"/>
  <c r="F2350" i="8" s="1"/>
  <c r="C2350" i="8"/>
  <c r="B2350" i="8"/>
  <c r="D2349" i="8"/>
  <c r="F2349" i="8" s="1"/>
  <c r="C2349" i="8"/>
  <c r="B2349" i="8"/>
  <c r="D2348" i="8"/>
  <c r="F2348" i="8" s="1"/>
  <c r="C2348" i="8"/>
  <c r="B2348" i="8"/>
  <c r="D2347" i="8"/>
  <c r="F2347" i="8" s="1"/>
  <c r="C2347" i="8"/>
  <c r="B2347" i="8"/>
  <c r="D2346" i="8"/>
  <c r="F2346" i="8" s="1"/>
  <c r="C2346" i="8"/>
  <c r="B2346" i="8"/>
  <c r="D2345" i="8"/>
  <c r="F2345" i="8" s="1"/>
  <c r="C2345" i="8"/>
  <c r="B2345" i="8"/>
  <c r="D2344" i="8"/>
  <c r="F2344" i="8" s="1"/>
  <c r="C2344" i="8"/>
  <c r="B2344" i="8"/>
  <c r="D2343" i="8"/>
  <c r="F2343" i="8" s="1"/>
  <c r="C2343" i="8"/>
  <c r="B2343" i="8"/>
  <c r="D2342" i="8"/>
  <c r="F2342" i="8" s="1"/>
  <c r="C2342" i="8"/>
  <c r="B2342" i="8"/>
  <c r="D2341" i="8"/>
  <c r="F2341" i="8" s="1"/>
  <c r="C2341" i="8"/>
  <c r="B2341" i="8"/>
  <c r="D2340" i="8"/>
  <c r="F2340" i="8" s="1"/>
  <c r="C2340" i="8"/>
  <c r="B2340" i="8"/>
  <c r="D2339" i="8"/>
  <c r="F2339" i="8" s="1"/>
  <c r="C2339" i="8"/>
  <c r="B2339" i="8"/>
  <c r="D2338" i="8"/>
  <c r="F2338" i="8" s="1"/>
  <c r="C2338" i="8"/>
  <c r="B2338" i="8"/>
  <c r="D2337" i="8"/>
  <c r="F2337" i="8" s="1"/>
  <c r="C2337" i="8"/>
  <c r="B2337" i="8"/>
  <c r="D2336" i="8"/>
  <c r="F2336" i="8" s="1"/>
  <c r="C2336" i="8"/>
  <c r="B2336" i="8"/>
  <c r="D2335" i="8"/>
  <c r="F2335" i="8" s="1"/>
  <c r="C2335" i="8"/>
  <c r="B2335" i="8"/>
  <c r="D2334" i="8"/>
  <c r="F2334" i="8" s="1"/>
  <c r="C2334" i="8"/>
  <c r="B2334" i="8"/>
  <c r="D2333" i="8"/>
  <c r="F2333" i="8" s="1"/>
  <c r="C2333" i="8"/>
  <c r="B2333" i="8"/>
  <c r="D2332" i="8"/>
  <c r="F2332" i="8" s="1"/>
  <c r="C2332" i="8"/>
  <c r="B2332" i="8"/>
  <c r="D2331" i="8"/>
  <c r="F2331" i="8" s="1"/>
  <c r="C2331" i="8"/>
  <c r="B2331" i="8"/>
  <c r="D2330" i="8"/>
  <c r="F2330" i="8" s="1"/>
  <c r="C2330" i="8"/>
  <c r="B2330" i="8"/>
  <c r="D2329" i="8"/>
  <c r="F2329" i="8" s="1"/>
  <c r="C2329" i="8"/>
  <c r="B2329" i="8"/>
  <c r="D2328" i="8"/>
  <c r="F2328" i="8" s="1"/>
  <c r="C2328" i="8"/>
  <c r="B2328" i="8"/>
  <c r="D2327" i="8"/>
  <c r="F2327" i="8" s="1"/>
  <c r="C2327" i="8"/>
  <c r="B2327" i="8"/>
  <c r="D2326" i="8"/>
  <c r="F2326" i="8" s="1"/>
  <c r="C2326" i="8"/>
  <c r="B2326" i="8"/>
  <c r="D2325" i="8"/>
  <c r="F2325" i="8" s="1"/>
  <c r="C2325" i="8"/>
  <c r="B2325" i="8"/>
  <c r="D2324" i="8"/>
  <c r="F2324" i="8" s="1"/>
  <c r="C2324" i="8"/>
  <c r="B2324" i="8"/>
  <c r="D2323" i="8"/>
  <c r="F2323" i="8" s="1"/>
  <c r="C2323" i="8"/>
  <c r="B2323" i="8"/>
  <c r="D2322" i="8"/>
  <c r="F2322" i="8" s="1"/>
  <c r="C2322" i="8"/>
  <c r="B2322" i="8"/>
  <c r="D2321" i="8"/>
  <c r="F2321" i="8" s="1"/>
  <c r="C2321" i="8"/>
  <c r="B2321" i="8"/>
  <c r="D2320" i="8"/>
  <c r="F2320" i="8" s="1"/>
  <c r="C2320" i="8"/>
  <c r="B2320" i="8"/>
  <c r="D2319" i="8"/>
  <c r="F2319" i="8" s="1"/>
  <c r="C2319" i="8"/>
  <c r="B2319" i="8"/>
  <c r="D2318" i="8"/>
  <c r="F2318" i="8" s="1"/>
  <c r="C2318" i="8"/>
  <c r="B2318" i="8"/>
  <c r="D2317" i="8"/>
  <c r="F2317" i="8" s="1"/>
  <c r="C2317" i="8"/>
  <c r="B2317" i="8"/>
  <c r="D2316" i="8"/>
  <c r="F2316" i="8" s="1"/>
  <c r="C2316" i="8"/>
  <c r="B2316" i="8"/>
  <c r="D2315" i="8"/>
  <c r="F2315" i="8" s="1"/>
  <c r="C2315" i="8"/>
  <c r="B2315" i="8"/>
  <c r="D2314" i="8"/>
  <c r="F2314" i="8" s="1"/>
  <c r="C2314" i="8"/>
  <c r="B2314" i="8"/>
  <c r="D2313" i="8"/>
  <c r="F2313" i="8" s="1"/>
  <c r="C2313" i="8"/>
  <c r="B2313" i="8"/>
  <c r="D2312" i="8"/>
  <c r="F2312" i="8" s="1"/>
  <c r="C2312" i="8"/>
  <c r="B2312" i="8"/>
  <c r="D2311" i="8"/>
  <c r="F2311" i="8" s="1"/>
  <c r="C2311" i="8"/>
  <c r="B2311" i="8"/>
  <c r="D2310" i="8"/>
  <c r="F2310" i="8" s="1"/>
  <c r="C2310" i="8"/>
  <c r="B2310" i="8"/>
  <c r="D2309" i="8"/>
  <c r="F2309" i="8" s="1"/>
  <c r="C2309" i="8"/>
  <c r="B2309" i="8"/>
  <c r="D2308" i="8"/>
  <c r="F2308" i="8" s="1"/>
  <c r="C2308" i="8"/>
  <c r="B2308" i="8"/>
  <c r="D2307" i="8"/>
  <c r="F2307" i="8" s="1"/>
  <c r="C2307" i="8"/>
  <c r="B2307" i="8"/>
  <c r="D2306" i="8"/>
  <c r="F2306" i="8" s="1"/>
  <c r="C2306" i="8"/>
  <c r="B2306" i="8"/>
  <c r="D2305" i="8"/>
  <c r="F2305" i="8" s="1"/>
  <c r="C2305" i="8"/>
  <c r="B2305" i="8"/>
  <c r="D2304" i="8"/>
  <c r="F2304" i="8" s="1"/>
  <c r="C2304" i="8"/>
  <c r="B2304" i="8"/>
  <c r="D2303" i="8"/>
  <c r="F2303" i="8" s="1"/>
  <c r="C2303" i="8"/>
  <c r="B2303" i="8"/>
  <c r="D2302" i="8"/>
  <c r="F2302" i="8" s="1"/>
  <c r="C2302" i="8"/>
  <c r="B2302" i="8"/>
  <c r="D2301" i="8"/>
  <c r="F2301" i="8" s="1"/>
  <c r="C2301" i="8"/>
  <c r="B2301" i="8"/>
  <c r="D2300" i="8"/>
  <c r="F2300" i="8" s="1"/>
  <c r="C2300" i="8"/>
  <c r="B2300" i="8"/>
  <c r="D2299" i="8"/>
  <c r="F2299" i="8" s="1"/>
  <c r="C2299" i="8"/>
  <c r="B2299" i="8"/>
  <c r="D2298" i="8"/>
  <c r="F2298" i="8" s="1"/>
  <c r="C2298" i="8"/>
  <c r="B2298" i="8"/>
  <c r="D2297" i="8"/>
  <c r="F2297" i="8" s="1"/>
  <c r="C2297" i="8"/>
  <c r="B2297" i="8"/>
  <c r="D2296" i="8"/>
  <c r="F2296" i="8" s="1"/>
  <c r="C2296" i="8"/>
  <c r="B2296" i="8"/>
  <c r="D2295" i="8"/>
  <c r="F2295" i="8" s="1"/>
  <c r="C2295" i="8"/>
  <c r="B2295" i="8"/>
  <c r="D2294" i="8"/>
  <c r="F2294" i="8" s="1"/>
  <c r="C2294" i="8"/>
  <c r="B2294" i="8"/>
  <c r="D2293" i="8"/>
  <c r="F2293" i="8" s="1"/>
  <c r="C2293" i="8"/>
  <c r="B2293" i="8"/>
  <c r="D2292" i="8"/>
  <c r="F2292" i="8" s="1"/>
  <c r="C2292" i="8"/>
  <c r="B2292" i="8"/>
  <c r="D2291" i="8"/>
  <c r="F2291" i="8" s="1"/>
  <c r="C2291" i="8"/>
  <c r="B2291" i="8"/>
  <c r="D2290" i="8"/>
  <c r="F2290" i="8" s="1"/>
  <c r="C2290" i="8"/>
  <c r="B2290" i="8"/>
  <c r="D2289" i="8"/>
  <c r="F2289" i="8" s="1"/>
  <c r="C2289" i="8"/>
  <c r="B2289" i="8"/>
  <c r="D2288" i="8"/>
  <c r="F2288" i="8" s="1"/>
  <c r="C2288" i="8"/>
  <c r="B2288" i="8"/>
  <c r="D2287" i="8"/>
  <c r="F2287" i="8" s="1"/>
  <c r="C2287" i="8"/>
  <c r="B2287" i="8"/>
  <c r="D2286" i="8"/>
  <c r="F2286" i="8" s="1"/>
  <c r="C2286" i="8"/>
  <c r="B2286" i="8"/>
  <c r="D2285" i="8"/>
  <c r="F2285" i="8" s="1"/>
  <c r="C2285" i="8"/>
  <c r="B2285" i="8"/>
  <c r="D2284" i="8"/>
  <c r="F2284" i="8" s="1"/>
  <c r="C2284" i="8"/>
  <c r="B2284" i="8"/>
  <c r="D2283" i="8"/>
  <c r="F2283" i="8" s="1"/>
  <c r="C2283" i="8"/>
  <c r="B2283" i="8"/>
  <c r="D2282" i="8"/>
  <c r="F2282" i="8" s="1"/>
  <c r="C2282" i="8"/>
  <c r="B2282" i="8"/>
  <c r="D2281" i="8"/>
  <c r="F2281" i="8" s="1"/>
  <c r="C2281" i="8"/>
  <c r="B2281" i="8"/>
  <c r="D2280" i="8"/>
  <c r="F2280" i="8" s="1"/>
  <c r="C2280" i="8"/>
  <c r="B2280" i="8"/>
  <c r="D2279" i="8"/>
  <c r="F2279" i="8" s="1"/>
  <c r="C2279" i="8"/>
  <c r="B2279" i="8"/>
  <c r="D2278" i="8"/>
  <c r="F2278" i="8" s="1"/>
  <c r="C2278" i="8"/>
  <c r="B2278" i="8"/>
  <c r="D2277" i="8"/>
  <c r="F2277" i="8" s="1"/>
  <c r="C2277" i="8"/>
  <c r="B2277" i="8"/>
  <c r="D2276" i="8"/>
  <c r="F2276" i="8" s="1"/>
  <c r="C2276" i="8"/>
  <c r="B2276" i="8"/>
  <c r="D2275" i="8"/>
  <c r="F2275" i="8" s="1"/>
  <c r="C2275" i="8"/>
  <c r="B2275" i="8"/>
  <c r="D2274" i="8"/>
  <c r="F2274" i="8" s="1"/>
  <c r="C2274" i="8"/>
  <c r="B2274" i="8"/>
  <c r="D2273" i="8"/>
  <c r="F2273" i="8" s="1"/>
  <c r="C2273" i="8"/>
  <c r="B2273" i="8"/>
  <c r="D2272" i="8"/>
  <c r="F2272" i="8" s="1"/>
  <c r="C2272" i="8"/>
  <c r="B2272" i="8"/>
  <c r="D2271" i="8"/>
  <c r="F2271" i="8" s="1"/>
  <c r="C2271" i="8"/>
  <c r="B2271" i="8"/>
  <c r="D2270" i="8"/>
  <c r="F2270" i="8" s="1"/>
  <c r="C2270" i="8"/>
  <c r="B2270" i="8"/>
  <c r="D2269" i="8"/>
  <c r="F2269" i="8" s="1"/>
  <c r="C2269" i="8"/>
  <c r="B2269" i="8"/>
  <c r="D2268" i="8"/>
  <c r="F2268" i="8" s="1"/>
  <c r="C2268" i="8"/>
  <c r="B2268" i="8"/>
  <c r="D2267" i="8"/>
  <c r="F2267" i="8" s="1"/>
  <c r="C2267" i="8"/>
  <c r="B2267" i="8"/>
  <c r="D2266" i="8"/>
  <c r="F2266" i="8" s="1"/>
  <c r="C2266" i="8"/>
  <c r="B2266" i="8"/>
  <c r="D2265" i="8"/>
  <c r="F2265" i="8" s="1"/>
  <c r="C2265" i="8"/>
  <c r="B2265" i="8"/>
  <c r="D2264" i="8"/>
  <c r="F2264" i="8" s="1"/>
  <c r="C2264" i="8"/>
  <c r="B2264" i="8"/>
  <c r="D2263" i="8"/>
  <c r="F2263" i="8" s="1"/>
  <c r="C2263" i="8"/>
  <c r="B2263" i="8"/>
  <c r="D2262" i="8"/>
  <c r="F2262" i="8" s="1"/>
  <c r="C2262" i="8"/>
  <c r="B2262" i="8"/>
  <c r="D2261" i="8"/>
  <c r="F2261" i="8" s="1"/>
  <c r="C2261" i="8"/>
  <c r="B2261" i="8"/>
  <c r="D2260" i="8"/>
  <c r="F2260" i="8" s="1"/>
  <c r="C2260" i="8"/>
  <c r="B2260" i="8"/>
  <c r="D2259" i="8"/>
  <c r="F2259" i="8" s="1"/>
  <c r="C2259" i="8"/>
  <c r="B2259" i="8"/>
  <c r="D2258" i="8"/>
  <c r="F2258" i="8" s="1"/>
  <c r="C2258" i="8"/>
  <c r="B2258" i="8"/>
  <c r="D2257" i="8"/>
  <c r="F2257" i="8" s="1"/>
  <c r="C2257" i="8"/>
  <c r="B2257" i="8"/>
  <c r="D2256" i="8"/>
  <c r="F2256" i="8" s="1"/>
  <c r="C2256" i="8"/>
  <c r="B2256" i="8"/>
  <c r="D2255" i="8"/>
  <c r="F2255" i="8" s="1"/>
  <c r="C2255" i="8"/>
  <c r="B2255" i="8"/>
  <c r="D2254" i="8"/>
  <c r="F2254" i="8" s="1"/>
  <c r="C2254" i="8"/>
  <c r="B2254" i="8"/>
  <c r="D2253" i="8"/>
  <c r="F2253" i="8" s="1"/>
  <c r="C2253" i="8"/>
  <c r="B2253" i="8"/>
  <c r="D2252" i="8"/>
  <c r="F2252" i="8" s="1"/>
  <c r="C2252" i="8"/>
  <c r="B2252" i="8"/>
  <c r="D2251" i="8"/>
  <c r="F2251" i="8" s="1"/>
  <c r="C2251" i="8"/>
  <c r="B2251" i="8"/>
  <c r="D2250" i="8"/>
  <c r="F2250" i="8" s="1"/>
  <c r="C2250" i="8"/>
  <c r="B2250" i="8"/>
  <c r="D2249" i="8"/>
  <c r="F2249" i="8" s="1"/>
  <c r="C2249" i="8"/>
  <c r="B2249" i="8"/>
  <c r="D2248" i="8"/>
  <c r="F2248" i="8" s="1"/>
  <c r="C2248" i="8"/>
  <c r="B2248" i="8"/>
  <c r="D2247" i="8"/>
  <c r="F2247" i="8" s="1"/>
  <c r="C2247" i="8"/>
  <c r="B2247" i="8"/>
  <c r="D2246" i="8"/>
  <c r="F2246" i="8" s="1"/>
  <c r="C2246" i="8"/>
  <c r="B2246" i="8"/>
  <c r="D2245" i="8"/>
  <c r="F2245" i="8" s="1"/>
  <c r="C2245" i="8"/>
  <c r="B2245" i="8"/>
  <c r="D2244" i="8"/>
  <c r="F2244" i="8" s="1"/>
  <c r="C2244" i="8"/>
  <c r="B2244" i="8"/>
  <c r="D2243" i="8"/>
  <c r="F2243" i="8" s="1"/>
  <c r="C2243" i="8"/>
  <c r="B2243" i="8"/>
  <c r="D2242" i="8"/>
  <c r="F2242" i="8" s="1"/>
  <c r="C2242" i="8"/>
  <c r="B2242" i="8"/>
  <c r="D2241" i="8"/>
  <c r="F2241" i="8" s="1"/>
  <c r="C2241" i="8"/>
  <c r="B2241" i="8"/>
  <c r="D2240" i="8"/>
  <c r="F2240" i="8" s="1"/>
  <c r="C2240" i="8"/>
  <c r="B2240" i="8"/>
  <c r="D2239" i="8"/>
  <c r="F2239" i="8" s="1"/>
  <c r="C2239" i="8"/>
  <c r="B2239" i="8"/>
  <c r="D2238" i="8"/>
  <c r="F2238" i="8" s="1"/>
  <c r="C2238" i="8"/>
  <c r="B2238" i="8"/>
  <c r="D2237" i="8"/>
  <c r="F2237" i="8" s="1"/>
  <c r="C2237" i="8"/>
  <c r="B2237" i="8"/>
  <c r="D2236" i="8"/>
  <c r="F2236" i="8" s="1"/>
  <c r="C2236" i="8"/>
  <c r="B2236" i="8"/>
  <c r="D2235" i="8"/>
  <c r="F2235" i="8" s="1"/>
  <c r="C2235" i="8"/>
  <c r="B2235" i="8"/>
  <c r="D2234" i="8"/>
  <c r="F2234" i="8" s="1"/>
  <c r="C2234" i="8"/>
  <c r="B2234" i="8"/>
  <c r="D2233" i="8"/>
  <c r="F2233" i="8" s="1"/>
  <c r="C2233" i="8"/>
  <c r="B2233" i="8"/>
  <c r="D2232" i="8"/>
  <c r="F2232" i="8" s="1"/>
  <c r="C2232" i="8"/>
  <c r="B2232" i="8"/>
  <c r="D2231" i="8"/>
  <c r="F2231" i="8" s="1"/>
  <c r="C2231" i="8"/>
  <c r="B2231" i="8"/>
  <c r="D2230" i="8"/>
  <c r="F2230" i="8" s="1"/>
  <c r="C2230" i="8"/>
  <c r="B2230" i="8"/>
  <c r="D2229" i="8"/>
  <c r="F2229" i="8" s="1"/>
  <c r="C2229" i="8"/>
  <c r="B2229" i="8"/>
  <c r="D2228" i="8"/>
  <c r="F2228" i="8" s="1"/>
  <c r="C2228" i="8"/>
  <c r="B2228" i="8"/>
  <c r="D2227" i="8"/>
  <c r="F2227" i="8" s="1"/>
  <c r="C2227" i="8"/>
  <c r="B2227" i="8"/>
  <c r="D2226" i="8"/>
  <c r="F2226" i="8" s="1"/>
  <c r="C2226" i="8"/>
  <c r="B2226" i="8"/>
  <c r="D2225" i="8"/>
  <c r="F2225" i="8" s="1"/>
  <c r="C2225" i="8"/>
  <c r="B2225" i="8"/>
  <c r="D2224" i="8"/>
  <c r="F2224" i="8" s="1"/>
  <c r="C2224" i="8"/>
  <c r="B2224" i="8"/>
  <c r="D2223" i="8"/>
  <c r="F2223" i="8" s="1"/>
  <c r="C2223" i="8"/>
  <c r="B2223" i="8"/>
  <c r="D2222" i="8"/>
  <c r="F2222" i="8" s="1"/>
  <c r="C2222" i="8"/>
  <c r="B2222" i="8"/>
  <c r="D2221" i="8"/>
  <c r="F2221" i="8" s="1"/>
  <c r="C2221" i="8"/>
  <c r="B2221" i="8"/>
  <c r="D2220" i="8"/>
  <c r="F2220" i="8" s="1"/>
  <c r="C2220" i="8"/>
  <c r="B2220" i="8"/>
  <c r="D2219" i="8"/>
  <c r="F2219" i="8" s="1"/>
  <c r="C2219" i="8"/>
  <c r="B2219" i="8"/>
  <c r="D2218" i="8"/>
  <c r="F2218" i="8" s="1"/>
  <c r="C2218" i="8"/>
  <c r="B2218" i="8"/>
  <c r="D2217" i="8"/>
  <c r="F2217" i="8" s="1"/>
  <c r="C2217" i="8"/>
  <c r="B2217" i="8"/>
  <c r="D2216" i="8"/>
  <c r="F2216" i="8" s="1"/>
  <c r="C2216" i="8"/>
  <c r="B2216" i="8"/>
  <c r="D2215" i="8"/>
  <c r="F2215" i="8" s="1"/>
  <c r="C2215" i="8"/>
  <c r="B2215" i="8"/>
  <c r="D2214" i="8"/>
  <c r="F2214" i="8" s="1"/>
  <c r="C2214" i="8"/>
  <c r="B2214" i="8"/>
  <c r="D2213" i="8"/>
  <c r="F2213" i="8" s="1"/>
  <c r="C2213" i="8"/>
  <c r="B2213" i="8"/>
  <c r="D2212" i="8"/>
  <c r="F2212" i="8" s="1"/>
  <c r="C2212" i="8"/>
  <c r="B2212" i="8"/>
  <c r="D2211" i="8"/>
  <c r="F2211" i="8" s="1"/>
  <c r="C2211" i="8"/>
  <c r="B2211" i="8"/>
  <c r="D2210" i="8"/>
  <c r="F2210" i="8" s="1"/>
  <c r="C2210" i="8"/>
  <c r="B2210" i="8"/>
  <c r="D2209" i="8"/>
  <c r="F2209" i="8" s="1"/>
  <c r="C2209" i="8"/>
  <c r="B2209" i="8"/>
  <c r="D2208" i="8"/>
  <c r="F2208" i="8" s="1"/>
  <c r="C2208" i="8"/>
  <c r="B2208" i="8"/>
  <c r="D2207" i="8"/>
  <c r="F2207" i="8" s="1"/>
  <c r="C2207" i="8"/>
  <c r="B2207" i="8"/>
  <c r="D2206" i="8"/>
  <c r="F2206" i="8" s="1"/>
  <c r="C2206" i="8"/>
  <c r="B2206" i="8"/>
  <c r="D2205" i="8"/>
  <c r="F2205" i="8" s="1"/>
  <c r="C2205" i="8"/>
  <c r="B2205" i="8"/>
  <c r="D2204" i="8"/>
  <c r="F2204" i="8" s="1"/>
  <c r="C2204" i="8"/>
  <c r="B2204" i="8"/>
  <c r="D2203" i="8"/>
  <c r="F2203" i="8" s="1"/>
  <c r="C2203" i="8"/>
  <c r="B2203" i="8"/>
  <c r="D2202" i="8"/>
  <c r="F2202" i="8" s="1"/>
  <c r="C2202" i="8"/>
  <c r="B2202" i="8"/>
  <c r="D2201" i="8"/>
  <c r="F2201" i="8" s="1"/>
  <c r="C2201" i="8"/>
  <c r="B2201" i="8"/>
  <c r="D2200" i="8"/>
  <c r="F2200" i="8" s="1"/>
  <c r="C2200" i="8"/>
  <c r="B2200" i="8"/>
  <c r="D2199" i="8"/>
  <c r="F2199" i="8" s="1"/>
  <c r="C2199" i="8"/>
  <c r="B2199" i="8"/>
  <c r="D2198" i="8"/>
  <c r="F2198" i="8" s="1"/>
  <c r="C2198" i="8"/>
  <c r="B2198" i="8"/>
  <c r="D2197" i="8"/>
  <c r="F2197" i="8" s="1"/>
  <c r="C2197" i="8"/>
  <c r="B2197" i="8"/>
  <c r="D2196" i="8"/>
  <c r="F2196" i="8" s="1"/>
  <c r="C2196" i="8"/>
  <c r="B2196" i="8"/>
  <c r="D2195" i="8"/>
  <c r="F2195" i="8" s="1"/>
  <c r="C2195" i="8"/>
  <c r="B2195" i="8"/>
  <c r="D2194" i="8"/>
  <c r="F2194" i="8" s="1"/>
  <c r="C2194" i="8"/>
  <c r="B2194" i="8"/>
  <c r="D2193" i="8"/>
  <c r="F2193" i="8" s="1"/>
  <c r="C2193" i="8"/>
  <c r="B2193" i="8"/>
  <c r="D2192" i="8"/>
  <c r="F2192" i="8" s="1"/>
  <c r="C2192" i="8"/>
  <c r="B2192" i="8"/>
  <c r="D2191" i="8"/>
  <c r="F2191" i="8" s="1"/>
  <c r="C2191" i="8"/>
  <c r="B2191" i="8"/>
  <c r="D2190" i="8"/>
  <c r="F2190" i="8" s="1"/>
  <c r="C2190" i="8"/>
  <c r="B2190" i="8"/>
  <c r="D2189" i="8"/>
  <c r="F2189" i="8" s="1"/>
  <c r="C2189" i="8"/>
  <c r="B2189" i="8"/>
  <c r="D2188" i="8"/>
  <c r="F2188" i="8" s="1"/>
  <c r="C2188" i="8"/>
  <c r="B2188" i="8"/>
  <c r="D2187" i="8"/>
  <c r="F2187" i="8" s="1"/>
  <c r="C2187" i="8"/>
  <c r="B2187" i="8"/>
  <c r="D2186" i="8"/>
  <c r="F2186" i="8" s="1"/>
  <c r="C2186" i="8"/>
  <c r="B2186" i="8"/>
  <c r="D2185" i="8"/>
  <c r="F2185" i="8" s="1"/>
  <c r="C2185" i="8"/>
  <c r="B2185" i="8"/>
  <c r="D2184" i="8"/>
  <c r="F2184" i="8" s="1"/>
  <c r="C2184" i="8"/>
  <c r="B2184" i="8"/>
  <c r="D2183" i="8"/>
  <c r="F2183" i="8" s="1"/>
  <c r="C2183" i="8"/>
  <c r="B2183" i="8"/>
  <c r="D2182" i="8"/>
  <c r="F2182" i="8" s="1"/>
  <c r="C2182" i="8"/>
  <c r="B2182" i="8"/>
  <c r="D2181" i="8"/>
  <c r="F2181" i="8" s="1"/>
  <c r="C2181" i="8"/>
  <c r="B2181" i="8"/>
  <c r="D2180" i="8"/>
  <c r="F2180" i="8" s="1"/>
  <c r="C2180" i="8"/>
  <c r="B2180" i="8"/>
  <c r="D2179" i="8"/>
  <c r="F2179" i="8" s="1"/>
  <c r="C2179" i="8"/>
  <c r="B2179" i="8"/>
  <c r="D2178" i="8"/>
  <c r="F2178" i="8" s="1"/>
  <c r="C2178" i="8"/>
  <c r="B2178" i="8"/>
  <c r="D2177" i="8"/>
  <c r="F2177" i="8" s="1"/>
  <c r="C2177" i="8"/>
  <c r="B2177" i="8"/>
  <c r="D2176" i="8"/>
  <c r="F2176" i="8" s="1"/>
  <c r="C2176" i="8"/>
  <c r="B2176" i="8"/>
  <c r="D2175" i="8"/>
  <c r="F2175" i="8" s="1"/>
  <c r="C2175" i="8"/>
  <c r="B2175" i="8"/>
  <c r="D2174" i="8"/>
  <c r="F2174" i="8" s="1"/>
  <c r="C2174" i="8"/>
  <c r="B2174" i="8"/>
  <c r="D2173" i="8"/>
  <c r="F2173" i="8" s="1"/>
  <c r="C2173" i="8"/>
  <c r="B2173" i="8"/>
  <c r="D2172" i="8"/>
  <c r="F2172" i="8" s="1"/>
  <c r="C2172" i="8"/>
  <c r="B2172" i="8"/>
  <c r="D2171" i="8"/>
  <c r="F2171" i="8" s="1"/>
  <c r="C2171" i="8"/>
  <c r="B2171" i="8"/>
  <c r="D2170" i="8"/>
  <c r="F2170" i="8" s="1"/>
  <c r="C2170" i="8"/>
  <c r="B2170" i="8"/>
  <c r="D2169" i="8"/>
  <c r="F2169" i="8" s="1"/>
  <c r="C2169" i="8"/>
  <c r="B2169" i="8"/>
  <c r="D2168" i="8"/>
  <c r="F2168" i="8" s="1"/>
  <c r="C2168" i="8"/>
  <c r="B2168" i="8"/>
  <c r="D2167" i="8"/>
  <c r="F2167" i="8" s="1"/>
  <c r="C2167" i="8"/>
  <c r="B2167" i="8"/>
  <c r="D2166" i="8"/>
  <c r="F2166" i="8" s="1"/>
  <c r="C2166" i="8"/>
  <c r="B2166" i="8"/>
  <c r="D2165" i="8"/>
  <c r="F2165" i="8" s="1"/>
  <c r="C2165" i="8"/>
  <c r="B2165" i="8"/>
  <c r="D2164" i="8"/>
  <c r="F2164" i="8" s="1"/>
  <c r="C2164" i="8"/>
  <c r="B2164" i="8"/>
  <c r="D2163" i="8"/>
  <c r="F2163" i="8" s="1"/>
  <c r="C2163" i="8"/>
  <c r="B2163" i="8"/>
  <c r="D2162" i="8"/>
  <c r="F2162" i="8" s="1"/>
  <c r="C2162" i="8"/>
  <c r="B2162" i="8"/>
  <c r="D2161" i="8"/>
  <c r="F2161" i="8" s="1"/>
  <c r="C2161" i="8"/>
  <c r="B2161" i="8"/>
  <c r="D2160" i="8"/>
  <c r="F2160" i="8" s="1"/>
  <c r="C2160" i="8"/>
  <c r="B2160" i="8"/>
  <c r="D2159" i="8"/>
  <c r="F2159" i="8" s="1"/>
  <c r="C2159" i="8"/>
  <c r="B2159" i="8"/>
  <c r="D2158" i="8"/>
  <c r="F2158" i="8" s="1"/>
  <c r="C2158" i="8"/>
  <c r="B2158" i="8"/>
  <c r="D2157" i="8"/>
  <c r="F2157" i="8" s="1"/>
  <c r="C2157" i="8"/>
  <c r="B2157" i="8"/>
  <c r="D2156" i="8"/>
  <c r="F2156" i="8" s="1"/>
  <c r="C2156" i="8"/>
  <c r="B2156" i="8"/>
  <c r="D2155" i="8"/>
  <c r="F2155" i="8" s="1"/>
  <c r="C2155" i="8"/>
  <c r="B2155" i="8"/>
  <c r="D2154" i="8"/>
  <c r="F2154" i="8" s="1"/>
  <c r="C2154" i="8"/>
  <c r="B2154" i="8"/>
  <c r="D2153" i="8"/>
  <c r="F2153" i="8" s="1"/>
  <c r="C2153" i="8"/>
  <c r="B2153" i="8"/>
  <c r="D2152" i="8"/>
  <c r="F2152" i="8" s="1"/>
  <c r="C2152" i="8"/>
  <c r="B2152" i="8"/>
  <c r="D2151" i="8"/>
  <c r="F2151" i="8" s="1"/>
  <c r="C2151" i="8"/>
  <c r="B2151" i="8"/>
  <c r="D2150" i="8"/>
  <c r="F2150" i="8" s="1"/>
  <c r="C2150" i="8"/>
  <c r="B2150" i="8"/>
  <c r="D2149" i="8"/>
  <c r="F2149" i="8" s="1"/>
  <c r="C2149" i="8"/>
  <c r="B2149" i="8"/>
  <c r="D2148" i="8"/>
  <c r="F2148" i="8" s="1"/>
  <c r="C2148" i="8"/>
  <c r="B2148" i="8"/>
  <c r="D2147" i="8"/>
  <c r="F2147" i="8" s="1"/>
  <c r="C2147" i="8"/>
  <c r="B2147" i="8"/>
  <c r="D2146" i="8"/>
  <c r="F2146" i="8" s="1"/>
  <c r="C2146" i="8"/>
  <c r="B2146" i="8"/>
  <c r="D2145" i="8"/>
  <c r="F2145" i="8" s="1"/>
  <c r="C2145" i="8"/>
  <c r="B2145" i="8"/>
  <c r="D2144" i="8"/>
  <c r="F2144" i="8" s="1"/>
  <c r="C2144" i="8"/>
  <c r="B2144" i="8"/>
  <c r="D2143" i="8"/>
  <c r="F2143" i="8" s="1"/>
  <c r="C2143" i="8"/>
  <c r="B2143" i="8"/>
  <c r="D2142" i="8"/>
  <c r="F2142" i="8" s="1"/>
  <c r="C2142" i="8"/>
  <c r="B2142" i="8"/>
  <c r="D2141" i="8"/>
  <c r="F2141" i="8" s="1"/>
  <c r="C2141" i="8"/>
  <c r="B2141" i="8"/>
  <c r="D2140" i="8"/>
  <c r="F2140" i="8" s="1"/>
  <c r="C2140" i="8"/>
  <c r="B2140" i="8"/>
  <c r="D2139" i="8"/>
  <c r="F2139" i="8" s="1"/>
  <c r="C2139" i="8"/>
  <c r="B2139" i="8"/>
  <c r="D2138" i="8"/>
  <c r="F2138" i="8" s="1"/>
  <c r="C2138" i="8"/>
  <c r="B2138" i="8"/>
  <c r="D2137" i="8"/>
  <c r="F2137" i="8" s="1"/>
  <c r="C2137" i="8"/>
  <c r="B2137" i="8"/>
  <c r="D2136" i="8"/>
  <c r="F2136" i="8" s="1"/>
  <c r="C2136" i="8"/>
  <c r="B2136" i="8"/>
  <c r="D2135" i="8"/>
  <c r="F2135" i="8" s="1"/>
  <c r="C2135" i="8"/>
  <c r="B2135" i="8"/>
  <c r="D2134" i="8"/>
  <c r="F2134" i="8" s="1"/>
  <c r="C2134" i="8"/>
  <c r="B2134" i="8"/>
  <c r="D2133" i="8"/>
  <c r="F2133" i="8" s="1"/>
  <c r="C2133" i="8"/>
  <c r="B2133" i="8"/>
  <c r="D2132" i="8"/>
  <c r="F2132" i="8" s="1"/>
  <c r="C2132" i="8"/>
  <c r="B2132" i="8"/>
  <c r="D2131" i="8"/>
  <c r="F2131" i="8" s="1"/>
  <c r="C2131" i="8"/>
  <c r="B2131" i="8"/>
  <c r="D2130" i="8"/>
  <c r="F2130" i="8" s="1"/>
  <c r="C2130" i="8"/>
  <c r="B2130" i="8"/>
  <c r="D2129" i="8"/>
  <c r="F2129" i="8" s="1"/>
  <c r="C2129" i="8"/>
  <c r="B2129" i="8"/>
  <c r="D2128" i="8"/>
  <c r="F2128" i="8" s="1"/>
  <c r="C2128" i="8"/>
  <c r="B2128" i="8"/>
  <c r="D2127" i="8"/>
  <c r="F2127" i="8" s="1"/>
  <c r="C2127" i="8"/>
  <c r="B2127" i="8"/>
  <c r="D2126" i="8"/>
  <c r="F2126" i="8" s="1"/>
  <c r="C2126" i="8"/>
  <c r="B2126" i="8"/>
  <c r="D2125" i="8"/>
  <c r="F2125" i="8" s="1"/>
  <c r="C2125" i="8"/>
  <c r="B2125" i="8"/>
  <c r="D2124" i="8"/>
  <c r="F2124" i="8" s="1"/>
  <c r="C2124" i="8"/>
  <c r="B2124" i="8"/>
  <c r="D2123" i="8"/>
  <c r="F2123" i="8" s="1"/>
  <c r="C2123" i="8"/>
  <c r="B2123" i="8"/>
  <c r="D2122" i="8"/>
  <c r="F2122" i="8" s="1"/>
  <c r="C2122" i="8"/>
  <c r="B2122" i="8"/>
  <c r="D2121" i="8"/>
  <c r="F2121" i="8" s="1"/>
  <c r="C2121" i="8"/>
  <c r="B2121" i="8"/>
  <c r="D2120" i="8"/>
  <c r="F2120" i="8" s="1"/>
  <c r="C2120" i="8"/>
  <c r="B2120" i="8"/>
  <c r="D2119" i="8"/>
  <c r="F2119" i="8" s="1"/>
  <c r="C2119" i="8"/>
  <c r="B2119" i="8"/>
  <c r="D2118" i="8"/>
  <c r="F2118" i="8" s="1"/>
  <c r="C2118" i="8"/>
  <c r="B2118" i="8"/>
  <c r="D2117" i="8"/>
  <c r="F2117" i="8" s="1"/>
  <c r="C2117" i="8"/>
  <c r="B2117" i="8"/>
  <c r="D2116" i="8"/>
  <c r="F2116" i="8" s="1"/>
  <c r="C2116" i="8"/>
  <c r="B2116" i="8"/>
  <c r="D2115" i="8"/>
  <c r="F2115" i="8" s="1"/>
  <c r="C2115" i="8"/>
  <c r="B2115" i="8"/>
  <c r="D2114" i="8"/>
  <c r="F2114" i="8" s="1"/>
  <c r="C2114" i="8"/>
  <c r="B2114" i="8"/>
  <c r="D2113" i="8"/>
  <c r="F2113" i="8" s="1"/>
  <c r="C2113" i="8"/>
  <c r="B2113" i="8"/>
  <c r="D2112" i="8"/>
  <c r="F2112" i="8" s="1"/>
  <c r="C2112" i="8"/>
  <c r="B2112" i="8"/>
  <c r="D2111" i="8"/>
  <c r="F2111" i="8" s="1"/>
  <c r="C2111" i="8"/>
  <c r="B2111" i="8"/>
  <c r="D2110" i="8"/>
  <c r="F2110" i="8" s="1"/>
  <c r="C2110" i="8"/>
  <c r="B2110" i="8"/>
  <c r="D2109" i="8"/>
  <c r="F2109" i="8" s="1"/>
  <c r="C2109" i="8"/>
  <c r="B2109" i="8"/>
  <c r="D2108" i="8"/>
  <c r="F2108" i="8" s="1"/>
  <c r="C2108" i="8"/>
  <c r="B2108" i="8"/>
  <c r="D2107" i="8"/>
  <c r="F2107" i="8" s="1"/>
  <c r="C2107" i="8"/>
  <c r="B2107" i="8"/>
  <c r="D2106" i="8"/>
  <c r="F2106" i="8" s="1"/>
  <c r="C2106" i="8"/>
  <c r="B2106" i="8"/>
  <c r="D2105" i="8"/>
  <c r="F2105" i="8" s="1"/>
  <c r="C2105" i="8"/>
  <c r="B2105" i="8"/>
  <c r="D2104" i="8"/>
  <c r="F2104" i="8" s="1"/>
  <c r="C2104" i="8"/>
  <c r="B2104" i="8"/>
  <c r="D2103" i="8"/>
  <c r="F2103" i="8" s="1"/>
  <c r="C2103" i="8"/>
  <c r="B2103" i="8"/>
  <c r="D2102" i="8"/>
  <c r="F2102" i="8" s="1"/>
  <c r="C2102" i="8"/>
  <c r="B2102" i="8"/>
  <c r="D2101" i="8"/>
  <c r="F2101" i="8" s="1"/>
  <c r="C2101" i="8"/>
  <c r="B2101" i="8"/>
  <c r="D2100" i="8"/>
  <c r="F2100" i="8" s="1"/>
  <c r="C2100" i="8"/>
  <c r="B2100" i="8"/>
  <c r="D2099" i="8"/>
  <c r="F2099" i="8" s="1"/>
  <c r="C2099" i="8"/>
  <c r="B2099" i="8"/>
  <c r="D2098" i="8"/>
  <c r="F2098" i="8" s="1"/>
  <c r="C2098" i="8"/>
  <c r="B2098" i="8"/>
  <c r="D2097" i="8"/>
  <c r="F2097" i="8" s="1"/>
  <c r="C2097" i="8"/>
  <c r="B2097" i="8"/>
  <c r="D2096" i="8"/>
  <c r="F2096" i="8" s="1"/>
  <c r="C2096" i="8"/>
  <c r="B2096" i="8"/>
  <c r="D2095" i="8"/>
  <c r="F2095" i="8" s="1"/>
  <c r="C2095" i="8"/>
  <c r="B2095" i="8"/>
  <c r="D2094" i="8"/>
  <c r="F2094" i="8" s="1"/>
  <c r="C2094" i="8"/>
  <c r="B2094" i="8"/>
  <c r="D2093" i="8"/>
  <c r="F2093" i="8" s="1"/>
  <c r="C2093" i="8"/>
  <c r="B2093" i="8"/>
  <c r="D2092" i="8"/>
  <c r="F2092" i="8" s="1"/>
  <c r="C2092" i="8"/>
  <c r="B2092" i="8"/>
  <c r="D2091" i="8"/>
  <c r="F2091" i="8" s="1"/>
  <c r="C2091" i="8"/>
  <c r="B2091" i="8"/>
  <c r="D2090" i="8"/>
  <c r="F2090" i="8" s="1"/>
  <c r="C2090" i="8"/>
  <c r="B2090" i="8"/>
  <c r="D2089" i="8"/>
  <c r="F2089" i="8" s="1"/>
  <c r="C2089" i="8"/>
  <c r="B2089" i="8"/>
  <c r="D2088" i="8"/>
  <c r="F2088" i="8" s="1"/>
  <c r="C2088" i="8"/>
  <c r="B2088" i="8"/>
  <c r="D2087" i="8"/>
  <c r="F2087" i="8" s="1"/>
  <c r="C2087" i="8"/>
  <c r="B2087" i="8"/>
  <c r="D2086" i="8"/>
  <c r="F2086" i="8" s="1"/>
  <c r="C2086" i="8"/>
  <c r="B2086" i="8"/>
  <c r="D2085" i="8"/>
  <c r="F2085" i="8" s="1"/>
  <c r="K429" i="5" s="1"/>
  <c r="J429" i="5" s="1"/>
  <c r="C2085" i="8"/>
  <c r="B2085" i="8"/>
  <c r="D2084" i="8"/>
  <c r="F2084" i="8" s="1"/>
  <c r="C2084" i="8"/>
  <c r="B2084" i="8"/>
  <c r="D2083" i="8"/>
  <c r="F2083" i="8" s="1"/>
  <c r="C2083" i="8"/>
  <c r="B2083" i="8"/>
  <c r="D2082" i="8"/>
  <c r="F2082" i="8" s="1"/>
  <c r="C2082" i="8"/>
  <c r="B2082" i="8"/>
  <c r="D2081" i="8"/>
  <c r="F2081" i="8" s="1"/>
  <c r="C2081" i="8"/>
  <c r="B2081" i="8"/>
  <c r="D2080" i="8"/>
  <c r="F2080" i="8" s="1"/>
  <c r="C2080" i="8"/>
  <c r="B2080" i="8"/>
  <c r="D2079" i="8"/>
  <c r="F2079" i="8" s="1"/>
  <c r="C2079" i="8"/>
  <c r="B2079" i="8"/>
  <c r="D2078" i="8"/>
  <c r="F2078" i="8" s="1"/>
  <c r="C2078" i="8"/>
  <c r="B2078" i="8"/>
  <c r="D2077" i="8"/>
  <c r="F2077" i="8" s="1"/>
  <c r="C2077" i="8"/>
  <c r="B2077" i="8"/>
  <c r="D2076" i="8"/>
  <c r="F2076" i="8" s="1"/>
  <c r="C2076" i="8"/>
  <c r="B2076" i="8"/>
  <c r="D2075" i="8"/>
  <c r="F2075" i="8" s="1"/>
  <c r="C2075" i="8"/>
  <c r="B2075" i="8"/>
  <c r="D2074" i="8"/>
  <c r="F2074" i="8" s="1"/>
  <c r="C2074" i="8"/>
  <c r="B2074" i="8"/>
  <c r="D2073" i="8"/>
  <c r="F2073" i="8" s="1"/>
  <c r="C2073" i="8"/>
  <c r="B2073" i="8"/>
  <c r="D2072" i="8"/>
  <c r="F2072" i="8" s="1"/>
  <c r="C2072" i="8"/>
  <c r="B2072" i="8"/>
  <c r="D2071" i="8"/>
  <c r="F2071" i="8" s="1"/>
  <c r="C2071" i="8"/>
  <c r="B2071" i="8"/>
  <c r="D2070" i="8"/>
  <c r="F2070" i="8" s="1"/>
  <c r="C2070" i="8"/>
  <c r="B2070" i="8"/>
  <c r="D2069" i="8"/>
  <c r="F2069" i="8" s="1"/>
  <c r="C2069" i="8"/>
  <c r="B2069" i="8"/>
  <c r="D2068" i="8"/>
  <c r="F2068" i="8" s="1"/>
  <c r="C2068" i="8"/>
  <c r="B2068" i="8"/>
  <c r="D2067" i="8"/>
  <c r="F2067" i="8" s="1"/>
  <c r="C2067" i="8"/>
  <c r="B2067" i="8"/>
  <c r="D2066" i="8"/>
  <c r="F2066" i="8" s="1"/>
  <c r="C2066" i="8"/>
  <c r="B2066" i="8"/>
  <c r="D2065" i="8"/>
  <c r="F2065" i="8" s="1"/>
  <c r="C2065" i="8"/>
  <c r="B2065" i="8"/>
  <c r="D2064" i="8"/>
  <c r="F2064" i="8" s="1"/>
  <c r="C2064" i="8"/>
  <c r="B2064" i="8"/>
  <c r="D2063" i="8"/>
  <c r="F2063" i="8" s="1"/>
  <c r="C2063" i="8"/>
  <c r="B2063" i="8"/>
  <c r="D2062" i="8"/>
  <c r="F2062" i="8" s="1"/>
  <c r="C2062" i="8"/>
  <c r="B2062" i="8"/>
  <c r="D2061" i="8"/>
  <c r="F2061" i="8" s="1"/>
  <c r="C2061" i="8"/>
  <c r="B2061" i="8"/>
  <c r="D2060" i="8"/>
  <c r="F2060" i="8" s="1"/>
  <c r="C2060" i="8"/>
  <c r="B2060" i="8"/>
  <c r="D2059" i="8"/>
  <c r="F2059" i="8" s="1"/>
  <c r="C2059" i="8"/>
  <c r="B2059" i="8"/>
  <c r="D2058" i="8"/>
  <c r="F2058" i="8" s="1"/>
  <c r="C2058" i="8"/>
  <c r="B2058" i="8"/>
  <c r="D2057" i="8"/>
  <c r="F2057" i="8" s="1"/>
  <c r="C2057" i="8"/>
  <c r="B2057" i="8"/>
  <c r="D2056" i="8"/>
  <c r="F2056" i="8" s="1"/>
  <c r="C2056" i="8"/>
  <c r="B2056" i="8"/>
  <c r="D2055" i="8"/>
  <c r="F2055" i="8" s="1"/>
  <c r="C2055" i="8"/>
  <c r="B2055" i="8"/>
  <c r="D2054" i="8"/>
  <c r="F2054" i="8" s="1"/>
  <c r="C2054" i="8"/>
  <c r="B2054" i="8"/>
  <c r="D2053" i="8"/>
  <c r="F2053" i="8" s="1"/>
  <c r="C2053" i="8"/>
  <c r="B2053" i="8"/>
  <c r="D2052" i="8"/>
  <c r="F2052" i="8" s="1"/>
  <c r="C2052" i="8"/>
  <c r="B2052" i="8"/>
  <c r="D2051" i="8"/>
  <c r="F2051" i="8" s="1"/>
  <c r="C2051" i="8"/>
  <c r="B2051" i="8"/>
  <c r="D2050" i="8"/>
  <c r="F2050" i="8" s="1"/>
  <c r="C2050" i="8"/>
  <c r="B2050" i="8"/>
  <c r="D2049" i="8"/>
  <c r="F2049" i="8" s="1"/>
  <c r="C2049" i="8"/>
  <c r="B2049" i="8"/>
  <c r="D2048" i="8"/>
  <c r="F2048" i="8" s="1"/>
  <c r="C2048" i="8"/>
  <c r="B2048" i="8"/>
  <c r="D2047" i="8"/>
  <c r="F2047" i="8" s="1"/>
  <c r="C2047" i="8"/>
  <c r="B2047" i="8"/>
  <c r="D2046" i="8"/>
  <c r="F2046" i="8" s="1"/>
  <c r="C2046" i="8"/>
  <c r="B2046" i="8"/>
  <c r="D2045" i="8"/>
  <c r="F2045" i="8" s="1"/>
  <c r="C2045" i="8"/>
  <c r="B2045" i="8"/>
  <c r="D2044" i="8"/>
  <c r="F2044" i="8" s="1"/>
  <c r="C2044" i="8"/>
  <c r="B2044" i="8"/>
  <c r="D2043" i="8"/>
  <c r="F2043" i="8" s="1"/>
  <c r="C2043" i="8"/>
  <c r="B2043" i="8"/>
  <c r="D2042" i="8"/>
  <c r="F2042" i="8" s="1"/>
  <c r="C2042" i="8"/>
  <c r="B2042" i="8"/>
  <c r="D2041" i="8"/>
  <c r="F2041" i="8" s="1"/>
  <c r="C2041" i="8"/>
  <c r="B2041" i="8"/>
  <c r="D2040" i="8"/>
  <c r="F2040" i="8" s="1"/>
  <c r="C2040" i="8"/>
  <c r="B2040" i="8"/>
  <c r="D2039" i="8"/>
  <c r="F2039" i="8" s="1"/>
  <c r="C2039" i="8"/>
  <c r="B2039" i="8"/>
  <c r="D2038" i="8"/>
  <c r="F2038" i="8" s="1"/>
  <c r="C2038" i="8"/>
  <c r="B2038" i="8"/>
  <c r="D2037" i="8"/>
  <c r="F2037" i="8" s="1"/>
  <c r="C2037" i="8"/>
  <c r="B2037" i="8"/>
  <c r="D2036" i="8"/>
  <c r="F2036" i="8" s="1"/>
  <c r="C2036" i="8"/>
  <c r="B2036" i="8"/>
  <c r="D2035" i="8"/>
  <c r="F2035" i="8" s="1"/>
  <c r="C2035" i="8"/>
  <c r="B2035" i="8"/>
  <c r="D2034" i="8"/>
  <c r="F2034" i="8" s="1"/>
  <c r="C2034" i="8"/>
  <c r="B2034" i="8"/>
  <c r="D2033" i="8"/>
  <c r="F2033" i="8" s="1"/>
  <c r="C2033" i="8"/>
  <c r="B2033" i="8"/>
  <c r="D2032" i="8"/>
  <c r="F2032" i="8" s="1"/>
  <c r="C2032" i="8"/>
  <c r="B2032" i="8"/>
  <c r="D2031" i="8"/>
  <c r="F2031" i="8" s="1"/>
  <c r="C2031" i="8"/>
  <c r="B2031" i="8"/>
  <c r="D2030" i="8"/>
  <c r="F2030" i="8" s="1"/>
  <c r="C2030" i="8"/>
  <c r="B2030" i="8"/>
  <c r="D2029" i="8"/>
  <c r="F2029" i="8" s="1"/>
  <c r="C2029" i="8"/>
  <c r="B2029" i="8"/>
  <c r="D2028" i="8"/>
  <c r="F2028" i="8" s="1"/>
  <c r="C2028" i="8"/>
  <c r="B2028" i="8"/>
  <c r="D2027" i="8"/>
  <c r="F2027" i="8" s="1"/>
  <c r="C2027" i="8"/>
  <c r="B2027" i="8"/>
  <c r="D2026" i="8"/>
  <c r="F2026" i="8" s="1"/>
  <c r="C2026" i="8"/>
  <c r="B2026" i="8"/>
  <c r="D2025" i="8"/>
  <c r="F2025" i="8" s="1"/>
  <c r="C2025" i="8"/>
  <c r="B2025" i="8"/>
  <c r="D2024" i="8"/>
  <c r="F2024" i="8" s="1"/>
  <c r="C2024" i="8"/>
  <c r="B2024" i="8"/>
  <c r="D2023" i="8"/>
  <c r="F2023" i="8" s="1"/>
  <c r="C2023" i="8"/>
  <c r="B2023" i="8"/>
  <c r="D2022" i="8"/>
  <c r="F2022" i="8" s="1"/>
  <c r="C2022" i="8"/>
  <c r="B2022" i="8"/>
  <c r="D2021" i="8"/>
  <c r="F2021" i="8" s="1"/>
  <c r="K455" i="5" s="1"/>
  <c r="J455" i="5" s="1"/>
  <c r="C2021" i="8"/>
  <c r="B2021" i="8"/>
  <c r="D2020" i="8"/>
  <c r="F2020" i="8" s="1"/>
  <c r="K414" i="5" s="1"/>
  <c r="J414" i="5" s="1"/>
  <c r="C2020" i="8"/>
  <c r="B2020" i="8"/>
  <c r="D2019" i="8"/>
  <c r="F2019" i="8" s="1"/>
  <c r="C2019" i="8"/>
  <c r="B2019" i="8"/>
  <c r="D2018" i="8"/>
  <c r="F2018" i="8" s="1"/>
  <c r="C2018" i="8"/>
  <c r="B2018" i="8"/>
  <c r="D2017" i="8"/>
  <c r="F2017" i="8" s="1"/>
  <c r="C2017" i="8"/>
  <c r="B2017" i="8"/>
  <c r="D2016" i="8"/>
  <c r="F2016" i="8" s="1"/>
  <c r="C2016" i="8"/>
  <c r="B2016" i="8"/>
  <c r="D2015" i="8"/>
  <c r="F2015" i="8" s="1"/>
  <c r="C2015" i="8"/>
  <c r="B2015" i="8"/>
  <c r="D2014" i="8"/>
  <c r="F2014" i="8" s="1"/>
  <c r="C2014" i="8"/>
  <c r="B2014" i="8"/>
  <c r="D2013" i="8"/>
  <c r="F2013" i="8" s="1"/>
  <c r="C2013" i="8"/>
  <c r="B2013" i="8"/>
  <c r="D2012" i="8"/>
  <c r="F2012" i="8" s="1"/>
  <c r="C2012" i="8"/>
  <c r="B2012" i="8"/>
  <c r="D2011" i="8"/>
  <c r="F2011" i="8" s="1"/>
  <c r="C2011" i="8"/>
  <c r="B2011" i="8"/>
  <c r="D2010" i="8"/>
  <c r="F2010" i="8" s="1"/>
  <c r="C2010" i="8"/>
  <c r="B2010" i="8"/>
  <c r="D2009" i="8"/>
  <c r="F2009" i="8" s="1"/>
  <c r="C2009" i="8"/>
  <c r="B2009" i="8"/>
  <c r="D2008" i="8"/>
  <c r="F2008" i="8" s="1"/>
  <c r="C2008" i="8"/>
  <c r="B2008" i="8"/>
  <c r="D2007" i="8"/>
  <c r="F2007" i="8" s="1"/>
  <c r="C2007" i="8"/>
  <c r="B2007" i="8"/>
  <c r="D2006" i="8"/>
  <c r="F2006" i="8" s="1"/>
  <c r="C2006" i="8"/>
  <c r="B2006" i="8"/>
  <c r="D2005" i="8"/>
  <c r="F2005" i="8" s="1"/>
  <c r="C2005" i="8"/>
  <c r="B2005" i="8"/>
  <c r="D2004" i="8"/>
  <c r="F2004" i="8" s="1"/>
  <c r="C2004" i="8"/>
  <c r="B2004" i="8"/>
  <c r="D2003" i="8"/>
  <c r="F2003" i="8" s="1"/>
  <c r="C2003" i="8"/>
  <c r="B2003" i="8"/>
  <c r="D2002" i="8"/>
  <c r="F2002" i="8" s="1"/>
  <c r="C2002" i="8"/>
  <c r="B2002" i="8"/>
  <c r="D2001" i="8"/>
  <c r="F2001" i="8" s="1"/>
  <c r="C2001" i="8"/>
  <c r="B2001" i="8"/>
  <c r="D2000" i="8"/>
  <c r="F2000" i="8" s="1"/>
  <c r="C2000" i="8"/>
  <c r="B2000" i="8"/>
  <c r="D1999" i="8"/>
  <c r="F1999" i="8" s="1"/>
  <c r="C1999" i="8"/>
  <c r="B1999" i="8"/>
  <c r="D1998" i="8"/>
  <c r="F1998" i="8" s="1"/>
  <c r="C1998" i="8"/>
  <c r="B1998" i="8"/>
  <c r="D1997" i="8"/>
  <c r="F1997" i="8" s="1"/>
  <c r="C1997" i="8"/>
  <c r="B1997" i="8"/>
  <c r="D1996" i="8"/>
  <c r="F1996" i="8" s="1"/>
  <c r="C1996" i="8"/>
  <c r="B1996" i="8"/>
  <c r="D1995" i="8"/>
  <c r="F1995" i="8" s="1"/>
  <c r="C1995" i="8"/>
  <c r="B1995" i="8"/>
  <c r="D1994" i="8"/>
  <c r="F1994" i="8" s="1"/>
  <c r="C1994" i="8"/>
  <c r="B1994" i="8"/>
  <c r="D1993" i="8"/>
  <c r="F1993" i="8" s="1"/>
  <c r="C1993" i="8"/>
  <c r="B1993" i="8"/>
  <c r="D1992" i="8"/>
  <c r="F1992" i="8" s="1"/>
  <c r="C1992" i="8"/>
  <c r="B1992" i="8"/>
  <c r="D1991" i="8"/>
  <c r="F1991" i="8" s="1"/>
  <c r="C1991" i="8"/>
  <c r="B1991" i="8"/>
  <c r="D1990" i="8"/>
  <c r="F1990" i="8" s="1"/>
  <c r="C1990" i="8"/>
  <c r="B1990" i="8"/>
  <c r="D1989" i="8"/>
  <c r="F1989" i="8" s="1"/>
  <c r="C1989" i="8"/>
  <c r="B1989" i="8"/>
  <c r="D1988" i="8"/>
  <c r="F1988" i="8" s="1"/>
  <c r="C1988" i="8"/>
  <c r="B1988" i="8"/>
  <c r="D1987" i="8"/>
  <c r="F1987" i="8" s="1"/>
  <c r="C1987" i="8"/>
  <c r="B1987" i="8"/>
  <c r="D1986" i="8"/>
  <c r="F1986" i="8" s="1"/>
  <c r="C1986" i="8"/>
  <c r="B1986" i="8"/>
  <c r="D1985" i="8"/>
  <c r="F1985" i="8" s="1"/>
  <c r="C1985" i="8"/>
  <c r="B1985" i="8"/>
  <c r="D1984" i="8"/>
  <c r="F1984" i="8" s="1"/>
  <c r="C1984" i="8"/>
  <c r="B1984" i="8"/>
  <c r="D1983" i="8"/>
  <c r="F1983" i="8" s="1"/>
  <c r="C1983" i="8"/>
  <c r="B1983" i="8"/>
  <c r="D1982" i="8"/>
  <c r="F1982" i="8" s="1"/>
  <c r="C1982" i="8"/>
  <c r="B1982" i="8"/>
  <c r="D1981" i="8"/>
  <c r="F1981" i="8" s="1"/>
  <c r="C1981" i="8"/>
  <c r="B1981" i="8"/>
  <c r="D1980" i="8"/>
  <c r="F1980" i="8" s="1"/>
  <c r="C1980" i="8"/>
  <c r="B1980" i="8"/>
  <c r="D1979" i="8"/>
  <c r="F1979" i="8" s="1"/>
  <c r="C1979" i="8"/>
  <c r="B1979" i="8"/>
  <c r="D1978" i="8"/>
  <c r="F1978" i="8" s="1"/>
  <c r="C1978" i="8"/>
  <c r="B1978" i="8"/>
  <c r="D1977" i="8"/>
  <c r="F1977" i="8" s="1"/>
  <c r="C1977" i="8"/>
  <c r="B1977" i="8"/>
  <c r="D1976" i="8"/>
  <c r="F1976" i="8" s="1"/>
  <c r="C1976" i="8"/>
  <c r="B1976" i="8"/>
  <c r="D1975" i="8"/>
  <c r="F1975" i="8" s="1"/>
  <c r="C1975" i="8"/>
  <c r="B1975" i="8"/>
  <c r="D1974" i="8"/>
  <c r="F1974" i="8" s="1"/>
  <c r="C1974" i="8"/>
  <c r="B1974" i="8"/>
  <c r="D1973" i="8"/>
  <c r="F1973" i="8" s="1"/>
  <c r="C1973" i="8"/>
  <c r="B1973" i="8"/>
  <c r="D1972" i="8"/>
  <c r="F1972" i="8" s="1"/>
  <c r="C1972" i="8"/>
  <c r="B1972" i="8"/>
  <c r="D1971" i="8"/>
  <c r="F1971" i="8" s="1"/>
  <c r="C1971" i="8"/>
  <c r="B1971" i="8"/>
  <c r="D1970" i="8"/>
  <c r="F1970" i="8" s="1"/>
  <c r="C1970" i="8"/>
  <c r="B1970" i="8"/>
  <c r="D1969" i="8"/>
  <c r="F1969" i="8" s="1"/>
  <c r="C1969" i="8"/>
  <c r="B1969" i="8"/>
  <c r="D1968" i="8"/>
  <c r="F1968" i="8" s="1"/>
  <c r="C1968" i="8"/>
  <c r="B1968" i="8"/>
  <c r="D1967" i="8"/>
  <c r="F1967" i="8" s="1"/>
  <c r="C1967" i="8"/>
  <c r="B1967" i="8"/>
  <c r="D1966" i="8"/>
  <c r="F1966" i="8" s="1"/>
  <c r="C1966" i="8"/>
  <c r="B1966" i="8"/>
  <c r="D1965" i="8"/>
  <c r="F1965" i="8" s="1"/>
  <c r="C1965" i="8"/>
  <c r="B1965" i="8"/>
  <c r="D1964" i="8"/>
  <c r="F1964" i="8" s="1"/>
  <c r="C1964" i="8"/>
  <c r="B1964" i="8"/>
  <c r="D1963" i="8"/>
  <c r="F1963" i="8" s="1"/>
  <c r="C1963" i="8"/>
  <c r="B1963" i="8"/>
  <c r="D1962" i="8"/>
  <c r="F1962" i="8" s="1"/>
  <c r="C1962" i="8"/>
  <c r="B1962" i="8"/>
  <c r="D1961" i="8"/>
  <c r="F1961" i="8" s="1"/>
  <c r="C1961" i="8"/>
  <c r="B1961" i="8"/>
  <c r="D1960" i="8"/>
  <c r="F1960" i="8" s="1"/>
  <c r="C1960" i="8"/>
  <c r="B1960" i="8"/>
  <c r="D1959" i="8"/>
  <c r="F1959" i="8" s="1"/>
  <c r="C1959" i="8"/>
  <c r="B1959" i="8"/>
  <c r="D1958" i="8"/>
  <c r="F1958" i="8" s="1"/>
  <c r="C1958" i="8"/>
  <c r="B1958" i="8"/>
  <c r="D1957" i="8"/>
  <c r="F1957" i="8" s="1"/>
  <c r="C1957" i="8"/>
  <c r="B1957" i="8"/>
  <c r="D1956" i="8"/>
  <c r="F1956" i="8" s="1"/>
  <c r="C1956" i="8"/>
  <c r="B1956" i="8"/>
  <c r="D1955" i="8"/>
  <c r="F1955" i="8" s="1"/>
  <c r="C1955" i="8"/>
  <c r="B1955" i="8"/>
  <c r="D1954" i="8"/>
  <c r="F1954" i="8" s="1"/>
  <c r="C1954" i="8"/>
  <c r="B1954" i="8"/>
  <c r="D1953" i="8"/>
  <c r="F1953" i="8" s="1"/>
  <c r="C1953" i="8"/>
  <c r="B1953" i="8"/>
  <c r="D1952" i="8"/>
  <c r="F1952" i="8" s="1"/>
  <c r="C1952" i="8"/>
  <c r="B1952" i="8"/>
  <c r="D1951" i="8"/>
  <c r="F1951" i="8" s="1"/>
  <c r="C1951" i="8"/>
  <c r="B1951" i="8"/>
  <c r="D1950" i="8"/>
  <c r="F1950" i="8" s="1"/>
  <c r="C1950" i="8"/>
  <c r="B1950" i="8"/>
  <c r="D1949" i="8"/>
  <c r="F1949" i="8" s="1"/>
  <c r="C1949" i="8"/>
  <c r="B1949" i="8"/>
  <c r="D1948" i="8"/>
  <c r="F1948" i="8" s="1"/>
  <c r="C1948" i="8"/>
  <c r="B1948" i="8"/>
  <c r="D1947" i="8"/>
  <c r="F1947" i="8" s="1"/>
  <c r="C1947" i="8"/>
  <c r="B1947" i="8"/>
  <c r="D1946" i="8"/>
  <c r="F1946" i="8" s="1"/>
  <c r="C1946" i="8"/>
  <c r="B1946" i="8"/>
  <c r="D1945" i="8"/>
  <c r="F1945" i="8" s="1"/>
  <c r="C1945" i="8"/>
  <c r="B1945" i="8"/>
  <c r="D1944" i="8"/>
  <c r="F1944" i="8" s="1"/>
  <c r="C1944" i="8"/>
  <c r="B1944" i="8"/>
  <c r="D1943" i="8"/>
  <c r="F1943" i="8" s="1"/>
  <c r="C1943" i="8"/>
  <c r="B1943" i="8"/>
  <c r="D1942" i="8"/>
  <c r="F1942" i="8" s="1"/>
  <c r="C1942" i="8"/>
  <c r="B1942" i="8"/>
  <c r="D1941" i="8"/>
  <c r="F1941" i="8" s="1"/>
  <c r="C1941" i="8"/>
  <c r="B1941" i="8"/>
  <c r="D1940" i="8"/>
  <c r="F1940" i="8" s="1"/>
  <c r="C1940" i="8"/>
  <c r="B1940" i="8"/>
  <c r="D1939" i="8"/>
  <c r="F1939" i="8" s="1"/>
  <c r="C1939" i="8"/>
  <c r="B1939" i="8"/>
  <c r="D1938" i="8"/>
  <c r="F1938" i="8" s="1"/>
  <c r="C1938" i="8"/>
  <c r="B1938" i="8"/>
  <c r="D1937" i="8"/>
  <c r="F1937" i="8" s="1"/>
  <c r="C1937" i="8"/>
  <c r="B1937" i="8"/>
  <c r="D1936" i="8"/>
  <c r="F1936" i="8" s="1"/>
  <c r="C1936" i="8"/>
  <c r="B1936" i="8"/>
  <c r="D1935" i="8"/>
  <c r="F1935" i="8" s="1"/>
  <c r="C1935" i="8"/>
  <c r="B1935" i="8"/>
  <c r="D1934" i="8"/>
  <c r="F1934" i="8" s="1"/>
  <c r="C1934" i="8"/>
  <c r="B1934" i="8"/>
  <c r="D1933" i="8"/>
  <c r="F1933" i="8" s="1"/>
  <c r="C1933" i="8"/>
  <c r="B1933" i="8"/>
  <c r="D1932" i="8"/>
  <c r="F1932" i="8" s="1"/>
  <c r="C1932" i="8"/>
  <c r="B1932" i="8"/>
  <c r="D1931" i="8"/>
  <c r="F1931" i="8" s="1"/>
  <c r="C1931" i="8"/>
  <c r="B1931" i="8"/>
  <c r="D1930" i="8"/>
  <c r="F1930" i="8" s="1"/>
  <c r="C1930" i="8"/>
  <c r="B1930" i="8"/>
  <c r="D1929" i="8"/>
  <c r="F1929" i="8" s="1"/>
  <c r="C1929" i="8"/>
  <c r="B1929" i="8"/>
  <c r="D1928" i="8"/>
  <c r="F1928" i="8" s="1"/>
  <c r="C1928" i="8"/>
  <c r="B1928" i="8"/>
  <c r="D1927" i="8"/>
  <c r="F1927" i="8" s="1"/>
  <c r="C1927" i="8"/>
  <c r="B1927" i="8"/>
  <c r="D1926" i="8"/>
  <c r="F1926" i="8" s="1"/>
  <c r="C1926" i="8"/>
  <c r="B1926" i="8"/>
  <c r="D1925" i="8"/>
  <c r="F1925" i="8" s="1"/>
  <c r="C1925" i="8"/>
  <c r="B1925" i="8"/>
  <c r="D1924" i="8"/>
  <c r="F1924" i="8" s="1"/>
  <c r="C1924" i="8"/>
  <c r="B1924" i="8"/>
  <c r="D1923" i="8"/>
  <c r="F1923" i="8" s="1"/>
  <c r="C1923" i="8"/>
  <c r="B1923" i="8"/>
  <c r="D1922" i="8"/>
  <c r="F1922" i="8" s="1"/>
  <c r="C1922" i="8"/>
  <c r="B1922" i="8"/>
  <c r="D1921" i="8"/>
  <c r="F1921" i="8" s="1"/>
  <c r="C1921" i="8"/>
  <c r="B1921" i="8"/>
  <c r="D1920" i="8"/>
  <c r="F1920" i="8" s="1"/>
  <c r="C1920" i="8"/>
  <c r="B1920" i="8"/>
  <c r="D1919" i="8"/>
  <c r="F1919" i="8" s="1"/>
  <c r="C1919" i="8"/>
  <c r="B1919" i="8"/>
  <c r="D1918" i="8"/>
  <c r="F1918" i="8" s="1"/>
  <c r="C1918" i="8"/>
  <c r="B1918" i="8"/>
  <c r="D1917" i="8"/>
  <c r="F1917" i="8" s="1"/>
  <c r="C1917" i="8"/>
  <c r="B1917" i="8"/>
  <c r="D1916" i="8"/>
  <c r="F1916" i="8" s="1"/>
  <c r="C1916" i="8"/>
  <c r="B1916" i="8"/>
  <c r="D1915" i="8"/>
  <c r="F1915" i="8" s="1"/>
  <c r="C1915" i="8"/>
  <c r="B1915" i="8"/>
  <c r="D1914" i="8"/>
  <c r="F1914" i="8" s="1"/>
  <c r="C1914" i="8"/>
  <c r="B1914" i="8"/>
  <c r="D1913" i="8"/>
  <c r="F1913" i="8" s="1"/>
  <c r="C1913" i="8"/>
  <c r="B1913" i="8"/>
  <c r="D1912" i="8"/>
  <c r="F1912" i="8" s="1"/>
  <c r="C1912" i="8"/>
  <c r="B1912" i="8"/>
  <c r="D1911" i="8"/>
  <c r="F1911" i="8" s="1"/>
  <c r="C1911" i="8"/>
  <c r="B1911" i="8"/>
  <c r="D1910" i="8"/>
  <c r="F1910" i="8" s="1"/>
  <c r="C1910" i="8"/>
  <c r="B1910" i="8"/>
  <c r="D1909" i="8"/>
  <c r="F1909" i="8" s="1"/>
  <c r="C1909" i="8"/>
  <c r="B1909" i="8"/>
  <c r="D1908" i="8"/>
  <c r="F1908" i="8" s="1"/>
  <c r="C1908" i="8"/>
  <c r="B1908" i="8"/>
  <c r="D1907" i="8"/>
  <c r="F1907" i="8" s="1"/>
  <c r="C1907" i="8"/>
  <c r="B1907" i="8"/>
  <c r="D1906" i="8"/>
  <c r="F1906" i="8" s="1"/>
  <c r="C1906" i="8"/>
  <c r="B1906" i="8"/>
  <c r="D1905" i="8"/>
  <c r="F1905" i="8" s="1"/>
  <c r="C1905" i="8"/>
  <c r="B1905" i="8"/>
  <c r="D1904" i="8"/>
  <c r="F1904" i="8" s="1"/>
  <c r="C1904" i="8"/>
  <c r="B1904" i="8"/>
  <c r="D1903" i="8"/>
  <c r="F1903" i="8" s="1"/>
  <c r="C1903" i="8"/>
  <c r="B1903" i="8"/>
  <c r="D1902" i="8"/>
  <c r="F1902" i="8" s="1"/>
  <c r="C1902" i="8"/>
  <c r="B1902" i="8"/>
  <c r="D1901" i="8"/>
  <c r="F1901" i="8" s="1"/>
  <c r="C1901" i="8"/>
  <c r="B1901" i="8"/>
  <c r="D1900" i="8"/>
  <c r="F1900" i="8" s="1"/>
  <c r="C1900" i="8"/>
  <c r="B1900" i="8"/>
  <c r="D1899" i="8"/>
  <c r="F1899" i="8" s="1"/>
  <c r="C1899" i="8"/>
  <c r="B1899" i="8"/>
  <c r="D1898" i="8"/>
  <c r="F1898" i="8" s="1"/>
  <c r="C1898" i="8"/>
  <c r="B1898" i="8"/>
  <c r="D1897" i="8"/>
  <c r="F1897" i="8" s="1"/>
  <c r="C1897" i="8"/>
  <c r="B1897" i="8"/>
  <c r="D1896" i="8"/>
  <c r="F1896" i="8" s="1"/>
  <c r="C1896" i="8"/>
  <c r="B1896" i="8"/>
  <c r="D1895" i="8"/>
  <c r="F1895" i="8" s="1"/>
  <c r="C1895" i="8"/>
  <c r="B1895" i="8"/>
  <c r="D1894" i="8"/>
  <c r="F1894" i="8" s="1"/>
  <c r="C1894" i="8"/>
  <c r="B1894" i="8"/>
  <c r="D1893" i="8"/>
  <c r="F1893" i="8" s="1"/>
  <c r="C1893" i="8"/>
  <c r="B1893" i="8"/>
  <c r="D1892" i="8"/>
  <c r="F1892" i="8" s="1"/>
  <c r="C1892" i="8"/>
  <c r="B1892" i="8"/>
  <c r="D1891" i="8"/>
  <c r="F1891" i="8" s="1"/>
  <c r="C1891" i="8"/>
  <c r="B1891" i="8"/>
  <c r="D1890" i="8"/>
  <c r="F1890" i="8" s="1"/>
  <c r="C1890" i="8"/>
  <c r="B1890" i="8"/>
  <c r="D1889" i="8"/>
  <c r="F1889" i="8" s="1"/>
  <c r="C1889" i="8"/>
  <c r="B1889" i="8"/>
  <c r="D1888" i="8"/>
  <c r="F1888" i="8" s="1"/>
  <c r="C1888" i="8"/>
  <c r="B1888" i="8"/>
  <c r="D1887" i="8"/>
  <c r="F1887" i="8" s="1"/>
  <c r="C1887" i="8"/>
  <c r="B1887" i="8"/>
  <c r="D1886" i="8"/>
  <c r="F1886" i="8" s="1"/>
  <c r="C1886" i="8"/>
  <c r="B1886" i="8"/>
  <c r="D1885" i="8"/>
  <c r="F1885" i="8" s="1"/>
  <c r="C1885" i="8"/>
  <c r="B1885" i="8"/>
  <c r="D1884" i="8"/>
  <c r="F1884" i="8" s="1"/>
  <c r="C1884" i="8"/>
  <c r="B1884" i="8"/>
  <c r="D1883" i="8"/>
  <c r="F1883" i="8" s="1"/>
  <c r="C1883" i="8"/>
  <c r="B1883" i="8"/>
  <c r="D1882" i="8"/>
  <c r="F1882" i="8" s="1"/>
  <c r="C1882" i="8"/>
  <c r="B1882" i="8"/>
  <c r="D1881" i="8"/>
  <c r="F1881" i="8" s="1"/>
  <c r="C1881" i="8"/>
  <c r="B1881" i="8"/>
  <c r="D1880" i="8"/>
  <c r="F1880" i="8" s="1"/>
  <c r="C1880" i="8"/>
  <c r="B1880" i="8"/>
  <c r="D1879" i="8"/>
  <c r="F1879" i="8" s="1"/>
  <c r="C1879" i="8"/>
  <c r="B1879" i="8"/>
  <c r="D1878" i="8"/>
  <c r="F1878" i="8" s="1"/>
  <c r="C1878" i="8"/>
  <c r="B1878" i="8"/>
  <c r="D1877" i="8"/>
  <c r="F1877" i="8" s="1"/>
  <c r="C1877" i="8"/>
  <c r="B1877" i="8"/>
  <c r="D1876" i="8"/>
  <c r="F1876" i="8" s="1"/>
  <c r="C1876" i="8"/>
  <c r="B1876" i="8"/>
  <c r="D1875" i="8"/>
  <c r="F1875" i="8" s="1"/>
  <c r="C1875" i="8"/>
  <c r="B1875" i="8"/>
  <c r="D1874" i="8"/>
  <c r="F1874" i="8" s="1"/>
  <c r="C1874" i="8"/>
  <c r="B1874" i="8"/>
  <c r="D1873" i="8"/>
  <c r="F1873" i="8" s="1"/>
  <c r="C1873" i="8"/>
  <c r="B1873" i="8"/>
  <c r="D1872" i="8"/>
  <c r="F1872" i="8" s="1"/>
  <c r="C1872" i="8"/>
  <c r="B1872" i="8"/>
  <c r="D1871" i="8"/>
  <c r="F1871" i="8" s="1"/>
  <c r="C1871" i="8"/>
  <c r="B1871" i="8"/>
  <c r="D1870" i="8"/>
  <c r="F1870" i="8" s="1"/>
  <c r="C1870" i="8"/>
  <c r="B1870" i="8"/>
  <c r="D1869" i="8"/>
  <c r="F1869" i="8" s="1"/>
  <c r="C1869" i="8"/>
  <c r="B1869" i="8"/>
  <c r="D1868" i="8"/>
  <c r="F1868" i="8" s="1"/>
  <c r="C1868" i="8"/>
  <c r="B1868" i="8"/>
  <c r="D1867" i="8"/>
  <c r="F1867" i="8" s="1"/>
  <c r="C1867" i="8"/>
  <c r="B1867" i="8"/>
  <c r="D1866" i="8"/>
  <c r="F1866" i="8" s="1"/>
  <c r="C1866" i="8"/>
  <c r="B1866" i="8"/>
  <c r="D1865" i="8"/>
  <c r="F1865" i="8" s="1"/>
  <c r="C1865" i="8"/>
  <c r="B1865" i="8"/>
  <c r="D1864" i="8"/>
  <c r="F1864" i="8" s="1"/>
  <c r="C1864" i="8"/>
  <c r="B1864" i="8"/>
  <c r="D1863" i="8"/>
  <c r="F1863" i="8" s="1"/>
  <c r="C1863" i="8"/>
  <c r="B1863" i="8"/>
  <c r="D1862" i="8"/>
  <c r="F1862" i="8" s="1"/>
  <c r="C1862" i="8"/>
  <c r="B1862" i="8"/>
  <c r="D1861" i="8"/>
  <c r="F1861" i="8" s="1"/>
  <c r="C1861" i="8"/>
  <c r="B1861" i="8"/>
  <c r="D1860" i="8"/>
  <c r="F1860" i="8" s="1"/>
  <c r="C1860" i="8"/>
  <c r="B1860" i="8"/>
  <c r="D1859" i="8"/>
  <c r="F1859" i="8" s="1"/>
  <c r="C1859" i="8"/>
  <c r="B1859" i="8"/>
  <c r="D1858" i="8"/>
  <c r="F1858" i="8" s="1"/>
  <c r="C1858" i="8"/>
  <c r="B1858" i="8"/>
  <c r="D1857" i="8"/>
  <c r="F1857" i="8" s="1"/>
  <c r="C1857" i="8"/>
  <c r="B1857" i="8"/>
  <c r="D1856" i="8"/>
  <c r="F1856" i="8" s="1"/>
  <c r="C1856" i="8"/>
  <c r="B1856" i="8"/>
  <c r="D1855" i="8"/>
  <c r="F1855" i="8" s="1"/>
  <c r="C1855" i="8"/>
  <c r="B1855" i="8"/>
  <c r="D1854" i="8"/>
  <c r="F1854" i="8" s="1"/>
  <c r="C1854" i="8"/>
  <c r="B1854" i="8"/>
  <c r="D1853" i="8"/>
  <c r="F1853" i="8" s="1"/>
  <c r="C1853" i="8"/>
  <c r="B1853" i="8"/>
  <c r="D1852" i="8"/>
  <c r="F1852" i="8" s="1"/>
  <c r="C1852" i="8"/>
  <c r="B1852" i="8"/>
  <c r="D1851" i="8"/>
  <c r="F1851" i="8" s="1"/>
  <c r="C1851" i="8"/>
  <c r="B1851" i="8"/>
  <c r="D1850" i="8"/>
  <c r="F1850" i="8" s="1"/>
  <c r="C1850" i="8"/>
  <c r="B1850" i="8"/>
  <c r="D1849" i="8"/>
  <c r="F1849" i="8" s="1"/>
  <c r="C1849" i="8"/>
  <c r="B1849" i="8"/>
  <c r="D1848" i="8"/>
  <c r="F1848" i="8" s="1"/>
  <c r="C1848" i="8"/>
  <c r="B1848" i="8"/>
  <c r="D1847" i="8"/>
  <c r="F1847" i="8" s="1"/>
  <c r="C1847" i="8"/>
  <c r="B1847" i="8"/>
  <c r="D1846" i="8"/>
  <c r="F1846" i="8" s="1"/>
  <c r="C1846" i="8"/>
  <c r="B1846" i="8"/>
  <c r="D1845" i="8"/>
  <c r="F1845" i="8" s="1"/>
  <c r="C1845" i="8"/>
  <c r="B1845" i="8"/>
  <c r="D1844" i="8"/>
  <c r="F1844" i="8" s="1"/>
  <c r="C1844" i="8"/>
  <c r="B1844" i="8"/>
  <c r="D1843" i="8"/>
  <c r="F1843" i="8" s="1"/>
  <c r="C1843" i="8"/>
  <c r="B1843" i="8"/>
  <c r="D1842" i="8"/>
  <c r="F1842" i="8" s="1"/>
  <c r="C1842" i="8"/>
  <c r="B1842" i="8"/>
  <c r="D1841" i="8"/>
  <c r="F1841" i="8" s="1"/>
  <c r="C1841" i="8"/>
  <c r="B1841" i="8"/>
  <c r="D1840" i="8"/>
  <c r="F1840" i="8" s="1"/>
  <c r="C1840" i="8"/>
  <c r="B1840" i="8"/>
  <c r="D1839" i="8"/>
  <c r="F1839" i="8" s="1"/>
  <c r="C1839" i="8"/>
  <c r="B1839" i="8"/>
  <c r="D1838" i="8"/>
  <c r="F1838" i="8" s="1"/>
  <c r="C1838" i="8"/>
  <c r="B1838" i="8"/>
  <c r="D1837" i="8"/>
  <c r="F1837" i="8" s="1"/>
  <c r="C1837" i="8"/>
  <c r="B1837" i="8"/>
  <c r="D1836" i="8"/>
  <c r="F1836" i="8" s="1"/>
  <c r="C1836" i="8"/>
  <c r="B1836" i="8"/>
  <c r="D1835" i="8"/>
  <c r="F1835" i="8" s="1"/>
  <c r="C1835" i="8"/>
  <c r="B1835" i="8"/>
  <c r="D1834" i="8"/>
  <c r="F1834" i="8" s="1"/>
  <c r="C1834" i="8"/>
  <c r="B1834" i="8"/>
  <c r="D1833" i="8"/>
  <c r="F1833" i="8" s="1"/>
  <c r="C1833" i="8"/>
  <c r="B1833" i="8"/>
  <c r="D1832" i="8"/>
  <c r="F1832" i="8" s="1"/>
  <c r="C1832" i="8"/>
  <c r="B1832" i="8"/>
  <c r="D1831" i="8"/>
  <c r="F1831" i="8" s="1"/>
  <c r="C1831" i="8"/>
  <c r="B1831" i="8"/>
  <c r="D1830" i="8"/>
  <c r="F1830" i="8" s="1"/>
  <c r="C1830" i="8"/>
  <c r="B1830" i="8"/>
  <c r="D1829" i="8"/>
  <c r="F1829" i="8" s="1"/>
  <c r="C1829" i="8"/>
  <c r="B1829" i="8"/>
  <c r="D1828" i="8"/>
  <c r="F1828" i="8" s="1"/>
  <c r="C1828" i="8"/>
  <c r="B1828" i="8"/>
  <c r="D1827" i="8"/>
  <c r="F1827" i="8" s="1"/>
  <c r="C1827" i="8"/>
  <c r="B1827" i="8"/>
  <c r="D1826" i="8"/>
  <c r="F1826" i="8" s="1"/>
  <c r="C1826" i="8"/>
  <c r="B1826" i="8"/>
  <c r="D1825" i="8"/>
  <c r="F1825" i="8" s="1"/>
  <c r="C1825" i="8"/>
  <c r="B1825" i="8"/>
  <c r="D1824" i="8"/>
  <c r="F1824" i="8" s="1"/>
  <c r="C1824" i="8"/>
  <c r="B1824" i="8"/>
  <c r="D1823" i="8"/>
  <c r="F1823" i="8" s="1"/>
  <c r="C1823" i="8"/>
  <c r="B1823" i="8"/>
  <c r="D1822" i="8"/>
  <c r="F1822" i="8" s="1"/>
  <c r="C1822" i="8"/>
  <c r="B1822" i="8"/>
  <c r="D1821" i="8"/>
  <c r="F1821" i="8" s="1"/>
  <c r="C1821" i="8"/>
  <c r="B1821" i="8"/>
  <c r="D1820" i="8"/>
  <c r="F1820" i="8" s="1"/>
  <c r="C1820" i="8"/>
  <c r="B1820" i="8"/>
  <c r="D1819" i="8"/>
  <c r="F1819" i="8" s="1"/>
  <c r="C1819" i="8"/>
  <c r="B1819" i="8"/>
  <c r="D1818" i="8"/>
  <c r="F1818" i="8" s="1"/>
  <c r="C1818" i="8"/>
  <c r="B1818" i="8"/>
  <c r="D1817" i="8"/>
  <c r="F1817" i="8" s="1"/>
  <c r="C1817" i="8"/>
  <c r="B1817" i="8"/>
  <c r="D1816" i="8"/>
  <c r="F1816" i="8" s="1"/>
  <c r="C1816" i="8"/>
  <c r="B1816" i="8"/>
  <c r="D1815" i="8"/>
  <c r="F1815" i="8" s="1"/>
  <c r="C1815" i="8"/>
  <c r="B1815" i="8"/>
  <c r="D1814" i="8"/>
  <c r="F1814" i="8" s="1"/>
  <c r="C1814" i="8"/>
  <c r="B1814" i="8"/>
  <c r="D1813" i="8"/>
  <c r="F1813" i="8" s="1"/>
  <c r="C1813" i="8"/>
  <c r="B1813" i="8"/>
  <c r="D1812" i="8"/>
  <c r="F1812" i="8" s="1"/>
  <c r="C1812" i="8"/>
  <c r="B1812" i="8"/>
  <c r="D1811" i="8"/>
  <c r="F1811" i="8" s="1"/>
  <c r="C1811" i="8"/>
  <c r="B1811" i="8"/>
  <c r="D1810" i="8"/>
  <c r="F1810" i="8" s="1"/>
  <c r="C1810" i="8"/>
  <c r="B1810" i="8"/>
  <c r="D1809" i="8"/>
  <c r="F1809" i="8" s="1"/>
  <c r="C1809" i="8"/>
  <c r="B1809" i="8"/>
  <c r="D1808" i="8"/>
  <c r="F1808" i="8" s="1"/>
  <c r="C1808" i="8"/>
  <c r="B1808" i="8"/>
  <c r="D1807" i="8"/>
  <c r="F1807" i="8" s="1"/>
  <c r="C1807" i="8"/>
  <c r="B1807" i="8"/>
  <c r="D1806" i="8"/>
  <c r="F1806" i="8" s="1"/>
  <c r="C1806" i="8"/>
  <c r="B1806" i="8"/>
  <c r="D1805" i="8"/>
  <c r="F1805" i="8" s="1"/>
  <c r="C1805" i="8"/>
  <c r="B1805" i="8"/>
  <c r="D1804" i="8"/>
  <c r="F1804" i="8" s="1"/>
  <c r="C1804" i="8"/>
  <c r="B1804" i="8"/>
  <c r="D1803" i="8"/>
  <c r="F1803" i="8" s="1"/>
  <c r="C1803" i="8"/>
  <c r="B1803" i="8"/>
  <c r="D1802" i="8"/>
  <c r="F1802" i="8" s="1"/>
  <c r="C1802" i="8"/>
  <c r="B1802" i="8"/>
  <c r="D1801" i="8"/>
  <c r="F1801" i="8" s="1"/>
  <c r="C1801" i="8"/>
  <c r="B1801" i="8"/>
  <c r="D1800" i="8"/>
  <c r="F1800" i="8" s="1"/>
  <c r="C1800" i="8"/>
  <c r="B1800" i="8"/>
  <c r="D1799" i="8"/>
  <c r="F1799" i="8" s="1"/>
  <c r="C1799" i="8"/>
  <c r="B1799" i="8"/>
  <c r="D1798" i="8"/>
  <c r="F1798" i="8" s="1"/>
  <c r="C1798" i="8"/>
  <c r="B1798" i="8"/>
  <c r="D1797" i="8"/>
  <c r="F1797" i="8" s="1"/>
  <c r="C1797" i="8"/>
  <c r="B1797" i="8"/>
  <c r="D1796" i="8"/>
  <c r="F1796" i="8" s="1"/>
  <c r="C1796" i="8"/>
  <c r="B1796" i="8"/>
  <c r="D1795" i="8"/>
  <c r="F1795" i="8" s="1"/>
  <c r="C1795" i="8"/>
  <c r="B1795" i="8"/>
  <c r="D1794" i="8"/>
  <c r="F1794" i="8" s="1"/>
  <c r="C1794" i="8"/>
  <c r="B1794" i="8"/>
  <c r="D1793" i="8"/>
  <c r="F1793" i="8" s="1"/>
  <c r="C1793" i="8"/>
  <c r="B1793" i="8"/>
  <c r="D1792" i="8"/>
  <c r="F1792" i="8" s="1"/>
  <c r="C1792" i="8"/>
  <c r="B1792" i="8"/>
  <c r="D1791" i="8"/>
  <c r="F1791" i="8" s="1"/>
  <c r="C1791" i="8"/>
  <c r="B1791" i="8"/>
  <c r="D1790" i="8"/>
  <c r="F1790" i="8" s="1"/>
  <c r="C1790" i="8"/>
  <c r="B1790" i="8"/>
  <c r="D1789" i="8"/>
  <c r="F1789" i="8" s="1"/>
  <c r="C1789" i="8"/>
  <c r="B1789" i="8"/>
  <c r="D1788" i="8"/>
  <c r="F1788" i="8" s="1"/>
  <c r="C1788" i="8"/>
  <c r="B1788" i="8"/>
  <c r="D1787" i="8"/>
  <c r="F1787" i="8" s="1"/>
  <c r="C1787" i="8"/>
  <c r="B1787" i="8"/>
  <c r="D1786" i="8"/>
  <c r="F1786" i="8" s="1"/>
  <c r="C1786" i="8"/>
  <c r="B1786" i="8"/>
  <c r="D1785" i="8"/>
  <c r="F1785" i="8" s="1"/>
  <c r="C1785" i="8"/>
  <c r="B1785" i="8"/>
  <c r="D1784" i="8"/>
  <c r="F1784" i="8" s="1"/>
  <c r="C1784" i="8"/>
  <c r="B1784" i="8"/>
  <c r="D1783" i="8"/>
  <c r="F1783" i="8" s="1"/>
  <c r="C1783" i="8"/>
  <c r="B1783" i="8"/>
  <c r="D1782" i="8"/>
  <c r="F1782" i="8" s="1"/>
  <c r="C1782" i="8"/>
  <c r="B1782" i="8"/>
  <c r="D1781" i="8"/>
  <c r="F1781" i="8" s="1"/>
  <c r="C1781" i="8"/>
  <c r="B1781" i="8"/>
  <c r="D1780" i="8"/>
  <c r="F1780" i="8" s="1"/>
  <c r="C1780" i="8"/>
  <c r="B1780" i="8"/>
  <c r="D1779" i="8"/>
  <c r="F1779" i="8" s="1"/>
  <c r="C1779" i="8"/>
  <c r="B1779" i="8"/>
  <c r="D1778" i="8"/>
  <c r="F1778" i="8" s="1"/>
  <c r="C1778" i="8"/>
  <c r="B1778" i="8"/>
  <c r="D1777" i="8"/>
  <c r="F1777" i="8" s="1"/>
  <c r="C1777" i="8"/>
  <c r="B1777" i="8"/>
  <c r="D1776" i="8"/>
  <c r="F1776" i="8" s="1"/>
  <c r="C1776" i="8"/>
  <c r="B1776" i="8"/>
  <c r="D1775" i="8"/>
  <c r="F1775" i="8" s="1"/>
  <c r="C1775" i="8"/>
  <c r="B1775" i="8"/>
  <c r="D1774" i="8"/>
  <c r="F1774" i="8" s="1"/>
  <c r="C1774" i="8"/>
  <c r="B1774" i="8"/>
  <c r="D1773" i="8"/>
  <c r="F1773" i="8" s="1"/>
  <c r="C1773" i="8"/>
  <c r="B1773" i="8"/>
  <c r="D1772" i="8"/>
  <c r="F1772" i="8" s="1"/>
  <c r="C1772" i="8"/>
  <c r="B1772" i="8"/>
  <c r="D1771" i="8"/>
  <c r="F1771" i="8" s="1"/>
  <c r="C1771" i="8"/>
  <c r="B1771" i="8"/>
  <c r="D1770" i="8"/>
  <c r="F1770" i="8" s="1"/>
  <c r="C1770" i="8"/>
  <c r="B1770" i="8"/>
  <c r="D1769" i="8"/>
  <c r="F1769" i="8" s="1"/>
  <c r="C1769" i="8"/>
  <c r="B1769" i="8"/>
  <c r="D1768" i="8"/>
  <c r="F1768" i="8" s="1"/>
  <c r="C1768" i="8"/>
  <c r="B1768" i="8"/>
  <c r="D1767" i="8"/>
  <c r="F1767" i="8" s="1"/>
  <c r="C1767" i="8"/>
  <c r="B1767" i="8"/>
  <c r="D1766" i="8"/>
  <c r="F1766" i="8" s="1"/>
  <c r="C1766" i="8"/>
  <c r="B1766" i="8"/>
  <c r="D1765" i="8"/>
  <c r="F1765" i="8" s="1"/>
  <c r="C1765" i="8"/>
  <c r="B1765" i="8"/>
  <c r="D1764" i="8"/>
  <c r="F1764" i="8" s="1"/>
  <c r="C1764" i="8"/>
  <c r="B1764" i="8"/>
  <c r="D1763" i="8"/>
  <c r="F1763" i="8" s="1"/>
  <c r="C1763" i="8"/>
  <c r="B1763" i="8"/>
  <c r="D1762" i="8"/>
  <c r="F1762" i="8" s="1"/>
  <c r="C1762" i="8"/>
  <c r="B1762" i="8"/>
  <c r="D1761" i="8"/>
  <c r="F1761" i="8" s="1"/>
  <c r="C1761" i="8"/>
  <c r="B1761" i="8"/>
  <c r="D1760" i="8"/>
  <c r="F1760" i="8" s="1"/>
  <c r="C1760" i="8"/>
  <c r="B1760" i="8"/>
  <c r="D1759" i="8"/>
  <c r="F1759" i="8" s="1"/>
  <c r="C1759" i="8"/>
  <c r="B1759" i="8"/>
  <c r="D1758" i="8"/>
  <c r="F1758" i="8" s="1"/>
  <c r="C1758" i="8"/>
  <c r="B1758" i="8"/>
  <c r="D1757" i="8"/>
  <c r="F1757" i="8" s="1"/>
  <c r="C1757" i="8"/>
  <c r="B1757" i="8"/>
  <c r="D1756" i="8"/>
  <c r="F1756" i="8" s="1"/>
  <c r="C1756" i="8"/>
  <c r="B1756" i="8"/>
  <c r="D1755" i="8"/>
  <c r="F1755" i="8" s="1"/>
  <c r="C1755" i="8"/>
  <c r="B1755" i="8"/>
  <c r="D1754" i="8"/>
  <c r="F1754" i="8" s="1"/>
  <c r="C1754" i="8"/>
  <c r="B1754" i="8"/>
  <c r="D1753" i="8"/>
  <c r="F1753" i="8" s="1"/>
  <c r="C1753" i="8"/>
  <c r="B1753" i="8"/>
  <c r="D1752" i="8"/>
  <c r="F1752" i="8" s="1"/>
  <c r="C1752" i="8"/>
  <c r="B1752" i="8"/>
  <c r="D1751" i="8"/>
  <c r="F1751" i="8" s="1"/>
  <c r="C1751" i="8"/>
  <c r="B1751" i="8"/>
  <c r="D1750" i="8"/>
  <c r="F1750" i="8" s="1"/>
  <c r="C1750" i="8"/>
  <c r="B1750" i="8"/>
  <c r="D1749" i="8"/>
  <c r="F1749" i="8" s="1"/>
  <c r="C1749" i="8"/>
  <c r="B1749" i="8"/>
  <c r="D1748" i="8"/>
  <c r="F1748" i="8" s="1"/>
  <c r="C1748" i="8"/>
  <c r="B1748" i="8"/>
  <c r="D1747" i="8"/>
  <c r="F1747" i="8" s="1"/>
  <c r="C1747" i="8"/>
  <c r="B1747" i="8"/>
  <c r="D1746" i="8"/>
  <c r="F1746" i="8" s="1"/>
  <c r="C1746" i="8"/>
  <c r="B1746" i="8"/>
  <c r="D1745" i="8"/>
  <c r="F1745" i="8" s="1"/>
  <c r="C1745" i="8"/>
  <c r="B1745" i="8"/>
  <c r="D1744" i="8"/>
  <c r="F1744" i="8" s="1"/>
  <c r="C1744" i="8"/>
  <c r="B1744" i="8"/>
  <c r="D1743" i="8"/>
  <c r="F1743" i="8" s="1"/>
  <c r="C1743" i="8"/>
  <c r="B1743" i="8"/>
  <c r="D1742" i="8"/>
  <c r="F1742" i="8" s="1"/>
  <c r="C1742" i="8"/>
  <c r="B1742" i="8"/>
  <c r="D1741" i="8"/>
  <c r="F1741" i="8" s="1"/>
  <c r="K723" i="5" s="1"/>
  <c r="J723" i="5" s="1"/>
  <c r="C1741" i="8"/>
  <c r="B1741" i="8"/>
  <c r="D1740" i="8"/>
  <c r="F1740" i="8" s="1"/>
  <c r="C1740" i="8"/>
  <c r="B1740" i="8"/>
  <c r="D1739" i="8"/>
  <c r="F1739" i="8" s="1"/>
  <c r="C1739" i="8"/>
  <c r="B1739" i="8"/>
  <c r="D1738" i="8"/>
  <c r="F1738" i="8" s="1"/>
  <c r="C1738" i="8"/>
  <c r="B1738" i="8"/>
  <c r="D1737" i="8"/>
  <c r="F1737" i="8" s="1"/>
  <c r="C1737" i="8"/>
  <c r="B1737" i="8"/>
  <c r="D1736" i="8"/>
  <c r="F1736" i="8" s="1"/>
  <c r="C1736" i="8"/>
  <c r="B1736" i="8"/>
  <c r="D1735" i="8"/>
  <c r="F1735" i="8" s="1"/>
  <c r="C1735" i="8"/>
  <c r="B1735" i="8"/>
  <c r="D1734" i="8"/>
  <c r="F1734" i="8" s="1"/>
  <c r="C1734" i="8"/>
  <c r="B1734" i="8"/>
  <c r="D1733" i="8"/>
  <c r="F1733" i="8" s="1"/>
  <c r="C1733" i="8"/>
  <c r="B1733" i="8"/>
  <c r="D1732" i="8"/>
  <c r="F1732" i="8" s="1"/>
  <c r="C1732" i="8"/>
  <c r="B1732" i="8"/>
  <c r="D1731" i="8"/>
  <c r="F1731" i="8" s="1"/>
  <c r="C1731" i="8"/>
  <c r="B1731" i="8"/>
  <c r="D1730" i="8"/>
  <c r="F1730" i="8" s="1"/>
  <c r="C1730" i="8"/>
  <c r="B1730" i="8"/>
  <c r="D1729" i="8"/>
  <c r="F1729" i="8" s="1"/>
  <c r="C1729" i="8"/>
  <c r="B1729" i="8"/>
  <c r="D1728" i="8"/>
  <c r="F1728" i="8" s="1"/>
  <c r="C1728" i="8"/>
  <c r="B1728" i="8"/>
  <c r="D1727" i="8"/>
  <c r="F1727" i="8" s="1"/>
  <c r="C1727" i="8"/>
  <c r="B1727" i="8"/>
  <c r="D1726" i="8"/>
  <c r="F1726" i="8" s="1"/>
  <c r="C1726" i="8"/>
  <c r="B1726" i="8"/>
  <c r="D1725" i="8"/>
  <c r="F1725" i="8" s="1"/>
  <c r="C1725" i="8"/>
  <c r="B1725" i="8"/>
  <c r="D1724" i="8"/>
  <c r="F1724" i="8" s="1"/>
  <c r="C1724" i="8"/>
  <c r="B1724" i="8"/>
  <c r="D1723" i="8"/>
  <c r="F1723" i="8" s="1"/>
  <c r="C1723" i="8"/>
  <c r="B1723" i="8"/>
  <c r="D1722" i="8"/>
  <c r="F1722" i="8" s="1"/>
  <c r="C1722" i="8"/>
  <c r="B1722" i="8"/>
  <c r="D1721" i="8"/>
  <c r="F1721" i="8" s="1"/>
  <c r="C1721" i="8"/>
  <c r="B1721" i="8"/>
  <c r="D1720" i="8"/>
  <c r="F1720" i="8" s="1"/>
  <c r="C1720" i="8"/>
  <c r="B1720" i="8"/>
  <c r="D1719" i="8"/>
  <c r="F1719" i="8" s="1"/>
  <c r="C1719" i="8"/>
  <c r="B1719" i="8"/>
  <c r="D1718" i="8"/>
  <c r="F1718" i="8" s="1"/>
  <c r="C1718" i="8"/>
  <c r="B1718" i="8"/>
  <c r="D1717" i="8"/>
  <c r="F1717" i="8" s="1"/>
  <c r="C1717" i="8"/>
  <c r="B1717" i="8"/>
  <c r="D1716" i="8"/>
  <c r="F1716" i="8" s="1"/>
  <c r="C1716" i="8"/>
  <c r="B1716" i="8"/>
  <c r="D1715" i="8"/>
  <c r="F1715" i="8" s="1"/>
  <c r="C1715" i="8"/>
  <c r="B1715" i="8"/>
  <c r="D1714" i="8"/>
  <c r="F1714" i="8" s="1"/>
  <c r="C1714" i="8"/>
  <c r="B1714" i="8"/>
  <c r="D1713" i="8"/>
  <c r="F1713" i="8" s="1"/>
  <c r="C1713" i="8"/>
  <c r="B1713" i="8"/>
  <c r="D1712" i="8"/>
  <c r="F1712" i="8" s="1"/>
  <c r="C1712" i="8"/>
  <c r="B1712" i="8"/>
  <c r="D1711" i="8"/>
  <c r="F1711" i="8" s="1"/>
  <c r="C1711" i="8"/>
  <c r="B1711" i="8"/>
  <c r="D1710" i="8"/>
  <c r="F1710" i="8" s="1"/>
  <c r="C1710" i="8"/>
  <c r="B1710" i="8"/>
  <c r="D1709" i="8"/>
  <c r="F1709" i="8" s="1"/>
  <c r="C1709" i="8"/>
  <c r="B1709" i="8"/>
  <c r="D1708" i="8"/>
  <c r="F1708" i="8" s="1"/>
  <c r="C1708" i="8"/>
  <c r="B1708" i="8"/>
  <c r="D1707" i="8"/>
  <c r="F1707" i="8" s="1"/>
  <c r="C1707" i="8"/>
  <c r="B1707" i="8"/>
  <c r="D1706" i="8"/>
  <c r="F1706" i="8" s="1"/>
  <c r="C1706" i="8"/>
  <c r="B1706" i="8"/>
  <c r="D1705" i="8"/>
  <c r="F1705" i="8" s="1"/>
  <c r="C1705" i="8"/>
  <c r="B1705" i="8"/>
  <c r="D1704" i="8"/>
  <c r="F1704" i="8" s="1"/>
  <c r="C1704" i="8"/>
  <c r="B1704" i="8"/>
  <c r="D1703" i="8"/>
  <c r="F1703" i="8" s="1"/>
  <c r="C1703" i="8"/>
  <c r="B1703" i="8"/>
  <c r="D1702" i="8"/>
  <c r="F1702" i="8" s="1"/>
  <c r="C1702" i="8"/>
  <c r="B1702" i="8"/>
  <c r="D1701" i="8"/>
  <c r="F1701" i="8" s="1"/>
  <c r="C1701" i="8"/>
  <c r="B1701" i="8"/>
  <c r="D1700" i="8"/>
  <c r="F1700" i="8" s="1"/>
  <c r="C1700" i="8"/>
  <c r="B1700" i="8"/>
  <c r="D1699" i="8"/>
  <c r="F1699" i="8" s="1"/>
  <c r="C1699" i="8"/>
  <c r="B1699" i="8"/>
  <c r="D1698" i="8"/>
  <c r="F1698" i="8" s="1"/>
  <c r="C1698" i="8"/>
  <c r="B1698" i="8"/>
  <c r="D1697" i="8"/>
  <c r="F1697" i="8" s="1"/>
  <c r="C1697" i="8"/>
  <c r="B1697" i="8"/>
  <c r="D1696" i="8"/>
  <c r="F1696" i="8" s="1"/>
  <c r="C1696" i="8"/>
  <c r="B1696" i="8"/>
  <c r="D1695" i="8"/>
  <c r="F1695" i="8" s="1"/>
  <c r="C1695" i="8"/>
  <c r="B1695" i="8"/>
  <c r="D1694" i="8"/>
  <c r="F1694" i="8" s="1"/>
  <c r="C1694" i="8"/>
  <c r="B1694" i="8"/>
  <c r="D1693" i="8"/>
  <c r="F1693" i="8" s="1"/>
  <c r="C1693" i="8"/>
  <c r="B1693" i="8"/>
  <c r="D1692" i="8"/>
  <c r="F1692" i="8" s="1"/>
  <c r="C1692" i="8"/>
  <c r="B1692" i="8"/>
  <c r="D1691" i="8"/>
  <c r="F1691" i="8" s="1"/>
  <c r="C1691" i="8"/>
  <c r="B1691" i="8"/>
  <c r="D1690" i="8"/>
  <c r="F1690" i="8" s="1"/>
  <c r="C1690" i="8"/>
  <c r="B1690" i="8"/>
  <c r="D1689" i="8"/>
  <c r="F1689" i="8" s="1"/>
  <c r="C1689" i="8"/>
  <c r="B1689" i="8"/>
  <c r="D1688" i="8"/>
  <c r="F1688" i="8" s="1"/>
  <c r="C1688" i="8"/>
  <c r="B1688" i="8"/>
  <c r="D1687" i="8"/>
  <c r="F1687" i="8" s="1"/>
  <c r="C1687" i="8"/>
  <c r="B1687" i="8"/>
  <c r="D1686" i="8"/>
  <c r="F1686" i="8" s="1"/>
  <c r="C1686" i="8"/>
  <c r="B1686" i="8"/>
  <c r="D1685" i="8"/>
  <c r="F1685" i="8" s="1"/>
  <c r="C1685" i="8"/>
  <c r="B1685" i="8"/>
  <c r="D1684" i="8"/>
  <c r="F1684" i="8" s="1"/>
  <c r="C1684" i="8"/>
  <c r="B1684" i="8"/>
  <c r="D1683" i="8"/>
  <c r="F1683" i="8" s="1"/>
  <c r="C1683" i="8"/>
  <c r="B1683" i="8"/>
  <c r="D1682" i="8"/>
  <c r="F1682" i="8" s="1"/>
  <c r="C1682" i="8"/>
  <c r="B1682" i="8"/>
  <c r="D1681" i="8"/>
  <c r="F1681" i="8" s="1"/>
  <c r="C1681" i="8"/>
  <c r="B1681" i="8"/>
  <c r="D1680" i="8"/>
  <c r="F1680" i="8" s="1"/>
  <c r="C1680" i="8"/>
  <c r="B1680" i="8"/>
  <c r="D1679" i="8"/>
  <c r="F1679" i="8" s="1"/>
  <c r="C1679" i="8"/>
  <c r="B1679" i="8"/>
  <c r="D1678" i="8"/>
  <c r="F1678" i="8" s="1"/>
  <c r="C1678" i="8"/>
  <c r="B1678" i="8"/>
  <c r="D1677" i="8"/>
  <c r="F1677" i="8" s="1"/>
  <c r="C1677" i="8"/>
  <c r="B1677" i="8"/>
  <c r="D1676" i="8"/>
  <c r="F1676" i="8" s="1"/>
  <c r="C1676" i="8"/>
  <c r="B1676" i="8"/>
  <c r="D1675" i="8"/>
  <c r="F1675" i="8" s="1"/>
  <c r="C1675" i="8"/>
  <c r="B1675" i="8"/>
  <c r="D1674" i="8"/>
  <c r="F1674" i="8" s="1"/>
  <c r="C1674" i="8"/>
  <c r="B1674" i="8"/>
  <c r="D1673" i="8"/>
  <c r="F1673" i="8" s="1"/>
  <c r="C1673" i="8"/>
  <c r="B1673" i="8"/>
  <c r="D1672" i="8"/>
  <c r="F1672" i="8" s="1"/>
  <c r="C1672" i="8"/>
  <c r="B1672" i="8"/>
  <c r="D1671" i="8"/>
  <c r="F1671" i="8" s="1"/>
  <c r="C1671" i="8"/>
  <c r="B1671" i="8"/>
  <c r="D1670" i="8"/>
  <c r="F1670" i="8" s="1"/>
  <c r="C1670" i="8"/>
  <c r="B1670" i="8"/>
  <c r="D1669" i="8"/>
  <c r="F1669" i="8" s="1"/>
  <c r="C1669" i="8"/>
  <c r="B1669" i="8"/>
  <c r="D1668" i="8"/>
  <c r="F1668" i="8" s="1"/>
  <c r="C1668" i="8"/>
  <c r="B1668" i="8"/>
  <c r="D1667" i="8"/>
  <c r="F1667" i="8" s="1"/>
  <c r="C1667" i="8"/>
  <c r="B1667" i="8"/>
  <c r="D1666" i="8"/>
  <c r="F1666" i="8" s="1"/>
  <c r="C1666" i="8"/>
  <c r="B1666" i="8"/>
  <c r="D1665" i="8"/>
  <c r="F1665" i="8" s="1"/>
  <c r="C1665" i="8"/>
  <c r="B1665" i="8"/>
  <c r="D1664" i="8"/>
  <c r="F1664" i="8" s="1"/>
  <c r="C1664" i="8"/>
  <c r="B1664" i="8"/>
  <c r="D1663" i="8"/>
  <c r="F1663" i="8" s="1"/>
  <c r="C1663" i="8"/>
  <c r="B1663" i="8"/>
  <c r="D1662" i="8"/>
  <c r="F1662" i="8" s="1"/>
  <c r="C1662" i="8"/>
  <c r="B1662" i="8"/>
  <c r="D1661" i="8"/>
  <c r="F1661" i="8" s="1"/>
  <c r="C1661" i="8"/>
  <c r="B1661" i="8"/>
  <c r="D1660" i="8"/>
  <c r="F1660" i="8" s="1"/>
  <c r="C1660" i="8"/>
  <c r="B1660" i="8"/>
  <c r="D1659" i="8"/>
  <c r="F1659" i="8" s="1"/>
  <c r="C1659" i="8"/>
  <c r="B1659" i="8"/>
  <c r="D1658" i="8"/>
  <c r="F1658" i="8" s="1"/>
  <c r="C1658" i="8"/>
  <c r="B1658" i="8"/>
  <c r="D1657" i="8"/>
  <c r="F1657" i="8" s="1"/>
  <c r="C1657" i="8"/>
  <c r="B1657" i="8"/>
  <c r="D1656" i="8"/>
  <c r="F1656" i="8" s="1"/>
  <c r="C1656" i="8"/>
  <c r="B1656" i="8"/>
  <c r="D1655" i="8"/>
  <c r="F1655" i="8" s="1"/>
  <c r="C1655" i="8"/>
  <c r="B1655" i="8"/>
  <c r="D1654" i="8"/>
  <c r="F1654" i="8" s="1"/>
  <c r="C1654" i="8"/>
  <c r="B1654" i="8"/>
  <c r="D1653" i="8"/>
  <c r="F1653" i="8" s="1"/>
  <c r="C1653" i="8"/>
  <c r="B1653" i="8"/>
  <c r="D1652" i="8"/>
  <c r="F1652" i="8" s="1"/>
  <c r="C1652" i="8"/>
  <c r="B1652" i="8"/>
  <c r="D1651" i="8"/>
  <c r="F1651" i="8" s="1"/>
  <c r="C1651" i="8"/>
  <c r="B1651" i="8"/>
  <c r="D1650" i="8"/>
  <c r="F1650" i="8" s="1"/>
  <c r="C1650" i="8"/>
  <c r="B1650" i="8"/>
  <c r="D1649" i="8"/>
  <c r="F1649" i="8" s="1"/>
  <c r="C1649" i="8"/>
  <c r="B1649" i="8"/>
  <c r="D1648" i="8"/>
  <c r="F1648" i="8" s="1"/>
  <c r="C1648" i="8"/>
  <c r="B1648" i="8"/>
  <c r="D1647" i="8"/>
  <c r="F1647" i="8" s="1"/>
  <c r="C1647" i="8"/>
  <c r="B1647" i="8"/>
  <c r="D1646" i="8"/>
  <c r="F1646" i="8" s="1"/>
  <c r="C1646" i="8"/>
  <c r="B1646" i="8"/>
  <c r="D1645" i="8"/>
  <c r="F1645" i="8" s="1"/>
  <c r="C1645" i="8"/>
  <c r="B1645" i="8"/>
  <c r="D1644" i="8"/>
  <c r="F1644" i="8" s="1"/>
  <c r="C1644" i="8"/>
  <c r="B1644" i="8"/>
  <c r="D1643" i="8"/>
  <c r="F1643" i="8" s="1"/>
  <c r="C1643" i="8"/>
  <c r="B1643" i="8"/>
  <c r="D1642" i="8"/>
  <c r="F1642" i="8" s="1"/>
  <c r="C1642" i="8"/>
  <c r="B1642" i="8"/>
  <c r="D1641" i="8"/>
  <c r="F1641" i="8" s="1"/>
  <c r="C1641" i="8"/>
  <c r="B1641" i="8"/>
  <c r="D1640" i="8"/>
  <c r="F1640" i="8" s="1"/>
  <c r="C1640" i="8"/>
  <c r="B1640" i="8"/>
  <c r="D1639" i="8"/>
  <c r="F1639" i="8" s="1"/>
  <c r="C1639" i="8"/>
  <c r="B1639" i="8"/>
  <c r="D1638" i="8"/>
  <c r="F1638" i="8" s="1"/>
  <c r="C1638" i="8"/>
  <c r="B1638" i="8"/>
  <c r="D1637" i="8"/>
  <c r="F1637" i="8" s="1"/>
  <c r="C1637" i="8"/>
  <c r="B1637" i="8"/>
  <c r="D1636" i="8"/>
  <c r="F1636" i="8" s="1"/>
  <c r="C1636" i="8"/>
  <c r="B1636" i="8"/>
  <c r="D1635" i="8"/>
  <c r="F1635" i="8" s="1"/>
  <c r="C1635" i="8"/>
  <c r="B1635" i="8"/>
  <c r="D1634" i="8"/>
  <c r="F1634" i="8" s="1"/>
  <c r="C1634" i="8"/>
  <c r="B1634" i="8"/>
  <c r="D1633" i="8"/>
  <c r="F1633" i="8" s="1"/>
  <c r="C1633" i="8"/>
  <c r="B1633" i="8"/>
  <c r="D1632" i="8"/>
  <c r="F1632" i="8" s="1"/>
  <c r="C1632" i="8"/>
  <c r="B1632" i="8"/>
  <c r="D1631" i="8"/>
  <c r="F1631" i="8" s="1"/>
  <c r="C1631" i="8"/>
  <c r="B1631" i="8"/>
  <c r="D1630" i="8"/>
  <c r="F1630" i="8" s="1"/>
  <c r="C1630" i="8"/>
  <c r="B1630" i="8"/>
  <c r="D1629" i="8"/>
  <c r="F1629" i="8" s="1"/>
  <c r="C1629" i="8"/>
  <c r="B1629" i="8"/>
  <c r="D1628" i="8"/>
  <c r="F1628" i="8" s="1"/>
  <c r="C1628" i="8"/>
  <c r="B1628" i="8"/>
  <c r="D1627" i="8"/>
  <c r="F1627" i="8" s="1"/>
  <c r="C1627" i="8"/>
  <c r="B1627" i="8"/>
  <c r="D1626" i="8"/>
  <c r="F1626" i="8" s="1"/>
  <c r="C1626" i="8"/>
  <c r="B1626" i="8"/>
  <c r="D1625" i="8"/>
  <c r="F1625" i="8" s="1"/>
  <c r="C1625" i="8"/>
  <c r="B1625" i="8"/>
  <c r="D1624" i="8"/>
  <c r="F1624" i="8" s="1"/>
  <c r="C1624" i="8"/>
  <c r="B1624" i="8"/>
  <c r="D1623" i="8"/>
  <c r="F1623" i="8" s="1"/>
  <c r="C1623" i="8"/>
  <c r="B1623" i="8"/>
  <c r="D1622" i="8"/>
  <c r="F1622" i="8" s="1"/>
  <c r="C1622" i="8"/>
  <c r="B1622" i="8"/>
  <c r="D1621" i="8"/>
  <c r="F1621" i="8" s="1"/>
  <c r="C1621" i="8"/>
  <c r="B1621" i="8"/>
  <c r="D1620" i="8"/>
  <c r="F1620" i="8" s="1"/>
  <c r="C1620" i="8"/>
  <c r="B1620" i="8"/>
  <c r="D1619" i="8"/>
  <c r="F1619" i="8" s="1"/>
  <c r="C1619" i="8"/>
  <c r="B1619" i="8"/>
  <c r="D1618" i="8"/>
  <c r="F1618" i="8" s="1"/>
  <c r="C1618" i="8"/>
  <c r="B1618" i="8"/>
  <c r="D1617" i="8"/>
  <c r="F1617" i="8" s="1"/>
  <c r="C1617" i="8"/>
  <c r="B1617" i="8"/>
  <c r="D1616" i="8"/>
  <c r="F1616" i="8" s="1"/>
  <c r="C1616" i="8"/>
  <c r="B1616" i="8"/>
  <c r="D1615" i="8"/>
  <c r="F1615" i="8" s="1"/>
  <c r="C1615" i="8"/>
  <c r="B1615" i="8"/>
  <c r="D1614" i="8"/>
  <c r="F1614" i="8" s="1"/>
  <c r="C1614" i="8"/>
  <c r="B1614" i="8"/>
  <c r="D1613" i="8"/>
  <c r="F1613" i="8" s="1"/>
  <c r="C1613" i="8"/>
  <c r="B1613" i="8"/>
  <c r="D1612" i="8"/>
  <c r="F1612" i="8" s="1"/>
  <c r="C1612" i="8"/>
  <c r="B1612" i="8"/>
  <c r="D1611" i="8"/>
  <c r="F1611" i="8" s="1"/>
  <c r="C1611" i="8"/>
  <c r="B1611" i="8"/>
  <c r="D1610" i="8"/>
  <c r="F1610" i="8" s="1"/>
  <c r="C1610" i="8"/>
  <c r="B1610" i="8"/>
  <c r="D1609" i="8"/>
  <c r="F1609" i="8" s="1"/>
  <c r="C1609" i="8"/>
  <c r="B1609" i="8"/>
  <c r="D1608" i="8"/>
  <c r="F1608" i="8" s="1"/>
  <c r="C1608" i="8"/>
  <c r="B1608" i="8"/>
  <c r="D1607" i="8"/>
  <c r="F1607" i="8" s="1"/>
  <c r="C1607" i="8"/>
  <c r="B1607" i="8"/>
  <c r="D1606" i="8"/>
  <c r="F1606" i="8" s="1"/>
  <c r="C1606" i="8"/>
  <c r="B1606" i="8"/>
  <c r="D1605" i="8"/>
  <c r="F1605" i="8" s="1"/>
  <c r="C1605" i="8"/>
  <c r="B1605" i="8"/>
  <c r="D1604" i="8"/>
  <c r="F1604" i="8" s="1"/>
  <c r="C1604" i="8"/>
  <c r="B1604" i="8"/>
  <c r="D1603" i="8"/>
  <c r="F1603" i="8" s="1"/>
  <c r="C1603" i="8"/>
  <c r="B1603" i="8"/>
  <c r="D1602" i="8"/>
  <c r="F1602" i="8" s="1"/>
  <c r="C1602" i="8"/>
  <c r="B1602" i="8"/>
  <c r="D1601" i="8"/>
  <c r="F1601" i="8" s="1"/>
  <c r="C1601" i="8"/>
  <c r="B1601" i="8"/>
  <c r="D1600" i="8"/>
  <c r="F1600" i="8" s="1"/>
  <c r="C1600" i="8"/>
  <c r="B1600" i="8"/>
  <c r="D1599" i="8"/>
  <c r="F1599" i="8" s="1"/>
  <c r="C1599" i="8"/>
  <c r="B1599" i="8"/>
  <c r="D1598" i="8"/>
  <c r="F1598" i="8" s="1"/>
  <c r="C1598" i="8"/>
  <c r="B1598" i="8"/>
  <c r="D1597" i="8"/>
  <c r="F1597" i="8" s="1"/>
  <c r="C1597" i="8"/>
  <c r="B1597" i="8"/>
  <c r="D1596" i="8"/>
  <c r="F1596" i="8" s="1"/>
  <c r="C1596" i="8"/>
  <c r="B1596" i="8"/>
  <c r="D1595" i="8"/>
  <c r="F1595" i="8" s="1"/>
  <c r="C1595" i="8"/>
  <c r="B1595" i="8"/>
  <c r="D1594" i="8"/>
  <c r="F1594" i="8" s="1"/>
  <c r="C1594" i="8"/>
  <c r="B1594" i="8"/>
  <c r="D1593" i="8"/>
  <c r="F1593" i="8" s="1"/>
  <c r="C1593" i="8"/>
  <c r="B1593" i="8"/>
  <c r="D1592" i="8"/>
  <c r="F1592" i="8" s="1"/>
  <c r="C1592" i="8"/>
  <c r="B1592" i="8"/>
  <c r="D1591" i="8"/>
  <c r="F1591" i="8" s="1"/>
  <c r="C1591" i="8"/>
  <c r="B1591" i="8"/>
  <c r="D1590" i="8"/>
  <c r="F1590" i="8" s="1"/>
  <c r="C1590" i="8"/>
  <c r="B1590" i="8"/>
  <c r="D1589" i="8"/>
  <c r="F1589" i="8" s="1"/>
  <c r="C1589" i="8"/>
  <c r="B1589" i="8"/>
  <c r="D1588" i="8"/>
  <c r="F1588" i="8" s="1"/>
  <c r="C1588" i="8"/>
  <c r="B1588" i="8"/>
  <c r="D1587" i="8"/>
  <c r="F1587" i="8" s="1"/>
  <c r="C1587" i="8"/>
  <c r="B1587" i="8"/>
  <c r="D1586" i="8"/>
  <c r="F1586" i="8" s="1"/>
  <c r="C1586" i="8"/>
  <c r="B1586" i="8"/>
  <c r="D1585" i="8"/>
  <c r="F1585" i="8" s="1"/>
  <c r="C1585" i="8"/>
  <c r="B1585" i="8"/>
  <c r="D1584" i="8"/>
  <c r="F1584" i="8" s="1"/>
  <c r="C1584" i="8"/>
  <c r="B1584" i="8"/>
  <c r="D1583" i="8"/>
  <c r="F1583" i="8" s="1"/>
  <c r="C1583" i="8"/>
  <c r="B1583" i="8"/>
  <c r="D1582" i="8"/>
  <c r="F1582" i="8" s="1"/>
  <c r="C1582" i="8"/>
  <c r="B1582" i="8"/>
  <c r="D1581" i="8"/>
  <c r="F1581" i="8" s="1"/>
  <c r="C1581" i="8"/>
  <c r="B1581" i="8"/>
  <c r="D1580" i="8"/>
  <c r="F1580" i="8" s="1"/>
  <c r="C1580" i="8"/>
  <c r="B1580" i="8"/>
  <c r="D1579" i="8"/>
  <c r="F1579" i="8" s="1"/>
  <c r="C1579" i="8"/>
  <c r="B1579" i="8"/>
  <c r="D1578" i="8"/>
  <c r="F1578" i="8" s="1"/>
  <c r="C1578" i="8"/>
  <c r="B1578" i="8"/>
  <c r="D1577" i="8"/>
  <c r="F1577" i="8" s="1"/>
  <c r="C1577" i="8"/>
  <c r="B1577" i="8"/>
  <c r="D1576" i="8"/>
  <c r="F1576" i="8" s="1"/>
  <c r="C1576" i="8"/>
  <c r="B1576" i="8"/>
  <c r="D1575" i="8"/>
  <c r="F1575" i="8" s="1"/>
  <c r="C1575" i="8"/>
  <c r="B1575" i="8"/>
  <c r="D1574" i="8"/>
  <c r="F1574" i="8" s="1"/>
  <c r="C1574" i="8"/>
  <c r="B1574" i="8"/>
  <c r="D1573" i="8"/>
  <c r="F1573" i="8" s="1"/>
  <c r="C1573" i="8"/>
  <c r="B1573" i="8"/>
  <c r="D1572" i="8"/>
  <c r="F1572" i="8" s="1"/>
  <c r="C1572" i="8"/>
  <c r="B1572" i="8"/>
  <c r="D1571" i="8"/>
  <c r="F1571" i="8" s="1"/>
  <c r="C1571" i="8"/>
  <c r="B1571" i="8"/>
  <c r="D1570" i="8"/>
  <c r="F1570" i="8" s="1"/>
  <c r="C1570" i="8"/>
  <c r="B1570" i="8"/>
  <c r="D1569" i="8"/>
  <c r="F1569" i="8" s="1"/>
  <c r="C1569" i="8"/>
  <c r="B1569" i="8"/>
  <c r="D1568" i="8"/>
  <c r="F1568" i="8" s="1"/>
  <c r="C1568" i="8"/>
  <c r="B1568" i="8"/>
  <c r="D1567" i="8"/>
  <c r="F1567" i="8" s="1"/>
  <c r="C1567" i="8"/>
  <c r="B1567" i="8"/>
  <c r="D1566" i="8"/>
  <c r="F1566" i="8" s="1"/>
  <c r="C1566" i="8"/>
  <c r="B1566" i="8"/>
  <c r="D1565" i="8"/>
  <c r="F1565" i="8" s="1"/>
  <c r="C1565" i="8"/>
  <c r="B1565" i="8"/>
  <c r="D1564" i="8"/>
  <c r="F1564" i="8" s="1"/>
  <c r="C1564" i="8"/>
  <c r="B1564" i="8"/>
  <c r="D1563" i="8"/>
  <c r="F1563" i="8" s="1"/>
  <c r="C1563" i="8"/>
  <c r="B1563" i="8"/>
  <c r="D1562" i="8"/>
  <c r="F1562" i="8" s="1"/>
  <c r="C1562" i="8"/>
  <c r="B1562" i="8"/>
  <c r="D1561" i="8"/>
  <c r="F1561" i="8" s="1"/>
  <c r="C1561" i="8"/>
  <c r="B1561" i="8"/>
  <c r="D1560" i="8"/>
  <c r="F1560" i="8" s="1"/>
  <c r="C1560" i="8"/>
  <c r="B1560" i="8"/>
  <c r="D1559" i="8"/>
  <c r="F1559" i="8" s="1"/>
  <c r="C1559" i="8"/>
  <c r="B1559" i="8"/>
  <c r="D1558" i="8"/>
  <c r="F1558" i="8" s="1"/>
  <c r="C1558" i="8"/>
  <c r="B1558" i="8"/>
  <c r="D1557" i="8"/>
  <c r="F1557" i="8" s="1"/>
  <c r="C1557" i="8"/>
  <c r="B1557" i="8"/>
  <c r="D1556" i="8"/>
  <c r="F1556" i="8" s="1"/>
  <c r="C1556" i="8"/>
  <c r="B1556" i="8"/>
  <c r="D1555" i="8"/>
  <c r="F1555" i="8" s="1"/>
  <c r="C1555" i="8"/>
  <c r="B1555" i="8"/>
  <c r="D1554" i="8"/>
  <c r="F1554" i="8" s="1"/>
  <c r="C1554" i="8"/>
  <c r="B1554" i="8"/>
  <c r="D1553" i="8"/>
  <c r="F1553" i="8" s="1"/>
  <c r="C1553" i="8"/>
  <c r="B1553" i="8"/>
  <c r="D1552" i="8"/>
  <c r="F1552" i="8" s="1"/>
  <c r="C1552" i="8"/>
  <c r="B1552" i="8"/>
  <c r="D1551" i="8"/>
  <c r="F1551" i="8" s="1"/>
  <c r="C1551" i="8"/>
  <c r="B1551" i="8"/>
  <c r="D1550" i="8"/>
  <c r="F1550" i="8" s="1"/>
  <c r="C1550" i="8"/>
  <c r="B1550" i="8"/>
  <c r="D1549" i="8"/>
  <c r="F1549" i="8" s="1"/>
  <c r="C1549" i="8"/>
  <c r="B1549" i="8"/>
  <c r="D1548" i="8"/>
  <c r="F1548" i="8" s="1"/>
  <c r="C1548" i="8"/>
  <c r="B1548" i="8"/>
  <c r="D1547" i="8"/>
  <c r="F1547" i="8" s="1"/>
  <c r="C1547" i="8"/>
  <c r="B1547" i="8"/>
  <c r="D1546" i="8"/>
  <c r="F1546" i="8" s="1"/>
  <c r="C1546" i="8"/>
  <c r="B1546" i="8"/>
  <c r="D1545" i="8"/>
  <c r="F1545" i="8" s="1"/>
  <c r="C1545" i="8"/>
  <c r="B1545" i="8"/>
  <c r="D1544" i="8"/>
  <c r="F1544" i="8" s="1"/>
  <c r="C1544" i="8"/>
  <c r="B1544" i="8"/>
  <c r="D1543" i="8"/>
  <c r="F1543" i="8" s="1"/>
  <c r="C1543" i="8"/>
  <c r="B1543" i="8"/>
  <c r="D1542" i="8"/>
  <c r="F1542" i="8" s="1"/>
  <c r="C1542" i="8"/>
  <c r="B1542" i="8"/>
  <c r="D1541" i="8"/>
  <c r="F1541" i="8" s="1"/>
  <c r="C1541" i="8"/>
  <c r="B1541" i="8"/>
  <c r="D1540" i="8"/>
  <c r="F1540" i="8" s="1"/>
  <c r="C1540" i="8"/>
  <c r="B1540" i="8"/>
  <c r="D1539" i="8"/>
  <c r="F1539" i="8" s="1"/>
  <c r="C1539" i="8"/>
  <c r="B1539" i="8"/>
  <c r="D1538" i="8"/>
  <c r="F1538" i="8" s="1"/>
  <c r="C1538" i="8"/>
  <c r="B1538" i="8"/>
  <c r="D1537" i="8"/>
  <c r="F1537" i="8" s="1"/>
  <c r="C1537" i="8"/>
  <c r="B1537" i="8"/>
  <c r="D1536" i="8"/>
  <c r="F1536" i="8" s="1"/>
  <c r="C1536" i="8"/>
  <c r="B1536" i="8"/>
  <c r="D1535" i="8"/>
  <c r="F1535" i="8" s="1"/>
  <c r="C1535" i="8"/>
  <c r="B1535" i="8"/>
  <c r="D1534" i="8"/>
  <c r="F1534" i="8" s="1"/>
  <c r="C1534" i="8"/>
  <c r="B1534" i="8"/>
  <c r="D1533" i="8"/>
  <c r="F1533" i="8" s="1"/>
  <c r="C1533" i="8"/>
  <c r="B1533" i="8"/>
  <c r="D1532" i="8"/>
  <c r="F1532" i="8" s="1"/>
  <c r="C1532" i="8"/>
  <c r="B1532" i="8"/>
  <c r="D1531" i="8"/>
  <c r="F1531" i="8" s="1"/>
  <c r="C1531" i="8"/>
  <c r="B1531" i="8"/>
  <c r="D1530" i="8"/>
  <c r="F1530" i="8" s="1"/>
  <c r="C1530" i="8"/>
  <c r="B1530" i="8"/>
  <c r="D1529" i="8"/>
  <c r="F1529" i="8" s="1"/>
  <c r="C1529" i="8"/>
  <c r="B1529" i="8"/>
  <c r="D1528" i="8"/>
  <c r="F1528" i="8" s="1"/>
  <c r="C1528" i="8"/>
  <c r="B1528" i="8"/>
  <c r="D1527" i="8"/>
  <c r="F1527" i="8" s="1"/>
  <c r="C1527" i="8"/>
  <c r="B1527" i="8"/>
  <c r="D1526" i="8"/>
  <c r="F1526" i="8" s="1"/>
  <c r="C1526" i="8"/>
  <c r="B1526" i="8"/>
  <c r="D1525" i="8"/>
  <c r="F1525" i="8" s="1"/>
  <c r="C1525" i="8"/>
  <c r="B1525" i="8"/>
  <c r="D1524" i="8"/>
  <c r="F1524" i="8" s="1"/>
  <c r="C1524" i="8"/>
  <c r="B1524" i="8"/>
  <c r="D1523" i="8"/>
  <c r="F1523" i="8" s="1"/>
  <c r="C1523" i="8"/>
  <c r="B1523" i="8"/>
  <c r="D1522" i="8"/>
  <c r="F1522" i="8" s="1"/>
  <c r="C1522" i="8"/>
  <c r="B1522" i="8"/>
  <c r="D1521" i="8"/>
  <c r="F1521" i="8" s="1"/>
  <c r="C1521" i="8"/>
  <c r="B1521" i="8"/>
  <c r="D1520" i="8"/>
  <c r="F1520" i="8" s="1"/>
  <c r="C1520" i="8"/>
  <c r="B1520" i="8"/>
  <c r="D1519" i="8"/>
  <c r="F1519" i="8" s="1"/>
  <c r="C1519" i="8"/>
  <c r="B1519" i="8"/>
  <c r="D1518" i="8"/>
  <c r="F1518" i="8" s="1"/>
  <c r="C1518" i="8"/>
  <c r="B1518" i="8"/>
  <c r="D1517" i="8"/>
  <c r="F1517" i="8" s="1"/>
  <c r="C1517" i="8"/>
  <c r="B1517" i="8"/>
  <c r="D1516" i="8"/>
  <c r="F1516" i="8" s="1"/>
  <c r="C1516" i="8"/>
  <c r="B1516" i="8"/>
  <c r="D1515" i="8"/>
  <c r="F1515" i="8" s="1"/>
  <c r="C1515" i="8"/>
  <c r="B1515" i="8"/>
  <c r="D1514" i="8"/>
  <c r="F1514" i="8" s="1"/>
  <c r="C1514" i="8"/>
  <c r="B1514" i="8"/>
  <c r="D1513" i="8"/>
  <c r="F1513" i="8" s="1"/>
  <c r="C1513" i="8"/>
  <c r="B1513" i="8"/>
  <c r="D1512" i="8"/>
  <c r="F1512" i="8" s="1"/>
  <c r="C1512" i="8"/>
  <c r="B1512" i="8"/>
  <c r="D1511" i="8"/>
  <c r="F1511" i="8" s="1"/>
  <c r="C1511" i="8"/>
  <c r="B1511" i="8"/>
  <c r="D1510" i="8"/>
  <c r="F1510" i="8" s="1"/>
  <c r="C1510" i="8"/>
  <c r="B1510" i="8"/>
  <c r="D1509" i="8"/>
  <c r="F1509" i="8" s="1"/>
  <c r="C1509" i="8"/>
  <c r="B1509" i="8"/>
  <c r="D1508" i="8"/>
  <c r="F1508" i="8" s="1"/>
  <c r="C1508" i="8"/>
  <c r="B1508" i="8"/>
  <c r="D1507" i="8"/>
  <c r="F1507" i="8" s="1"/>
  <c r="C1507" i="8"/>
  <c r="B1507" i="8"/>
  <c r="D1506" i="8"/>
  <c r="F1506" i="8" s="1"/>
  <c r="C1506" i="8"/>
  <c r="B1506" i="8"/>
  <c r="D1505" i="8"/>
  <c r="F1505" i="8" s="1"/>
  <c r="C1505" i="8"/>
  <c r="B1505" i="8"/>
  <c r="D1504" i="8"/>
  <c r="F1504" i="8" s="1"/>
  <c r="C1504" i="8"/>
  <c r="B1504" i="8"/>
  <c r="D1503" i="8"/>
  <c r="F1503" i="8" s="1"/>
  <c r="C1503" i="8"/>
  <c r="B1503" i="8"/>
  <c r="D1502" i="8"/>
  <c r="F1502" i="8" s="1"/>
  <c r="C1502" i="8"/>
  <c r="B1502" i="8"/>
  <c r="D1501" i="8"/>
  <c r="F1501" i="8" s="1"/>
  <c r="C1501" i="8"/>
  <c r="B1501" i="8"/>
  <c r="D1500" i="8"/>
  <c r="F1500" i="8" s="1"/>
  <c r="C1500" i="8"/>
  <c r="B1500" i="8"/>
  <c r="D1499" i="8"/>
  <c r="F1499" i="8" s="1"/>
  <c r="C1499" i="8"/>
  <c r="B1499" i="8"/>
  <c r="D1498" i="8"/>
  <c r="F1498" i="8" s="1"/>
  <c r="C1498" i="8"/>
  <c r="B1498" i="8"/>
  <c r="D1497" i="8"/>
  <c r="F1497" i="8" s="1"/>
  <c r="C1497" i="8"/>
  <c r="B1497" i="8"/>
  <c r="D1496" i="8"/>
  <c r="F1496" i="8" s="1"/>
  <c r="C1496" i="8"/>
  <c r="B1496" i="8"/>
  <c r="D1495" i="8"/>
  <c r="F1495" i="8" s="1"/>
  <c r="C1495" i="8"/>
  <c r="B1495" i="8"/>
  <c r="D1494" i="8"/>
  <c r="F1494" i="8" s="1"/>
  <c r="C1494" i="8"/>
  <c r="B1494" i="8"/>
  <c r="D1493" i="8"/>
  <c r="F1493" i="8" s="1"/>
  <c r="C1493" i="8"/>
  <c r="B1493" i="8"/>
  <c r="D1492" i="8"/>
  <c r="F1492" i="8" s="1"/>
  <c r="C1492" i="8"/>
  <c r="B1492" i="8"/>
  <c r="D1491" i="8"/>
  <c r="F1491" i="8" s="1"/>
  <c r="C1491" i="8"/>
  <c r="B1491" i="8"/>
  <c r="D1490" i="8"/>
  <c r="F1490" i="8" s="1"/>
  <c r="C1490" i="8"/>
  <c r="B1490" i="8"/>
  <c r="D1489" i="8"/>
  <c r="F1489" i="8" s="1"/>
  <c r="C1489" i="8"/>
  <c r="B1489" i="8"/>
  <c r="D1488" i="8"/>
  <c r="F1488" i="8" s="1"/>
  <c r="C1488" i="8"/>
  <c r="B1488" i="8"/>
  <c r="D1487" i="8"/>
  <c r="F1487" i="8" s="1"/>
  <c r="C1487" i="8"/>
  <c r="B1487" i="8"/>
  <c r="D1486" i="8"/>
  <c r="F1486" i="8" s="1"/>
  <c r="C1486" i="8"/>
  <c r="B1486" i="8"/>
  <c r="D1485" i="8"/>
  <c r="F1485" i="8" s="1"/>
  <c r="C1485" i="8"/>
  <c r="B1485" i="8"/>
  <c r="D1484" i="8"/>
  <c r="F1484" i="8" s="1"/>
  <c r="C1484" i="8"/>
  <c r="B1484" i="8"/>
  <c r="D1483" i="8"/>
  <c r="F1483" i="8" s="1"/>
  <c r="C1483" i="8"/>
  <c r="B1483" i="8"/>
  <c r="D1482" i="8"/>
  <c r="F1482" i="8" s="1"/>
  <c r="C1482" i="8"/>
  <c r="B1482" i="8"/>
  <c r="D1481" i="8"/>
  <c r="F1481" i="8" s="1"/>
  <c r="C1481" i="8"/>
  <c r="B1481" i="8"/>
  <c r="D1480" i="8"/>
  <c r="F1480" i="8" s="1"/>
  <c r="C1480" i="8"/>
  <c r="B1480" i="8"/>
  <c r="D1479" i="8"/>
  <c r="F1479" i="8" s="1"/>
  <c r="C1479" i="8"/>
  <c r="B1479" i="8"/>
  <c r="D1478" i="8"/>
  <c r="F1478" i="8" s="1"/>
  <c r="C1478" i="8"/>
  <c r="B1478" i="8"/>
  <c r="D1477" i="8"/>
  <c r="F1477" i="8" s="1"/>
  <c r="C1477" i="8"/>
  <c r="B1477" i="8"/>
  <c r="D1476" i="8"/>
  <c r="F1476" i="8" s="1"/>
  <c r="C1476" i="8"/>
  <c r="B1476" i="8"/>
  <c r="D1475" i="8"/>
  <c r="F1475" i="8" s="1"/>
  <c r="C1475" i="8"/>
  <c r="B1475" i="8"/>
  <c r="D1474" i="8"/>
  <c r="F1474" i="8" s="1"/>
  <c r="C1474" i="8"/>
  <c r="B1474" i="8"/>
  <c r="D1473" i="8"/>
  <c r="F1473" i="8" s="1"/>
  <c r="C1473" i="8"/>
  <c r="B1473" i="8"/>
  <c r="D1472" i="8"/>
  <c r="F1472" i="8" s="1"/>
  <c r="C1472" i="8"/>
  <c r="B1472" i="8"/>
  <c r="D1471" i="8"/>
  <c r="F1471" i="8" s="1"/>
  <c r="C1471" i="8"/>
  <c r="B1471" i="8"/>
  <c r="D1470" i="8"/>
  <c r="F1470" i="8" s="1"/>
  <c r="C1470" i="8"/>
  <c r="B1470" i="8"/>
  <c r="D1469" i="8"/>
  <c r="F1469" i="8" s="1"/>
  <c r="C1469" i="8"/>
  <c r="B1469" i="8"/>
  <c r="D1468" i="8"/>
  <c r="F1468" i="8" s="1"/>
  <c r="C1468" i="8"/>
  <c r="B1468" i="8"/>
  <c r="D1467" i="8"/>
  <c r="F1467" i="8" s="1"/>
  <c r="C1467" i="8"/>
  <c r="B1467" i="8"/>
  <c r="D1466" i="8"/>
  <c r="F1466" i="8" s="1"/>
  <c r="C1466" i="8"/>
  <c r="B1466" i="8"/>
  <c r="D1465" i="8"/>
  <c r="F1465" i="8" s="1"/>
  <c r="C1465" i="8"/>
  <c r="B1465" i="8"/>
  <c r="D1464" i="8"/>
  <c r="F1464" i="8" s="1"/>
  <c r="C1464" i="8"/>
  <c r="B1464" i="8"/>
  <c r="D1463" i="8"/>
  <c r="F1463" i="8" s="1"/>
  <c r="C1463" i="8"/>
  <c r="B1463" i="8"/>
  <c r="D1462" i="8"/>
  <c r="F1462" i="8" s="1"/>
  <c r="C1462" i="8"/>
  <c r="B1462" i="8"/>
  <c r="D1461" i="8"/>
  <c r="F1461" i="8" s="1"/>
  <c r="C1461" i="8"/>
  <c r="B1461" i="8"/>
  <c r="D1460" i="8"/>
  <c r="F1460" i="8" s="1"/>
  <c r="C1460" i="8"/>
  <c r="B1460" i="8"/>
  <c r="D1459" i="8"/>
  <c r="F1459" i="8" s="1"/>
  <c r="C1459" i="8"/>
  <c r="B1459" i="8"/>
  <c r="D1458" i="8"/>
  <c r="F1458" i="8" s="1"/>
  <c r="C1458" i="8"/>
  <c r="B1458" i="8"/>
  <c r="D1457" i="8"/>
  <c r="F1457" i="8" s="1"/>
  <c r="C1457" i="8"/>
  <c r="B1457" i="8"/>
  <c r="D1456" i="8"/>
  <c r="F1456" i="8" s="1"/>
  <c r="C1456" i="8"/>
  <c r="B1456" i="8"/>
  <c r="D1455" i="8"/>
  <c r="F1455" i="8" s="1"/>
  <c r="C1455" i="8"/>
  <c r="B1455" i="8"/>
  <c r="D1454" i="8"/>
  <c r="F1454" i="8" s="1"/>
  <c r="C1454" i="8"/>
  <c r="B1454" i="8"/>
  <c r="D1453" i="8"/>
  <c r="F1453" i="8" s="1"/>
  <c r="C1453" i="8"/>
  <c r="B1453" i="8"/>
  <c r="D1452" i="8"/>
  <c r="F1452" i="8" s="1"/>
  <c r="C1452" i="8"/>
  <c r="B1452" i="8"/>
  <c r="D1451" i="8"/>
  <c r="F1451" i="8" s="1"/>
  <c r="C1451" i="8"/>
  <c r="B1451" i="8"/>
  <c r="D1450" i="8"/>
  <c r="F1450" i="8" s="1"/>
  <c r="C1450" i="8"/>
  <c r="B1450" i="8"/>
  <c r="D1449" i="8"/>
  <c r="F1449" i="8" s="1"/>
  <c r="C1449" i="8"/>
  <c r="B1449" i="8"/>
  <c r="D1448" i="8"/>
  <c r="F1448" i="8" s="1"/>
  <c r="C1448" i="8"/>
  <c r="B1448" i="8"/>
  <c r="D1447" i="8"/>
  <c r="F1447" i="8" s="1"/>
  <c r="C1447" i="8"/>
  <c r="B1447" i="8"/>
  <c r="D1446" i="8"/>
  <c r="F1446" i="8" s="1"/>
  <c r="C1446" i="8"/>
  <c r="B1446" i="8"/>
  <c r="D1445" i="8"/>
  <c r="F1445" i="8" s="1"/>
  <c r="C1445" i="8"/>
  <c r="B1445" i="8"/>
  <c r="D1444" i="8"/>
  <c r="F1444" i="8" s="1"/>
  <c r="C1444" i="8"/>
  <c r="B1444" i="8"/>
  <c r="D1443" i="8"/>
  <c r="F1443" i="8" s="1"/>
  <c r="C1443" i="8"/>
  <c r="B1443" i="8"/>
  <c r="D1442" i="8"/>
  <c r="F1442" i="8" s="1"/>
  <c r="C1442" i="8"/>
  <c r="B1442" i="8"/>
  <c r="D1441" i="8"/>
  <c r="F1441" i="8" s="1"/>
  <c r="C1441" i="8"/>
  <c r="B1441" i="8"/>
  <c r="D1440" i="8"/>
  <c r="F1440" i="8" s="1"/>
  <c r="C1440" i="8"/>
  <c r="B1440" i="8"/>
  <c r="D1439" i="8"/>
  <c r="F1439" i="8" s="1"/>
  <c r="C1439" i="8"/>
  <c r="B1439" i="8"/>
  <c r="D1438" i="8"/>
  <c r="F1438" i="8" s="1"/>
  <c r="C1438" i="8"/>
  <c r="B1438" i="8"/>
  <c r="D1437" i="8"/>
  <c r="F1437" i="8" s="1"/>
  <c r="C1437" i="8"/>
  <c r="B1437" i="8"/>
  <c r="D1436" i="8"/>
  <c r="F1436" i="8" s="1"/>
  <c r="C1436" i="8"/>
  <c r="B1436" i="8"/>
  <c r="D1435" i="8"/>
  <c r="F1435" i="8" s="1"/>
  <c r="C1435" i="8"/>
  <c r="B1435" i="8"/>
  <c r="D1434" i="8"/>
  <c r="F1434" i="8" s="1"/>
  <c r="C1434" i="8"/>
  <c r="B1434" i="8"/>
  <c r="D1433" i="8"/>
  <c r="F1433" i="8" s="1"/>
  <c r="C1433" i="8"/>
  <c r="B1433" i="8"/>
  <c r="D1432" i="8"/>
  <c r="F1432" i="8" s="1"/>
  <c r="C1432" i="8"/>
  <c r="B1432" i="8"/>
  <c r="D1431" i="8"/>
  <c r="F1431" i="8" s="1"/>
  <c r="C1431" i="8"/>
  <c r="B1431" i="8"/>
  <c r="D1430" i="8"/>
  <c r="F1430" i="8" s="1"/>
  <c r="C1430" i="8"/>
  <c r="B1430" i="8"/>
  <c r="D1429" i="8"/>
  <c r="F1429" i="8" s="1"/>
  <c r="C1429" i="8"/>
  <c r="B1429" i="8"/>
  <c r="D1428" i="8"/>
  <c r="F1428" i="8" s="1"/>
  <c r="C1428" i="8"/>
  <c r="B1428" i="8"/>
  <c r="D1427" i="8"/>
  <c r="F1427" i="8" s="1"/>
  <c r="C1427" i="8"/>
  <c r="B1427" i="8"/>
  <c r="D1426" i="8"/>
  <c r="F1426" i="8" s="1"/>
  <c r="C1426" i="8"/>
  <c r="B1426" i="8"/>
  <c r="D1425" i="8"/>
  <c r="F1425" i="8" s="1"/>
  <c r="C1425" i="8"/>
  <c r="B1425" i="8"/>
  <c r="D1424" i="8"/>
  <c r="F1424" i="8" s="1"/>
  <c r="C1424" i="8"/>
  <c r="B1424" i="8"/>
  <c r="D1423" i="8"/>
  <c r="F1423" i="8" s="1"/>
  <c r="C1423" i="8"/>
  <c r="B1423" i="8"/>
  <c r="D1422" i="8"/>
  <c r="F1422" i="8" s="1"/>
  <c r="C1422" i="8"/>
  <c r="B1422" i="8"/>
  <c r="D1421" i="8"/>
  <c r="F1421" i="8" s="1"/>
  <c r="C1421" i="8"/>
  <c r="B1421" i="8"/>
  <c r="D1420" i="8"/>
  <c r="F1420" i="8" s="1"/>
  <c r="C1420" i="8"/>
  <c r="B1420" i="8"/>
  <c r="D1419" i="8"/>
  <c r="F1419" i="8" s="1"/>
  <c r="C1419" i="8"/>
  <c r="B1419" i="8"/>
  <c r="D1418" i="8"/>
  <c r="F1418" i="8" s="1"/>
  <c r="C1418" i="8"/>
  <c r="B1418" i="8"/>
  <c r="D1417" i="8"/>
  <c r="F1417" i="8" s="1"/>
  <c r="C1417" i="8"/>
  <c r="B1417" i="8"/>
  <c r="D1416" i="8"/>
  <c r="F1416" i="8" s="1"/>
  <c r="C1416" i="8"/>
  <c r="B1416" i="8"/>
  <c r="D1415" i="8"/>
  <c r="F1415" i="8" s="1"/>
  <c r="C1415" i="8"/>
  <c r="B1415" i="8"/>
  <c r="D1414" i="8"/>
  <c r="F1414" i="8" s="1"/>
  <c r="C1414" i="8"/>
  <c r="B1414" i="8"/>
  <c r="D1413" i="8"/>
  <c r="F1413" i="8" s="1"/>
  <c r="C1413" i="8"/>
  <c r="B1413" i="8"/>
  <c r="D1412" i="8"/>
  <c r="F1412" i="8" s="1"/>
  <c r="C1412" i="8"/>
  <c r="B1412" i="8"/>
  <c r="D1411" i="8"/>
  <c r="F1411" i="8" s="1"/>
  <c r="C1411" i="8"/>
  <c r="B1411" i="8"/>
  <c r="D1410" i="8"/>
  <c r="F1410" i="8" s="1"/>
  <c r="C1410" i="8"/>
  <c r="B1410" i="8"/>
  <c r="D1409" i="8"/>
  <c r="F1409" i="8" s="1"/>
  <c r="C1409" i="8"/>
  <c r="B1409" i="8"/>
  <c r="D1408" i="8"/>
  <c r="F1408" i="8" s="1"/>
  <c r="C1408" i="8"/>
  <c r="B1408" i="8"/>
  <c r="D1407" i="8"/>
  <c r="F1407" i="8" s="1"/>
  <c r="C1407" i="8"/>
  <c r="B1407" i="8"/>
  <c r="D1406" i="8"/>
  <c r="F1406" i="8" s="1"/>
  <c r="C1406" i="8"/>
  <c r="B1406" i="8"/>
  <c r="D1405" i="8"/>
  <c r="F1405" i="8" s="1"/>
  <c r="C1405" i="8"/>
  <c r="B1405" i="8"/>
  <c r="D1404" i="8"/>
  <c r="F1404" i="8" s="1"/>
  <c r="C1404" i="8"/>
  <c r="B1404" i="8"/>
  <c r="D1403" i="8"/>
  <c r="F1403" i="8" s="1"/>
  <c r="C1403" i="8"/>
  <c r="B1403" i="8"/>
  <c r="D1402" i="8"/>
  <c r="F1402" i="8" s="1"/>
  <c r="C1402" i="8"/>
  <c r="B1402" i="8"/>
  <c r="D1401" i="8"/>
  <c r="F1401" i="8" s="1"/>
  <c r="C1401" i="8"/>
  <c r="B1401" i="8"/>
  <c r="D1400" i="8"/>
  <c r="F1400" i="8" s="1"/>
  <c r="C1400" i="8"/>
  <c r="B1400" i="8"/>
  <c r="D1399" i="8"/>
  <c r="F1399" i="8" s="1"/>
  <c r="C1399" i="8"/>
  <c r="B1399" i="8"/>
  <c r="D1398" i="8"/>
  <c r="F1398" i="8" s="1"/>
  <c r="C1398" i="8"/>
  <c r="B1398" i="8"/>
  <c r="D1397" i="8"/>
  <c r="F1397" i="8" s="1"/>
  <c r="C1397" i="8"/>
  <c r="B1397" i="8"/>
  <c r="D1396" i="8"/>
  <c r="F1396" i="8" s="1"/>
  <c r="C1396" i="8"/>
  <c r="B1396" i="8"/>
  <c r="D1395" i="8"/>
  <c r="F1395" i="8" s="1"/>
  <c r="C1395" i="8"/>
  <c r="B1395" i="8"/>
  <c r="D1394" i="8"/>
  <c r="F1394" i="8" s="1"/>
  <c r="C1394" i="8"/>
  <c r="B1394" i="8"/>
  <c r="D1393" i="8"/>
  <c r="F1393" i="8" s="1"/>
  <c r="C1393" i="8"/>
  <c r="B1393" i="8"/>
  <c r="D1392" i="8"/>
  <c r="F1392" i="8" s="1"/>
  <c r="K385" i="5" s="1"/>
  <c r="C1392" i="8"/>
  <c r="B1392" i="8"/>
  <c r="D1391" i="8"/>
  <c r="F1391" i="8" s="1"/>
  <c r="C1391" i="8"/>
  <c r="B1391" i="8"/>
  <c r="D1390" i="8"/>
  <c r="F1390" i="8" s="1"/>
  <c r="C1390" i="8"/>
  <c r="B1390" i="8"/>
  <c r="D1389" i="8"/>
  <c r="F1389" i="8" s="1"/>
  <c r="C1389" i="8"/>
  <c r="B1389" i="8"/>
  <c r="D1388" i="8"/>
  <c r="F1388" i="8" s="1"/>
  <c r="C1388" i="8"/>
  <c r="B1388" i="8"/>
  <c r="D1387" i="8"/>
  <c r="F1387" i="8" s="1"/>
  <c r="C1387" i="8"/>
  <c r="B1387" i="8"/>
  <c r="D1386" i="8"/>
  <c r="F1386" i="8" s="1"/>
  <c r="C1386" i="8"/>
  <c r="B1386" i="8"/>
  <c r="D1385" i="8"/>
  <c r="F1385" i="8" s="1"/>
  <c r="C1385" i="8"/>
  <c r="B1385" i="8"/>
  <c r="D1384" i="8"/>
  <c r="F1384" i="8" s="1"/>
  <c r="C1384" i="8"/>
  <c r="B1384" i="8"/>
  <c r="D1383" i="8"/>
  <c r="F1383" i="8" s="1"/>
  <c r="C1383" i="8"/>
  <c r="B1383" i="8"/>
  <c r="D1382" i="8"/>
  <c r="F1382" i="8" s="1"/>
  <c r="C1382" i="8"/>
  <c r="B1382" i="8"/>
  <c r="D1381" i="8"/>
  <c r="F1381" i="8" s="1"/>
  <c r="C1381" i="8"/>
  <c r="B1381" i="8"/>
  <c r="D1380" i="8"/>
  <c r="F1380" i="8" s="1"/>
  <c r="C1380" i="8"/>
  <c r="B1380" i="8"/>
  <c r="D1379" i="8"/>
  <c r="F1379" i="8" s="1"/>
  <c r="C1379" i="8"/>
  <c r="B1379" i="8"/>
  <c r="D1378" i="8"/>
  <c r="F1378" i="8" s="1"/>
  <c r="C1378" i="8"/>
  <c r="B1378" i="8"/>
  <c r="D1377" i="8"/>
  <c r="F1377" i="8" s="1"/>
  <c r="C1377" i="8"/>
  <c r="B1377" i="8"/>
  <c r="D1376" i="8"/>
  <c r="F1376" i="8" s="1"/>
  <c r="C1376" i="8"/>
  <c r="B1376" i="8"/>
  <c r="D1375" i="8"/>
  <c r="F1375" i="8" s="1"/>
  <c r="C1375" i="8"/>
  <c r="B1375" i="8"/>
  <c r="D1374" i="8"/>
  <c r="F1374" i="8" s="1"/>
  <c r="C1374" i="8"/>
  <c r="B1374" i="8"/>
  <c r="D1373" i="8"/>
  <c r="F1373" i="8" s="1"/>
  <c r="C1373" i="8"/>
  <c r="B1373" i="8"/>
  <c r="D1372" i="8"/>
  <c r="F1372" i="8" s="1"/>
  <c r="C1372" i="8"/>
  <c r="B1372" i="8"/>
  <c r="D1371" i="8"/>
  <c r="F1371" i="8" s="1"/>
  <c r="C1371" i="8"/>
  <c r="B1371" i="8"/>
  <c r="D1370" i="8"/>
  <c r="F1370" i="8" s="1"/>
  <c r="C1370" i="8"/>
  <c r="B1370" i="8"/>
  <c r="D1369" i="8"/>
  <c r="F1369" i="8" s="1"/>
  <c r="C1369" i="8"/>
  <c r="B1369" i="8"/>
  <c r="D1368" i="8"/>
  <c r="F1368" i="8" s="1"/>
  <c r="C1368" i="8"/>
  <c r="B1368" i="8"/>
  <c r="D1367" i="8"/>
  <c r="F1367" i="8" s="1"/>
  <c r="C1367" i="8"/>
  <c r="B1367" i="8"/>
  <c r="D1366" i="8"/>
  <c r="F1366" i="8" s="1"/>
  <c r="C1366" i="8"/>
  <c r="B1366" i="8"/>
  <c r="D1365" i="8"/>
  <c r="F1365" i="8" s="1"/>
  <c r="C1365" i="8"/>
  <c r="B1365" i="8"/>
  <c r="D1364" i="8"/>
  <c r="F1364" i="8" s="1"/>
  <c r="C1364" i="8"/>
  <c r="B1364" i="8"/>
  <c r="D1363" i="8"/>
  <c r="F1363" i="8" s="1"/>
  <c r="C1363" i="8"/>
  <c r="B1363" i="8"/>
  <c r="D1362" i="8"/>
  <c r="F1362" i="8" s="1"/>
  <c r="C1362" i="8"/>
  <c r="B1362" i="8"/>
  <c r="D1361" i="8"/>
  <c r="F1361" i="8" s="1"/>
  <c r="C1361" i="8"/>
  <c r="B1361" i="8"/>
  <c r="D1360" i="8"/>
  <c r="F1360" i="8" s="1"/>
  <c r="C1360" i="8"/>
  <c r="B1360" i="8"/>
  <c r="D1359" i="8"/>
  <c r="F1359" i="8" s="1"/>
  <c r="C1359" i="8"/>
  <c r="B1359" i="8"/>
  <c r="D1358" i="8"/>
  <c r="F1358" i="8" s="1"/>
  <c r="C1358" i="8"/>
  <c r="B1358" i="8"/>
  <c r="D1357" i="8"/>
  <c r="F1357" i="8" s="1"/>
  <c r="C1357" i="8"/>
  <c r="B1357" i="8"/>
  <c r="D1356" i="8"/>
  <c r="F1356" i="8" s="1"/>
  <c r="C1356" i="8"/>
  <c r="B1356" i="8"/>
  <c r="D1355" i="8"/>
  <c r="F1355" i="8" s="1"/>
  <c r="C1355" i="8"/>
  <c r="B1355" i="8"/>
  <c r="D1354" i="8"/>
  <c r="F1354" i="8" s="1"/>
  <c r="C1354" i="8"/>
  <c r="B1354" i="8"/>
  <c r="D1353" i="8"/>
  <c r="F1353" i="8" s="1"/>
  <c r="C1353" i="8"/>
  <c r="B1353" i="8"/>
  <c r="D1352" i="8"/>
  <c r="F1352" i="8" s="1"/>
  <c r="C1352" i="8"/>
  <c r="B1352" i="8"/>
  <c r="D1351" i="8"/>
  <c r="F1351" i="8" s="1"/>
  <c r="C1351" i="8"/>
  <c r="B1351" i="8"/>
  <c r="D1350" i="8"/>
  <c r="F1350" i="8" s="1"/>
  <c r="C1350" i="8"/>
  <c r="B1350" i="8"/>
  <c r="D1349" i="8"/>
  <c r="F1349" i="8" s="1"/>
  <c r="C1349" i="8"/>
  <c r="B1349" i="8"/>
  <c r="D1348" i="8"/>
  <c r="F1348" i="8" s="1"/>
  <c r="C1348" i="8"/>
  <c r="B1348" i="8"/>
  <c r="D1347" i="8"/>
  <c r="F1347" i="8" s="1"/>
  <c r="C1347" i="8"/>
  <c r="B1347" i="8"/>
  <c r="D1346" i="8"/>
  <c r="F1346" i="8" s="1"/>
  <c r="C1346" i="8"/>
  <c r="B1346" i="8"/>
  <c r="D1345" i="8"/>
  <c r="F1345" i="8" s="1"/>
  <c r="C1345" i="8"/>
  <c r="B1345" i="8"/>
  <c r="D1344" i="8"/>
  <c r="F1344" i="8" s="1"/>
  <c r="C1344" i="8"/>
  <c r="B1344" i="8"/>
  <c r="D1343" i="8"/>
  <c r="F1343" i="8" s="1"/>
  <c r="C1343" i="8"/>
  <c r="B1343" i="8"/>
  <c r="D1342" i="8"/>
  <c r="F1342" i="8" s="1"/>
  <c r="C1342" i="8"/>
  <c r="B1342" i="8"/>
  <c r="D1341" i="8"/>
  <c r="F1341" i="8" s="1"/>
  <c r="C1341" i="8"/>
  <c r="B1341" i="8"/>
  <c r="D1340" i="8"/>
  <c r="F1340" i="8" s="1"/>
  <c r="C1340" i="8"/>
  <c r="B1340" i="8"/>
  <c r="D1339" i="8"/>
  <c r="F1339" i="8" s="1"/>
  <c r="C1339" i="8"/>
  <c r="B1339" i="8"/>
  <c r="D1338" i="8"/>
  <c r="F1338" i="8" s="1"/>
  <c r="C1338" i="8"/>
  <c r="B1338" i="8"/>
  <c r="D1337" i="8"/>
  <c r="F1337" i="8" s="1"/>
  <c r="C1337" i="8"/>
  <c r="B1337" i="8"/>
  <c r="D1336" i="8"/>
  <c r="F1336" i="8" s="1"/>
  <c r="C1336" i="8"/>
  <c r="B1336" i="8"/>
  <c r="D1335" i="8"/>
  <c r="F1335" i="8" s="1"/>
  <c r="C1335" i="8"/>
  <c r="B1335" i="8"/>
  <c r="D1334" i="8"/>
  <c r="F1334" i="8" s="1"/>
  <c r="C1334" i="8"/>
  <c r="B1334" i="8"/>
  <c r="D1333" i="8"/>
  <c r="F1333" i="8" s="1"/>
  <c r="C1333" i="8"/>
  <c r="B1333" i="8"/>
  <c r="D1332" i="8"/>
  <c r="F1332" i="8" s="1"/>
  <c r="C1332" i="8"/>
  <c r="B1332" i="8"/>
  <c r="D1331" i="8"/>
  <c r="F1331" i="8" s="1"/>
  <c r="C1331" i="8"/>
  <c r="B1331" i="8"/>
  <c r="D1330" i="8"/>
  <c r="F1330" i="8" s="1"/>
  <c r="C1330" i="8"/>
  <c r="B1330" i="8"/>
  <c r="D1329" i="8"/>
  <c r="F1329" i="8" s="1"/>
  <c r="C1329" i="8"/>
  <c r="B1329" i="8"/>
  <c r="D1328" i="8"/>
  <c r="F1328" i="8" s="1"/>
  <c r="C1328" i="8"/>
  <c r="B1328" i="8"/>
  <c r="D1327" i="8"/>
  <c r="F1327" i="8" s="1"/>
  <c r="C1327" i="8"/>
  <c r="B1327" i="8"/>
  <c r="D1326" i="8"/>
  <c r="F1326" i="8" s="1"/>
  <c r="C1326" i="8"/>
  <c r="B1326" i="8"/>
  <c r="D1325" i="8"/>
  <c r="F1325" i="8" s="1"/>
  <c r="C1325" i="8"/>
  <c r="B1325" i="8"/>
  <c r="D1324" i="8"/>
  <c r="F1324" i="8" s="1"/>
  <c r="C1324" i="8"/>
  <c r="B1324" i="8"/>
  <c r="D1323" i="8"/>
  <c r="F1323" i="8" s="1"/>
  <c r="C1323" i="8"/>
  <c r="B1323" i="8"/>
  <c r="D1322" i="8"/>
  <c r="F1322" i="8" s="1"/>
  <c r="C1322" i="8"/>
  <c r="B1322" i="8"/>
  <c r="D1321" i="8"/>
  <c r="F1321" i="8" s="1"/>
  <c r="C1321" i="8"/>
  <c r="B1321" i="8"/>
  <c r="D1320" i="8"/>
  <c r="F1320" i="8" s="1"/>
  <c r="C1320" i="8"/>
  <c r="B1320" i="8"/>
  <c r="D1319" i="8"/>
  <c r="F1319" i="8" s="1"/>
  <c r="C1319" i="8"/>
  <c r="B1319" i="8"/>
  <c r="D1318" i="8"/>
  <c r="F1318" i="8" s="1"/>
  <c r="C1318" i="8"/>
  <c r="B1318" i="8"/>
  <c r="D1317" i="8"/>
  <c r="F1317" i="8" s="1"/>
  <c r="C1317" i="8"/>
  <c r="B1317" i="8"/>
  <c r="D1316" i="8"/>
  <c r="F1316" i="8" s="1"/>
  <c r="C1316" i="8"/>
  <c r="B1316" i="8"/>
  <c r="D1315" i="8"/>
  <c r="F1315" i="8" s="1"/>
  <c r="C1315" i="8"/>
  <c r="B1315" i="8"/>
  <c r="D1314" i="8"/>
  <c r="F1314" i="8" s="1"/>
  <c r="C1314" i="8"/>
  <c r="B1314" i="8"/>
  <c r="D1313" i="8"/>
  <c r="F1313" i="8" s="1"/>
  <c r="C1313" i="8"/>
  <c r="B1313" i="8"/>
  <c r="D1312" i="8"/>
  <c r="F1312" i="8" s="1"/>
  <c r="C1312" i="8"/>
  <c r="B1312" i="8"/>
  <c r="D1311" i="8"/>
  <c r="F1311" i="8" s="1"/>
  <c r="C1311" i="8"/>
  <c r="B1311" i="8"/>
  <c r="D1310" i="8"/>
  <c r="F1310" i="8" s="1"/>
  <c r="C1310" i="8"/>
  <c r="B1310" i="8"/>
  <c r="D1309" i="8"/>
  <c r="F1309" i="8" s="1"/>
  <c r="C1309" i="8"/>
  <c r="B1309" i="8"/>
  <c r="D1308" i="8"/>
  <c r="F1308" i="8" s="1"/>
  <c r="C1308" i="8"/>
  <c r="B1308" i="8"/>
  <c r="D1307" i="8"/>
  <c r="F1307" i="8" s="1"/>
  <c r="C1307" i="8"/>
  <c r="B1307" i="8"/>
  <c r="D1306" i="8"/>
  <c r="F1306" i="8" s="1"/>
  <c r="C1306" i="8"/>
  <c r="B1306" i="8"/>
  <c r="D1305" i="8"/>
  <c r="F1305" i="8" s="1"/>
  <c r="C1305" i="8"/>
  <c r="B1305" i="8"/>
  <c r="D1304" i="8"/>
  <c r="F1304" i="8" s="1"/>
  <c r="C1304" i="8"/>
  <c r="B1304" i="8"/>
  <c r="D1303" i="8"/>
  <c r="F1303" i="8" s="1"/>
  <c r="C1303" i="8"/>
  <c r="B1303" i="8"/>
  <c r="D1302" i="8"/>
  <c r="F1302" i="8" s="1"/>
  <c r="C1302" i="8"/>
  <c r="B1302" i="8"/>
  <c r="D1301" i="8"/>
  <c r="F1301" i="8" s="1"/>
  <c r="C1301" i="8"/>
  <c r="B1301" i="8"/>
  <c r="D1300" i="8"/>
  <c r="F1300" i="8" s="1"/>
  <c r="C1300" i="8"/>
  <c r="B1300" i="8"/>
  <c r="D1299" i="8"/>
  <c r="F1299" i="8" s="1"/>
  <c r="C1299" i="8"/>
  <c r="B1299" i="8"/>
  <c r="D1298" i="8"/>
  <c r="F1298" i="8" s="1"/>
  <c r="C1298" i="8"/>
  <c r="B1298" i="8"/>
  <c r="D1297" i="8"/>
  <c r="F1297" i="8" s="1"/>
  <c r="C1297" i="8"/>
  <c r="B1297" i="8"/>
  <c r="D1296" i="8"/>
  <c r="F1296" i="8" s="1"/>
  <c r="C1296" i="8"/>
  <c r="B1296" i="8"/>
  <c r="D1295" i="8"/>
  <c r="F1295" i="8" s="1"/>
  <c r="C1295" i="8"/>
  <c r="B1295" i="8"/>
  <c r="D1294" i="8"/>
  <c r="F1294" i="8" s="1"/>
  <c r="C1294" i="8"/>
  <c r="B1294" i="8"/>
  <c r="D1293" i="8"/>
  <c r="F1293" i="8" s="1"/>
  <c r="C1293" i="8"/>
  <c r="B1293" i="8"/>
  <c r="D1292" i="8"/>
  <c r="F1292" i="8" s="1"/>
  <c r="C1292" i="8"/>
  <c r="B1292" i="8"/>
  <c r="D1291" i="8"/>
  <c r="F1291" i="8" s="1"/>
  <c r="C1291" i="8"/>
  <c r="B1291" i="8"/>
  <c r="D1290" i="8"/>
  <c r="F1290" i="8" s="1"/>
  <c r="C1290" i="8"/>
  <c r="B1290" i="8"/>
  <c r="D1289" i="8"/>
  <c r="F1289" i="8" s="1"/>
  <c r="C1289" i="8"/>
  <c r="B1289" i="8"/>
  <c r="D1288" i="8"/>
  <c r="F1288" i="8" s="1"/>
  <c r="C1288" i="8"/>
  <c r="B1288" i="8"/>
  <c r="D1287" i="8"/>
  <c r="F1287" i="8" s="1"/>
  <c r="C1287" i="8"/>
  <c r="B1287" i="8"/>
  <c r="D1286" i="8"/>
  <c r="F1286" i="8" s="1"/>
  <c r="C1286" i="8"/>
  <c r="B1286" i="8"/>
  <c r="D1285" i="8"/>
  <c r="F1285" i="8" s="1"/>
  <c r="C1285" i="8"/>
  <c r="B1285" i="8"/>
  <c r="D1284" i="8"/>
  <c r="F1284" i="8" s="1"/>
  <c r="C1284" i="8"/>
  <c r="B1284" i="8"/>
  <c r="D1283" i="8"/>
  <c r="F1283" i="8" s="1"/>
  <c r="C1283" i="8"/>
  <c r="B1283" i="8"/>
  <c r="D1282" i="8"/>
  <c r="F1282" i="8" s="1"/>
  <c r="C1282" i="8"/>
  <c r="B1282" i="8"/>
  <c r="D1281" i="8"/>
  <c r="F1281" i="8" s="1"/>
  <c r="C1281" i="8"/>
  <c r="B1281" i="8"/>
  <c r="D1280" i="8"/>
  <c r="F1280" i="8" s="1"/>
  <c r="C1280" i="8"/>
  <c r="B1280" i="8"/>
  <c r="D1279" i="8"/>
  <c r="F1279" i="8" s="1"/>
  <c r="C1279" i="8"/>
  <c r="B1279" i="8"/>
  <c r="D1278" i="8"/>
  <c r="F1278" i="8" s="1"/>
  <c r="C1278" i="8"/>
  <c r="B1278" i="8"/>
  <c r="D1277" i="8"/>
  <c r="F1277" i="8" s="1"/>
  <c r="C1277" i="8"/>
  <c r="B1277" i="8"/>
  <c r="D1276" i="8"/>
  <c r="F1276" i="8" s="1"/>
  <c r="C1276" i="8"/>
  <c r="B1276" i="8"/>
  <c r="D1275" i="8"/>
  <c r="F1275" i="8" s="1"/>
  <c r="C1275" i="8"/>
  <c r="B1275" i="8"/>
  <c r="D1274" i="8"/>
  <c r="F1274" i="8" s="1"/>
  <c r="C1274" i="8"/>
  <c r="B1274" i="8"/>
  <c r="D1273" i="8"/>
  <c r="F1273" i="8" s="1"/>
  <c r="C1273" i="8"/>
  <c r="B1273" i="8"/>
  <c r="D1272" i="8"/>
  <c r="F1272" i="8" s="1"/>
  <c r="C1272" i="8"/>
  <c r="B1272" i="8"/>
  <c r="D1271" i="8"/>
  <c r="F1271" i="8" s="1"/>
  <c r="C1271" i="8"/>
  <c r="B1271" i="8"/>
  <c r="D1270" i="8"/>
  <c r="F1270" i="8" s="1"/>
  <c r="C1270" i="8"/>
  <c r="B1270" i="8"/>
  <c r="D1269" i="8"/>
  <c r="F1269" i="8" s="1"/>
  <c r="C1269" i="8"/>
  <c r="B1269" i="8"/>
  <c r="D1268" i="8"/>
  <c r="F1268" i="8" s="1"/>
  <c r="C1268" i="8"/>
  <c r="B1268" i="8"/>
  <c r="D1267" i="8"/>
  <c r="F1267" i="8" s="1"/>
  <c r="C1267" i="8"/>
  <c r="B1267" i="8"/>
  <c r="D1266" i="8"/>
  <c r="F1266" i="8" s="1"/>
  <c r="C1266" i="8"/>
  <c r="B1266" i="8"/>
  <c r="D1265" i="8"/>
  <c r="F1265" i="8" s="1"/>
  <c r="C1265" i="8"/>
  <c r="B1265" i="8"/>
  <c r="D1264" i="8"/>
  <c r="F1264" i="8" s="1"/>
  <c r="C1264" i="8"/>
  <c r="B1264" i="8"/>
  <c r="D1263" i="8"/>
  <c r="F1263" i="8" s="1"/>
  <c r="C1263" i="8"/>
  <c r="B1263" i="8"/>
  <c r="D1262" i="8"/>
  <c r="F1262" i="8" s="1"/>
  <c r="C1262" i="8"/>
  <c r="B1262" i="8"/>
  <c r="D1261" i="8"/>
  <c r="F1261" i="8" s="1"/>
  <c r="C1261" i="8"/>
  <c r="B1261" i="8"/>
  <c r="D1260" i="8"/>
  <c r="F1260" i="8" s="1"/>
  <c r="C1260" i="8"/>
  <c r="B1260" i="8"/>
  <c r="D1259" i="8"/>
  <c r="F1259" i="8" s="1"/>
  <c r="C1259" i="8"/>
  <c r="B1259" i="8"/>
  <c r="D1258" i="8"/>
  <c r="F1258" i="8" s="1"/>
  <c r="C1258" i="8"/>
  <c r="B1258" i="8"/>
  <c r="D1257" i="8"/>
  <c r="F1257" i="8" s="1"/>
  <c r="C1257" i="8"/>
  <c r="B1257" i="8"/>
  <c r="D1256" i="8"/>
  <c r="F1256" i="8" s="1"/>
  <c r="C1256" i="8"/>
  <c r="B1256" i="8"/>
  <c r="D1255" i="8"/>
  <c r="F1255" i="8" s="1"/>
  <c r="C1255" i="8"/>
  <c r="B1255" i="8"/>
  <c r="D1254" i="8"/>
  <c r="F1254" i="8" s="1"/>
  <c r="C1254" i="8"/>
  <c r="B1254" i="8"/>
  <c r="D1253" i="8"/>
  <c r="F1253" i="8" s="1"/>
  <c r="C1253" i="8"/>
  <c r="B1253" i="8"/>
  <c r="D1252" i="8"/>
  <c r="F1252" i="8" s="1"/>
  <c r="C1252" i="8"/>
  <c r="B1252" i="8"/>
  <c r="D1251" i="8"/>
  <c r="F1251" i="8" s="1"/>
  <c r="C1251" i="8"/>
  <c r="B1251" i="8"/>
  <c r="D1250" i="8"/>
  <c r="F1250" i="8" s="1"/>
  <c r="C1250" i="8"/>
  <c r="B1250" i="8"/>
  <c r="D1249" i="8"/>
  <c r="F1249" i="8" s="1"/>
  <c r="C1249" i="8"/>
  <c r="B1249" i="8"/>
  <c r="D1248" i="8"/>
  <c r="F1248" i="8" s="1"/>
  <c r="C1248" i="8"/>
  <c r="B1248" i="8"/>
  <c r="D1247" i="8"/>
  <c r="F1247" i="8" s="1"/>
  <c r="C1247" i="8"/>
  <c r="B1247" i="8"/>
  <c r="D1246" i="8"/>
  <c r="F1246" i="8" s="1"/>
  <c r="C1246" i="8"/>
  <c r="B1246" i="8"/>
  <c r="D1245" i="8"/>
  <c r="F1245" i="8" s="1"/>
  <c r="C1245" i="8"/>
  <c r="B1245" i="8"/>
  <c r="D1244" i="8"/>
  <c r="F1244" i="8" s="1"/>
  <c r="C1244" i="8"/>
  <c r="B1244" i="8"/>
  <c r="D1243" i="8"/>
  <c r="F1243" i="8" s="1"/>
  <c r="C1243" i="8"/>
  <c r="B1243" i="8"/>
  <c r="D1242" i="8"/>
  <c r="F1242" i="8" s="1"/>
  <c r="C1242" i="8"/>
  <c r="B1242" i="8"/>
  <c r="D1241" i="8"/>
  <c r="F1241" i="8" s="1"/>
  <c r="C1241" i="8"/>
  <c r="B1241" i="8"/>
  <c r="D1240" i="8"/>
  <c r="F1240" i="8" s="1"/>
  <c r="C1240" i="8"/>
  <c r="B1240" i="8"/>
  <c r="D1239" i="8"/>
  <c r="F1239" i="8" s="1"/>
  <c r="C1239" i="8"/>
  <c r="B1239" i="8"/>
  <c r="D1238" i="8"/>
  <c r="F1238" i="8" s="1"/>
  <c r="C1238" i="8"/>
  <c r="B1238" i="8"/>
  <c r="D1237" i="8"/>
  <c r="F1237" i="8" s="1"/>
  <c r="C1237" i="8"/>
  <c r="B1237" i="8"/>
  <c r="D1236" i="8"/>
  <c r="F1236" i="8" s="1"/>
  <c r="C1236" i="8"/>
  <c r="B1236" i="8"/>
  <c r="D1235" i="8"/>
  <c r="F1235" i="8" s="1"/>
  <c r="C1235" i="8"/>
  <c r="B1235" i="8"/>
  <c r="D1234" i="8"/>
  <c r="F1234" i="8" s="1"/>
  <c r="C1234" i="8"/>
  <c r="B1234" i="8"/>
  <c r="D1233" i="8"/>
  <c r="F1233" i="8" s="1"/>
  <c r="C1233" i="8"/>
  <c r="B1233" i="8"/>
  <c r="D1232" i="8"/>
  <c r="F1232" i="8" s="1"/>
  <c r="C1232" i="8"/>
  <c r="B1232" i="8"/>
  <c r="D1231" i="8"/>
  <c r="F1231" i="8" s="1"/>
  <c r="C1231" i="8"/>
  <c r="B1231" i="8"/>
  <c r="D1230" i="8"/>
  <c r="F1230" i="8" s="1"/>
  <c r="C1230" i="8"/>
  <c r="B1230" i="8"/>
  <c r="D1229" i="8"/>
  <c r="F1229" i="8" s="1"/>
  <c r="C1229" i="8"/>
  <c r="B1229" i="8"/>
  <c r="D1228" i="8"/>
  <c r="F1228" i="8" s="1"/>
  <c r="C1228" i="8"/>
  <c r="B1228" i="8"/>
  <c r="D1227" i="8"/>
  <c r="F1227" i="8" s="1"/>
  <c r="C1227" i="8"/>
  <c r="B1227" i="8"/>
  <c r="D1226" i="8"/>
  <c r="F1226" i="8" s="1"/>
  <c r="C1226" i="8"/>
  <c r="B1226" i="8"/>
  <c r="D1225" i="8"/>
  <c r="F1225" i="8" s="1"/>
  <c r="C1225" i="8"/>
  <c r="B1225" i="8"/>
  <c r="D1224" i="8"/>
  <c r="F1224" i="8" s="1"/>
  <c r="C1224" i="8"/>
  <c r="B1224" i="8"/>
  <c r="D1223" i="8"/>
  <c r="F1223" i="8" s="1"/>
  <c r="C1223" i="8"/>
  <c r="B1223" i="8"/>
  <c r="D1222" i="8"/>
  <c r="F1222" i="8" s="1"/>
  <c r="C1222" i="8"/>
  <c r="B1222" i="8"/>
  <c r="D1221" i="8"/>
  <c r="F1221" i="8" s="1"/>
  <c r="C1221" i="8"/>
  <c r="B1221" i="8"/>
  <c r="D1220" i="8"/>
  <c r="F1220" i="8" s="1"/>
  <c r="C1220" i="8"/>
  <c r="B1220" i="8"/>
  <c r="D1219" i="8"/>
  <c r="F1219" i="8" s="1"/>
  <c r="C1219" i="8"/>
  <c r="B1219" i="8"/>
  <c r="D1218" i="8"/>
  <c r="F1218" i="8" s="1"/>
  <c r="C1218" i="8"/>
  <c r="B1218" i="8"/>
  <c r="D1217" i="8"/>
  <c r="F1217" i="8" s="1"/>
  <c r="C1217" i="8"/>
  <c r="B1217" i="8"/>
  <c r="D1216" i="8"/>
  <c r="F1216" i="8" s="1"/>
  <c r="C1216" i="8"/>
  <c r="B1216" i="8"/>
  <c r="D1215" i="8"/>
  <c r="F1215" i="8" s="1"/>
  <c r="C1215" i="8"/>
  <c r="B1215" i="8"/>
  <c r="D1214" i="8"/>
  <c r="F1214" i="8" s="1"/>
  <c r="C1214" i="8"/>
  <c r="B1214" i="8"/>
  <c r="D1213" i="8"/>
  <c r="F1213" i="8" s="1"/>
  <c r="C1213" i="8"/>
  <c r="B1213" i="8"/>
  <c r="D1212" i="8"/>
  <c r="F1212" i="8" s="1"/>
  <c r="C1212" i="8"/>
  <c r="B1212" i="8"/>
  <c r="D1211" i="8"/>
  <c r="F1211" i="8" s="1"/>
  <c r="C1211" i="8"/>
  <c r="B1211" i="8"/>
  <c r="D1210" i="8"/>
  <c r="F1210" i="8" s="1"/>
  <c r="C1210" i="8"/>
  <c r="B1210" i="8"/>
  <c r="D1209" i="8"/>
  <c r="F1209" i="8" s="1"/>
  <c r="C1209" i="8"/>
  <c r="B1209" i="8"/>
  <c r="D1208" i="8"/>
  <c r="F1208" i="8" s="1"/>
  <c r="C1208" i="8"/>
  <c r="B1208" i="8"/>
  <c r="D1207" i="8"/>
  <c r="F1207" i="8" s="1"/>
  <c r="C1207" i="8"/>
  <c r="B1207" i="8"/>
  <c r="D1206" i="8"/>
  <c r="F1206" i="8" s="1"/>
  <c r="C1206" i="8"/>
  <c r="B1206" i="8"/>
  <c r="D1205" i="8"/>
  <c r="F1205" i="8" s="1"/>
  <c r="C1205" i="8"/>
  <c r="B1205" i="8"/>
  <c r="D1204" i="8"/>
  <c r="F1204" i="8" s="1"/>
  <c r="C1204" i="8"/>
  <c r="B1204" i="8"/>
  <c r="D1203" i="8"/>
  <c r="F1203" i="8" s="1"/>
  <c r="C1203" i="8"/>
  <c r="B1203" i="8"/>
  <c r="D1202" i="8"/>
  <c r="F1202" i="8" s="1"/>
  <c r="C1202" i="8"/>
  <c r="B1202" i="8"/>
  <c r="D1201" i="8"/>
  <c r="F1201" i="8" s="1"/>
  <c r="C1201" i="8"/>
  <c r="B1201" i="8"/>
  <c r="D1200" i="8"/>
  <c r="F1200" i="8" s="1"/>
  <c r="C1200" i="8"/>
  <c r="B1200" i="8"/>
  <c r="D1199" i="8"/>
  <c r="F1199" i="8" s="1"/>
  <c r="C1199" i="8"/>
  <c r="B1199" i="8"/>
  <c r="D1198" i="8"/>
  <c r="F1198" i="8" s="1"/>
  <c r="C1198" i="8"/>
  <c r="B1198" i="8"/>
  <c r="D1197" i="8"/>
  <c r="F1197" i="8" s="1"/>
  <c r="C1197" i="8"/>
  <c r="B1197" i="8"/>
  <c r="D1196" i="8"/>
  <c r="F1196" i="8" s="1"/>
  <c r="C1196" i="8"/>
  <c r="B1196" i="8"/>
  <c r="D1195" i="8"/>
  <c r="F1195" i="8" s="1"/>
  <c r="C1195" i="8"/>
  <c r="B1195" i="8"/>
  <c r="D1194" i="8"/>
  <c r="F1194" i="8" s="1"/>
  <c r="C1194" i="8"/>
  <c r="B1194" i="8"/>
  <c r="D1193" i="8"/>
  <c r="F1193" i="8" s="1"/>
  <c r="C1193" i="8"/>
  <c r="B1193" i="8"/>
  <c r="D1192" i="8"/>
  <c r="F1192" i="8" s="1"/>
  <c r="C1192" i="8"/>
  <c r="B1192" i="8"/>
  <c r="D1191" i="8"/>
  <c r="F1191" i="8" s="1"/>
  <c r="C1191" i="8"/>
  <c r="B1191" i="8"/>
  <c r="D1190" i="8"/>
  <c r="F1190" i="8" s="1"/>
  <c r="C1190" i="8"/>
  <c r="B1190" i="8"/>
  <c r="D1189" i="8"/>
  <c r="F1189" i="8" s="1"/>
  <c r="C1189" i="8"/>
  <c r="B1189" i="8"/>
  <c r="D1188" i="8"/>
  <c r="F1188" i="8" s="1"/>
  <c r="C1188" i="8"/>
  <c r="B1188" i="8"/>
  <c r="D1187" i="8"/>
  <c r="F1187" i="8" s="1"/>
  <c r="C1187" i="8"/>
  <c r="B1187" i="8"/>
  <c r="D1186" i="8"/>
  <c r="F1186" i="8" s="1"/>
  <c r="C1186" i="8"/>
  <c r="B1186" i="8"/>
  <c r="D1185" i="8"/>
  <c r="F1185" i="8" s="1"/>
  <c r="C1185" i="8"/>
  <c r="B1185" i="8"/>
  <c r="D1184" i="8"/>
  <c r="F1184" i="8" s="1"/>
  <c r="C1184" i="8"/>
  <c r="B1184" i="8"/>
  <c r="D1183" i="8"/>
  <c r="F1183" i="8" s="1"/>
  <c r="C1183" i="8"/>
  <c r="B1183" i="8"/>
  <c r="D1182" i="8"/>
  <c r="F1182" i="8" s="1"/>
  <c r="C1182" i="8"/>
  <c r="B1182" i="8"/>
  <c r="D1181" i="8"/>
  <c r="F1181" i="8" s="1"/>
  <c r="C1181" i="8"/>
  <c r="B1181" i="8"/>
  <c r="D1180" i="8"/>
  <c r="F1180" i="8" s="1"/>
  <c r="C1180" i="8"/>
  <c r="B1180" i="8"/>
  <c r="D1179" i="8"/>
  <c r="F1179" i="8" s="1"/>
  <c r="C1179" i="8"/>
  <c r="B1179" i="8"/>
  <c r="D1178" i="8"/>
  <c r="F1178" i="8" s="1"/>
  <c r="C1178" i="8"/>
  <c r="B1178" i="8"/>
  <c r="D1177" i="8"/>
  <c r="F1177" i="8" s="1"/>
  <c r="C1177" i="8"/>
  <c r="B1177" i="8"/>
  <c r="D1176" i="8"/>
  <c r="F1176" i="8" s="1"/>
  <c r="C1176" i="8"/>
  <c r="B1176" i="8"/>
  <c r="D1175" i="8"/>
  <c r="F1175" i="8" s="1"/>
  <c r="C1175" i="8"/>
  <c r="B1175" i="8"/>
  <c r="D1174" i="8"/>
  <c r="F1174" i="8" s="1"/>
  <c r="C1174" i="8"/>
  <c r="B1174" i="8"/>
  <c r="D1173" i="8"/>
  <c r="F1173" i="8" s="1"/>
  <c r="C1173" i="8"/>
  <c r="B1173" i="8"/>
  <c r="D1172" i="8"/>
  <c r="F1172" i="8" s="1"/>
  <c r="C1172" i="8"/>
  <c r="B1172" i="8"/>
  <c r="D1171" i="8"/>
  <c r="F1171" i="8" s="1"/>
  <c r="C1171" i="8"/>
  <c r="B1171" i="8"/>
  <c r="D1170" i="8"/>
  <c r="F1170" i="8" s="1"/>
  <c r="C1170" i="8"/>
  <c r="B1170" i="8"/>
  <c r="D1169" i="8"/>
  <c r="F1169" i="8" s="1"/>
  <c r="C1169" i="8"/>
  <c r="B1169" i="8"/>
  <c r="D1168" i="8"/>
  <c r="F1168" i="8" s="1"/>
  <c r="C1168" i="8"/>
  <c r="B1168" i="8"/>
  <c r="D1167" i="8"/>
  <c r="F1167" i="8" s="1"/>
  <c r="C1167" i="8"/>
  <c r="B1167" i="8"/>
  <c r="D1166" i="8"/>
  <c r="F1166" i="8" s="1"/>
  <c r="C1166" i="8"/>
  <c r="B1166" i="8"/>
  <c r="D1165" i="8"/>
  <c r="F1165" i="8" s="1"/>
  <c r="C1165" i="8"/>
  <c r="B1165" i="8"/>
  <c r="D1164" i="8"/>
  <c r="F1164" i="8" s="1"/>
  <c r="C1164" i="8"/>
  <c r="B1164" i="8"/>
  <c r="D1163" i="8"/>
  <c r="F1163" i="8" s="1"/>
  <c r="C1163" i="8"/>
  <c r="B1163" i="8"/>
  <c r="D1162" i="8"/>
  <c r="F1162" i="8" s="1"/>
  <c r="C1162" i="8"/>
  <c r="B1162" i="8"/>
  <c r="D1161" i="8"/>
  <c r="F1161" i="8" s="1"/>
  <c r="C1161" i="8"/>
  <c r="B1161" i="8"/>
  <c r="D1160" i="8"/>
  <c r="F1160" i="8" s="1"/>
  <c r="C1160" i="8"/>
  <c r="B1160" i="8"/>
  <c r="D1159" i="8"/>
  <c r="F1159" i="8" s="1"/>
  <c r="C1159" i="8"/>
  <c r="B1159" i="8"/>
  <c r="D1158" i="8"/>
  <c r="F1158" i="8" s="1"/>
  <c r="C1158" i="8"/>
  <c r="B1158" i="8"/>
  <c r="D1157" i="8"/>
  <c r="F1157" i="8" s="1"/>
  <c r="C1157" i="8"/>
  <c r="B1157" i="8"/>
  <c r="D1156" i="8"/>
  <c r="F1156" i="8" s="1"/>
  <c r="C1156" i="8"/>
  <c r="B1156" i="8"/>
  <c r="D1155" i="8"/>
  <c r="F1155" i="8" s="1"/>
  <c r="C1155" i="8"/>
  <c r="B1155" i="8"/>
  <c r="D1154" i="8"/>
  <c r="F1154" i="8" s="1"/>
  <c r="C1154" i="8"/>
  <c r="B1154" i="8"/>
  <c r="D1153" i="8"/>
  <c r="F1153" i="8" s="1"/>
  <c r="C1153" i="8"/>
  <c r="B1153" i="8"/>
  <c r="D1152" i="8"/>
  <c r="F1152" i="8" s="1"/>
  <c r="C1152" i="8"/>
  <c r="B1152" i="8"/>
  <c r="D1151" i="8"/>
  <c r="F1151" i="8" s="1"/>
  <c r="C1151" i="8"/>
  <c r="B1151" i="8"/>
  <c r="D1150" i="8"/>
  <c r="F1150" i="8" s="1"/>
  <c r="C1150" i="8"/>
  <c r="B1150" i="8"/>
  <c r="D1149" i="8"/>
  <c r="F1149" i="8" s="1"/>
  <c r="C1149" i="8"/>
  <c r="B1149" i="8"/>
  <c r="D1148" i="8"/>
  <c r="F1148" i="8" s="1"/>
  <c r="C1148" i="8"/>
  <c r="B1148" i="8"/>
  <c r="D1147" i="8"/>
  <c r="F1147" i="8" s="1"/>
  <c r="C1147" i="8"/>
  <c r="B1147" i="8"/>
  <c r="D1146" i="8"/>
  <c r="F1146" i="8" s="1"/>
  <c r="C1146" i="8"/>
  <c r="B1146" i="8"/>
  <c r="D1145" i="8"/>
  <c r="F1145" i="8" s="1"/>
  <c r="C1145" i="8"/>
  <c r="B1145" i="8"/>
  <c r="D1144" i="8"/>
  <c r="F1144" i="8" s="1"/>
  <c r="C1144" i="8"/>
  <c r="B1144" i="8"/>
  <c r="D1143" i="8"/>
  <c r="F1143" i="8" s="1"/>
  <c r="C1143" i="8"/>
  <c r="B1143" i="8"/>
  <c r="D1142" i="8"/>
  <c r="F1142" i="8" s="1"/>
  <c r="C1142" i="8"/>
  <c r="B1142" i="8"/>
  <c r="D1141" i="8"/>
  <c r="F1141" i="8" s="1"/>
  <c r="C1141" i="8"/>
  <c r="B1141" i="8"/>
  <c r="D1140" i="8"/>
  <c r="F1140" i="8" s="1"/>
  <c r="C1140" i="8"/>
  <c r="B1140" i="8"/>
  <c r="D1139" i="8"/>
  <c r="F1139" i="8" s="1"/>
  <c r="C1139" i="8"/>
  <c r="B1139" i="8"/>
  <c r="D1138" i="8"/>
  <c r="F1138" i="8" s="1"/>
  <c r="C1138" i="8"/>
  <c r="B1138" i="8"/>
  <c r="D1137" i="8"/>
  <c r="F1137" i="8" s="1"/>
  <c r="C1137" i="8"/>
  <c r="B1137" i="8"/>
  <c r="D1136" i="8"/>
  <c r="F1136" i="8" s="1"/>
  <c r="C1136" i="8"/>
  <c r="B1136" i="8"/>
  <c r="D1135" i="8"/>
  <c r="F1135" i="8" s="1"/>
  <c r="C1135" i="8"/>
  <c r="B1135" i="8"/>
  <c r="D1134" i="8"/>
  <c r="F1134" i="8" s="1"/>
  <c r="C1134" i="8"/>
  <c r="B1134" i="8"/>
  <c r="D1133" i="8"/>
  <c r="F1133" i="8" s="1"/>
  <c r="C1133" i="8"/>
  <c r="B1133" i="8"/>
  <c r="D1132" i="8"/>
  <c r="F1132" i="8" s="1"/>
  <c r="C1132" i="8"/>
  <c r="B1132" i="8"/>
  <c r="D1131" i="8"/>
  <c r="F1131" i="8" s="1"/>
  <c r="C1131" i="8"/>
  <c r="B1131" i="8"/>
  <c r="D1130" i="8"/>
  <c r="F1130" i="8" s="1"/>
  <c r="C1130" i="8"/>
  <c r="B1130" i="8"/>
  <c r="D1129" i="8"/>
  <c r="F1129" i="8" s="1"/>
  <c r="C1129" i="8"/>
  <c r="B1129" i="8"/>
  <c r="D1128" i="8"/>
  <c r="F1128" i="8" s="1"/>
  <c r="C1128" i="8"/>
  <c r="B1128" i="8"/>
  <c r="D1127" i="8"/>
  <c r="F1127" i="8" s="1"/>
  <c r="C1127" i="8"/>
  <c r="B1127" i="8"/>
  <c r="D1126" i="8"/>
  <c r="F1126" i="8" s="1"/>
  <c r="C1126" i="8"/>
  <c r="B1126" i="8"/>
  <c r="D1125" i="8"/>
  <c r="F1125" i="8" s="1"/>
  <c r="C1125" i="8"/>
  <c r="B1125" i="8"/>
  <c r="D1124" i="8"/>
  <c r="F1124" i="8" s="1"/>
  <c r="C1124" i="8"/>
  <c r="B1124" i="8"/>
  <c r="D1123" i="8"/>
  <c r="F1123" i="8" s="1"/>
  <c r="C1123" i="8"/>
  <c r="B1123" i="8"/>
  <c r="D1122" i="8"/>
  <c r="F1122" i="8" s="1"/>
  <c r="C1122" i="8"/>
  <c r="B1122" i="8"/>
  <c r="D1121" i="8"/>
  <c r="F1121" i="8" s="1"/>
  <c r="C1121" i="8"/>
  <c r="B1121" i="8"/>
  <c r="D1120" i="8"/>
  <c r="F1120" i="8" s="1"/>
  <c r="C1120" i="8"/>
  <c r="B1120" i="8"/>
  <c r="D1119" i="8"/>
  <c r="F1119" i="8" s="1"/>
  <c r="C1119" i="8"/>
  <c r="B1119" i="8"/>
  <c r="D1118" i="8"/>
  <c r="F1118" i="8" s="1"/>
  <c r="C1118" i="8"/>
  <c r="B1118" i="8"/>
  <c r="D1117" i="8"/>
  <c r="F1117" i="8" s="1"/>
  <c r="C1117" i="8"/>
  <c r="B1117" i="8"/>
  <c r="D1116" i="8"/>
  <c r="F1116" i="8" s="1"/>
  <c r="C1116" i="8"/>
  <c r="B1116" i="8"/>
  <c r="D1115" i="8"/>
  <c r="F1115" i="8" s="1"/>
  <c r="C1115" i="8"/>
  <c r="B1115" i="8"/>
  <c r="D1114" i="8"/>
  <c r="F1114" i="8" s="1"/>
  <c r="C1114" i="8"/>
  <c r="B1114" i="8"/>
  <c r="D1113" i="8"/>
  <c r="F1113" i="8" s="1"/>
  <c r="C1113" i="8"/>
  <c r="B1113" i="8"/>
  <c r="D1112" i="8"/>
  <c r="F1112" i="8" s="1"/>
  <c r="C1112" i="8"/>
  <c r="B1112" i="8"/>
  <c r="D1111" i="8"/>
  <c r="F1111" i="8" s="1"/>
  <c r="C1111" i="8"/>
  <c r="B1111" i="8"/>
  <c r="D1110" i="8"/>
  <c r="F1110" i="8" s="1"/>
  <c r="C1110" i="8"/>
  <c r="B1110" i="8"/>
  <c r="D1109" i="8"/>
  <c r="F1109" i="8" s="1"/>
  <c r="C1109" i="8"/>
  <c r="B1109" i="8"/>
  <c r="D1108" i="8"/>
  <c r="F1108" i="8" s="1"/>
  <c r="C1108" i="8"/>
  <c r="B1108" i="8"/>
  <c r="D1107" i="8"/>
  <c r="F1107" i="8" s="1"/>
  <c r="C1107" i="8"/>
  <c r="B1107" i="8"/>
  <c r="D1106" i="8"/>
  <c r="F1106" i="8" s="1"/>
  <c r="C1106" i="8"/>
  <c r="B1106" i="8"/>
  <c r="D1105" i="8"/>
  <c r="F1105" i="8" s="1"/>
  <c r="C1105" i="8"/>
  <c r="B1105" i="8"/>
  <c r="D1104" i="8"/>
  <c r="F1104" i="8" s="1"/>
  <c r="C1104" i="8"/>
  <c r="B1104" i="8"/>
  <c r="D1103" i="8"/>
  <c r="F1103" i="8" s="1"/>
  <c r="C1103" i="8"/>
  <c r="B1103" i="8"/>
  <c r="D1102" i="8"/>
  <c r="F1102" i="8" s="1"/>
  <c r="C1102" i="8"/>
  <c r="B1102" i="8"/>
  <c r="D1101" i="8"/>
  <c r="F1101" i="8" s="1"/>
  <c r="C1101" i="8"/>
  <c r="B1101" i="8"/>
  <c r="D1100" i="8"/>
  <c r="F1100" i="8" s="1"/>
  <c r="C1100" i="8"/>
  <c r="B1100" i="8"/>
  <c r="D1099" i="8"/>
  <c r="F1099" i="8" s="1"/>
  <c r="C1099" i="8"/>
  <c r="B1099" i="8"/>
  <c r="D1098" i="8"/>
  <c r="F1098" i="8" s="1"/>
  <c r="C1098" i="8"/>
  <c r="B1098" i="8"/>
  <c r="D1097" i="8"/>
  <c r="F1097" i="8" s="1"/>
  <c r="C1097" i="8"/>
  <c r="B1097" i="8"/>
  <c r="D1096" i="8"/>
  <c r="F1096" i="8" s="1"/>
  <c r="C1096" i="8"/>
  <c r="B1096" i="8"/>
  <c r="D1095" i="8"/>
  <c r="F1095" i="8" s="1"/>
  <c r="C1095" i="8"/>
  <c r="B1095" i="8"/>
  <c r="D1094" i="8"/>
  <c r="F1094" i="8" s="1"/>
  <c r="C1094" i="8"/>
  <c r="B1094" i="8"/>
  <c r="D1093" i="8"/>
  <c r="F1093" i="8" s="1"/>
  <c r="C1093" i="8"/>
  <c r="B1093" i="8"/>
  <c r="D1092" i="8"/>
  <c r="F1092" i="8" s="1"/>
  <c r="C1092" i="8"/>
  <c r="B1092" i="8"/>
  <c r="D1091" i="8"/>
  <c r="F1091" i="8" s="1"/>
  <c r="C1091" i="8"/>
  <c r="B1091" i="8"/>
  <c r="D1090" i="8"/>
  <c r="F1090" i="8" s="1"/>
  <c r="C1090" i="8"/>
  <c r="B1090" i="8"/>
  <c r="D1089" i="8"/>
  <c r="F1089" i="8" s="1"/>
  <c r="C1089" i="8"/>
  <c r="B1089" i="8"/>
  <c r="D1088" i="8"/>
  <c r="F1088" i="8" s="1"/>
  <c r="C1088" i="8"/>
  <c r="B1088" i="8"/>
  <c r="D1087" i="8"/>
  <c r="F1087" i="8" s="1"/>
  <c r="C1087" i="8"/>
  <c r="B1087" i="8"/>
  <c r="D1086" i="8"/>
  <c r="F1086" i="8" s="1"/>
  <c r="C1086" i="8"/>
  <c r="B1086" i="8"/>
  <c r="D1085" i="8"/>
  <c r="F1085" i="8" s="1"/>
  <c r="C1085" i="8"/>
  <c r="B1085" i="8"/>
  <c r="D1084" i="8"/>
  <c r="F1084" i="8" s="1"/>
  <c r="C1084" i="8"/>
  <c r="B1084" i="8"/>
  <c r="D1083" i="8"/>
  <c r="F1083" i="8" s="1"/>
  <c r="C1083" i="8"/>
  <c r="B1083" i="8"/>
  <c r="D1082" i="8"/>
  <c r="F1082" i="8" s="1"/>
  <c r="C1082" i="8"/>
  <c r="B1082" i="8"/>
  <c r="D1081" i="8"/>
  <c r="F1081" i="8" s="1"/>
  <c r="C1081" i="8"/>
  <c r="B1081" i="8"/>
  <c r="D1080" i="8"/>
  <c r="F1080" i="8" s="1"/>
  <c r="C1080" i="8"/>
  <c r="B1080" i="8"/>
  <c r="D1079" i="8"/>
  <c r="F1079" i="8" s="1"/>
  <c r="C1079" i="8"/>
  <c r="B1079" i="8"/>
  <c r="D1078" i="8"/>
  <c r="F1078" i="8" s="1"/>
  <c r="C1078" i="8"/>
  <c r="B1078" i="8"/>
  <c r="D1077" i="8"/>
  <c r="F1077" i="8" s="1"/>
  <c r="C1077" i="8"/>
  <c r="B1077" i="8"/>
  <c r="D1076" i="8"/>
  <c r="F1076" i="8" s="1"/>
  <c r="C1076" i="8"/>
  <c r="B1076" i="8"/>
  <c r="D1075" i="8"/>
  <c r="F1075" i="8" s="1"/>
  <c r="C1075" i="8"/>
  <c r="B1075" i="8"/>
  <c r="D1074" i="8"/>
  <c r="F1074" i="8" s="1"/>
  <c r="C1074" i="8"/>
  <c r="B1074" i="8"/>
  <c r="D1073" i="8"/>
  <c r="F1073" i="8" s="1"/>
  <c r="C1073" i="8"/>
  <c r="B1073" i="8"/>
  <c r="D1072" i="8"/>
  <c r="F1072" i="8" s="1"/>
  <c r="C1072" i="8"/>
  <c r="B1072" i="8"/>
  <c r="D1071" i="8"/>
  <c r="F1071" i="8" s="1"/>
  <c r="C1071" i="8"/>
  <c r="B1071" i="8"/>
  <c r="D1070" i="8"/>
  <c r="F1070" i="8" s="1"/>
  <c r="C1070" i="8"/>
  <c r="B1070" i="8"/>
  <c r="D1069" i="8"/>
  <c r="F1069" i="8" s="1"/>
  <c r="C1069" i="8"/>
  <c r="B1069" i="8"/>
  <c r="D1068" i="8"/>
  <c r="F1068" i="8" s="1"/>
  <c r="C1068" i="8"/>
  <c r="B1068" i="8"/>
  <c r="D1067" i="8"/>
  <c r="F1067" i="8" s="1"/>
  <c r="C1067" i="8"/>
  <c r="B1067" i="8"/>
  <c r="D1066" i="8"/>
  <c r="F1066" i="8" s="1"/>
  <c r="C1066" i="8"/>
  <c r="B1066" i="8"/>
  <c r="D1065" i="8"/>
  <c r="F1065" i="8" s="1"/>
  <c r="C1065" i="8"/>
  <c r="B1065" i="8"/>
  <c r="D1064" i="8"/>
  <c r="F1064" i="8" s="1"/>
  <c r="C1064" i="8"/>
  <c r="B1064" i="8"/>
  <c r="D1063" i="8"/>
  <c r="F1063" i="8" s="1"/>
  <c r="C1063" i="8"/>
  <c r="B1063" i="8"/>
  <c r="D1062" i="8"/>
  <c r="F1062" i="8" s="1"/>
  <c r="C1062" i="8"/>
  <c r="B1062" i="8"/>
  <c r="D1061" i="8"/>
  <c r="F1061" i="8" s="1"/>
  <c r="C1061" i="8"/>
  <c r="B1061" i="8"/>
  <c r="D1060" i="8"/>
  <c r="F1060" i="8" s="1"/>
  <c r="C1060" i="8"/>
  <c r="B1060" i="8"/>
  <c r="D1059" i="8"/>
  <c r="F1059" i="8" s="1"/>
  <c r="C1059" i="8"/>
  <c r="B1059" i="8"/>
  <c r="D1058" i="8"/>
  <c r="F1058" i="8" s="1"/>
  <c r="C1058" i="8"/>
  <c r="B1058" i="8"/>
  <c r="D1057" i="8"/>
  <c r="F1057" i="8" s="1"/>
  <c r="C1057" i="8"/>
  <c r="B1057" i="8"/>
  <c r="D1056" i="8"/>
  <c r="F1056" i="8" s="1"/>
  <c r="C1056" i="8"/>
  <c r="B1056" i="8"/>
  <c r="D1055" i="8"/>
  <c r="F1055" i="8" s="1"/>
  <c r="C1055" i="8"/>
  <c r="B1055" i="8"/>
  <c r="D1054" i="8"/>
  <c r="F1054" i="8" s="1"/>
  <c r="C1054" i="8"/>
  <c r="B1054" i="8"/>
  <c r="D1053" i="8"/>
  <c r="F1053" i="8" s="1"/>
  <c r="C1053" i="8"/>
  <c r="B1053" i="8"/>
  <c r="D1052" i="8"/>
  <c r="F1052" i="8" s="1"/>
  <c r="C1052" i="8"/>
  <c r="B1052" i="8"/>
  <c r="D1051" i="8"/>
  <c r="F1051" i="8" s="1"/>
  <c r="C1051" i="8"/>
  <c r="B1051" i="8"/>
  <c r="D1050" i="8"/>
  <c r="F1050" i="8" s="1"/>
  <c r="C1050" i="8"/>
  <c r="B1050" i="8"/>
  <c r="D1049" i="8"/>
  <c r="F1049" i="8" s="1"/>
  <c r="C1049" i="8"/>
  <c r="B1049" i="8"/>
  <c r="D1048" i="8"/>
  <c r="F1048" i="8" s="1"/>
  <c r="C1048" i="8"/>
  <c r="B1048" i="8"/>
  <c r="D1047" i="8"/>
  <c r="F1047" i="8" s="1"/>
  <c r="C1047" i="8"/>
  <c r="B1047" i="8"/>
  <c r="D1046" i="8"/>
  <c r="F1046" i="8" s="1"/>
  <c r="C1046" i="8"/>
  <c r="B1046" i="8"/>
  <c r="D1045" i="8"/>
  <c r="F1045" i="8" s="1"/>
  <c r="C1045" i="8"/>
  <c r="B1045" i="8"/>
  <c r="D1044" i="8"/>
  <c r="F1044" i="8" s="1"/>
  <c r="C1044" i="8"/>
  <c r="B1044" i="8"/>
  <c r="D1043" i="8"/>
  <c r="F1043" i="8" s="1"/>
  <c r="C1043" i="8"/>
  <c r="B1043" i="8"/>
  <c r="D1042" i="8"/>
  <c r="F1042" i="8" s="1"/>
  <c r="C1042" i="8"/>
  <c r="B1042" i="8"/>
  <c r="D1041" i="8"/>
  <c r="F1041" i="8" s="1"/>
  <c r="C1041" i="8"/>
  <c r="B1041" i="8"/>
  <c r="D1040" i="8"/>
  <c r="F1040" i="8" s="1"/>
  <c r="C1040" i="8"/>
  <c r="B1040" i="8"/>
  <c r="D1039" i="8"/>
  <c r="F1039" i="8" s="1"/>
  <c r="C1039" i="8"/>
  <c r="B1039" i="8"/>
  <c r="D1038" i="8"/>
  <c r="F1038" i="8" s="1"/>
  <c r="C1038" i="8"/>
  <c r="B1038" i="8"/>
  <c r="D1037" i="8"/>
  <c r="F1037" i="8" s="1"/>
  <c r="C1037" i="8"/>
  <c r="B1037" i="8"/>
  <c r="D1036" i="8"/>
  <c r="F1036" i="8" s="1"/>
  <c r="C1036" i="8"/>
  <c r="B1036" i="8"/>
  <c r="D1035" i="8"/>
  <c r="F1035" i="8" s="1"/>
  <c r="C1035" i="8"/>
  <c r="B1035" i="8"/>
  <c r="D1034" i="8"/>
  <c r="F1034" i="8" s="1"/>
  <c r="C1034" i="8"/>
  <c r="B1034" i="8"/>
  <c r="D1033" i="8"/>
  <c r="F1033" i="8" s="1"/>
  <c r="C1033" i="8"/>
  <c r="B1033" i="8"/>
  <c r="D1032" i="8"/>
  <c r="F1032" i="8" s="1"/>
  <c r="C1032" i="8"/>
  <c r="B1032" i="8"/>
  <c r="D1031" i="8"/>
  <c r="F1031" i="8" s="1"/>
  <c r="C1031" i="8"/>
  <c r="B1031" i="8"/>
  <c r="D1030" i="8"/>
  <c r="F1030" i="8" s="1"/>
  <c r="C1030" i="8"/>
  <c r="B1030" i="8"/>
  <c r="D1029" i="8"/>
  <c r="F1029" i="8" s="1"/>
  <c r="C1029" i="8"/>
  <c r="B1029" i="8"/>
  <c r="D1028" i="8"/>
  <c r="F1028" i="8" s="1"/>
  <c r="C1028" i="8"/>
  <c r="B1028" i="8"/>
  <c r="D1027" i="8"/>
  <c r="F1027" i="8" s="1"/>
  <c r="C1027" i="8"/>
  <c r="B1027" i="8"/>
  <c r="D1026" i="8"/>
  <c r="F1026" i="8" s="1"/>
  <c r="C1026" i="8"/>
  <c r="B1026" i="8"/>
  <c r="D1025" i="8"/>
  <c r="F1025" i="8" s="1"/>
  <c r="C1025" i="8"/>
  <c r="B1025" i="8"/>
  <c r="D1024" i="8"/>
  <c r="F1024" i="8" s="1"/>
  <c r="C1024" i="8"/>
  <c r="B1024" i="8"/>
  <c r="D1023" i="8"/>
  <c r="F1023" i="8" s="1"/>
  <c r="C1023" i="8"/>
  <c r="B1023" i="8"/>
  <c r="D1022" i="8"/>
  <c r="F1022" i="8" s="1"/>
  <c r="C1022" i="8"/>
  <c r="B1022" i="8"/>
  <c r="D1021" i="8"/>
  <c r="F1021" i="8" s="1"/>
  <c r="C1021" i="8"/>
  <c r="B1021" i="8"/>
  <c r="D1020" i="8"/>
  <c r="F1020" i="8" s="1"/>
  <c r="C1020" i="8"/>
  <c r="B1020" i="8"/>
  <c r="D1019" i="8"/>
  <c r="F1019" i="8" s="1"/>
  <c r="C1019" i="8"/>
  <c r="B1019" i="8"/>
  <c r="D1018" i="8"/>
  <c r="F1018" i="8" s="1"/>
  <c r="C1018" i="8"/>
  <c r="B1018" i="8"/>
  <c r="D1017" i="8"/>
  <c r="F1017" i="8" s="1"/>
  <c r="C1017" i="8"/>
  <c r="B1017" i="8"/>
  <c r="D1016" i="8"/>
  <c r="F1016" i="8" s="1"/>
  <c r="C1016" i="8"/>
  <c r="B1016" i="8"/>
  <c r="D1015" i="8"/>
  <c r="F1015" i="8" s="1"/>
  <c r="C1015" i="8"/>
  <c r="B1015" i="8"/>
  <c r="D1014" i="8"/>
  <c r="F1014" i="8" s="1"/>
  <c r="C1014" i="8"/>
  <c r="B1014" i="8"/>
  <c r="D1013" i="8"/>
  <c r="F1013" i="8" s="1"/>
  <c r="C1013" i="8"/>
  <c r="B1013" i="8"/>
  <c r="D1012" i="8"/>
  <c r="F1012" i="8" s="1"/>
  <c r="C1012" i="8"/>
  <c r="B1012" i="8"/>
  <c r="D1011" i="8"/>
  <c r="F1011" i="8" s="1"/>
  <c r="C1011" i="8"/>
  <c r="B1011" i="8"/>
  <c r="D1010" i="8"/>
  <c r="F1010" i="8" s="1"/>
  <c r="C1010" i="8"/>
  <c r="B1010" i="8"/>
  <c r="D1009" i="8"/>
  <c r="F1009" i="8" s="1"/>
  <c r="C1009" i="8"/>
  <c r="B1009" i="8"/>
  <c r="D1008" i="8"/>
  <c r="F1008" i="8" s="1"/>
  <c r="C1008" i="8"/>
  <c r="B1008" i="8"/>
  <c r="D1007" i="8"/>
  <c r="F1007" i="8" s="1"/>
  <c r="C1007" i="8"/>
  <c r="B1007" i="8"/>
  <c r="D1006" i="8"/>
  <c r="F1006" i="8" s="1"/>
  <c r="C1006" i="8"/>
  <c r="B1006" i="8"/>
  <c r="D1005" i="8"/>
  <c r="F1005" i="8" s="1"/>
  <c r="C1005" i="8"/>
  <c r="B1005" i="8"/>
  <c r="D1004" i="8"/>
  <c r="F1004" i="8" s="1"/>
  <c r="C1004" i="8"/>
  <c r="B1004" i="8"/>
  <c r="D1003" i="8"/>
  <c r="F1003" i="8" s="1"/>
  <c r="C1003" i="8"/>
  <c r="B1003" i="8"/>
  <c r="D1002" i="8"/>
  <c r="F1002" i="8" s="1"/>
  <c r="C1002" i="8"/>
  <c r="B1002" i="8"/>
  <c r="D1001" i="8"/>
  <c r="F1001" i="8" s="1"/>
  <c r="C1001" i="8"/>
  <c r="B1001" i="8"/>
  <c r="D1000" i="8"/>
  <c r="F1000" i="8" s="1"/>
  <c r="C1000" i="8"/>
  <c r="B1000" i="8"/>
  <c r="D999" i="8"/>
  <c r="F999" i="8" s="1"/>
  <c r="C999" i="8"/>
  <c r="B999" i="8"/>
  <c r="D998" i="8"/>
  <c r="F998" i="8" s="1"/>
  <c r="C998" i="8"/>
  <c r="B998" i="8"/>
  <c r="D997" i="8"/>
  <c r="F997" i="8" s="1"/>
  <c r="C997" i="8"/>
  <c r="B997" i="8"/>
  <c r="D996" i="8"/>
  <c r="F996" i="8" s="1"/>
  <c r="C996" i="8"/>
  <c r="B996" i="8"/>
  <c r="D995" i="8"/>
  <c r="F995" i="8" s="1"/>
  <c r="C995" i="8"/>
  <c r="B995" i="8"/>
  <c r="D994" i="8"/>
  <c r="F994" i="8" s="1"/>
  <c r="C994" i="8"/>
  <c r="B994" i="8"/>
  <c r="D993" i="8"/>
  <c r="F993" i="8" s="1"/>
  <c r="C993" i="8"/>
  <c r="B993" i="8"/>
  <c r="D992" i="8"/>
  <c r="F992" i="8" s="1"/>
  <c r="C992" i="8"/>
  <c r="B992" i="8"/>
  <c r="D991" i="8"/>
  <c r="F991" i="8" s="1"/>
  <c r="C991" i="8"/>
  <c r="B991" i="8"/>
  <c r="D990" i="8"/>
  <c r="F990" i="8" s="1"/>
  <c r="C990" i="8"/>
  <c r="B990" i="8"/>
  <c r="D989" i="8"/>
  <c r="F989" i="8" s="1"/>
  <c r="C989" i="8"/>
  <c r="B989" i="8"/>
  <c r="D988" i="8"/>
  <c r="F988" i="8" s="1"/>
  <c r="C988" i="8"/>
  <c r="B988" i="8"/>
  <c r="D987" i="8"/>
  <c r="F987" i="8" s="1"/>
  <c r="C987" i="8"/>
  <c r="B987" i="8"/>
  <c r="D986" i="8"/>
  <c r="F986" i="8" s="1"/>
  <c r="C986" i="8"/>
  <c r="B986" i="8"/>
  <c r="D985" i="8"/>
  <c r="F985" i="8" s="1"/>
  <c r="C985" i="8"/>
  <c r="B985" i="8"/>
  <c r="D984" i="8"/>
  <c r="F984" i="8" s="1"/>
  <c r="C984" i="8"/>
  <c r="B984" i="8"/>
  <c r="D983" i="8"/>
  <c r="F983" i="8" s="1"/>
  <c r="C983" i="8"/>
  <c r="B983" i="8"/>
  <c r="D982" i="8"/>
  <c r="F982" i="8" s="1"/>
  <c r="C982" i="8"/>
  <c r="B982" i="8"/>
  <c r="D981" i="8"/>
  <c r="F981" i="8" s="1"/>
  <c r="C981" i="8"/>
  <c r="B981" i="8"/>
  <c r="D980" i="8"/>
  <c r="F980" i="8" s="1"/>
  <c r="C980" i="8"/>
  <c r="B980" i="8"/>
  <c r="D979" i="8"/>
  <c r="F979" i="8" s="1"/>
  <c r="C979" i="8"/>
  <c r="B979" i="8"/>
  <c r="D978" i="8"/>
  <c r="F978" i="8" s="1"/>
  <c r="C978" i="8"/>
  <c r="B978" i="8"/>
  <c r="D977" i="8"/>
  <c r="F977" i="8" s="1"/>
  <c r="C977" i="8"/>
  <c r="B977" i="8"/>
  <c r="D976" i="8"/>
  <c r="F976" i="8" s="1"/>
  <c r="C976" i="8"/>
  <c r="B976" i="8"/>
  <c r="D975" i="8"/>
  <c r="F975" i="8" s="1"/>
  <c r="C975" i="8"/>
  <c r="B975" i="8"/>
  <c r="D974" i="8"/>
  <c r="F974" i="8" s="1"/>
  <c r="C974" i="8"/>
  <c r="B974" i="8"/>
  <c r="D973" i="8"/>
  <c r="F973" i="8" s="1"/>
  <c r="C973" i="8"/>
  <c r="B973" i="8"/>
  <c r="D972" i="8"/>
  <c r="F972" i="8" s="1"/>
  <c r="C972" i="8"/>
  <c r="B972" i="8"/>
  <c r="D971" i="8"/>
  <c r="F971" i="8" s="1"/>
  <c r="C971" i="8"/>
  <c r="B971" i="8"/>
  <c r="D970" i="8"/>
  <c r="F970" i="8" s="1"/>
  <c r="C970" i="8"/>
  <c r="B970" i="8"/>
  <c r="D969" i="8"/>
  <c r="F969" i="8" s="1"/>
  <c r="C969" i="8"/>
  <c r="B969" i="8"/>
  <c r="D968" i="8"/>
  <c r="F968" i="8" s="1"/>
  <c r="C968" i="8"/>
  <c r="B968" i="8"/>
  <c r="D967" i="8"/>
  <c r="F967" i="8" s="1"/>
  <c r="C967" i="8"/>
  <c r="B967" i="8"/>
  <c r="D966" i="8"/>
  <c r="F966" i="8" s="1"/>
  <c r="C966" i="8"/>
  <c r="B966" i="8"/>
  <c r="D965" i="8"/>
  <c r="F965" i="8" s="1"/>
  <c r="C965" i="8"/>
  <c r="B965" i="8"/>
  <c r="D964" i="8"/>
  <c r="F964" i="8" s="1"/>
  <c r="C964" i="8"/>
  <c r="B964" i="8"/>
  <c r="D963" i="8"/>
  <c r="F963" i="8" s="1"/>
  <c r="C963" i="8"/>
  <c r="B963" i="8"/>
  <c r="D962" i="8"/>
  <c r="F962" i="8" s="1"/>
  <c r="C962" i="8"/>
  <c r="B962" i="8"/>
  <c r="D961" i="8"/>
  <c r="F961" i="8" s="1"/>
  <c r="C961" i="8"/>
  <c r="B961" i="8"/>
  <c r="D960" i="8"/>
  <c r="F960" i="8" s="1"/>
  <c r="C960" i="8"/>
  <c r="B960" i="8"/>
  <c r="D959" i="8"/>
  <c r="F959" i="8" s="1"/>
  <c r="C959" i="8"/>
  <c r="B959" i="8"/>
  <c r="D958" i="8"/>
  <c r="F958" i="8" s="1"/>
  <c r="C958" i="8"/>
  <c r="B958" i="8"/>
  <c r="D957" i="8"/>
  <c r="F957" i="8" s="1"/>
  <c r="C957" i="8"/>
  <c r="B957" i="8"/>
  <c r="D956" i="8"/>
  <c r="F956" i="8" s="1"/>
  <c r="C956" i="8"/>
  <c r="B956" i="8"/>
  <c r="D955" i="8"/>
  <c r="F955" i="8" s="1"/>
  <c r="C955" i="8"/>
  <c r="B955" i="8"/>
  <c r="D954" i="8"/>
  <c r="F954" i="8" s="1"/>
  <c r="C954" i="8"/>
  <c r="B954" i="8"/>
  <c r="D953" i="8"/>
  <c r="F953" i="8" s="1"/>
  <c r="C953" i="8"/>
  <c r="B953" i="8"/>
  <c r="D952" i="8"/>
  <c r="F952" i="8" s="1"/>
  <c r="C952" i="8"/>
  <c r="B952" i="8"/>
  <c r="D951" i="8"/>
  <c r="F951" i="8" s="1"/>
  <c r="C951" i="8"/>
  <c r="B951" i="8"/>
  <c r="D950" i="8"/>
  <c r="F950" i="8" s="1"/>
  <c r="C950" i="8"/>
  <c r="B950" i="8"/>
  <c r="D949" i="8"/>
  <c r="F949" i="8" s="1"/>
  <c r="C949" i="8"/>
  <c r="B949" i="8"/>
  <c r="D948" i="8"/>
  <c r="F948" i="8" s="1"/>
  <c r="C948" i="8"/>
  <c r="B948" i="8"/>
  <c r="D947" i="8"/>
  <c r="F947" i="8" s="1"/>
  <c r="C947" i="8"/>
  <c r="B947" i="8"/>
  <c r="D946" i="8"/>
  <c r="F946" i="8" s="1"/>
  <c r="C946" i="8"/>
  <c r="B946" i="8"/>
  <c r="D945" i="8"/>
  <c r="F945" i="8" s="1"/>
  <c r="C945" i="8"/>
  <c r="B945" i="8"/>
  <c r="D944" i="8"/>
  <c r="F944" i="8" s="1"/>
  <c r="C944" i="8"/>
  <c r="B944" i="8"/>
  <c r="D943" i="8"/>
  <c r="F943" i="8" s="1"/>
  <c r="C943" i="8"/>
  <c r="B943" i="8"/>
  <c r="D942" i="8"/>
  <c r="F942" i="8" s="1"/>
  <c r="C942" i="8"/>
  <c r="B942" i="8"/>
  <c r="D941" i="8"/>
  <c r="F941" i="8" s="1"/>
  <c r="C941" i="8"/>
  <c r="B941" i="8"/>
  <c r="D940" i="8"/>
  <c r="F940" i="8" s="1"/>
  <c r="C940" i="8"/>
  <c r="B940" i="8"/>
  <c r="D939" i="8"/>
  <c r="F939" i="8" s="1"/>
  <c r="C939" i="8"/>
  <c r="B939" i="8"/>
  <c r="D938" i="8"/>
  <c r="F938" i="8" s="1"/>
  <c r="C938" i="8"/>
  <c r="B938" i="8"/>
  <c r="D937" i="8"/>
  <c r="F937" i="8" s="1"/>
  <c r="C937" i="8"/>
  <c r="B937" i="8"/>
  <c r="D936" i="8"/>
  <c r="F936" i="8" s="1"/>
  <c r="C936" i="8"/>
  <c r="B936" i="8"/>
  <c r="D935" i="8"/>
  <c r="F935" i="8" s="1"/>
  <c r="C935" i="8"/>
  <c r="B935" i="8"/>
  <c r="D934" i="8"/>
  <c r="F934" i="8" s="1"/>
  <c r="C934" i="8"/>
  <c r="B934" i="8"/>
  <c r="D933" i="8"/>
  <c r="F933" i="8" s="1"/>
  <c r="C933" i="8"/>
  <c r="B933" i="8"/>
  <c r="D932" i="8"/>
  <c r="F932" i="8" s="1"/>
  <c r="C932" i="8"/>
  <c r="B932" i="8"/>
  <c r="D931" i="8"/>
  <c r="F931" i="8" s="1"/>
  <c r="C931" i="8"/>
  <c r="B931" i="8"/>
  <c r="D930" i="8"/>
  <c r="F930" i="8" s="1"/>
  <c r="C930" i="8"/>
  <c r="B930" i="8"/>
  <c r="D929" i="8"/>
  <c r="F929" i="8" s="1"/>
  <c r="C929" i="8"/>
  <c r="B929" i="8"/>
  <c r="D928" i="8"/>
  <c r="F928" i="8" s="1"/>
  <c r="C928" i="8"/>
  <c r="B928" i="8"/>
  <c r="D927" i="8"/>
  <c r="F927" i="8" s="1"/>
  <c r="C927" i="8"/>
  <c r="B927" i="8"/>
  <c r="D926" i="8"/>
  <c r="F926" i="8" s="1"/>
  <c r="C926" i="8"/>
  <c r="B926" i="8"/>
  <c r="D925" i="8"/>
  <c r="F925" i="8" s="1"/>
  <c r="C925" i="8"/>
  <c r="B925" i="8"/>
  <c r="D924" i="8"/>
  <c r="F924" i="8" s="1"/>
  <c r="C924" i="8"/>
  <c r="B924" i="8"/>
  <c r="D923" i="8"/>
  <c r="F923" i="8" s="1"/>
  <c r="C923" i="8"/>
  <c r="B923" i="8"/>
  <c r="D922" i="8"/>
  <c r="F922" i="8" s="1"/>
  <c r="C922" i="8"/>
  <c r="B922" i="8"/>
  <c r="D921" i="8"/>
  <c r="F921" i="8" s="1"/>
  <c r="C921" i="8"/>
  <c r="B921" i="8"/>
  <c r="D920" i="8"/>
  <c r="F920" i="8" s="1"/>
  <c r="C920" i="8"/>
  <c r="B920" i="8"/>
  <c r="D919" i="8"/>
  <c r="F919" i="8" s="1"/>
  <c r="C919" i="8"/>
  <c r="B919" i="8"/>
  <c r="D918" i="8"/>
  <c r="F918" i="8" s="1"/>
  <c r="C918" i="8"/>
  <c r="B918" i="8"/>
  <c r="D917" i="8"/>
  <c r="F917" i="8" s="1"/>
  <c r="C917" i="8"/>
  <c r="B917" i="8"/>
  <c r="D916" i="8"/>
  <c r="F916" i="8" s="1"/>
  <c r="C916" i="8"/>
  <c r="B916" i="8"/>
  <c r="D915" i="8"/>
  <c r="F915" i="8" s="1"/>
  <c r="C915" i="8"/>
  <c r="B915" i="8"/>
  <c r="D914" i="8"/>
  <c r="F914" i="8" s="1"/>
  <c r="C914" i="8"/>
  <c r="B914" i="8"/>
  <c r="D913" i="8"/>
  <c r="F913" i="8" s="1"/>
  <c r="C913" i="8"/>
  <c r="B913" i="8"/>
  <c r="D912" i="8"/>
  <c r="F912" i="8" s="1"/>
  <c r="C912" i="8"/>
  <c r="B912" i="8"/>
  <c r="D911" i="8"/>
  <c r="F911" i="8" s="1"/>
  <c r="C911" i="8"/>
  <c r="B911" i="8"/>
  <c r="D910" i="8"/>
  <c r="F910" i="8" s="1"/>
  <c r="C910" i="8"/>
  <c r="B910" i="8"/>
  <c r="D909" i="8"/>
  <c r="F909" i="8" s="1"/>
  <c r="C909" i="8"/>
  <c r="B909" i="8"/>
  <c r="F908" i="8"/>
  <c r="D907" i="8"/>
  <c r="F907" i="8" s="1"/>
  <c r="C907" i="8"/>
  <c r="B907" i="8"/>
  <c r="D906" i="8"/>
  <c r="F906" i="8" s="1"/>
  <c r="C906" i="8"/>
  <c r="B906" i="8"/>
  <c r="D905" i="8"/>
  <c r="F905" i="8" s="1"/>
  <c r="C905" i="8"/>
  <c r="B905" i="8"/>
  <c r="D904" i="8"/>
  <c r="F904" i="8" s="1"/>
  <c r="C904" i="8"/>
  <c r="B904" i="8"/>
  <c r="D903" i="8"/>
  <c r="F903" i="8" s="1"/>
  <c r="C903" i="8"/>
  <c r="B903" i="8"/>
  <c r="D902" i="8"/>
  <c r="F902" i="8" s="1"/>
  <c r="C902" i="8"/>
  <c r="B902" i="8"/>
  <c r="D901" i="8"/>
  <c r="F901" i="8" s="1"/>
  <c r="C901" i="8"/>
  <c r="B901" i="8"/>
  <c r="D900" i="8"/>
  <c r="F900" i="8" s="1"/>
  <c r="C900" i="8"/>
  <c r="B900" i="8"/>
  <c r="D899" i="8"/>
  <c r="F899" i="8" s="1"/>
  <c r="C899" i="8"/>
  <c r="B899" i="8"/>
  <c r="D898" i="8"/>
  <c r="F898" i="8" s="1"/>
  <c r="C898" i="8"/>
  <c r="B898" i="8"/>
  <c r="D897" i="8"/>
  <c r="F897" i="8" s="1"/>
  <c r="C897" i="8"/>
  <c r="B897" i="8"/>
  <c r="D896" i="8"/>
  <c r="F896" i="8" s="1"/>
  <c r="C896" i="8"/>
  <c r="B896" i="8"/>
  <c r="D895" i="8"/>
  <c r="F895" i="8" s="1"/>
  <c r="C895" i="8"/>
  <c r="B895" i="8"/>
  <c r="D894" i="8"/>
  <c r="F894" i="8" s="1"/>
  <c r="C894" i="8"/>
  <c r="B894" i="8"/>
  <c r="D893" i="8"/>
  <c r="F893" i="8" s="1"/>
  <c r="C893" i="8"/>
  <c r="B893" i="8"/>
  <c r="D892" i="8"/>
  <c r="F892" i="8" s="1"/>
  <c r="C892" i="8"/>
  <c r="B892" i="8"/>
  <c r="D891" i="8"/>
  <c r="F891" i="8" s="1"/>
  <c r="C891" i="8"/>
  <c r="B891" i="8"/>
  <c r="D890" i="8"/>
  <c r="F890" i="8" s="1"/>
  <c r="K74" i="5" s="1"/>
  <c r="J74" i="5" s="1"/>
  <c r="C890" i="8"/>
  <c r="B890" i="8"/>
  <c r="D889" i="8"/>
  <c r="F889" i="8" s="1"/>
  <c r="C889" i="8"/>
  <c r="B889" i="8"/>
  <c r="D888" i="8"/>
  <c r="F888" i="8" s="1"/>
  <c r="C888" i="8"/>
  <c r="B888" i="8"/>
  <c r="D887" i="8"/>
  <c r="F887" i="8" s="1"/>
  <c r="C887" i="8"/>
  <c r="B887" i="8"/>
  <c r="D886" i="8"/>
  <c r="F886" i="8" s="1"/>
  <c r="C886" i="8"/>
  <c r="B886" i="8"/>
  <c r="D885" i="8"/>
  <c r="F885" i="8" s="1"/>
  <c r="C885" i="8"/>
  <c r="B885" i="8"/>
  <c r="D884" i="8"/>
  <c r="F884" i="8" s="1"/>
  <c r="C884" i="8"/>
  <c r="B884" i="8"/>
  <c r="D883" i="8"/>
  <c r="F883" i="8" s="1"/>
  <c r="C883" i="8"/>
  <c r="B883" i="8"/>
  <c r="D882" i="8"/>
  <c r="F882" i="8" s="1"/>
  <c r="C882" i="8"/>
  <c r="B882" i="8"/>
  <c r="D881" i="8"/>
  <c r="F881" i="8" s="1"/>
  <c r="C881" i="8"/>
  <c r="B881" i="8"/>
  <c r="D880" i="8"/>
  <c r="F880" i="8" s="1"/>
  <c r="C880" i="8"/>
  <c r="B880" i="8"/>
  <c r="D879" i="8"/>
  <c r="F879" i="8" s="1"/>
  <c r="C879" i="8"/>
  <c r="B879" i="8"/>
  <c r="D878" i="8"/>
  <c r="F878" i="8" s="1"/>
  <c r="C878" i="8"/>
  <c r="B878" i="8"/>
  <c r="D877" i="8"/>
  <c r="F877" i="8" s="1"/>
  <c r="C877" i="8"/>
  <c r="B877" i="8"/>
  <c r="D876" i="8"/>
  <c r="F876" i="8" s="1"/>
  <c r="C876" i="8"/>
  <c r="B876" i="8"/>
  <c r="D875" i="8"/>
  <c r="F875" i="8" s="1"/>
  <c r="C875" i="8"/>
  <c r="B875" i="8"/>
  <c r="D874" i="8"/>
  <c r="F874" i="8" s="1"/>
  <c r="C874" i="8"/>
  <c r="B874" i="8"/>
  <c r="D873" i="8"/>
  <c r="F873" i="8" s="1"/>
  <c r="C873" i="8"/>
  <c r="B873" i="8"/>
  <c r="D872" i="8"/>
  <c r="F872" i="8" s="1"/>
  <c r="C872" i="8"/>
  <c r="B872" i="8"/>
  <c r="D871" i="8"/>
  <c r="F871" i="8" s="1"/>
  <c r="C871" i="8"/>
  <c r="B871" i="8"/>
  <c r="D870" i="8"/>
  <c r="F870" i="8" s="1"/>
  <c r="C870" i="8"/>
  <c r="B870" i="8"/>
  <c r="D869" i="8"/>
  <c r="F869" i="8" s="1"/>
  <c r="C869" i="8"/>
  <c r="B869" i="8"/>
  <c r="D868" i="8"/>
  <c r="F868" i="8" s="1"/>
  <c r="C868" i="8"/>
  <c r="B868" i="8"/>
  <c r="D867" i="8"/>
  <c r="F867" i="8" s="1"/>
  <c r="C867" i="8"/>
  <c r="B867" i="8"/>
  <c r="D866" i="8"/>
  <c r="F866" i="8" s="1"/>
  <c r="C866" i="8"/>
  <c r="B866" i="8"/>
  <c r="D865" i="8"/>
  <c r="F865" i="8" s="1"/>
  <c r="C865" i="8"/>
  <c r="B865" i="8"/>
  <c r="D864" i="8"/>
  <c r="F864" i="8" s="1"/>
  <c r="C864" i="8"/>
  <c r="B864" i="8"/>
  <c r="D863" i="8"/>
  <c r="F863" i="8" s="1"/>
  <c r="C863" i="8"/>
  <c r="B863" i="8"/>
  <c r="D862" i="8"/>
  <c r="F862" i="8" s="1"/>
  <c r="C862" i="8"/>
  <c r="B862" i="8"/>
  <c r="D861" i="8"/>
  <c r="F861" i="8" s="1"/>
  <c r="C861" i="8"/>
  <c r="B861" i="8"/>
  <c r="D860" i="8"/>
  <c r="F860" i="8" s="1"/>
  <c r="C860" i="8"/>
  <c r="B860" i="8"/>
  <c r="D859" i="8"/>
  <c r="F859" i="8" s="1"/>
  <c r="C859" i="8"/>
  <c r="B859" i="8"/>
  <c r="D858" i="8"/>
  <c r="F858" i="8" s="1"/>
  <c r="C858" i="8"/>
  <c r="B858" i="8"/>
  <c r="D857" i="8"/>
  <c r="F857" i="8" s="1"/>
  <c r="C857" i="8"/>
  <c r="B857" i="8"/>
  <c r="D856" i="8"/>
  <c r="F856" i="8" s="1"/>
  <c r="C856" i="8"/>
  <c r="B856" i="8"/>
  <c r="D855" i="8"/>
  <c r="F855" i="8" s="1"/>
  <c r="C855" i="8"/>
  <c r="B855" i="8"/>
  <c r="D854" i="8"/>
  <c r="F854" i="8" s="1"/>
  <c r="C854" i="8"/>
  <c r="B854" i="8"/>
  <c r="D853" i="8"/>
  <c r="F853" i="8" s="1"/>
  <c r="C853" i="8"/>
  <c r="B853" i="8"/>
  <c r="D852" i="8"/>
  <c r="F852" i="8" s="1"/>
  <c r="C852" i="8"/>
  <c r="B852" i="8"/>
  <c r="D851" i="8"/>
  <c r="F851" i="8" s="1"/>
  <c r="C851" i="8"/>
  <c r="B851" i="8"/>
  <c r="D850" i="8"/>
  <c r="F850" i="8" s="1"/>
  <c r="C850" i="8"/>
  <c r="B850" i="8"/>
  <c r="D849" i="8"/>
  <c r="F849" i="8" s="1"/>
  <c r="C849" i="8"/>
  <c r="B849" i="8"/>
  <c r="D848" i="8"/>
  <c r="F848" i="8" s="1"/>
  <c r="C848" i="8"/>
  <c r="B848" i="8"/>
  <c r="D847" i="8"/>
  <c r="F847" i="8" s="1"/>
  <c r="C847" i="8"/>
  <c r="B847" i="8"/>
  <c r="D846" i="8"/>
  <c r="F846" i="8" s="1"/>
  <c r="C846" i="8"/>
  <c r="B846" i="8"/>
  <c r="D845" i="8"/>
  <c r="F845" i="8" s="1"/>
  <c r="C845" i="8"/>
  <c r="B845" i="8"/>
  <c r="D844" i="8"/>
  <c r="F844" i="8" s="1"/>
  <c r="C844" i="8"/>
  <c r="B844" i="8"/>
  <c r="D843" i="8"/>
  <c r="F843" i="8" s="1"/>
  <c r="C843" i="8"/>
  <c r="B843" i="8"/>
  <c r="D842" i="8"/>
  <c r="F842" i="8" s="1"/>
  <c r="C842" i="8"/>
  <c r="B842" i="8"/>
  <c r="D841" i="8"/>
  <c r="F841" i="8" s="1"/>
  <c r="C841" i="8"/>
  <c r="B841" i="8"/>
  <c r="D840" i="8"/>
  <c r="F840" i="8" s="1"/>
  <c r="C840" i="8"/>
  <c r="B840" i="8"/>
  <c r="D839" i="8"/>
  <c r="F839" i="8" s="1"/>
  <c r="C839" i="8"/>
  <c r="B839" i="8"/>
  <c r="D838" i="8"/>
  <c r="F838" i="8" s="1"/>
  <c r="C838" i="8"/>
  <c r="B838" i="8"/>
  <c r="D837" i="8"/>
  <c r="F837" i="8" s="1"/>
  <c r="C837" i="8"/>
  <c r="B837" i="8"/>
  <c r="D836" i="8"/>
  <c r="F836" i="8" s="1"/>
  <c r="C836" i="8"/>
  <c r="B836" i="8"/>
  <c r="D835" i="8"/>
  <c r="F835" i="8" s="1"/>
  <c r="C835" i="8"/>
  <c r="B835" i="8"/>
  <c r="D834" i="8"/>
  <c r="F834" i="8" s="1"/>
  <c r="C834" i="8"/>
  <c r="B834" i="8"/>
  <c r="D833" i="8"/>
  <c r="F833" i="8" s="1"/>
  <c r="C833" i="8"/>
  <c r="B833" i="8"/>
  <c r="D832" i="8"/>
  <c r="F832" i="8" s="1"/>
  <c r="C832" i="8"/>
  <c r="B832" i="8"/>
  <c r="D831" i="8"/>
  <c r="F831" i="8" s="1"/>
  <c r="C831" i="8"/>
  <c r="B831" i="8"/>
  <c r="D830" i="8"/>
  <c r="F830" i="8" s="1"/>
  <c r="C830" i="8"/>
  <c r="B830" i="8"/>
  <c r="D829" i="8"/>
  <c r="F829" i="8" s="1"/>
  <c r="C829" i="8"/>
  <c r="B829" i="8"/>
  <c r="D828" i="8"/>
  <c r="F828" i="8" s="1"/>
  <c r="C828" i="8"/>
  <c r="B828" i="8"/>
  <c r="D827" i="8"/>
  <c r="F827" i="8" s="1"/>
  <c r="C827" i="8"/>
  <c r="B827" i="8"/>
  <c r="D826" i="8"/>
  <c r="F826" i="8" s="1"/>
  <c r="C826" i="8"/>
  <c r="B826" i="8"/>
  <c r="D825" i="8"/>
  <c r="F825" i="8" s="1"/>
  <c r="C825" i="8"/>
  <c r="B825" i="8"/>
  <c r="D824" i="8"/>
  <c r="F824" i="8" s="1"/>
  <c r="C824" i="8"/>
  <c r="B824" i="8"/>
  <c r="D823" i="8"/>
  <c r="F823" i="8" s="1"/>
  <c r="C823" i="8"/>
  <c r="B823" i="8"/>
  <c r="D822" i="8"/>
  <c r="F822" i="8" s="1"/>
  <c r="C822" i="8"/>
  <c r="B822" i="8"/>
  <c r="D821" i="8"/>
  <c r="F821" i="8" s="1"/>
  <c r="C821" i="8"/>
  <c r="B821" i="8"/>
  <c r="D820" i="8"/>
  <c r="F820" i="8" s="1"/>
  <c r="C820" i="8"/>
  <c r="B820" i="8"/>
  <c r="D819" i="8"/>
  <c r="F819" i="8" s="1"/>
  <c r="C819" i="8"/>
  <c r="B819" i="8"/>
  <c r="D818" i="8"/>
  <c r="F818" i="8" s="1"/>
  <c r="C818" i="8"/>
  <c r="B818" i="8"/>
  <c r="D817" i="8"/>
  <c r="F817" i="8" s="1"/>
  <c r="C817" i="8"/>
  <c r="B817" i="8"/>
  <c r="D816" i="8"/>
  <c r="F816" i="8" s="1"/>
  <c r="C816" i="8"/>
  <c r="B816" i="8"/>
  <c r="D815" i="8"/>
  <c r="F815" i="8" s="1"/>
  <c r="C815" i="8"/>
  <c r="B815" i="8"/>
  <c r="D814" i="8"/>
  <c r="F814" i="8" s="1"/>
  <c r="C814" i="8"/>
  <c r="B814" i="8"/>
  <c r="D813" i="8"/>
  <c r="F813" i="8" s="1"/>
  <c r="C813" i="8"/>
  <c r="B813" i="8"/>
  <c r="D812" i="8"/>
  <c r="F812" i="8" s="1"/>
  <c r="C812" i="8"/>
  <c r="B812" i="8"/>
  <c r="D811" i="8"/>
  <c r="F811" i="8" s="1"/>
  <c r="C811" i="8"/>
  <c r="B811" i="8"/>
  <c r="D810" i="8"/>
  <c r="F810" i="8" s="1"/>
  <c r="C810" i="8"/>
  <c r="B810" i="8"/>
  <c r="D809" i="8"/>
  <c r="F809" i="8" s="1"/>
  <c r="C809" i="8"/>
  <c r="B809" i="8"/>
  <c r="D808" i="8"/>
  <c r="F808" i="8" s="1"/>
  <c r="C808" i="8"/>
  <c r="B808" i="8"/>
  <c r="D807" i="8"/>
  <c r="F807" i="8" s="1"/>
  <c r="C807" i="8"/>
  <c r="B807" i="8"/>
  <c r="D806" i="8"/>
  <c r="F806" i="8" s="1"/>
  <c r="C806" i="8"/>
  <c r="B806" i="8"/>
  <c r="D805" i="8"/>
  <c r="F805" i="8" s="1"/>
  <c r="C805" i="8"/>
  <c r="B805" i="8"/>
  <c r="D804" i="8"/>
  <c r="F804" i="8" s="1"/>
  <c r="C804" i="8"/>
  <c r="B804" i="8"/>
  <c r="D803" i="8"/>
  <c r="F803" i="8" s="1"/>
  <c r="C803" i="8"/>
  <c r="B803" i="8"/>
  <c r="D802" i="8"/>
  <c r="F802" i="8" s="1"/>
  <c r="C802" i="8"/>
  <c r="B802" i="8"/>
  <c r="D801" i="8"/>
  <c r="F801" i="8" s="1"/>
  <c r="C801" i="8"/>
  <c r="B801" i="8"/>
  <c r="D800" i="8"/>
  <c r="F800" i="8" s="1"/>
  <c r="C800" i="8"/>
  <c r="B800" i="8"/>
  <c r="D799" i="8"/>
  <c r="F799" i="8" s="1"/>
  <c r="C799" i="8"/>
  <c r="B799" i="8"/>
  <c r="D798" i="8"/>
  <c r="F798" i="8" s="1"/>
  <c r="C798" i="8"/>
  <c r="B798" i="8"/>
  <c r="D797" i="8"/>
  <c r="F797" i="8" s="1"/>
  <c r="C797" i="8"/>
  <c r="B797" i="8"/>
  <c r="D796" i="8"/>
  <c r="F796" i="8" s="1"/>
  <c r="C796" i="8"/>
  <c r="B796" i="8"/>
  <c r="D795" i="8"/>
  <c r="F795" i="8" s="1"/>
  <c r="C795" i="8"/>
  <c r="B795" i="8"/>
  <c r="D794" i="8"/>
  <c r="F794" i="8" s="1"/>
  <c r="C794" i="8"/>
  <c r="B794" i="8"/>
  <c r="D793" i="8"/>
  <c r="F793" i="8" s="1"/>
  <c r="C793" i="8"/>
  <c r="B793" i="8"/>
  <c r="D792" i="8"/>
  <c r="F792" i="8" s="1"/>
  <c r="C792" i="8"/>
  <c r="B792" i="8"/>
  <c r="D791" i="8"/>
  <c r="F791" i="8" s="1"/>
  <c r="C791" i="8"/>
  <c r="B791" i="8"/>
  <c r="D790" i="8"/>
  <c r="F790" i="8" s="1"/>
  <c r="C790" i="8"/>
  <c r="B790" i="8"/>
  <c r="D789" i="8"/>
  <c r="F789" i="8" s="1"/>
  <c r="C789" i="8"/>
  <c r="B789" i="8"/>
  <c r="D788" i="8"/>
  <c r="F788" i="8" s="1"/>
  <c r="C788" i="8"/>
  <c r="B788" i="8"/>
  <c r="D787" i="8"/>
  <c r="F787" i="8" s="1"/>
  <c r="C787" i="8"/>
  <c r="B787" i="8"/>
  <c r="D786" i="8"/>
  <c r="F786" i="8" s="1"/>
  <c r="C786" i="8"/>
  <c r="B786" i="8"/>
  <c r="D785" i="8"/>
  <c r="F785" i="8" s="1"/>
  <c r="C785" i="8"/>
  <c r="B785" i="8"/>
  <c r="D784" i="8"/>
  <c r="F784" i="8" s="1"/>
  <c r="C784" i="8"/>
  <c r="B784" i="8"/>
  <c r="D783" i="8"/>
  <c r="F783" i="8" s="1"/>
  <c r="C783" i="8"/>
  <c r="B783" i="8"/>
  <c r="D782" i="8"/>
  <c r="F782" i="8" s="1"/>
  <c r="C782" i="8"/>
  <c r="B782" i="8"/>
  <c r="D781" i="8"/>
  <c r="F781" i="8" s="1"/>
  <c r="C781" i="8"/>
  <c r="B781" i="8"/>
  <c r="D780" i="8"/>
  <c r="F780" i="8" s="1"/>
  <c r="C780" i="8"/>
  <c r="B780" i="8"/>
  <c r="D779" i="8"/>
  <c r="F779" i="8" s="1"/>
  <c r="C779" i="8"/>
  <c r="B779" i="8"/>
  <c r="D778" i="8"/>
  <c r="F778" i="8" s="1"/>
  <c r="C778" i="8"/>
  <c r="B778" i="8"/>
  <c r="D777" i="8"/>
  <c r="F777" i="8" s="1"/>
  <c r="C777" i="8"/>
  <c r="B777" i="8"/>
  <c r="D776" i="8"/>
  <c r="F776" i="8" s="1"/>
  <c r="C776" i="8"/>
  <c r="B776" i="8"/>
  <c r="D775" i="8"/>
  <c r="F775" i="8" s="1"/>
  <c r="C775" i="8"/>
  <c r="B775" i="8"/>
  <c r="D774" i="8"/>
  <c r="F774" i="8" s="1"/>
  <c r="C774" i="8"/>
  <c r="B774" i="8"/>
  <c r="D773" i="8"/>
  <c r="F773" i="8" s="1"/>
  <c r="C773" i="8"/>
  <c r="B773" i="8"/>
  <c r="D772" i="8"/>
  <c r="F772" i="8" s="1"/>
  <c r="C772" i="8"/>
  <c r="B772" i="8"/>
  <c r="D771" i="8"/>
  <c r="F771" i="8" s="1"/>
  <c r="C771" i="8"/>
  <c r="B771" i="8"/>
  <c r="D770" i="8"/>
  <c r="F770" i="8" s="1"/>
  <c r="C770" i="8"/>
  <c r="B770" i="8"/>
  <c r="D769" i="8"/>
  <c r="F769" i="8" s="1"/>
  <c r="C769" i="8"/>
  <c r="B769" i="8"/>
  <c r="D768" i="8"/>
  <c r="F768" i="8" s="1"/>
  <c r="C768" i="8"/>
  <c r="B768" i="8"/>
  <c r="D767" i="8"/>
  <c r="F767" i="8" s="1"/>
  <c r="C767" i="8"/>
  <c r="B767" i="8"/>
  <c r="D766" i="8"/>
  <c r="F766" i="8" s="1"/>
  <c r="C766" i="8"/>
  <c r="B766" i="8"/>
  <c r="D765" i="8"/>
  <c r="F765" i="8" s="1"/>
  <c r="C765" i="8"/>
  <c r="B765" i="8"/>
  <c r="D764" i="8"/>
  <c r="F764" i="8" s="1"/>
  <c r="C764" i="8"/>
  <c r="B764" i="8"/>
  <c r="D763" i="8"/>
  <c r="F763" i="8" s="1"/>
  <c r="C763" i="8"/>
  <c r="B763" i="8"/>
  <c r="D762" i="8"/>
  <c r="F762" i="8" s="1"/>
  <c r="C762" i="8"/>
  <c r="B762" i="8"/>
  <c r="D761" i="8"/>
  <c r="F761" i="8" s="1"/>
  <c r="C761" i="8"/>
  <c r="B761" i="8"/>
  <c r="D760" i="8"/>
  <c r="F760" i="8" s="1"/>
  <c r="C760" i="8"/>
  <c r="B760" i="8"/>
  <c r="D759" i="8"/>
  <c r="F759" i="8" s="1"/>
  <c r="C759" i="8"/>
  <c r="B759" i="8"/>
  <c r="D758" i="8"/>
  <c r="F758" i="8" s="1"/>
  <c r="C758" i="8"/>
  <c r="B758" i="8"/>
  <c r="D757" i="8"/>
  <c r="F757" i="8" s="1"/>
  <c r="C757" i="8"/>
  <c r="B757" i="8"/>
  <c r="D756" i="8"/>
  <c r="F756" i="8" s="1"/>
  <c r="C756" i="8"/>
  <c r="B756" i="8"/>
  <c r="D755" i="8"/>
  <c r="F755" i="8" s="1"/>
  <c r="C755" i="8"/>
  <c r="B755" i="8"/>
  <c r="D754" i="8"/>
  <c r="F754" i="8" s="1"/>
  <c r="C754" i="8"/>
  <c r="B754" i="8"/>
  <c r="D753" i="8"/>
  <c r="F753" i="8" s="1"/>
  <c r="C753" i="8"/>
  <c r="B753" i="8"/>
  <c r="D752" i="8"/>
  <c r="F752" i="8" s="1"/>
  <c r="C752" i="8"/>
  <c r="B752" i="8"/>
  <c r="D751" i="8"/>
  <c r="F751" i="8" s="1"/>
  <c r="C751" i="8"/>
  <c r="B751" i="8"/>
  <c r="D750" i="8"/>
  <c r="F750" i="8" s="1"/>
  <c r="C750" i="8"/>
  <c r="B750" i="8"/>
  <c r="D749" i="8"/>
  <c r="F749" i="8" s="1"/>
  <c r="C749" i="8"/>
  <c r="B749" i="8"/>
  <c r="D748" i="8"/>
  <c r="F748" i="8" s="1"/>
  <c r="C748" i="8"/>
  <c r="B748" i="8"/>
  <c r="D747" i="8"/>
  <c r="F747" i="8" s="1"/>
  <c r="C747" i="8"/>
  <c r="B747" i="8"/>
  <c r="D746" i="8"/>
  <c r="F746" i="8" s="1"/>
  <c r="C746" i="8"/>
  <c r="B746" i="8"/>
  <c r="D745" i="8"/>
  <c r="F745" i="8" s="1"/>
  <c r="C745" i="8"/>
  <c r="B745" i="8"/>
  <c r="D744" i="8"/>
  <c r="F744" i="8" s="1"/>
  <c r="C744" i="8"/>
  <c r="B744" i="8"/>
  <c r="D743" i="8"/>
  <c r="F743" i="8" s="1"/>
  <c r="C743" i="8"/>
  <c r="B743" i="8"/>
  <c r="D742" i="8"/>
  <c r="F742" i="8" s="1"/>
  <c r="C742" i="8"/>
  <c r="B742" i="8"/>
  <c r="D741" i="8"/>
  <c r="F741" i="8" s="1"/>
  <c r="C741" i="8"/>
  <c r="B741" i="8"/>
  <c r="D740" i="8"/>
  <c r="F740" i="8" s="1"/>
  <c r="C740" i="8"/>
  <c r="B740" i="8"/>
  <c r="D739" i="8"/>
  <c r="F739" i="8" s="1"/>
  <c r="C739" i="8"/>
  <c r="B739" i="8"/>
  <c r="D738" i="8"/>
  <c r="F738" i="8" s="1"/>
  <c r="C738" i="8"/>
  <c r="B738" i="8"/>
  <c r="D737" i="8"/>
  <c r="F737" i="8" s="1"/>
  <c r="C737" i="8"/>
  <c r="B737" i="8"/>
  <c r="D736" i="8"/>
  <c r="F736" i="8" s="1"/>
  <c r="C736" i="8"/>
  <c r="B736" i="8"/>
  <c r="D735" i="8"/>
  <c r="F735" i="8" s="1"/>
  <c r="C735" i="8"/>
  <c r="B735" i="8"/>
  <c r="D734" i="8"/>
  <c r="F734" i="8" s="1"/>
  <c r="C734" i="8"/>
  <c r="B734" i="8"/>
  <c r="D733" i="8"/>
  <c r="F733" i="8" s="1"/>
  <c r="C733" i="8"/>
  <c r="B733" i="8"/>
  <c r="D732" i="8"/>
  <c r="F732" i="8" s="1"/>
  <c r="C732" i="8"/>
  <c r="B732" i="8"/>
  <c r="D731" i="8"/>
  <c r="F731" i="8" s="1"/>
  <c r="C731" i="8"/>
  <c r="B731" i="8"/>
  <c r="D730" i="8"/>
  <c r="F730" i="8" s="1"/>
  <c r="C730" i="8"/>
  <c r="B730" i="8"/>
  <c r="D729" i="8"/>
  <c r="F729" i="8" s="1"/>
  <c r="C729" i="8"/>
  <c r="B729" i="8"/>
  <c r="D728" i="8"/>
  <c r="F728" i="8" s="1"/>
  <c r="C728" i="8"/>
  <c r="B728" i="8"/>
  <c r="D727" i="8"/>
  <c r="F727" i="8" s="1"/>
  <c r="C727" i="8"/>
  <c r="B727" i="8"/>
  <c r="D726" i="8"/>
  <c r="F726" i="8" s="1"/>
  <c r="C726" i="8"/>
  <c r="B726" i="8"/>
  <c r="D725" i="8"/>
  <c r="F725" i="8" s="1"/>
  <c r="C725" i="8"/>
  <c r="B725" i="8"/>
  <c r="D724" i="8"/>
  <c r="F724" i="8" s="1"/>
  <c r="C724" i="8"/>
  <c r="B724" i="8"/>
  <c r="D723" i="8"/>
  <c r="F723" i="8" s="1"/>
  <c r="C723" i="8"/>
  <c r="B723" i="8"/>
  <c r="D722" i="8"/>
  <c r="F722" i="8" s="1"/>
  <c r="C722" i="8"/>
  <c r="B722" i="8"/>
  <c r="D721" i="8"/>
  <c r="F721" i="8" s="1"/>
  <c r="C721" i="8"/>
  <c r="B721" i="8"/>
  <c r="D720" i="8"/>
  <c r="F720" i="8" s="1"/>
  <c r="C720" i="8"/>
  <c r="B720" i="8"/>
  <c r="D719" i="8"/>
  <c r="F719" i="8" s="1"/>
  <c r="C719" i="8"/>
  <c r="B719" i="8"/>
  <c r="D718" i="8"/>
  <c r="F718" i="8" s="1"/>
  <c r="C718" i="8"/>
  <c r="B718" i="8"/>
  <c r="D717" i="8"/>
  <c r="F717" i="8" s="1"/>
  <c r="C717" i="8"/>
  <c r="B717" i="8"/>
  <c r="D716" i="8"/>
  <c r="F716" i="8" s="1"/>
  <c r="C716" i="8"/>
  <c r="B716" i="8"/>
  <c r="D715" i="8"/>
  <c r="F715" i="8" s="1"/>
  <c r="C715" i="8"/>
  <c r="B715" i="8"/>
  <c r="D714" i="8"/>
  <c r="F714" i="8" s="1"/>
  <c r="C714" i="8"/>
  <c r="B714" i="8"/>
  <c r="D713" i="8"/>
  <c r="F713" i="8" s="1"/>
  <c r="C713" i="8"/>
  <c r="B713" i="8"/>
  <c r="D712" i="8"/>
  <c r="F712" i="8" s="1"/>
  <c r="C712" i="8"/>
  <c r="B712" i="8"/>
  <c r="D711" i="8"/>
  <c r="F711" i="8" s="1"/>
  <c r="C711" i="8"/>
  <c r="B711" i="8"/>
  <c r="D710" i="8"/>
  <c r="F710" i="8" s="1"/>
  <c r="C710" i="8"/>
  <c r="B710" i="8"/>
  <c r="D709" i="8"/>
  <c r="F709" i="8" s="1"/>
  <c r="C709" i="8"/>
  <c r="B709" i="8"/>
  <c r="D708" i="8"/>
  <c r="F708" i="8" s="1"/>
  <c r="C708" i="8"/>
  <c r="B708" i="8"/>
  <c r="D707" i="8"/>
  <c r="F707" i="8" s="1"/>
  <c r="C707" i="8"/>
  <c r="B707" i="8"/>
  <c r="D706" i="8"/>
  <c r="F706" i="8" s="1"/>
  <c r="C706" i="8"/>
  <c r="B706" i="8"/>
  <c r="D705" i="8"/>
  <c r="F705" i="8" s="1"/>
  <c r="C705" i="8"/>
  <c r="B705" i="8"/>
  <c r="D704" i="8"/>
  <c r="F704" i="8" s="1"/>
  <c r="C704" i="8"/>
  <c r="B704" i="8"/>
  <c r="D703" i="8"/>
  <c r="F703" i="8" s="1"/>
  <c r="C703" i="8"/>
  <c r="B703" i="8"/>
  <c r="D702" i="8"/>
  <c r="F702" i="8" s="1"/>
  <c r="C702" i="8"/>
  <c r="B702" i="8"/>
  <c r="D701" i="8"/>
  <c r="F701" i="8" s="1"/>
  <c r="C701" i="8"/>
  <c r="B701" i="8"/>
  <c r="D700" i="8"/>
  <c r="F700" i="8" s="1"/>
  <c r="C700" i="8"/>
  <c r="B700" i="8"/>
  <c r="D699" i="8"/>
  <c r="F699" i="8" s="1"/>
  <c r="C699" i="8"/>
  <c r="B699" i="8"/>
  <c r="D698" i="8"/>
  <c r="F698" i="8" s="1"/>
  <c r="C698" i="8"/>
  <c r="B698" i="8"/>
  <c r="D697" i="8"/>
  <c r="F697" i="8" s="1"/>
  <c r="C697" i="8"/>
  <c r="B697" i="8"/>
  <c r="D696" i="8"/>
  <c r="F696" i="8" s="1"/>
  <c r="C696" i="8"/>
  <c r="B696" i="8"/>
  <c r="D695" i="8"/>
  <c r="F695" i="8" s="1"/>
  <c r="C695" i="8"/>
  <c r="B695" i="8"/>
  <c r="D694" i="8"/>
  <c r="F694" i="8" s="1"/>
  <c r="C694" i="8"/>
  <c r="B694" i="8"/>
  <c r="D693" i="8"/>
  <c r="F693" i="8" s="1"/>
  <c r="C693" i="8"/>
  <c r="B693" i="8"/>
  <c r="D692" i="8"/>
  <c r="F692" i="8" s="1"/>
  <c r="C692" i="8"/>
  <c r="B692" i="8"/>
  <c r="D691" i="8"/>
  <c r="F691" i="8" s="1"/>
  <c r="C691" i="8"/>
  <c r="B691" i="8"/>
  <c r="D690" i="8"/>
  <c r="F690" i="8" s="1"/>
  <c r="C690" i="8"/>
  <c r="B690" i="8"/>
  <c r="D689" i="8"/>
  <c r="F689" i="8" s="1"/>
  <c r="C689" i="8"/>
  <c r="B689" i="8"/>
  <c r="D688" i="8"/>
  <c r="F688" i="8" s="1"/>
  <c r="C688" i="8"/>
  <c r="B688" i="8"/>
  <c r="D687" i="8"/>
  <c r="F687" i="8" s="1"/>
  <c r="C687" i="8"/>
  <c r="B687" i="8"/>
  <c r="D686" i="8"/>
  <c r="F686" i="8" s="1"/>
  <c r="C686" i="8"/>
  <c r="B686" i="8"/>
  <c r="D685" i="8"/>
  <c r="F685" i="8" s="1"/>
  <c r="C685" i="8"/>
  <c r="B685" i="8"/>
  <c r="D684" i="8"/>
  <c r="F684" i="8" s="1"/>
  <c r="C684" i="8"/>
  <c r="B684" i="8"/>
  <c r="D683" i="8"/>
  <c r="F683" i="8" s="1"/>
  <c r="C683" i="8"/>
  <c r="B683" i="8"/>
  <c r="D682" i="8"/>
  <c r="F682" i="8" s="1"/>
  <c r="C682" i="8"/>
  <c r="B682" i="8"/>
  <c r="D681" i="8"/>
  <c r="F681" i="8" s="1"/>
  <c r="C681" i="8"/>
  <c r="B681" i="8"/>
  <c r="D680" i="8"/>
  <c r="F680" i="8" s="1"/>
  <c r="C680" i="8"/>
  <c r="B680" i="8"/>
  <c r="D679" i="8"/>
  <c r="F679" i="8" s="1"/>
  <c r="C679" i="8"/>
  <c r="B679" i="8"/>
  <c r="D678" i="8"/>
  <c r="F678" i="8" s="1"/>
  <c r="C678" i="8"/>
  <c r="B678" i="8"/>
  <c r="D677" i="8"/>
  <c r="F677" i="8" s="1"/>
  <c r="C677" i="8"/>
  <c r="B677" i="8"/>
  <c r="D676" i="8"/>
  <c r="F676" i="8" s="1"/>
  <c r="C676" i="8"/>
  <c r="B676" i="8"/>
  <c r="D675" i="8"/>
  <c r="F675" i="8" s="1"/>
  <c r="C675" i="8"/>
  <c r="B675" i="8"/>
  <c r="D674" i="8"/>
  <c r="F674" i="8" s="1"/>
  <c r="C674" i="8"/>
  <c r="B674" i="8"/>
  <c r="D673" i="8"/>
  <c r="F673" i="8" s="1"/>
  <c r="C673" i="8"/>
  <c r="B673" i="8"/>
  <c r="D672" i="8"/>
  <c r="F672" i="8" s="1"/>
  <c r="C672" i="8"/>
  <c r="B672" i="8"/>
  <c r="D671" i="8"/>
  <c r="F671" i="8" s="1"/>
  <c r="C671" i="8"/>
  <c r="B671" i="8"/>
  <c r="D670" i="8"/>
  <c r="F670" i="8" s="1"/>
  <c r="C670" i="8"/>
  <c r="B670" i="8"/>
  <c r="D669" i="8"/>
  <c r="F669" i="8" s="1"/>
  <c r="C669" i="8"/>
  <c r="B669" i="8"/>
  <c r="D668" i="8"/>
  <c r="F668" i="8" s="1"/>
  <c r="C668" i="8"/>
  <c r="B668" i="8"/>
  <c r="D667" i="8"/>
  <c r="F667" i="8" s="1"/>
  <c r="C667" i="8"/>
  <c r="B667" i="8"/>
  <c r="D666" i="8"/>
  <c r="F666" i="8" s="1"/>
  <c r="C666" i="8"/>
  <c r="B666" i="8"/>
  <c r="D665" i="8"/>
  <c r="F665" i="8" s="1"/>
  <c r="C665" i="8"/>
  <c r="B665" i="8"/>
  <c r="D664" i="8"/>
  <c r="F664" i="8" s="1"/>
  <c r="C664" i="8"/>
  <c r="B664" i="8"/>
  <c r="D663" i="8"/>
  <c r="F663" i="8" s="1"/>
  <c r="C663" i="8"/>
  <c r="B663" i="8"/>
  <c r="D662" i="8"/>
  <c r="F662" i="8" s="1"/>
  <c r="C662" i="8"/>
  <c r="B662" i="8"/>
  <c r="D661" i="8"/>
  <c r="F661" i="8" s="1"/>
  <c r="C661" i="8"/>
  <c r="B661" i="8"/>
  <c r="D660" i="8"/>
  <c r="F660" i="8" s="1"/>
  <c r="C660" i="8"/>
  <c r="B660" i="8"/>
  <c r="D659" i="8"/>
  <c r="F659" i="8" s="1"/>
  <c r="C659" i="8"/>
  <c r="B659" i="8"/>
  <c r="D658" i="8"/>
  <c r="F658" i="8" s="1"/>
  <c r="C658" i="8"/>
  <c r="B658" i="8"/>
  <c r="D657" i="8"/>
  <c r="F657" i="8" s="1"/>
  <c r="C657" i="8"/>
  <c r="B657" i="8"/>
  <c r="D656" i="8"/>
  <c r="F656" i="8" s="1"/>
  <c r="C656" i="8"/>
  <c r="B656" i="8"/>
  <c r="D655" i="8"/>
  <c r="F655" i="8" s="1"/>
  <c r="C655" i="8"/>
  <c r="B655" i="8"/>
  <c r="D654" i="8"/>
  <c r="F654" i="8" s="1"/>
  <c r="C654" i="8"/>
  <c r="B654" i="8"/>
  <c r="D653" i="8"/>
  <c r="F653" i="8" s="1"/>
  <c r="C653" i="8"/>
  <c r="B653" i="8"/>
  <c r="D652" i="8"/>
  <c r="F652" i="8" s="1"/>
  <c r="C652" i="8"/>
  <c r="B652" i="8"/>
  <c r="D651" i="8"/>
  <c r="F651" i="8" s="1"/>
  <c r="C651" i="8"/>
  <c r="B651" i="8"/>
  <c r="D650" i="8"/>
  <c r="F650" i="8" s="1"/>
  <c r="C650" i="8"/>
  <c r="B650" i="8"/>
  <c r="D649" i="8"/>
  <c r="F649" i="8" s="1"/>
  <c r="C649" i="8"/>
  <c r="B649" i="8"/>
  <c r="D648" i="8"/>
  <c r="F648" i="8" s="1"/>
  <c r="C648" i="8"/>
  <c r="B648" i="8"/>
  <c r="D647" i="8"/>
  <c r="F647" i="8" s="1"/>
  <c r="C647" i="8"/>
  <c r="B647" i="8"/>
  <c r="D646" i="8"/>
  <c r="F646" i="8" s="1"/>
  <c r="C646" i="8"/>
  <c r="B646" i="8"/>
  <c r="D645" i="8"/>
  <c r="F645" i="8" s="1"/>
  <c r="C645" i="8"/>
  <c r="B645" i="8"/>
  <c r="D644" i="8"/>
  <c r="F644" i="8" s="1"/>
  <c r="C644" i="8"/>
  <c r="B644" i="8"/>
  <c r="D643" i="8"/>
  <c r="F643" i="8" s="1"/>
  <c r="C643" i="8"/>
  <c r="B643" i="8"/>
  <c r="D642" i="8"/>
  <c r="F642" i="8" s="1"/>
  <c r="C642" i="8"/>
  <c r="B642" i="8"/>
  <c r="D641" i="8"/>
  <c r="F641" i="8" s="1"/>
  <c r="C641" i="8"/>
  <c r="B641" i="8"/>
  <c r="D640" i="8"/>
  <c r="F640" i="8" s="1"/>
  <c r="C640" i="8"/>
  <c r="B640" i="8"/>
  <c r="D639" i="8"/>
  <c r="F639" i="8" s="1"/>
  <c r="C639" i="8"/>
  <c r="B639" i="8"/>
  <c r="D638" i="8"/>
  <c r="F638" i="8" s="1"/>
  <c r="C638" i="8"/>
  <c r="B638" i="8"/>
  <c r="D637" i="8"/>
  <c r="F637" i="8" s="1"/>
  <c r="C637" i="8"/>
  <c r="B637" i="8"/>
  <c r="D636" i="8"/>
  <c r="F636" i="8" s="1"/>
  <c r="C636" i="8"/>
  <c r="B636" i="8"/>
  <c r="D635" i="8"/>
  <c r="F635" i="8" s="1"/>
  <c r="C635" i="8"/>
  <c r="B635" i="8"/>
  <c r="D634" i="8"/>
  <c r="F634" i="8" s="1"/>
  <c r="C634" i="8"/>
  <c r="B634" i="8"/>
  <c r="D633" i="8"/>
  <c r="F633" i="8" s="1"/>
  <c r="C633" i="8"/>
  <c r="B633" i="8"/>
  <c r="D632" i="8"/>
  <c r="F632" i="8" s="1"/>
  <c r="C632" i="8"/>
  <c r="B632" i="8"/>
  <c r="D631" i="8"/>
  <c r="F631" i="8" s="1"/>
  <c r="C631" i="8"/>
  <c r="B631" i="8"/>
  <c r="D630" i="8"/>
  <c r="F630" i="8" s="1"/>
  <c r="C630" i="8"/>
  <c r="B630" i="8"/>
  <c r="D629" i="8"/>
  <c r="F629" i="8" s="1"/>
  <c r="C629" i="8"/>
  <c r="B629" i="8"/>
  <c r="D628" i="8"/>
  <c r="F628" i="8" s="1"/>
  <c r="C628" i="8"/>
  <c r="B628" i="8"/>
  <c r="D627" i="8"/>
  <c r="F627" i="8" s="1"/>
  <c r="C627" i="8"/>
  <c r="B627" i="8"/>
  <c r="D626" i="8"/>
  <c r="F626" i="8" s="1"/>
  <c r="C626" i="8"/>
  <c r="B626" i="8"/>
  <c r="D625" i="8"/>
  <c r="F625" i="8" s="1"/>
  <c r="C625" i="8"/>
  <c r="B625" i="8"/>
  <c r="D624" i="8"/>
  <c r="F624" i="8" s="1"/>
  <c r="C624" i="8"/>
  <c r="B624" i="8"/>
  <c r="D623" i="8"/>
  <c r="F623" i="8" s="1"/>
  <c r="C623" i="8"/>
  <c r="B623" i="8"/>
  <c r="D622" i="8"/>
  <c r="F622" i="8" s="1"/>
  <c r="C622" i="8"/>
  <c r="B622" i="8"/>
  <c r="D621" i="8"/>
  <c r="F621" i="8" s="1"/>
  <c r="C621" i="8"/>
  <c r="B621" i="8"/>
  <c r="D620" i="8"/>
  <c r="F620" i="8" s="1"/>
  <c r="C620" i="8"/>
  <c r="B620" i="8"/>
  <c r="D619" i="8"/>
  <c r="F619" i="8" s="1"/>
  <c r="C619" i="8"/>
  <c r="B619" i="8"/>
  <c r="D618" i="8"/>
  <c r="F618" i="8" s="1"/>
  <c r="C618" i="8"/>
  <c r="B618" i="8"/>
  <c r="D617" i="8"/>
  <c r="F617" i="8" s="1"/>
  <c r="C617" i="8"/>
  <c r="B617" i="8"/>
  <c r="D616" i="8"/>
  <c r="F616" i="8" s="1"/>
  <c r="C616" i="8"/>
  <c r="B616" i="8"/>
  <c r="D615" i="8"/>
  <c r="F615" i="8" s="1"/>
  <c r="C615" i="8"/>
  <c r="B615" i="8"/>
  <c r="D614" i="8"/>
  <c r="F614" i="8" s="1"/>
  <c r="C614" i="8"/>
  <c r="B614" i="8"/>
  <c r="D613" i="8"/>
  <c r="F613" i="8" s="1"/>
  <c r="C613" i="8"/>
  <c r="B613" i="8"/>
  <c r="D612" i="8"/>
  <c r="F612" i="8" s="1"/>
  <c r="C612" i="8"/>
  <c r="B612" i="8"/>
  <c r="D611" i="8"/>
  <c r="F611" i="8" s="1"/>
  <c r="C611" i="8"/>
  <c r="B611" i="8"/>
  <c r="D610" i="8"/>
  <c r="F610" i="8" s="1"/>
  <c r="C610" i="8"/>
  <c r="B610" i="8"/>
  <c r="D609" i="8"/>
  <c r="F609" i="8" s="1"/>
  <c r="C609" i="8"/>
  <c r="B609" i="8"/>
  <c r="D608" i="8"/>
  <c r="F608" i="8" s="1"/>
  <c r="C608" i="8"/>
  <c r="B608" i="8"/>
  <c r="D607" i="8"/>
  <c r="F607" i="8" s="1"/>
  <c r="C607" i="8"/>
  <c r="B607" i="8"/>
  <c r="D606" i="8"/>
  <c r="F606" i="8" s="1"/>
  <c r="C606" i="8"/>
  <c r="B606" i="8"/>
  <c r="D605" i="8"/>
  <c r="F605" i="8" s="1"/>
  <c r="C605" i="8"/>
  <c r="B605" i="8"/>
  <c r="D604" i="8"/>
  <c r="F604" i="8" s="1"/>
  <c r="C604" i="8"/>
  <c r="B604" i="8"/>
  <c r="D603" i="8"/>
  <c r="F603" i="8" s="1"/>
  <c r="C603" i="8"/>
  <c r="B603" i="8"/>
  <c r="D602" i="8"/>
  <c r="F602" i="8" s="1"/>
  <c r="C602" i="8"/>
  <c r="B602" i="8"/>
  <c r="D601" i="8"/>
  <c r="F601" i="8" s="1"/>
  <c r="C601" i="8"/>
  <c r="B601" i="8"/>
  <c r="D600" i="8"/>
  <c r="F600" i="8" s="1"/>
  <c r="C600" i="8"/>
  <c r="B600" i="8"/>
  <c r="D599" i="8"/>
  <c r="F599" i="8" s="1"/>
  <c r="C599" i="8"/>
  <c r="B599" i="8"/>
  <c r="D598" i="8"/>
  <c r="F598" i="8" s="1"/>
  <c r="C598" i="8"/>
  <c r="B598" i="8"/>
  <c r="D597" i="8"/>
  <c r="F597" i="8" s="1"/>
  <c r="C597" i="8"/>
  <c r="B597" i="8"/>
  <c r="D596" i="8"/>
  <c r="F596" i="8" s="1"/>
  <c r="C596" i="8"/>
  <c r="B596" i="8"/>
  <c r="D595" i="8"/>
  <c r="F595" i="8" s="1"/>
  <c r="C595" i="8"/>
  <c r="B595" i="8"/>
  <c r="D594" i="8"/>
  <c r="F594" i="8" s="1"/>
  <c r="C594" i="8"/>
  <c r="B594" i="8"/>
  <c r="D593" i="8"/>
  <c r="F593" i="8" s="1"/>
  <c r="C593" i="8"/>
  <c r="B593" i="8"/>
  <c r="D592" i="8"/>
  <c r="F592" i="8" s="1"/>
  <c r="C592" i="8"/>
  <c r="B592" i="8"/>
  <c r="D591" i="8"/>
  <c r="F591" i="8" s="1"/>
  <c r="C591" i="8"/>
  <c r="B591" i="8"/>
  <c r="D590" i="8"/>
  <c r="F590" i="8" s="1"/>
  <c r="C590" i="8"/>
  <c r="B590" i="8"/>
  <c r="D589" i="8"/>
  <c r="F589" i="8" s="1"/>
  <c r="C589" i="8"/>
  <c r="B589" i="8"/>
  <c r="D588" i="8"/>
  <c r="F588" i="8" s="1"/>
  <c r="C588" i="8"/>
  <c r="B588" i="8"/>
  <c r="D587" i="8"/>
  <c r="F587" i="8" s="1"/>
  <c r="C587" i="8"/>
  <c r="B587" i="8"/>
  <c r="D586" i="8"/>
  <c r="F586" i="8" s="1"/>
  <c r="C586" i="8"/>
  <c r="B586" i="8"/>
  <c r="D585" i="8"/>
  <c r="F585" i="8" s="1"/>
  <c r="C585" i="8"/>
  <c r="B585" i="8"/>
  <c r="D584" i="8"/>
  <c r="F584" i="8" s="1"/>
  <c r="C584" i="8"/>
  <c r="B584" i="8"/>
  <c r="D583" i="8"/>
  <c r="F583" i="8" s="1"/>
  <c r="C583" i="8"/>
  <c r="B583" i="8"/>
  <c r="D582" i="8"/>
  <c r="F582" i="8" s="1"/>
  <c r="C582" i="8"/>
  <c r="B582" i="8"/>
  <c r="D581" i="8"/>
  <c r="F581" i="8" s="1"/>
  <c r="C581" i="8"/>
  <c r="B581" i="8"/>
  <c r="D580" i="8"/>
  <c r="F580" i="8" s="1"/>
  <c r="C580" i="8"/>
  <c r="B580" i="8"/>
  <c r="D579" i="8"/>
  <c r="F579" i="8" s="1"/>
  <c r="C579" i="8"/>
  <c r="B579" i="8"/>
  <c r="D578" i="8"/>
  <c r="F578" i="8" s="1"/>
  <c r="C578" i="8"/>
  <c r="B578" i="8"/>
  <c r="D577" i="8"/>
  <c r="F577" i="8" s="1"/>
  <c r="C577" i="8"/>
  <c r="B577" i="8"/>
  <c r="D576" i="8"/>
  <c r="F576" i="8" s="1"/>
  <c r="C576" i="8"/>
  <c r="B576" i="8"/>
  <c r="D575" i="8"/>
  <c r="F575" i="8" s="1"/>
  <c r="C575" i="8"/>
  <c r="B575" i="8"/>
  <c r="D574" i="8"/>
  <c r="F574" i="8" s="1"/>
  <c r="C574" i="8"/>
  <c r="B574" i="8"/>
  <c r="D573" i="8"/>
  <c r="F573" i="8" s="1"/>
  <c r="C573" i="8"/>
  <c r="B573" i="8"/>
  <c r="D572" i="8"/>
  <c r="F572" i="8" s="1"/>
  <c r="C572" i="8"/>
  <c r="B572" i="8"/>
  <c r="D571" i="8"/>
  <c r="F571" i="8" s="1"/>
  <c r="C571" i="8"/>
  <c r="B571" i="8"/>
  <c r="D570" i="8"/>
  <c r="F570" i="8" s="1"/>
  <c r="C570" i="8"/>
  <c r="B570" i="8"/>
  <c r="D569" i="8"/>
  <c r="F569" i="8" s="1"/>
  <c r="C569" i="8"/>
  <c r="B569" i="8"/>
  <c r="D568" i="8"/>
  <c r="F568" i="8" s="1"/>
  <c r="C568" i="8"/>
  <c r="B568" i="8"/>
  <c r="D567" i="8"/>
  <c r="F567" i="8" s="1"/>
  <c r="C567" i="8"/>
  <c r="B567" i="8"/>
  <c r="D566" i="8"/>
  <c r="F566" i="8" s="1"/>
  <c r="C566" i="8"/>
  <c r="B566" i="8"/>
  <c r="D565" i="8"/>
  <c r="F565" i="8" s="1"/>
  <c r="C565" i="8"/>
  <c r="B565" i="8"/>
  <c r="D564" i="8"/>
  <c r="C564" i="8"/>
  <c r="B564" i="8"/>
  <c r="D563" i="8"/>
  <c r="C563" i="8"/>
  <c r="B563" i="8"/>
  <c r="D562" i="8"/>
  <c r="C562" i="8"/>
  <c r="B562" i="8"/>
  <c r="D561" i="8"/>
  <c r="C561" i="8"/>
  <c r="B561" i="8"/>
  <c r="D560" i="8"/>
  <c r="C560" i="8"/>
  <c r="B560" i="8"/>
  <c r="D559" i="8"/>
  <c r="C559" i="8"/>
  <c r="B559" i="8"/>
  <c r="D558" i="8"/>
  <c r="C558" i="8"/>
  <c r="B558" i="8"/>
  <c r="D557" i="8"/>
  <c r="F557" i="8" s="1"/>
  <c r="C557" i="8"/>
  <c r="B557" i="8"/>
  <c r="D556" i="8"/>
  <c r="F556" i="8" s="1"/>
  <c r="C556" i="8"/>
  <c r="B556" i="8"/>
  <c r="D555" i="8"/>
  <c r="F555" i="8" s="1"/>
  <c r="C555" i="8"/>
  <c r="B555" i="8"/>
  <c r="D554" i="8"/>
  <c r="F554" i="8" s="1"/>
  <c r="C554" i="8"/>
  <c r="B554" i="8"/>
  <c r="D553" i="8"/>
  <c r="F553" i="8" s="1"/>
  <c r="C553" i="8"/>
  <c r="B553" i="8"/>
  <c r="D552" i="8"/>
  <c r="F552" i="8" s="1"/>
  <c r="C552" i="8"/>
  <c r="B552" i="8"/>
  <c r="D551" i="8"/>
  <c r="F551" i="8" s="1"/>
  <c r="C551" i="8"/>
  <c r="B551" i="8"/>
  <c r="D550" i="8"/>
  <c r="F550" i="8" s="1"/>
  <c r="C550" i="8"/>
  <c r="B550" i="8"/>
  <c r="D549" i="8"/>
  <c r="F549" i="8" s="1"/>
  <c r="C549" i="8"/>
  <c r="B549" i="8"/>
  <c r="D548" i="8"/>
  <c r="F548" i="8" s="1"/>
  <c r="C548" i="8"/>
  <c r="B548" i="8"/>
  <c r="D547" i="8"/>
  <c r="F547" i="8" s="1"/>
  <c r="C547" i="8"/>
  <c r="B547" i="8"/>
  <c r="D546" i="8"/>
  <c r="F546" i="8" s="1"/>
  <c r="C546" i="8"/>
  <c r="B546" i="8"/>
  <c r="D545" i="8"/>
  <c r="F545" i="8" s="1"/>
  <c r="C545" i="8"/>
  <c r="B545" i="8"/>
  <c r="D544" i="8"/>
  <c r="F544" i="8" s="1"/>
  <c r="C544" i="8"/>
  <c r="B544" i="8"/>
  <c r="D543" i="8"/>
  <c r="F543" i="8" s="1"/>
  <c r="C543" i="8"/>
  <c r="B543" i="8"/>
  <c r="D542" i="8"/>
  <c r="F542" i="8" s="1"/>
  <c r="C542" i="8"/>
  <c r="B542" i="8"/>
  <c r="D541" i="8"/>
  <c r="F541" i="8" s="1"/>
  <c r="C541" i="8"/>
  <c r="B541" i="8"/>
  <c r="D540" i="8"/>
  <c r="F540" i="8" s="1"/>
  <c r="C540" i="8"/>
  <c r="B540" i="8"/>
  <c r="D539" i="8"/>
  <c r="F539" i="8" s="1"/>
  <c r="C539" i="8"/>
  <c r="B539" i="8"/>
  <c r="D538" i="8"/>
  <c r="F538" i="8" s="1"/>
  <c r="C538" i="8"/>
  <c r="B538" i="8"/>
  <c r="D537" i="8"/>
  <c r="F537" i="8" s="1"/>
  <c r="C537" i="8"/>
  <c r="B537" i="8"/>
  <c r="D536" i="8"/>
  <c r="F536" i="8" s="1"/>
  <c r="C536" i="8"/>
  <c r="B536" i="8"/>
  <c r="D535" i="8"/>
  <c r="F535" i="8" s="1"/>
  <c r="C535" i="8"/>
  <c r="B535" i="8"/>
  <c r="D534" i="8"/>
  <c r="F534" i="8" s="1"/>
  <c r="C534" i="8"/>
  <c r="B534" i="8"/>
  <c r="D533" i="8"/>
  <c r="F533" i="8" s="1"/>
  <c r="C533" i="8"/>
  <c r="B533" i="8"/>
  <c r="D532" i="8"/>
  <c r="F532" i="8" s="1"/>
  <c r="C532" i="8"/>
  <c r="B532" i="8"/>
  <c r="D531" i="8"/>
  <c r="F531" i="8" s="1"/>
  <c r="C531" i="8"/>
  <c r="B531" i="8"/>
  <c r="D530" i="8"/>
  <c r="F530" i="8" s="1"/>
  <c r="C530" i="8"/>
  <c r="B530" i="8"/>
  <c r="D529" i="8"/>
  <c r="F529" i="8" s="1"/>
  <c r="C529" i="8"/>
  <c r="B529" i="8"/>
  <c r="D528" i="8"/>
  <c r="F528" i="8" s="1"/>
  <c r="C528" i="8"/>
  <c r="B528" i="8"/>
  <c r="D527" i="8"/>
  <c r="F527" i="8" s="1"/>
  <c r="C527" i="8"/>
  <c r="B527" i="8"/>
  <c r="D526" i="8"/>
  <c r="F526" i="8" s="1"/>
  <c r="C526" i="8"/>
  <c r="B526" i="8"/>
  <c r="D525" i="8"/>
  <c r="F525" i="8" s="1"/>
  <c r="C525" i="8"/>
  <c r="B525" i="8"/>
  <c r="D524" i="8"/>
  <c r="F524" i="8" s="1"/>
  <c r="C524" i="8"/>
  <c r="B524" i="8"/>
  <c r="H523" i="8"/>
  <c r="D523" i="8"/>
  <c r="F523" i="8" s="1"/>
  <c r="C523" i="8"/>
  <c r="B523" i="8"/>
  <c r="D522" i="8"/>
  <c r="F522" i="8" s="1"/>
  <c r="C522" i="8"/>
  <c r="B522" i="8"/>
  <c r="D521" i="8"/>
  <c r="F521" i="8" s="1"/>
  <c r="C521" i="8"/>
  <c r="B521" i="8"/>
  <c r="D520" i="8"/>
  <c r="F520" i="8" s="1"/>
  <c r="C520" i="8"/>
  <c r="B520" i="8"/>
  <c r="D519" i="8"/>
  <c r="F519" i="8" s="1"/>
  <c r="C519" i="8"/>
  <c r="B519" i="8"/>
  <c r="D518" i="8"/>
  <c r="F518" i="8" s="1"/>
  <c r="C518" i="8"/>
  <c r="B518" i="8"/>
  <c r="F517" i="8"/>
  <c r="D517" i="8"/>
  <c r="C517" i="8"/>
  <c r="B517" i="8"/>
  <c r="D516" i="8"/>
  <c r="F516" i="8" s="1"/>
  <c r="C516" i="8"/>
  <c r="B516" i="8"/>
  <c r="D515" i="8"/>
  <c r="F515" i="8" s="1"/>
  <c r="K266" i="5" s="1"/>
  <c r="J266" i="5" s="1"/>
  <c r="C515" i="8"/>
  <c r="B515" i="8"/>
  <c r="D514" i="8"/>
  <c r="F514" i="8" s="1"/>
  <c r="C514" i="8"/>
  <c r="B514" i="8"/>
  <c r="D513" i="8"/>
  <c r="F513" i="8" s="1"/>
  <c r="C513" i="8"/>
  <c r="B513" i="8"/>
  <c r="D512" i="8"/>
  <c r="F512" i="8" s="1"/>
  <c r="C512" i="8"/>
  <c r="B512" i="8"/>
  <c r="D511" i="8"/>
  <c r="F511" i="8" s="1"/>
  <c r="C511" i="8"/>
  <c r="B511" i="8"/>
  <c r="D510" i="8"/>
  <c r="F510" i="8" s="1"/>
  <c r="C510" i="8"/>
  <c r="B510" i="8"/>
  <c r="D509" i="8"/>
  <c r="F509" i="8" s="1"/>
  <c r="C509" i="8"/>
  <c r="B509" i="8"/>
  <c r="D508" i="8"/>
  <c r="F508" i="8" s="1"/>
  <c r="K247" i="5" s="1"/>
  <c r="J247" i="5" s="1"/>
  <c r="C508" i="8"/>
  <c r="B508" i="8"/>
  <c r="F507" i="8"/>
  <c r="D507" i="8"/>
  <c r="C507" i="8"/>
  <c r="B507" i="8"/>
  <c r="D506" i="8"/>
  <c r="F506" i="8" s="1"/>
  <c r="C506" i="8"/>
  <c r="B506" i="8"/>
  <c r="D505" i="8"/>
  <c r="F505" i="8" s="1"/>
  <c r="C505" i="8"/>
  <c r="B505" i="8"/>
  <c r="D504" i="8"/>
  <c r="F504" i="8" s="1"/>
  <c r="C504" i="8"/>
  <c r="B504" i="8"/>
  <c r="D503" i="8"/>
  <c r="F503" i="8" s="1"/>
  <c r="C503" i="8"/>
  <c r="B503" i="8"/>
  <c r="D502" i="8"/>
  <c r="F502" i="8" s="1"/>
  <c r="C502" i="8"/>
  <c r="B502" i="8"/>
  <c r="D501" i="8"/>
  <c r="F501" i="8" s="1"/>
  <c r="C501" i="8"/>
  <c r="B501" i="8"/>
  <c r="D500" i="8"/>
  <c r="F500" i="8" s="1"/>
  <c r="C500" i="8"/>
  <c r="B500" i="8"/>
  <c r="D499" i="8"/>
  <c r="F499" i="8" s="1"/>
  <c r="C499" i="8"/>
  <c r="B499" i="8"/>
  <c r="D498" i="8"/>
  <c r="F498" i="8" s="1"/>
  <c r="C498" i="8"/>
  <c r="B498" i="8"/>
  <c r="D497" i="8"/>
  <c r="F497" i="8" s="1"/>
  <c r="C497" i="8"/>
  <c r="B497" i="8"/>
  <c r="D496" i="8"/>
  <c r="F496" i="8" s="1"/>
  <c r="C496" i="8"/>
  <c r="B496" i="8"/>
  <c r="D495" i="8"/>
  <c r="F495" i="8" s="1"/>
  <c r="C495" i="8"/>
  <c r="B495" i="8"/>
  <c r="D494" i="8"/>
  <c r="F494" i="8" s="1"/>
  <c r="C494" i="8"/>
  <c r="B494" i="8"/>
  <c r="D493" i="8"/>
  <c r="F493" i="8" s="1"/>
  <c r="C493" i="8"/>
  <c r="B493" i="8"/>
  <c r="D492" i="8"/>
  <c r="F492" i="8" s="1"/>
  <c r="C492" i="8"/>
  <c r="B492" i="8"/>
  <c r="D491" i="8"/>
  <c r="F491" i="8" s="1"/>
  <c r="C491" i="8"/>
  <c r="B491" i="8"/>
  <c r="D490" i="8"/>
  <c r="F490" i="8" s="1"/>
  <c r="C490" i="8"/>
  <c r="B490" i="8"/>
  <c r="D489" i="8"/>
  <c r="F489" i="8" s="1"/>
  <c r="C489" i="8"/>
  <c r="B489" i="8"/>
  <c r="D488" i="8"/>
  <c r="F488" i="8" s="1"/>
  <c r="C488" i="8"/>
  <c r="B488" i="8"/>
  <c r="D487" i="8"/>
  <c r="F487" i="8" s="1"/>
  <c r="C487" i="8"/>
  <c r="B487" i="8"/>
  <c r="D486" i="8"/>
  <c r="F486" i="8" s="1"/>
  <c r="C486" i="8"/>
  <c r="B486" i="8"/>
  <c r="D485" i="8"/>
  <c r="F485" i="8" s="1"/>
  <c r="C485" i="8"/>
  <c r="B485" i="8"/>
  <c r="D484" i="8"/>
  <c r="F484" i="8" s="1"/>
  <c r="C484" i="8"/>
  <c r="B484" i="8"/>
  <c r="D483" i="8"/>
  <c r="F483" i="8" s="1"/>
  <c r="K344" i="5" s="1"/>
  <c r="J344" i="5" s="1"/>
  <c r="C483" i="8"/>
  <c r="B483" i="8"/>
  <c r="D482" i="8"/>
  <c r="F482" i="8" s="1"/>
  <c r="C482" i="8"/>
  <c r="B482" i="8"/>
  <c r="D481" i="8"/>
  <c r="F481" i="8" s="1"/>
  <c r="C481" i="8"/>
  <c r="B481" i="8"/>
  <c r="D480" i="8"/>
  <c r="F480" i="8" s="1"/>
  <c r="C480" i="8"/>
  <c r="B480" i="8"/>
  <c r="D479" i="8"/>
  <c r="F479" i="8" s="1"/>
  <c r="K176" i="5" s="1"/>
  <c r="J176" i="5" s="1"/>
  <c r="C479" i="8"/>
  <c r="B479" i="8"/>
  <c r="D478" i="8"/>
  <c r="F478" i="8" s="1"/>
  <c r="C478" i="8"/>
  <c r="B478" i="8"/>
  <c r="D477" i="8"/>
  <c r="F477" i="8" s="1"/>
  <c r="C477" i="8"/>
  <c r="B477" i="8"/>
  <c r="D476" i="8"/>
  <c r="F476" i="8" s="1"/>
  <c r="C476" i="8"/>
  <c r="B476" i="8"/>
  <c r="D475" i="8"/>
  <c r="F475" i="8" s="1"/>
  <c r="C475" i="8"/>
  <c r="B475" i="8"/>
  <c r="D474" i="8"/>
  <c r="F474" i="8" s="1"/>
  <c r="C474" i="8"/>
  <c r="B474" i="8"/>
  <c r="D473" i="8"/>
  <c r="F473" i="8" s="1"/>
  <c r="C473" i="8"/>
  <c r="B473" i="8"/>
  <c r="D472" i="8"/>
  <c r="F472" i="8" s="1"/>
  <c r="C472" i="8"/>
  <c r="B472" i="8"/>
  <c r="F471" i="8"/>
  <c r="D471" i="8"/>
  <c r="C471" i="8"/>
  <c r="B471" i="8"/>
  <c r="D470" i="8"/>
  <c r="F470" i="8" s="1"/>
  <c r="C470" i="8"/>
  <c r="B470" i="8"/>
  <c r="D469" i="8"/>
  <c r="F469" i="8" s="1"/>
  <c r="C469" i="8"/>
  <c r="B469" i="8"/>
  <c r="D468" i="8"/>
  <c r="F468" i="8" s="1"/>
  <c r="C468" i="8"/>
  <c r="B468" i="8"/>
  <c r="D467" i="8"/>
  <c r="F467" i="8" s="1"/>
  <c r="C467" i="8"/>
  <c r="B467" i="8"/>
  <c r="D466" i="8"/>
  <c r="F466" i="8" s="1"/>
  <c r="C466" i="8"/>
  <c r="B466" i="8"/>
  <c r="D465" i="8"/>
  <c r="F465" i="8" s="1"/>
  <c r="C465" i="8"/>
  <c r="B465" i="8"/>
  <c r="D464" i="8"/>
  <c r="F464" i="8" s="1"/>
  <c r="C464" i="8"/>
  <c r="B464" i="8"/>
  <c r="F463" i="8"/>
  <c r="D463" i="8"/>
  <c r="C463" i="8"/>
  <c r="B463" i="8"/>
  <c r="D462" i="8"/>
  <c r="F462" i="8" s="1"/>
  <c r="C462" i="8"/>
  <c r="B462" i="8"/>
  <c r="D461" i="8"/>
  <c r="F461" i="8" s="1"/>
  <c r="C461" i="8"/>
  <c r="B461" i="8"/>
  <c r="D460" i="8"/>
  <c r="F460" i="8" s="1"/>
  <c r="K324" i="5" s="1"/>
  <c r="J324" i="5" s="1"/>
  <c r="C460" i="8"/>
  <c r="B460" i="8"/>
  <c r="D459" i="8"/>
  <c r="F459" i="8" s="1"/>
  <c r="C459" i="8"/>
  <c r="B459" i="8"/>
  <c r="D458" i="8"/>
  <c r="F458" i="8" s="1"/>
  <c r="C458" i="8"/>
  <c r="B458" i="8"/>
  <c r="D457" i="8"/>
  <c r="F457" i="8" s="1"/>
  <c r="C457" i="8"/>
  <c r="B457" i="8"/>
  <c r="D456" i="8"/>
  <c r="F456" i="8" s="1"/>
  <c r="C456" i="8"/>
  <c r="B456" i="8"/>
  <c r="D455" i="8"/>
  <c r="F455" i="8" s="1"/>
  <c r="C455" i="8"/>
  <c r="B455" i="8"/>
  <c r="D454" i="8"/>
  <c r="F454" i="8" s="1"/>
  <c r="C454" i="8"/>
  <c r="B454" i="8"/>
  <c r="D453" i="8"/>
  <c r="F453" i="8" s="1"/>
  <c r="C453" i="8"/>
  <c r="B453" i="8"/>
  <c r="D452" i="8"/>
  <c r="F452" i="8" s="1"/>
  <c r="C452" i="8"/>
  <c r="B452" i="8"/>
  <c r="F451" i="8"/>
  <c r="D451" i="8"/>
  <c r="C451" i="8"/>
  <c r="B451" i="8"/>
  <c r="D450" i="8"/>
  <c r="F450" i="8" s="1"/>
  <c r="C450" i="8"/>
  <c r="B450" i="8"/>
  <c r="D449" i="8"/>
  <c r="F449" i="8" s="1"/>
  <c r="C449" i="8"/>
  <c r="B449" i="8"/>
  <c r="D448" i="8"/>
  <c r="F448" i="8" s="1"/>
  <c r="C448" i="8"/>
  <c r="B448" i="8"/>
  <c r="D447" i="8"/>
  <c r="F447" i="8" s="1"/>
  <c r="C447" i="8"/>
  <c r="B447" i="8"/>
  <c r="D446" i="8"/>
  <c r="F446" i="8" s="1"/>
  <c r="C446" i="8"/>
  <c r="B446" i="8"/>
  <c r="D445" i="8"/>
  <c r="F445" i="8" s="1"/>
  <c r="C445" i="8"/>
  <c r="B445" i="8"/>
  <c r="D444" i="8"/>
  <c r="F444" i="8" s="1"/>
  <c r="C444" i="8"/>
  <c r="B444" i="8"/>
  <c r="D443" i="8"/>
  <c r="F443" i="8" s="1"/>
  <c r="C443" i="8"/>
  <c r="B443" i="8"/>
  <c r="D442" i="8"/>
  <c r="F442" i="8" s="1"/>
  <c r="C442" i="8"/>
  <c r="B442" i="8"/>
  <c r="D441" i="8"/>
  <c r="F441" i="8" s="1"/>
  <c r="C441" i="8"/>
  <c r="B441" i="8"/>
  <c r="D440" i="8"/>
  <c r="F440" i="8" s="1"/>
  <c r="C440" i="8"/>
  <c r="B440" i="8"/>
  <c r="D439" i="8"/>
  <c r="F439" i="8" s="1"/>
  <c r="C439" i="8"/>
  <c r="B439" i="8"/>
  <c r="D438" i="8"/>
  <c r="F438" i="8" s="1"/>
  <c r="C438" i="8"/>
  <c r="B438" i="8"/>
  <c r="D437" i="8"/>
  <c r="F437" i="8" s="1"/>
  <c r="C437" i="8"/>
  <c r="B437" i="8"/>
  <c r="D436" i="8"/>
  <c r="F436" i="8" s="1"/>
  <c r="C436" i="8"/>
  <c r="B436" i="8"/>
  <c r="D435" i="8"/>
  <c r="F435" i="8" s="1"/>
  <c r="C435" i="8"/>
  <c r="B435" i="8"/>
  <c r="D434" i="8"/>
  <c r="F434" i="8" s="1"/>
  <c r="C434" i="8"/>
  <c r="B434" i="8"/>
  <c r="D433" i="8"/>
  <c r="F433" i="8" s="1"/>
  <c r="C433" i="8"/>
  <c r="B433" i="8"/>
  <c r="D432" i="8"/>
  <c r="F432" i="8" s="1"/>
  <c r="C432" i="8"/>
  <c r="B432" i="8"/>
  <c r="D431" i="8"/>
  <c r="F431" i="8" s="1"/>
  <c r="C431" i="8"/>
  <c r="B431" i="8"/>
  <c r="D430" i="8"/>
  <c r="F430" i="8" s="1"/>
  <c r="C430" i="8"/>
  <c r="B430" i="8"/>
  <c r="D429" i="8"/>
  <c r="F429" i="8" s="1"/>
  <c r="C429" i="8"/>
  <c r="B429" i="8"/>
  <c r="D428" i="8"/>
  <c r="F428" i="8" s="1"/>
  <c r="C428" i="8"/>
  <c r="B428" i="8"/>
  <c r="D427" i="8"/>
  <c r="F427" i="8" s="1"/>
  <c r="C427" i="8"/>
  <c r="B427" i="8"/>
  <c r="D426" i="8"/>
  <c r="F426" i="8" s="1"/>
  <c r="C426" i="8"/>
  <c r="B426" i="8"/>
  <c r="D425" i="8"/>
  <c r="F425" i="8" s="1"/>
  <c r="C425" i="8"/>
  <c r="B425" i="8"/>
  <c r="D424" i="8"/>
  <c r="F424" i="8" s="1"/>
  <c r="C424" i="8"/>
  <c r="B424" i="8"/>
  <c r="D423" i="8"/>
  <c r="F423" i="8" s="1"/>
  <c r="C423" i="8"/>
  <c r="B423" i="8"/>
  <c r="D422" i="8"/>
  <c r="F422" i="8" s="1"/>
  <c r="C422" i="8"/>
  <c r="B422" i="8"/>
  <c r="D421" i="8"/>
  <c r="F421" i="8" s="1"/>
  <c r="C421" i="8"/>
  <c r="B421" i="8"/>
  <c r="D420" i="8"/>
  <c r="F420" i="8" s="1"/>
  <c r="C420" i="8"/>
  <c r="B420" i="8"/>
  <c r="D419" i="8"/>
  <c r="F419" i="8" s="1"/>
  <c r="K224" i="5" s="1"/>
  <c r="J224" i="5" s="1"/>
  <c r="C419" i="8"/>
  <c r="B419" i="8"/>
  <c r="D418" i="8"/>
  <c r="F418" i="8" s="1"/>
  <c r="C418" i="8"/>
  <c r="B418" i="8"/>
  <c r="D417" i="8"/>
  <c r="F417" i="8" s="1"/>
  <c r="C417" i="8"/>
  <c r="B417" i="8"/>
  <c r="D416" i="8"/>
  <c r="F416" i="8" s="1"/>
  <c r="C416" i="8"/>
  <c r="B416" i="8"/>
  <c r="D415" i="8"/>
  <c r="F415" i="8" s="1"/>
  <c r="C415" i="8"/>
  <c r="B415" i="8"/>
  <c r="D414" i="8"/>
  <c r="F414" i="8" s="1"/>
  <c r="C414" i="8"/>
  <c r="B414" i="8"/>
  <c r="F413" i="8"/>
  <c r="D413" i="8"/>
  <c r="C413" i="8"/>
  <c r="B413" i="8"/>
  <c r="D412" i="8"/>
  <c r="F412" i="8" s="1"/>
  <c r="C412" i="8"/>
  <c r="B412" i="8"/>
  <c r="D411" i="8"/>
  <c r="F411" i="8" s="1"/>
  <c r="C411" i="8"/>
  <c r="B411" i="8"/>
  <c r="D410" i="8"/>
  <c r="F410" i="8" s="1"/>
  <c r="C410" i="8"/>
  <c r="B410" i="8"/>
  <c r="D409" i="8"/>
  <c r="F409" i="8" s="1"/>
  <c r="C409" i="8"/>
  <c r="B409" i="8"/>
  <c r="F408" i="8"/>
  <c r="D408" i="8"/>
  <c r="C408" i="8"/>
  <c r="B408" i="8"/>
  <c r="D407" i="8"/>
  <c r="F407" i="8" s="1"/>
  <c r="C407" i="8"/>
  <c r="B407" i="8"/>
  <c r="D406" i="8"/>
  <c r="F406" i="8" s="1"/>
  <c r="C406" i="8"/>
  <c r="B406" i="8"/>
  <c r="D405" i="8"/>
  <c r="F405" i="8" s="1"/>
  <c r="C405" i="8"/>
  <c r="B405" i="8"/>
  <c r="C404" i="8"/>
  <c r="B404" i="8"/>
  <c r="F403" i="8"/>
  <c r="D403" i="8"/>
  <c r="C403" i="8"/>
  <c r="B403" i="8"/>
  <c r="D402" i="8"/>
  <c r="F402" i="8" s="1"/>
  <c r="C402" i="8"/>
  <c r="B402" i="8"/>
  <c r="D401" i="8"/>
  <c r="F401" i="8" s="1"/>
  <c r="C401" i="8"/>
  <c r="B401" i="8"/>
  <c r="D400" i="8"/>
  <c r="F400" i="8" s="1"/>
  <c r="C400" i="8"/>
  <c r="B400" i="8"/>
  <c r="D399" i="8"/>
  <c r="F399" i="8" s="1"/>
  <c r="C399" i="8"/>
  <c r="B399" i="8"/>
  <c r="F398" i="8"/>
  <c r="D398" i="8"/>
  <c r="C398" i="8"/>
  <c r="B398" i="8"/>
  <c r="D397" i="8"/>
  <c r="F397" i="8" s="1"/>
  <c r="C397" i="8"/>
  <c r="B397" i="8"/>
  <c r="D396" i="8"/>
  <c r="F396" i="8" s="1"/>
  <c r="C396" i="8"/>
  <c r="B396" i="8"/>
  <c r="D395" i="8"/>
  <c r="F395" i="8" s="1"/>
  <c r="C395" i="8"/>
  <c r="B395" i="8"/>
  <c r="D394" i="8"/>
  <c r="F394" i="8" s="1"/>
  <c r="C394" i="8"/>
  <c r="B394" i="8"/>
  <c r="D393" i="8"/>
  <c r="F393" i="8" s="1"/>
  <c r="C393" i="8"/>
  <c r="B393" i="8"/>
  <c r="D392" i="8"/>
  <c r="F392" i="8" s="1"/>
  <c r="C392" i="8"/>
  <c r="B392" i="8"/>
  <c r="D391" i="8"/>
  <c r="F391" i="8" s="1"/>
  <c r="C391" i="8"/>
  <c r="B391" i="8"/>
  <c r="D390" i="8"/>
  <c r="F390" i="8" s="1"/>
  <c r="K222" i="5" s="1"/>
  <c r="J222" i="5" s="1"/>
  <c r="C390" i="8"/>
  <c r="B390" i="8"/>
  <c r="D389" i="8"/>
  <c r="F389" i="8" s="1"/>
  <c r="C389" i="8"/>
  <c r="B389" i="8"/>
  <c r="D388" i="8"/>
  <c r="F388" i="8" s="1"/>
  <c r="C388" i="8"/>
  <c r="B388" i="8"/>
  <c r="D387" i="8"/>
  <c r="F387" i="8" s="1"/>
  <c r="C387" i="8"/>
  <c r="B387" i="8"/>
  <c r="D386" i="8"/>
  <c r="F386" i="8" s="1"/>
  <c r="C386" i="8"/>
  <c r="B386" i="8"/>
  <c r="D385" i="8"/>
  <c r="F385" i="8" s="1"/>
  <c r="C385" i="8"/>
  <c r="B385" i="8"/>
  <c r="D384" i="8"/>
  <c r="F384" i="8" s="1"/>
  <c r="C384" i="8"/>
  <c r="B384" i="8"/>
  <c r="D383" i="8"/>
  <c r="F383" i="8" s="1"/>
  <c r="C383" i="8"/>
  <c r="B383" i="8"/>
  <c r="D382" i="8"/>
  <c r="F382" i="8" s="1"/>
  <c r="C382" i="8"/>
  <c r="B382" i="8"/>
  <c r="D381" i="8"/>
  <c r="F381" i="8" s="1"/>
  <c r="C381" i="8"/>
  <c r="B381" i="8"/>
  <c r="F380" i="8"/>
  <c r="D380" i="8"/>
  <c r="C380" i="8"/>
  <c r="B380" i="8"/>
  <c r="D379" i="8"/>
  <c r="F379" i="8" s="1"/>
  <c r="K267" i="5" s="1"/>
  <c r="J267" i="5" s="1"/>
  <c r="C379" i="8"/>
  <c r="B379" i="8"/>
  <c r="F378" i="8"/>
  <c r="D378" i="8"/>
  <c r="C378" i="8"/>
  <c r="B378" i="8"/>
  <c r="D377" i="8"/>
  <c r="F377" i="8" s="1"/>
  <c r="C377" i="8"/>
  <c r="B377" i="8"/>
  <c r="D376" i="8"/>
  <c r="F376" i="8" s="1"/>
  <c r="C376" i="8"/>
  <c r="B376" i="8"/>
  <c r="D375" i="8"/>
  <c r="F375" i="8" s="1"/>
  <c r="C375" i="8"/>
  <c r="B375" i="8"/>
  <c r="D374" i="8"/>
  <c r="F374" i="8" s="1"/>
  <c r="C374" i="8"/>
  <c r="B374" i="8"/>
  <c r="D373" i="8"/>
  <c r="F373" i="8" s="1"/>
  <c r="C373" i="8"/>
  <c r="B373" i="8"/>
  <c r="D372" i="8"/>
  <c r="F372" i="8" s="1"/>
  <c r="C372" i="8"/>
  <c r="B372" i="8"/>
  <c r="D371" i="8"/>
  <c r="F371" i="8" s="1"/>
  <c r="C371" i="8"/>
  <c r="B371" i="8"/>
  <c r="D370" i="8"/>
  <c r="F370" i="8" s="1"/>
  <c r="C370" i="8"/>
  <c r="B370" i="8"/>
  <c r="D369" i="8"/>
  <c r="F369" i="8" s="1"/>
  <c r="C369" i="8"/>
  <c r="B369" i="8"/>
  <c r="D368" i="8"/>
  <c r="F368" i="8" s="1"/>
  <c r="C368" i="8"/>
  <c r="B368" i="8"/>
  <c r="D367" i="8"/>
  <c r="F367" i="8" s="1"/>
  <c r="C367" i="8"/>
  <c r="B367" i="8"/>
  <c r="D366" i="8"/>
  <c r="F366" i="8" s="1"/>
  <c r="C366" i="8"/>
  <c r="B366" i="8"/>
  <c r="D365" i="8"/>
  <c r="F365" i="8" s="1"/>
  <c r="C365" i="8"/>
  <c r="B365" i="8"/>
  <c r="D364" i="8"/>
  <c r="F364" i="8" s="1"/>
  <c r="C364" i="8"/>
  <c r="B364" i="8"/>
  <c r="D363" i="8"/>
  <c r="F363" i="8" s="1"/>
  <c r="C363" i="8"/>
  <c r="B363" i="8"/>
  <c r="D362" i="8"/>
  <c r="F362" i="8" s="1"/>
  <c r="C362" i="8"/>
  <c r="B362" i="8"/>
  <c r="D361" i="8"/>
  <c r="F361" i="8" s="1"/>
  <c r="C361" i="8"/>
  <c r="B361" i="8"/>
  <c r="D360" i="8"/>
  <c r="F360" i="8" s="1"/>
  <c r="C360" i="8"/>
  <c r="B360" i="8"/>
  <c r="D359" i="8"/>
  <c r="F359" i="8" s="1"/>
  <c r="C359" i="8"/>
  <c r="B359" i="8"/>
  <c r="D358" i="8"/>
  <c r="F358" i="8" s="1"/>
  <c r="C358" i="8"/>
  <c r="B358" i="8"/>
  <c r="D357" i="8"/>
  <c r="F357" i="8" s="1"/>
  <c r="C357" i="8"/>
  <c r="B357" i="8"/>
  <c r="D356" i="8"/>
  <c r="F356" i="8" s="1"/>
  <c r="C356" i="8"/>
  <c r="B356" i="8"/>
  <c r="D355" i="8"/>
  <c r="F355" i="8" s="1"/>
  <c r="C355" i="8"/>
  <c r="B355" i="8"/>
  <c r="D354" i="8"/>
  <c r="F354" i="8" s="1"/>
  <c r="C354" i="8"/>
  <c r="B354" i="8"/>
  <c r="D353" i="8"/>
  <c r="F353" i="8" s="1"/>
  <c r="C353" i="8"/>
  <c r="B353" i="8"/>
  <c r="D352" i="8"/>
  <c r="F352" i="8" s="1"/>
  <c r="C352" i="8"/>
  <c r="B352" i="8"/>
  <c r="D351" i="8"/>
  <c r="F351" i="8" s="1"/>
  <c r="C351" i="8"/>
  <c r="B351" i="8"/>
  <c r="D350" i="8"/>
  <c r="F350" i="8" s="1"/>
  <c r="C350" i="8"/>
  <c r="B350" i="8"/>
  <c r="D349" i="8"/>
  <c r="F349" i="8" s="1"/>
  <c r="C349" i="8"/>
  <c r="B349" i="8"/>
  <c r="D348" i="8"/>
  <c r="F348" i="8" s="1"/>
  <c r="C348" i="8"/>
  <c r="B348" i="8"/>
  <c r="F347" i="8"/>
  <c r="D347" i="8"/>
  <c r="C347" i="8"/>
  <c r="B347" i="8"/>
  <c r="D346" i="8"/>
  <c r="F346" i="8" s="1"/>
  <c r="C346" i="8"/>
  <c r="B346" i="8"/>
  <c r="D345" i="8"/>
  <c r="F345" i="8" s="1"/>
  <c r="C345" i="8"/>
  <c r="B345" i="8"/>
  <c r="D344" i="8"/>
  <c r="F344" i="8" s="1"/>
  <c r="C344" i="8"/>
  <c r="B344" i="8"/>
  <c r="D343" i="8"/>
  <c r="F343" i="8" s="1"/>
  <c r="C343" i="8"/>
  <c r="B343" i="8"/>
  <c r="D342" i="8"/>
  <c r="F342" i="8" s="1"/>
  <c r="C342" i="8"/>
  <c r="B342" i="8"/>
  <c r="D341" i="8"/>
  <c r="F341" i="8" s="1"/>
  <c r="C341" i="8"/>
  <c r="B341" i="8"/>
  <c r="D340" i="8"/>
  <c r="F340" i="8" s="1"/>
  <c r="C340" i="8"/>
  <c r="B340" i="8"/>
  <c r="D339" i="8"/>
  <c r="F339" i="8" s="1"/>
  <c r="C339" i="8"/>
  <c r="B339" i="8"/>
  <c r="D338" i="8"/>
  <c r="F338" i="8" s="1"/>
  <c r="C338" i="8"/>
  <c r="B338" i="8"/>
  <c r="F337" i="8"/>
  <c r="D337" i="8"/>
  <c r="C337" i="8"/>
  <c r="B337" i="8"/>
  <c r="D336" i="8"/>
  <c r="F336" i="8" s="1"/>
  <c r="C336" i="8"/>
  <c r="B336" i="8"/>
  <c r="D335" i="8"/>
  <c r="F335" i="8" s="1"/>
  <c r="C335" i="8"/>
  <c r="B335" i="8"/>
  <c r="D334" i="8"/>
  <c r="F334" i="8" s="1"/>
  <c r="C334" i="8"/>
  <c r="B334" i="8"/>
  <c r="D333" i="8"/>
  <c r="F333" i="8" s="1"/>
  <c r="C333" i="8"/>
  <c r="B333" i="8"/>
  <c r="D332" i="8"/>
  <c r="F332" i="8" s="1"/>
  <c r="C332" i="8"/>
  <c r="B332" i="8"/>
  <c r="D331" i="8"/>
  <c r="F331" i="8" s="1"/>
  <c r="C331" i="8"/>
  <c r="B331" i="8"/>
  <c r="D330" i="8"/>
  <c r="F330" i="8" s="1"/>
  <c r="C330" i="8"/>
  <c r="B330" i="8"/>
  <c r="D329" i="8"/>
  <c r="F329" i="8" s="1"/>
  <c r="C329" i="8"/>
  <c r="B329" i="8"/>
  <c r="D328" i="8"/>
  <c r="F328" i="8" s="1"/>
  <c r="C328" i="8"/>
  <c r="B328" i="8"/>
  <c r="D327" i="8"/>
  <c r="F327" i="8" s="1"/>
  <c r="C327" i="8"/>
  <c r="B327" i="8"/>
  <c r="D326" i="8"/>
  <c r="F326" i="8" s="1"/>
  <c r="C326" i="8"/>
  <c r="B326" i="8"/>
  <c r="D325" i="8"/>
  <c r="F325" i="8" s="1"/>
  <c r="C325" i="8"/>
  <c r="B325" i="8"/>
  <c r="D324" i="8"/>
  <c r="F324" i="8" s="1"/>
  <c r="C324" i="8"/>
  <c r="B324" i="8"/>
  <c r="D323" i="8"/>
  <c r="F323" i="8" s="1"/>
  <c r="C323" i="8"/>
  <c r="B323" i="8"/>
  <c r="D322" i="8"/>
  <c r="F322" i="8" s="1"/>
  <c r="C322" i="8"/>
  <c r="B322" i="8"/>
  <c r="D321" i="8"/>
  <c r="F321" i="8" s="1"/>
  <c r="C321" i="8"/>
  <c r="B321" i="8"/>
  <c r="D320" i="8"/>
  <c r="F320" i="8" s="1"/>
  <c r="C320" i="8"/>
  <c r="B320" i="8"/>
  <c r="D319" i="8"/>
  <c r="F319" i="8" s="1"/>
  <c r="C319" i="8"/>
  <c r="B319" i="8"/>
  <c r="D318" i="8"/>
  <c r="F318" i="8" s="1"/>
  <c r="C318" i="8"/>
  <c r="B318" i="8"/>
  <c r="D317" i="8"/>
  <c r="F317" i="8" s="1"/>
  <c r="C317" i="8"/>
  <c r="B317" i="8"/>
  <c r="D316" i="8"/>
  <c r="F316" i="8" s="1"/>
  <c r="C316" i="8"/>
  <c r="B316" i="8"/>
  <c r="D315" i="8"/>
  <c r="F315" i="8" s="1"/>
  <c r="C315" i="8"/>
  <c r="B315" i="8"/>
  <c r="D314" i="8"/>
  <c r="F314" i="8" s="1"/>
  <c r="C314" i="8"/>
  <c r="B314" i="8"/>
  <c r="D313" i="8"/>
  <c r="F313" i="8" s="1"/>
  <c r="C313" i="8"/>
  <c r="B313" i="8"/>
  <c r="C312" i="8"/>
  <c r="B312" i="8"/>
  <c r="D311" i="8"/>
  <c r="F311" i="8" s="1"/>
  <c r="C311" i="8"/>
  <c r="B311" i="8"/>
  <c r="D310" i="8"/>
  <c r="F310" i="8" s="1"/>
  <c r="C310" i="8"/>
  <c r="B310" i="8"/>
  <c r="D309" i="8"/>
  <c r="F309" i="8" s="1"/>
  <c r="C309" i="8"/>
  <c r="B309" i="8"/>
  <c r="D308" i="8"/>
  <c r="F308" i="8" s="1"/>
  <c r="C308" i="8"/>
  <c r="B308" i="8"/>
  <c r="D307" i="8"/>
  <c r="F307" i="8" s="1"/>
  <c r="C307" i="8"/>
  <c r="B307" i="8"/>
  <c r="D306" i="8"/>
  <c r="F306" i="8" s="1"/>
  <c r="C306" i="8"/>
  <c r="B306" i="8"/>
  <c r="D305" i="8"/>
  <c r="F305" i="8" s="1"/>
  <c r="C305" i="8"/>
  <c r="B305" i="8"/>
  <c r="D304" i="8"/>
  <c r="F304" i="8" s="1"/>
  <c r="C304" i="8"/>
  <c r="B304" i="8"/>
  <c r="D303" i="8"/>
  <c r="F303" i="8" s="1"/>
  <c r="C303" i="8"/>
  <c r="B303" i="8"/>
  <c r="D302" i="8"/>
  <c r="F302" i="8" s="1"/>
  <c r="C302" i="8"/>
  <c r="B302" i="8"/>
  <c r="D301" i="8"/>
  <c r="F301" i="8" s="1"/>
  <c r="C301" i="8"/>
  <c r="B301" i="8"/>
  <c r="D300" i="8"/>
  <c r="F300" i="8" s="1"/>
  <c r="C300" i="8"/>
  <c r="B300" i="8"/>
  <c r="D299" i="8"/>
  <c r="F299" i="8" s="1"/>
  <c r="C299" i="8"/>
  <c r="B299" i="8"/>
  <c r="D298" i="8"/>
  <c r="F298" i="8" s="1"/>
  <c r="C298" i="8"/>
  <c r="B298" i="8"/>
  <c r="D297" i="8"/>
  <c r="F297" i="8" s="1"/>
  <c r="C297" i="8"/>
  <c r="B297" i="8"/>
  <c r="D296" i="8"/>
  <c r="F296" i="8" s="1"/>
  <c r="C296" i="8"/>
  <c r="B296" i="8"/>
  <c r="D295" i="8"/>
  <c r="F295" i="8" s="1"/>
  <c r="C295" i="8"/>
  <c r="B295" i="8"/>
  <c r="D294" i="8"/>
  <c r="F294" i="8" s="1"/>
  <c r="C294" i="8"/>
  <c r="B294" i="8"/>
  <c r="D293" i="8"/>
  <c r="F293" i="8" s="1"/>
  <c r="C293" i="8"/>
  <c r="B293" i="8"/>
  <c r="D292" i="8"/>
  <c r="F292" i="8" s="1"/>
  <c r="C292" i="8"/>
  <c r="B292" i="8"/>
  <c r="D291" i="8"/>
  <c r="F291" i="8" s="1"/>
  <c r="C291" i="8"/>
  <c r="B291" i="8"/>
  <c r="D290" i="8"/>
  <c r="F290" i="8" s="1"/>
  <c r="C290" i="8"/>
  <c r="B290" i="8"/>
  <c r="D289" i="8"/>
  <c r="F289" i="8" s="1"/>
  <c r="C289" i="8"/>
  <c r="B289" i="8"/>
  <c r="D288" i="8"/>
  <c r="F288" i="8" s="1"/>
  <c r="C288" i="8"/>
  <c r="B288" i="8"/>
  <c r="D287" i="8"/>
  <c r="F287" i="8" s="1"/>
  <c r="C287" i="8"/>
  <c r="B287" i="8"/>
  <c r="D286" i="8"/>
  <c r="F286" i="8" s="1"/>
  <c r="C286" i="8"/>
  <c r="B286" i="8"/>
  <c r="D285" i="8"/>
  <c r="F285" i="8" s="1"/>
  <c r="C285" i="8"/>
  <c r="B285" i="8"/>
  <c r="D284" i="8"/>
  <c r="F284" i="8" s="1"/>
  <c r="C284" i="8"/>
  <c r="B284" i="8"/>
  <c r="D283" i="8"/>
  <c r="F283" i="8" s="1"/>
  <c r="C283" i="8"/>
  <c r="B283" i="8"/>
  <c r="D282" i="8"/>
  <c r="F282" i="8" s="1"/>
  <c r="C282" i="8"/>
  <c r="B282" i="8"/>
  <c r="D281" i="8"/>
  <c r="F281" i="8" s="1"/>
  <c r="C281" i="8"/>
  <c r="B281" i="8"/>
  <c r="D280" i="8"/>
  <c r="F280" i="8" s="1"/>
  <c r="C280" i="8"/>
  <c r="B280" i="8"/>
  <c r="F279" i="8"/>
  <c r="D279" i="8"/>
  <c r="C279" i="8"/>
  <c r="B279" i="8"/>
  <c r="D278" i="8"/>
  <c r="F278" i="8" s="1"/>
  <c r="C278" i="8"/>
  <c r="B278" i="8"/>
  <c r="F277" i="8"/>
  <c r="D277" i="8"/>
  <c r="C277" i="8"/>
  <c r="B277" i="8"/>
  <c r="D276" i="8"/>
  <c r="F276" i="8" s="1"/>
  <c r="C276" i="8"/>
  <c r="B276" i="8"/>
  <c r="D275" i="8"/>
  <c r="F275" i="8" s="1"/>
  <c r="C275" i="8"/>
  <c r="B275" i="8"/>
  <c r="D274" i="8"/>
  <c r="F274" i="8" s="1"/>
  <c r="C274" i="8"/>
  <c r="B274" i="8"/>
  <c r="D273" i="8"/>
  <c r="F273" i="8" s="1"/>
  <c r="C273" i="8"/>
  <c r="B273" i="8"/>
  <c r="D272" i="8"/>
  <c r="F272" i="8" s="1"/>
  <c r="C272" i="8"/>
  <c r="B272" i="8"/>
  <c r="D271" i="8"/>
  <c r="F271" i="8" s="1"/>
  <c r="C271" i="8"/>
  <c r="B271" i="8"/>
  <c r="D270" i="8"/>
  <c r="F270" i="8" s="1"/>
  <c r="C270" i="8"/>
  <c r="B270" i="8"/>
  <c r="D269" i="8"/>
  <c r="F269" i="8" s="1"/>
  <c r="C269" i="8"/>
  <c r="B269" i="8"/>
  <c r="D268" i="8"/>
  <c r="F268" i="8" s="1"/>
  <c r="C268" i="8"/>
  <c r="B268" i="8"/>
  <c r="D267" i="8"/>
  <c r="F267" i="8" s="1"/>
  <c r="C267" i="8"/>
  <c r="B267" i="8"/>
  <c r="D266" i="8"/>
  <c r="F266" i="8" s="1"/>
  <c r="C266" i="8"/>
  <c r="B266" i="8"/>
  <c r="D265" i="8"/>
  <c r="F265" i="8" s="1"/>
  <c r="C265" i="8"/>
  <c r="B265" i="8"/>
  <c r="D264" i="8"/>
  <c r="F264" i="8" s="1"/>
  <c r="C264" i="8"/>
  <c r="B264" i="8"/>
  <c r="D263" i="8"/>
  <c r="F263" i="8" s="1"/>
  <c r="C263" i="8"/>
  <c r="B263" i="8"/>
  <c r="D262" i="8"/>
  <c r="F262" i="8" s="1"/>
  <c r="C262" i="8"/>
  <c r="B262" i="8"/>
  <c r="D261" i="8"/>
  <c r="F261" i="8" s="1"/>
  <c r="C261" i="8"/>
  <c r="B261" i="8"/>
  <c r="D260" i="8"/>
  <c r="F260" i="8" s="1"/>
  <c r="C260" i="8"/>
  <c r="B260" i="8"/>
  <c r="D259" i="8"/>
  <c r="F259" i="8" s="1"/>
  <c r="C259" i="8"/>
  <c r="B259" i="8"/>
  <c r="D258" i="8"/>
  <c r="F258" i="8" s="1"/>
  <c r="C258" i="8"/>
  <c r="B258" i="8"/>
  <c r="D257" i="8"/>
  <c r="F257" i="8" s="1"/>
  <c r="C257" i="8"/>
  <c r="B257" i="8"/>
  <c r="D256" i="8"/>
  <c r="F256" i="8" s="1"/>
  <c r="C256" i="8"/>
  <c r="B256" i="8"/>
  <c r="D255" i="8"/>
  <c r="F255" i="8" s="1"/>
  <c r="C255" i="8"/>
  <c r="B255" i="8"/>
  <c r="D254" i="8"/>
  <c r="F254" i="8" s="1"/>
  <c r="C254" i="8"/>
  <c r="B254" i="8"/>
  <c r="D253" i="8"/>
  <c r="F253" i="8" s="1"/>
  <c r="C253" i="8"/>
  <c r="B253" i="8"/>
  <c r="D252" i="8"/>
  <c r="F252" i="8" s="1"/>
  <c r="C252" i="8"/>
  <c r="B252" i="8"/>
  <c r="D251" i="8"/>
  <c r="F251" i="8" s="1"/>
  <c r="C251" i="8"/>
  <c r="B251" i="8"/>
  <c r="D250" i="8"/>
  <c r="F250" i="8" s="1"/>
  <c r="C250" i="8"/>
  <c r="B250" i="8"/>
  <c r="D249" i="8"/>
  <c r="F249" i="8" s="1"/>
  <c r="C249" i="8"/>
  <c r="B249" i="8"/>
  <c r="D248" i="8"/>
  <c r="F248" i="8" s="1"/>
  <c r="C248" i="8"/>
  <c r="B248" i="8"/>
  <c r="D247" i="8"/>
  <c r="F247" i="8" s="1"/>
  <c r="C247" i="8"/>
  <c r="B247" i="8"/>
  <c r="D246" i="8"/>
  <c r="F246" i="8" s="1"/>
  <c r="C246" i="8"/>
  <c r="B246" i="8"/>
  <c r="D245" i="8"/>
  <c r="F245" i="8" s="1"/>
  <c r="C245" i="8"/>
  <c r="B245" i="8"/>
  <c r="D244" i="8"/>
  <c r="F244" i="8" s="1"/>
  <c r="C244" i="8"/>
  <c r="B244" i="8"/>
  <c r="D243" i="8"/>
  <c r="F243" i="8" s="1"/>
  <c r="C243" i="8"/>
  <c r="B243" i="8"/>
  <c r="D242" i="8"/>
  <c r="F242" i="8" s="1"/>
  <c r="C242" i="8"/>
  <c r="B242" i="8"/>
  <c r="D241" i="8"/>
  <c r="F241" i="8" s="1"/>
  <c r="C241" i="8"/>
  <c r="B241" i="8"/>
  <c r="D240" i="8"/>
  <c r="F240" i="8" s="1"/>
  <c r="C240" i="8"/>
  <c r="B240" i="8"/>
  <c r="D239" i="8"/>
  <c r="F239" i="8" s="1"/>
  <c r="C239" i="8"/>
  <c r="B239" i="8"/>
  <c r="D238" i="8"/>
  <c r="F238" i="8" s="1"/>
  <c r="C238" i="8"/>
  <c r="B238" i="8"/>
  <c r="D237" i="8"/>
  <c r="F237" i="8" s="1"/>
  <c r="C237" i="8"/>
  <c r="B237" i="8"/>
  <c r="D236" i="8"/>
  <c r="F236" i="8" s="1"/>
  <c r="C236" i="8"/>
  <c r="B236" i="8"/>
  <c r="D235" i="8"/>
  <c r="F235" i="8" s="1"/>
  <c r="C235" i="8"/>
  <c r="B235" i="8"/>
  <c r="D234" i="8"/>
  <c r="F234" i="8" s="1"/>
  <c r="C234" i="8"/>
  <c r="B234" i="8"/>
  <c r="D233" i="8"/>
  <c r="F233" i="8" s="1"/>
  <c r="C233" i="8"/>
  <c r="B233" i="8"/>
  <c r="F232" i="8"/>
  <c r="D232" i="8"/>
  <c r="C232" i="8"/>
  <c r="B232" i="8"/>
  <c r="D231" i="8"/>
  <c r="F231" i="8" s="1"/>
  <c r="C231" i="8"/>
  <c r="B231" i="8"/>
  <c r="D230" i="8"/>
  <c r="F230" i="8" s="1"/>
  <c r="C230" i="8"/>
  <c r="B230" i="8"/>
  <c r="D229" i="8"/>
  <c r="F229" i="8" s="1"/>
  <c r="C229" i="8"/>
  <c r="B229" i="8"/>
  <c r="D228" i="8"/>
  <c r="F228" i="8" s="1"/>
  <c r="C228" i="8"/>
  <c r="B228" i="8"/>
  <c r="D227" i="8"/>
  <c r="F227" i="8" s="1"/>
  <c r="C227" i="8"/>
  <c r="B227" i="8"/>
  <c r="D226" i="8"/>
  <c r="F226" i="8" s="1"/>
  <c r="C226" i="8"/>
  <c r="B226" i="8"/>
  <c r="D225" i="8"/>
  <c r="F225" i="8" s="1"/>
  <c r="C225" i="8"/>
  <c r="B225" i="8"/>
  <c r="D224" i="8"/>
  <c r="F224" i="8" s="1"/>
  <c r="C224" i="8"/>
  <c r="B224" i="8"/>
  <c r="D223" i="8"/>
  <c r="F223" i="8" s="1"/>
  <c r="C223" i="8"/>
  <c r="B223" i="8"/>
  <c r="D222" i="8"/>
  <c r="F222" i="8" s="1"/>
  <c r="C222" i="8"/>
  <c r="B222" i="8"/>
  <c r="D221" i="8"/>
  <c r="F221" i="8" s="1"/>
  <c r="C221" i="8"/>
  <c r="B221" i="8"/>
  <c r="D220" i="8"/>
  <c r="F220" i="8" s="1"/>
  <c r="C220" i="8"/>
  <c r="B220" i="8"/>
  <c r="D219" i="8"/>
  <c r="F219" i="8" s="1"/>
  <c r="C219" i="8"/>
  <c r="B219" i="8"/>
  <c r="D218" i="8"/>
  <c r="F218" i="8" s="1"/>
  <c r="C218" i="8"/>
  <c r="B218" i="8"/>
  <c r="D217" i="8"/>
  <c r="F217" i="8" s="1"/>
  <c r="C217" i="8"/>
  <c r="B217" i="8"/>
  <c r="F216" i="8"/>
  <c r="D216" i="8"/>
  <c r="C216" i="8"/>
  <c r="B216" i="8"/>
  <c r="D215" i="8"/>
  <c r="F215" i="8" s="1"/>
  <c r="C215" i="8"/>
  <c r="B215" i="8"/>
  <c r="D214" i="8"/>
  <c r="F214" i="8" s="1"/>
  <c r="C214" i="8"/>
  <c r="B214" i="8"/>
  <c r="D213" i="8"/>
  <c r="F213" i="8" s="1"/>
  <c r="C213" i="8"/>
  <c r="B213" i="8"/>
  <c r="C212" i="8"/>
  <c r="B212" i="8"/>
  <c r="F211" i="8"/>
  <c r="D211" i="8"/>
  <c r="C211" i="8"/>
  <c r="B211" i="8"/>
  <c r="D210" i="8"/>
  <c r="F210" i="8" s="1"/>
  <c r="C210" i="8"/>
  <c r="B210" i="8"/>
  <c r="D209" i="8"/>
  <c r="F209" i="8" s="1"/>
  <c r="C209" i="8"/>
  <c r="B209" i="8"/>
  <c r="D208" i="8"/>
  <c r="F208" i="8" s="1"/>
  <c r="C208" i="8"/>
  <c r="B208" i="8"/>
  <c r="F207" i="8"/>
  <c r="D207" i="8"/>
  <c r="C207" i="8"/>
  <c r="B207" i="8"/>
  <c r="D206" i="8"/>
  <c r="F206" i="8" s="1"/>
  <c r="C206" i="8"/>
  <c r="B206" i="8"/>
  <c r="D205" i="8"/>
  <c r="F205" i="8" s="1"/>
  <c r="C205" i="8"/>
  <c r="B205" i="8"/>
  <c r="D204" i="8"/>
  <c r="F204" i="8" s="1"/>
  <c r="C204" i="8"/>
  <c r="B204" i="8"/>
  <c r="D203" i="8"/>
  <c r="F203" i="8" s="1"/>
  <c r="C203" i="8"/>
  <c r="B203" i="8"/>
  <c r="D202" i="8"/>
  <c r="F202" i="8" s="1"/>
  <c r="C202" i="8"/>
  <c r="B202" i="8"/>
  <c r="D201" i="8"/>
  <c r="F201" i="8" s="1"/>
  <c r="C201" i="8"/>
  <c r="B201" i="8"/>
  <c r="F200" i="8"/>
  <c r="D200" i="8"/>
  <c r="C200" i="8"/>
  <c r="B200" i="8"/>
  <c r="D199" i="8"/>
  <c r="F199" i="8" s="1"/>
  <c r="C199" i="8"/>
  <c r="B199" i="8"/>
  <c r="D198" i="8"/>
  <c r="F198" i="8" s="1"/>
  <c r="C198" i="8"/>
  <c r="B198" i="8"/>
  <c r="D197" i="8"/>
  <c r="F197" i="8" s="1"/>
  <c r="C197" i="8"/>
  <c r="B197" i="8"/>
  <c r="F196" i="8"/>
  <c r="D196" i="8"/>
  <c r="C196" i="8"/>
  <c r="B196" i="8"/>
  <c r="D195" i="8"/>
  <c r="F195" i="8" s="1"/>
  <c r="C195" i="8"/>
  <c r="B195" i="8"/>
  <c r="D194" i="8"/>
  <c r="F194" i="8" s="1"/>
  <c r="C194" i="8"/>
  <c r="B194" i="8"/>
  <c r="D193" i="8"/>
  <c r="F193" i="8" s="1"/>
  <c r="C193" i="8"/>
  <c r="B193" i="8"/>
  <c r="D192" i="8"/>
  <c r="F192" i="8" s="1"/>
  <c r="C192" i="8"/>
  <c r="B192" i="8"/>
  <c r="D191" i="8"/>
  <c r="F191" i="8" s="1"/>
  <c r="C191" i="8"/>
  <c r="B191" i="8"/>
  <c r="D190" i="8"/>
  <c r="F190" i="8" s="1"/>
  <c r="C190" i="8"/>
  <c r="B190" i="8"/>
  <c r="D189" i="8"/>
  <c r="F189" i="8" s="1"/>
  <c r="C189" i="8"/>
  <c r="B189" i="8"/>
  <c r="D188" i="8"/>
  <c r="F188" i="8" s="1"/>
  <c r="C188" i="8"/>
  <c r="B188" i="8"/>
  <c r="D187" i="8"/>
  <c r="F187" i="8" s="1"/>
  <c r="C187" i="8"/>
  <c r="B187" i="8"/>
  <c r="D186" i="8"/>
  <c r="F186" i="8" s="1"/>
  <c r="K333" i="5" s="1"/>
  <c r="J333" i="5" s="1"/>
  <c r="C186" i="8"/>
  <c r="B186" i="8"/>
  <c r="F185" i="8"/>
  <c r="D185" i="8"/>
  <c r="C185" i="8"/>
  <c r="B185" i="8"/>
  <c r="D184" i="8"/>
  <c r="F184" i="8" s="1"/>
  <c r="C184" i="8"/>
  <c r="B184" i="8"/>
  <c r="F183" i="8"/>
  <c r="D183" i="8"/>
  <c r="C183" i="8"/>
  <c r="B183" i="8"/>
  <c r="D182" i="8"/>
  <c r="F182" i="8" s="1"/>
  <c r="C182" i="8"/>
  <c r="B182" i="8"/>
  <c r="F181" i="8"/>
  <c r="D181" i="8"/>
  <c r="C181" i="8"/>
  <c r="B181" i="8"/>
  <c r="D180" i="8"/>
  <c r="F180" i="8" s="1"/>
  <c r="K239" i="5" s="1"/>
  <c r="J239" i="5" s="1"/>
  <c r="C180" i="8"/>
  <c r="B180" i="8"/>
  <c r="D179" i="8"/>
  <c r="F179" i="8" s="1"/>
  <c r="C179" i="8"/>
  <c r="B179" i="8"/>
  <c r="D178" i="8"/>
  <c r="F178" i="8" s="1"/>
  <c r="C178" i="8"/>
  <c r="B178" i="8"/>
  <c r="D177" i="8"/>
  <c r="F177" i="8" s="1"/>
  <c r="C177" i="8"/>
  <c r="B177" i="8"/>
  <c r="D176" i="8"/>
  <c r="F176" i="8" s="1"/>
  <c r="C176" i="8"/>
  <c r="B176" i="8"/>
  <c r="D175" i="8"/>
  <c r="F175" i="8" s="1"/>
  <c r="C175" i="8"/>
  <c r="B175" i="8"/>
  <c r="D174" i="8"/>
  <c r="F174" i="8" s="1"/>
  <c r="C174" i="8"/>
  <c r="B174" i="8"/>
  <c r="D173" i="8"/>
  <c r="F173" i="8" s="1"/>
  <c r="C173" i="8"/>
  <c r="B173" i="8"/>
  <c r="D172" i="8"/>
  <c r="F172" i="8" s="1"/>
  <c r="C172" i="8"/>
  <c r="B172" i="8"/>
  <c r="D171" i="8"/>
  <c r="F171" i="8" s="1"/>
  <c r="C171" i="8"/>
  <c r="B171" i="8"/>
  <c r="D170" i="8"/>
  <c r="F170" i="8" s="1"/>
  <c r="C170" i="8"/>
  <c r="B170" i="8"/>
  <c r="D169" i="8"/>
  <c r="F169" i="8" s="1"/>
  <c r="C169" i="8"/>
  <c r="B169" i="8"/>
  <c r="D168" i="8"/>
  <c r="F168" i="8" s="1"/>
  <c r="C168" i="8"/>
  <c r="B168" i="8"/>
  <c r="D167" i="8"/>
  <c r="F167" i="8" s="1"/>
  <c r="C167" i="8"/>
  <c r="B167" i="8"/>
  <c r="D166" i="8"/>
  <c r="F166" i="8" s="1"/>
  <c r="C166" i="8"/>
  <c r="B166" i="8"/>
  <c r="D165" i="8"/>
  <c r="F165" i="8" s="1"/>
  <c r="C165" i="8"/>
  <c r="B165" i="8"/>
  <c r="D164" i="8"/>
  <c r="F164" i="8" s="1"/>
  <c r="C164" i="8"/>
  <c r="B164" i="8"/>
  <c r="D163" i="8"/>
  <c r="F163" i="8" s="1"/>
  <c r="C163" i="8"/>
  <c r="B163" i="8"/>
  <c r="D162" i="8"/>
  <c r="F162" i="8" s="1"/>
  <c r="C162" i="8"/>
  <c r="B162" i="8"/>
  <c r="D161" i="8"/>
  <c r="F161" i="8" s="1"/>
  <c r="C161" i="8"/>
  <c r="B161" i="8"/>
  <c r="D160" i="8"/>
  <c r="F160" i="8" s="1"/>
  <c r="C160" i="8"/>
  <c r="B160" i="8"/>
  <c r="D159" i="8"/>
  <c r="F159" i="8" s="1"/>
  <c r="C159" i="8"/>
  <c r="B159" i="8"/>
  <c r="D158" i="8"/>
  <c r="F158" i="8" s="1"/>
  <c r="C158" i="8"/>
  <c r="B158" i="8"/>
  <c r="F157" i="8"/>
  <c r="D157" i="8"/>
  <c r="C157" i="8"/>
  <c r="B157" i="8"/>
  <c r="D156" i="8"/>
  <c r="F156" i="8" s="1"/>
  <c r="C156" i="8"/>
  <c r="B156" i="8"/>
  <c r="D155" i="8"/>
  <c r="F155" i="8" s="1"/>
  <c r="C155" i="8"/>
  <c r="B155" i="8"/>
  <c r="F154" i="8"/>
  <c r="D154" i="8"/>
  <c r="C154" i="8"/>
  <c r="B154" i="8"/>
  <c r="D153" i="8"/>
  <c r="F153" i="8" s="1"/>
  <c r="C153" i="8"/>
  <c r="B153" i="8"/>
  <c r="F152" i="8"/>
  <c r="D152" i="8"/>
  <c r="C152" i="8"/>
  <c r="B152" i="8"/>
  <c r="D151" i="8"/>
  <c r="F151" i="8" s="1"/>
  <c r="C151" i="8"/>
  <c r="B151" i="8"/>
  <c r="D150" i="8"/>
  <c r="F150" i="8" s="1"/>
  <c r="C150" i="8"/>
  <c r="B150" i="8"/>
  <c r="D149" i="8"/>
  <c r="F149" i="8" s="1"/>
  <c r="C149" i="8"/>
  <c r="B149" i="8"/>
  <c r="D148" i="8"/>
  <c r="F148" i="8" s="1"/>
  <c r="C148" i="8"/>
  <c r="B148" i="8"/>
  <c r="D147" i="8"/>
  <c r="F147" i="8" s="1"/>
  <c r="C147" i="8"/>
  <c r="B147" i="8"/>
  <c r="D146" i="8"/>
  <c r="F146" i="8" s="1"/>
  <c r="C146" i="8"/>
  <c r="B146" i="8"/>
  <c r="D145" i="8"/>
  <c r="F145" i="8" s="1"/>
  <c r="K203" i="5" s="1"/>
  <c r="J203" i="5" s="1"/>
  <c r="C145" i="8"/>
  <c r="B145" i="8"/>
  <c r="D144" i="8"/>
  <c r="F144" i="8" s="1"/>
  <c r="C144" i="8"/>
  <c r="B144" i="8"/>
  <c r="D143" i="8"/>
  <c r="F143" i="8" s="1"/>
  <c r="C143" i="8"/>
  <c r="B143" i="8"/>
  <c r="D142" i="8"/>
  <c r="F142" i="8" s="1"/>
  <c r="C142" i="8"/>
  <c r="B142" i="8"/>
  <c r="D141" i="8"/>
  <c r="F141" i="8" s="1"/>
  <c r="K207" i="5" s="1"/>
  <c r="J207" i="5" s="1"/>
  <c r="C141" i="8"/>
  <c r="B141" i="8"/>
  <c r="D140" i="8"/>
  <c r="F140" i="8" s="1"/>
  <c r="C140" i="8"/>
  <c r="B140" i="8"/>
  <c r="D139" i="8"/>
  <c r="F139" i="8" s="1"/>
  <c r="C139" i="8"/>
  <c r="B139" i="8"/>
  <c r="D138" i="8"/>
  <c r="F138" i="8" s="1"/>
  <c r="C138" i="8"/>
  <c r="B138" i="8"/>
  <c r="F137" i="8"/>
  <c r="D137" i="8"/>
  <c r="C137" i="8"/>
  <c r="B137" i="8"/>
  <c r="D136" i="8"/>
  <c r="F136" i="8" s="1"/>
  <c r="C136" i="8"/>
  <c r="B136" i="8"/>
  <c r="D135" i="8"/>
  <c r="F135" i="8" s="1"/>
  <c r="C135" i="8"/>
  <c r="B135" i="8"/>
  <c r="D134" i="8"/>
  <c r="F134" i="8" s="1"/>
  <c r="C134" i="8"/>
  <c r="B134" i="8"/>
  <c r="F133" i="8"/>
  <c r="D133" i="8"/>
  <c r="C133" i="8"/>
  <c r="B133" i="8"/>
  <c r="D132" i="8"/>
  <c r="F132" i="8" s="1"/>
  <c r="C132" i="8"/>
  <c r="B132" i="8"/>
  <c r="D131" i="8"/>
  <c r="F131" i="8" s="1"/>
  <c r="C131" i="8"/>
  <c r="B131" i="8"/>
  <c r="D130" i="8"/>
  <c r="F130" i="8" s="1"/>
  <c r="C130" i="8"/>
  <c r="B130" i="8"/>
  <c r="D129" i="8"/>
  <c r="F129" i="8" s="1"/>
  <c r="C129" i="8"/>
  <c r="B129" i="8"/>
  <c r="D128" i="8"/>
  <c r="F128" i="8" s="1"/>
  <c r="C128" i="8"/>
  <c r="B128" i="8"/>
  <c r="D127" i="8"/>
  <c r="F127" i="8" s="1"/>
  <c r="C127" i="8"/>
  <c r="B127" i="8"/>
  <c r="D126" i="8"/>
  <c r="F126" i="8" s="1"/>
  <c r="C126" i="8"/>
  <c r="B126" i="8"/>
  <c r="D125" i="8"/>
  <c r="F125" i="8" s="1"/>
  <c r="C125" i="8"/>
  <c r="B125" i="8"/>
  <c r="D124" i="8"/>
  <c r="F124" i="8" s="1"/>
  <c r="C124" i="8"/>
  <c r="B124" i="8"/>
  <c r="D123" i="8"/>
  <c r="F123" i="8" s="1"/>
  <c r="C123" i="8"/>
  <c r="B123" i="8"/>
  <c r="D122" i="8"/>
  <c r="F122" i="8" s="1"/>
  <c r="C122" i="8"/>
  <c r="B122" i="8"/>
  <c r="D121" i="8"/>
  <c r="F121" i="8" s="1"/>
  <c r="C121" i="8"/>
  <c r="B121" i="8"/>
  <c r="D120" i="8"/>
  <c r="F120" i="8" s="1"/>
  <c r="C120" i="8"/>
  <c r="B120" i="8"/>
  <c r="D119" i="8"/>
  <c r="F119" i="8" s="1"/>
  <c r="C119" i="8"/>
  <c r="B119" i="8"/>
  <c r="D118" i="8"/>
  <c r="F118" i="8" s="1"/>
  <c r="C118" i="8"/>
  <c r="B118" i="8"/>
  <c r="D117" i="8"/>
  <c r="F117" i="8" s="1"/>
  <c r="C117" i="8"/>
  <c r="B117" i="8"/>
  <c r="D116" i="8"/>
  <c r="F116" i="8" s="1"/>
  <c r="C116" i="8"/>
  <c r="B116" i="8"/>
  <c r="D115" i="8"/>
  <c r="F115" i="8" s="1"/>
  <c r="C115" i="8"/>
  <c r="B115" i="8"/>
  <c r="D114" i="8"/>
  <c r="F114" i="8" s="1"/>
  <c r="C114" i="8"/>
  <c r="B114" i="8"/>
  <c r="D113" i="8"/>
  <c r="F113" i="8" s="1"/>
  <c r="C113" i="8"/>
  <c r="B113" i="8"/>
  <c r="D112" i="8"/>
  <c r="F112" i="8" s="1"/>
  <c r="C112" i="8"/>
  <c r="B112" i="8"/>
  <c r="D111" i="8"/>
  <c r="F111" i="8" s="1"/>
  <c r="C111" i="8"/>
  <c r="B111" i="8"/>
  <c r="D110" i="8"/>
  <c r="F110" i="8" s="1"/>
  <c r="C110" i="8"/>
  <c r="B110" i="8"/>
  <c r="D109" i="8"/>
  <c r="F109" i="8" s="1"/>
  <c r="C109" i="8"/>
  <c r="B109" i="8"/>
  <c r="D108" i="8"/>
  <c r="F108" i="8" s="1"/>
  <c r="C108" i="8"/>
  <c r="B108" i="8"/>
  <c r="D107" i="8"/>
  <c r="F107" i="8" s="1"/>
  <c r="C107" i="8"/>
  <c r="B107" i="8"/>
  <c r="D106" i="8"/>
  <c r="F106" i="8" s="1"/>
  <c r="C106" i="8"/>
  <c r="B106" i="8"/>
  <c r="D105" i="8"/>
  <c r="F105" i="8" s="1"/>
  <c r="C105" i="8"/>
  <c r="B105" i="8"/>
  <c r="D104" i="8"/>
  <c r="F104" i="8" s="1"/>
  <c r="C104" i="8"/>
  <c r="B104" i="8"/>
  <c r="D103" i="8"/>
  <c r="F103" i="8" s="1"/>
  <c r="C103" i="8"/>
  <c r="B103" i="8"/>
  <c r="D102" i="8"/>
  <c r="F102" i="8" s="1"/>
  <c r="C102" i="8"/>
  <c r="B102" i="8"/>
  <c r="D101" i="8"/>
  <c r="F101" i="8" s="1"/>
  <c r="C101" i="8"/>
  <c r="B101" i="8"/>
  <c r="D100" i="8"/>
  <c r="F100" i="8" s="1"/>
  <c r="C100" i="8"/>
  <c r="B100" i="8"/>
  <c r="D99" i="8"/>
  <c r="F99" i="8" s="1"/>
  <c r="C99" i="8"/>
  <c r="B99" i="8"/>
  <c r="D98" i="8"/>
  <c r="F98" i="8" s="1"/>
  <c r="C98" i="8"/>
  <c r="B98" i="8"/>
  <c r="D97" i="8"/>
  <c r="F97" i="8" s="1"/>
  <c r="C97" i="8"/>
  <c r="B97" i="8"/>
  <c r="D96" i="8"/>
  <c r="F96" i="8" s="1"/>
  <c r="C96" i="8"/>
  <c r="B96" i="8"/>
  <c r="D95" i="8"/>
  <c r="F95" i="8" s="1"/>
  <c r="C95" i="8"/>
  <c r="B95" i="8"/>
  <c r="D94" i="8"/>
  <c r="F94" i="8" s="1"/>
  <c r="K175" i="5" s="1"/>
  <c r="J175" i="5" s="1"/>
  <c r="C94" i="8"/>
  <c r="B94" i="8"/>
  <c r="D93" i="8"/>
  <c r="F93" i="8" s="1"/>
  <c r="K245" i="5" s="1"/>
  <c r="J245" i="5" s="1"/>
  <c r="C93" i="8"/>
  <c r="B93" i="8"/>
  <c r="D92" i="8"/>
  <c r="F92" i="8" s="1"/>
  <c r="C92" i="8"/>
  <c r="B92" i="8"/>
  <c r="D91" i="8"/>
  <c r="F91" i="8" s="1"/>
  <c r="C91" i="8"/>
  <c r="B91" i="8"/>
  <c r="D90" i="8"/>
  <c r="F90" i="8" s="1"/>
  <c r="C90" i="8"/>
  <c r="B90" i="8"/>
  <c r="D89" i="8"/>
  <c r="F89" i="8" s="1"/>
  <c r="C89" i="8"/>
  <c r="B89" i="8"/>
  <c r="D88" i="8"/>
  <c r="F88" i="8" s="1"/>
  <c r="K298" i="5" s="1"/>
  <c r="J298" i="5" s="1"/>
  <c r="C88" i="8"/>
  <c r="B88" i="8"/>
  <c r="D87" i="8"/>
  <c r="F87" i="8" s="1"/>
  <c r="C87" i="8"/>
  <c r="B87" i="8"/>
  <c r="D86" i="8"/>
  <c r="F86" i="8" s="1"/>
  <c r="C86" i="8"/>
  <c r="B86" i="8"/>
  <c r="D85" i="8"/>
  <c r="F85" i="8" s="1"/>
  <c r="C85" i="8"/>
  <c r="B85" i="8"/>
  <c r="D84" i="8"/>
  <c r="F84" i="8" s="1"/>
  <c r="C84" i="8"/>
  <c r="B84" i="8"/>
  <c r="D83" i="8"/>
  <c r="F83" i="8" s="1"/>
  <c r="C83" i="8"/>
  <c r="B83" i="8"/>
  <c r="D82" i="8"/>
  <c r="F82" i="8" s="1"/>
  <c r="C82" i="8"/>
  <c r="B82" i="8"/>
  <c r="D81" i="8"/>
  <c r="F81" i="8" s="1"/>
  <c r="C81" i="8"/>
  <c r="B81" i="8"/>
  <c r="D80" i="8"/>
  <c r="F80" i="8" s="1"/>
  <c r="K255" i="5" s="1"/>
  <c r="J255" i="5" s="1"/>
  <c r="C80" i="8"/>
  <c r="B80" i="8"/>
  <c r="D79" i="8"/>
  <c r="F79" i="8" s="1"/>
  <c r="C79" i="8"/>
  <c r="B79" i="8"/>
  <c r="D78" i="8"/>
  <c r="F78" i="8" s="1"/>
  <c r="C78" i="8"/>
  <c r="B78" i="8"/>
  <c r="D77" i="8"/>
  <c r="F77" i="8" s="1"/>
  <c r="C77" i="8"/>
  <c r="B77" i="8"/>
  <c r="D76" i="8"/>
  <c r="F76" i="8" s="1"/>
  <c r="C76" i="8"/>
  <c r="B76" i="8"/>
  <c r="D75" i="8"/>
  <c r="F75" i="8" s="1"/>
  <c r="C75" i="8"/>
  <c r="B75" i="8"/>
  <c r="D74" i="8"/>
  <c r="F74" i="8" s="1"/>
  <c r="C74" i="8"/>
  <c r="B74" i="8"/>
  <c r="D73" i="8"/>
  <c r="F73" i="8" s="1"/>
  <c r="C73" i="8"/>
  <c r="B73" i="8"/>
  <c r="D72" i="8"/>
  <c r="F72" i="8" s="1"/>
  <c r="C72" i="8"/>
  <c r="B72" i="8"/>
  <c r="D71" i="8"/>
  <c r="F71" i="8" s="1"/>
  <c r="C71" i="8"/>
  <c r="B71" i="8"/>
  <c r="D70" i="8"/>
  <c r="F70" i="8" s="1"/>
  <c r="C70" i="8"/>
  <c r="B70" i="8"/>
  <c r="D69" i="8"/>
  <c r="F69" i="8" s="1"/>
  <c r="C69" i="8"/>
  <c r="B69" i="8"/>
  <c r="D68" i="8"/>
  <c r="F68" i="8" s="1"/>
  <c r="C68" i="8"/>
  <c r="B68" i="8"/>
  <c r="D67" i="8"/>
  <c r="F67" i="8" s="1"/>
  <c r="C67" i="8"/>
  <c r="B67" i="8"/>
  <c r="D66" i="8"/>
  <c r="F66" i="8" s="1"/>
  <c r="C66" i="8"/>
  <c r="B66" i="8"/>
  <c r="D65" i="8"/>
  <c r="F65" i="8" s="1"/>
  <c r="C65" i="8"/>
  <c r="B65" i="8"/>
  <c r="D64" i="8"/>
  <c r="F64" i="8" s="1"/>
  <c r="C64" i="8"/>
  <c r="B64" i="8"/>
  <c r="H63" i="8"/>
  <c r="D63" i="8"/>
  <c r="F63" i="8" s="1"/>
  <c r="C63" i="8"/>
  <c r="B63" i="8"/>
  <c r="D62" i="8"/>
  <c r="F62" i="8" s="1"/>
  <c r="C62" i="8"/>
  <c r="B62" i="8"/>
  <c r="D61" i="8"/>
  <c r="F61" i="8" s="1"/>
  <c r="C61" i="8"/>
  <c r="B61" i="8"/>
  <c r="D60" i="8"/>
  <c r="F60" i="8" s="1"/>
  <c r="C60" i="8"/>
  <c r="B60" i="8"/>
  <c r="D59" i="8"/>
  <c r="F59" i="8" s="1"/>
  <c r="C59" i="8"/>
  <c r="B59" i="8"/>
  <c r="D58" i="8"/>
  <c r="F58" i="8" s="1"/>
  <c r="C58" i="8"/>
  <c r="B58" i="8"/>
  <c r="D57" i="8"/>
  <c r="F57" i="8" s="1"/>
  <c r="C57" i="8"/>
  <c r="B57" i="8"/>
  <c r="D56" i="8"/>
  <c r="F56" i="8" s="1"/>
  <c r="C56" i="8"/>
  <c r="B56" i="8"/>
  <c r="D55" i="8"/>
  <c r="F55" i="8" s="1"/>
  <c r="C55" i="8"/>
  <c r="B55" i="8"/>
  <c r="D54" i="8"/>
  <c r="F54" i="8" s="1"/>
  <c r="C54" i="8"/>
  <c r="B54" i="8"/>
  <c r="D53" i="8"/>
  <c r="F53" i="8" s="1"/>
  <c r="C53" i="8"/>
  <c r="B53" i="8"/>
  <c r="D52" i="8"/>
  <c r="F52" i="8" s="1"/>
  <c r="C52" i="8"/>
  <c r="B52" i="8"/>
  <c r="D51" i="8"/>
  <c r="F51" i="8" s="1"/>
  <c r="C51" i="8"/>
  <c r="B51" i="8"/>
  <c r="D50" i="8"/>
  <c r="F50" i="8" s="1"/>
  <c r="C50" i="8"/>
  <c r="B50" i="8"/>
  <c r="D49" i="8"/>
  <c r="F49" i="8" s="1"/>
  <c r="C49" i="8"/>
  <c r="B49" i="8"/>
  <c r="D48" i="8"/>
  <c r="F48" i="8" s="1"/>
  <c r="C48" i="8"/>
  <c r="B48" i="8"/>
  <c r="D47" i="8"/>
  <c r="F47" i="8" s="1"/>
  <c r="C47" i="8"/>
  <c r="B47" i="8"/>
  <c r="D46" i="8"/>
  <c r="F46" i="8" s="1"/>
  <c r="C46" i="8"/>
  <c r="B46" i="8"/>
  <c r="D45" i="8"/>
  <c r="F45" i="8" s="1"/>
  <c r="C45" i="8"/>
  <c r="B45" i="8"/>
  <c r="D44" i="8"/>
  <c r="F44" i="8" s="1"/>
  <c r="C44" i="8"/>
  <c r="B44" i="8"/>
  <c r="D43" i="8"/>
  <c r="F43" i="8" s="1"/>
  <c r="C43" i="8"/>
  <c r="B43" i="8"/>
  <c r="D42" i="8"/>
  <c r="F42" i="8" s="1"/>
  <c r="C42" i="8"/>
  <c r="B42" i="8"/>
  <c r="D41" i="8"/>
  <c r="F41" i="8" s="1"/>
  <c r="C41" i="8"/>
  <c r="B41" i="8"/>
  <c r="D40" i="8"/>
  <c r="F40" i="8" s="1"/>
  <c r="C40" i="8"/>
  <c r="B40" i="8"/>
  <c r="D39" i="8"/>
  <c r="F39" i="8" s="1"/>
  <c r="C39" i="8"/>
  <c r="B39" i="8"/>
  <c r="D38" i="8"/>
  <c r="F38" i="8" s="1"/>
  <c r="C38" i="8"/>
  <c r="B38" i="8"/>
  <c r="D37" i="8"/>
  <c r="F37" i="8" s="1"/>
  <c r="C37" i="8"/>
  <c r="B37" i="8"/>
  <c r="D36" i="8"/>
  <c r="F36" i="8" s="1"/>
  <c r="C36" i="8"/>
  <c r="B36" i="8"/>
  <c r="D35" i="8"/>
  <c r="F35" i="8" s="1"/>
  <c r="C35" i="8"/>
  <c r="B35" i="8"/>
  <c r="D34" i="8"/>
  <c r="F34" i="8" s="1"/>
  <c r="C34" i="8"/>
  <c r="B34" i="8"/>
  <c r="D33" i="8"/>
  <c r="F33" i="8" s="1"/>
  <c r="C33" i="8"/>
  <c r="B33" i="8"/>
  <c r="D32" i="8"/>
  <c r="F32" i="8" s="1"/>
  <c r="C32" i="8"/>
  <c r="B32" i="8"/>
  <c r="D31" i="8"/>
  <c r="F31" i="8" s="1"/>
  <c r="C31" i="8"/>
  <c r="B31" i="8"/>
  <c r="D30" i="8"/>
  <c r="F30" i="8" s="1"/>
  <c r="C30" i="8"/>
  <c r="B30" i="8"/>
  <c r="D29" i="8"/>
  <c r="F29" i="8" s="1"/>
  <c r="C29" i="8"/>
  <c r="B29" i="8"/>
  <c r="D28" i="8"/>
  <c r="F28" i="8" s="1"/>
  <c r="C28" i="8"/>
  <c r="B28" i="8"/>
  <c r="D27" i="8"/>
  <c r="F27" i="8" s="1"/>
  <c r="C27" i="8"/>
  <c r="B27" i="8"/>
  <c r="D26" i="8"/>
  <c r="F26" i="8" s="1"/>
  <c r="C26" i="8"/>
  <c r="B26" i="8"/>
  <c r="D25" i="8"/>
  <c r="F25" i="8" s="1"/>
  <c r="C25" i="8"/>
  <c r="B25" i="8"/>
  <c r="D24" i="8"/>
  <c r="F24" i="8" s="1"/>
  <c r="C24" i="8"/>
  <c r="B24" i="8"/>
  <c r="D23" i="8"/>
  <c r="F23" i="8" s="1"/>
  <c r="C23" i="8"/>
  <c r="B23" i="8"/>
  <c r="D22" i="8"/>
  <c r="F22" i="8" s="1"/>
  <c r="C22" i="8"/>
  <c r="B22" i="8"/>
  <c r="D21" i="8"/>
  <c r="F21" i="8" s="1"/>
  <c r="C21" i="8"/>
  <c r="B21" i="8"/>
  <c r="D20" i="8"/>
  <c r="F20" i="8" s="1"/>
  <c r="C20" i="8"/>
  <c r="B20" i="8"/>
  <c r="D19" i="8"/>
  <c r="F19" i="8" s="1"/>
  <c r="C19" i="8"/>
  <c r="B19" i="8"/>
  <c r="D18" i="8"/>
  <c r="F18" i="8" s="1"/>
  <c r="C18" i="8"/>
  <c r="B18" i="8"/>
  <c r="D17" i="8"/>
  <c r="F17" i="8" s="1"/>
  <c r="C17" i="8"/>
  <c r="B17" i="8"/>
  <c r="D16" i="8"/>
  <c r="F16" i="8" s="1"/>
  <c r="C16" i="8"/>
  <c r="B16" i="8"/>
  <c r="D15" i="8"/>
  <c r="F15" i="8" s="1"/>
  <c r="C15" i="8"/>
  <c r="B15" i="8"/>
  <c r="D14" i="8"/>
  <c r="F14" i="8" s="1"/>
  <c r="C14" i="8"/>
  <c r="B14" i="8"/>
  <c r="D13" i="8"/>
  <c r="F13" i="8" s="1"/>
  <c r="C13" i="8"/>
  <c r="B13" i="8"/>
  <c r="D12" i="8"/>
  <c r="F12" i="8" s="1"/>
  <c r="C12" i="8"/>
  <c r="B12" i="8"/>
  <c r="D11" i="8"/>
  <c r="F11" i="8" s="1"/>
  <c r="C11" i="8"/>
  <c r="B11" i="8"/>
  <c r="D10" i="8"/>
  <c r="F10" i="8" s="1"/>
  <c r="C10" i="8"/>
  <c r="B10" i="8"/>
  <c r="D9" i="8"/>
  <c r="F9" i="8" s="1"/>
  <c r="C9" i="8"/>
  <c r="B9" i="8"/>
  <c r="D8" i="8"/>
  <c r="F8" i="8" s="1"/>
  <c r="C8" i="8"/>
  <c r="B8" i="8"/>
  <c r="D7" i="8"/>
  <c r="F7" i="8" s="1"/>
  <c r="C7" i="8"/>
  <c r="B7" i="8"/>
  <c r="D6" i="8"/>
  <c r="F6" i="8" s="1"/>
  <c r="C6" i="8"/>
  <c r="B6" i="8"/>
  <c r="D5" i="8"/>
  <c r="F5" i="8" s="1"/>
  <c r="C5" i="8"/>
  <c r="B5" i="8"/>
  <c r="D4" i="8"/>
  <c r="F4" i="8" s="1"/>
  <c r="C4" i="8"/>
  <c r="B4" i="8"/>
  <c r="D3" i="8"/>
  <c r="F3" i="8" s="1"/>
  <c r="C3" i="8"/>
  <c r="B3" i="8"/>
  <c r="D5006" i="7"/>
  <c r="F5006" i="7" s="1"/>
  <c r="C5006" i="7"/>
  <c r="D5005" i="7"/>
  <c r="F5005" i="7" s="1"/>
  <c r="C5005" i="7"/>
  <c r="D5004" i="7"/>
  <c r="F5004" i="7" s="1"/>
  <c r="C5004" i="7"/>
  <c r="D5003" i="7"/>
  <c r="F5003" i="7" s="1"/>
  <c r="C5003" i="7"/>
  <c r="D5002" i="7"/>
  <c r="F5002" i="7" s="1"/>
  <c r="C5002" i="7"/>
  <c r="D5001" i="7"/>
  <c r="F5001" i="7" s="1"/>
  <c r="C5001" i="7"/>
  <c r="D5000" i="7"/>
  <c r="F5000" i="7" s="1"/>
  <c r="C5000" i="7"/>
  <c r="D4999" i="7"/>
  <c r="F4999" i="7" s="1"/>
  <c r="C4999" i="7"/>
  <c r="D4998" i="7"/>
  <c r="F4998" i="7" s="1"/>
  <c r="C4998" i="7"/>
  <c r="D4997" i="7"/>
  <c r="F4997" i="7" s="1"/>
  <c r="C4997" i="7"/>
  <c r="D4996" i="7"/>
  <c r="F4996" i="7" s="1"/>
  <c r="C4996" i="7"/>
  <c r="D4995" i="7"/>
  <c r="F4995" i="7" s="1"/>
  <c r="C4995" i="7"/>
  <c r="D4994" i="7"/>
  <c r="F4994" i="7" s="1"/>
  <c r="C4994" i="7"/>
  <c r="D4993" i="7"/>
  <c r="F4993" i="7" s="1"/>
  <c r="C4993" i="7"/>
  <c r="D4992" i="7"/>
  <c r="F4992" i="7" s="1"/>
  <c r="C4992" i="7"/>
  <c r="D4991" i="7"/>
  <c r="F4991" i="7" s="1"/>
  <c r="C4991" i="7"/>
  <c r="D4990" i="7"/>
  <c r="F4990" i="7" s="1"/>
  <c r="C4990" i="7"/>
  <c r="D4989" i="7"/>
  <c r="F4989" i="7" s="1"/>
  <c r="C4989" i="7"/>
  <c r="D4988" i="7"/>
  <c r="F4988" i="7" s="1"/>
  <c r="C4988" i="7"/>
  <c r="D4987" i="7"/>
  <c r="F4987" i="7" s="1"/>
  <c r="C4987" i="7"/>
  <c r="D4986" i="7"/>
  <c r="F4986" i="7" s="1"/>
  <c r="C4986" i="7"/>
  <c r="D4985" i="7"/>
  <c r="F4985" i="7" s="1"/>
  <c r="C4985" i="7"/>
  <c r="D4984" i="7"/>
  <c r="F4984" i="7" s="1"/>
  <c r="C4984" i="7"/>
  <c r="D4983" i="7"/>
  <c r="F4983" i="7" s="1"/>
  <c r="C4983" i="7"/>
  <c r="D4982" i="7"/>
  <c r="F4982" i="7" s="1"/>
  <c r="C4982" i="7"/>
  <c r="D4981" i="7"/>
  <c r="F4981" i="7" s="1"/>
  <c r="C4981" i="7"/>
  <c r="D4980" i="7"/>
  <c r="F4980" i="7" s="1"/>
  <c r="C4980" i="7"/>
  <c r="D4979" i="7"/>
  <c r="F4979" i="7" s="1"/>
  <c r="C4979" i="7"/>
  <c r="D4978" i="7"/>
  <c r="F4978" i="7" s="1"/>
  <c r="C4978" i="7"/>
  <c r="D4977" i="7"/>
  <c r="F4977" i="7" s="1"/>
  <c r="C4977" i="7"/>
  <c r="D4976" i="7"/>
  <c r="F4976" i="7" s="1"/>
  <c r="C4976" i="7"/>
  <c r="D4975" i="7"/>
  <c r="F4975" i="7" s="1"/>
  <c r="C4975" i="7"/>
  <c r="D4974" i="7"/>
  <c r="F4974" i="7" s="1"/>
  <c r="C4974" i="7"/>
  <c r="D4973" i="7"/>
  <c r="F4973" i="7" s="1"/>
  <c r="C4973" i="7"/>
  <c r="D4972" i="7"/>
  <c r="F4972" i="7" s="1"/>
  <c r="C4972" i="7"/>
  <c r="D4971" i="7"/>
  <c r="F4971" i="7" s="1"/>
  <c r="C4971" i="7"/>
  <c r="D4970" i="7"/>
  <c r="F4970" i="7" s="1"/>
  <c r="C4970" i="7"/>
  <c r="D4969" i="7"/>
  <c r="F4969" i="7" s="1"/>
  <c r="C4969" i="7"/>
  <c r="D4968" i="7"/>
  <c r="F4968" i="7" s="1"/>
  <c r="C4968" i="7"/>
  <c r="D4967" i="7"/>
  <c r="F4967" i="7" s="1"/>
  <c r="C4967" i="7"/>
  <c r="D4966" i="7"/>
  <c r="F4966" i="7" s="1"/>
  <c r="C4966" i="7"/>
  <c r="D4965" i="7"/>
  <c r="F4965" i="7" s="1"/>
  <c r="C4965" i="7"/>
  <c r="D4964" i="7"/>
  <c r="F4964" i="7" s="1"/>
  <c r="C4964" i="7"/>
  <c r="D4963" i="7"/>
  <c r="F4963" i="7" s="1"/>
  <c r="C4963" i="7"/>
  <c r="D4962" i="7"/>
  <c r="F4962" i="7" s="1"/>
  <c r="C4962" i="7"/>
  <c r="D4961" i="7"/>
  <c r="F4961" i="7" s="1"/>
  <c r="C4961" i="7"/>
  <c r="D4960" i="7"/>
  <c r="F4960" i="7" s="1"/>
  <c r="C4960" i="7"/>
  <c r="D4959" i="7"/>
  <c r="F4959" i="7" s="1"/>
  <c r="C4959" i="7"/>
  <c r="D4958" i="7"/>
  <c r="F4958" i="7" s="1"/>
  <c r="C4958" i="7"/>
  <c r="D4957" i="7"/>
  <c r="F4957" i="7" s="1"/>
  <c r="C4957" i="7"/>
  <c r="F4956" i="7"/>
  <c r="D4956" i="7"/>
  <c r="C4956" i="7"/>
  <c r="D4955" i="7"/>
  <c r="F4955" i="7" s="1"/>
  <c r="C4955" i="7"/>
  <c r="D4954" i="7"/>
  <c r="F4954" i="7" s="1"/>
  <c r="C4954" i="7"/>
  <c r="D4953" i="7"/>
  <c r="F4953" i="7" s="1"/>
  <c r="C4953" i="7"/>
  <c r="D4952" i="7"/>
  <c r="F4952" i="7" s="1"/>
  <c r="C4952" i="7"/>
  <c r="D4951" i="7"/>
  <c r="F4951" i="7" s="1"/>
  <c r="C4951" i="7"/>
  <c r="D4950" i="7"/>
  <c r="F4950" i="7" s="1"/>
  <c r="C4950" i="7"/>
  <c r="D4949" i="7"/>
  <c r="F4949" i="7" s="1"/>
  <c r="C4949" i="7"/>
  <c r="D4948" i="7"/>
  <c r="F4948" i="7" s="1"/>
  <c r="C4948" i="7"/>
  <c r="D4947" i="7"/>
  <c r="F4947" i="7" s="1"/>
  <c r="C4947" i="7"/>
  <c r="D4946" i="7"/>
  <c r="F4946" i="7" s="1"/>
  <c r="C4946" i="7"/>
  <c r="D4945" i="7"/>
  <c r="F4945" i="7" s="1"/>
  <c r="C4945" i="7"/>
  <c r="D4944" i="7"/>
  <c r="F4944" i="7" s="1"/>
  <c r="C4944" i="7"/>
  <c r="D4943" i="7"/>
  <c r="F4943" i="7" s="1"/>
  <c r="C4943" i="7"/>
  <c r="D4942" i="7"/>
  <c r="F4942" i="7" s="1"/>
  <c r="C4942" i="7"/>
  <c r="D4941" i="7"/>
  <c r="F4941" i="7" s="1"/>
  <c r="C4941" i="7"/>
  <c r="D4940" i="7"/>
  <c r="F4940" i="7" s="1"/>
  <c r="C4940" i="7"/>
  <c r="D4939" i="7"/>
  <c r="F4939" i="7" s="1"/>
  <c r="C4939" i="7"/>
  <c r="D4938" i="7"/>
  <c r="F4938" i="7" s="1"/>
  <c r="C4938" i="7"/>
  <c r="D4937" i="7"/>
  <c r="F4937" i="7" s="1"/>
  <c r="C4937" i="7"/>
  <c r="D4936" i="7"/>
  <c r="F4936" i="7" s="1"/>
  <c r="C4936" i="7"/>
  <c r="D4935" i="7"/>
  <c r="F4935" i="7" s="1"/>
  <c r="C4935" i="7"/>
  <c r="D4934" i="7"/>
  <c r="F4934" i="7" s="1"/>
  <c r="C4934" i="7"/>
  <c r="D4933" i="7"/>
  <c r="F4933" i="7" s="1"/>
  <c r="C4933" i="7"/>
  <c r="D4932" i="7"/>
  <c r="F4932" i="7" s="1"/>
  <c r="C4932" i="7"/>
  <c r="D4931" i="7"/>
  <c r="F4931" i="7" s="1"/>
  <c r="C4931" i="7"/>
  <c r="D4930" i="7"/>
  <c r="F4930" i="7" s="1"/>
  <c r="C4930" i="7"/>
  <c r="D4929" i="7"/>
  <c r="F4929" i="7" s="1"/>
  <c r="C4929" i="7"/>
  <c r="D4928" i="7"/>
  <c r="F4928" i="7" s="1"/>
  <c r="C4928" i="7"/>
  <c r="F4927" i="7"/>
  <c r="D4927" i="7"/>
  <c r="C4927" i="7"/>
  <c r="D4926" i="7"/>
  <c r="F4926" i="7" s="1"/>
  <c r="C4926" i="7"/>
  <c r="D4925" i="7"/>
  <c r="F4925" i="7" s="1"/>
  <c r="C4925" i="7"/>
  <c r="D4924" i="7"/>
  <c r="F4924" i="7" s="1"/>
  <c r="C4924" i="7"/>
  <c r="D4923" i="7"/>
  <c r="F4923" i="7" s="1"/>
  <c r="C4923" i="7"/>
  <c r="D4922" i="7"/>
  <c r="F4922" i="7" s="1"/>
  <c r="C4922" i="7"/>
  <c r="D4921" i="7"/>
  <c r="F4921" i="7" s="1"/>
  <c r="C4921" i="7"/>
  <c r="D4920" i="7"/>
  <c r="F4920" i="7" s="1"/>
  <c r="C4920" i="7"/>
  <c r="D4919" i="7"/>
  <c r="F4919" i="7" s="1"/>
  <c r="C4919" i="7"/>
  <c r="D4918" i="7"/>
  <c r="F4918" i="7" s="1"/>
  <c r="C4918" i="7"/>
  <c r="D4917" i="7"/>
  <c r="F4917" i="7" s="1"/>
  <c r="C4917" i="7"/>
  <c r="D4916" i="7"/>
  <c r="F4916" i="7" s="1"/>
  <c r="C4916" i="7"/>
  <c r="D4915" i="7"/>
  <c r="F4915" i="7" s="1"/>
  <c r="C4915" i="7"/>
  <c r="D4914" i="7"/>
  <c r="F4914" i="7" s="1"/>
  <c r="C4914" i="7"/>
  <c r="D4913" i="7"/>
  <c r="F4913" i="7" s="1"/>
  <c r="C4913" i="7"/>
  <c r="F4912" i="7"/>
  <c r="D4912" i="7"/>
  <c r="C4912" i="7"/>
  <c r="D4911" i="7"/>
  <c r="F4911" i="7" s="1"/>
  <c r="C4911" i="7"/>
  <c r="D4910" i="7"/>
  <c r="F4910" i="7" s="1"/>
  <c r="C4910" i="7"/>
  <c r="D4909" i="7"/>
  <c r="F4909" i="7" s="1"/>
  <c r="C4909" i="7"/>
  <c r="D4908" i="7"/>
  <c r="F4908" i="7" s="1"/>
  <c r="C4908" i="7"/>
  <c r="D4907" i="7"/>
  <c r="F4907" i="7" s="1"/>
  <c r="C4907" i="7"/>
  <c r="D4906" i="7"/>
  <c r="F4906" i="7" s="1"/>
  <c r="C4906" i="7"/>
  <c r="D4905" i="7"/>
  <c r="F4905" i="7" s="1"/>
  <c r="C4905" i="7"/>
  <c r="D4904" i="7"/>
  <c r="F4904" i="7" s="1"/>
  <c r="C4904" i="7"/>
  <c r="D4903" i="7"/>
  <c r="F4903" i="7" s="1"/>
  <c r="C4903" i="7"/>
  <c r="D4902" i="7"/>
  <c r="F4902" i="7" s="1"/>
  <c r="C4902" i="7"/>
  <c r="D4901" i="7"/>
  <c r="F4901" i="7" s="1"/>
  <c r="C4901" i="7"/>
  <c r="D4900" i="7"/>
  <c r="F4900" i="7" s="1"/>
  <c r="C4900" i="7"/>
  <c r="D4899" i="7"/>
  <c r="F4899" i="7" s="1"/>
  <c r="C4899" i="7"/>
  <c r="D4898" i="7"/>
  <c r="F4898" i="7" s="1"/>
  <c r="C4898" i="7"/>
  <c r="D4897" i="7"/>
  <c r="F4897" i="7" s="1"/>
  <c r="C4897" i="7"/>
  <c r="D4896" i="7"/>
  <c r="F4896" i="7" s="1"/>
  <c r="C4896" i="7"/>
  <c r="D4895" i="7"/>
  <c r="F4895" i="7" s="1"/>
  <c r="C4895" i="7"/>
  <c r="D4894" i="7"/>
  <c r="F4894" i="7" s="1"/>
  <c r="C4894" i="7"/>
  <c r="D4893" i="7"/>
  <c r="F4893" i="7" s="1"/>
  <c r="C4893" i="7"/>
  <c r="D4892" i="7"/>
  <c r="F4892" i="7" s="1"/>
  <c r="C4892" i="7"/>
  <c r="D4891" i="7"/>
  <c r="F4891" i="7" s="1"/>
  <c r="C4891" i="7"/>
  <c r="D4890" i="7"/>
  <c r="F4890" i="7" s="1"/>
  <c r="C4890" i="7"/>
  <c r="D4889" i="7"/>
  <c r="F4889" i="7" s="1"/>
  <c r="C4889" i="7"/>
  <c r="D4888" i="7"/>
  <c r="F4888" i="7" s="1"/>
  <c r="C4888" i="7"/>
  <c r="D4887" i="7"/>
  <c r="F4887" i="7" s="1"/>
  <c r="C4887" i="7"/>
  <c r="D4886" i="7"/>
  <c r="F4886" i="7" s="1"/>
  <c r="C4886" i="7"/>
  <c r="D4885" i="7"/>
  <c r="F4885" i="7" s="1"/>
  <c r="C4885" i="7"/>
  <c r="D4884" i="7"/>
  <c r="F4884" i="7" s="1"/>
  <c r="C4884" i="7"/>
  <c r="D4883" i="7"/>
  <c r="F4883" i="7" s="1"/>
  <c r="C4883" i="7"/>
  <c r="D4882" i="7"/>
  <c r="F4882" i="7" s="1"/>
  <c r="C4882" i="7"/>
  <c r="D4881" i="7"/>
  <c r="F4881" i="7" s="1"/>
  <c r="C4881" i="7"/>
  <c r="D4880" i="7"/>
  <c r="F4880" i="7" s="1"/>
  <c r="C4880" i="7"/>
  <c r="D4879" i="7"/>
  <c r="F4879" i="7" s="1"/>
  <c r="C4879" i="7"/>
  <c r="D4878" i="7"/>
  <c r="F4878" i="7" s="1"/>
  <c r="C4878" i="7"/>
  <c r="D4877" i="7"/>
  <c r="F4877" i="7" s="1"/>
  <c r="C4877" i="7"/>
  <c r="D4876" i="7"/>
  <c r="F4876" i="7" s="1"/>
  <c r="C4876" i="7"/>
  <c r="D4875" i="7"/>
  <c r="F4875" i="7" s="1"/>
  <c r="C4875" i="7"/>
  <c r="D4874" i="7"/>
  <c r="F4874" i="7" s="1"/>
  <c r="C4874" i="7"/>
  <c r="D4873" i="7"/>
  <c r="F4873" i="7" s="1"/>
  <c r="C4873" i="7"/>
  <c r="D4872" i="7"/>
  <c r="F4872" i="7" s="1"/>
  <c r="C4872" i="7"/>
  <c r="D4871" i="7"/>
  <c r="F4871" i="7" s="1"/>
  <c r="C4871" i="7"/>
  <c r="D4870" i="7"/>
  <c r="F4870" i="7" s="1"/>
  <c r="C4870" i="7"/>
  <c r="D4869" i="7"/>
  <c r="F4869" i="7" s="1"/>
  <c r="C4869" i="7"/>
  <c r="D4868" i="7"/>
  <c r="F4868" i="7" s="1"/>
  <c r="C4868" i="7"/>
  <c r="D4867" i="7"/>
  <c r="F4867" i="7" s="1"/>
  <c r="C4867" i="7"/>
  <c r="D4866" i="7"/>
  <c r="F4866" i="7" s="1"/>
  <c r="C4866" i="7"/>
  <c r="D4865" i="7"/>
  <c r="F4865" i="7" s="1"/>
  <c r="C4865" i="7"/>
  <c r="D4864" i="7"/>
  <c r="F4864" i="7" s="1"/>
  <c r="C4864" i="7"/>
  <c r="D4863" i="7"/>
  <c r="F4863" i="7" s="1"/>
  <c r="C4863" i="7"/>
  <c r="D4862" i="7"/>
  <c r="F4862" i="7" s="1"/>
  <c r="C4862" i="7"/>
  <c r="D4861" i="7"/>
  <c r="F4861" i="7" s="1"/>
  <c r="C4861" i="7"/>
  <c r="D4860" i="7"/>
  <c r="F4860" i="7" s="1"/>
  <c r="C4860" i="7"/>
  <c r="D4859" i="7"/>
  <c r="F4859" i="7" s="1"/>
  <c r="C4859" i="7"/>
  <c r="D4858" i="7"/>
  <c r="F4858" i="7" s="1"/>
  <c r="C4858" i="7"/>
  <c r="D4857" i="7"/>
  <c r="F4857" i="7" s="1"/>
  <c r="C4857" i="7"/>
  <c r="D4856" i="7"/>
  <c r="F4856" i="7" s="1"/>
  <c r="C4856" i="7"/>
  <c r="D4855" i="7"/>
  <c r="F4855" i="7" s="1"/>
  <c r="C4855" i="7"/>
  <c r="D4854" i="7"/>
  <c r="F4854" i="7" s="1"/>
  <c r="C4854" i="7"/>
  <c r="D4853" i="7"/>
  <c r="F4853" i="7" s="1"/>
  <c r="C4853" i="7"/>
  <c r="D4852" i="7"/>
  <c r="F4852" i="7" s="1"/>
  <c r="C4852" i="7"/>
  <c r="D4851" i="7"/>
  <c r="F4851" i="7" s="1"/>
  <c r="C4851" i="7"/>
  <c r="D4850" i="7"/>
  <c r="F4850" i="7" s="1"/>
  <c r="C4850" i="7"/>
  <c r="D4849" i="7"/>
  <c r="F4849" i="7" s="1"/>
  <c r="C4849" i="7"/>
  <c r="D4848" i="7"/>
  <c r="F4848" i="7" s="1"/>
  <c r="C4848" i="7"/>
  <c r="D4847" i="7"/>
  <c r="F4847" i="7" s="1"/>
  <c r="C4847" i="7"/>
  <c r="D4846" i="7"/>
  <c r="F4846" i="7" s="1"/>
  <c r="C4846" i="7"/>
  <c r="D4845" i="7"/>
  <c r="F4845" i="7" s="1"/>
  <c r="C4845" i="7"/>
  <c r="D4844" i="7"/>
  <c r="F4844" i="7" s="1"/>
  <c r="C4844" i="7"/>
  <c r="D4843" i="7"/>
  <c r="F4843" i="7" s="1"/>
  <c r="C4843" i="7"/>
  <c r="D4842" i="7"/>
  <c r="F4842" i="7" s="1"/>
  <c r="C4842" i="7"/>
  <c r="D4841" i="7"/>
  <c r="F4841" i="7" s="1"/>
  <c r="C4841" i="7"/>
  <c r="D4840" i="7"/>
  <c r="F4840" i="7" s="1"/>
  <c r="C4840" i="7"/>
  <c r="D4839" i="7"/>
  <c r="F4839" i="7" s="1"/>
  <c r="C4839" i="7"/>
  <c r="D4838" i="7"/>
  <c r="F4838" i="7" s="1"/>
  <c r="C4838" i="7"/>
  <c r="D4837" i="7"/>
  <c r="F4837" i="7" s="1"/>
  <c r="C4837" i="7"/>
  <c r="D4836" i="7"/>
  <c r="F4836" i="7" s="1"/>
  <c r="C4836" i="7"/>
  <c r="D4835" i="7"/>
  <c r="F4835" i="7" s="1"/>
  <c r="C4835" i="7"/>
  <c r="D4834" i="7"/>
  <c r="F4834" i="7" s="1"/>
  <c r="C4834" i="7"/>
  <c r="D4833" i="7"/>
  <c r="F4833" i="7" s="1"/>
  <c r="C4833" i="7"/>
  <c r="D4832" i="7"/>
  <c r="F4832" i="7" s="1"/>
  <c r="C4832" i="7"/>
  <c r="D4831" i="7"/>
  <c r="F4831" i="7" s="1"/>
  <c r="C4831" i="7"/>
  <c r="D4830" i="7"/>
  <c r="F4830" i="7" s="1"/>
  <c r="C4830" i="7"/>
  <c r="D4829" i="7"/>
  <c r="F4829" i="7" s="1"/>
  <c r="C4829" i="7"/>
  <c r="D4828" i="7"/>
  <c r="F4828" i="7" s="1"/>
  <c r="C4828" i="7"/>
  <c r="D4827" i="7"/>
  <c r="F4827" i="7" s="1"/>
  <c r="C4827" i="7"/>
  <c r="D4826" i="7"/>
  <c r="F4826" i="7" s="1"/>
  <c r="C4826" i="7"/>
  <c r="D4825" i="7"/>
  <c r="F4825" i="7" s="1"/>
  <c r="C4825" i="7"/>
  <c r="D4824" i="7"/>
  <c r="F4824" i="7" s="1"/>
  <c r="C4824" i="7"/>
  <c r="D4823" i="7"/>
  <c r="F4823" i="7" s="1"/>
  <c r="C4823" i="7"/>
  <c r="D4822" i="7"/>
  <c r="F4822" i="7" s="1"/>
  <c r="C4822" i="7"/>
  <c r="D4821" i="7"/>
  <c r="F4821" i="7" s="1"/>
  <c r="C4821" i="7"/>
  <c r="D4820" i="7"/>
  <c r="F4820" i="7" s="1"/>
  <c r="C4820" i="7"/>
  <c r="D4819" i="7"/>
  <c r="F4819" i="7" s="1"/>
  <c r="C4819" i="7"/>
  <c r="D4818" i="7"/>
  <c r="F4818" i="7" s="1"/>
  <c r="C4818" i="7"/>
  <c r="D4817" i="7"/>
  <c r="F4817" i="7" s="1"/>
  <c r="C4817" i="7"/>
  <c r="D4816" i="7"/>
  <c r="F4816" i="7" s="1"/>
  <c r="C4816" i="7"/>
  <c r="D4815" i="7"/>
  <c r="F4815" i="7" s="1"/>
  <c r="C4815" i="7"/>
  <c r="D4814" i="7"/>
  <c r="F4814" i="7" s="1"/>
  <c r="C4814" i="7"/>
  <c r="D4813" i="7"/>
  <c r="F4813" i="7" s="1"/>
  <c r="C4813" i="7"/>
  <c r="D4812" i="7"/>
  <c r="F4812" i="7" s="1"/>
  <c r="C4812" i="7"/>
  <c r="D4811" i="7"/>
  <c r="F4811" i="7" s="1"/>
  <c r="C4811" i="7"/>
  <c r="D4810" i="7"/>
  <c r="F4810" i="7" s="1"/>
  <c r="C4810" i="7"/>
  <c r="D4809" i="7"/>
  <c r="F4809" i="7" s="1"/>
  <c r="C4809" i="7"/>
  <c r="D4808" i="7"/>
  <c r="F4808" i="7" s="1"/>
  <c r="C4808" i="7"/>
  <c r="D4807" i="7"/>
  <c r="F4807" i="7" s="1"/>
  <c r="C4807" i="7"/>
  <c r="D4806" i="7"/>
  <c r="F4806" i="7" s="1"/>
  <c r="C4806" i="7"/>
  <c r="D4805" i="7"/>
  <c r="F4805" i="7" s="1"/>
  <c r="C4805" i="7"/>
  <c r="D4804" i="7"/>
  <c r="F4804" i="7" s="1"/>
  <c r="C4804" i="7"/>
  <c r="D4803" i="7"/>
  <c r="F4803" i="7" s="1"/>
  <c r="C4803" i="7"/>
  <c r="D4802" i="7"/>
  <c r="F4802" i="7" s="1"/>
  <c r="C4802" i="7"/>
  <c r="D4801" i="7"/>
  <c r="F4801" i="7" s="1"/>
  <c r="C4801" i="7"/>
  <c r="D4800" i="7"/>
  <c r="F4800" i="7" s="1"/>
  <c r="C4800" i="7"/>
  <c r="D4799" i="7"/>
  <c r="F4799" i="7" s="1"/>
  <c r="C4799" i="7"/>
  <c r="D4798" i="7"/>
  <c r="F4798" i="7" s="1"/>
  <c r="C4798" i="7"/>
  <c r="D4797" i="7"/>
  <c r="F4797" i="7" s="1"/>
  <c r="C4797" i="7"/>
  <c r="D4796" i="7"/>
  <c r="F4796" i="7" s="1"/>
  <c r="C4796" i="7"/>
  <c r="D4795" i="7"/>
  <c r="F4795" i="7" s="1"/>
  <c r="C4795" i="7"/>
  <c r="D4794" i="7"/>
  <c r="F4794" i="7" s="1"/>
  <c r="C4794" i="7"/>
  <c r="D4793" i="7"/>
  <c r="F4793" i="7" s="1"/>
  <c r="C4793" i="7"/>
  <c r="D4792" i="7"/>
  <c r="F4792" i="7" s="1"/>
  <c r="C4792" i="7"/>
  <c r="D4791" i="7"/>
  <c r="F4791" i="7" s="1"/>
  <c r="C4791" i="7"/>
  <c r="D4790" i="7"/>
  <c r="F4790" i="7" s="1"/>
  <c r="C4790" i="7"/>
  <c r="D4789" i="7"/>
  <c r="F4789" i="7" s="1"/>
  <c r="C4789" i="7"/>
  <c r="D4788" i="7"/>
  <c r="F4788" i="7" s="1"/>
  <c r="C4788" i="7"/>
  <c r="D4787" i="7"/>
  <c r="F4787" i="7" s="1"/>
  <c r="C4787" i="7"/>
  <c r="D4786" i="7"/>
  <c r="F4786" i="7" s="1"/>
  <c r="C4786" i="7"/>
  <c r="D4785" i="7"/>
  <c r="F4785" i="7" s="1"/>
  <c r="C4785" i="7"/>
  <c r="D4784" i="7"/>
  <c r="F4784" i="7" s="1"/>
  <c r="C4784" i="7"/>
  <c r="D4783" i="7"/>
  <c r="F4783" i="7" s="1"/>
  <c r="C4783" i="7"/>
  <c r="D4782" i="7"/>
  <c r="F4782" i="7" s="1"/>
  <c r="C4782" i="7"/>
  <c r="D4781" i="7"/>
  <c r="F4781" i="7" s="1"/>
  <c r="C4781" i="7"/>
  <c r="D4780" i="7"/>
  <c r="F4780" i="7" s="1"/>
  <c r="C4780" i="7"/>
  <c r="D4779" i="7"/>
  <c r="F4779" i="7" s="1"/>
  <c r="C4779" i="7"/>
  <c r="D4778" i="7"/>
  <c r="F4778" i="7" s="1"/>
  <c r="C4778" i="7"/>
  <c r="D4777" i="7"/>
  <c r="F4777" i="7" s="1"/>
  <c r="C4777" i="7"/>
  <c r="D4776" i="7"/>
  <c r="F4776" i="7" s="1"/>
  <c r="C4776" i="7"/>
  <c r="D4775" i="7"/>
  <c r="F4775" i="7" s="1"/>
  <c r="C4775" i="7"/>
  <c r="D4774" i="7"/>
  <c r="F4774" i="7" s="1"/>
  <c r="C4774" i="7"/>
  <c r="D4773" i="7"/>
  <c r="F4773" i="7" s="1"/>
  <c r="C4773" i="7"/>
  <c r="D4772" i="7"/>
  <c r="F4772" i="7" s="1"/>
  <c r="C4772" i="7"/>
  <c r="D4771" i="7"/>
  <c r="F4771" i="7" s="1"/>
  <c r="C4771" i="7"/>
  <c r="D4770" i="7"/>
  <c r="F4770" i="7" s="1"/>
  <c r="C4770" i="7"/>
  <c r="D4769" i="7"/>
  <c r="F4769" i="7" s="1"/>
  <c r="C4769" i="7"/>
  <c r="D4768" i="7"/>
  <c r="F4768" i="7" s="1"/>
  <c r="C4768" i="7"/>
  <c r="D4767" i="7"/>
  <c r="F4767" i="7" s="1"/>
  <c r="C4767" i="7"/>
  <c r="D4766" i="7"/>
  <c r="F4766" i="7" s="1"/>
  <c r="C4766" i="7"/>
  <c r="D4765" i="7"/>
  <c r="F4765" i="7" s="1"/>
  <c r="C4765" i="7"/>
  <c r="D4764" i="7"/>
  <c r="F4764" i="7" s="1"/>
  <c r="C4764" i="7"/>
  <c r="D4763" i="7"/>
  <c r="F4763" i="7" s="1"/>
  <c r="C4763" i="7"/>
  <c r="D4762" i="7"/>
  <c r="F4762" i="7" s="1"/>
  <c r="C4762" i="7"/>
  <c r="D4761" i="7"/>
  <c r="F4761" i="7" s="1"/>
  <c r="C4761" i="7"/>
  <c r="F4760" i="7"/>
  <c r="D4760" i="7"/>
  <c r="C4760" i="7"/>
  <c r="D4759" i="7"/>
  <c r="F4759" i="7" s="1"/>
  <c r="C4759" i="7"/>
  <c r="D4758" i="7"/>
  <c r="F4758" i="7" s="1"/>
  <c r="C4758" i="7"/>
  <c r="D4757" i="7"/>
  <c r="F4757" i="7" s="1"/>
  <c r="C4757" i="7"/>
  <c r="D4756" i="7"/>
  <c r="F4756" i="7" s="1"/>
  <c r="C4756" i="7"/>
  <c r="D4755" i="7"/>
  <c r="F4755" i="7" s="1"/>
  <c r="C4755" i="7"/>
  <c r="D4754" i="7"/>
  <c r="F4754" i="7" s="1"/>
  <c r="C4754" i="7"/>
  <c r="D4753" i="7"/>
  <c r="F4753" i="7" s="1"/>
  <c r="C4753" i="7"/>
  <c r="D4752" i="7"/>
  <c r="F4752" i="7" s="1"/>
  <c r="C4752" i="7"/>
  <c r="D4751" i="7"/>
  <c r="F4751" i="7" s="1"/>
  <c r="C4751" i="7"/>
  <c r="D4750" i="7"/>
  <c r="F4750" i="7" s="1"/>
  <c r="C4750" i="7"/>
  <c r="D4749" i="7"/>
  <c r="F4749" i="7" s="1"/>
  <c r="C4749" i="7"/>
  <c r="D4748" i="7"/>
  <c r="F4748" i="7" s="1"/>
  <c r="C4748" i="7"/>
  <c r="D4747" i="7"/>
  <c r="F4747" i="7" s="1"/>
  <c r="C4747" i="7"/>
  <c r="D4746" i="7"/>
  <c r="F4746" i="7" s="1"/>
  <c r="C4746" i="7"/>
  <c r="D4745" i="7"/>
  <c r="F4745" i="7" s="1"/>
  <c r="C4745" i="7"/>
  <c r="D4744" i="7"/>
  <c r="F4744" i="7" s="1"/>
  <c r="C4744" i="7"/>
  <c r="D4743" i="7"/>
  <c r="F4743" i="7" s="1"/>
  <c r="C4743" i="7"/>
  <c r="D4742" i="7"/>
  <c r="F4742" i="7" s="1"/>
  <c r="C4742" i="7"/>
  <c r="D4741" i="7"/>
  <c r="F4741" i="7" s="1"/>
  <c r="C4741" i="7"/>
  <c r="D4740" i="7"/>
  <c r="F4740" i="7" s="1"/>
  <c r="C4740" i="7"/>
  <c r="D4739" i="7"/>
  <c r="F4739" i="7" s="1"/>
  <c r="C4739" i="7"/>
  <c r="D4738" i="7"/>
  <c r="F4738" i="7" s="1"/>
  <c r="C4738" i="7"/>
  <c r="D4737" i="7"/>
  <c r="F4737" i="7" s="1"/>
  <c r="C4737" i="7"/>
  <c r="D4736" i="7"/>
  <c r="F4736" i="7" s="1"/>
  <c r="C4736" i="7"/>
  <c r="D4735" i="7"/>
  <c r="F4735" i="7" s="1"/>
  <c r="C4735" i="7"/>
  <c r="D4734" i="7"/>
  <c r="F4734" i="7" s="1"/>
  <c r="C4734" i="7"/>
  <c r="D4733" i="7"/>
  <c r="F4733" i="7" s="1"/>
  <c r="C4733" i="7"/>
  <c r="D4732" i="7"/>
  <c r="F4732" i="7" s="1"/>
  <c r="C4732" i="7"/>
  <c r="F4731" i="7"/>
  <c r="D4731" i="7"/>
  <c r="C4731" i="7"/>
  <c r="D4730" i="7"/>
  <c r="F4730" i="7" s="1"/>
  <c r="C4730" i="7"/>
  <c r="D4729" i="7"/>
  <c r="F4729" i="7" s="1"/>
  <c r="C4729" i="7"/>
  <c r="D4728" i="7"/>
  <c r="F4728" i="7" s="1"/>
  <c r="C4728" i="7"/>
  <c r="D4727" i="7"/>
  <c r="F4727" i="7" s="1"/>
  <c r="C4727" i="7"/>
  <c r="D4726" i="7"/>
  <c r="F4726" i="7" s="1"/>
  <c r="C4726" i="7"/>
  <c r="D4725" i="7"/>
  <c r="F4725" i="7" s="1"/>
  <c r="C4725" i="7"/>
  <c r="D4724" i="7"/>
  <c r="F4724" i="7" s="1"/>
  <c r="C4724" i="7"/>
  <c r="D4723" i="7"/>
  <c r="F4723" i="7" s="1"/>
  <c r="C4723" i="7"/>
  <c r="D4722" i="7"/>
  <c r="F4722" i="7" s="1"/>
  <c r="C4722" i="7"/>
  <c r="D4721" i="7"/>
  <c r="F4721" i="7" s="1"/>
  <c r="C4721" i="7"/>
  <c r="D4720" i="7"/>
  <c r="F4720" i="7" s="1"/>
  <c r="C4720" i="7"/>
  <c r="D4719" i="7"/>
  <c r="F4719" i="7" s="1"/>
  <c r="C4719" i="7"/>
  <c r="D4718" i="7"/>
  <c r="F4718" i="7" s="1"/>
  <c r="C4718" i="7"/>
  <c r="D4717" i="7"/>
  <c r="F4717" i="7" s="1"/>
  <c r="C4717" i="7"/>
  <c r="D4716" i="7"/>
  <c r="F4716" i="7" s="1"/>
  <c r="C4716" i="7"/>
  <c r="D4715" i="7"/>
  <c r="F4715" i="7" s="1"/>
  <c r="C4715" i="7"/>
  <c r="D4714" i="7"/>
  <c r="F4714" i="7" s="1"/>
  <c r="C4714" i="7"/>
  <c r="D4713" i="7"/>
  <c r="F4713" i="7" s="1"/>
  <c r="C4713" i="7"/>
  <c r="D4712" i="7"/>
  <c r="F4712" i="7" s="1"/>
  <c r="C4712" i="7"/>
  <c r="D4711" i="7"/>
  <c r="F4711" i="7" s="1"/>
  <c r="C4711" i="7"/>
  <c r="D4710" i="7"/>
  <c r="F4710" i="7" s="1"/>
  <c r="C4710" i="7"/>
  <c r="D4709" i="7"/>
  <c r="F4709" i="7" s="1"/>
  <c r="C4709" i="7"/>
  <c r="D4708" i="7"/>
  <c r="F4708" i="7" s="1"/>
  <c r="C4708" i="7"/>
  <c r="D4707" i="7"/>
  <c r="F4707" i="7" s="1"/>
  <c r="C4707" i="7"/>
  <c r="D4706" i="7"/>
  <c r="F4706" i="7" s="1"/>
  <c r="C4706" i="7"/>
  <c r="D4705" i="7"/>
  <c r="F4705" i="7" s="1"/>
  <c r="C4705" i="7"/>
  <c r="D4704" i="7"/>
  <c r="F4704" i="7" s="1"/>
  <c r="C4704" i="7"/>
  <c r="D4703" i="7"/>
  <c r="F4703" i="7" s="1"/>
  <c r="C4703" i="7"/>
  <c r="D4702" i="7"/>
  <c r="F4702" i="7" s="1"/>
  <c r="C4702" i="7"/>
  <c r="D4701" i="7"/>
  <c r="F4701" i="7" s="1"/>
  <c r="C4701" i="7"/>
  <c r="D4700" i="7"/>
  <c r="F4700" i="7" s="1"/>
  <c r="C4700" i="7"/>
  <c r="F4699" i="7"/>
  <c r="D4699" i="7"/>
  <c r="C4699" i="7"/>
  <c r="D4698" i="7"/>
  <c r="F4698" i="7" s="1"/>
  <c r="C4698" i="7"/>
  <c r="D4697" i="7"/>
  <c r="F4697" i="7" s="1"/>
  <c r="C4697" i="7"/>
  <c r="D4696" i="7"/>
  <c r="F4696" i="7" s="1"/>
  <c r="C4696" i="7"/>
  <c r="D4695" i="7"/>
  <c r="F4695" i="7" s="1"/>
  <c r="C4695" i="7"/>
  <c r="D4694" i="7"/>
  <c r="F4694" i="7" s="1"/>
  <c r="C4694" i="7"/>
  <c r="D4693" i="7"/>
  <c r="F4693" i="7" s="1"/>
  <c r="C4693" i="7"/>
  <c r="D4692" i="7"/>
  <c r="F4692" i="7" s="1"/>
  <c r="C4692" i="7"/>
  <c r="D4691" i="7"/>
  <c r="F4691" i="7" s="1"/>
  <c r="C4691" i="7"/>
  <c r="D4690" i="7"/>
  <c r="F4690" i="7" s="1"/>
  <c r="C4690" i="7"/>
  <c r="D4689" i="7"/>
  <c r="F4689" i="7" s="1"/>
  <c r="C4689" i="7"/>
  <c r="D4688" i="7"/>
  <c r="F4688" i="7" s="1"/>
  <c r="C4688" i="7"/>
  <c r="D4687" i="7"/>
  <c r="F4687" i="7" s="1"/>
  <c r="C4687" i="7"/>
  <c r="D4686" i="7"/>
  <c r="F4686" i="7" s="1"/>
  <c r="C4686" i="7"/>
  <c r="D4685" i="7"/>
  <c r="F4685" i="7" s="1"/>
  <c r="C4685" i="7"/>
  <c r="D4684" i="7"/>
  <c r="F4684" i="7" s="1"/>
  <c r="C4684" i="7"/>
  <c r="D4683" i="7"/>
  <c r="F4683" i="7" s="1"/>
  <c r="C4683" i="7"/>
  <c r="D4682" i="7"/>
  <c r="F4682" i="7" s="1"/>
  <c r="C4682" i="7"/>
  <c r="D4681" i="7"/>
  <c r="F4681" i="7" s="1"/>
  <c r="C4681" i="7"/>
  <c r="D4680" i="7"/>
  <c r="F4680" i="7" s="1"/>
  <c r="C4680" i="7"/>
  <c r="D4679" i="7"/>
  <c r="F4679" i="7" s="1"/>
  <c r="C4679" i="7"/>
  <c r="D4678" i="7"/>
  <c r="F4678" i="7" s="1"/>
  <c r="C4678" i="7"/>
  <c r="D4677" i="7"/>
  <c r="F4677" i="7" s="1"/>
  <c r="C4677" i="7"/>
  <c r="D4676" i="7"/>
  <c r="F4676" i="7" s="1"/>
  <c r="C4676" i="7"/>
  <c r="D4675" i="7"/>
  <c r="F4675" i="7" s="1"/>
  <c r="C4675" i="7"/>
  <c r="D4674" i="7"/>
  <c r="F4674" i="7" s="1"/>
  <c r="C4674" i="7"/>
  <c r="D4673" i="7"/>
  <c r="F4673" i="7" s="1"/>
  <c r="C4673" i="7"/>
  <c r="D4672" i="7"/>
  <c r="F4672" i="7" s="1"/>
  <c r="C4672" i="7"/>
  <c r="D4671" i="7"/>
  <c r="F4671" i="7" s="1"/>
  <c r="C4671" i="7"/>
  <c r="D4670" i="7"/>
  <c r="F4670" i="7" s="1"/>
  <c r="C4670" i="7"/>
  <c r="D4669" i="7"/>
  <c r="F4669" i="7" s="1"/>
  <c r="C4669" i="7"/>
  <c r="D4668" i="7"/>
  <c r="F4668" i="7" s="1"/>
  <c r="C4668" i="7"/>
  <c r="D4667" i="7"/>
  <c r="F4667" i="7" s="1"/>
  <c r="C4667" i="7"/>
  <c r="D4666" i="7"/>
  <c r="F4666" i="7" s="1"/>
  <c r="C4666" i="7"/>
  <c r="D4665" i="7"/>
  <c r="F4665" i="7" s="1"/>
  <c r="C4665" i="7"/>
  <c r="D4664" i="7"/>
  <c r="F4664" i="7" s="1"/>
  <c r="C4664" i="7"/>
  <c r="D4663" i="7"/>
  <c r="F4663" i="7" s="1"/>
  <c r="C4663" i="7"/>
  <c r="D4662" i="7"/>
  <c r="F4662" i="7" s="1"/>
  <c r="C4662" i="7"/>
  <c r="D4661" i="7"/>
  <c r="F4661" i="7" s="1"/>
  <c r="C4661" i="7"/>
  <c r="D4660" i="7"/>
  <c r="F4660" i="7" s="1"/>
  <c r="C4660" i="7"/>
  <c r="D4659" i="7"/>
  <c r="F4659" i="7" s="1"/>
  <c r="C4659" i="7"/>
  <c r="D4658" i="7"/>
  <c r="F4658" i="7" s="1"/>
  <c r="C4658" i="7"/>
  <c r="D4657" i="7"/>
  <c r="F4657" i="7" s="1"/>
  <c r="C4657" i="7"/>
  <c r="D4656" i="7"/>
  <c r="F4656" i="7" s="1"/>
  <c r="C4656" i="7"/>
  <c r="D4655" i="7"/>
  <c r="F4655" i="7" s="1"/>
  <c r="C4655" i="7"/>
  <c r="D4654" i="7"/>
  <c r="F4654" i="7" s="1"/>
  <c r="C4654" i="7"/>
  <c r="D4653" i="7"/>
  <c r="F4653" i="7" s="1"/>
  <c r="C4653" i="7"/>
  <c r="D4652" i="7"/>
  <c r="F4652" i="7" s="1"/>
  <c r="C4652" i="7"/>
  <c r="D4651" i="7"/>
  <c r="F4651" i="7" s="1"/>
  <c r="C4651" i="7"/>
  <c r="D4650" i="7"/>
  <c r="F4650" i="7" s="1"/>
  <c r="C4650" i="7"/>
  <c r="D4649" i="7"/>
  <c r="F4649" i="7" s="1"/>
  <c r="C4649" i="7"/>
  <c r="D4648" i="7"/>
  <c r="F4648" i="7" s="1"/>
  <c r="C4648" i="7"/>
  <c r="D4647" i="7"/>
  <c r="F4647" i="7" s="1"/>
  <c r="C4647" i="7"/>
  <c r="D4646" i="7"/>
  <c r="F4646" i="7" s="1"/>
  <c r="C4646" i="7"/>
  <c r="D4645" i="7"/>
  <c r="F4645" i="7" s="1"/>
  <c r="C4645" i="7"/>
  <c r="D4644" i="7"/>
  <c r="F4644" i="7" s="1"/>
  <c r="C4644" i="7"/>
  <c r="D4643" i="7"/>
  <c r="F4643" i="7" s="1"/>
  <c r="C4643" i="7"/>
  <c r="D4642" i="7"/>
  <c r="F4642" i="7" s="1"/>
  <c r="C4642" i="7"/>
  <c r="D4641" i="7"/>
  <c r="F4641" i="7" s="1"/>
  <c r="C4641" i="7"/>
  <c r="F4640" i="7"/>
  <c r="D4640" i="7"/>
  <c r="C4640" i="7"/>
  <c r="D4639" i="7"/>
  <c r="F4639" i="7" s="1"/>
  <c r="C4639" i="7"/>
  <c r="D4638" i="7"/>
  <c r="F4638" i="7" s="1"/>
  <c r="C4638" i="7"/>
  <c r="D4637" i="7"/>
  <c r="F4637" i="7" s="1"/>
  <c r="C4637" i="7"/>
  <c r="D4636" i="7"/>
  <c r="F4636" i="7" s="1"/>
  <c r="C4636" i="7"/>
  <c r="D4635" i="7"/>
  <c r="F4635" i="7" s="1"/>
  <c r="C4635" i="7"/>
  <c r="D4634" i="7"/>
  <c r="F4634" i="7" s="1"/>
  <c r="C4634" i="7"/>
  <c r="D4633" i="7"/>
  <c r="F4633" i="7" s="1"/>
  <c r="C4633" i="7"/>
  <c r="F4632" i="7"/>
  <c r="D4632" i="7"/>
  <c r="C4632" i="7"/>
  <c r="D4631" i="7"/>
  <c r="F4631" i="7" s="1"/>
  <c r="C4631" i="7"/>
  <c r="D4630" i="7"/>
  <c r="F4630" i="7" s="1"/>
  <c r="C4630" i="7"/>
  <c r="D4629" i="7"/>
  <c r="F4629" i="7" s="1"/>
  <c r="C4629" i="7"/>
  <c r="D4628" i="7"/>
  <c r="F4628" i="7" s="1"/>
  <c r="C4628" i="7"/>
  <c r="D4627" i="7"/>
  <c r="F4627" i="7" s="1"/>
  <c r="C4627" i="7"/>
  <c r="D4626" i="7"/>
  <c r="F4626" i="7" s="1"/>
  <c r="C4626" i="7"/>
  <c r="D4625" i="7"/>
  <c r="F4625" i="7" s="1"/>
  <c r="C4625" i="7"/>
  <c r="D4624" i="7"/>
  <c r="F4624" i="7" s="1"/>
  <c r="C4624" i="7"/>
  <c r="D4623" i="7"/>
  <c r="F4623" i="7" s="1"/>
  <c r="C4623" i="7"/>
  <c r="D4622" i="7"/>
  <c r="F4622" i="7" s="1"/>
  <c r="C4622" i="7"/>
  <c r="D4621" i="7"/>
  <c r="F4621" i="7" s="1"/>
  <c r="C4621" i="7"/>
  <c r="D4620" i="7"/>
  <c r="F4620" i="7" s="1"/>
  <c r="C4620" i="7"/>
  <c r="D4619" i="7"/>
  <c r="F4619" i="7" s="1"/>
  <c r="C4619" i="7"/>
  <c r="D4618" i="7"/>
  <c r="F4618" i="7" s="1"/>
  <c r="C4618" i="7"/>
  <c r="D4617" i="7"/>
  <c r="F4617" i="7" s="1"/>
  <c r="C4617" i="7"/>
  <c r="D4616" i="7"/>
  <c r="F4616" i="7" s="1"/>
  <c r="C4616" i="7"/>
  <c r="D4615" i="7"/>
  <c r="F4615" i="7" s="1"/>
  <c r="C4615" i="7"/>
  <c r="D4614" i="7"/>
  <c r="F4614" i="7" s="1"/>
  <c r="C4614" i="7"/>
  <c r="D4613" i="7"/>
  <c r="F4613" i="7" s="1"/>
  <c r="C4613" i="7"/>
  <c r="D4612" i="7"/>
  <c r="F4612" i="7" s="1"/>
  <c r="C4612" i="7"/>
  <c r="D4611" i="7"/>
  <c r="F4611" i="7" s="1"/>
  <c r="C4611" i="7"/>
  <c r="D4610" i="7"/>
  <c r="F4610" i="7" s="1"/>
  <c r="C4610" i="7"/>
  <c r="D4609" i="7"/>
  <c r="F4609" i="7" s="1"/>
  <c r="C4609" i="7"/>
  <c r="D4608" i="7"/>
  <c r="F4608" i="7" s="1"/>
  <c r="C4608" i="7"/>
  <c r="D4607" i="7"/>
  <c r="F4607" i="7" s="1"/>
  <c r="C4607" i="7"/>
  <c r="D4606" i="7"/>
  <c r="F4606" i="7" s="1"/>
  <c r="C4606" i="7"/>
  <c r="D4605" i="7"/>
  <c r="F4605" i="7" s="1"/>
  <c r="C4605" i="7"/>
  <c r="D4604" i="7"/>
  <c r="F4604" i="7" s="1"/>
  <c r="C4604" i="7"/>
  <c r="D4603" i="7"/>
  <c r="F4603" i="7" s="1"/>
  <c r="C4603" i="7"/>
  <c r="D4602" i="7"/>
  <c r="F4602" i="7" s="1"/>
  <c r="C4602" i="7"/>
  <c r="D4601" i="7"/>
  <c r="F4601" i="7" s="1"/>
  <c r="C4601" i="7"/>
  <c r="D4600" i="7"/>
  <c r="F4600" i="7" s="1"/>
  <c r="C4600" i="7"/>
  <c r="D4599" i="7"/>
  <c r="F4599" i="7" s="1"/>
  <c r="C4599" i="7"/>
  <c r="D4598" i="7"/>
  <c r="F4598" i="7" s="1"/>
  <c r="C4598" i="7"/>
  <c r="D4597" i="7"/>
  <c r="F4597" i="7" s="1"/>
  <c r="C4597" i="7"/>
  <c r="D4596" i="7"/>
  <c r="F4596" i="7" s="1"/>
  <c r="C4596" i="7"/>
  <c r="D4595" i="7"/>
  <c r="F4595" i="7" s="1"/>
  <c r="C4595" i="7"/>
  <c r="D4594" i="7"/>
  <c r="F4594" i="7" s="1"/>
  <c r="C4594" i="7"/>
  <c r="D4593" i="7"/>
  <c r="F4593" i="7" s="1"/>
  <c r="C4593" i="7"/>
  <c r="D4592" i="7"/>
  <c r="F4592" i="7" s="1"/>
  <c r="C4592" i="7"/>
  <c r="D4591" i="7"/>
  <c r="F4591" i="7" s="1"/>
  <c r="C4591" i="7"/>
  <c r="D4590" i="7"/>
  <c r="F4590" i="7" s="1"/>
  <c r="C4590" i="7"/>
  <c r="D4589" i="7"/>
  <c r="F4589" i="7" s="1"/>
  <c r="C4589" i="7"/>
  <c r="D4588" i="7"/>
  <c r="F4588" i="7" s="1"/>
  <c r="C4588" i="7"/>
  <c r="D4587" i="7"/>
  <c r="F4587" i="7" s="1"/>
  <c r="C4587" i="7"/>
  <c r="D4586" i="7"/>
  <c r="F4586" i="7" s="1"/>
  <c r="C4586" i="7"/>
  <c r="D4585" i="7"/>
  <c r="F4585" i="7" s="1"/>
  <c r="C4585" i="7"/>
  <c r="D4584" i="7"/>
  <c r="F4584" i="7" s="1"/>
  <c r="C4584" i="7"/>
  <c r="D4583" i="7"/>
  <c r="F4583" i="7" s="1"/>
  <c r="C4583" i="7"/>
  <c r="D4582" i="7"/>
  <c r="F4582" i="7" s="1"/>
  <c r="C4582" i="7"/>
  <c r="D4581" i="7"/>
  <c r="F4581" i="7" s="1"/>
  <c r="C4581" i="7"/>
  <c r="D4580" i="7"/>
  <c r="F4580" i="7" s="1"/>
  <c r="C4580" i="7"/>
  <c r="D4579" i="7"/>
  <c r="F4579" i="7" s="1"/>
  <c r="C4579" i="7"/>
  <c r="D4578" i="7"/>
  <c r="F4578" i="7" s="1"/>
  <c r="C4578" i="7"/>
  <c r="D4577" i="7"/>
  <c r="F4577" i="7" s="1"/>
  <c r="C4577" i="7"/>
  <c r="D4576" i="7"/>
  <c r="F4576" i="7" s="1"/>
  <c r="C4576" i="7"/>
  <c r="D4575" i="7"/>
  <c r="F4575" i="7" s="1"/>
  <c r="C4575" i="7"/>
  <c r="D4574" i="7"/>
  <c r="F4574" i="7" s="1"/>
  <c r="C4574" i="7"/>
  <c r="D4573" i="7"/>
  <c r="F4573" i="7" s="1"/>
  <c r="C4573" i="7"/>
  <c r="D4572" i="7"/>
  <c r="F4572" i="7" s="1"/>
  <c r="C4572" i="7"/>
  <c r="D4571" i="7"/>
  <c r="F4571" i="7" s="1"/>
  <c r="C4571" i="7"/>
  <c r="D4570" i="7"/>
  <c r="F4570" i="7" s="1"/>
  <c r="C4570" i="7"/>
  <c r="D4569" i="7"/>
  <c r="F4569" i="7" s="1"/>
  <c r="C4569" i="7"/>
  <c r="D4568" i="7"/>
  <c r="F4568" i="7" s="1"/>
  <c r="C4568" i="7"/>
  <c r="D4567" i="7"/>
  <c r="F4567" i="7" s="1"/>
  <c r="C4567" i="7"/>
  <c r="D4566" i="7"/>
  <c r="F4566" i="7" s="1"/>
  <c r="C4566" i="7"/>
  <c r="D4565" i="7"/>
  <c r="F4565" i="7" s="1"/>
  <c r="C4565" i="7"/>
  <c r="D4564" i="7"/>
  <c r="F4564" i="7" s="1"/>
  <c r="C4564" i="7"/>
  <c r="D4563" i="7"/>
  <c r="F4563" i="7" s="1"/>
  <c r="C4563" i="7"/>
  <c r="D4562" i="7"/>
  <c r="F4562" i="7" s="1"/>
  <c r="C4562" i="7"/>
  <c r="D4561" i="7"/>
  <c r="F4561" i="7" s="1"/>
  <c r="C4561" i="7"/>
  <c r="D4560" i="7"/>
  <c r="F4560" i="7" s="1"/>
  <c r="C4560" i="7"/>
  <c r="D4559" i="7"/>
  <c r="F4559" i="7" s="1"/>
  <c r="C4559" i="7"/>
  <c r="D4558" i="7"/>
  <c r="F4558" i="7" s="1"/>
  <c r="C4558" i="7"/>
  <c r="D4557" i="7"/>
  <c r="F4557" i="7" s="1"/>
  <c r="C4557" i="7"/>
  <c r="D4556" i="7"/>
  <c r="F4556" i="7" s="1"/>
  <c r="C4556" i="7"/>
  <c r="F4555" i="7"/>
  <c r="D4555" i="7"/>
  <c r="C4555" i="7"/>
  <c r="D4554" i="7"/>
  <c r="F4554" i="7" s="1"/>
  <c r="C4554" i="7"/>
  <c r="D4553" i="7"/>
  <c r="F4553" i="7" s="1"/>
  <c r="C4553" i="7"/>
  <c r="D4552" i="7"/>
  <c r="F4552" i="7" s="1"/>
  <c r="C4552" i="7"/>
  <c r="D4551" i="7"/>
  <c r="F4551" i="7" s="1"/>
  <c r="C4551" i="7"/>
  <c r="D4550" i="7"/>
  <c r="F4550" i="7" s="1"/>
  <c r="C4550" i="7"/>
  <c r="D4549" i="7"/>
  <c r="F4549" i="7" s="1"/>
  <c r="C4549" i="7"/>
  <c r="F4548" i="7"/>
  <c r="D4548" i="7"/>
  <c r="C4548" i="7"/>
  <c r="D4547" i="7"/>
  <c r="F4547" i="7" s="1"/>
  <c r="C4547" i="7"/>
  <c r="D4546" i="7"/>
  <c r="F4546" i="7" s="1"/>
  <c r="C4546" i="7"/>
  <c r="D4545" i="7"/>
  <c r="F4545" i="7" s="1"/>
  <c r="C4545" i="7"/>
  <c r="D4544" i="7"/>
  <c r="F4544" i="7" s="1"/>
  <c r="C4544" i="7"/>
  <c r="D4543" i="7"/>
  <c r="F4543" i="7" s="1"/>
  <c r="C4543" i="7"/>
  <c r="D4542" i="7"/>
  <c r="F4542" i="7" s="1"/>
  <c r="C4542" i="7"/>
  <c r="D4541" i="7"/>
  <c r="F4541" i="7" s="1"/>
  <c r="C4541" i="7"/>
  <c r="F4540" i="7"/>
  <c r="D4540" i="7"/>
  <c r="C4540" i="7"/>
  <c r="D4539" i="7"/>
  <c r="F4539" i="7" s="1"/>
  <c r="C4539" i="7"/>
  <c r="D4538" i="7"/>
  <c r="F4538" i="7" s="1"/>
  <c r="C4538" i="7"/>
  <c r="D4537" i="7"/>
  <c r="F4537" i="7" s="1"/>
  <c r="C4537" i="7"/>
  <c r="D4536" i="7"/>
  <c r="F4536" i="7" s="1"/>
  <c r="C4536" i="7"/>
  <c r="F4535" i="7"/>
  <c r="D4535" i="7"/>
  <c r="C4535" i="7"/>
  <c r="D4534" i="7"/>
  <c r="F4534" i="7" s="1"/>
  <c r="C4534" i="7"/>
  <c r="D4533" i="7"/>
  <c r="F4533" i="7" s="1"/>
  <c r="C4533" i="7"/>
  <c r="D4532" i="7"/>
  <c r="F4532" i="7" s="1"/>
  <c r="C4532" i="7"/>
  <c r="D4531" i="7"/>
  <c r="F4531" i="7" s="1"/>
  <c r="C4531" i="7"/>
  <c r="D4530" i="7"/>
  <c r="F4530" i="7" s="1"/>
  <c r="C4530" i="7"/>
  <c r="D4529" i="7"/>
  <c r="F4529" i="7" s="1"/>
  <c r="C4529" i="7"/>
  <c r="D4528" i="7"/>
  <c r="F4528" i="7" s="1"/>
  <c r="C4528" i="7"/>
  <c r="D4527" i="7"/>
  <c r="F4527" i="7" s="1"/>
  <c r="C4527" i="7"/>
  <c r="D4526" i="7"/>
  <c r="F4526" i="7" s="1"/>
  <c r="C4526" i="7"/>
  <c r="D4525" i="7"/>
  <c r="F4525" i="7" s="1"/>
  <c r="C4525" i="7"/>
  <c r="D4524" i="7"/>
  <c r="F4524" i="7" s="1"/>
  <c r="C4524" i="7"/>
  <c r="D4523" i="7"/>
  <c r="F4523" i="7" s="1"/>
  <c r="C4523" i="7"/>
  <c r="D4522" i="7"/>
  <c r="F4522" i="7" s="1"/>
  <c r="C4522" i="7"/>
  <c r="D4521" i="7"/>
  <c r="F4521" i="7" s="1"/>
  <c r="C4521" i="7"/>
  <c r="D4520" i="7"/>
  <c r="F4520" i="7" s="1"/>
  <c r="C4520" i="7"/>
  <c r="D4519" i="7"/>
  <c r="F4519" i="7" s="1"/>
  <c r="C4519" i="7"/>
  <c r="D4518" i="7"/>
  <c r="F4518" i="7" s="1"/>
  <c r="C4518" i="7"/>
  <c r="D4517" i="7"/>
  <c r="F4517" i="7" s="1"/>
  <c r="C4517" i="7"/>
  <c r="D4516" i="7"/>
  <c r="F4516" i="7" s="1"/>
  <c r="C4516" i="7"/>
  <c r="D4515" i="7"/>
  <c r="F4515" i="7" s="1"/>
  <c r="C4515" i="7"/>
  <c r="D4514" i="7"/>
  <c r="F4514" i="7" s="1"/>
  <c r="C4514" i="7"/>
  <c r="D4513" i="7"/>
  <c r="F4513" i="7" s="1"/>
  <c r="C4513" i="7"/>
  <c r="D4512" i="7"/>
  <c r="F4512" i="7" s="1"/>
  <c r="C4512" i="7"/>
  <c r="D4511" i="7"/>
  <c r="F4511" i="7" s="1"/>
  <c r="C4511" i="7"/>
  <c r="D4510" i="7"/>
  <c r="F4510" i="7" s="1"/>
  <c r="C4510" i="7"/>
  <c r="D4509" i="7"/>
  <c r="F4509" i="7" s="1"/>
  <c r="C4509" i="7"/>
  <c r="D4508" i="7"/>
  <c r="F4508" i="7" s="1"/>
  <c r="C4508" i="7"/>
  <c r="D4507" i="7"/>
  <c r="F4507" i="7" s="1"/>
  <c r="C4507" i="7"/>
  <c r="D4506" i="7"/>
  <c r="F4506" i="7" s="1"/>
  <c r="C4506" i="7"/>
  <c r="D4505" i="7"/>
  <c r="F4505" i="7" s="1"/>
  <c r="C4505" i="7"/>
  <c r="D4504" i="7"/>
  <c r="F4504" i="7" s="1"/>
  <c r="C4504" i="7"/>
  <c r="D4503" i="7"/>
  <c r="F4503" i="7" s="1"/>
  <c r="C4503" i="7"/>
  <c r="D4502" i="7"/>
  <c r="F4502" i="7" s="1"/>
  <c r="C4502" i="7"/>
  <c r="D4501" i="7"/>
  <c r="F4501" i="7" s="1"/>
  <c r="C4501" i="7"/>
  <c r="D4500" i="7"/>
  <c r="F4500" i="7" s="1"/>
  <c r="C4500" i="7"/>
  <c r="D4499" i="7"/>
  <c r="F4499" i="7" s="1"/>
  <c r="C4499" i="7"/>
  <c r="D4498" i="7"/>
  <c r="F4498" i="7" s="1"/>
  <c r="C4498" i="7"/>
  <c r="D4497" i="7"/>
  <c r="F4497" i="7" s="1"/>
  <c r="C4497" i="7"/>
  <c r="D4496" i="7"/>
  <c r="F4496" i="7" s="1"/>
  <c r="C4496" i="7"/>
  <c r="D4495" i="7"/>
  <c r="F4495" i="7" s="1"/>
  <c r="C4495" i="7"/>
  <c r="D4494" i="7"/>
  <c r="F4494" i="7" s="1"/>
  <c r="C4494" i="7"/>
  <c r="D4493" i="7"/>
  <c r="F4493" i="7" s="1"/>
  <c r="C4493" i="7"/>
  <c r="D4492" i="7"/>
  <c r="F4492" i="7" s="1"/>
  <c r="C4492" i="7"/>
  <c r="D4491" i="7"/>
  <c r="F4491" i="7" s="1"/>
  <c r="C4491" i="7"/>
  <c r="D4490" i="7"/>
  <c r="F4490" i="7" s="1"/>
  <c r="C4490" i="7"/>
  <c r="D4489" i="7"/>
  <c r="F4489" i="7" s="1"/>
  <c r="C4489" i="7"/>
  <c r="D4488" i="7"/>
  <c r="F4488" i="7" s="1"/>
  <c r="C4488" i="7"/>
  <c r="D4487" i="7"/>
  <c r="F4487" i="7" s="1"/>
  <c r="C4487" i="7"/>
  <c r="D4486" i="7"/>
  <c r="F4486" i="7" s="1"/>
  <c r="C4486" i="7"/>
  <c r="D4485" i="7"/>
  <c r="F4485" i="7" s="1"/>
  <c r="C4485" i="7"/>
  <c r="D4484" i="7"/>
  <c r="F4484" i="7" s="1"/>
  <c r="C4484" i="7"/>
  <c r="D4483" i="7"/>
  <c r="F4483" i="7" s="1"/>
  <c r="C4483" i="7"/>
  <c r="D4482" i="7"/>
  <c r="F4482" i="7" s="1"/>
  <c r="C4482" i="7"/>
  <c r="D4481" i="7"/>
  <c r="F4481" i="7" s="1"/>
  <c r="C4481" i="7"/>
  <c r="D4480" i="7"/>
  <c r="F4480" i="7" s="1"/>
  <c r="C4480" i="7"/>
  <c r="D4479" i="7"/>
  <c r="F4479" i="7" s="1"/>
  <c r="C4479" i="7"/>
  <c r="D4478" i="7"/>
  <c r="F4478" i="7" s="1"/>
  <c r="C4478" i="7"/>
  <c r="D4477" i="7"/>
  <c r="F4477" i="7" s="1"/>
  <c r="C4477" i="7"/>
  <c r="D4476" i="7"/>
  <c r="F4476" i="7" s="1"/>
  <c r="C4476" i="7"/>
  <c r="D4475" i="7"/>
  <c r="F4475" i="7" s="1"/>
  <c r="C4475" i="7"/>
  <c r="D4474" i="7"/>
  <c r="F4474" i="7" s="1"/>
  <c r="C4474" i="7"/>
  <c r="D4473" i="7"/>
  <c r="F4473" i="7" s="1"/>
  <c r="C4473" i="7"/>
  <c r="D4472" i="7"/>
  <c r="F4472" i="7" s="1"/>
  <c r="C4472" i="7"/>
  <c r="D4471" i="7"/>
  <c r="F4471" i="7" s="1"/>
  <c r="C4471" i="7"/>
  <c r="D4470" i="7"/>
  <c r="F4470" i="7" s="1"/>
  <c r="C4470" i="7"/>
  <c r="D4469" i="7"/>
  <c r="F4469" i="7" s="1"/>
  <c r="C4469" i="7"/>
  <c r="D4468" i="7"/>
  <c r="F4468" i="7" s="1"/>
  <c r="C4468" i="7"/>
  <c r="D4467" i="7"/>
  <c r="F4467" i="7" s="1"/>
  <c r="C4467" i="7"/>
  <c r="D4466" i="7"/>
  <c r="F4466" i="7" s="1"/>
  <c r="C4466" i="7"/>
  <c r="D4465" i="7"/>
  <c r="F4465" i="7" s="1"/>
  <c r="C4465" i="7"/>
  <c r="D4464" i="7"/>
  <c r="F4464" i="7" s="1"/>
  <c r="C4464" i="7"/>
  <c r="D4463" i="7"/>
  <c r="F4463" i="7" s="1"/>
  <c r="C4463" i="7"/>
  <c r="D4462" i="7"/>
  <c r="F4462" i="7" s="1"/>
  <c r="C4462" i="7"/>
  <c r="D4461" i="7"/>
  <c r="F4461" i="7" s="1"/>
  <c r="C4461" i="7"/>
  <c r="D4460" i="7"/>
  <c r="F4460" i="7" s="1"/>
  <c r="C4460" i="7"/>
  <c r="F4459" i="7"/>
  <c r="D4459" i="7"/>
  <c r="C4459" i="7"/>
  <c r="D4458" i="7"/>
  <c r="F4458" i="7" s="1"/>
  <c r="C4458" i="7"/>
  <c r="D4457" i="7"/>
  <c r="F4457" i="7" s="1"/>
  <c r="C4457" i="7"/>
  <c r="D4456" i="7"/>
  <c r="F4456" i="7" s="1"/>
  <c r="C4456" i="7"/>
  <c r="D4455" i="7"/>
  <c r="F4455" i="7" s="1"/>
  <c r="C4455" i="7"/>
  <c r="D4454" i="7"/>
  <c r="F4454" i="7" s="1"/>
  <c r="C4454" i="7"/>
  <c r="D4453" i="7"/>
  <c r="F4453" i="7" s="1"/>
  <c r="C4453" i="7"/>
  <c r="D4452" i="7"/>
  <c r="F4452" i="7" s="1"/>
  <c r="C4452" i="7"/>
  <c r="D4451" i="7"/>
  <c r="F4451" i="7" s="1"/>
  <c r="C4451" i="7"/>
  <c r="D4450" i="7"/>
  <c r="F4450" i="7" s="1"/>
  <c r="C4450" i="7"/>
  <c r="D4449" i="7"/>
  <c r="F4449" i="7" s="1"/>
  <c r="C4449" i="7"/>
  <c r="D4448" i="7"/>
  <c r="F4448" i="7" s="1"/>
  <c r="C4448" i="7"/>
  <c r="D4447" i="7"/>
  <c r="F4447" i="7" s="1"/>
  <c r="C4447" i="7"/>
  <c r="D4446" i="7"/>
  <c r="F4446" i="7" s="1"/>
  <c r="C4446" i="7"/>
  <c r="D4445" i="7"/>
  <c r="F4445" i="7" s="1"/>
  <c r="C4445" i="7"/>
  <c r="D4444" i="7"/>
  <c r="F4444" i="7" s="1"/>
  <c r="C4444" i="7"/>
  <c r="D4443" i="7"/>
  <c r="F4443" i="7" s="1"/>
  <c r="C4443" i="7"/>
  <c r="D4442" i="7"/>
  <c r="F4442" i="7" s="1"/>
  <c r="C4442" i="7"/>
  <c r="D4441" i="7"/>
  <c r="F4441" i="7" s="1"/>
  <c r="C4441" i="7"/>
  <c r="D4440" i="7"/>
  <c r="F4440" i="7" s="1"/>
  <c r="C4440" i="7"/>
  <c r="D4439" i="7"/>
  <c r="F4439" i="7" s="1"/>
  <c r="C4439" i="7"/>
  <c r="D4438" i="7"/>
  <c r="F4438" i="7" s="1"/>
  <c r="C4438" i="7"/>
  <c r="D4437" i="7"/>
  <c r="F4437" i="7" s="1"/>
  <c r="C4437" i="7"/>
  <c r="D4436" i="7"/>
  <c r="F4436" i="7" s="1"/>
  <c r="C4436" i="7"/>
  <c r="D4435" i="7"/>
  <c r="F4435" i="7" s="1"/>
  <c r="C4435" i="7"/>
  <c r="D4434" i="7"/>
  <c r="F4434" i="7" s="1"/>
  <c r="C4434" i="7"/>
  <c r="D4433" i="7"/>
  <c r="F4433" i="7" s="1"/>
  <c r="C4433" i="7"/>
  <c r="D4432" i="7"/>
  <c r="F4432" i="7" s="1"/>
  <c r="C4432" i="7"/>
  <c r="D4431" i="7"/>
  <c r="F4431" i="7" s="1"/>
  <c r="C4431" i="7"/>
  <c r="D4430" i="7"/>
  <c r="F4430" i="7" s="1"/>
  <c r="C4430" i="7"/>
  <c r="D4429" i="7"/>
  <c r="F4429" i="7" s="1"/>
  <c r="C4429" i="7"/>
  <c r="D4428" i="7"/>
  <c r="F4428" i="7" s="1"/>
  <c r="C4428" i="7"/>
  <c r="D4427" i="7"/>
  <c r="F4427" i="7" s="1"/>
  <c r="C4427" i="7"/>
  <c r="D4426" i="7"/>
  <c r="F4426" i="7" s="1"/>
  <c r="C4426" i="7"/>
  <c r="D4425" i="7"/>
  <c r="F4425" i="7" s="1"/>
  <c r="C4425" i="7"/>
  <c r="D4424" i="7"/>
  <c r="F4424" i="7" s="1"/>
  <c r="C4424" i="7"/>
  <c r="D4423" i="7"/>
  <c r="F4423" i="7" s="1"/>
  <c r="C4423" i="7"/>
  <c r="D4422" i="7"/>
  <c r="F4422" i="7" s="1"/>
  <c r="C4422" i="7"/>
  <c r="D4421" i="7"/>
  <c r="F4421" i="7" s="1"/>
  <c r="C4421" i="7"/>
  <c r="D4420" i="7"/>
  <c r="F4420" i="7" s="1"/>
  <c r="C4420" i="7"/>
  <c r="D4419" i="7"/>
  <c r="F4419" i="7" s="1"/>
  <c r="C4419" i="7"/>
  <c r="D4418" i="7"/>
  <c r="F4418" i="7" s="1"/>
  <c r="C4418" i="7"/>
  <c r="D4417" i="7"/>
  <c r="F4417" i="7" s="1"/>
  <c r="C4417" i="7"/>
  <c r="D4416" i="7"/>
  <c r="F4416" i="7" s="1"/>
  <c r="C4416" i="7"/>
  <c r="D4415" i="7"/>
  <c r="F4415" i="7" s="1"/>
  <c r="C4415" i="7"/>
  <c r="D4414" i="7"/>
  <c r="F4414" i="7" s="1"/>
  <c r="C4414" i="7"/>
  <c r="D4413" i="7"/>
  <c r="F4413" i="7" s="1"/>
  <c r="C4413" i="7"/>
  <c r="D4412" i="7"/>
  <c r="F4412" i="7" s="1"/>
  <c r="C4412" i="7"/>
  <c r="D4411" i="7"/>
  <c r="F4411" i="7" s="1"/>
  <c r="C4411" i="7"/>
  <c r="D4410" i="7"/>
  <c r="F4410" i="7" s="1"/>
  <c r="C4410" i="7"/>
  <c r="D4409" i="7"/>
  <c r="F4409" i="7" s="1"/>
  <c r="C4409" i="7"/>
  <c r="D4408" i="7"/>
  <c r="F4408" i="7" s="1"/>
  <c r="C4408" i="7"/>
  <c r="D4407" i="7"/>
  <c r="F4407" i="7" s="1"/>
  <c r="C4407" i="7"/>
  <c r="D4406" i="7"/>
  <c r="F4406" i="7" s="1"/>
  <c r="C4406" i="7"/>
  <c r="D4405" i="7"/>
  <c r="F4405" i="7" s="1"/>
  <c r="C4405" i="7"/>
  <c r="D4404" i="7"/>
  <c r="F4404" i="7" s="1"/>
  <c r="C4404" i="7"/>
  <c r="D4403" i="7"/>
  <c r="F4403" i="7" s="1"/>
  <c r="C4403" i="7"/>
  <c r="D4402" i="7"/>
  <c r="F4402" i="7" s="1"/>
  <c r="C4402" i="7"/>
  <c r="D4401" i="7"/>
  <c r="F4401" i="7" s="1"/>
  <c r="C4401" i="7"/>
  <c r="D4400" i="7"/>
  <c r="F4400" i="7" s="1"/>
  <c r="C4400" i="7"/>
  <c r="D4399" i="7"/>
  <c r="F4399" i="7" s="1"/>
  <c r="C4399" i="7"/>
  <c r="D4398" i="7"/>
  <c r="F4398" i="7" s="1"/>
  <c r="C4398" i="7"/>
  <c r="D4397" i="7"/>
  <c r="F4397" i="7" s="1"/>
  <c r="C4397" i="7"/>
  <c r="D4396" i="7"/>
  <c r="F4396" i="7" s="1"/>
  <c r="C4396" i="7"/>
  <c r="D4395" i="7"/>
  <c r="F4395" i="7" s="1"/>
  <c r="C4395" i="7"/>
  <c r="D4394" i="7"/>
  <c r="F4394" i="7" s="1"/>
  <c r="C4394" i="7"/>
  <c r="D4393" i="7"/>
  <c r="F4393" i="7" s="1"/>
  <c r="C4393" i="7"/>
  <c r="D4392" i="7"/>
  <c r="F4392" i="7" s="1"/>
  <c r="C4392" i="7"/>
  <c r="D4391" i="7"/>
  <c r="F4391" i="7" s="1"/>
  <c r="C4391" i="7"/>
  <c r="D4390" i="7"/>
  <c r="F4390" i="7" s="1"/>
  <c r="C4390" i="7"/>
  <c r="D4389" i="7"/>
  <c r="F4389" i="7" s="1"/>
  <c r="C4389" i="7"/>
  <c r="D4388" i="7"/>
  <c r="F4388" i="7" s="1"/>
  <c r="C4388" i="7"/>
  <c r="D4387" i="7"/>
  <c r="F4387" i="7" s="1"/>
  <c r="C4387" i="7"/>
  <c r="D4386" i="7"/>
  <c r="F4386" i="7" s="1"/>
  <c r="C4386" i="7"/>
  <c r="D4385" i="7"/>
  <c r="F4385" i="7" s="1"/>
  <c r="C4385" i="7"/>
  <c r="F4384" i="7"/>
  <c r="D4384" i="7"/>
  <c r="C4384" i="7"/>
  <c r="D4383" i="7"/>
  <c r="F4383" i="7" s="1"/>
  <c r="C4383" i="7"/>
  <c r="D4382" i="7"/>
  <c r="F4382" i="7" s="1"/>
  <c r="C4382" i="7"/>
  <c r="D4381" i="7"/>
  <c r="F4381" i="7" s="1"/>
  <c r="C4381" i="7"/>
  <c r="D4380" i="7"/>
  <c r="F4380" i="7" s="1"/>
  <c r="C4380" i="7"/>
  <c r="D4379" i="7"/>
  <c r="F4379" i="7" s="1"/>
  <c r="C4379" i="7"/>
  <c r="D4378" i="7"/>
  <c r="F4378" i="7" s="1"/>
  <c r="C4378" i="7"/>
  <c r="D4377" i="7"/>
  <c r="F4377" i="7" s="1"/>
  <c r="C4377" i="7"/>
  <c r="D4376" i="7"/>
  <c r="F4376" i="7" s="1"/>
  <c r="C4376" i="7"/>
  <c r="D4375" i="7"/>
  <c r="F4375" i="7" s="1"/>
  <c r="C4375" i="7"/>
  <c r="D4374" i="7"/>
  <c r="F4374" i="7" s="1"/>
  <c r="C4374" i="7"/>
  <c r="D4373" i="7"/>
  <c r="F4373" i="7" s="1"/>
  <c r="C4373" i="7"/>
  <c r="D4372" i="7"/>
  <c r="F4372" i="7" s="1"/>
  <c r="C4372" i="7"/>
  <c r="D4371" i="7"/>
  <c r="F4371" i="7" s="1"/>
  <c r="C4371" i="7"/>
  <c r="D4370" i="7"/>
  <c r="F4370" i="7" s="1"/>
  <c r="C4370" i="7"/>
  <c r="D4369" i="7"/>
  <c r="F4369" i="7" s="1"/>
  <c r="C4369" i="7"/>
  <c r="D4368" i="7"/>
  <c r="F4368" i="7" s="1"/>
  <c r="C4368" i="7"/>
  <c r="D4367" i="7"/>
  <c r="F4367" i="7" s="1"/>
  <c r="C4367" i="7"/>
  <c r="D4366" i="7"/>
  <c r="F4366" i="7" s="1"/>
  <c r="C4366" i="7"/>
  <c r="D4365" i="7"/>
  <c r="F4365" i="7" s="1"/>
  <c r="C4365" i="7"/>
  <c r="D4364" i="7"/>
  <c r="F4364" i="7" s="1"/>
  <c r="C4364" i="7"/>
  <c r="D4363" i="7"/>
  <c r="F4363" i="7" s="1"/>
  <c r="C4363" i="7"/>
  <c r="D4362" i="7"/>
  <c r="F4362" i="7" s="1"/>
  <c r="C4362" i="7"/>
  <c r="D4361" i="7"/>
  <c r="F4361" i="7" s="1"/>
  <c r="C4361" i="7"/>
  <c r="D4360" i="7"/>
  <c r="F4360" i="7" s="1"/>
  <c r="C4360" i="7"/>
  <c r="D4359" i="7"/>
  <c r="F4359" i="7" s="1"/>
  <c r="C4359" i="7"/>
  <c r="D4358" i="7"/>
  <c r="F4358" i="7" s="1"/>
  <c r="C4358" i="7"/>
  <c r="D4357" i="7"/>
  <c r="F4357" i="7" s="1"/>
  <c r="C4357" i="7"/>
  <c r="D4356" i="7"/>
  <c r="F4356" i="7" s="1"/>
  <c r="C4356" i="7"/>
  <c r="D4355" i="7"/>
  <c r="F4355" i="7" s="1"/>
  <c r="C4355" i="7"/>
  <c r="D4354" i="7"/>
  <c r="F4354" i="7" s="1"/>
  <c r="C4354" i="7"/>
  <c r="D4353" i="7"/>
  <c r="F4353" i="7" s="1"/>
  <c r="C4353" i="7"/>
  <c r="D4352" i="7"/>
  <c r="F4352" i="7" s="1"/>
  <c r="C4352" i="7"/>
  <c r="D4351" i="7"/>
  <c r="F4351" i="7" s="1"/>
  <c r="C4351" i="7"/>
  <c r="D4350" i="7"/>
  <c r="F4350" i="7" s="1"/>
  <c r="C4350" i="7"/>
  <c r="D4349" i="7"/>
  <c r="F4349" i="7" s="1"/>
  <c r="C4349" i="7"/>
  <c r="D4348" i="7"/>
  <c r="F4348" i="7" s="1"/>
  <c r="C4348" i="7"/>
  <c r="D4347" i="7"/>
  <c r="F4347" i="7" s="1"/>
  <c r="C4347" i="7"/>
  <c r="D4346" i="7"/>
  <c r="F4346" i="7" s="1"/>
  <c r="C4346" i="7"/>
  <c r="D4345" i="7"/>
  <c r="F4345" i="7" s="1"/>
  <c r="C4345" i="7"/>
  <c r="D4344" i="7"/>
  <c r="F4344" i="7" s="1"/>
  <c r="C4344" i="7"/>
  <c r="D4343" i="7"/>
  <c r="F4343" i="7" s="1"/>
  <c r="C4343" i="7"/>
  <c r="D4342" i="7"/>
  <c r="F4342" i="7" s="1"/>
  <c r="C4342" i="7"/>
  <c r="D4341" i="7"/>
  <c r="F4341" i="7" s="1"/>
  <c r="C4341" i="7"/>
  <c r="D4340" i="7"/>
  <c r="F4340" i="7" s="1"/>
  <c r="C4340" i="7"/>
  <c r="D4339" i="7"/>
  <c r="F4339" i="7" s="1"/>
  <c r="C4339" i="7"/>
  <c r="D4338" i="7"/>
  <c r="F4338" i="7" s="1"/>
  <c r="C4338" i="7"/>
  <c r="D4337" i="7"/>
  <c r="F4337" i="7" s="1"/>
  <c r="C4337" i="7"/>
  <c r="D4336" i="7"/>
  <c r="F4336" i="7" s="1"/>
  <c r="C4336" i="7"/>
  <c r="D4335" i="7"/>
  <c r="F4335" i="7" s="1"/>
  <c r="C4335" i="7"/>
  <c r="D4334" i="7"/>
  <c r="F4334" i="7" s="1"/>
  <c r="C4334" i="7"/>
  <c r="D4333" i="7"/>
  <c r="F4333" i="7" s="1"/>
  <c r="C4333" i="7"/>
  <c r="D4332" i="7"/>
  <c r="F4332" i="7" s="1"/>
  <c r="C4332" i="7"/>
  <c r="D4331" i="7"/>
  <c r="F4331" i="7" s="1"/>
  <c r="C4331" i="7"/>
  <c r="D4330" i="7"/>
  <c r="F4330" i="7" s="1"/>
  <c r="C4330" i="7"/>
  <c r="D4329" i="7"/>
  <c r="F4329" i="7" s="1"/>
  <c r="C4329" i="7"/>
  <c r="D4328" i="7"/>
  <c r="F4328" i="7" s="1"/>
  <c r="C4328" i="7"/>
  <c r="D4327" i="7"/>
  <c r="F4327" i="7" s="1"/>
  <c r="C4327" i="7"/>
  <c r="D4326" i="7"/>
  <c r="F4326" i="7" s="1"/>
  <c r="C4326" i="7"/>
  <c r="D4325" i="7"/>
  <c r="F4325" i="7" s="1"/>
  <c r="C4325" i="7"/>
  <c r="D4324" i="7"/>
  <c r="F4324" i="7" s="1"/>
  <c r="C4324" i="7"/>
  <c r="D4323" i="7"/>
  <c r="F4323" i="7" s="1"/>
  <c r="C4323" i="7"/>
  <c r="D4322" i="7"/>
  <c r="F4322" i="7" s="1"/>
  <c r="C4322" i="7"/>
  <c r="D4321" i="7"/>
  <c r="F4321" i="7" s="1"/>
  <c r="C4321" i="7"/>
  <c r="D4320" i="7"/>
  <c r="F4320" i="7" s="1"/>
  <c r="C4320" i="7"/>
  <c r="D4319" i="7"/>
  <c r="F4319" i="7" s="1"/>
  <c r="C4319" i="7"/>
  <c r="D4318" i="7"/>
  <c r="F4318" i="7" s="1"/>
  <c r="C4318" i="7"/>
  <c r="D4317" i="7"/>
  <c r="F4317" i="7" s="1"/>
  <c r="C4317" i="7"/>
  <c r="D4316" i="7"/>
  <c r="F4316" i="7" s="1"/>
  <c r="C4316" i="7"/>
  <c r="D4315" i="7"/>
  <c r="F4315" i="7" s="1"/>
  <c r="C4315" i="7"/>
  <c r="D4314" i="7"/>
  <c r="F4314" i="7" s="1"/>
  <c r="C4314" i="7"/>
  <c r="D4313" i="7"/>
  <c r="F4313" i="7" s="1"/>
  <c r="C4313" i="7"/>
  <c r="D4312" i="7"/>
  <c r="F4312" i="7" s="1"/>
  <c r="C4312" i="7"/>
  <c r="D4311" i="7"/>
  <c r="F4311" i="7" s="1"/>
  <c r="C4311" i="7"/>
  <c r="D4310" i="7"/>
  <c r="F4310" i="7" s="1"/>
  <c r="C4310" i="7"/>
  <c r="D4309" i="7"/>
  <c r="F4309" i="7" s="1"/>
  <c r="C4309" i="7"/>
  <c r="D4308" i="7"/>
  <c r="F4308" i="7" s="1"/>
  <c r="C4308" i="7"/>
  <c r="D4307" i="7"/>
  <c r="F4307" i="7" s="1"/>
  <c r="C4307" i="7"/>
  <c r="D4306" i="7"/>
  <c r="F4306" i="7" s="1"/>
  <c r="C4306" i="7"/>
  <c r="D4305" i="7"/>
  <c r="F4305" i="7" s="1"/>
  <c r="C4305" i="7"/>
  <c r="D4304" i="7"/>
  <c r="F4304" i="7" s="1"/>
  <c r="C4304" i="7"/>
  <c r="D4303" i="7"/>
  <c r="F4303" i="7" s="1"/>
  <c r="C4303" i="7"/>
  <c r="D4302" i="7"/>
  <c r="F4302" i="7" s="1"/>
  <c r="C4302" i="7"/>
  <c r="D4301" i="7"/>
  <c r="F4301" i="7" s="1"/>
  <c r="C4301" i="7"/>
  <c r="D4300" i="7"/>
  <c r="F4300" i="7" s="1"/>
  <c r="C4300" i="7"/>
  <c r="D4299" i="7"/>
  <c r="F4299" i="7" s="1"/>
  <c r="C4299" i="7"/>
  <c r="D4298" i="7"/>
  <c r="F4298" i="7" s="1"/>
  <c r="C4298" i="7"/>
  <c r="D4297" i="7"/>
  <c r="F4297" i="7" s="1"/>
  <c r="C4297" i="7"/>
  <c r="D4296" i="7"/>
  <c r="F4296" i="7" s="1"/>
  <c r="C4296" i="7"/>
  <c r="D4295" i="7"/>
  <c r="F4295" i="7" s="1"/>
  <c r="C4295" i="7"/>
  <c r="D4294" i="7"/>
  <c r="F4294" i="7" s="1"/>
  <c r="C4294" i="7"/>
  <c r="D4293" i="7"/>
  <c r="F4293" i="7" s="1"/>
  <c r="C4293" i="7"/>
  <c r="D4292" i="7"/>
  <c r="F4292" i="7" s="1"/>
  <c r="C4292" i="7"/>
  <c r="D4291" i="7"/>
  <c r="F4291" i="7" s="1"/>
  <c r="C4291" i="7"/>
  <c r="D4290" i="7"/>
  <c r="F4290" i="7" s="1"/>
  <c r="C4290" i="7"/>
  <c r="D4289" i="7"/>
  <c r="F4289" i="7" s="1"/>
  <c r="C4289" i="7"/>
  <c r="D4288" i="7"/>
  <c r="F4288" i="7" s="1"/>
  <c r="C4288" i="7"/>
  <c r="D4287" i="7"/>
  <c r="F4287" i="7" s="1"/>
  <c r="C4287" i="7"/>
  <c r="D4286" i="7"/>
  <c r="F4286" i="7" s="1"/>
  <c r="C4286" i="7"/>
  <c r="D4285" i="7"/>
  <c r="F4285" i="7" s="1"/>
  <c r="C4285" i="7"/>
  <c r="D4284" i="7"/>
  <c r="F4284" i="7" s="1"/>
  <c r="C4284" i="7"/>
  <c r="D4283" i="7"/>
  <c r="F4283" i="7" s="1"/>
  <c r="C4283" i="7"/>
  <c r="D4282" i="7"/>
  <c r="F4282" i="7" s="1"/>
  <c r="C4282" i="7"/>
  <c r="D4281" i="7"/>
  <c r="F4281" i="7" s="1"/>
  <c r="C4281" i="7"/>
  <c r="D4280" i="7"/>
  <c r="F4280" i="7" s="1"/>
  <c r="C4280" i="7"/>
  <c r="D4279" i="7"/>
  <c r="F4279" i="7" s="1"/>
  <c r="C4279" i="7"/>
  <c r="D4278" i="7"/>
  <c r="F4278" i="7" s="1"/>
  <c r="C4278" i="7"/>
  <c r="D4277" i="7"/>
  <c r="F4277" i="7" s="1"/>
  <c r="C4277" i="7"/>
  <c r="D4276" i="7"/>
  <c r="F4276" i="7" s="1"/>
  <c r="C4276" i="7"/>
  <c r="D4275" i="7"/>
  <c r="F4275" i="7" s="1"/>
  <c r="C4275" i="7"/>
  <c r="D4274" i="7"/>
  <c r="F4274" i="7" s="1"/>
  <c r="C4274" i="7"/>
  <c r="D4273" i="7"/>
  <c r="F4273" i="7" s="1"/>
  <c r="C4273" i="7"/>
  <c r="D4272" i="7"/>
  <c r="F4272" i="7" s="1"/>
  <c r="C4272" i="7"/>
  <c r="D4271" i="7"/>
  <c r="F4271" i="7" s="1"/>
  <c r="C4271" i="7"/>
  <c r="D4270" i="7"/>
  <c r="F4270" i="7" s="1"/>
  <c r="C4270" i="7"/>
  <c r="D4269" i="7"/>
  <c r="F4269" i="7" s="1"/>
  <c r="C4269" i="7"/>
  <c r="D4268" i="7"/>
  <c r="F4268" i="7" s="1"/>
  <c r="C4268" i="7"/>
  <c r="D4267" i="7"/>
  <c r="F4267" i="7" s="1"/>
  <c r="C4267" i="7"/>
  <c r="D4266" i="7"/>
  <c r="F4266" i="7" s="1"/>
  <c r="C4266" i="7"/>
  <c r="D4265" i="7"/>
  <c r="F4265" i="7" s="1"/>
  <c r="C4265" i="7"/>
  <c r="D4264" i="7"/>
  <c r="F4264" i="7" s="1"/>
  <c r="C4264" i="7"/>
  <c r="D4263" i="7"/>
  <c r="F4263" i="7" s="1"/>
  <c r="C4263" i="7"/>
  <c r="D4262" i="7"/>
  <c r="F4262" i="7" s="1"/>
  <c r="C4262" i="7"/>
  <c r="D4261" i="7"/>
  <c r="F4261" i="7" s="1"/>
  <c r="C4261" i="7"/>
  <c r="D4260" i="7"/>
  <c r="F4260" i="7" s="1"/>
  <c r="C4260" i="7"/>
  <c r="D4259" i="7"/>
  <c r="F4259" i="7" s="1"/>
  <c r="C4259" i="7"/>
  <c r="D4258" i="7"/>
  <c r="F4258" i="7" s="1"/>
  <c r="C4258" i="7"/>
  <c r="D4257" i="7"/>
  <c r="F4257" i="7" s="1"/>
  <c r="C4257" i="7"/>
  <c r="D4256" i="7"/>
  <c r="F4256" i="7" s="1"/>
  <c r="C4256" i="7"/>
  <c r="D4255" i="7"/>
  <c r="F4255" i="7" s="1"/>
  <c r="C4255" i="7"/>
  <c r="D4254" i="7"/>
  <c r="F4254" i="7" s="1"/>
  <c r="C4254" i="7"/>
  <c r="D4253" i="7"/>
  <c r="F4253" i="7" s="1"/>
  <c r="C4253" i="7"/>
  <c r="D4252" i="7"/>
  <c r="F4252" i="7" s="1"/>
  <c r="C4252" i="7"/>
  <c r="D4251" i="7"/>
  <c r="F4251" i="7" s="1"/>
  <c r="C4251" i="7"/>
  <c r="D4250" i="7"/>
  <c r="F4250" i="7" s="1"/>
  <c r="C4250" i="7"/>
  <c r="D4249" i="7"/>
  <c r="F4249" i="7" s="1"/>
  <c r="C4249" i="7"/>
  <c r="D4248" i="7"/>
  <c r="F4248" i="7" s="1"/>
  <c r="C4248" i="7"/>
  <c r="D4247" i="7"/>
  <c r="F4247" i="7" s="1"/>
  <c r="C4247" i="7"/>
  <c r="D4246" i="7"/>
  <c r="F4246" i="7" s="1"/>
  <c r="C4246" i="7"/>
  <c r="D4245" i="7"/>
  <c r="F4245" i="7" s="1"/>
  <c r="C4245" i="7"/>
  <c r="D4244" i="7"/>
  <c r="F4244" i="7" s="1"/>
  <c r="C4244" i="7"/>
  <c r="F4243" i="7"/>
  <c r="D4243" i="7"/>
  <c r="C4243" i="7"/>
  <c r="D4242" i="7"/>
  <c r="F4242" i="7" s="1"/>
  <c r="C4242" i="7"/>
  <c r="D4241" i="7"/>
  <c r="F4241" i="7" s="1"/>
  <c r="C4241" i="7"/>
  <c r="D4240" i="7"/>
  <c r="F4240" i="7" s="1"/>
  <c r="C4240" i="7"/>
  <c r="D4239" i="7"/>
  <c r="F4239" i="7" s="1"/>
  <c r="C4239" i="7"/>
  <c r="D4238" i="7"/>
  <c r="F4238" i="7" s="1"/>
  <c r="C4238" i="7"/>
  <c r="D4237" i="7"/>
  <c r="F4237" i="7" s="1"/>
  <c r="C4237" i="7"/>
  <c r="D4236" i="7"/>
  <c r="F4236" i="7" s="1"/>
  <c r="C4236" i="7"/>
  <c r="D4235" i="7"/>
  <c r="F4235" i="7" s="1"/>
  <c r="C4235" i="7"/>
  <c r="D4234" i="7"/>
  <c r="F4234" i="7" s="1"/>
  <c r="C4234" i="7"/>
  <c r="D4233" i="7"/>
  <c r="F4233" i="7" s="1"/>
  <c r="C4233" i="7"/>
  <c r="D4232" i="7"/>
  <c r="F4232" i="7" s="1"/>
  <c r="C4232" i="7"/>
  <c r="D4231" i="7"/>
  <c r="F4231" i="7" s="1"/>
  <c r="C4231" i="7"/>
  <c r="D4230" i="7"/>
  <c r="F4230" i="7" s="1"/>
  <c r="C4230" i="7"/>
  <c r="D4229" i="7"/>
  <c r="F4229" i="7" s="1"/>
  <c r="C4229" i="7"/>
  <c r="D4228" i="7"/>
  <c r="F4228" i="7" s="1"/>
  <c r="C4228" i="7"/>
  <c r="D4227" i="7"/>
  <c r="F4227" i="7" s="1"/>
  <c r="C4227" i="7"/>
  <c r="D4226" i="7"/>
  <c r="F4226" i="7" s="1"/>
  <c r="C4226" i="7"/>
  <c r="D4225" i="7"/>
  <c r="F4225" i="7" s="1"/>
  <c r="C4225" i="7"/>
  <c r="D4224" i="7"/>
  <c r="F4224" i="7" s="1"/>
  <c r="C4224" i="7"/>
  <c r="D4223" i="7"/>
  <c r="F4223" i="7" s="1"/>
  <c r="C4223" i="7"/>
  <c r="D4222" i="7"/>
  <c r="F4222" i="7" s="1"/>
  <c r="C4222" i="7"/>
  <c r="D4221" i="7"/>
  <c r="F4221" i="7" s="1"/>
  <c r="C4221" i="7"/>
  <c r="D4220" i="7"/>
  <c r="F4220" i="7" s="1"/>
  <c r="C4220" i="7"/>
  <c r="D4219" i="7"/>
  <c r="F4219" i="7" s="1"/>
  <c r="C4219" i="7"/>
  <c r="D4218" i="7"/>
  <c r="F4218" i="7" s="1"/>
  <c r="C4218" i="7"/>
  <c r="D4217" i="7"/>
  <c r="F4217" i="7" s="1"/>
  <c r="C4217" i="7"/>
  <c r="D4216" i="7"/>
  <c r="F4216" i="7" s="1"/>
  <c r="C4216" i="7"/>
  <c r="D4215" i="7"/>
  <c r="F4215" i="7" s="1"/>
  <c r="C4215" i="7"/>
  <c r="D4214" i="7"/>
  <c r="F4214" i="7" s="1"/>
  <c r="C4214" i="7"/>
  <c r="D4213" i="7"/>
  <c r="F4213" i="7" s="1"/>
  <c r="C4213" i="7"/>
  <c r="D4212" i="7"/>
  <c r="F4212" i="7" s="1"/>
  <c r="C4212" i="7"/>
  <c r="D4211" i="7"/>
  <c r="F4211" i="7" s="1"/>
  <c r="C4211" i="7"/>
  <c r="D4210" i="7"/>
  <c r="F4210" i="7" s="1"/>
  <c r="C4210" i="7"/>
  <c r="D4209" i="7"/>
  <c r="F4209" i="7" s="1"/>
  <c r="C4209" i="7"/>
  <c r="D4208" i="7"/>
  <c r="F4208" i="7" s="1"/>
  <c r="C4208" i="7"/>
  <c r="F4207" i="7"/>
  <c r="D4207" i="7"/>
  <c r="C4207" i="7"/>
  <c r="D4206" i="7"/>
  <c r="F4206" i="7" s="1"/>
  <c r="C4206" i="7"/>
  <c r="D4205" i="7"/>
  <c r="F4205" i="7" s="1"/>
  <c r="C4205" i="7"/>
  <c r="D4204" i="7"/>
  <c r="F4204" i="7" s="1"/>
  <c r="C4204" i="7"/>
  <c r="D4203" i="7"/>
  <c r="F4203" i="7" s="1"/>
  <c r="C4203" i="7"/>
  <c r="D4202" i="7"/>
  <c r="F4202" i="7" s="1"/>
  <c r="C4202" i="7"/>
  <c r="D4201" i="7"/>
  <c r="F4201" i="7" s="1"/>
  <c r="C4201" i="7"/>
  <c r="D4200" i="7"/>
  <c r="F4200" i="7" s="1"/>
  <c r="C4200" i="7"/>
  <c r="D4199" i="7"/>
  <c r="F4199" i="7" s="1"/>
  <c r="C4199" i="7"/>
  <c r="D4198" i="7"/>
  <c r="F4198" i="7" s="1"/>
  <c r="C4198" i="7"/>
  <c r="D4197" i="7"/>
  <c r="F4197" i="7" s="1"/>
  <c r="C4197" i="7"/>
  <c r="D4196" i="7"/>
  <c r="F4196" i="7" s="1"/>
  <c r="C4196" i="7"/>
  <c r="D4195" i="7"/>
  <c r="F4195" i="7" s="1"/>
  <c r="C4195" i="7"/>
  <c r="D4194" i="7"/>
  <c r="F4194" i="7" s="1"/>
  <c r="C4194" i="7"/>
  <c r="D4193" i="7"/>
  <c r="F4193" i="7" s="1"/>
  <c r="C4193" i="7"/>
  <c r="D4192" i="7"/>
  <c r="F4192" i="7" s="1"/>
  <c r="C4192" i="7"/>
  <c r="D4191" i="7"/>
  <c r="F4191" i="7" s="1"/>
  <c r="C4191" i="7"/>
  <c r="D4190" i="7"/>
  <c r="F4190" i="7" s="1"/>
  <c r="C4190" i="7"/>
  <c r="D4189" i="7"/>
  <c r="F4189" i="7" s="1"/>
  <c r="C4189" i="7"/>
  <c r="D4188" i="7"/>
  <c r="F4188" i="7" s="1"/>
  <c r="C4188" i="7"/>
  <c r="D4187" i="7"/>
  <c r="F4187" i="7" s="1"/>
  <c r="C4187" i="7"/>
  <c r="D4186" i="7"/>
  <c r="F4186" i="7" s="1"/>
  <c r="C4186" i="7"/>
  <c r="D4185" i="7"/>
  <c r="F4185" i="7" s="1"/>
  <c r="C4185" i="7"/>
  <c r="D4184" i="7"/>
  <c r="F4184" i="7" s="1"/>
  <c r="C4184" i="7"/>
  <c r="F4183" i="7"/>
  <c r="D4183" i="7"/>
  <c r="C4183" i="7"/>
  <c r="D4182" i="7"/>
  <c r="F4182" i="7" s="1"/>
  <c r="C4182" i="7"/>
  <c r="D4181" i="7"/>
  <c r="F4181" i="7" s="1"/>
  <c r="C4181" i="7"/>
  <c r="D4180" i="7"/>
  <c r="F4180" i="7" s="1"/>
  <c r="C4180" i="7"/>
  <c r="D4179" i="7"/>
  <c r="F4179" i="7" s="1"/>
  <c r="C4179" i="7"/>
  <c r="D4178" i="7"/>
  <c r="F4178" i="7" s="1"/>
  <c r="C4178" i="7"/>
  <c r="D4177" i="7"/>
  <c r="F4177" i="7" s="1"/>
  <c r="C4177" i="7"/>
  <c r="D4176" i="7"/>
  <c r="F4176" i="7" s="1"/>
  <c r="C4176" i="7"/>
  <c r="D4175" i="7"/>
  <c r="F4175" i="7" s="1"/>
  <c r="C4175" i="7"/>
  <c r="D4174" i="7"/>
  <c r="F4174" i="7" s="1"/>
  <c r="C4174" i="7"/>
  <c r="F4173" i="7"/>
  <c r="D4173" i="7"/>
  <c r="C4173" i="7"/>
  <c r="D4172" i="7"/>
  <c r="F4172" i="7" s="1"/>
  <c r="C4172" i="7"/>
  <c r="D4171" i="7"/>
  <c r="F4171" i="7" s="1"/>
  <c r="C4171" i="7"/>
  <c r="D4170" i="7"/>
  <c r="F4170" i="7" s="1"/>
  <c r="C4170" i="7"/>
  <c r="D4169" i="7"/>
  <c r="F4169" i="7" s="1"/>
  <c r="C4169" i="7"/>
  <c r="D4168" i="7"/>
  <c r="F4168" i="7" s="1"/>
  <c r="C4168" i="7"/>
  <c r="D4167" i="7"/>
  <c r="F4167" i="7" s="1"/>
  <c r="C4167" i="7"/>
  <c r="D4166" i="7"/>
  <c r="F4166" i="7" s="1"/>
  <c r="C4166" i="7"/>
  <c r="D4165" i="7"/>
  <c r="F4165" i="7" s="1"/>
  <c r="C4165" i="7"/>
  <c r="D4164" i="7"/>
  <c r="F4164" i="7" s="1"/>
  <c r="C4164" i="7"/>
  <c r="D4163" i="7"/>
  <c r="F4163" i="7" s="1"/>
  <c r="C4163" i="7"/>
  <c r="D4162" i="7"/>
  <c r="F4162" i="7" s="1"/>
  <c r="C4162" i="7"/>
  <c r="D4161" i="7"/>
  <c r="F4161" i="7" s="1"/>
  <c r="C4161" i="7"/>
  <c r="D4160" i="7"/>
  <c r="F4160" i="7" s="1"/>
  <c r="C4160" i="7"/>
  <c r="D4159" i="7"/>
  <c r="F4159" i="7" s="1"/>
  <c r="C4159" i="7"/>
  <c r="D4158" i="7"/>
  <c r="F4158" i="7" s="1"/>
  <c r="C4158" i="7"/>
  <c r="D4157" i="7"/>
  <c r="F4157" i="7" s="1"/>
  <c r="C4157" i="7"/>
  <c r="D4156" i="7"/>
  <c r="F4156" i="7" s="1"/>
  <c r="C4156" i="7"/>
  <c r="D4155" i="7"/>
  <c r="F4155" i="7" s="1"/>
  <c r="C4155" i="7"/>
  <c r="D4154" i="7"/>
  <c r="F4154" i="7" s="1"/>
  <c r="C4154" i="7"/>
  <c r="D4153" i="7"/>
  <c r="F4153" i="7" s="1"/>
  <c r="C4153" i="7"/>
  <c r="D4152" i="7"/>
  <c r="F4152" i="7" s="1"/>
  <c r="C4152" i="7"/>
  <c r="D4151" i="7"/>
  <c r="F4151" i="7" s="1"/>
  <c r="C4151" i="7"/>
  <c r="D4150" i="7"/>
  <c r="F4150" i="7" s="1"/>
  <c r="C4150" i="7"/>
  <c r="D4149" i="7"/>
  <c r="F4149" i="7" s="1"/>
  <c r="C4149" i="7"/>
  <c r="D4148" i="7"/>
  <c r="F4148" i="7" s="1"/>
  <c r="C4148" i="7"/>
  <c r="D4147" i="7"/>
  <c r="F4147" i="7" s="1"/>
  <c r="C4147" i="7"/>
  <c r="D4146" i="7"/>
  <c r="F4146" i="7" s="1"/>
  <c r="C4146" i="7"/>
  <c r="D4145" i="7"/>
  <c r="F4145" i="7" s="1"/>
  <c r="C4145" i="7"/>
  <c r="D4144" i="7"/>
  <c r="F4144" i="7" s="1"/>
  <c r="C4144" i="7"/>
  <c r="D4143" i="7"/>
  <c r="F4143" i="7" s="1"/>
  <c r="C4143" i="7"/>
  <c r="D4142" i="7"/>
  <c r="F4142" i="7" s="1"/>
  <c r="C4142" i="7"/>
  <c r="D4141" i="7"/>
  <c r="F4141" i="7" s="1"/>
  <c r="C4141" i="7"/>
  <c r="D4140" i="7"/>
  <c r="F4140" i="7" s="1"/>
  <c r="C4140" i="7"/>
  <c r="D4139" i="7"/>
  <c r="F4139" i="7" s="1"/>
  <c r="C4139" i="7"/>
  <c r="D4138" i="7"/>
  <c r="F4138" i="7" s="1"/>
  <c r="C4138" i="7"/>
  <c r="D4137" i="7"/>
  <c r="F4137" i="7" s="1"/>
  <c r="C4137" i="7"/>
  <c r="D4136" i="7"/>
  <c r="F4136" i="7" s="1"/>
  <c r="C4136" i="7"/>
  <c r="D4135" i="7"/>
  <c r="F4135" i="7" s="1"/>
  <c r="C4135" i="7"/>
  <c r="D4134" i="7"/>
  <c r="F4134" i="7" s="1"/>
  <c r="C4134" i="7"/>
  <c r="D4133" i="7"/>
  <c r="F4133" i="7" s="1"/>
  <c r="C4133" i="7"/>
  <c r="D4132" i="7"/>
  <c r="F4132" i="7" s="1"/>
  <c r="C4132" i="7"/>
  <c r="F4131" i="7"/>
  <c r="D4131" i="7"/>
  <c r="C4131" i="7"/>
  <c r="D4130" i="7"/>
  <c r="F4130" i="7" s="1"/>
  <c r="C4130" i="7"/>
  <c r="D4129" i="7"/>
  <c r="F4129" i="7" s="1"/>
  <c r="C4129" i="7"/>
  <c r="D4128" i="7"/>
  <c r="F4128" i="7" s="1"/>
  <c r="C4128" i="7"/>
  <c r="D4127" i="7"/>
  <c r="F4127" i="7" s="1"/>
  <c r="C4127" i="7"/>
  <c r="D4126" i="7"/>
  <c r="F4126" i="7" s="1"/>
  <c r="C4126" i="7"/>
  <c r="D4125" i="7"/>
  <c r="F4125" i="7" s="1"/>
  <c r="C4125" i="7"/>
  <c r="D4124" i="7"/>
  <c r="F4124" i="7" s="1"/>
  <c r="C4124" i="7"/>
  <c r="D4123" i="7"/>
  <c r="F4123" i="7" s="1"/>
  <c r="C4123" i="7"/>
  <c r="D4122" i="7"/>
  <c r="F4122" i="7" s="1"/>
  <c r="C4122" i="7"/>
  <c r="D4121" i="7"/>
  <c r="F4121" i="7" s="1"/>
  <c r="C4121" i="7"/>
  <c r="D4120" i="7"/>
  <c r="F4120" i="7" s="1"/>
  <c r="C4120" i="7"/>
  <c r="D4119" i="7"/>
  <c r="F4119" i="7" s="1"/>
  <c r="C4119" i="7"/>
  <c r="D4118" i="7"/>
  <c r="F4118" i="7" s="1"/>
  <c r="C4118" i="7"/>
  <c r="D4117" i="7"/>
  <c r="F4117" i="7" s="1"/>
  <c r="C4117" i="7"/>
  <c r="D4116" i="7"/>
  <c r="F4116" i="7" s="1"/>
  <c r="C4116" i="7"/>
  <c r="D4115" i="7"/>
  <c r="F4115" i="7" s="1"/>
  <c r="C4115" i="7"/>
  <c r="D4114" i="7"/>
  <c r="F4114" i="7" s="1"/>
  <c r="C4114" i="7"/>
  <c r="D4113" i="7"/>
  <c r="F4113" i="7" s="1"/>
  <c r="C4113" i="7"/>
  <c r="D4112" i="7"/>
  <c r="F4112" i="7" s="1"/>
  <c r="C4112" i="7"/>
  <c r="D4111" i="7"/>
  <c r="F4111" i="7" s="1"/>
  <c r="C4111" i="7"/>
  <c r="D4110" i="7"/>
  <c r="F4110" i="7" s="1"/>
  <c r="C4110" i="7"/>
  <c r="D4109" i="7"/>
  <c r="F4109" i="7" s="1"/>
  <c r="C4109" i="7"/>
  <c r="D4108" i="7"/>
  <c r="F4108" i="7" s="1"/>
  <c r="C4108" i="7"/>
  <c r="D4107" i="7"/>
  <c r="F4107" i="7" s="1"/>
  <c r="C4107" i="7"/>
  <c r="D4106" i="7"/>
  <c r="F4106" i="7" s="1"/>
  <c r="C4106" i="7"/>
  <c r="D4105" i="7"/>
  <c r="F4105" i="7" s="1"/>
  <c r="C4105" i="7"/>
  <c r="D4104" i="7"/>
  <c r="F4104" i="7" s="1"/>
  <c r="C4104" i="7"/>
  <c r="D4103" i="7"/>
  <c r="F4103" i="7" s="1"/>
  <c r="C4103" i="7"/>
  <c r="D4102" i="7"/>
  <c r="F4102" i="7" s="1"/>
  <c r="C4102" i="7"/>
  <c r="D4101" i="7"/>
  <c r="F4101" i="7" s="1"/>
  <c r="C4101" i="7"/>
  <c r="D4100" i="7"/>
  <c r="F4100" i="7" s="1"/>
  <c r="C4100" i="7"/>
  <c r="D4099" i="7"/>
  <c r="F4099" i="7" s="1"/>
  <c r="C4099" i="7"/>
  <c r="D4098" i="7"/>
  <c r="F4098" i="7" s="1"/>
  <c r="C4098" i="7"/>
  <c r="D4097" i="7"/>
  <c r="F4097" i="7" s="1"/>
  <c r="C4097" i="7"/>
  <c r="D4096" i="7"/>
  <c r="F4096" i="7" s="1"/>
  <c r="C4096" i="7"/>
  <c r="D4095" i="7"/>
  <c r="F4095" i="7" s="1"/>
  <c r="C4095" i="7"/>
  <c r="D4094" i="7"/>
  <c r="F4094" i="7" s="1"/>
  <c r="C4094" i="7"/>
  <c r="D4093" i="7"/>
  <c r="F4093" i="7" s="1"/>
  <c r="C4093" i="7"/>
  <c r="D4092" i="7"/>
  <c r="F4092" i="7" s="1"/>
  <c r="C4092" i="7"/>
  <c r="D4091" i="7"/>
  <c r="F4091" i="7" s="1"/>
  <c r="C4091" i="7"/>
  <c r="D4090" i="7"/>
  <c r="F4090" i="7" s="1"/>
  <c r="C4090" i="7"/>
  <c r="D4089" i="7"/>
  <c r="F4089" i="7" s="1"/>
  <c r="C4089" i="7"/>
  <c r="D4088" i="7"/>
  <c r="F4088" i="7" s="1"/>
  <c r="C4088" i="7"/>
  <c r="D4087" i="7"/>
  <c r="F4087" i="7" s="1"/>
  <c r="C4087" i="7"/>
  <c r="D4086" i="7"/>
  <c r="F4086" i="7" s="1"/>
  <c r="C4086" i="7"/>
  <c r="D4085" i="7"/>
  <c r="F4085" i="7" s="1"/>
  <c r="C4085" i="7"/>
  <c r="D4084" i="7"/>
  <c r="F4084" i="7" s="1"/>
  <c r="C4084" i="7"/>
  <c r="D4083" i="7"/>
  <c r="F4083" i="7" s="1"/>
  <c r="C4083" i="7"/>
  <c r="D4082" i="7"/>
  <c r="F4082" i="7" s="1"/>
  <c r="C4082" i="7"/>
  <c r="D4081" i="7"/>
  <c r="F4081" i="7" s="1"/>
  <c r="C4081" i="7"/>
  <c r="D4080" i="7"/>
  <c r="F4080" i="7" s="1"/>
  <c r="C4080" i="7"/>
  <c r="D4079" i="7"/>
  <c r="F4079" i="7" s="1"/>
  <c r="C4079" i="7"/>
  <c r="D4078" i="7"/>
  <c r="F4078" i="7" s="1"/>
  <c r="C4078" i="7"/>
  <c r="D4077" i="7"/>
  <c r="F4077" i="7" s="1"/>
  <c r="C4077" i="7"/>
  <c r="D4076" i="7"/>
  <c r="F4076" i="7" s="1"/>
  <c r="C4076" i="7"/>
  <c r="D4075" i="7"/>
  <c r="F4075" i="7" s="1"/>
  <c r="C4075" i="7"/>
  <c r="D4074" i="7"/>
  <c r="F4074" i="7" s="1"/>
  <c r="C4074" i="7"/>
  <c r="D4073" i="7"/>
  <c r="F4073" i="7" s="1"/>
  <c r="C4073" i="7"/>
  <c r="D4072" i="7"/>
  <c r="F4072" i="7" s="1"/>
  <c r="C4072" i="7"/>
  <c r="F4071" i="7"/>
  <c r="D4071" i="7"/>
  <c r="C4071" i="7"/>
  <c r="D4070" i="7"/>
  <c r="F4070" i="7" s="1"/>
  <c r="C4070" i="7"/>
  <c r="D4069" i="7"/>
  <c r="F4069" i="7" s="1"/>
  <c r="C4069" i="7"/>
  <c r="D4068" i="7"/>
  <c r="F4068" i="7" s="1"/>
  <c r="C4068" i="7"/>
  <c r="D4067" i="7"/>
  <c r="F4067" i="7" s="1"/>
  <c r="C4067" i="7"/>
  <c r="D4066" i="7"/>
  <c r="F4066" i="7" s="1"/>
  <c r="C4066" i="7"/>
  <c r="D4065" i="7"/>
  <c r="F4065" i="7" s="1"/>
  <c r="C4065" i="7"/>
  <c r="D4064" i="7"/>
  <c r="F4064" i="7" s="1"/>
  <c r="C4064" i="7"/>
  <c r="D4063" i="7"/>
  <c r="F4063" i="7" s="1"/>
  <c r="C4063" i="7"/>
  <c r="D4062" i="7"/>
  <c r="F4062" i="7" s="1"/>
  <c r="C4062" i="7"/>
  <c r="D4061" i="7"/>
  <c r="F4061" i="7" s="1"/>
  <c r="C4061" i="7"/>
  <c r="D4060" i="7"/>
  <c r="F4060" i="7" s="1"/>
  <c r="C4060" i="7"/>
  <c r="D4059" i="7"/>
  <c r="F4059" i="7" s="1"/>
  <c r="C4059" i="7"/>
  <c r="D4058" i="7"/>
  <c r="F4058" i="7" s="1"/>
  <c r="C4058" i="7"/>
  <c r="D4057" i="7"/>
  <c r="F4057" i="7" s="1"/>
  <c r="C4057" i="7"/>
  <c r="D4056" i="7"/>
  <c r="F4056" i="7" s="1"/>
  <c r="C4056" i="7"/>
  <c r="D4055" i="7"/>
  <c r="F4055" i="7" s="1"/>
  <c r="C4055" i="7"/>
  <c r="D4054" i="7"/>
  <c r="F4054" i="7" s="1"/>
  <c r="C4054" i="7"/>
  <c r="D4053" i="7"/>
  <c r="F4053" i="7" s="1"/>
  <c r="C4053" i="7"/>
  <c r="D4052" i="7"/>
  <c r="F4052" i="7" s="1"/>
  <c r="C4052" i="7"/>
  <c r="D4051" i="7"/>
  <c r="F4051" i="7" s="1"/>
  <c r="C4051" i="7"/>
  <c r="D4050" i="7"/>
  <c r="F4050" i="7" s="1"/>
  <c r="C4050" i="7"/>
  <c r="D4049" i="7"/>
  <c r="F4049" i="7" s="1"/>
  <c r="C4049" i="7"/>
  <c r="D4048" i="7"/>
  <c r="F4048" i="7" s="1"/>
  <c r="C4048" i="7"/>
  <c r="D4047" i="7"/>
  <c r="F4047" i="7" s="1"/>
  <c r="C4047" i="7"/>
  <c r="D4046" i="7"/>
  <c r="F4046" i="7" s="1"/>
  <c r="C4046" i="7"/>
  <c r="D4045" i="7"/>
  <c r="F4045" i="7" s="1"/>
  <c r="C4045" i="7"/>
  <c r="D4044" i="7"/>
  <c r="F4044" i="7" s="1"/>
  <c r="C4044" i="7"/>
  <c r="D4043" i="7"/>
  <c r="F4043" i="7" s="1"/>
  <c r="C4043" i="7"/>
  <c r="D4042" i="7"/>
  <c r="F4042" i="7" s="1"/>
  <c r="C4042" i="7"/>
  <c r="D4041" i="7"/>
  <c r="F4041" i="7" s="1"/>
  <c r="C4041" i="7"/>
  <c r="D4040" i="7"/>
  <c r="F4040" i="7" s="1"/>
  <c r="C4040" i="7"/>
  <c r="D4039" i="7"/>
  <c r="F4039" i="7" s="1"/>
  <c r="C4039" i="7"/>
  <c r="D4038" i="7"/>
  <c r="F4038" i="7" s="1"/>
  <c r="C4038" i="7"/>
  <c r="D4037" i="7"/>
  <c r="F4037" i="7" s="1"/>
  <c r="C4037" i="7"/>
  <c r="D4036" i="7"/>
  <c r="F4036" i="7" s="1"/>
  <c r="C4036" i="7"/>
  <c r="D4035" i="7"/>
  <c r="F4035" i="7" s="1"/>
  <c r="C4035" i="7"/>
  <c r="D4034" i="7"/>
  <c r="F4034" i="7" s="1"/>
  <c r="C4034" i="7"/>
  <c r="D4033" i="7"/>
  <c r="F4033" i="7" s="1"/>
  <c r="C4033" i="7"/>
  <c r="D4032" i="7"/>
  <c r="F4032" i="7" s="1"/>
  <c r="C4032" i="7"/>
  <c r="D4031" i="7"/>
  <c r="F4031" i="7" s="1"/>
  <c r="C4031" i="7"/>
  <c r="D4030" i="7"/>
  <c r="F4030" i="7" s="1"/>
  <c r="C4030" i="7"/>
  <c r="D4029" i="7"/>
  <c r="F4029" i="7" s="1"/>
  <c r="C4029" i="7"/>
  <c r="D4028" i="7"/>
  <c r="F4028" i="7" s="1"/>
  <c r="C4028" i="7"/>
  <c r="D4027" i="7"/>
  <c r="F4027" i="7" s="1"/>
  <c r="C4027" i="7"/>
  <c r="D4026" i="7"/>
  <c r="F4026" i="7" s="1"/>
  <c r="C4026" i="7"/>
  <c r="D4025" i="7"/>
  <c r="F4025" i="7" s="1"/>
  <c r="C4025" i="7"/>
  <c r="D4024" i="7"/>
  <c r="F4024" i="7" s="1"/>
  <c r="C4024" i="7"/>
  <c r="D4023" i="7"/>
  <c r="F4023" i="7" s="1"/>
  <c r="C4023" i="7"/>
  <c r="D4022" i="7"/>
  <c r="F4022" i="7" s="1"/>
  <c r="C4022" i="7"/>
  <c r="D4021" i="7"/>
  <c r="F4021" i="7" s="1"/>
  <c r="C4021" i="7"/>
  <c r="D4020" i="7"/>
  <c r="F4020" i="7" s="1"/>
  <c r="C4020" i="7"/>
  <c r="D4019" i="7"/>
  <c r="F4019" i="7" s="1"/>
  <c r="C4019" i="7"/>
  <c r="D4018" i="7"/>
  <c r="F4018" i="7" s="1"/>
  <c r="C4018" i="7"/>
  <c r="D4017" i="7"/>
  <c r="F4017" i="7" s="1"/>
  <c r="C4017" i="7"/>
  <c r="D4016" i="7"/>
  <c r="F4016" i="7" s="1"/>
  <c r="C4016" i="7"/>
  <c r="D4015" i="7"/>
  <c r="F4015" i="7" s="1"/>
  <c r="C4015" i="7"/>
  <c r="D4014" i="7"/>
  <c r="F4014" i="7" s="1"/>
  <c r="C4014" i="7"/>
  <c r="D4013" i="7"/>
  <c r="F4013" i="7" s="1"/>
  <c r="C4013" i="7"/>
  <c r="D4012" i="7"/>
  <c r="F4012" i="7" s="1"/>
  <c r="C4012" i="7"/>
  <c r="D4011" i="7"/>
  <c r="F4011" i="7" s="1"/>
  <c r="C4011" i="7"/>
  <c r="D4010" i="7"/>
  <c r="F4010" i="7" s="1"/>
  <c r="C4010" i="7"/>
  <c r="D4009" i="7"/>
  <c r="F4009" i="7" s="1"/>
  <c r="C4009" i="7"/>
  <c r="D4008" i="7"/>
  <c r="F4008" i="7" s="1"/>
  <c r="C4008" i="7"/>
  <c r="F4007" i="7"/>
  <c r="D4007" i="7"/>
  <c r="C4007" i="7"/>
  <c r="D4006" i="7"/>
  <c r="F4006" i="7" s="1"/>
  <c r="C4006" i="7"/>
  <c r="D4005" i="7"/>
  <c r="F4005" i="7" s="1"/>
  <c r="C4005" i="7"/>
  <c r="D4004" i="7"/>
  <c r="F4004" i="7" s="1"/>
  <c r="C4004" i="7"/>
  <c r="D4003" i="7"/>
  <c r="F4003" i="7" s="1"/>
  <c r="C4003" i="7"/>
  <c r="D4002" i="7"/>
  <c r="F4002" i="7" s="1"/>
  <c r="C4002" i="7"/>
  <c r="D4001" i="7"/>
  <c r="F4001" i="7" s="1"/>
  <c r="C4001" i="7"/>
  <c r="D4000" i="7"/>
  <c r="F4000" i="7" s="1"/>
  <c r="C4000" i="7"/>
  <c r="D3999" i="7"/>
  <c r="F3999" i="7" s="1"/>
  <c r="C3999" i="7"/>
  <c r="D3998" i="7"/>
  <c r="F3998" i="7" s="1"/>
  <c r="C3998" i="7"/>
  <c r="D3997" i="7"/>
  <c r="F3997" i="7" s="1"/>
  <c r="C3997" i="7"/>
  <c r="D3996" i="7"/>
  <c r="F3996" i="7" s="1"/>
  <c r="C3996" i="7"/>
  <c r="D3995" i="7"/>
  <c r="F3995" i="7" s="1"/>
  <c r="C3995" i="7"/>
  <c r="D3994" i="7"/>
  <c r="F3994" i="7" s="1"/>
  <c r="C3994" i="7"/>
  <c r="D3993" i="7"/>
  <c r="F3993" i="7" s="1"/>
  <c r="C3993" i="7"/>
  <c r="D3992" i="7"/>
  <c r="F3992" i="7" s="1"/>
  <c r="C3992" i="7"/>
  <c r="D3991" i="7"/>
  <c r="F3991" i="7" s="1"/>
  <c r="C3991" i="7"/>
  <c r="D3990" i="7"/>
  <c r="F3990" i="7" s="1"/>
  <c r="C3990" i="7"/>
  <c r="D3989" i="7"/>
  <c r="F3989" i="7" s="1"/>
  <c r="C3989" i="7"/>
  <c r="D3988" i="7"/>
  <c r="F3988" i="7" s="1"/>
  <c r="C3988" i="7"/>
  <c r="D3987" i="7"/>
  <c r="F3987" i="7" s="1"/>
  <c r="C3987" i="7"/>
  <c r="D3986" i="7"/>
  <c r="F3986" i="7" s="1"/>
  <c r="C3986" i="7"/>
  <c r="F3985" i="7"/>
  <c r="D3985" i="7"/>
  <c r="C3985" i="7"/>
  <c r="D3984" i="7"/>
  <c r="F3984" i="7" s="1"/>
  <c r="C3984" i="7"/>
  <c r="D3983" i="7"/>
  <c r="F3983" i="7" s="1"/>
  <c r="C3983" i="7"/>
  <c r="D3982" i="7"/>
  <c r="F3982" i="7" s="1"/>
  <c r="C3982" i="7"/>
  <c r="D3981" i="7"/>
  <c r="F3981" i="7" s="1"/>
  <c r="C3981" i="7"/>
  <c r="D3980" i="7"/>
  <c r="F3980" i="7" s="1"/>
  <c r="C3980" i="7"/>
  <c r="D3979" i="7"/>
  <c r="F3979" i="7" s="1"/>
  <c r="C3979" i="7"/>
  <c r="D3978" i="7"/>
  <c r="F3978" i="7" s="1"/>
  <c r="C3978" i="7"/>
  <c r="D3977" i="7"/>
  <c r="F3977" i="7" s="1"/>
  <c r="C3977" i="7"/>
  <c r="D3976" i="7"/>
  <c r="F3976" i="7" s="1"/>
  <c r="C3976" i="7"/>
  <c r="D3975" i="7"/>
  <c r="F3975" i="7" s="1"/>
  <c r="C3975" i="7"/>
  <c r="D3974" i="7"/>
  <c r="F3974" i="7" s="1"/>
  <c r="C3974" i="7"/>
  <c r="F3973" i="7"/>
  <c r="D3973" i="7"/>
  <c r="C3973" i="7"/>
  <c r="D3972" i="7"/>
  <c r="F3972" i="7" s="1"/>
  <c r="C3972" i="7"/>
  <c r="D3971" i="7"/>
  <c r="F3971" i="7" s="1"/>
  <c r="C3971" i="7"/>
  <c r="D3970" i="7"/>
  <c r="F3970" i="7" s="1"/>
  <c r="C3970" i="7"/>
  <c r="D3969" i="7"/>
  <c r="F3969" i="7" s="1"/>
  <c r="C3969" i="7"/>
  <c r="D3968" i="7"/>
  <c r="F3968" i="7" s="1"/>
  <c r="C3968" i="7"/>
  <c r="D3967" i="7"/>
  <c r="F3967" i="7" s="1"/>
  <c r="C3967" i="7"/>
  <c r="D3966" i="7"/>
  <c r="F3966" i="7" s="1"/>
  <c r="C3966" i="7"/>
  <c r="D3965" i="7"/>
  <c r="F3965" i="7" s="1"/>
  <c r="C3965" i="7"/>
  <c r="D3964" i="7"/>
  <c r="F3964" i="7" s="1"/>
  <c r="C3964" i="7"/>
  <c r="D3963" i="7"/>
  <c r="F3963" i="7" s="1"/>
  <c r="C3963" i="7"/>
  <c r="D3962" i="7"/>
  <c r="F3962" i="7" s="1"/>
  <c r="C3962" i="7"/>
  <c r="D3961" i="7"/>
  <c r="F3961" i="7" s="1"/>
  <c r="C3961" i="7"/>
  <c r="D3960" i="7"/>
  <c r="F3960" i="7" s="1"/>
  <c r="C3960" i="7"/>
  <c r="D3959" i="7"/>
  <c r="F3959" i="7" s="1"/>
  <c r="C3959" i="7"/>
  <c r="D3958" i="7"/>
  <c r="F3958" i="7" s="1"/>
  <c r="C3958" i="7"/>
  <c r="D3957" i="7"/>
  <c r="F3957" i="7" s="1"/>
  <c r="C3957" i="7"/>
  <c r="D3956" i="7"/>
  <c r="F3956" i="7" s="1"/>
  <c r="C3956" i="7"/>
  <c r="D3955" i="7"/>
  <c r="F3955" i="7" s="1"/>
  <c r="C3955" i="7"/>
  <c r="D3954" i="7"/>
  <c r="F3954" i="7" s="1"/>
  <c r="C3954" i="7"/>
  <c r="D3953" i="7"/>
  <c r="F3953" i="7" s="1"/>
  <c r="C3953" i="7"/>
  <c r="D3952" i="7"/>
  <c r="F3952" i="7" s="1"/>
  <c r="C3952" i="7"/>
  <c r="D3951" i="7"/>
  <c r="F3951" i="7" s="1"/>
  <c r="C3951" i="7"/>
  <c r="D3950" i="7"/>
  <c r="F3950" i="7" s="1"/>
  <c r="C3950" i="7"/>
  <c r="D3949" i="7"/>
  <c r="F3949" i="7" s="1"/>
  <c r="C3949" i="7"/>
  <c r="D3948" i="7"/>
  <c r="F3948" i="7" s="1"/>
  <c r="C3948" i="7"/>
  <c r="D3947" i="7"/>
  <c r="F3947" i="7" s="1"/>
  <c r="C3947" i="7"/>
  <c r="D3946" i="7"/>
  <c r="F3946" i="7" s="1"/>
  <c r="C3946" i="7"/>
  <c r="D3945" i="7"/>
  <c r="F3945" i="7" s="1"/>
  <c r="C3945" i="7"/>
  <c r="D3944" i="7"/>
  <c r="F3944" i="7" s="1"/>
  <c r="C3944" i="7"/>
  <c r="D3943" i="7"/>
  <c r="F3943" i="7" s="1"/>
  <c r="C3943" i="7"/>
  <c r="D3942" i="7"/>
  <c r="F3942" i="7" s="1"/>
  <c r="C3942" i="7"/>
  <c r="D3941" i="7"/>
  <c r="F3941" i="7" s="1"/>
  <c r="C3941" i="7"/>
  <c r="D3940" i="7"/>
  <c r="F3940" i="7" s="1"/>
  <c r="C3940" i="7"/>
  <c r="D3939" i="7"/>
  <c r="F3939" i="7" s="1"/>
  <c r="C3939" i="7"/>
  <c r="D3938" i="7"/>
  <c r="F3938" i="7" s="1"/>
  <c r="C3938" i="7"/>
  <c r="F3937" i="7"/>
  <c r="D3937" i="7"/>
  <c r="C3937" i="7"/>
  <c r="D3936" i="7"/>
  <c r="F3936" i="7" s="1"/>
  <c r="C3936" i="7"/>
  <c r="D3935" i="7"/>
  <c r="F3935" i="7" s="1"/>
  <c r="C3935" i="7"/>
  <c r="D3934" i="7"/>
  <c r="F3934" i="7" s="1"/>
  <c r="C3934" i="7"/>
  <c r="D3933" i="7"/>
  <c r="F3933" i="7" s="1"/>
  <c r="C3933" i="7"/>
  <c r="D3932" i="7"/>
  <c r="F3932" i="7" s="1"/>
  <c r="C3932" i="7"/>
  <c r="D3931" i="7"/>
  <c r="F3931" i="7" s="1"/>
  <c r="C3931" i="7"/>
  <c r="D3930" i="7"/>
  <c r="F3930" i="7" s="1"/>
  <c r="C3930" i="7"/>
  <c r="D3929" i="7"/>
  <c r="F3929" i="7" s="1"/>
  <c r="C3929" i="7"/>
  <c r="D3928" i="7"/>
  <c r="F3928" i="7" s="1"/>
  <c r="C3928" i="7"/>
  <c r="D3927" i="7"/>
  <c r="F3927" i="7" s="1"/>
  <c r="C3927" i="7"/>
  <c r="D3926" i="7"/>
  <c r="F3926" i="7" s="1"/>
  <c r="C3926" i="7"/>
  <c r="D3925" i="7"/>
  <c r="F3925" i="7" s="1"/>
  <c r="C3925" i="7"/>
  <c r="D3924" i="7"/>
  <c r="F3924" i="7" s="1"/>
  <c r="C3924" i="7"/>
  <c r="D3923" i="7"/>
  <c r="F3923" i="7" s="1"/>
  <c r="C3923" i="7"/>
  <c r="D3922" i="7"/>
  <c r="F3922" i="7" s="1"/>
  <c r="C3922" i="7"/>
  <c r="D3921" i="7"/>
  <c r="F3921" i="7" s="1"/>
  <c r="C3921" i="7"/>
  <c r="D3920" i="7"/>
  <c r="F3920" i="7" s="1"/>
  <c r="C3920" i="7"/>
  <c r="D3919" i="7"/>
  <c r="F3919" i="7" s="1"/>
  <c r="C3919" i="7"/>
  <c r="D3918" i="7"/>
  <c r="F3918" i="7" s="1"/>
  <c r="C3918" i="7"/>
  <c r="D3917" i="7"/>
  <c r="F3917" i="7" s="1"/>
  <c r="C3917" i="7"/>
  <c r="D3916" i="7"/>
  <c r="F3916" i="7" s="1"/>
  <c r="C3916" i="7"/>
  <c r="D3915" i="7"/>
  <c r="F3915" i="7" s="1"/>
  <c r="C3915" i="7"/>
  <c r="D3914" i="7"/>
  <c r="F3914" i="7" s="1"/>
  <c r="C3914" i="7"/>
  <c r="D3913" i="7"/>
  <c r="F3913" i="7" s="1"/>
  <c r="C3913" i="7"/>
  <c r="D3912" i="7"/>
  <c r="F3912" i="7" s="1"/>
  <c r="C3912" i="7"/>
  <c r="D3911" i="7"/>
  <c r="F3911" i="7" s="1"/>
  <c r="C3911" i="7"/>
  <c r="D3910" i="7"/>
  <c r="F3910" i="7" s="1"/>
  <c r="C3910" i="7"/>
  <c r="D3909" i="7"/>
  <c r="F3909" i="7" s="1"/>
  <c r="C3909" i="7"/>
  <c r="D3908" i="7"/>
  <c r="F3908" i="7" s="1"/>
  <c r="C3908" i="7"/>
  <c r="D3907" i="7"/>
  <c r="F3907" i="7" s="1"/>
  <c r="C3907" i="7"/>
  <c r="D3906" i="7"/>
  <c r="F3906" i="7" s="1"/>
  <c r="C3906" i="7"/>
  <c r="D3905" i="7"/>
  <c r="F3905" i="7" s="1"/>
  <c r="C3905" i="7"/>
  <c r="D3904" i="7"/>
  <c r="F3904" i="7" s="1"/>
  <c r="C3904" i="7"/>
  <c r="D3903" i="7"/>
  <c r="F3903" i="7" s="1"/>
  <c r="C3903" i="7"/>
  <c r="D3902" i="7"/>
  <c r="F3902" i="7" s="1"/>
  <c r="C3902" i="7"/>
  <c r="D3901" i="7"/>
  <c r="F3901" i="7" s="1"/>
  <c r="C3901" i="7"/>
  <c r="D3900" i="7"/>
  <c r="F3900" i="7" s="1"/>
  <c r="C3900" i="7"/>
  <c r="D3899" i="7"/>
  <c r="F3899" i="7" s="1"/>
  <c r="C3899" i="7"/>
  <c r="D3898" i="7"/>
  <c r="F3898" i="7" s="1"/>
  <c r="C3898" i="7"/>
  <c r="D3897" i="7"/>
  <c r="F3897" i="7" s="1"/>
  <c r="C3897" i="7"/>
  <c r="D3896" i="7"/>
  <c r="F3896" i="7" s="1"/>
  <c r="C3896" i="7"/>
  <c r="D3895" i="7"/>
  <c r="F3895" i="7" s="1"/>
  <c r="C3895" i="7"/>
  <c r="D3894" i="7"/>
  <c r="F3894" i="7" s="1"/>
  <c r="C3894" i="7"/>
  <c r="D3893" i="7"/>
  <c r="F3893" i="7" s="1"/>
  <c r="C3893" i="7"/>
  <c r="D3892" i="7"/>
  <c r="F3892" i="7" s="1"/>
  <c r="C3892" i="7"/>
  <c r="D3891" i="7"/>
  <c r="F3891" i="7" s="1"/>
  <c r="C3891" i="7"/>
  <c r="D3890" i="7"/>
  <c r="F3890" i="7" s="1"/>
  <c r="C3890" i="7"/>
  <c r="D3889" i="7"/>
  <c r="F3889" i="7" s="1"/>
  <c r="C3889" i="7"/>
  <c r="D3888" i="7"/>
  <c r="F3888" i="7" s="1"/>
  <c r="C3888" i="7"/>
  <c r="D3887" i="7"/>
  <c r="F3887" i="7" s="1"/>
  <c r="C3887" i="7"/>
  <c r="D3886" i="7"/>
  <c r="F3886" i="7" s="1"/>
  <c r="C3886" i="7"/>
  <c r="D3885" i="7"/>
  <c r="F3885" i="7" s="1"/>
  <c r="C3885" i="7"/>
  <c r="D3884" i="7"/>
  <c r="F3884" i="7" s="1"/>
  <c r="C3884" i="7"/>
  <c r="D3883" i="7"/>
  <c r="F3883" i="7" s="1"/>
  <c r="C3883" i="7"/>
  <c r="D3882" i="7"/>
  <c r="F3882" i="7" s="1"/>
  <c r="C3882" i="7"/>
  <c r="D3881" i="7"/>
  <c r="F3881" i="7" s="1"/>
  <c r="C3881" i="7"/>
  <c r="D3880" i="7"/>
  <c r="F3880" i="7" s="1"/>
  <c r="C3880" i="7"/>
  <c r="D3879" i="7"/>
  <c r="F3879" i="7" s="1"/>
  <c r="C3879" i="7"/>
  <c r="D3878" i="7"/>
  <c r="F3878" i="7" s="1"/>
  <c r="C3878" i="7"/>
  <c r="D3877" i="7"/>
  <c r="F3877" i="7" s="1"/>
  <c r="C3877" i="7"/>
  <c r="D3876" i="7"/>
  <c r="F3876" i="7" s="1"/>
  <c r="C3876" i="7"/>
  <c r="D3875" i="7"/>
  <c r="F3875" i="7" s="1"/>
  <c r="C3875" i="7"/>
  <c r="D3874" i="7"/>
  <c r="F3874" i="7" s="1"/>
  <c r="C3874" i="7"/>
  <c r="D3873" i="7"/>
  <c r="F3873" i="7" s="1"/>
  <c r="C3873" i="7"/>
  <c r="D3872" i="7"/>
  <c r="F3872" i="7" s="1"/>
  <c r="C3872" i="7"/>
  <c r="D3871" i="7"/>
  <c r="F3871" i="7" s="1"/>
  <c r="C3871" i="7"/>
  <c r="D3870" i="7"/>
  <c r="F3870" i="7" s="1"/>
  <c r="C3870" i="7"/>
  <c r="D3869" i="7"/>
  <c r="F3869" i="7" s="1"/>
  <c r="C3869" i="7"/>
  <c r="D3868" i="7"/>
  <c r="F3868" i="7" s="1"/>
  <c r="C3868" i="7"/>
  <c r="D3867" i="7"/>
  <c r="F3867" i="7" s="1"/>
  <c r="C3867" i="7"/>
  <c r="D3866" i="7"/>
  <c r="F3866" i="7" s="1"/>
  <c r="C3866" i="7"/>
  <c r="D3865" i="7"/>
  <c r="F3865" i="7" s="1"/>
  <c r="C3865" i="7"/>
  <c r="D3864" i="7"/>
  <c r="F3864" i="7" s="1"/>
  <c r="C3864" i="7"/>
  <c r="D3863" i="7"/>
  <c r="F3863" i="7" s="1"/>
  <c r="C3863" i="7"/>
  <c r="D3862" i="7"/>
  <c r="F3862" i="7" s="1"/>
  <c r="C3862" i="7"/>
  <c r="D3861" i="7"/>
  <c r="F3861" i="7" s="1"/>
  <c r="C3861" i="7"/>
  <c r="D3860" i="7"/>
  <c r="F3860" i="7" s="1"/>
  <c r="C3860" i="7"/>
  <c r="D3859" i="7"/>
  <c r="F3859" i="7" s="1"/>
  <c r="C3859" i="7"/>
  <c r="D3858" i="7"/>
  <c r="F3858" i="7" s="1"/>
  <c r="C3858" i="7"/>
  <c r="D3857" i="7"/>
  <c r="F3857" i="7" s="1"/>
  <c r="C3857" i="7"/>
  <c r="D3856" i="7"/>
  <c r="F3856" i="7" s="1"/>
  <c r="C3856" i="7"/>
  <c r="D3855" i="7"/>
  <c r="F3855" i="7" s="1"/>
  <c r="C3855" i="7"/>
  <c r="D3854" i="7"/>
  <c r="F3854" i="7" s="1"/>
  <c r="C3854" i="7"/>
  <c r="F3853" i="7"/>
  <c r="D3853" i="7"/>
  <c r="C3853" i="7"/>
  <c r="D3852" i="7"/>
  <c r="F3852" i="7" s="1"/>
  <c r="C3852" i="7"/>
  <c r="D3851" i="7"/>
  <c r="F3851" i="7" s="1"/>
  <c r="C3851" i="7"/>
  <c r="D3850" i="7"/>
  <c r="F3850" i="7" s="1"/>
  <c r="C3850" i="7"/>
  <c r="D3849" i="7"/>
  <c r="F3849" i="7" s="1"/>
  <c r="C3849" i="7"/>
  <c r="D3848" i="7"/>
  <c r="F3848" i="7" s="1"/>
  <c r="C3848" i="7"/>
  <c r="D3847" i="7"/>
  <c r="F3847" i="7" s="1"/>
  <c r="C3847" i="7"/>
  <c r="D3846" i="7"/>
  <c r="F3846" i="7" s="1"/>
  <c r="C3846" i="7"/>
  <c r="D3845" i="7"/>
  <c r="F3845" i="7" s="1"/>
  <c r="C3845" i="7"/>
  <c r="D3844" i="7"/>
  <c r="F3844" i="7" s="1"/>
  <c r="C3844" i="7"/>
  <c r="D3843" i="7"/>
  <c r="F3843" i="7" s="1"/>
  <c r="C3843" i="7"/>
  <c r="D3842" i="7"/>
  <c r="F3842" i="7" s="1"/>
  <c r="C3842" i="7"/>
  <c r="D3841" i="7"/>
  <c r="F3841" i="7" s="1"/>
  <c r="C3841" i="7"/>
  <c r="D3840" i="7"/>
  <c r="F3840" i="7" s="1"/>
  <c r="C3840" i="7"/>
  <c r="D3839" i="7"/>
  <c r="F3839" i="7" s="1"/>
  <c r="C3839" i="7"/>
  <c r="D3838" i="7"/>
  <c r="F3838" i="7" s="1"/>
  <c r="C3838" i="7"/>
  <c r="D3837" i="7"/>
  <c r="F3837" i="7" s="1"/>
  <c r="C3837" i="7"/>
  <c r="D3836" i="7"/>
  <c r="F3836" i="7" s="1"/>
  <c r="C3836" i="7"/>
  <c r="D3835" i="7"/>
  <c r="F3835" i="7" s="1"/>
  <c r="C3835" i="7"/>
  <c r="D3834" i="7"/>
  <c r="F3834" i="7" s="1"/>
  <c r="C3834" i="7"/>
  <c r="D3833" i="7"/>
  <c r="F3833" i="7" s="1"/>
  <c r="C3833" i="7"/>
  <c r="D3832" i="7"/>
  <c r="F3832" i="7" s="1"/>
  <c r="C3832" i="7"/>
  <c r="D3831" i="7"/>
  <c r="F3831" i="7" s="1"/>
  <c r="C3831" i="7"/>
  <c r="D3830" i="7"/>
  <c r="F3830" i="7" s="1"/>
  <c r="C3830" i="7"/>
  <c r="D3829" i="7"/>
  <c r="F3829" i="7" s="1"/>
  <c r="C3829" i="7"/>
  <c r="D3828" i="7"/>
  <c r="F3828" i="7" s="1"/>
  <c r="C3828" i="7"/>
  <c r="D3827" i="7"/>
  <c r="F3827" i="7" s="1"/>
  <c r="C3827" i="7"/>
  <c r="D3826" i="7"/>
  <c r="F3826" i="7" s="1"/>
  <c r="C3826" i="7"/>
  <c r="F3825" i="7"/>
  <c r="D3825" i="7"/>
  <c r="C3825" i="7"/>
  <c r="D3824" i="7"/>
  <c r="F3824" i="7" s="1"/>
  <c r="C3824" i="7"/>
  <c r="D3823" i="7"/>
  <c r="F3823" i="7" s="1"/>
  <c r="C3823" i="7"/>
  <c r="D3822" i="7"/>
  <c r="F3822" i="7" s="1"/>
  <c r="C3822" i="7"/>
  <c r="D3821" i="7"/>
  <c r="F3821" i="7" s="1"/>
  <c r="C3821" i="7"/>
  <c r="D3820" i="7"/>
  <c r="F3820" i="7" s="1"/>
  <c r="C3820" i="7"/>
  <c r="D3819" i="7"/>
  <c r="F3819" i="7" s="1"/>
  <c r="C3819" i="7"/>
  <c r="D3818" i="7"/>
  <c r="F3818" i="7" s="1"/>
  <c r="C3818" i="7"/>
  <c r="D3817" i="7"/>
  <c r="F3817" i="7" s="1"/>
  <c r="C3817" i="7"/>
  <c r="D3816" i="7"/>
  <c r="F3816" i="7" s="1"/>
  <c r="C3816" i="7"/>
  <c r="D3815" i="7"/>
  <c r="F3815" i="7" s="1"/>
  <c r="C3815" i="7"/>
  <c r="D3814" i="7"/>
  <c r="F3814" i="7" s="1"/>
  <c r="C3814" i="7"/>
  <c r="D3813" i="7"/>
  <c r="F3813" i="7" s="1"/>
  <c r="C3813" i="7"/>
  <c r="D3812" i="7"/>
  <c r="F3812" i="7" s="1"/>
  <c r="C3812" i="7"/>
  <c r="D3811" i="7"/>
  <c r="F3811" i="7" s="1"/>
  <c r="C3811" i="7"/>
  <c r="D3810" i="7"/>
  <c r="F3810" i="7" s="1"/>
  <c r="C3810" i="7"/>
  <c r="D3809" i="7"/>
  <c r="F3809" i="7" s="1"/>
  <c r="C3809" i="7"/>
  <c r="D3808" i="7"/>
  <c r="F3808" i="7" s="1"/>
  <c r="C3808" i="7"/>
  <c r="D3807" i="7"/>
  <c r="F3807" i="7" s="1"/>
  <c r="C3807" i="7"/>
  <c r="D3806" i="7"/>
  <c r="F3806" i="7" s="1"/>
  <c r="C3806" i="7"/>
  <c r="D3805" i="7"/>
  <c r="F3805" i="7" s="1"/>
  <c r="C3805" i="7"/>
  <c r="D3804" i="7"/>
  <c r="F3804" i="7" s="1"/>
  <c r="C3804" i="7"/>
  <c r="D3803" i="7"/>
  <c r="F3803" i="7" s="1"/>
  <c r="C3803" i="7"/>
  <c r="D3802" i="7"/>
  <c r="F3802" i="7" s="1"/>
  <c r="C3802" i="7"/>
  <c r="D3801" i="7"/>
  <c r="F3801" i="7" s="1"/>
  <c r="C3801" i="7"/>
  <c r="D3800" i="7"/>
  <c r="F3800" i="7" s="1"/>
  <c r="C3800" i="7"/>
  <c r="D3799" i="7"/>
  <c r="F3799" i="7" s="1"/>
  <c r="C3799" i="7"/>
  <c r="D3798" i="7"/>
  <c r="F3798" i="7" s="1"/>
  <c r="C3798" i="7"/>
  <c r="D3797" i="7"/>
  <c r="F3797" i="7" s="1"/>
  <c r="C3797" i="7"/>
  <c r="D3796" i="7"/>
  <c r="F3796" i="7" s="1"/>
  <c r="C3796" i="7"/>
  <c r="D3795" i="7"/>
  <c r="F3795" i="7" s="1"/>
  <c r="C3795" i="7"/>
  <c r="D3794" i="7"/>
  <c r="F3794" i="7" s="1"/>
  <c r="C3794" i="7"/>
  <c r="D3793" i="7"/>
  <c r="F3793" i="7" s="1"/>
  <c r="C3793" i="7"/>
  <c r="D3792" i="7"/>
  <c r="F3792" i="7" s="1"/>
  <c r="C3792" i="7"/>
  <c r="D3791" i="7"/>
  <c r="F3791" i="7" s="1"/>
  <c r="C3791" i="7"/>
  <c r="D3790" i="7"/>
  <c r="F3790" i="7" s="1"/>
  <c r="C3790" i="7"/>
  <c r="D3789" i="7"/>
  <c r="F3789" i="7" s="1"/>
  <c r="C3789" i="7"/>
  <c r="D3788" i="7"/>
  <c r="F3788" i="7" s="1"/>
  <c r="C3788" i="7"/>
  <c r="D3787" i="7"/>
  <c r="F3787" i="7" s="1"/>
  <c r="C3787" i="7"/>
  <c r="D3786" i="7"/>
  <c r="F3786" i="7" s="1"/>
  <c r="C3786" i="7"/>
  <c r="D3785" i="7"/>
  <c r="F3785" i="7" s="1"/>
  <c r="C3785" i="7"/>
  <c r="D3784" i="7"/>
  <c r="F3784" i="7" s="1"/>
  <c r="C3784" i="7"/>
  <c r="D3783" i="7"/>
  <c r="F3783" i="7" s="1"/>
  <c r="C3783" i="7"/>
  <c r="D3782" i="7"/>
  <c r="F3782" i="7" s="1"/>
  <c r="C3782" i="7"/>
  <c r="D3781" i="7"/>
  <c r="F3781" i="7" s="1"/>
  <c r="C3781" i="7"/>
  <c r="D3780" i="7"/>
  <c r="F3780" i="7" s="1"/>
  <c r="C3780" i="7"/>
  <c r="D3779" i="7"/>
  <c r="F3779" i="7" s="1"/>
  <c r="C3779" i="7"/>
  <c r="D3778" i="7"/>
  <c r="F3778" i="7" s="1"/>
  <c r="C3778" i="7"/>
  <c r="D3777" i="7"/>
  <c r="F3777" i="7" s="1"/>
  <c r="C3777" i="7"/>
  <c r="D3776" i="7"/>
  <c r="F3776" i="7" s="1"/>
  <c r="C3776" i="7"/>
  <c r="D3775" i="7"/>
  <c r="F3775" i="7" s="1"/>
  <c r="C3775" i="7"/>
  <c r="D3774" i="7"/>
  <c r="F3774" i="7" s="1"/>
  <c r="C3774" i="7"/>
  <c r="D3773" i="7"/>
  <c r="F3773" i="7" s="1"/>
  <c r="C3773" i="7"/>
  <c r="D3772" i="7"/>
  <c r="F3772" i="7" s="1"/>
  <c r="C3772" i="7"/>
  <c r="D3771" i="7"/>
  <c r="F3771" i="7" s="1"/>
  <c r="C3771" i="7"/>
  <c r="D3770" i="7"/>
  <c r="F3770" i="7" s="1"/>
  <c r="C3770" i="7"/>
  <c r="D3769" i="7"/>
  <c r="F3769" i="7" s="1"/>
  <c r="C3769" i="7"/>
  <c r="D3768" i="7"/>
  <c r="F3768" i="7" s="1"/>
  <c r="C3768" i="7"/>
  <c r="D3767" i="7"/>
  <c r="F3767" i="7" s="1"/>
  <c r="C3767" i="7"/>
  <c r="D3766" i="7"/>
  <c r="F3766" i="7" s="1"/>
  <c r="C3766" i="7"/>
  <c r="D3765" i="7"/>
  <c r="F3765" i="7" s="1"/>
  <c r="C3765" i="7"/>
  <c r="D3764" i="7"/>
  <c r="F3764" i="7" s="1"/>
  <c r="C3764" i="7"/>
  <c r="D3763" i="7"/>
  <c r="F3763" i="7" s="1"/>
  <c r="C3763" i="7"/>
  <c r="D3762" i="7"/>
  <c r="F3762" i="7" s="1"/>
  <c r="C3762" i="7"/>
  <c r="D3761" i="7"/>
  <c r="F3761" i="7" s="1"/>
  <c r="C3761" i="7"/>
  <c r="D3760" i="7"/>
  <c r="F3760" i="7" s="1"/>
  <c r="C3760" i="7"/>
  <c r="D3759" i="7"/>
  <c r="F3759" i="7" s="1"/>
  <c r="C3759" i="7"/>
  <c r="D3758" i="7"/>
  <c r="F3758" i="7" s="1"/>
  <c r="C3758" i="7"/>
  <c r="D3757" i="7"/>
  <c r="F3757" i="7" s="1"/>
  <c r="C3757" i="7"/>
  <c r="D3756" i="7"/>
  <c r="F3756" i="7" s="1"/>
  <c r="C3756" i="7"/>
  <c r="D3755" i="7"/>
  <c r="F3755" i="7" s="1"/>
  <c r="C3755" i="7"/>
  <c r="D3754" i="7"/>
  <c r="F3754" i="7" s="1"/>
  <c r="C3754" i="7"/>
  <c r="F3753" i="7"/>
  <c r="D3753" i="7"/>
  <c r="C3753" i="7"/>
  <c r="D3752" i="7"/>
  <c r="F3752" i="7" s="1"/>
  <c r="C3752" i="7"/>
  <c r="D3751" i="7"/>
  <c r="F3751" i="7" s="1"/>
  <c r="C3751" i="7"/>
  <c r="D3750" i="7"/>
  <c r="F3750" i="7" s="1"/>
  <c r="C3750" i="7"/>
  <c r="D3749" i="7"/>
  <c r="F3749" i="7" s="1"/>
  <c r="C3749" i="7"/>
  <c r="D3748" i="7"/>
  <c r="F3748" i="7" s="1"/>
  <c r="C3748" i="7"/>
  <c r="D3747" i="7"/>
  <c r="F3747" i="7" s="1"/>
  <c r="C3747" i="7"/>
  <c r="D3746" i="7"/>
  <c r="F3746" i="7" s="1"/>
  <c r="C3746" i="7"/>
  <c r="D3745" i="7"/>
  <c r="F3745" i="7" s="1"/>
  <c r="C3745" i="7"/>
  <c r="D3744" i="7"/>
  <c r="F3744" i="7" s="1"/>
  <c r="C3744" i="7"/>
  <c r="D3743" i="7"/>
  <c r="F3743" i="7" s="1"/>
  <c r="C3743" i="7"/>
  <c r="D3742" i="7"/>
  <c r="F3742" i="7" s="1"/>
  <c r="C3742" i="7"/>
  <c r="D3741" i="7"/>
  <c r="F3741" i="7" s="1"/>
  <c r="C3741" i="7"/>
  <c r="D3740" i="7"/>
  <c r="F3740" i="7" s="1"/>
  <c r="C3740" i="7"/>
  <c r="D3739" i="7"/>
  <c r="F3739" i="7" s="1"/>
  <c r="C3739" i="7"/>
  <c r="D3738" i="7"/>
  <c r="F3738" i="7" s="1"/>
  <c r="C3738" i="7"/>
  <c r="D3737" i="7"/>
  <c r="F3737" i="7" s="1"/>
  <c r="C3737" i="7"/>
  <c r="D3736" i="7"/>
  <c r="F3736" i="7" s="1"/>
  <c r="C3736" i="7"/>
  <c r="F3735" i="7"/>
  <c r="D3735" i="7"/>
  <c r="C3735" i="7"/>
  <c r="D3734" i="7"/>
  <c r="F3734" i="7" s="1"/>
  <c r="C3734" i="7"/>
  <c r="D3733" i="7"/>
  <c r="F3733" i="7" s="1"/>
  <c r="C3733" i="7"/>
  <c r="D3732" i="7"/>
  <c r="F3732" i="7" s="1"/>
  <c r="C3732" i="7"/>
  <c r="D3731" i="7"/>
  <c r="F3731" i="7" s="1"/>
  <c r="C3731" i="7"/>
  <c r="D3730" i="7"/>
  <c r="F3730" i="7" s="1"/>
  <c r="C3730" i="7"/>
  <c r="D3729" i="7"/>
  <c r="F3729" i="7" s="1"/>
  <c r="C3729" i="7"/>
  <c r="D3728" i="7"/>
  <c r="F3728" i="7" s="1"/>
  <c r="C3728" i="7"/>
  <c r="D3727" i="7"/>
  <c r="F3727" i="7" s="1"/>
  <c r="C3727" i="7"/>
  <c r="D3726" i="7"/>
  <c r="F3726" i="7" s="1"/>
  <c r="C3726" i="7"/>
  <c r="H3725" i="7"/>
  <c r="D3725" i="7"/>
  <c r="F3725" i="7" s="1"/>
  <c r="C3725" i="7"/>
  <c r="H3724" i="7"/>
  <c r="D3724" i="7"/>
  <c r="F3724" i="7" s="1"/>
  <c r="C3724" i="7"/>
  <c r="H3723" i="7"/>
  <c r="D3723" i="7"/>
  <c r="F3723" i="7" s="1"/>
  <c r="C3723" i="7"/>
  <c r="H3722" i="7"/>
  <c r="D3722" i="7"/>
  <c r="F3722" i="7" s="1"/>
  <c r="C3722" i="7"/>
  <c r="H3721" i="7"/>
  <c r="D3721" i="7"/>
  <c r="F3721" i="7" s="1"/>
  <c r="C3721" i="7"/>
  <c r="H3720" i="7"/>
  <c r="D3720" i="7"/>
  <c r="F3720" i="7" s="1"/>
  <c r="C3720" i="7"/>
  <c r="H3719" i="7"/>
  <c r="D3719" i="7"/>
  <c r="F3719" i="7" s="1"/>
  <c r="C3719" i="7"/>
  <c r="H3718" i="7"/>
  <c r="D3718" i="7"/>
  <c r="F3718" i="7" s="1"/>
  <c r="C3718" i="7"/>
  <c r="H3717" i="7"/>
  <c r="D3717" i="7"/>
  <c r="F3717" i="7" s="1"/>
  <c r="C3717" i="7"/>
  <c r="H3716" i="7"/>
  <c r="D3716" i="7"/>
  <c r="F3716" i="7" s="1"/>
  <c r="C3716" i="7"/>
  <c r="H3715" i="7"/>
  <c r="D3715" i="7"/>
  <c r="F3715" i="7" s="1"/>
  <c r="C3715" i="7"/>
  <c r="H3714" i="7"/>
  <c r="D3714" i="7"/>
  <c r="F3714" i="7" s="1"/>
  <c r="C3714" i="7"/>
  <c r="H3713" i="7"/>
  <c r="D3713" i="7"/>
  <c r="F3713" i="7" s="1"/>
  <c r="C3713" i="7"/>
  <c r="H3712" i="7"/>
  <c r="D3712" i="7"/>
  <c r="F3712" i="7" s="1"/>
  <c r="C3712" i="7"/>
  <c r="H3711" i="7"/>
  <c r="D3711" i="7"/>
  <c r="F3711" i="7" s="1"/>
  <c r="C3711" i="7"/>
  <c r="H3710" i="7"/>
  <c r="D3710" i="7"/>
  <c r="F3710" i="7" s="1"/>
  <c r="C3710" i="7"/>
  <c r="H3709" i="7"/>
  <c r="D3709" i="7"/>
  <c r="F3709" i="7" s="1"/>
  <c r="C3709" i="7"/>
  <c r="H3708" i="7"/>
  <c r="D3708" i="7"/>
  <c r="F3708" i="7" s="1"/>
  <c r="C3708" i="7"/>
  <c r="H3707" i="7"/>
  <c r="D3707" i="7"/>
  <c r="F3707" i="7" s="1"/>
  <c r="C3707" i="7"/>
  <c r="H3706" i="7"/>
  <c r="D3706" i="7"/>
  <c r="F3706" i="7" s="1"/>
  <c r="C3706" i="7"/>
  <c r="H3705" i="7"/>
  <c r="D3705" i="7"/>
  <c r="F3705" i="7" s="1"/>
  <c r="C3705" i="7"/>
  <c r="H3704" i="7"/>
  <c r="D3704" i="7"/>
  <c r="F3704" i="7" s="1"/>
  <c r="C3704" i="7"/>
  <c r="H3703" i="7"/>
  <c r="D3703" i="7"/>
  <c r="F3703" i="7" s="1"/>
  <c r="C3703" i="7"/>
  <c r="H3702" i="7"/>
  <c r="D3702" i="7"/>
  <c r="F3702" i="7" s="1"/>
  <c r="C3702" i="7"/>
  <c r="H3701" i="7"/>
  <c r="D3701" i="7"/>
  <c r="F3701" i="7" s="1"/>
  <c r="C3701" i="7"/>
  <c r="H3700" i="7"/>
  <c r="D3700" i="7"/>
  <c r="F3700" i="7" s="1"/>
  <c r="C3700" i="7"/>
  <c r="H3699" i="7"/>
  <c r="D3699" i="7"/>
  <c r="F3699" i="7" s="1"/>
  <c r="C3699" i="7"/>
  <c r="H3698" i="7"/>
  <c r="D3698" i="7"/>
  <c r="F3698" i="7" s="1"/>
  <c r="C3698" i="7"/>
  <c r="H3697" i="7"/>
  <c r="D3697" i="7"/>
  <c r="F3697" i="7" s="1"/>
  <c r="C3697" i="7"/>
  <c r="H3696" i="7"/>
  <c r="D3696" i="7"/>
  <c r="F3696" i="7" s="1"/>
  <c r="C3696" i="7"/>
  <c r="H3695" i="7"/>
  <c r="D3695" i="7"/>
  <c r="F3695" i="7" s="1"/>
  <c r="C3695" i="7"/>
  <c r="H3694" i="7"/>
  <c r="D3694" i="7"/>
  <c r="F3694" i="7" s="1"/>
  <c r="C3694" i="7"/>
  <c r="H3693" i="7"/>
  <c r="D3693" i="7"/>
  <c r="F3693" i="7" s="1"/>
  <c r="C3693" i="7"/>
  <c r="H3692" i="7"/>
  <c r="D3692" i="7"/>
  <c r="F3692" i="7" s="1"/>
  <c r="C3692" i="7"/>
  <c r="H3691" i="7"/>
  <c r="D3691" i="7"/>
  <c r="F3691" i="7" s="1"/>
  <c r="C3691" i="7"/>
  <c r="H3690" i="7"/>
  <c r="D3690" i="7"/>
  <c r="F3690" i="7" s="1"/>
  <c r="C3690" i="7"/>
  <c r="H3689" i="7"/>
  <c r="D3689" i="7"/>
  <c r="F3689" i="7" s="1"/>
  <c r="C3689" i="7"/>
  <c r="H3688" i="7"/>
  <c r="D3688" i="7"/>
  <c r="F3688" i="7" s="1"/>
  <c r="C3688" i="7"/>
  <c r="H3687" i="7"/>
  <c r="D3687" i="7"/>
  <c r="F3687" i="7" s="1"/>
  <c r="C3687" i="7"/>
  <c r="H3686" i="7"/>
  <c r="D3686" i="7"/>
  <c r="F3686" i="7" s="1"/>
  <c r="C3686" i="7"/>
  <c r="H3685" i="7"/>
  <c r="D3685" i="7"/>
  <c r="F3685" i="7" s="1"/>
  <c r="C3685" i="7"/>
  <c r="H3684" i="7"/>
  <c r="D3684" i="7"/>
  <c r="F3684" i="7" s="1"/>
  <c r="C3684" i="7"/>
  <c r="H3683" i="7"/>
  <c r="D3683" i="7"/>
  <c r="F3683" i="7" s="1"/>
  <c r="C3683" i="7"/>
  <c r="H3682" i="7"/>
  <c r="D3682" i="7"/>
  <c r="F3682" i="7" s="1"/>
  <c r="C3682" i="7"/>
  <c r="H3681" i="7"/>
  <c r="D3681" i="7"/>
  <c r="F3681" i="7" s="1"/>
  <c r="C3681" i="7"/>
  <c r="H3680" i="7"/>
  <c r="D3680" i="7"/>
  <c r="F3680" i="7" s="1"/>
  <c r="C3680" i="7"/>
  <c r="H3679" i="7"/>
  <c r="D3679" i="7"/>
  <c r="F3679" i="7" s="1"/>
  <c r="C3679" i="7"/>
  <c r="H3678" i="7"/>
  <c r="D3678" i="7"/>
  <c r="F3678" i="7" s="1"/>
  <c r="C3678" i="7"/>
  <c r="H3677" i="7"/>
  <c r="D3677" i="7"/>
  <c r="F3677" i="7" s="1"/>
  <c r="C3677" i="7"/>
  <c r="D3676" i="7"/>
  <c r="F3676" i="7" s="1"/>
  <c r="C3676" i="7"/>
  <c r="H3675" i="7"/>
  <c r="D3675" i="7"/>
  <c r="F3675" i="7" s="1"/>
  <c r="C3675" i="7"/>
  <c r="H3674" i="7"/>
  <c r="D3674" i="7"/>
  <c r="F3674" i="7" s="1"/>
  <c r="C3674" i="7"/>
  <c r="H3673" i="7"/>
  <c r="D3673" i="7"/>
  <c r="F3673" i="7" s="1"/>
  <c r="C3673" i="7"/>
  <c r="H3672" i="7"/>
  <c r="D3672" i="7"/>
  <c r="F3672" i="7" s="1"/>
  <c r="C3672" i="7"/>
  <c r="H3671" i="7"/>
  <c r="D3671" i="7"/>
  <c r="F3671" i="7" s="1"/>
  <c r="C3671" i="7"/>
  <c r="H3670" i="7"/>
  <c r="D3670" i="7"/>
  <c r="F3670" i="7" s="1"/>
  <c r="C3670" i="7"/>
  <c r="H3669" i="7"/>
  <c r="D3669" i="7"/>
  <c r="F3669" i="7" s="1"/>
  <c r="C3669" i="7"/>
  <c r="H3668" i="7"/>
  <c r="D3668" i="7"/>
  <c r="F3668" i="7" s="1"/>
  <c r="C3668" i="7"/>
  <c r="H3667" i="7"/>
  <c r="D3667" i="7"/>
  <c r="F3667" i="7" s="1"/>
  <c r="C3667" i="7"/>
  <c r="H3666" i="7"/>
  <c r="D3666" i="7"/>
  <c r="F3666" i="7" s="1"/>
  <c r="C3666" i="7"/>
  <c r="H3665" i="7"/>
  <c r="D3665" i="7"/>
  <c r="F3665" i="7" s="1"/>
  <c r="C3665" i="7"/>
  <c r="H3664" i="7"/>
  <c r="D3664" i="7"/>
  <c r="F3664" i="7" s="1"/>
  <c r="C3664" i="7"/>
  <c r="H3663" i="7"/>
  <c r="D3663" i="7"/>
  <c r="F3663" i="7" s="1"/>
  <c r="C3663" i="7"/>
  <c r="H3662" i="7"/>
  <c r="D3662" i="7"/>
  <c r="F3662" i="7" s="1"/>
  <c r="C3662" i="7"/>
  <c r="H3661" i="7"/>
  <c r="D3661" i="7"/>
  <c r="F3661" i="7" s="1"/>
  <c r="C3661" i="7"/>
  <c r="H3660" i="7"/>
  <c r="D3660" i="7"/>
  <c r="F3660" i="7" s="1"/>
  <c r="C3660" i="7"/>
  <c r="H3659" i="7"/>
  <c r="D3659" i="7"/>
  <c r="F3659" i="7" s="1"/>
  <c r="C3659" i="7"/>
  <c r="H3658" i="7"/>
  <c r="D3658" i="7"/>
  <c r="F3658" i="7" s="1"/>
  <c r="C3658" i="7"/>
  <c r="H3657" i="7"/>
  <c r="D3657" i="7"/>
  <c r="F3657" i="7" s="1"/>
  <c r="C3657" i="7"/>
  <c r="H3656" i="7"/>
  <c r="D3656" i="7"/>
  <c r="F3656" i="7" s="1"/>
  <c r="C3656" i="7"/>
  <c r="H3655" i="7"/>
  <c r="D3655" i="7"/>
  <c r="F3655" i="7" s="1"/>
  <c r="C3655" i="7"/>
  <c r="H3654" i="7"/>
  <c r="D3654" i="7"/>
  <c r="F3654" i="7" s="1"/>
  <c r="C3654" i="7"/>
  <c r="H3653" i="7"/>
  <c r="D3653" i="7"/>
  <c r="F3653" i="7" s="1"/>
  <c r="C3653" i="7"/>
  <c r="H3652" i="7"/>
  <c r="D3652" i="7"/>
  <c r="F3652" i="7" s="1"/>
  <c r="C3652" i="7"/>
  <c r="H3651" i="7"/>
  <c r="D3651" i="7"/>
  <c r="F3651" i="7" s="1"/>
  <c r="C3651" i="7"/>
  <c r="H3650" i="7"/>
  <c r="D3650" i="7"/>
  <c r="F3650" i="7" s="1"/>
  <c r="C3650" i="7"/>
  <c r="H3649" i="7"/>
  <c r="D3649" i="7"/>
  <c r="F3649" i="7" s="1"/>
  <c r="C3649" i="7"/>
  <c r="H3648" i="7"/>
  <c r="D3648" i="7"/>
  <c r="F3648" i="7" s="1"/>
  <c r="C3648" i="7"/>
  <c r="H3647" i="7"/>
  <c r="D3647" i="7"/>
  <c r="F3647" i="7" s="1"/>
  <c r="C3647" i="7"/>
  <c r="H3646" i="7"/>
  <c r="D3646" i="7"/>
  <c r="F3646" i="7" s="1"/>
  <c r="C3646" i="7"/>
  <c r="D3645" i="7"/>
  <c r="F3645" i="7" s="1"/>
  <c r="C3645" i="7"/>
  <c r="D3644" i="7"/>
  <c r="F3644" i="7" s="1"/>
  <c r="C3644" i="7"/>
  <c r="D3643" i="7"/>
  <c r="F3643" i="7" s="1"/>
  <c r="C3643" i="7"/>
  <c r="D3642" i="7"/>
  <c r="F3642" i="7" s="1"/>
  <c r="C3642" i="7"/>
  <c r="D3641" i="7"/>
  <c r="F3641" i="7" s="1"/>
  <c r="C3641" i="7"/>
  <c r="H3640" i="7"/>
  <c r="D3640" i="7"/>
  <c r="F3640" i="7" s="1"/>
  <c r="C3640" i="7"/>
  <c r="D3639" i="7"/>
  <c r="F3639" i="7" s="1"/>
  <c r="C3639" i="7"/>
  <c r="H3638" i="7"/>
  <c r="D3638" i="7"/>
  <c r="F3638" i="7" s="1"/>
  <c r="C3638" i="7"/>
  <c r="D3637" i="7"/>
  <c r="F3637" i="7" s="1"/>
  <c r="C3637" i="7"/>
  <c r="D3636" i="7"/>
  <c r="F3636" i="7" s="1"/>
  <c r="C3636" i="7"/>
  <c r="D3635" i="7"/>
  <c r="F3635" i="7" s="1"/>
  <c r="C3635" i="7"/>
  <c r="D3634" i="7"/>
  <c r="F3634" i="7" s="1"/>
  <c r="C3634" i="7"/>
  <c r="H3633" i="7"/>
  <c r="D3633" i="7"/>
  <c r="F3633" i="7" s="1"/>
  <c r="C3633" i="7"/>
  <c r="D3632" i="7"/>
  <c r="F3632" i="7" s="1"/>
  <c r="C3632" i="7"/>
  <c r="H3631" i="7"/>
  <c r="D3631" i="7"/>
  <c r="F3631" i="7" s="1"/>
  <c r="C3631" i="7"/>
  <c r="D3630" i="7"/>
  <c r="F3630" i="7" s="1"/>
  <c r="C3630" i="7"/>
  <c r="D3629" i="7"/>
  <c r="F3629" i="7" s="1"/>
  <c r="C3629" i="7"/>
  <c r="D3628" i="7"/>
  <c r="F3628" i="7" s="1"/>
  <c r="C3628" i="7"/>
  <c r="D3627" i="7"/>
  <c r="F3627" i="7" s="1"/>
  <c r="C3627" i="7"/>
  <c r="D3626" i="7"/>
  <c r="F3626" i="7" s="1"/>
  <c r="C3626" i="7"/>
  <c r="D3625" i="7"/>
  <c r="F3625" i="7" s="1"/>
  <c r="C3625" i="7"/>
  <c r="H3624" i="7"/>
  <c r="D3624" i="7"/>
  <c r="F3624" i="7" s="1"/>
  <c r="C3624" i="7"/>
  <c r="D3623" i="7"/>
  <c r="F3623" i="7" s="1"/>
  <c r="C3623" i="7"/>
  <c r="D3622" i="7"/>
  <c r="F3622" i="7" s="1"/>
  <c r="C3622" i="7"/>
  <c r="D3621" i="7"/>
  <c r="F3621" i="7" s="1"/>
  <c r="C3621" i="7"/>
  <c r="D3620" i="7"/>
  <c r="F3620" i="7" s="1"/>
  <c r="C3620" i="7"/>
  <c r="H3619" i="7"/>
  <c r="D3619" i="7"/>
  <c r="F3619" i="7" s="1"/>
  <c r="C3619" i="7"/>
  <c r="D3618" i="7"/>
  <c r="F3618" i="7" s="1"/>
  <c r="C3618" i="7"/>
  <c r="D3617" i="7"/>
  <c r="F3617" i="7" s="1"/>
  <c r="C3617" i="7"/>
  <c r="D3616" i="7"/>
  <c r="F3616" i="7" s="1"/>
  <c r="C3616" i="7"/>
  <c r="D3615" i="7"/>
  <c r="F3615" i="7" s="1"/>
  <c r="C3615" i="7"/>
  <c r="D3614" i="7"/>
  <c r="F3614" i="7" s="1"/>
  <c r="C3614" i="7"/>
  <c r="D3613" i="7"/>
  <c r="F3613" i="7" s="1"/>
  <c r="C3613" i="7"/>
  <c r="H3612" i="7"/>
  <c r="D3612" i="7"/>
  <c r="F3612" i="7" s="1"/>
  <c r="C3612" i="7"/>
  <c r="H3611" i="7"/>
  <c r="D3611" i="7"/>
  <c r="F3611" i="7" s="1"/>
  <c r="C3611" i="7"/>
  <c r="D3610" i="7"/>
  <c r="F3610" i="7" s="1"/>
  <c r="C3610" i="7"/>
  <c r="H3609" i="7"/>
  <c r="D3609" i="7"/>
  <c r="F3609" i="7" s="1"/>
  <c r="C3609" i="7"/>
  <c r="H3608" i="7"/>
  <c r="D3608" i="7"/>
  <c r="F3608" i="7" s="1"/>
  <c r="C3608" i="7"/>
  <c r="D3607" i="7"/>
  <c r="F3607" i="7" s="1"/>
  <c r="C3607" i="7"/>
  <c r="D3606" i="7"/>
  <c r="F3606" i="7" s="1"/>
  <c r="C3606" i="7"/>
  <c r="D3605" i="7"/>
  <c r="F3605" i="7" s="1"/>
  <c r="C3605" i="7"/>
  <c r="D3604" i="7"/>
  <c r="F3604" i="7" s="1"/>
  <c r="C3604" i="7"/>
  <c r="D3603" i="7"/>
  <c r="F3603" i="7" s="1"/>
  <c r="C3603" i="7"/>
  <c r="D3602" i="7"/>
  <c r="F3602" i="7" s="1"/>
  <c r="C3602" i="7"/>
  <c r="D3601" i="7"/>
  <c r="F3601" i="7" s="1"/>
  <c r="C3601" i="7"/>
  <c r="D3600" i="7"/>
  <c r="F3600" i="7" s="1"/>
  <c r="C3600" i="7"/>
  <c r="D3599" i="7"/>
  <c r="F3599" i="7" s="1"/>
  <c r="C3599" i="7"/>
  <c r="D3598" i="7"/>
  <c r="F3598" i="7" s="1"/>
  <c r="C3598" i="7"/>
  <c r="D3597" i="7"/>
  <c r="F3597" i="7" s="1"/>
  <c r="C3597" i="7"/>
  <c r="D3596" i="7"/>
  <c r="F3596" i="7" s="1"/>
  <c r="C3596" i="7"/>
  <c r="D3595" i="7"/>
  <c r="F3595" i="7" s="1"/>
  <c r="C3595" i="7"/>
  <c r="D3594" i="7"/>
  <c r="F3594" i="7" s="1"/>
  <c r="C3594" i="7"/>
  <c r="D3593" i="7"/>
  <c r="F3593" i="7" s="1"/>
  <c r="C3593" i="7"/>
  <c r="D3592" i="7"/>
  <c r="F3592" i="7" s="1"/>
  <c r="C3592" i="7"/>
  <c r="D3591" i="7"/>
  <c r="F3591" i="7" s="1"/>
  <c r="C3591" i="7"/>
  <c r="D3590" i="7"/>
  <c r="F3590" i="7" s="1"/>
  <c r="C3590" i="7"/>
  <c r="D3589" i="7"/>
  <c r="F3589" i="7" s="1"/>
  <c r="C3589" i="7"/>
  <c r="D3588" i="7"/>
  <c r="F3588" i="7" s="1"/>
  <c r="C3588" i="7"/>
  <c r="D3587" i="7"/>
  <c r="F3587" i="7" s="1"/>
  <c r="C3587" i="7"/>
  <c r="D3586" i="7"/>
  <c r="F3586" i="7" s="1"/>
  <c r="C3586" i="7"/>
  <c r="D3585" i="7"/>
  <c r="F3585" i="7" s="1"/>
  <c r="C3585" i="7"/>
  <c r="D3584" i="7"/>
  <c r="F3584" i="7" s="1"/>
  <c r="C3584" i="7"/>
  <c r="D3583" i="7"/>
  <c r="F3583" i="7" s="1"/>
  <c r="C3583" i="7"/>
  <c r="D3582" i="7"/>
  <c r="F3582" i="7" s="1"/>
  <c r="C3582" i="7"/>
  <c r="D3581" i="7"/>
  <c r="F3581" i="7" s="1"/>
  <c r="C3581" i="7"/>
  <c r="D3580" i="7"/>
  <c r="F3580" i="7" s="1"/>
  <c r="C3580" i="7"/>
  <c r="D3579" i="7"/>
  <c r="F3579" i="7" s="1"/>
  <c r="C3579" i="7"/>
  <c r="D3578" i="7"/>
  <c r="F3578" i="7" s="1"/>
  <c r="C3578" i="7"/>
  <c r="D3577" i="7"/>
  <c r="F3577" i="7" s="1"/>
  <c r="C3577" i="7"/>
  <c r="D3576" i="7"/>
  <c r="F3576" i="7" s="1"/>
  <c r="C3576" i="7"/>
  <c r="D3575" i="7"/>
  <c r="F3575" i="7" s="1"/>
  <c r="C3575" i="7"/>
  <c r="D3574" i="7"/>
  <c r="F3574" i="7" s="1"/>
  <c r="C3574" i="7"/>
  <c r="D3573" i="7"/>
  <c r="F3573" i="7" s="1"/>
  <c r="C3573" i="7"/>
  <c r="D3572" i="7"/>
  <c r="F3572" i="7" s="1"/>
  <c r="C3572" i="7"/>
  <c r="D3571" i="7"/>
  <c r="F3571" i="7" s="1"/>
  <c r="C3571" i="7"/>
  <c r="D3570" i="7"/>
  <c r="F3570" i="7" s="1"/>
  <c r="C3570" i="7"/>
  <c r="D3569" i="7"/>
  <c r="F3569" i="7" s="1"/>
  <c r="C3569" i="7"/>
  <c r="D3568" i="7"/>
  <c r="F3568" i="7" s="1"/>
  <c r="C3568" i="7"/>
  <c r="D3567" i="7"/>
  <c r="F3567" i="7" s="1"/>
  <c r="C3567" i="7"/>
  <c r="D3566" i="7"/>
  <c r="F3566" i="7" s="1"/>
  <c r="C3566" i="7"/>
  <c r="D3565" i="7"/>
  <c r="F3565" i="7" s="1"/>
  <c r="C3565" i="7"/>
  <c r="D3564" i="7"/>
  <c r="F3564" i="7" s="1"/>
  <c r="C3564" i="7"/>
  <c r="D3563" i="7"/>
  <c r="F3563" i="7" s="1"/>
  <c r="C3563" i="7"/>
  <c r="D3562" i="7"/>
  <c r="F3562" i="7" s="1"/>
  <c r="C3562" i="7"/>
  <c r="D3561" i="7"/>
  <c r="F3561" i="7" s="1"/>
  <c r="C3561" i="7"/>
  <c r="D3560" i="7"/>
  <c r="F3560" i="7" s="1"/>
  <c r="C3560" i="7"/>
  <c r="D3559" i="7"/>
  <c r="F3559" i="7" s="1"/>
  <c r="C3559" i="7"/>
  <c r="D3558" i="7"/>
  <c r="F3558" i="7" s="1"/>
  <c r="C3558" i="7"/>
  <c r="D3557" i="7"/>
  <c r="F3557" i="7" s="1"/>
  <c r="C3557" i="7"/>
  <c r="D3556" i="7"/>
  <c r="F3556" i="7" s="1"/>
  <c r="C3556" i="7"/>
  <c r="D3555" i="7"/>
  <c r="F3555" i="7" s="1"/>
  <c r="C3555" i="7"/>
  <c r="D3554" i="7"/>
  <c r="F3554" i="7" s="1"/>
  <c r="C3554" i="7"/>
  <c r="D3553" i="7"/>
  <c r="F3553" i="7" s="1"/>
  <c r="C3553" i="7"/>
  <c r="D3552" i="7"/>
  <c r="F3552" i="7" s="1"/>
  <c r="C3552" i="7"/>
  <c r="D3551" i="7"/>
  <c r="F3551" i="7" s="1"/>
  <c r="C3551" i="7"/>
  <c r="D3550" i="7"/>
  <c r="F3550" i="7" s="1"/>
  <c r="C3550" i="7"/>
  <c r="D3549" i="7"/>
  <c r="F3549" i="7" s="1"/>
  <c r="C3549" i="7"/>
  <c r="D3548" i="7"/>
  <c r="F3548" i="7" s="1"/>
  <c r="C3548" i="7"/>
  <c r="D3547" i="7"/>
  <c r="F3547" i="7" s="1"/>
  <c r="C3547" i="7"/>
  <c r="D3546" i="7"/>
  <c r="F3546" i="7" s="1"/>
  <c r="C3546" i="7"/>
  <c r="D3545" i="7"/>
  <c r="F3545" i="7" s="1"/>
  <c r="C3545" i="7"/>
  <c r="D3544" i="7"/>
  <c r="F3544" i="7" s="1"/>
  <c r="C3544" i="7"/>
  <c r="D3543" i="7"/>
  <c r="F3543" i="7" s="1"/>
  <c r="C3543" i="7"/>
  <c r="D3542" i="7"/>
  <c r="F3542" i="7" s="1"/>
  <c r="C3542" i="7"/>
  <c r="D3541" i="7"/>
  <c r="F3541" i="7" s="1"/>
  <c r="C3541" i="7"/>
  <c r="D3540" i="7"/>
  <c r="F3540" i="7" s="1"/>
  <c r="C3540" i="7"/>
  <c r="D3539" i="7"/>
  <c r="F3539" i="7" s="1"/>
  <c r="C3539" i="7"/>
  <c r="D3538" i="7"/>
  <c r="F3538" i="7" s="1"/>
  <c r="C3538" i="7"/>
  <c r="D3537" i="7"/>
  <c r="F3537" i="7" s="1"/>
  <c r="C3537" i="7"/>
  <c r="D3536" i="7"/>
  <c r="F3536" i="7" s="1"/>
  <c r="C3536" i="7"/>
  <c r="D3535" i="7"/>
  <c r="F3535" i="7" s="1"/>
  <c r="C3535" i="7"/>
  <c r="D3534" i="7"/>
  <c r="F3534" i="7" s="1"/>
  <c r="C3534" i="7"/>
  <c r="D3533" i="7"/>
  <c r="F3533" i="7" s="1"/>
  <c r="C3533" i="7"/>
  <c r="D3532" i="7"/>
  <c r="F3532" i="7" s="1"/>
  <c r="C3532" i="7"/>
  <c r="D3531" i="7"/>
  <c r="F3531" i="7" s="1"/>
  <c r="C3531" i="7"/>
  <c r="D3530" i="7"/>
  <c r="F3530" i="7" s="1"/>
  <c r="C3530" i="7"/>
  <c r="D3529" i="7"/>
  <c r="F3529" i="7" s="1"/>
  <c r="C3529" i="7"/>
  <c r="D3528" i="7"/>
  <c r="F3528" i="7" s="1"/>
  <c r="C3528" i="7"/>
  <c r="D3527" i="7"/>
  <c r="F3527" i="7" s="1"/>
  <c r="C3527" i="7"/>
  <c r="D3526" i="7"/>
  <c r="F3526" i="7" s="1"/>
  <c r="C3526" i="7"/>
  <c r="D3525" i="7"/>
  <c r="F3525" i="7" s="1"/>
  <c r="C3525" i="7"/>
  <c r="D3524" i="7"/>
  <c r="F3524" i="7" s="1"/>
  <c r="C3524" i="7"/>
  <c r="D3523" i="7"/>
  <c r="F3523" i="7" s="1"/>
  <c r="C3523" i="7"/>
  <c r="D3522" i="7"/>
  <c r="F3522" i="7" s="1"/>
  <c r="C3522" i="7"/>
  <c r="D3521" i="7"/>
  <c r="F3521" i="7" s="1"/>
  <c r="C3521" i="7"/>
  <c r="D3520" i="7"/>
  <c r="F3520" i="7" s="1"/>
  <c r="C3520" i="7"/>
  <c r="D3519" i="7"/>
  <c r="F3519" i="7" s="1"/>
  <c r="C3519" i="7"/>
  <c r="D3518" i="7"/>
  <c r="F3518" i="7" s="1"/>
  <c r="C3518" i="7"/>
  <c r="D3517" i="7"/>
  <c r="F3517" i="7" s="1"/>
  <c r="C3517" i="7"/>
  <c r="D3516" i="7"/>
  <c r="F3516" i="7" s="1"/>
  <c r="C3516" i="7"/>
  <c r="D3515" i="7"/>
  <c r="F3515" i="7" s="1"/>
  <c r="C3515" i="7"/>
  <c r="D3514" i="7"/>
  <c r="F3514" i="7" s="1"/>
  <c r="C3514" i="7"/>
  <c r="D3513" i="7"/>
  <c r="F3513" i="7" s="1"/>
  <c r="C3513" i="7"/>
  <c r="D3512" i="7"/>
  <c r="F3512" i="7" s="1"/>
  <c r="C3512" i="7"/>
  <c r="D3511" i="7"/>
  <c r="F3511" i="7" s="1"/>
  <c r="C3511" i="7"/>
  <c r="D3510" i="7"/>
  <c r="F3510" i="7" s="1"/>
  <c r="C3510" i="7"/>
  <c r="D3509" i="7"/>
  <c r="F3509" i="7" s="1"/>
  <c r="C3509" i="7"/>
  <c r="D3508" i="7"/>
  <c r="F3508" i="7" s="1"/>
  <c r="C3508" i="7"/>
  <c r="D3507" i="7"/>
  <c r="F3507" i="7" s="1"/>
  <c r="C3507" i="7"/>
  <c r="D3506" i="7"/>
  <c r="F3506" i="7" s="1"/>
  <c r="C3506" i="7"/>
  <c r="D3505" i="7"/>
  <c r="F3505" i="7" s="1"/>
  <c r="C3505" i="7"/>
  <c r="D3504" i="7"/>
  <c r="F3504" i="7" s="1"/>
  <c r="C3504" i="7"/>
  <c r="D3503" i="7"/>
  <c r="F3503" i="7" s="1"/>
  <c r="C3503" i="7"/>
  <c r="D3502" i="7"/>
  <c r="F3502" i="7" s="1"/>
  <c r="C3502" i="7"/>
  <c r="D3501" i="7"/>
  <c r="F3501" i="7" s="1"/>
  <c r="C3501" i="7"/>
  <c r="D3500" i="7"/>
  <c r="F3500" i="7" s="1"/>
  <c r="C3500" i="7"/>
  <c r="D3499" i="7"/>
  <c r="F3499" i="7" s="1"/>
  <c r="C3499" i="7"/>
  <c r="D3498" i="7"/>
  <c r="F3498" i="7" s="1"/>
  <c r="C3498" i="7"/>
  <c r="D3497" i="7"/>
  <c r="F3497" i="7" s="1"/>
  <c r="C3497" i="7"/>
  <c r="D3496" i="7"/>
  <c r="F3496" i="7" s="1"/>
  <c r="C3496" i="7"/>
  <c r="D3495" i="7"/>
  <c r="F3495" i="7" s="1"/>
  <c r="C3495" i="7"/>
  <c r="D3494" i="7"/>
  <c r="F3494" i="7" s="1"/>
  <c r="C3494" i="7"/>
  <c r="D3493" i="7"/>
  <c r="F3493" i="7" s="1"/>
  <c r="C3493" i="7"/>
  <c r="D3492" i="7"/>
  <c r="F3492" i="7" s="1"/>
  <c r="C3492" i="7"/>
  <c r="D3491" i="7"/>
  <c r="F3491" i="7" s="1"/>
  <c r="C3491" i="7"/>
  <c r="D3490" i="7"/>
  <c r="F3490" i="7" s="1"/>
  <c r="C3490" i="7"/>
  <c r="D3489" i="7"/>
  <c r="F3489" i="7" s="1"/>
  <c r="C3489" i="7"/>
  <c r="D3488" i="7"/>
  <c r="F3488" i="7" s="1"/>
  <c r="C3488" i="7"/>
  <c r="D3487" i="7"/>
  <c r="F3487" i="7" s="1"/>
  <c r="C3487" i="7"/>
  <c r="D3486" i="7"/>
  <c r="F3486" i="7" s="1"/>
  <c r="C3486" i="7"/>
  <c r="D3485" i="7"/>
  <c r="F3485" i="7" s="1"/>
  <c r="C3485" i="7"/>
  <c r="D3484" i="7"/>
  <c r="F3484" i="7" s="1"/>
  <c r="C3484" i="7"/>
  <c r="D3483" i="7"/>
  <c r="F3483" i="7" s="1"/>
  <c r="C3483" i="7"/>
  <c r="D3482" i="7"/>
  <c r="F3482" i="7" s="1"/>
  <c r="C3482" i="7"/>
  <c r="D3481" i="7"/>
  <c r="F3481" i="7" s="1"/>
  <c r="C3481" i="7"/>
  <c r="D3480" i="7"/>
  <c r="F3480" i="7" s="1"/>
  <c r="C3480" i="7"/>
  <c r="D3479" i="7"/>
  <c r="F3479" i="7" s="1"/>
  <c r="C3479" i="7"/>
  <c r="D3478" i="7"/>
  <c r="F3478" i="7" s="1"/>
  <c r="C3478" i="7"/>
  <c r="D3477" i="7"/>
  <c r="F3477" i="7" s="1"/>
  <c r="C3477" i="7"/>
  <c r="D3476" i="7"/>
  <c r="F3476" i="7" s="1"/>
  <c r="C3476" i="7"/>
  <c r="D3475" i="7"/>
  <c r="F3475" i="7" s="1"/>
  <c r="C3475" i="7"/>
  <c r="D3474" i="7"/>
  <c r="F3474" i="7" s="1"/>
  <c r="C3474" i="7"/>
  <c r="D3473" i="7"/>
  <c r="F3473" i="7" s="1"/>
  <c r="C3473" i="7"/>
  <c r="D3472" i="7"/>
  <c r="F3472" i="7" s="1"/>
  <c r="C3472" i="7"/>
  <c r="D3471" i="7"/>
  <c r="F3471" i="7" s="1"/>
  <c r="C3471" i="7"/>
  <c r="D3470" i="7"/>
  <c r="F3470" i="7" s="1"/>
  <c r="C3470" i="7"/>
  <c r="D3469" i="7"/>
  <c r="F3469" i="7" s="1"/>
  <c r="C3469" i="7"/>
  <c r="D3468" i="7"/>
  <c r="F3468" i="7" s="1"/>
  <c r="C3468" i="7"/>
  <c r="D3467" i="7"/>
  <c r="F3467" i="7" s="1"/>
  <c r="C3467" i="7"/>
  <c r="D3466" i="7"/>
  <c r="F3466" i="7" s="1"/>
  <c r="C3466" i="7"/>
  <c r="D3465" i="7"/>
  <c r="F3465" i="7" s="1"/>
  <c r="C3465" i="7"/>
  <c r="D3464" i="7"/>
  <c r="F3464" i="7" s="1"/>
  <c r="C3464" i="7"/>
  <c r="D3463" i="7"/>
  <c r="F3463" i="7" s="1"/>
  <c r="C3463" i="7"/>
  <c r="D3462" i="7"/>
  <c r="F3462" i="7" s="1"/>
  <c r="C3462" i="7"/>
  <c r="D3461" i="7"/>
  <c r="F3461" i="7" s="1"/>
  <c r="C3461" i="7"/>
  <c r="D3460" i="7"/>
  <c r="F3460" i="7" s="1"/>
  <c r="C3460" i="7"/>
  <c r="D3459" i="7"/>
  <c r="F3459" i="7" s="1"/>
  <c r="C3459" i="7"/>
  <c r="D3458" i="7"/>
  <c r="F3458" i="7" s="1"/>
  <c r="C3458" i="7"/>
  <c r="D3457" i="7"/>
  <c r="F3457" i="7" s="1"/>
  <c r="C3457" i="7"/>
  <c r="D3456" i="7"/>
  <c r="F3456" i="7" s="1"/>
  <c r="C3456" i="7"/>
  <c r="D3455" i="7"/>
  <c r="F3455" i="7" s="1"/>
  <c r="C3455" i="7"/>
  <c r="D3454" i="7"/>
  <c r="F3454" i="7" s="1"/>
  <c r="C3454" i="7"/>
  <c r="D3453" i="7"/>
  <c r="F3453" i="7" s="1"/>
  <c r="C3453" i="7"/>
  <c r="D3452" i="7"/>
  <c r="F3452" i="7" s="1"/>
  <c r="C3452" i="7"/>
  <c r="D3451" i="7"/>
  <c r="F3451" i="7" s="1"/>
  <c r="C3451" i="7"/>
  <c r="D3450" i="7"/>
  <c r="F3450" i="7" s="1"/>
  <c r="C3450" i="7"/>
  <c r="D3449" i="7"/>
  <c r="F3449" i="7" s="1"/>
  <c r="C3449" i="7"/>
  <c r="D3448" i="7"/>
  <c r="F3448" i="7" s="1"/>
  <c r="C3448" i="7"/>
  <c r="D3447" i="7"/>
  <c r="F3447" i="7" s="1"/>
  <c r="C3447" i="7"/>
  <c r="D3446" i="7"/>
  <c r="F3446" i="7" s="1"/>
  <c r="C3446" i="7"/>
  <c r="D3445" i="7"/>
  <c r="F3445" i="7" s="1"/>
  <c r="C3445" i="7"/>
  <c r="D3444" i="7"/>
  <c r="F3444" i="7" s="1"/>
  <c r="C3444" i="7"/>
  <c r="D3443" i="7"/>
  <c r="F3443" i="7" s="1"/>
  <c r="C3443" i="7"/>
  <c r="D3442" i="7"/>
  <c r="F3442" i="7" s="1"/>
  <c r="C3442" i="7"/>
  <c r="D3441" i="7"/>
  <c r="F3441" i="7" s="1"/>
  <c r="C3441" i="7"/>
  <c r="D3440" i="7"/>
  <c r="F3440" i="7" s="1"/>
  <c r="C3440" i="7"/>
  <c r="D3439" i="7"/>
  <c r="F3439" i="7" s="1"/>
  <c r="C3439" i="7"/>
  <c r="D3438" i="7"/>
  <c r="F3438" i="7" s="1"/>
  <c r="C3438" i="7"/>
  <c r="D3437" i="7"/>
  <c r="F3437" i="7" s="1"/>
  <c r="C3437" i="7"/>
  <c r="D3436" i="7"/>
  <c r="F3436" i="7" s="1"/>
  <c r="C3436" i="7"/>
  <c r="D3435" i="7"/>
  <c r="F3435" i="7" s="1"/>
  <c r="C3435" i="7"/>
  <c r="D3434" i="7"/>
  <c r="F3434" i="7" s="1"/>
  <c r="C3434" i="7"/>
  <c r="D3433" i="7"/>
  <c r="F3433" i="7" s="1"/>
  <c r="C3433" i="7"/>
  <c r="D3432" i="7"/>
  <c r="F3432" i="7" s="1"/>
  <c r="C3432" i="7"/>
  <c r="D3431" i="7"/>
  <c r="F3431" i="7" s="1"/>
  <c r="C3431" i="7"/>
  <c r="D3430" i="7"/>
  <c r="F3430" i="7" s="1"/>
  <c r="C3430" i="7"/>
  <c r="D3429" i="7"/>
  <c r="F3429" i="7" s="1"/>
  <c r="C3429" i="7"/>
  <c r="F3428" i="7"/>
  <c r="D3428" i="7"/>
  <c r="C3428" i="7"/>
  <c r="D3427" i="7"/>
  <c r="F3427" i="7" s="1"/>
  <c r="C3427" i="7"/>
  <c r="D3426" i="7"/>
  <c r="F3426" i="7" s="1"/>
  <c r="C3426" i="7"/>
  <c r="D3425" i="7"/>
  <c r="F3425" i="7" s="1"/>
  <c r="C3425" i="7"/>
  <c r="F3424" i="7"/>
  <c r="D3424" i="7"/>
  <c r="C3424" i="7"/>
  <c r="D3423" i="7"/>
  <c r="F3423" i="7" s="1"/>
  <c r="C3423" i="7"/>
  <c r="D3422" i="7"/>
  <c r="F3422" i="7" s="1"/>
  <c r="C3422" i="7"/>
  <c r="D3421" i="7"/>
  <c r="F3421" i="7" s="1"/>
  <c r="C3421" i="7"/>
  <c r="D3420" i="7"/>
  <c r="F3420" i="7" s="1"/>
  <c r="C3420" i="7"/>
  <c r="D3419" i="7"/>
  <c r="F3419" i="7" s="1"/>
  <c r="C3419" i="7"/>
  <c r="D3418" i="7"/>
  <c r="F3418" i="7" s="1"/>
  <c r="C3418" i="7"/>
  <c r="D3417" i="7"/>
  <c r="F3417" i="7" s="1"/>
  <c r="C3417" i="7"/>
  <c r="D3416" i="7"/>
  <c r="F3416" i="7" s="1"/>
  <c r="C3416" i="7"/>
  <c r="D3415" i="7"/>
  <c r="F3415" i="7" s="1"/>
  <c r="C3415" i="7"/>
  <c r="D3414" i="7"/>
  <c r="F3414" i="7" s="1"/>
  <c r="C3414" i="7"/>
  <c r="D3413" i="7"/>
  <c r="F3413" i="7" s="1"/>
  <c r="C3413" i="7"/>
  <c r="D3412" i="7"/>
  <c r="F3412" i="7" s="1"/>
  <c r="C3412" i="7"/>
  <c r="D3411" i="7"/>
  <c r="F3411" i="7" s="1"/>
  <c r="C3411" i="7"/>
  <c r="D3410" i="7"/>
  <c r="F3410" i="7" s="1"/>
  <c r="C3410" i="7"/>
  <c r="D3409" i="7"/>
  <c r="F3409" i="7" s="1"/>
  <c r="C3409" i="7"/>
  <c r="D3408" i="7"/>
  <c r="F3408" i="7" s="1"/>
  <c r="C3408" i="7"/>
  <c r="D3407" i="7"/>
  <c r="F3407" i="7" s="1"/>
  <c r="C3407" i="7"/>
  <c r="D3406" i="7"/>
  <c r="F3406" i="7" s="1"/>
  <c r="C3406" i="7"/>
  <c r="D3405" i="7"/>
  <c r="F3405" i="7" s="1"/>
  <c r="C3405" i="7"/>
  <c r="D3404" i="7"/>
  <c r="F3404" i="7" s="1"/>
  <c r="C3404" i="7"/>
  <c r="D3403" i="7"/>
  <c r="F3403" i="7" s="1"/>
  <c r="C3403" i="7"/>
  <c r="D3402" i="7"/>
  <c r="F3402" i="7" s="1"/>
  <c r="C3402" i="7"/>
  <c r="D3401" i="7"/>
  <c r="F3401" i="7" s="1"/>
  <c r="C3401" i="7"/>
  <c r="D3400" i="7"/>
  <c r="F3400" i="7" s="1"/>
  <c r="C3400" i="7"/>
  <c r="D3399" i="7"/>
  <c r="F3399" i="7" s="1"/>
  <c r="C3399" i="7"/>
  <c r="D3398" i="7"/>
  <c r="F3398" i="7" s="1"/>
  <c r="C3398" i="7"/>
  <c r="D3397" i="7"/>
  <c r="F3397" i="7" s="1"/>
  <c r="C3397" i="7"/>
  <c r="D3396" i="7"/>
  <c r="F3396" i="7" s="1"/>
  <c r="C3396" i="7"/>
  <c r="D3395" i="7"/>
  <c r="F3395" i="7" s="1"/>
  <c r="C3395" i="7"/>
  <c r="D3394" i="7"/>
  <c r="F3394" i="7" s="1"/>
  <c r="C3394" i="7"/>
  <c r="D3393" i="7"/>
  <c r="F3393" i="7" s="1"/>
  <c r="C3393" i="7"/>
  <c r="D3392" i="7"/>
  <c r="F3392" i="7" s="1"/>
  <c r="C3392" i="7"/>
  <c r="D3391" i="7"/>
  <c r="F3391" i="7" s="1"/>
  <c r="C3391" i="7"/>
  <c r="D3390" i="7"/>
  <c r="F3390" i="7" s="1"/>
  <c r="C3390" i="7"/>
  <c r="D3389" i="7"/>
  <c r="F3389" i="7" s="1"/>
  <c r="C3389" i="7"/>
  <c r="D3388" i="7"/>
  <c r="F3388" i="7" s="1"/>
  <c r="C3388" i="7"/>
  <c r="D3387" i="7"/>
  <c r="F3387" i="7" s="1"/>
  <c r="C3387" i="7"/>
  <c r="D3386" i="7"/>
  <c r="F3386" i="7" s="1"/>
  <c r="C3386" i="7"/>
  <c r="D3385" i="7"/>
  <c r="F3385" i="7" s="1"/>
  <c r="C3385" i="7"/>
  <c r="D3384" i="7"/>
  <c r="F3384" i="7" s="1"/>
  <c r="C3384" i="7"/>
  <c r="D3383" i="7"/>
  <c r="F3383" i="7" s="1"/>
  <c r="C3383" i="7"/>
  <c r="F3382" i="7"/>
  <c r="D3382" i="7"/>
  <c r="C3382" i="7"/>
  <c r="D3381" i="7"/>
  <c r="F3381" i="7" s="1"/>
  <c r="C3381" i="7"/>
  <c r="D3380" i="7"/>
  <c r="F3380" i="7" s="1"/>
  <c r="C3380" i="7"/>
  <c r="D3379" i="7"/>
  <c r="F3379" i="7" s="1"/>
  <c r="C3379" i="7"/>
  <c r="D3378" i="7"/>
  <c r="F3378" i="7" s="1"/>
  <c r="C3378" i="7"/>
  <c r="D3377" i="7"/>
  <c r="F3377" i="7" s="1"/>
  <c r="C3377" i="7"/>
  <c r="D3376" i="7"/>
  <c r="F3376" i="7" s="1"/>
  <c r="C3376" i="7"/>
  <c r="D3375" i="7"/>
  <c r="F3375" i="7" s="1"/>
  <c r="C3375" i="7"/>
  <c r="D3374" i="7"/>
  <c r="F3374" i="7" s="1"/>
  <c r="C3374" i="7"/>
  <c r="D3373" i="7"/>
  <c r="F3373" i="7" s="1"/>
  <c r="C3373" i="7"/>
  <c r="D3372" i="7"/>
  <c r="F3372" i="7" s="1"/>
  <c r="C3372" i="7"/>
  <c r="D3371" i="7"/>
  <c r="F3371" i="7" s="1"/>
  <c r="C3371" i="7"/>
  <c r="D3370" i="7"/>
  <c r="F3370" i="7" s="1"/>
  <c r="C3370" i="7"/>
  <c r="D3369" i="7"/>
  <c r="F3369" i="7" s="1"/>
  <c r="C3369" i="7"/>
  <c r="D3368" i="7"/>
  <c r="F3368" i="7" s="1"/>
  <c r="C3368" i="7"/>
  <c r="D3367" i="7"/>
  <c r="F3367" i="7" s="1"/>
  <c r="C3367" i="7"/>
  <c r="D3366" i="7"/>
  <c r="F3366" i="7" s="1"/>
  <c r="C3366" i="7"/>
  <c r="D3365" i="7"/>
  <c r="F3365" i="7" s="1"/>
  <c r="C3365" i="7"/>
  <c r="D3364" i="7"/>
  <c r="F3364" i="7" s="1"/>
  <c r="C3364" i="7"/>
  <c r="D3363" i="7"/>
  <c r="F3363" i="7" s="1"/>
  <c r="C3363" i="7"/>
  <c r="D3362" i="7"/>
  <c r="F3362" i="7" s="1"/>
  <c r="C3362" i="7"/>
  <c r="D3361" i="7"/>
  <c r="F3361" i="7" s="1"/>
  <c r="C3361" i="7"/>
  <c r="D3360" i="7"/>
  <c r="F3360" i="7" s="1"/>
  <c r="C3360" i="7"/>
  <c r="D3359" i="7"/>
  <c r="F3359" i="7" s="1"/>
  <c r="C3359" i="7"/>
  <c r="D3358" i="7"/>
  <c r="F3358" i="7" s="1"/>
  <c r="C3358" i="7"/>
  <c r="D3357" i="7"/>
  <c r="F3357" i="7" s="1"/>
  <c r="C3357" i="7"/>
  <c r="D3356" i="7"/>
  <c r="F3356" i="7" s="1"/>
  <c r="C3356" i="7"/>
  <c r="D3355" i="7"/>
  <c r="F3355" i="7" s="1"/>
  <c r="C3355" i="7"/>
  <c r="D3354" i="7"/>
  <c r="F3354" i="7" s="1"/>
  <c r="C3354" i="7"/>
  <c r="D3353" i="7"/>
  <c r="F3353" i="7" s="1"/>
  <c r="C3353" i="7"/>
  <c r="D3352" i="7"/>
  <c r="F3352" i="7" s="1"/>
  <c r="C3352" i="7"/>
  <c r="D3351" i="7"/>
  <c r="F3351" i="7" s="1"/>
  <c r="C3351" i="7"/>
  <c r="D3350" i="7"/>
  <c r="F3350" i="7" s="1"/>
  <c r="C3350" i="7"/>
  <c r="D3349" i="7"/>
  <c r="F3349" i="7" s="1"/>
  <c r="C3349" i="7"/>
  <c r="D3348" i="7"/>
  <c r="F3348" i="7" s="1"/>
  <c r="C3348" i="7"/>
  <c r="D3347" i="7"/>
  <c r="F3347" i="7" s="1"/>
  <c r="C3347" i="7"/>
  <c r="F3346" i="7"/>
  <c r="D3346" i="7"/>
  <c r="C3346" i="7"/>
  <c r="D3345" i="7"/>
  <c r="F3345" i="7" s="1"/>
  <c r="C3345" i="7"/>
  <c r="D3344" i="7"/>
  <c r="F3344" i="7" s="1"/>
  <c r="C3344" i="7"/>
  <c r="D3343" i="7"/>
  <c r="F3343" i="7" s="1"/>
  <c r="C3343" i="7"/>
  <c r="D3342" i="7"/>
  <c r="F3342" i="7" s="1"/>
  <c r="C3342" i="7"/>
  <c r="D3341" i="7"/>
  <c r="F3341" i="7" s="1"/>
  <c r="C3341" i="7"/>
  <c r="D3340" i="7"/>
  <c r="F3340" i="7" s="1"/>
  <c r="C3340" i="7"/>
  <c r="D3339" i="7"/>
  <c r="F3339" i="7" s="1"/>
  <c r="C3339" i="7"/>
  <c r="D3338" i="7"/>
  <c r="F3338" i="7" s="1"/>
  <c r="C3338" i="7"/>
  <c r="D3337" i="7"/>
  <c r="F3337" i="7" s="1"/>
  <c r="C3337" i="7"/>
  <c r="D3336" i="7"/>
  <c r="F3336" i="7" s="1"/>
  <c r="C3336" i="7"/>
  <c r="D3335" i="7"/>
  <c r="F3335" i="7" s="1"/>
  <c r="C3335" i="7"/>
  <c r="D3334" i="7"/>
  <c r="F3334" i="7" s="1"/>
  <c r="C3334" i="7"/>
  <c r="D3333" i="7"/>
  <c r="F3333" i="7" s="1"/>
  <c r="C3333" i="7"/>
  <c r="D3332" i="7"/>
  <c r="F3332" i="7" s="1"/>
  <c r="C3332" i="7"/>
  <c r="D3331" i="7"/>
  <c r="F3331" i="7" s="1"/>
  <c r="C3331" i="7"/>
  <c r="D3330" i="7"/>
  <c r="F3330" i="7" s="1"/>
  <c r="C3330" i="7"/>
  <c r="D3329" i="7"/>
  <c r="F3329" i="7" s="1"/>
  <c r="C3329" i="7"/>
  <c r="D3328" i="7"/>
  <c r="F3328" i="7" s="1"/>
  <c r="C3328" i="7"/>
  <c r="D3327" i="7"/>
  <c r="F3327" i="7" s="1"/>
  <c r="C3327" i="7"/>
  <c r="D3326" i="7"/>
  <c r="F3326" i="7" s="1"/>
  <c r="C3326" i="7"/>
  <c r="D3325" i="7"/>
  <c r="F3325" i="7" s="1"/>
  <c r="C3325" i="7"/>
  <c r="D3324" i="7"/>
  <c r="F3324" i="7" s="1"/>
  <c r="C3324" i="7"/>
  <c r="D3323" i="7"/>
  <c r="F3323" i="7" s="1"/>
  <c r="C3323" i="7"/>
  <c r="D3322" i="7"/>
  <c r="F3322" i="7" s="1"/>
  <c r="C3322" i="7"/>
  <c r="D3321" i="7"/>
  <c r="F3321" i="7" s="1"/>
  <c r="C3321" i="7"/>
  <c r="D3320" i="7"/>
  <c r="F3320" i="7" s="1"/>
  <c r="C3320" i="7"/>
  <c r="D3319" i="7"/>
  <c r="F3319" i="7" s="1"/>
  <c r="C3319" i="7"/>
  <c r="D3318" i="7"/>
  <c r="F3318" i="7" s="1"/>
  <c r="C3318" i="7"/>
  <c r="D3317" i="7"/>
  <c r="F3317" i="7" s="1"/>
  <c r="C3317" i="7"/>
  <c r="D3316" i="7"/>
  <c r="F3316" i="7" s="1"/>
  <c r="C3316" i="7"/>
  <c r="D3315" i="7"/>
  <c r="F3315" i="7" s="1"/>
  <c r="C3315" i="7"/>
  <c r="D3314" i="7"/>
  <c r="F3314" i="7" s="1"/>
  <c r="C3314" i="7"/>
  <c r="D3313" i="7"/>
  <c r="F3313" i="7" s="1"/>
  <c r="C3313" i="7"/>
  <c r="D3312" i="7"/>
  <c r="F3312" i="7" s="1"/>
  <c r="C3312" i="7"/>
  <c r="D3311" i="7"/>
  <c r="F3311" i="7" s="1"/>
  <c r="C3311" i="7"/>
  <c r="F3310" i="7"/>
  <c r="D3310" i="7"/>
  <c r="C3310" i="7"/>
  <c r="D3309" i="7"/>
  <c r="F3309" i="7" s="1"/>
  <c r="C3309" i="7"/>
  <c r="D3308" i="7"/>
  <c r="F3308" i="7" s="1"/>
  <c r="C3308" i="7"/>
  <c r="D3307" i="7"/>
  <c r="F3307" i="7" s="1"/>
  <c r="C3307" i="7"/>
  <c r="D3306" i="7"/>
  <c r="F3306" i="7" s="1"/>
  <c r="C3306" i="7"/>
  <c r="D3305" i="7"/>
  <c r="F3305" i="7" s="1"/>
  <c r="C3305" i="7"/>
  <c r="D3304" i="7"/>
  <c r="F3304" i="7" s="1"/>
  <c r="C3304" i="7"/>
  <c r="D3303" i="7"/>
  <c r="F3303" i="7" s="1"/>
  <c r="C3303" i="7"/>
  <c r="D3302" i="7"/>
  <c r="F3302" i="7" s="1"/>
  <c r="C3302" i="7"/>
  <c r="D3301" i="7"/>
  <c r="F3301" i="7" s="1"/>
  <c r="C3301" i="7"/>
  <c r="D3300" i="7"/>
  <c r="F3300" i="7" s="1"/>
  <c r="C3300" i="7"/>
  <c r="D3299" i="7"/>
  <c r="F3299" i="7" s="1"/>
  <c r="C3299" i="7"/>
  <c r="D3298" i="7"/>
  <c r="F3298" i="7" s="1"/>
  <c r="C3298" i="7"/>
  <c r="D3297" i="7"/>
  <c r="F3297" i="7" s="1"/>
  <c r="C3297" i="7"/>
  <c r="D3296" i="7"/>
  <c r="F3296" i="7" s="1"/>
  <c r="C3296" i="7"/>
  <c r="D3295" i="7"/>
  <c r="F3295" i="7" s="1"/>
  <c r="C3295" i="7"/>
  <c r="D3294" i="7"/>
  <c r="F3294" i="7" s="1"/>
  <c r="C3294" i="7"/>
  <c r="D3293" i="7"/>
  <c r="F3293" i="7" s="1"/>
  <c r="C3293" i="7"/>
  <c r="D3292" i="7"/>
  <c r="F3292" i="7" s="1"/>
  <c r="C3292" i="7"/>
  <c r="D3291" i="7"/>
  <c r="F3291" i="7" s="1"/>
  <c r="C3291" i="7"/>
  <c r="D3290" i="7"/>
  <c r="F3290" i="7" s="1"/>
  <c r="C3290" i="7"/>
  <c r="D3289" i="7"/>
  <c r="F3289" i="7" s="1"/>
  <c r="C3289" i="7"/>
  <c r="D3288" i="7"/>
  <c r="F3288" i="7" s="1"/>
  <c r="C3288" i="7"/>
  <c r="D3287" i="7"/>
  <c r="F3287" i="7" s="1"/>
  <c r="C3287" i="7"/>
  <c r="D3286" i="7"/>
  <c r="F3286" i="7" s="1"/>
  <c r="C3286" i="7"/>
  <c r="D3285" i="7"/>
  <c r="F3285" i="7" s="1"/>
  <c r="C3285" i="7"/>
  <c r="D3284" i="7"/>
  <c r="F3284" i="7" s="1"/>
  <c r="C3284" i="7"/>
  <c r="D3283" i="7"/>
  <c r="F3283" i="7" s="1"/>
  <c r="C3283" i="7"/>
  <c r="D3282" i="7"/>
  <c r="F3282" i="7" s="1"/>
  <c r="C3282" i="7"/>
  <c r="D3281" i="7"/>
  <c r="F3281" i="7" s="1"/>
  <c r="C3281" i="7"/>
  <c r="D3280" i="7"/>
  <c r="F3280" i="7" s="1"/>
  <c r="C3280" i="7"/>
  <c r="D3279" i="7"/>
  <c r="F3279" i="7" s="1"/>
  <c r="C3279" i="7"/>
  <c r="D3278" i="7"/>
  <c r="F3278" i="7" s="1"/>
  <c r="C3278" i="7"/>
  <c r="D3277" i="7"/>
  <c r="F3277" i="7" s="1"/>
  <c r="C3277" i="7"/>
  <c r="D3276" i="7"/>
  <c r="F3276" i="7" s="1"/>
  <c r="C3276" i="7"/>
  <c r="D3275" i="7"/>
  <c r="F3275" i="7" s="1"/>
  <c r="C3275" i="7"/>
  <c r="D3274" i="7"/>
  <c r="F3274" i="7" s="1"/>
  <c r="C3274" i="7"/>
  <c r="D3273" i="7"/>
  <c r="F3273" i="7" s="1"/>
  <c r="C3273" i="7"/>
  <c r="D3272" i="7"/>
  <c r="F3272" i="7" s="1"/>
  <c r="C3272" i="7"/>
  <c r="D3271" i="7"/>
  <c r="F3271" i="7" s="1"/>
  <c r="C3271" i="7"/>
  <c r="D3270" i="7"/>
  <c r="F3270" i="7" s="1"/>
  <c r="C3270" i="7"/>
  <c r="D3269" i="7"/>
  <c r="F3269" i="7" s="1"/>
  <c r="C3269" i="7"/>
  <c r="D3268" i="7"/>
  <c r="F3268" i="7" s="1"/>
  <c r="C3268" i="7"/>
  <c r="D3267" i="7"/>
  <c r="F3267" i="7" s="1"/>
  <c r="C3267" i="7"/>
  <c r="D3266" i="7"/>
  <c r="F3266" i="7" s="1"/>
  <c r="C3266" i="7"/>
  <c r="D3265" i="7"/>
  <c r="F3265" i="7" s="1"/>
  <c r="C3265" i="7"/>
  <c r="D3264" i="7"/>
  <c r="F3264" i="7" s="1"/>
  <c r="C3264" i="7"/>
  <c r="D3263" i="7"/>
  <c r="F3263" i="7" s="1"/>
  <c r="C3263" i="7"/>
  <c r="D3262" i="7"/>
  <c r="F3262" i="7" s="1"/>
  <c r="C3262" i="7"/>
  <c r="D3261" i="7"/>
  <c r="F3261" i="7" s="1"/>
  <c r="C3261" i="7"/>
  <c r="D3260" i="7"/>
  <c r="F3260" i="7" s="1"/>
  <c r="C3260" i="7"/>
  <c r="D3259" i="7"/>
  <c r="F3259" i="7" s="1"/>
  <c r="C3259" i="7"/>
  <c r="D3258" i="7"/>
  <c r="F3258" i="7" s="1"/>
  <c r="C3258" i="7"/>
  <c r="D3257" i="7"/>
  <c r="F3257" i="7" s="1"/>
  <c r="C3257" i="7"/>
  <c r="D3256" i="7"/>
  <c r="F3256" i="7" s="1"/>
  <c r="C3256" i="7"/>
  <c r="D3255" i="7"/>
  <c r="F3255" i="7" s="1"/>
  <c r="C3255" i="7"/>
  <c r="D3254" i="7"/>
  <c r="F3254" i="7" s="1"/>
  <c r="C3254" i="7"/>
  <c r="D3253" i="7"/>
  <c r="F3253" i="7" s="1"/>
  <c r="C3253" i="7"/>
  <c r="D3252" i="7"/>
  <c r="F3252" i="7" s="1"/>
  <c r="C3252" i="7"/>
  <c r="D3251" i="7"/>
  <c r="F3251" i="7" s="1"/>
  <c r="C3251" i="7"/>
  <c r="D3250" i="7"/>
  <c r="F3250" i="7" s="1"/>
  <c r="C3250" i="7"/>
  <c r="D3249" i="7"/>
  <c r="F3249" i="7" s="1"/>
  <c r="C3249" i="7"/>
  <c r="F3248" i="7"/>
  <c r="D3248" i="7"/>
  <c r="C3248" i="7"/>
  <c r="D3247" i="7"/>
  <c r="F3247" i="7" s="1"/>
  <c r="C3247" i="7"/>
  <c r="D3246" i="7"/>
  <c r="F3246" i="7" s="1"/>
  <c r="C3246" i="7"/>
  <c r="D3245" i="7"/>
  <c r="F3245" i="7" s="1"/>
  <c r="C3245" i="7"/>
  <c r="D3244" i="7"/>
  <c r="F3244" i="7" s="1"/>
  <c r="C3244" i="7"/>
  <c r="D3243" i="7"/>
  <c r="F3243" i="7" s="1"/>
  <c r="C3243" i="7"/>
  <c r="D3242" i="7"/>
  <c r="F3242" i="7" s="1"/>
  <c r="C3242" i="7"/>
  <c r="D3241" i="7"/>
  <c r="F3241" i="7" s="1"/>
  <c r="C3241" i="7"/>
  <c r="D3240" i="7"/>
  <c r="F3240" i="7" s="1"/>
  <c r="C3240" i="7"/>
  <c r="D3239" i="7"/>
  <c r="F3239" i="7" s="1"/>
  <c r="C3239" i="7"/>
  <c r="F3238" i="7"/>
  <c r="D3238" i="7"/>
  <c r="C3238" i="7"/>
  <c r="D3237" i="7"/>
  <c r="F3237" i="7" s="1"/>
  <c r="C3237" i="7"/>
  <c r="D3236" i="7"/>
  <c r="F3236" i="7" s="1"/>
  <c r="C3236" i="7"/>
  <c r="D3235" i="7"/>
  <c r="F3235" i="7" s="1"/>
  <c r="C3235" i="7"/>
  <c r="D3234" i="7"/>
  <c r="F3234" i="7" s="1"/>
  <c r="C3234" i="7"/>
  <c r="D3233" i="7"/>
  <c r="F3233" i="7" s="1"/>
  <c r="C3233" i="7"/>
  <c r="D3232" i="7"/>
  <c r="F3232" i="7" s="1"/>
  <c r="C3232" i="7"/>
  <c r="D3231" i="7"/>
  <c r="F3231" i="7" s="1"/>
  <c r="C3231" i="7"/>
  <c r="D3230" i="7"/>
  <c r="F3230" i="7" s="1"/>
  <c r="C3230" i="7"/>
  <c r="D3229" i="7"/>
  <c r="F3229" i="7" s="1"/>
  <c r="C3229" i="7"/>
  <c r="D3228" i="7"/>
  <c r="F3228" i="7" s="1"/>
  <c r="C3228" i="7"/>
  <c r="D3227" i="7"/>
  <c r="F3227" i="7" s="1"/>
  <c r="C3227" i="7"/>
  <c r="D3226" i="7"/>
  <c r="F3226" i="7" s="1"/>
  <c r="C3226" i="7"/>
  <c r="D3225" i="7"/>
  <c r="F3225" i="7" s="1"/>
  <c r="C3225" i="7"/>
  <c r="D3224" i="7"/>
  <c r="F3224" i="7" s="1"/>
  <c r="C3224" i="7"/>
  <c r="D3223" i="7"/>
  <c r="F3223" i="7" s="1"/>
  <c r="C3223" i="7"/>
  <c r="D3222" i="7"/>
  <c r="F3222" i="7" s="1"/>
  <c r="C3222" i="7"/>
  <c r="D3221" i="7"/>
  <c r="F3221" i="7" s="1"/>
  <c r="C3221" i="7"/>
  <c r="F3220" i="7"/>
  <c r="D3220" i="7"/>
  <c r="C3220" i="7"/>
  <c r="D3219" i="7"/>
  <c r="F3219" i="7" s="1"/>
  <c r="C3219" i="7"/>
  <c r="D3218" i="7"/>
  <c r="F3218" i="7" s="1"/>
  <c r="C3218" i="7"/>
  <c r="D3217" i="7"/>
  <c r="F3217" i="7" s="1"/>
  <c r="C3217" i="7"/>
  <c r="D3216" i="7"/>
  <c r="F3216" i="7" s="1"/>
  <c r="C3216" i="7"/>
  <c r="D3215" i="7"/>
  <c r="F3215" i="7" s="1"/>
  <c r="C3215" i="7"/>
  <c r="D3214" i="7"/>
  <c r="F3214" i="7" s="1"/>
  <c r="C3214" i="7"/>
  <c r="D3213" i="7"/>
  <c r="F3213" i="7" s="1"/>
  <c r="C3213" i="7"/>
  <c r="D3212" i="7"/>
  <c r="F3212" i="7" s="1"/>
  <c r="C3212" i="7"/>
  <c r="D3211" i="7"/>
  <c r="F3211" i="7" s="1"/>
  <c r="C3211" i="7"/>
  <c r="D3210" i="7"/>
  <c r="F3210" i="7" s="1"/>
  <c r="C3210" i="7"/>
  <c r="D3209" i="7"/>
  <c r="F3209" i="7" s="1"/>
  <c r="C3209" i="7"/>
  <c r="D3208" i="7"/>
  <c r="F3208" i="7" s="1"/>
  <c r="C3208" i="7"/>
  <c r="D3207" i="7"/>
  <c r="F3207" i="7" s="1"/>
  <c r="C3207" i="7"/>
  <c r="D3206" i="7"/>
  <c r="F3206" i="7" s="1"/>
  <c r="C3206" i="7"/>
  <c r="D3205" i="7"/>
  <c r="F3205" i="7" s="1"/>
  <c r="C3205" i="7"/>
  <c r="D3204" i="7"/>
  <c r="F3204" i="7" s="1"/>
  <c r="C3204" i="7"/>
  <c r="D3203" i="7"/>
  <c r="F3203" i="7" s="1"/>
  <c r="C3203" i="7"/>
  <c r="D3202" i="7"/>
  <c r="F3202" i="7" s="1"/>
  <c r="C3202" i="7"/>
  <c r="D3201" i="7"/>
  <c r="F3201" i="7" s="1"/>
  <c r="C3201" i="7"/>
  <c r="D3200" i="7"/>
  <c r="F3200" i="7" s="1"/>
  <c r="C3200" i="7"/>
  <c r="D3199" i="7"/>
  <c r="F3199" i="7" s="1"/>
  <c r="C3199" i="7"/>
  <c r="D3198" i="7"/>
  <c r="F3198" i="7" s="1"/>
  <c r="C3198" i="7"/>
  <c r="D3197" i="7"/>
  <c r="F3197" i="7" s="1"/>
  <c r="C3197" i="7"/>
  <c r="D3196" i="7"/>
  <c r="F3196" i="7" s="1"/>
  <c r="C3196" i="7"/>
  <c r="D3195" i="7"/>
  <c r="F3195" i="7" s="1"/>
  <c r="C3195" i="7"/>
  <c r="D3194" i="7"/>
  <c r="F3194" i="7" s="1"/>
  <c r="C3194" i="7"/>
  <c r="D3193" i="7"/>
  <c r="F3193" i="7" s="1"/>
  <c r="C3193" i="7"/>
  <c r="D3192" i="7"/>
  <c r="F3192" i="7" s="1"/>
  <c r="C3192" i="7"/>
  <c r="D3191" i="7"/>
  <c r="F3191" i="7" s="1"/>
  <c r="C3191" i="7"/>
  <c r="D3190" i="7"/>
  <c r="F3190" i="7" s="1"/>
  <c r="C3190" i="7"/>
  <c r="D3189" i="7"/>
  <c r="F3189" i="7" s="1"/>
  <c r="C3189" i="7"/>
  <c r="D3188" i="7"/>
  <c r="F3188" i="7" s="1"/>
  <c r="C3188" i="7"/>
  <c r="D3187" i="7"/>
  <c r="F3187" i="7" s="1"/>
  <c r="C3187" i="7"/>
  <c r="D3186" i="7"/>
  <c r="F3186" i="7" s="1"/>
  <c r="C3186" i="7"/>
  <c r="D3185" i="7"/>
  <c r="F3185" i="7" s="1"/>
  <c r="C3185" i="7"/>
  <c r="D3184" i="7"/>
  <c r="F3184" i="7" s="1"/>
  <c r="C3184" i="7"/>
  <c r="D3183" i="7"/>
  <c r="F3183" i="7" s="1"/>
  <c r="C3183" i="7"/>
  <c r="D3182" i="7"/>
  <c r="F3182" i="7" s="1"/>
  <c r="C3182" i="7"/>
  <c r="D3181" i="7"/>
  <c r="F3181" i="7" s="1"/>
  <c r="C3181" i="7"/>
  <c r="D3180" i="7"/>
  <c r="F3180" i="7" s="1"/>
  <c r="C3180" i="7"/>
  <c r="D3179" i="7"/>
  <c r="F3179" i="7" s="1"/>
  <c r="C3179" i="7"/>
  <c r="D3178" i="7"/>
  <c r="F3178" i="7" s="1"/>
  <c r="C3178" i="7"/>
  <c r="D3177" i="7"/>
  <c r="F3177" i="7" s="1"/>
  <c r="C3177" i="7"/>
  <c r="D3176" i="7"/>
  <c r="F3176" i="7" s="1"/>
  <c r="C3176" i="7"/>
  <c r="D3175" i="7"/>
  <c r="F3175" i="7" s="1"/>
  <c r="C3175" i="7"/>
  <c r="D3174" i="7"/>
  <c r="F3174" i="7" s="1"/>
  <c r="C3174" i="7"/>
  <c r="D3173" i="7"/>
  <c r="F3173" i="7" s="1"/>
  <c r="C3173" i="7"/>
  <c r="D3172" i="7"/>
  <c r="F3172" i="7" s="1"/>
  <c r="C3172" i="7"/>
  <c r="D3171" i="7"/>
  <c r="F3171" i="7" s="1"/>
  <c r="C3171" i="7"/>
  <c r="D3170" i="7"/>
  <c r="F3170" i="7" s="1"/>
  <c r="C3170" i="7"/>
  <c r="D3169" i="7"/>
  <c r="F3169" i="7" s="1"/>
  <c r="C3169" i="7"/>
  <c r="D3168" i="7"/>
  <c r="F3168" i="7" s="1"/>
  <c r="C3168" i="7"/>
  <c r="D3167" i="7"/>
  <c r="F3167" i="7" s="1"/>
  <c r="C3167" i="7"/>
  <c r="D3166" i="7"/>
  <c r="F3166" i="7" s="1"/>
  <c r="C3166" i="7"/>
  <c r="D3165" i="7"/>
  <c r="F3165" i="7" s="1"/>
  <c r="C3165" i="7"/>
  <c r="D3164" i="7"/>
  <c r="F3164" i="7" s="1"/>
  <c r="C3164" i="7"/>
  <c r="D3163" i="7"/>
  <c r="F3163" i="7" s="1"/>
  <c r="C3163" i="7"/>
  <c r="D3162" i="7"/>
  <c r="F3162" i="7" s="1"/>
  <c r="C3162" i="7"/>
  <c r="D3161" i="7"/>
  <c r="F3161" i="7" s="1"/>
  <c r="C3161" i="7"/>
  <c r="D3160" i="7"/>
  <c r="F3160" i="7" s="1"/>
  <c r="C3160" i="7"/>
  <c r="D3159" i="7"/>
  <c r="F3159" i="7" s="1"/>
  <c r="C3159" i="7"/>
  <c r="D3158" i="7"/>
  <c r="F3158" i="7" s="1"/>
  <c r="C3158" i="7"/>
  <c r="D3157" i="7"/>
  <c r="F3157" i="7" s="1"/>
  <c r="C3157" i="7"/>
  <c r="D3156" i="7"/>
  <c r="F3156" i="7" s="1"/>
  <c r="C3156" i="7"/>
  <c r="D3155" i="7"/>
  <c r="F3155" i="7" s="1"/>
  <c r="C3155" i="7"/>
  <c r="F3154" i="7"/>
  <c r="D3154" i="7"/>
  <c r="C3154" i="7"/>
  <c r="D3153" i="7"/>
  <c r="F3153" i="7" s="1"/>
  <c r="C3153" i="7"/>
  <c r="D3152" i="7"/>
  <c r="F3152" i="7" s="1"/>
  <c r="C3152" i="7"/>
  <c r="D3151" i="7"/>
  <c r="F3151" i="7" s="1"/>
  <c r="C3151" i="7"/>
  <c r="D3150" i="7"/>
  <c r="F3150" i="7" s="1"/>
  <c r="C3150" i="7"/>
  <c r="D3149" i="7"/>
  <c r="F3149" i="7" s="1"/>
  <c r="C3149" i="7"/>
  <c r="D3148" i="7"/>
  <c r="F3148" i="7" s="1"/>
  <c r="C3148" i="7"/>
  <c r="D3147" i="7"/>
  <c r="F3147" i="7" s="1"/>
  <c r="C3147" i="7"/>
  <c r="D3146" i="7"/>
  <c r="F3146" i="7" s="1"/>
  <c r="C3146" i="7"/>
  <c r="D3145" i="7"/>
  <c r="F3145" i="7" s="1"/>
  <c r="C3145" i="7"/>
  <c r="D3144" i="7"/>
  <c r="F3144" i="7" s="1"/>
  <c r="C3144" i="7"/>
  <c r="D3143" i="7"/>
  <c r="F3143" i="7" s="1"/>
  <c r="C3143" i="7"/>
  <c r="D3142" i="7"/>
  <c r="F3142" i="7" s="1"/>
  <c r="C3142" i="7"/>
  <c r="D3141" i="7"/>
  <c r="F3141" i="7" s="1"/>
  <c r="C3141" i="7"/>
  <c r="D3140" i="7"/>
  <c r="F3140" i="7" s="1"/>
  <c r="C3140" i="7"/>
  <c r="D3139" i="7"/>
  <c r="F3139" i="7" s="1"/>
  <c r="C3139" i="7"/>
  <c r="D3138" i="7"/>
  <c r="F3138" i="7" s="1"/>
  <c r="C3138" i="7"/>
  <c r="D3137" i="7"/>
  <c r="F3137" i="7" s="1"/>
  <c r="C3137" i="7"/>
  <c r="D3136" i="7"/>
  <c r="F3136" i="7" s="1"/>
  <c r="C3136" i="7"/>
  <c r="D3135" i="7"/>
  <c r="F3135" i="7" s="1"/>
  <c r="C3135" i="7"/>
  <c r="D3134" i="7"/>
  <c r="F3134" i="7" s="1"/>
  <c r="C3134" i="7"/>
  <c r="D3133" i="7"/>
  <c r="F3133" i="7" s="1"/>
  <c r="C3133" i="7"/>
  <c r="D3132" i="7"/>
  <c r="F3132" i="7" s="1"/>
  <c r="C3132" i="7"/>
  <c r="D3131" i="7"/>
  <c r="F3131" i="7" s="1"/>
  <c r="C3131" i="7"/>
  <c r="D3130" i="7"/>
  <c r="F3130" i="7" s="1"/>
  <c r="C3130" i="7"/>
  <c r="D3129" i="7"/>
  <c r="F3129" i="7" s="1"/>
  <c r="C3129" i="7"/>
  <c r="D3128" i="7"/>
  <c r="F3128" i="7" s="1"/>
  <c r="C3128" i="7"/>
  <c r="D3127" i="7"/>
  <c r="F3127" i="7" s="1"/>
  <c r="C3127" i="7"/>
  <c r="D3126" i="7"/>
  <c r="F3126" i="7" s="1"/>
  <c r="C3126" i="7"/>
  <c r="D3125" i="7"/>
  <c r="F3125" i="7" s="1"/>
  <c r="C3125" i="7"/>
  <c r="D3124" i="7"/>
  <c r="F3124" i="7" s="1"/>
  <c r="C3124" i="7"/>
  <c r="D3123" i="7"/>
  <c r="F3123" i="7" s="1"/>
  <c r="C3123" i="7"/>
  <c r="D3122" i="7"/>
  <c r="F3122" i="7" s="1"/>
  <c r="C3122" i="7"/>
  <c r="D3121" i="7"/>
  <c r="F3121" i="7" s="1"/>
  <c r="C3121" i="7"/>
  <c r="D3120" i="7"/>
  <c r="F3120" i="7" s="1"/>
  <c r="C3120" i="7"/>
  <c r="D3119" i="7"/>
  <c r="F3119" i="7" s="1"/>
  <c r="C3119" i="7"/>
  <c r="D3118" i="7"/>
  <c r="F3118" i="7" s="1"/>
  <c r="C3118" i="7"/>
  <c r="D3117" i="7"/>
  <c r="F3117" i="7" s="1"/>
  <c r="C3117" i="7"/>
  <c r="D3116" i="7"/>
  <c r="F3116" i="7" s="1"/>
  <c r="C3116" i="7"/>
  <c r="D3115" i="7"/>
  <c r="F3115" i="7" s="1"/>
  <c r="C3115" i="7"/>
  <c r="D3114" i="7"/>
  <c r="F3114" i="7" s="1"/>
  <c r="C3114" i="7"/>
  <c r="D3113" i="7"/>
  <c r="F3113" i="7" s="1"/>
  <c r="C3113" i="7"/>
  <c r="D3112" i="7"/>
  <c r="F3112" i="7" s="1"/>
  <c r="C3112" i="7"/>
  <c r="D3111" i="7"/>
  <c r="F3111" i="7" s="1"/>
  <c r="C3111" i="7"/>
  <c r="D3110" i="7"/>
  <c r="F3110" i="7" s="1"/>
  <c r="C3110" i="7"/>
  <c r="D3109" i="7"/>
  <c r="F3109" i="7" s="1"/>
  <c r="C3109" i="7"/>
  <c r="D3108" i="7"/>
  <c r="F3108" i="7" s="1"/>
  <c r="C3108" i="7"/>
  <c r="D3107" i="7"/>
  <c r="F3107" i="7" s="1"/>
  <c r="C3107" i="7"/>
  <c r="D3106" i="7"/>
  <c r="F3106" i="7" s="1"/>
  <c r="C3106" i="7"/>
  <c r="D3105" i="7"/>
  <c r="F3105" i="7" s="1"/>
  <c r="C3105" i="7"/>
  <c r="D3104" i="7"/>
  <c r="F3104" i="7" s="1"/>
  <c r="C3104" i="7"/>
  <c r="D3103" i="7"/>
  <c r="F3103" i="7" s="1"/>
  <c r="C3103" i="7"/>
  <c r="D3102" i="7"/>
  <c r="F3102" i="7" s="1"/>
  <c r="C3102" i="7"/>
  <c r="D3101" i="7"/>
  <c r="F3101" i="7" s="1"/>
  <c r="C3101" i="7"/>
  <c r="D3100" i="7"/>
  <c r="F3100" i="7" s="1"/>
  <c r="C3100" i="7"/>
  <c r="D3099" i="7"/>
  <c r="F3099" i="7" s="1"/>
  <c r="C3099" i="7"/>
  <c r="D3098" i="7"/>
  <c r="F3098" i="7" s="1"/>
  <c r="C3098" i="7"/>
  <c r="D3097" i="7"/>
  <c r="F3097" i="7" s="1"/>
  <c r="C3097" i="7"/>
  <c r="D3096" i="7"/>
  <c r="F3096" i="7" s="1"/>
  <c r="C3096" i="7"/>
  <c r="D3095" i="7"/>
  <c r="F3095" i="7" s="1"/>
  <c r="C3095" i="7"/>
  <c r="D3094" i="7"/>
  <c r="F3094" i="7" s="1"/>
  <c r="C3094" i="7"/>
  <c r="D3093" i="7"/>
  <c r="F3093" i="7" s="1"/>
  <c r="C3093" i="7"/>
  <c r="D3092" i="7"/>
  <c r="F3092" i="7" s="1"/>
  <c r="C3092" i="7"/>
  <c r="D3091" i="7"/>
  <c r="F3091" i="7" s="1"/>
  <c r="C3091" i="7"/>
  <c r="D3090" i="7"/>
  <c r="F3090" i="7" s="1"/>
  <c r="C3090" i="7"/>
  <c r="D3089" i="7"/>
  <c r="F3089" i="7" s="1"/>
  <c r="C3089" i="7"/>
  <c r="F3088" i="7"/>
  <c r="D3088" i="7"/>
  <c r="C3088" i="7"/>
  <c r="D3087" i="7"/>
  <c r="F3087" i="7" s="1"/>
  <c r="C3087" i="7"/>
  <c r="D3086" i="7"/>
  <c r="F3086" i="7" s="1"/>
  <c r="C3086" i="7"/>
  <c r="D3085" i="7"/>
  <c r="F3085" i="7" s="1"/>
  <c r="C3085" i="7"/>
  <c r="D3084" i="7"/>
  <c r="F3084" i="7" s="1"/>
  <c r="C3084" i="7"/>
  <c r="D3083" i="7"/>
  <c r="F3083" i="7" s="1"/>
  <c r="C3083" i="7"/>
  <c r="D3082" i="7"/>
  <c r="F3082" i="7" s="1"/>
  <c r="C3082" i="7"/>
  <c r="D3081" i="7"/>
  <c r="F3081" i="7" s="1"/>
  <c r="C3081" i="7"/>
  <c r="D3080" i="7"/>
  <c r="F3080" i="7" s="1"/>
  <c r="C3080" i="7"/>
  <c r="D3079" i="7"/>
  <c r="F3079" i="7" s="1"/>
  <c r="C3079" i="7"/>
  <c r="D3078" i="7"/>
  <c r="F3078" i="7" s="1"/>
  <c r="C3078" i="7"/>
  <c r="D3077" i="7"/>
  <c r="F3077" i="7" s="1"/>
  <c r="C3077" i="7"/>
  <c r="D3076" i="7"/>
  <c r="F3076" i="7" s="1"/>
  <c r="C3076" i="7"/>
  <c r="D3075" i="7"/>
  <c r="F3075" i="7" s="1"/>
  <c r="C3075" i="7"/>
  <c r="D3074" i="7"/>
  <c r="F3074" i="7" s="1"/>
  <c r="C3074" i="7"/>
  <c r="D3073" i="7"/>
  <c r="F3073" i="7" s="1"/>
  <c r="C3073" i="7"/>
  <c r="D3072" i="7"/>
  <c r="F3072" i="7" s="1"/>
  <c r="C3072" i="7"/>
  <c r="D3071" i="7"/>
  <c r="F3071" i="7" s="1"/>
  <c r="C3071" i="7"/>
  <c r="D3070" i="7"/>
  <c r="F3070" i="7" s="1"/>
  <c r="C3070" i="7"/>
  <c r="D3069" i="7"/>
  <c r="F3069" i="7" s="1"/>
  <c r="C3069" i="7"/>
  <c r="D3068" i="7"/>
  <c r="F3068" i="7" s="1"/>
  <c r="C3068" i="7"/>
  <c r="D3067" i="7"/>
  <c r="F3067" i="7" s="1"/>
  <c r="C3067" i="7"/>
  <c r="D3066" i="7"/>
  <c r="F3066" i="7" s="1"/>
  <c r="C3066" i="7"/>
  <c r="D3065" i="7"/>
  <c r="F3065" i="7" s="1"/>
  <c r="C3065" i="7"/>
  <c r="D3064" i="7"/>
  <c r="F3064" i="7" s="1"/>
  <c r="C3064" i="7"/>
  <c r="D3063" i="7"/>
  <c r="F3063" i="7" s="1"/>
  <c r="C3063" i="7"/>
  <c r="D3062" i="7"/>
  <c r="F3062" i="7" s="1"/>
  <c r="C3062" i="7"/>
  <c r="D3061" i="7"/>
  <c r="F3061" i="7" s="1"/>
  <c r="C3061" i="7"/>
  <c r="D3060" i="7"/>
  <c r="F3060" i="7" s="1"/>
  <c r="C3060" i="7"/>
  <c r="D3059" i="7"/>
  <c r="F3059" i="7" s="1"/>
  <c r="C3059" i="7"/>
  <c r="D3058" i="7"/>
  <c r="F3058" i="7" s="1"/>
  <c r="C3058" i="7"/>
  <c r="D3057" i="7"/>
  <c r="F3057" i="7" s="1"/>
  <c r="C3057" i="7"/>
  <c r="D3056" i="7"/>
  <c r="F3056" i="7" s="1"/>
  <c r="C3056" i="7"/>
  <c r="D3055" i="7"/>
  <c r="F3055" i="7" s="1"/>
  <c r="C3055" i="7"/>
  <c r="D3054" i="7"/>
  <c r="F3054" i="7" s="1"/>
  <c r="C3054" i="7"/>
  <c r="D3053" i="7"/>
  <c r="F3053" i="7" s="1"/>
  <c r="C3053" i="7"/>
  <c r="D3052" i="7"/>
  <c r="F3052" i="7" s="1"/>
  <c r="C3052" i="7"/>
  <c r="D3051" i="7"/>
  <c r="F3051" i="7" s="1"/>
  <c r="C3051" i="7"/>
  <c r="D3050" i="7"/>
  <c r="F3050" i="7" s="1"/>
  <c r="C3050" i="7"/>
  <c r="D3049" i="7"/>
  <c r="F3049" i="7" s="1"/>
  <c r="C3049" i="7"/>
  <c r="D3048" i="7"/>
  <c r="F3048" i="7" s="1"/>
  <c r="C3048" i="7"/>
  <c r="D3047" i="7"/>
  <c r="F3047" i="7" s="1"/>
  <c r="C3047" i="7"/>
  <c r="D3046" i="7"/>
  <c r="F3046" i="7" s="1"/>
  <c r="C3046" i="7"/>
  <c r="D3045" i="7"/>
  <c r="F3045" i="7" s="1"/>
  <c r="C3045" i="7"/>
  <c r="D3044" i="7"/>
  <c r="F3044" i="7" s="1"/>
  <c r="C3044" i="7"/>
  <c r="D3043" i="7"/>
  <c r="F3043" i="7" s="1"/>
  <c r="C3043" i="7"/>
  <c r="D3042" i="7"/>
  <c r="F3042" i="7" s="1"/>
  <c r="C3042" i="7"/>
  <c r="D3041" i="7"/>
  <c r="F3041" i="7" s="1"/>
  <c r="C3041" i="7"/>
  <c r="D3040" i="7"/>
  <c r="F3040" i="7" s="1"/>
  <c r="C3040" i="7"/>
  <c r="D3039" i="7"/>
  <c r="F3039" i="7" s="1"/>
  <c r="C3039" i="7"/>
  <c r="D3038" i="7"/>
  <c r="F3038" i="7" s="1"/>
  <c r="C3038" i="7"/>
  <c r="D3037" i="7"/>
  <c r="F3037" i="7" s="1"/>
  <c r="C3037" i="7"/>
  <c r="D3036" i="7"/>
  <c r="F3036" i="7" s="1"/>
  <c r="C3036" i="7"/>
  <c r="D3035" i="7"/>
  <c r="F3035" i="7" s="1"/>
  <c r="C3035" i="7"/>
  <c r="D3034" i="7"/>
  <c r="F3034" i="7" s="1"/>
  <c r="C3034" i="7"/>
  <c r="D3033" i="7"/>
  <c r="F3033" i="7" s="1"/>
  <c r="C3033" i="7"/>
  <c r="D3032" i="7"/>
  <c r="F3032" i="7" s="1"/>
  <c r="C3032" i="7"/>
  <c r="D3031" i="7"/>
  <c r="F3031" i="7" s="1"/>
  <c r="C3031" i="7"/>
  <c r="D3030" i="7"/>
  <c r="F3030" i="7" s="1"/>
  <c r="C3030" i="7"/>
  <c r="D3029" i="7"/>
  <c r="F3029" i="7" s="1"/>
  <c r="C3029" i="7"/>
  <c r="D3028" i="7"/>
  <c r="F3028" i="7" s="1"/>
  <c r="C3028" i="7"/>
  <c r="D3027" i="7"/>
  <c r="F3027" i="7" s="1"/>
  <c r="C3027" i="7"/>
  <c r="D3026" i="7"/>
  <c r="F3026" i="7" s="1"/>
  <c r="C3026" i="7"/>
  <c r="D3025" i="7"/>
  <c r="F3025" i="7" s="1"/>
  <c r="C3025" i="7"/>
  <c r="D3024" i="7"/>
  <c r="F3024" i="7" s="1"/>
  <c r="C3024" i="7"/>
  <c r="D3023" i="7"/>
  <c r="F3023" i="7" s="1"/>
  <c r="C3023" i="7"/>
  <c r="D3022" i="7"/>
  <c r="F3022" i="7" s="1"/>
  <c r="C3022" i="7"/>
  <c r="D3021" i="7"/>
  <c r="F3021" i="7" s="1"/>
  <c r="C3021" i="7"/>
  <c r="D3020" i="7"/>
  <c r="F3020" i="7" s="1"/>
  <c r="C3020" i="7"/>
  <c r="D3019" i="7"/>
  <c r="F3019" i="7" s="1"/>
  <c r="C3019" i="7"/>
  <c r="D3018" i="7"/>
  <c r="F3018" i="7" s="1"/>
  <c r="C3018" i="7"/>
  <c r="D3017" i="7"/>
  <c r="F3017" i="7" s="1"/>
  <c r="C3017" i="7"/>
  <c r="D3016" i="7"/>
  <c r="F3016" i="7" s="1"/>
  <c r="C3016" i="7"/>
  <c r="D3015" i="7"/>
  <c r="F3015" i="7" s="1"/>
  <c r="C3015" i="7"/>
  <c r="D3014" i="7"/>
  <c r="F3014" i="7" s="1"/>
  <c r="C3014" i="7"/>
  <c r="D3013" i="7"/>
  <c r="F3013" i="7" s="1"/>
  <c r="C3013" i="7"/>
  <c r="D3012" i="7"/>
  <c r="F3012" i="7" s="1"/>
  <c r="C3012" i="7"/>
  <c r="D3011" i="7"/>
  <c r="F3011" i="7" s="1"/>
  <c r="C3011" i="7"/>
  <c r="D3010" i="7"/>
  <c r="F3010" i="7" s="1"/>
  <c r="C3010" i="7"/>
  <c r="D3009" i="7"/>
  <c r="F3009" i="7" s="1"/>
  <c r="C3009" i="7"/>
  <c r="D3008" i="7"/>
  <c r="F3008" i="7" s="1"/>
  <c r="C3008" i="7"/>
  <c r="D3007" i="7"/>
  <c r="F3007" i="7" s="1"/>
  <c r="C3007" i="7"/>
  <c r="D3006" i="7"/>
  <c r="F3006" i="7" s="1"/>
  <c r="C3006" i="7"/>
  <c r="D3005" i="7"/>
  <c r="F3005" i="7" s="1"/>
  <c r="C3005" i="7"/>
  <c r="D3004" i="7"/>
  <c r="F3004" i="7" s="1"/>
  <c r="C3004" i="7"/>
  <c r="D3003" i="7"/>
  <c r="F3003" i="7" s="1"/>
  <c r="C3003" i="7"/>
  <c r="D3002" i="7"/>
  <c r="F3002" i="7" s="1"/>
  <c r="C3002" i="7"/>
  <c r="D3001" i="7"/>
  <c r="F3001" i="7" s="1"/>
  <c r="C3001" i="7"/>
  <c r="D3000" i="7"/>
  <c r="F3000" i="7" s="1"/>
  <c r="C3000" i="7"/>
  <c r="D2999" i="7"/>
  <c r="F2999" i="7" s="1"/>
  <c r="C2999" i="7"/>
  <c r="D2998" i="7"/>
  <c r="F2998" i="7" s="1"/>
  <c r="C2998" i="7"/>
  <c r="D2997" i="7"/>
  <c r="F2997" i="7" s="1"/>
  <c r="C2997" i="7"/>
  <c r="D2996" i="7"/>
  <c r="F2996" i="7" s="1"/>
  <c r="C2996" i="7"/>
  <c r="D2995" i="7"/>
  <c r="F2995" i="7" s="1"/>
  <c r="C2995" i="7"/>
  <c r="F2994" i="7"/>
  <c r="D2994" i="7"/>
  <c r="C2994" i="7"/>
  <c r="D2993" i="7"/>
  <c r="F2993" i="7" s="1"/>
  <c r="C2993" i="7"/>
  <c r="D2992" i="7"/>
  <c r="F2992" i="7" s="1"/>
  <c r="C2992" i="7"/>
  <c r="D2991" i="7"/>
  <c r="F2991" i="7" s="1"/>
  <c r="C2991" i="7"/>
  <c r="F2990" i="7"/>
  <c r="D2990" i="7"/>
  <c r="C2990" i="7"/>
  <c r="D2989" i="7"/>
  <c r="F2989" i="7" s="1"/>
  <c r="C2989" i="7"/>
  <c r="D2988" i="7"/>
  <c r="F2988" i="7" s="1"/>
  <c r="C2988" i="7"/>
  <c r="D2987" i="7"/>
  <c r="F2987" i="7" s="1"/>
  <c r="C2987" i="7"/>
  <c r="D2986" i="7"/>
  <c r="F2986" i="7" s="1"/>
  <c r="C2986" i="7"/>
  <c r="D2985" i="7"/>
  <c r="F2985" i="7" s="1"/>
  <c r="C2985" i="7"/>
  <c r="D2984" i="7"/>
  <c r="F2984" i="7" s="1"/>
  <c r="C2984" i="7"/>
  <c r="D2983" i="7"/>
  <c r="F2983" i="7" s="1"/>
  <c r="C2983" i="7"/>
  <c r="D2982" i="7"/>
  <c r="F2982" i="7" s="1"/>
  <c r="C2982" i="7"/>
  <c r="D2981" i="7"/>
  <c r="F2981" i="7" s="1"/>
  <c r="C2981" i="7"/>
  <c r="D2980" i="7"/>
  <c r="F2980" i="7" s="1"/>
  <c r="C2980" i="7"/>
  <c r="D2979" i="7"/>
  <c r="F2979" i="7" s="1"/>
  <c r="C2979" i="7"/>
  <c r="D2978" i="7"/>
  <c r="F2978" i="7" s="1"/>
  <c r="C2978" i="7"/>
  <c r="D2977" i="7"/>
  <c r="F2977" i="7" s="1"/>
  <c r="C2977" i="7"/>
  <c r="D2976" i="7"/>
  <c r="F2976" i="7" s="1"/>
  <c r="C2976" i="7"/>
  <c r="D2975" i="7"/>
  <c r="F2975" i="7" s="1"/>
  <c r="C2975" i="7"/>
  <c r="D2974" i="7"/>
  <c r="F2974" i="7" s="1"/>
  <c r="C2974" i="7"/>
  <c r="D2973" i="7"/>
  <c r="F2973" i="7" s="1"/>
  <c r="C2973" i="7"/>
  <c r="D2972" i="7"/>
  <c r="F2972" i="7" s="1"/>
  <c r="C2972" i="7"/>
  <c r="D2971" i="7"/>
  <c r="F2971" i="7" s="1"/>
  <c r="C2971" i="7"/>
  <c r="D2970" i="7"/>
  <c r="F2970" i="7" s="1"/>
  <c r="C2970" i="7"/>
  <c r="D2969" i="7"/>
  <c r="F2969" i="7" s="1"/>
  <c r="C2969" i="7"/>
  <c r="D2968" i="7"/>
  <c r="F2968" i="7" s="1"/>
  <c r="C2968" i="7"/>
  <c r="D2967" i="7"/>
  <c r="F2967" i="7" s="1"/>
  <c r="C2967" i="7"/>
  <c r="D2966" i="7"/>
  <c r="F2966" i="7" s="1"/>
  <c r="C2966" i="7"/>
  <c r="D2965" i="7"/>
  <c r="F2965" i="7" s="1"/>
  <c r="C2965" i="7"/>
  <c r="D2964" i="7"/>
  <c r="F2964" i="7" s="1"/>
  <c r="C2964" i="7"/>
  <c r="D2963" i="7"/>
  <c r="F2963" i="7" s="1"/>
  <c r="C2963" i="7"/>
  <c r="D2962" i="7"/>
  <c r="F2962" i="7" s="1"/>
  <c r="C2962" i="7"/>
  <c r="D2961" i="7"/>
  <c r="F2961" i="7" s="1"/>
  <c r="C2961" i="7"/>
  <c r="F2960" i="7"/>
  <c r="D2960" i="7"/>
  <c r="C2960" i="7"/>
  <c r="D2959" i="7"/>
  <c r="F2959" i="7" s="1"/>
  <c r="C2959" i="7"/>
  <c r="D2958" i="7"/>
  <c r="F2958" i="7" s="1"/>
  <c r="C2958" i="7"/>
  <c r="D2957" i="7"/>
  <c r="F2957" i="7" s="1"/>
  <c r="C2957" i="7"/>
  <c r="D2956" i="7"/>
  <c r="F2956" i="7" s="1"/>
  <c r="C2956" i="7"/>
  <c r="D2955" i="7"/>
  <c r="F2955" i="7" s="1"/>
  <c r="C2955" i="7"/>
  <c r="D2954" i="7"/>
  <c r="F2954" i="7" s="1"/>
  <c r="C2954" i="7"/>
  <c r="D2953" i="7"/>
  <c r="F2953" i="7" s="1"/>
  <c r="C2953" i="7"/>
  <c r="D2952" i="7"/>
  <c r="F2952" i="7" s="1"/>
  <c r="C2952" i="7"/>
  <c r="D2951" i="7"/>
  <c r="F2951" i="7" s="1"/>
  <c r="C2951" i="7"/>
  <c r="F2950" i="7"/>
  <c r="D2950" i="7"/>
  <c r="C2950" i="7"/>
  <c r="D2949" i="7"/>
  <c r="F2949" i="7" s="1"/>
  <c r="C2949" i="7"/>
  <c r="D2948" i="7"/>
  <c r="F2948" i="7" s="1"/>
  <c r="C2948" i="7"/>
  <c r="D2947" i="7"/>
  <c r="F2947" i="7" s="1"/>
  <c r="C2947" i="7"/>
  <c r="D2946" i="7"/>
  <c r="F2946" i="7" s="1"/>
  <c r="C2946" i="7"/>
  <c r="D2945" i="7"/>
  <c r="F2945" i="7" s="1"/>
  <c r="C2945" i="7"/>
  <c r="D2944" i="7"/>
  <c r="F2944" i="7" s="1"/>
  <c r="C2944" i="7"/>
  <c r="D2943" i="7"/>
  <c r="F2943" i="7" s="1"/>
  <c r="C2943" i="7"/>
  <c r="D2942" i="7"/>
  <c r="F2942" i="7" s="1"/>
  <c r="C2942" i="7"/>
  <c r="D2941" i="7"/>
  <c r="F2941" i="7" s="1"/>
  <c r="C2941" i="7"/>
  <c r="D2940" i="7"/>
  <c r="F2940" i="7" s="1"/>
  <c r="C2940" i="7"/>
  <c r="D2939" i="7"/>
  <c r="F2939" i="7" s="1"/>
  <c r="C2939" i="7"/>
  <c r="D2938" i="7"/>
  <c r="F2938" i="7" s="1"/>
  <c r="C2938" i="7"/>
  <c r="D2937" i="7"/>
  <c r="F2937" i="7" s="1"/>
  <c r="C2937" i="7"/>
  <c r="D2936" i="7"/>
  <c r="F2936" i="7" s="1"/>
  <c r="C2936" i="7"/>
  <c r="D2935" i="7"/>
  <c r="F2935" i="7" s="1"/>
  <c r="C2935" i="7"/>
  <c r="D2934" i="7"/>
  <c r="F2934" i="7" s="1"/>
  <c r="C2934" i="7"/>
  <c r="D2933" i="7"/>
  <c r="F2933" i="7" s="1"/>
  <c r="C2933" i="7"/>
  <c r="D2932" i="7"/>
  <c r="F2932" i="7" s="1"/>
  <c r="C2932" i="7"/>
  <c r="D2931" i="7"/>
  <c r="F2931" i="7" s="1"/>
  <c r="C2931" i="7"/>
  <c r="D2930" i="7"/>
  <c r="F2930" i="7" s="1"/>
  <c r="C2930" i="7"/>
  <c r="D2929" i="7"/>
  <c r="F2929" i="7" s="1"/>
  <c r="C2929" i="7"/>
  <c r="D2928" i="7"/>
  <c r="F2928" i="7" s="1"/>
  <c r="C2928" i="7"/>
  <c r="D2927" i="7"/>
  <c r="F2927" i="7" s="1"/>
  <c r="C2927" i="7"/>
  <c r="D2926" i="7"/>
  <c r="F2926" i="7" s="1"/>
  <c r="C2926" i="7"/>
  <c r="D2925" i="7"/>
  <c r="F2925" i="7" s="1"/>
  <c r="C2925" i="7"/>
  <c r="D2924" i="7"/>
  <c r="F2924" i="7" s="1"/>
  <c r="C2924" i="7"/>
  <c r="D2923" i="7"/>
  <c r="F2923" i="7" s="1"/>
  <c r="C2923" i="7"/>
  <c r="D2922" i="7"/>
  <c r="F2922" i="7" s="1"/>
  <c r="C2922" i="7"/>
  <c r="D2921" i="7"/>
  <c r="F2921" i="7" s="1"/>
  <c r="C2921" i="7"/>
  <c r="D2920" i="7"/>
  <c r="F2920" i="7" s="1"/>
  <c r="C2920" i="7"/>
  <c r="D2919" i="7"/>
  <c r="F2919" i="7" s="1"/>
  <c r="C2919" i="7"/>
  <c r="D2918" i="7"/>
  <c r="F2918" i="7" s="1"/>
  <c r="C2918" i="7"/>
  <c r="D2917" i="7"/>
  <c r="F2917" i="7" s="1"/>
  <c r="C2917" i="7"/>
  <c r="D2916" i="7"/>
  <c r="F2916" i="7" s="1"/>
  <c r="C2916" i="7"/>
  <c r="D2915" i="7"/>
  <c r="F2915" i="7" s="1"/>
  <c r="C2915" i="7"/>
  <c r="D2914" i="7"/>
  <c r="F2914" i="7" s="1"/>
  <c r="C2914" i="7"/>
  <c r="D2913" i="7"/>
  <c r="F2913" i="7" s="1"/>
  <c r="C2913" i="7"/>
  <c r="D2912" i="7"/>
  <c r="F2912" i="7" s="1"/>
  <c r="C2912" i="7"/>
  <c r="D2911" i="7"/>
  <c r="F2911" i="7" s="1"/>
  <c r="C2911" i="7"/>
  <c r="D2910" i="7"/>
  <c r="F2910" i="7" s="1"/>
  <c r="C2910" i="7"/>
  <c r="D2909" i="7"/>
  <c r="F2909" i="7" s="1"/>
  <c r="C2909" i="7"/>
  <c r="D2908" i="7"/>
  <c r="F2908" i="7" s="1"/>
  <c r="C2908" i="7"/>
  <c r="D2907" i="7"/>
  <c r="F2907" i="7" s="1"/>
  <c r="C2907" i="7"/>
  <c r="D2906" i="7"/>
  <c r="F2906" i="7" s="1"/>
  <c r="C2906" i="7"/>
  <c r="D2905" i="7"/>
  <c r="F2905" i="7" s="1"/>
  <c r="C2905" i="7"/>
  <c r="D2904" i="7"/>
  <c r="F2904" i="7" s="1"/>
  <c r="C2904" i="7"/>
  <c r="D2903" i="7"/>
  <c r="F2903" i="7" s="1"/>
  <c r="C2903" i="7"/>
  <c r="D2902" i="7"/>
  <c r="F2902" i="7" s="1"/>
  <c r="C2902" i="7"/>
  <c r="D2901" i="7"/>
  <c r="F2901" i="7" s="1"/>
  <c r="C2901" i="7"/>
  <c r="D2900" i="7"/>
  <c r="F2900" i="7" s="1"/>
  <c r="C2900" i="7"/>
  <c r="D2899" i="7"/>
  <c r="F2899" i="7" s="1"/>
  <c r="C2899" i="7"/>
  <c r="D2898" i="7"/>
  <c r="F2898" i="7" s="1"/>
  <c r="C2898" i="7"/>
  <c r="D2897" i="7"/>
  <c r="F2897" i="7" s="1"/>
  <c r="C2897" i="7"/>
  <c r="D2896" i="7"/>
  <c r="F2896" i="7" s="1"/>
  <c r="C2896" i="7"/>
  <c r="D2895" i="7"/>
  <c r="F2895" i="7" s="1"/>
  <c r="C2895" i="7"/>
  <c r="D2894" i="7"/>
  <c r="F2894" i="7" s="1"/>
  <c r="C2894" i="7"/>
  <c r="D2893" i="7"/>
  <c r="F2893" i="7" s="1"/>
  <c r="C2893" i="7"/>
  <c r="D2892" i="7"/>
  <c r="F2892" i="7" s="1"/>
  <c r="C2892" i="7"/>
  <c r="D2891" i="7"/>
  <c r="F2891" i="7" s="1"/>
  <c r="C2891" i="7"/>
  <c r="D2890" i="7"/>
  <c r="F2890" i="7" s="1"/>
  <c r="C2890" i="7"/>
  <c r="D2889" i="7"/>
  <c r="F2889" i="7" s="1"/>
  <c r="C2889" i="7"/>
  <c r="D2888" i="7"/>
  <c r="F2888" i="7" s="1"/>
  <c r="C2888" i="7"/>
  <c r="D2887" i="7"/>
  <c r="F2887" i="7" s="1"/>
  <c r="C2887" i="7"/>
  <c r="D2886" i="7"/>
  <c r="F2886" i="7" s="1"/>
  <c r="C2886" i="7"/>
  <c r="D2885" i="7"/>
  <c r="F2885" i="7" s="1"/>
  <c r="C2885" i="7"/>
  <c r="D2884" i="7"/>
  <c r="F2884" i="7" s="1"/>
  <c r="C2884" i="7"/>
  <c r="D2883" i="7"/>
  <c r="F2883" i="7" s="1"/>
  <c r="C2883" i="7"/>
  <c r="D2882" i="7"/>
  <c r="F2882" i="7" s="1"/>
  <c r="C2882" i="7"/>
  <c r="D2881" i="7"/>
  <c r="F2881" i="7" s="1"/>
  <c r="C2881" i="7"/>
  <c r="D2880" i="7"/>
  <c r="F2880" i="7" s="1"/>
  <c r="C2880" i="7"/>
  <c r="D2879" i="7"/>
  <c r="F2879" i="7" s="1"/>
  <c r="C2879" i="7"/>
  <c r="D2878" i="7"/>
  <c r="F2878" i="7" s="1"/>
  <c r="C2878" i="7"/>
  <c r="D2877" i="7"/>
  <c r="F2877" i="7" s="1"/>
  <c r="C2877" i="7"/>
  <c r="D2876" i="7"/>
  <c r="F2876" i="7" s="1"/>
  <c r="C2876" i="7"/>
  <c r="D2875" i="7"/>
  <c r="F2875" i="7" s="1"/>
  <c r="C2875" i="7"/>
  <c r="D2874" i="7"/>
  <c r="F2874" i="7" s="1"/>
  <c r="C2874" i="7"/>
  <c r="D2873" i="7"/>
  <c r="F2873" i="7" s="1"/>
  <c r="C2873" i="7"/>
  <c r="D2872" i="7"/>
  <c r="F2872" i="7" s="1"/>
  <c r="C2872" i="7"/>
  <c r="D2871" i="7"/>
  <c r="F2871" i="7" s="1"/>
  <c r="C2871" i="7"/>
  <c r="D2870" i="7"/>
  <c r="F2870" i="7" s="1"/>
  <c r="C2870" i="7"/>
  <c r="D2869" i="7"/>
  <c r="F2869" i="7" s="1"/>
  <c r="C2869" i="7"/>
  <c r="F2868" i="7"/>
  <c r="D2868" i="7"/>
  <c r="C2868" i="7"/>
  <c r="D2867" i="7"/>
  <c r="F2867" i="7" s="1"/>
  <c r="C2867" i="7"/>
  <c r="D2866" i="7"/>
  <c r="F2866" i="7" s="1"/>
  <c r="C2866" i="7"/>
  <c r="D2865" i="7"/>
  <c r="F2865" i="7" s="1"/>
  <c r="C2865" i="7"/>
  <c r="D2864" i="7"/>
  <c r="F2864" i="7" s="1"/>
  <c r="C2864" i="7"/>
  <c r="D2863" i="7"/>
  <c r="F2863" i="7" s="1"/>
  <c r="C2863" i="7"/>
  <c r="D2862" i="7"/>
  <c r="F2862" i="7" s="1"/>
  <c r="C2862" i="7"/>
  <c r="D2861" i="7"/>
  <c r="F2861" i="7" s="1"/>
  <c r="C2861" i="7"/>
  <c r="F2860" i="7"/>
  <c r="D2860" i="7"/>
  <c r="C2860" i="7"/>
  <c r="D2859" i="7"/>
  <c r="F2859" i="7" s="1"/>
  <c r="C2859" i="7"/>
  <c r="F2858" i="7"/>
  <c r="D2858" i="7"/>
  <c r="C2858" i="7"/>
  <c r="D2857" i="7"/>
  <c r="F2857" i="7" s="1"/>
  <c r="C2857" i="7"/>
  <c r="D2856" i="7"/>
  <c r="F2856" i="7" s="1"/>
  <c r="C2856" i="7"/>
  <c r="D2855" i="7"/>
  <c r="F2855" i="7" s="1"/>
  <c r="C2855" i="7"/>
  <c r="F2854" i="7"/>
  <c r="D2854" i="7"/>
  <c r="C2854" i="7"/>
  <c r="D2853" i="7"/>
  <c r="F2853" i="7" s="1"/>
  <c r="C2853" i="7"/>
  <c r="D2852" i="7"/>
  <c r="F2852" i="7" s="1"/>
  <c r="C2852" i="7"/>
  <c r="D2851" i="7"/>
  <c r="F2851" i="7" s="1"/>
  <c r="C2851" i="7"/>
  <c r="D2850" i="7"/>
  <c r="F2850" i="7" s="1"/>
  <c r="C2850" i="7"/>
  <c r="D2849" i="7"/>
  <c r="F2849" i="7" s="1"/>
  <c r="C2849" i="7"/>
  <c r="D2848" i="7"/>
  <c r="F2848" i="7" s="1"/>
  <c r="C2848" i="7"/>
  <c r="D2847" i="7"/>
  <c r="F2847" i="7" s="1"/>
  <c r="C2847" i="7"/>
  <c r="D2846" i="7"/>
  <c r="F2846" i="7" s="1"/>
  <c r="C2846" i="7"/>
  <c r="D2845" i="7"/>
  <c r="F2845" i="7" s="1"/>
  <c r="C2845" i="7"/>
  <c r="D2844" i="7"/>
  <c r="F2844" i="7" s="1"/>
  <c r="C2844" i="7"/>
  <c r="D2843" i="7"/>
  <c r="F2843" i="7" s="1"/>
  <c r="C2843" i="7"/>
  <c r="D2842" i="7"/>
  <c r="F2842" i="7" s="1"/>
  <c r="C2842" i="7"/>
  <c r="D2841" i="7"/>
  <c r="F2841" i="7" s="1"/>
  <c r="C2841" i="7"/>
  <c r="D2840" i="7"/>
  <c r="F2840" i="7" s="1"/>
  <c r="C2840" i="7"/>
  <c r="D2839" i="7"/>
  <c r="F2839" i="7" s="1"/>
  <c r="C2839" i="7"/>
  <c r="D2838" i="7"/>
  <c r="F2838" i="7" s="1"/>
  <c r="C2838" i="7"/>
  <c r="D2837" i="7"/>
  <c r="F2837" i="7" s="1"/>
  <c r="C2837" i="7"/>
  <c r="D2836" i="7"/>
  <c r="F2836" i="7" s="1"/>
  <c r="C2836" i="7"/>
  <c r="D2835" i="7"/>
  <c r="F2835" i="7" s="1"/>
  <c r="C2835" i="7"/>
  <c r="D2834" i="7"/>
  <c r="F2834" i="7" s="1"/>
  <c r="C2834" i="7"/>
  <c r="D2833" i="7"/>
  <c r="F2833" i="7" s="1"/>
  <c r="C2833" i="7"/>
  <c r="D2832" i="7"/>
  <c r="F2832" i="7" s="1"/>
  <c r="C2832" i="7"/>
  <c r="D2831" i="7"/>
  <c r="F2831" i="7" s="1"/>
  <c r="C2831" i="7"/>
  <c r="D2830" i="7"/>
  <c r="F2830" i="7" s="1"/>
  <c r="C2830" i="7"/>
  <c r="D2829" i="7"/>
  <c r="F2829" i="7" s="1"/>
  <c r="C2829" i="7"/>
  <c r="D2828" i="7"/>
  <c r="F2828" i="7" s="1"/>
  <c r="C2828" i="7"/>
  <c r="D2827" i="7"/>
  <c r="F2827" i="7" s="1"/>
  <c r="C2827" i="7"/>
  <c r="D2826" i="7"/>
  <c r="F2826" i="7" s="1"/>
  <c r="C2826" i="7"/>
  <c r="D2825" i="7"/>
  <c r="F2825" i="7" s="1"/>
  <c r="C2825" i="7"/>
  <c r="D2824" i="7"/>
  <c r="F2824" i="7" s="1"/>
  <c r="C2824" i="7"/>
  <c r="D2823" i="7"/>
  <c r="F2823" i="7" s="1"/>
  <c r="C2823" i="7"/>
  <c r="F2822" i="7"/>
  <c r="D2822" i="7"/>
  <c r="C2822" i="7"/>
  <c r="D2821" i="7"/>
  <c r="F2821" i="7" s="1"/>
  <c r="C2821" i="7"/>
  <c r="D2820" i="7"/>
  <c r="F2820" i="7" s="1"/>
  <c r="C2820" i="7"/>
  <c r="D2819" i="7"/>
  <c r="F2819" i="7" s="1"/>
  <c r="C2819" i="7"/>
  <c r="D2818" i="7"/>
  <c r="F2818" i="7" s="1"/>
  <c r="C2818" i="7"/>
  <c r="D2817" i="7"/>
  <c r="F2817" i="7" s="1"/>
  <c r="C2817" i="7"/>
  <c r="D2816" i="7"/>
  <c r="F2816" i="7" s="1"/>
  <c r="C2816" i="7"/>
  <c r="D2815" i="7"/>
  <c r="F2815" i="7" s="1"/>
  <c r="C2815" i="7"/>
  <c r="D2814" i="7"/>
  <c r="F2814" i="7" s="1"/>
  <c r="C2814" i="7"/>
  <c r="D2813" i="7"/>
  <c r="F2813" i="7" s="1"/>
  <c r="C2813" i="7"/>
  <c r="D2812" i="7"/>
  <c r="F2812" i="7" s="1"/>
  <c r="C2812" i="7"/>
  <c r="D2811" i="7"/>
  <c r="F2811" i="7" s="1"/>
  <c r="C2811" i="7"/>
  <c r="D2810" i="7"/>
  <c r="F2810" i="7" s="1"/>
  <c r="C2810" i="7"/>
  <c r="D2809" i="7"/>
  <c r="F2809" i="7" s="1"/>
  <c r="C2809" i="7"/>
  <c r="D2808" i="7"/>
  <c r="F2808" i="7" s="1"/>
  <c r="C2808" i="7"/>
  <c r="D2807" i="7"/>
  <c r="F2807" i="7" s="1"/>
  <c r="C2807" i="7"/>
  <c r="D2806" i="7"/>
  <c r="F2806" i="7" s="1"/>
  <c r="C2806" i="7"/>
  <c r="D2805" i="7"/>
  <c r="F2805" i="7" s="1"/>
  <c r="C2805" i="7"/>
  <c r="D2804" i="7"/>
  <c r="F2804" i="7" s="1"/>
  <c r="C2804" i="7"/>
  <c r="D2803" i="7"/>
  <c r="F2803" i="7" s="1"/>
  <c r="C2803" i="7"/>
  <c r="D2802" i="7"/>
  <c r="F2802" i="7" s="1"/>
  <c r="C2802" i="7"/>
  <c r="D2801" i="7"/>
  <c r="F2801" i="7" s="1"/>
  <c r="C2801" i="7"/>
  <c r="D2800" i="7"/>
  <c r="F2800" i="7" s="1"/>
  <c r="C2800" i="7"/>
  <c r="D2799" i="7"/>
  <c r="F2799" i="7" s="1"/>
  <c r="C2799" i="7"/>
  <c r="D2798" i="7"/>
  <c r="F2798" i="7" s="1"/>
  <c r="C2798" i="7"/>
  <c r="D2797" i="7"/>
  <c r="F2797" i="7" s="1"/>
  <c r="C2797" i="7"/>
  <c r="D2796" i="7"/>
  <c r="F2796" i="7" s="1"/>
  <c r="C2796" i="7"/>
  <c r="D2795" i="7"/>
  <c r="F2795" i="7" s="1"/>
  <c r="C2795" i="7"/>
  <c r="D2794" i="7"/>
  <c r="F2794" i="7" s="1"/>
  <c r="C2794" i="7"/>
  <c r="D2793" i="7"/>
  <c r="F2793" i="7" s="1"/>
  <c r="C2793" i="7"/>
  <c r="D2792" i="7"/>
  <c r="F2792" i="7" s="1"/>
  <c r="C2792" i="7"/>
  <c r="D2791" i="7"/>
  <c r="F2791" i="7" s="1"/>
  <c r="C2791" i="7"/>
  <c r="D2790" i="7"/>
  <c r="F2790" i="7" s="1"/>
  <c r="C2790" i="7"/>
  <c r="D2789" i="7"/>
  <c r="F2789" i="7" s="1"/>
  <c r="C2789" i="7"/>
  <c r="D2788" i="7"/>
  <c r="F2788" i="7" s="1"/>
  <c r="C2788" i="7"/>
  <c r="D2787" i="7"/>
  <c r="F2787" i="7" s="1"/>
  <c r="C2787" i="7"/>
  <c r="D2786" i="7"/>
  <c r="F2786" i="7" s="1"/>
  <c r="C2786" i="7"/>
  <c r="D2785" i="7"/>
  <c r="F2785" i="7" s="1"/>
  <c r="C2785" i="7"/>
  <c r="D2784" i="7"/>
  <c r="F2784" i="7" s="1"/>
  <c r="C2784" i="7"/>
  <c r="D2783" i="7"/>
  <c r="F2783" i="7" s="1"/>
  <c r="C2783" i="7"/>
  <c r="D2782" i="7"/>
  <c r="F2782" i="7" s="1"/>
  <c r="C2782" i="7"/>
  <c r="D2781" i="7"/>
  <c r="F2781" i="7" s="1"/>
  <c r="C2781" i="7"/>
  <c r="D2780" i="7"/>
  <c r="F2780" i="7" s="1"/>
  <c r="C2780" i="7"/>
  <c r="D2779" i="7"/>
  <c r="F2779" i="7" s="1"/>
  <c r="C2779" i="7"/>
  <c r="D2778" i="7"/>
  <c r="F2778" i="7" s="1"/>
  <c r="C2778" i="7"/>
  <c r="D2777" i="7"/>
  <c r="F2777" i="7" s="1"/>
  <c r="C2777" i="7"/>
  <c r="D2776" i="7"/>
  <c r="F2776" i="7" s="1"/>
  <c r="C2776" i="7"/>
  <c r="D2775" i="7"/>
  <c r="F2775" i="7" s="1"/>
  <c r="C2775" i="7"/>
  <c r="D2774" i="7"/>
  <c r="F2774" i="7" s="1"/>
  <c r="C2774" i="7"/>
  <c r="D2773" i="7"/>
  <c r="F2773" i="7" s="1"/>
  <c r="C2773" i="7"/>
  <c r="D2772" i="7"/>
  <c r="F2772" i="7" s="1"/>
  <c r="C2772" i="7"/>
  <c r="D2771" i="7"/>
  <c r="F2771" i="7" s="1"/>
  <c r="C2771" i="7"/>
  <c r="D2770" i="7"/>
  <c r="F2770" i="7" s="1"/>
  <c r="C2770" i="7"/>
  <c r="D2769" i="7"/>
  <c r="F2769" i="7" s="1"/>
  <c r="C2769" i="7"/>
  <c r="D2768" i="7"/>
  <c r="F2768" i="7" s="1"/>
  <c r="C2768" i="7"/>
  <c r="D2767" i="7"/>
  <c r="F2767" i="7" s="1"/>
  <c r="C2767" i="7"/>
  <c r="D2766" i="7"/>
  <c r="F2766" i="7" s="1"/>
  <c r="C2766" i="7"/>
  <c r="D2765" i="7"/>
  <c r="F2765" i="7" s="1"/>
  <c r="C2765" i="7"/>
  <c r="D2764" i="7"/>
  <c r="F2764" i="7" s="1"/>
  <c r="C2764" i="7"/>
  <c r="D2763" i="7"/>
  <c r="F2763" i="7" s="1"/>
  <c r="C2763" i="7"/>
  <c r="D2762" i="7"/>
  <c r="F2762" i="7" s="1"/>
  <c r="C2762" i="7"/>
  <c r="D2761" i="7"/>
  <c r="F2761" i="7" s="1"/>
  <c r="C2761" i="7"/>
  <c r="D2760" i="7"/>
  <c r="F2760" i="7" s="1"/>
  <c r="C2760" i="7"/>
  <c r="D2759" i="7"/>
  <c r="F2759" i="7" s="1"/>
  <c r="C2759" i="7"/>
  <c r="D2758" i="7"/>
  <c r="F2758" i="7" s="1"/>
  <c r="C2758" i="7"/>
  <c r="D2757" i="7"/>
  <c r="F2757" i="7" s="1"/>
  <c r="C2757" i="7"/>
  <c r="D2756" i="7"/>
  <c r="F2756" i="7" s="1"/>
  <c r="C2756" i="7"/>
  <c r="D2755" i="7"/>
  <c r="F2755" i="7" s="1"/>
  <c r="C2755" i="7"/>
  <c r="D2754" i="7"/>
  <c r="F2754" i="7" s="1"/>
  <c r="C2754" i="7"/>
  <c r="D2753" i="7"/>
  <c r="F2753" i="7" s="1"/>
  <c r="C2753" i="7"/>
  <c r="D2752" i="7"/>
  <c r="F2752" i="7" s="1"/>
  <c r="C2752" i="7"/>
  <c r="D2751" i="7"/>
  <c r="F2751" i="7" s="1"/>
  <c r="C2751" i="7"/>
  <c r="D2750" i="7"/>
  <c r="F2750" i="7" s="1"/>
  <c r="C2750" i="7"/>
  <c r="D2749" i="7"/>
  <c r="F2749" i="7" s="1"/>
  <c r="C2749" i="7"/>
  <c r="D2748" i="7"/>
  <c r="F2748" i="7" s="1"/>
  <c r="C2748" i="7"/>
  <c r="D2747" i="7"/>
  <c r="F2747" i="7" s="1"/>
  <c r="C2747" i="7"/>
  <c r="D2746" i="7"/>
  <c r="F2746" i="7" s="1"/>
  <c r="C2746" i="7"/>
  <c r="D2745" i="7"/>
  <c r="F2745" i="7" s="1"/>
  <c r="C2745" i="7"/>
  <c r="D2744" i="7"/>
  <c r="F2744" i="7" s="1"/>
  <c r="C2744" i="7"/>
  <c r="D2743" i="7"/>
  <c r="F2743" i="7" s="1"/>
  <c r="C2743" i="7"/>
  <c r="D2742" i="7"/>
  <c r="F2742" i="7" s="1"/>
  <c r="C2742" i="7"/>
  <c r="D2741" i="7"/>
  <c r="F2741" i="7" s="1"/>
  <c r="C2741" i="7"/>
  <c r="D2740" i="7"/>
  <c r="F2740" i="7" s="1"/>
  <c r="C2740" i="7"/>
  <c r="D2739" i="7"/>
  <c r="F2739" i="7" s="1"/>
  <c r="C2739" i="7"/>
  <c r="D2738" i="7"/>
  <c r="F2738" i="7" s="1"/>
  <c r="C2738" i="7"/>
  <c r="D2737" i="7"/>
  <c r="F2737" i="7" s="1"/>
  <c r="C2737" i="7"/>
  <c r="D2736" i="7"/>
  <c r="F2736" i="7" s="1"/>
  <c r="C2736" i="7"/>
  <c r="D2735" i="7"/>
  <c r="F2735" i="7" s="1"/>
  <c r="C2735" i="7"/>
  <c r="D2734" i="7"/>
  <c r="F2734" i="7" s="1"/>
  <c r="C2734" i="7"/>
  <c r="D2733" i="7"/>
  <c r="F2733" i="7" s="1"/>
  <c r="C2733" i="7"/>
  <c r="D2732" i="7"/>
  <c r="F2732" i="7" s="1"/>
  <c r="C2732" i="7"/>
  <c r="D2731" i="7"/>
  <c r="F2731" i="7" s="1"/>
  <c r="C2731" i="7"/>
  <c r="D2730" i="7"/>
  <c r="F2730" i="7" s="1"/>
  <c r="C2730" i="7"/>
  <c r="D2729" i="7"/>
  <c r="F2729" i="7" s="1"/>
  <c r="C2729" i="7"/>
  <c r="D2728" i="7"/>
  <c r="F2728" i="7" s="1"/>
  <c r="C2728" i="7"/>
  <c r="D2727" i="7"/>
  <c r="F2727" i="7" s="1"/>
  <c r="C2727" i="7"/>
  <c r="D2726" i="7"/>
  <c r="F2726" i="7" s="1"/>
  <c r="C2726" i="7"/>
  <c r="D2725" i="7"/>
  <c r="F2725" i="7" s="1"/>
  <c r="C2725" i="7"/>
  <c r="D2724" i="7"/>
  <c r="F2724" i="7" s="1"/>
  <c r="C2724" i="7"/>
  <c r="D2723" i="7"/>
  <c r="F2723" i="7" s="1"/>
  <c r="C2723" i="7"/>
  <c r="D2722" i="7"/>
  <c r="F2722" i="7" s="1"/>
  <c r="C2722" i="7"/>
  <c r="D2721" i="7"/>
  <c r="F2721" i="7" s="1"/>
  <c r="C2721" i="7"/>
  <c r="D2720" i="7"/>
  <c r="F2720" i="7" s="1"/>
  <c r="C2720" i="7"/>
  <c r="D2719" i="7"/>
  <c r="F2719" i="7" s="1"/>
  <c r="C2719" i="7"/>
  <c r="D2718" i="7"/>
  <c r="F2718" i="7" s="1"/>
  <c r="C2718" i="7"/>
  <c r="D2717" i="7"/>
  <c r="F2717" i="7" s="1"/>
  <c r="C2717" i="7"/>
  <c r="D2716" i="7"/>
  <c r="F2716" i="7" s="1"/>
  <c r="C2716" i="7"/>
  <c r="D2715" i="7"/>
  <c r="F2715" i="7" s="1"/>
  <c r="C2715" i="7"/>
  <c r="D2714" i="7"/>
  <c r="F2714" i="7" s="1"/>
  <c r="C2714" i="7"/>
  <c r="D2713" i="7"/>
  <c r="F2713" i="7" s="1"/>
  <c r="C2713" i="7"/>
  <c r="D2712" i="7"/>
  <c r="F2712" i="7" s="1"/>
  <c r="C2712" i="7"/>
  <c r="D2711" i="7"/>
  <c r="F2711" i="7" s="1"/>
  <c r="C2711" i="7"/>
  <c r="D2710" i="7"/>
  <c r="F2710" i="7" s="1"/>
  <c r="C2710" i="7"/>
  <c r="D2709" i="7"/>
  <c r="F2709" i="7" s="1"/>
  <c r="C2709" i="7"/>
  <c r="D2708" i="7"/>
  <c r="F2708" i="7" s="1"/>
  <c r="C2708" i="7"/>
  <c r="D2707" i="7"/>
  <c r="F2707" i="7" s="1"/>
  <c r="C2707" i="7"/>
  <c r="D2706" i="7"/>
  <c r="F2706" i="7" s="1"/>
  <c r="C2706" i="7"/>
  <c r="D2705" i="7"/>
  <c r="F2705" i="7" s="1"/>
  <c r="C2705" i="7"/>
  <c r="D2704" i="7"/>
  <c r="F2704" i="7" s="1"/>
  <c r="C2704" i="7"/>
  <c r="D2703" i="7"/>
  <c r="F2703" i="7" s="1"/>
  <c r="C2703" i="7"/>
  <c r="D2702" i="7"/>
  <c r="F2702" i="7" s="1"/>
  <c r="C2702" i="7"/>
  <c r="D2701" i="7"/>
  <c r="F2701" i="7" s="1"/>
  <c r="C2701" i="7"/>
  <c r="D2700" i="7"/>
  <c r="F2700" i="7" s="1"/>
  <c r="C2700" i="7"/>
  <c r="D2699" i="7"/>
  <c r="F2699" i="7" s="1"/>
  <c r="C2699" i="7"/>
  <c r="D2698" i="7"/>
  <c r="F2698" i="7" s="1"/>
  <c r="C2698" i="7"/>
  <c r="D2697" i="7"/>
  <c r="F2697" i="7" s="1"/>
  <c r="C2697" i="7"/>
  <c r="D2696" i="7"/>
  <c r="F2696" i="7" s="1"/>
  <c r="C2696" i="7"/>
  <c r="D2695" i="7"/>
  <c r="F2695" i="7" s="1"/>
  <c r="C2695" i="7"/>
  <c r="D2694" i="7"/>
  <c r="F2694" i="7" s="1"/>
  <c r="C2694" i="7"/>
  <c r="D2693" i="7"/>
  <c r="F2693" i="7" s="1"/>
  <c r="C2693" i="7"/>
  <c r="D2692" i="7"/>
  <c r="F2692" i="7" s="1"/>
  <c r="C2692" i="7"/>
  <c r="D2691" i="7"/>
  <c r="F2691" i="7" s="1"/>
  <c r="C2691" i="7"/>
  <c r="D2690" i="7"/>
  <c r="F2690" i="7" s="1"/>
  <c r="C2690" i="7"/>
  <c r="D2689" i="7"/>
  <c r="F2689" i="7" s="1"/>
  <c r="C2689" i="7"/>
  <c r="D2688" i="7"/>
  <c r="F2688" i="7" s="1"/>
  <c r="C2688" i="7"/>
  <c r="D2687" i="7"/>
  <c r="F2687" i="7" s="1"/>
  <c r="C2687" i="7"/>
  <c r="D2686" i="7"/>
  <c r="F2686" i="7" s="1"/>
  <c r="C2686" i="7"/>
  <c r="D2685" i="7"/>
  <c r="F2685" i="7" s="1"/>
  <c r="C2685" i="7"/>
  <c r="D2684" i="7"/>
  <c r="F2684" i="7" s="1"/>
  <c r="C2684" i="7"/>
  <c r="D2683" i="7"/>
  <c r="F2683" i="7" s="1"/>
  <c r="C2683" i="7"/>
  <c r="D2682" i="7"/>
  <c r="F2682" i="7" s="1"/>
  <c r="C2682" i="7"/>
  <c r="D2681" i="7"/>
  <c r="F2681" i="7" s="1"/>
  <c r="C2681" i="7"/>
  <c r="D2680" i="7"/>
  <c r="F2680" i="7" s="1"/>
  <c r="C2680" i="7"/>
  <c r="D2679" i="7"/>
  <c r="F2679" i="7" s="1"/>
  <c r="C2679" i="7"/>
  <c r="F2678" i="7"/>
  <c r="D2678" i="7"/>
  <c r="C2678" i="7"/>
  <c r="D2677" i="7"/>
  <c r="F2677" i="7" s="1"/>
  <c r="C2677" i="7"/>
  <c r="D2676" i="7"/>
  <c r="F2676" i="7" s="1"/>
  <c r="C2676" i="7"/>
  <c r="D2675" i="7"/>
  <c r="F2675" i="7" s="1"/>
  <c r="C2675" i="7"/>
  <c r="D2674" i="7"/>
  <c r="F2674" i="7" s="1"/>
  <c r="C2674" i="7"/>
  <c r="D2673" i="7"/>
  <c r="F2673" i="7" s="1"/>
  <c r="C2673" i="7"/>
  <c r="D2672" i="7"/>
  <c r="F2672" i="7" s="1"/>
  <c r="C2672" i="7"/>
  <c r="D2671" i="7"/>
  <c r="F2671" i="7" s="1"/>
  <c r="C2671" i="7"/>
  <c r="D2670" i="7"/>
  <c r="F2670" i="7" s="1"/>
  <c r="C2670" i="7"/>
  <c r="D2669" i="7"/>
  <c r="F2669" i="7" s="1"/>
  <c r="C2669" i="7"/>
  <c r="D2668" i="7"/>
  <c r="F2668" i="7" s="1"/>
  <c r="C2668" i="7"/>
  <c r="D2667" i="7"/>
  <c r="F2667" i="7" s="1"/>
  <c r="C2667" i="7"/>
  <c r="D2666" i="7"/>
  <c r="F2666" i="7" s="1"/>
  <c r="C2666" i="7"/>
  <c r="D2665" i="7"/>
  <c r="F2665" i="7" s="1"/>
  <c r="C2665" i="7"/>
  <c r="D2664" i="7"/>
  <c r="F2664" i="7" s="1"/>
  <c r="C2664" i="7"/>
  <c r="D2663" i="7"/>
  <c r="F2663" i="7" s="1"/>
  <c r="C2663" i="7"/>
  <c r="D2662" i="7"/>
  <c r="F2662" i="7" s="1"/>
  <c r="C2662" i="7"/>
  <c r="D2661" i="7"/>
  <c r="F2661" i="7" s="1"/>
  <c r="C2661" i="7"/>
  <c r="D2660" i="7"/>
  <c r="F2660" i="7" s="1"/>
  <c r="C2660" i="7"/>
  <c r="D2659" i="7"/>
  <c r="F2659" i="7" s="1"/>
  <c r="C2659" i="7"/>
  <c r="D2658" i="7"/>
  <c r="F2658" i="7" s="1"/>
  <c r="C2658" i="7"/>
  <c r="D2657" i="7"/>
  <c r="F2657" i="7" s="1"/>
  <c r="C2657" i="7"/>
  <c r="D2656" i="7"/>
  <c r="F2656" i="7" s="1"/>
  <c r="C2656" i="7"/>
  <c r="D2655" i="7"/>
  <c r="F2655" i="7" s="1"/>
  <c r="C2655" i="7"/>
  <c r="D2654" i="7"/>
  <c r="F2654" i="7" s="1"/>
  <c r="C2654" i="7"/>
  <c r="D2653" i="7"/>
  <c r="F2653" i="7" s="1"/>
  <c r="C2653" i="7"/>
  <c r="D2652" i="7"/>
  <c r="F2652" i="7" s="1"/>
  <c r="C2652" i="7"/>
  <c r="D2651" i="7"/>
  <c r="F2651" i="7" s="1"/>
  <c r="C2651" i="7"/>
  <c r="D2650" i="7"/>
  <c r="F2650" i="7" s="1"/>
  <c r="C2650" i="7"/>
  <c r="D2649" i="7"/>
  <c r="F2649" i="7" s="1"/>
  <c r="C2649" i="7"/>
  <c r="D2648" i="7"/>
  <c r="F2648" i="7" s="1"/>
  <c r="C2648" i="7"/>
  <c r="D2647" i="7"/>
  <c r="F2647" i="7" s="1"/>
  <c r="C2647" i="7"/>
  <c r="D2646" i="7"/>
  <c r="F2646" i="7" s="1"/>
  <c r="C2646" i="7"/>
  <c r="D2645" i="7"/>
  <c r="F2645" i="7" s="1"/>
  <c r="C2645" i="7"/>
  <c r="D2644" i="7"/>
  <c r="F2644" i="7" s="1"/>
  <c r="C2644" i="7"/>
  <c r="D2643" i="7"/>
  <c r="F2643" i="7" s="1"/>
  <c r="C2643" i="7"/>
  <c r="F2642" i="7"/>
  <c r="D2642" i="7"/>
  <c r="C2642" i="7"/>
  <c r="D2641" i="7"/>
  <c r="F2641" i="7" s="1"/>
  <c r="C2641" i="7"/>
  <c r="D2640" i="7"/>
  <c r="F2640" i="7" s="1"/>
  <c r="C2640" i="7"/>
  <c r="D2639" i="7"/>
  <c r="F2639" i="7" s="1"/>
  <c r="C2639" i="7"/>
  <c r="D2638" i="7"/>
  <c r="F2638" i="7" s="1"/>
  <c r="C2638" i="7"/>
  <c r="D2637" i="7"/>
  <c r="F2637" i="7" s="1"/>
  <c r="C2637" i="7"/>
  <c r="D2636" i="7"/>
  <c r="F2636" i="7" s="1"/>
  <c r="C2636" i="7"/>
  <c r="D2635" i="7"/>
  <c r="F2635" i="7" s="1"/>
  <c r="C2635" i="7"/>
  <c r="D2634" i="7"/>
  <c r="F2634" i="7" s="1"/>
  <c r="C2634" i="7"/>
  <c r="D2633" i="7"/>
  <c r="F2633" i="7" s="1"/>
  <c r="C2633" i="7"/>
  <c r="D2632" i="7"/>
  <c r="F2632" i="7" s="1"/>
  <c r="C2632" i="7"/>
  <c r="D2631" i="7"/>
  <c r="F2631" i="7" s="1"/>
  <c r="C2631" i="7"/>
  <c r="D2630" i="7"/>
  <c r="F2630" i="7" s="1"/>
  <c r="C2630" i="7"/>
  <c r="D2629" i="7"/>
  <c r="F2629" i="7" s="1"/>
  <c r="C2629" i="7"/>
  <c r="D2628" i="7"/>
  <c r="F2628" i="7" s="1"/>
  <c r="C2628" i="7"/>
  <c r="D2627" i="7"/>
  <c r="F2627" i="7" s="1"/>
  <c r="C2627" i="7"/>
  <c r="D2626" i="7"/>
  <c r="F2626" i="7" s="1"/>
  <c r="C2626" i="7"/>
  <c r="D2625" i="7"/>
  <c r="F2625" i="7" s="1"/>
  <c r="C2625" i="7"/>
  <c r="D2624" i="7"/>
  <c r="F2624" i="7" s="1"/>
  <c r="C2624" i="7"/>
  <c r="D2623" i="7"/>
  <c r="F2623" i="7" s="1"/>
  <c r="C2623" i="7"/>
  <c r="D2622" i="7"/>
  <c r="F2622" i="7" s="1"/>
  <c r="C2622" i="7"/>
  <c r="D2621" i="7"/>
  <c r="F2621" i="7" s="1"/>
  <c r="C2621" i="7"/>
  <c r="D2620" i="7"/>
  <c r="F2620" i="7" s="1"/>
  <c r="C2620" i="7"/>
  <c r="D2619" i="7"/>
  <c r="F2619" i="7" s="1"/>
  <c r="C2619" i="7"/>
  <c r="D2618" i="7"/>
  <c r="F2618" i="7" s="1"/>
  <c r="C2618" i="7"/>
  <c r="D2617" i="7"/>
  <c r="F2617" i="7" s="1"/>
  <c r="C2617" i="7"/>
  <c r="D2616" i="7"/>
  <c r="F2616" i="7" s="1"/>
  <c r="C2616" i="7"/>
  <c r="D2615" i="7"/>
  <c r="F2615" i="7" s="1"/>
  <c r="C2615" i="7"/>
  <c r="D2614" i="7"/>
  <c r="F2614" i="7" s="1"/>
  <c r="C2614" i="7"/>
  <c r="D2613" i="7"/>
  <c r="F2613" i="7" s="1"/>
  <c r="C2613" i="7"/>
  <c r="D2612" i="7"/>
  <c r="F2612" i="7" s="1"/>
  <c r="C2612" i="7"/>
  <c r="D2611" i="7"/>
  <c r="F2611" i="7" s="1"/>
  <c r="C2611" i="7"/>
  <c r="D2610" i="7"/>
  <c r="F2610" i="7" s="1"/>
  <c r="C2610" i="7"/>
  <c r="D2609" i="7"/>
  <c r="F2609" i="7" s="1"/>
  <c r="C2609" i="7"/>
  <c r="D2608" i="7"/>
  <c r="F2608" i="7" s="1"/>
  <c r="C2608" i="7"/>
  <c r="D2607" i="7"/>
  <c r="F2607" i="7" s="1"/>
  <c r="C2607" i="7"/>
  <c r="D2606" i="7"/>
  <c r="F2606" i="7" s="1"/>
  <c r="C2606" i="7"/>
  <c r="D2605" i="7"/>
  <c r="F2605" i="7" s="1"/>
  <c r="C2605" i="7"/>
  <c r="D2604" i="7"/>
  <c r="F2604" i="7" s="1"/>
  <c r="C2604" i="7"/>
  <c r="D2603" i="7"/>
  <c r="F2603" i="7" s="1"/>
  <c r="C2603" i="7"/>
  <c r="D2602" i="7"/>
  <c r="F2602" i="7" s="1"/>
  <c r="C2602" i="7"/>
  <c r="D2601" i="7"/>
  <c r="F2601" i="7" s="1"/>
  <c r="C2601" i="7"/>
  <c r="D2600" i="7"/>
  <c r="F2600" i="7" s="1"/>
  <c r="C2600" i="7"/>
  <c r="D2599" i="7"/>
  <c r="F2599" i="7" s="1"/>
  <c r="C2599" i="7"/>
  <c r="D2598" i="7"/>
  <c r="F2598" i="7" s="1"/>
  <c r="C2598" i="7"/>
  <c r="D2597" i="7"/>
  <c r="F2597" i="7" s="1"/>
  <c r="C2597" i="7"/>
  <c r="D2596" i="7"/>
  <c r="F2596" i="7" s="1"/>
  <c r="C2596" i="7"/>
  <c r="D2595" i="7"/>
  <c r="F2595" i="7" s="1"/>
  <c r="C2595" i="7"/>
  <c r="D2594" i="7"/>
  <c r="F2594" i="7" s="1"/>
  <c r="C2594" i="7"/>
  <c r="D2593" i="7"/>
  <c r="F2593" i="7" s="1"/>
  <c r="C2593" i="7"/>
  <c r="D2592" i="7"/>
  <c r="F2592" i="7" s="1"/>
  <c r="C2592" i="7"/>
  <c r="D2591" i="7"/>
  <c r="F2591" i="7" s="1"/>
  <c r="C2591" i="7"/>
  <c r="D2590" i="7"/>
  <c r="F2590" i="7" s="1"/>
  <c r="C2590" i="7"/>
  <c r="D2589" i="7"/>
  <c r="F2589" i="7" s="1"/>
  <c r="C2589" i="7"/>
  <c r="D2588" i="7"/>
  <c r="F2588" i="7" s="1"/>
  <c r="C2588" i="7"/>
  <c r="D2587" i="7"/>
  <c r="F2587" i="7" s="1"/>
  <c r="C2587" i="7"/>
  <c r="D2586" i="7"/>
  <c r="F2586" i="7" s="1"/>
  <c r="C2586" i="7"/>
  <c r="D2585" i="7"/>
  <c r="F2585" i="7" s="1"/>
  <c r="C2585" i="7"/>
  <c r="D2584" i="7"/>
  <c r="F2584" i="7" s="1"/>
  <c r="C2584" i="7"/>
  <c r="D2583" i="7"/>
  <c r="F2583" i="7" s="1"/>
  <c r="C2583" i="7"/>
  <c r="D2582" i="7"/>
  <c r="F2582" i="7" s="1"/>
  <c r="C2582" i="7"/>
  <c r="D2581" i="7"/>
  <c r="F2581" i="7" s="1"/>
  <c r="C2581" i="7"/>
  <c r="D2580" i="7"/>
  <c r="F2580" i="7" s="1"/>
  <c r="C2580" i="7"/>
  <c r="D2579" i="7"/>
  <c r="F2579" i="7" s="1"/>
  <c r="C2579" i="7"/>
  <c r="D2578" i="7"/>
  <c r="F2578" i="7" s="1"/>
  <c r="C2578" i="7"/>
  <c r="D2577" i="7"/>
  <c r="F2577" i="7" s="1"/>
  <c r="C2577" i="7"/>
  <c r="D2576" i="7"/>
  <c r="F2576" i="7" s="1"/>
  <c r="C2576" i="7"/>
  <c r="D2575" i="7"/>
  <c r="F2575" i="7" s="1"/>
  <c r="C2575" i="7"/>
  <c r="D2574" i="7"/>
  <c r="F2574" i="7" s="1"/>
  <c r="C2574" i="7"/>
  <c r="D2573" i="7"/>
  <c r="F2573" i="7" s="1"/>
  <c r="C2573" i="7"/>
  <c r="D2572" i="7"/>
  <c r="F2572" i="7" s="1"/>
  <c r="C2572" i="7"/>
  <c r="D2571" i="7"/>
  <c r="F2571" i="7" s="1"/>
  <c r="C2571" i="7"/>
  <c r="D2570" i="7"/>
  <c r="F2570" i="7" s="1"/>
  <c r="C2570" i="7"/>
  <c r="D2569" i="7"/>
  <c r="F2569" i="7" s="1"/>
  <c r="C2569" i="7"/>
  <c r="D2568" i="7"/>
  <c r="F2568" i="7" s="1"/>
  <c r="C2568" i="7"/>
  <c r="D2567" i="7"/>
  <c r="F2567" i="7" s="1"/>
  <c r="C2567" i="7"/>
  <c r="D2566" i="7"/>
  <c r="F2566" i="7" s="1"/>
  <c r="C2566" i="7"/>
  <c r="D2565" i="7"/>
  <c r="F2565" i="7" s="1"/>
  <c r="C2565" i="7"/>
  <c r="D2564" i="7"/>
  <c r="F2564" i="7" s="1"/>
  <c r="C2564" i="7"/>
  <c r="D2563" i="7"/>
  <c r="F2563" i="7" s="1"/>
  <c r="C2563" i="7"/>
  <c r="D2562" i="7"/>
  <c r="F2562" i="7" s="1"/>
  <c r="C2562" i="7"/>
  <c r="D2561" i="7"/>
  <c r="F2561" i="7" s="1"/>
  <c r="C2561" i="7"/>
  <c r="F2560" i="7"/>
  <c r="D2560" i="7"/>
  <c r="C2560" i="7"/>
  <c r="D2559" i="7"/>
  <c r="F2559" i="7" s="1"/>
  <c r="C2559" i="7"/>
  <c r="D2558" i="7"/>
  <c r="F2558" i="7" s="1"/>
  <c r="C2558" i="7"/>
  <c r="D2557" i="7"/>
  <c r="F2557" i="7" s="1"/>
  <c r="C2557" i="7"/>
  <c r="D2556" i="7"/>
  <c r="F2556" i="7" s="1"/>
  <c r="C2556" i="7"/>
  <c r="D2555" i="7"/>
  <c r="F2555" i="7" s="1"/>
  <c r="C2555" i="7"/>
  <c r="D2554" i="7"/>
  <c r="F2554" i="7" s="1"/>
  <c r="C2554" i="7"/>
  <c r="D2553" i="7"/>
  <c r="F2553" i="7" s="1"/>
  <c r="C2553" i="7"/>
  <c r="D2552" i="7"/>
  <c r="F2552" i="7" s="1"/>
  <c r="C2552" i="7"/>
  <c r="D2551" i="7"/>
  <c r="F2551" i="7" s="1"/>
  <c r="C2551" i="7"/>
  <c r="D2550" i="7"/>
  <c r="F2550" i="7" s="1"/>
  <c r="C2550" i="7"/>
  <c r="D2549" i="7"/>
  <c r="F2549" i="7" s="1"/>
  <c r="C2549" i="7"/>
  <c r="D2548" i="7"/>
  <c r="F2548" i="7" s="1"/>
  <c r="C2548" i="7"/>
  <c r="D2547" i="7"/>
  <c r="F2547" i="7" s="1"/>
  <c r="C2547" i="7"/>
  <c r="D2546" i="7"/>
  <c r="F2546" i="7" s="1"/>
  <c r="C2546" i="7"/>
  <c r="D2545" i="7"/>
  <c r="F2545" i="7" s="1"/>
  <c r="C2545" i="7"/>
  <c r="D2544" i="7"/>
  <c r="F2544" i="7" s="1"/>
  <c r="C2544" i="7"/>
  <c r="D2543" i="7"/>
  <c r="F2543" i="7" s="1"/>
  <c r="C2543" i="7"/>
  <c r="D2542" i="7"/>
  <c r="F2542" i="7" s="1"/>
  <c r="C2542" i="7"/>
  <c r="D2541" i="7"/>
  <c r="F2541" i="7" s="1"/>
  <c r="C2541" i="7"/>
  <c r="D2540" i="7"/>
  <c r="F2540" i="7" s="1"/>
  <c r="C2540" i="7"/>
  <c r="D2539" i="7"/>
  <c r="F2539" i="7" s="1"/>
  <c r="C2539" i="7"/>
  <c r="D2538" i="7"/>
  <c r="F2538" i="7" s="1"/>
  <c r="C2538" i="7"/>
  <c r="D2537" i="7"/>
  <c r="F2537" i="7" s="1"/>
  <c r="C2537" i="7"/>
  <c r="D2536" i="7"/>
  <c r="F2536" i="7" s="1"/>
  <c r="C2536" i="7"/>
  <c r="D2535" i="7"/>
  <c r="F2535" i="7" s="1"/>
  <c r="C2535" i="7"/>
  <c r="D2534" i="7"/>
  <c r="F2534" i="7" s="1"/>
  <c r="C2534" i="7"/>
  <c r="D2533" i="7"/>
  <c r="F2533" i="7" s="1"/>
  <c r="C2533" i="7"/>
  <c r="D2532" i="7"/>
  <c r="F2532" i="7" s="1"/>
  <c r="C2532" i="7"/>
  <c r="D2531" i="7"/>
  <c r="F2531" i="7" s="1"/>
  <c r="C2531" i="7"/>
  <c r="D2530" i="7"/>
  <c r="F2530" i="7" s="1"/>
  <c r="C2530" i="7"/>
  <c r="D2529" i="7"/>
  <c r="F2529" i="7" s="1"/>
  <c r="C2529" i="7"/>
  <c r="D2528" i="7"/>
  <c r="F2528" i="7" s="1"/>
  <c r="C2528" i="7"/>
  <c r="D2527" i="7"/>
  <c r="F2527" i="7" s="1"/>
  <c r="C2527" i="7"/>
  <c r="F2526" i="7"/>
  <c r="D2526" i="7"/>
  <c r="C2526" i="7"/>
  <c r="D2525" i="7"/>
  <c r="F2525" i="7" s="1"/>
  <c r="C2525" i="7"/>
  <c r="D2524" i="7"/>
  <c r="F2524" i="7" s="1"/>
  <c r="C2524" i="7"/>
  <c r="D2523" i="7"/>
  <c r="F2523" i="7" s="1"/>
  <c r="C2523" i="7"/>
  <c r="D2522" i="7"/>
  <c r="F2522" i="7" s="1"/>
  <c r="C2522" i="7"/>
  <c r="D2521" i="7"/>
  <c r="F2521" i="7" s="1"/>
  <c r="C2521" i="7"/>
  <c r="D2520" i="7"/>
  <c r="F2520" i="7" s="1"/>
  <c r="C2520" i="7"/>
  <c r="F2519" i="7"/>
  <c r="D2519" i="7"/>
  <c r="C2519" i="7"/>
  <c r="D2518" i="7"/>
  <c r="F2518" i="7" s="1"/>
  <c r="C2518" i="7"/>
  <c r="D2517" i="7"/>
  <c r="F2517" i="7" s="1"/>
  <c r="C2517" i="7"/>
  <c r="F2516" i="7"/>
  <c r="D2516" i="7"/>
  <c r="C2516" i="7"/>
  <c r="D2515" i="7"/>
  <c r="F2515" i="7" s="1"/>
  <c r="C2515" i="7"/>
  <c r="D2514" i="7"/>
  <c r="F2514" i="7" s="1"/>
  <c r="C2514" i="7"/>
  <c r="D2513" i="7"/>
  <c r="F2513" i="7" s="1"/>
  <c r="C2513" i="7"/>
  <c r="D2512" i="7"/>
  <c r="F2512" i="7" s="1"/>
  <c r="C2512" i="7"/>
  <c r="D2511" i="7"/>
  <c r="F2511" i="7" s="1"/>
  <c r="C2511" i="7"/>
  <c r="D2510" i="7"/>
  <c r="F2510" i="7" s="1"/>
  <c r="C2510" i="7"/>
  <c r="D2509" i="7"/>
  <c r="F2509" i="7" s="1"/>
  <c r="C2509" i="7"/>
  <c r="D2508" i="7"/>
  <c r="F2508" i="7" s="1"/>
  <c r="C2508" i="7"/>
  <c r="D2507" i="7"/>
  <c r="F2507" i="7" s="1"/>
  <c r="C2507" i="7"/>
  <c r="D2506" i="7"/>
  <c r="F2506" i="7" s="1"/>
  <c r="C2506" i="7"/>
  <c r="D2505" i="7"/>
  <c r="F2505" i="7" s="1"/>
  <c r="C2505" i="7"/>
  <c r="D2504" i="7"/>
  <c r="F2504" i="7" s="1"/>
  <c r="C2504" i="7"/>
  <c r="D2503" i="7"/>
  <c r="F2503" i="7" s="1"/>
  <c r="C2503" i="7"/>
  <c r="D2502" i="7"/>
  <c r="F2502" i="7" s="1"/>
  <c r="C2502" i="7"/>
  <c r="D2501" i="7"/>
  <c r="F2501" i="7" s="1"/>
  <c r="C2501" i="7"/>
  <c r="D2500" i="7"/>
  <c r="F2500" i="7" s="1"/>
  <c r="C2500" i="7"/>
  <c r="D2499" i="7"/>
  <c r="F2499" i="7" s="1"/>
  <c r="C2499" i="7"/>
  <c r="D2498" i="7"/>
  <c r="F2498" i="7" s="1"/>
  <c r="C2498" i="7"/>
  <c r="D2497" i="7"/>
  <c r="F2497" i="7" s="1"/>
  <c r="C2497" i="7"/>
  <c r="D2496" i="7"/>
  <c r="F2496" i="7" s="1"/>
  <c r="C2496" i="7"/>
  <c r="D2495" i="7"/>
  <c r="F2495" i="7" s="1"/>
  <c r="C2495" i="7"/>
  <c r="D2494" i="7"/>
  <c r="F2494" i="7" s="1"/>
  <c r="C2494" i="7"/>
  <c r="D2493" i="7"/>
  <c r="F2493" i="7" s="1"/>
  <c r="C2493" i="7"/>
  <c r="D2492" i="7"/>
  <c r="F2492" i="7" s="1"/>
  <c r="C2492" i="7"/>
  <c r="D2491" i="7"/>
  <c r="F2491" i="7" s="1"/>
  <c r="C2491" i="7"/>
  <c r="D2490" i="7"/>
  <c r="F2490" i="7" s="1"/>
  <c r="C2490" i="7"/>
  <c r="D2489" i="7"/>
  <c r="F2489" i="7" s="1"/>
  <c r="C2489" i="7"/>
  <c r="D2488" i="7"/>
  <c r="F2488" i="7" s="1"/>
  <c r="C2488" i="7"/>
  <c r="D2487" i="7"/>
  <c r="F2487" i="7" s="1"/>
  <c r="C2487" i="7"/>
  <c r="D2486" i="7"/>
  <c r="F2486" i="7" s="1"/>
  <c r="C2486" i="7"/>
  <c r="D2485" i="7"/>
  <c r="F2485" i="7" s="1"/>
  <c r="C2485" i="7"/>
  <c r="D2484" i="7"/>
  <c r="F2484" i="7" s="1"/>
  <c r="C2484" i="7"/>
  <c r="D2483" i="7"/>
  <c r="F2483" i="7" s="1"/>
  <c r="C2483" i="7"/>
  <c r="D2482" i="7"/>
  <c r="F2482" i="7" s="1"/>
  <c r="C2482" i="7"/>
  <c r="D2481" i="7"/>
  <c r="F2481" i="7" s="1"/>
  <c r="C2481" i="7"/>
  <c r="D2480" i="7"/>
  <c r="F2480" i="7" s="1"/>
  <c r="C2480" i="7"/>
  <c r="D2479" i="7"/>
  <c r="F2479" i="7" s="1"/>
  <c r="C2479" i="7"/>
  <c r="D2478" i="7"/>
  <c r="F2478" i="7" s="1"/>
  <c r="C2478" i="7"/>
  <c r="D2477" i="7"/>
  <c r="F2477" i="7" s="1"/>
  <c r="C2477" i="7"/>
  <c r="D2476" i="7"/>
  <c r="F2476" i="7" s="1"/>
  <c r="C2476" i="7"/>
  <c r="D2475" i="7"/>
  <c r="F2475" i="7" s="1"/>
  <c r="C2475" i="7"/>
  <c r="D2474" i="7"/>
  <c r="F2474" i="7" s="1"/>
  <c r="C2474" i="7"/>
  <c r="D2473" i="7"/>
  <c r="F2473" i="7" s="1"/>
  <c r="C2473" i="7"/>
  <c r="D2472" i="7"/>
  <c r="F2472" i="7" s="1"/>
  <c r="C2472" i="7"/>
  <c r="D2471" i="7"/>
  <c r="F2471" i="7" s="1"/>
  <c r="C2471" i="7"/>
  <c r="D2470" i="7"/>
  <c r="F2470" i="7" s="1"/>
  <c r="C2470" i="7"/>
  <c r="D2469" i="7"/>
  <c r="F2469" i="7" s="1"/>
  <c r="C2469" i="7"/>
  <c r="D2468" i="7"/>
  <c r="F2468" i="7" s="1"/>
  <c r="C2468" i="7"/>
  <c r="D2467" i="7"/>
  <c r="F2467" i="7" s="1"/>
  <c r="C2467" i="7"/>
  <c r="D2466" i="7"/>
  <c r="F2466" i="7" s="1"/>
  <c r="C2466" i="7"/>
  <c r="D2465" i="7"/>
  <c r="F2465" i="7" s="1"/>
  <c r="C2465" i="7"/>
  <c r="D2464" i="7"/>
  <c r="F2464" i="7" s="1"/>
  <c r="C2464" i="7"/>
  <c r="D2463" i="7"/>
  <c r="F2463" i="7" s="1"/>
  <c r="C2463" i="7"/>
  <c r="D2462" i="7"/>
  <c r="F2462" i="7" s="1"/>
  <c r="C2462" i="7"/>
  <c r="D2461" i="7"/>
  <c r="F2461" i="7" s="1"/>
  <c r="C2461" i="7"/>
  <c r="D2460" i="7"/>
  <c r="F2460" i="7" s="1"/>
  <c r="C2460" i="7"/>
  <c r="D2459" i="7"/>
  <c r="F2459" i="7" s="1"/>
  <c r="C2459" i="7"/>
  <c r="D2458" i="7"/>
  <c r="F2458" i="7" s="1"/>
  <c r="C2458" i="7"/>
  <c r="D2457" i="7"/>
  <c r="F2457" i="7" s="1"/>
  <c r="C2457" i="7"/>
  <c r="D2456" i="7"/>
  <c r="F2456" i="7" s="1"/>
  <c r="C2456" i="7"/>
  <c r="D2455" i="7"/>
  <c r="F2455" i="7" s="1"/>
  <c r="C2455" i="7"/>
  <c r="D2454" i="7"/>
  <c r="F2454" i="7" s="1"/>
  <c r="C2454" i="7"/>
  <c r="D2453" i="7"/>
  <c r="F2453" i="7" s="1"/>
  <c r="C2453" i="7"/>
  <c r="D2452" i="7"/>
  <c r="F2452" i="7" s="1"/>
  <c r="C2452" i="7"/>
  <c r="D2451" i="7"/>
  <c r="F2451" i="7" s="1"/>
  <c r="C2451" i="7"/>
  <c r="D2450" i="7"/>
  <c r="F2450" i="7" s="1"/>
  <c r="C2450" i="7"/>
  <c r="D2449" i="7"/>
  <c r="F2449" i="7" s="1"/>
  <c r="C2449" i="7"/>
  <c r="D2448" i="7"/>
  <c r="F2448" i="7" s="1"/>
  <c r="C2448" i="7"/>
  <c r="D2447" i="7"/>
  <c r="F2447" i="7" s="1"/>
  <c r="C2447" i="7"/>
  <c r="D2446" i="7"/>
  <c r="F2446" i="7" s="1"/>
  <c r="C2446" i="7"/>
  <c r="D2445" i="7"/>
  <c r="F2445" i="7" s="1"/>
  <c r="C2445" i="7"/>
  <c r="D2444" i="7"/>
  <c r="F2444" i="7" s="1"/>
  <c r="C2444" i="7"/>
  <c r="D2443" i="7"/>
  <c r="F2443" i="7" s="1"/>
  <c r="C2443" i="7"/>
  <c r="D2442" i="7"/>
  <c r="F2442" i="7" s="1"/>
  <c r="C2442" i="7"/>
  <c r="D2441" i="7"/>
  <c r="F2441" i="7" s="1"/>
  <c r="C2441" i="7"/>
  <c r="D2440" i="7"/>
  <c r="F2440" i="7" s="1"/>
  <c r="C2440" i="7"/>
  <c r="D2439" i="7"/>
  <c r="F2439" i="7" s="1"/>
  <c r="C2439" i="7"/>
  <c r="D2438" i="7"/>
  <c r="F2438" i="7" s="1"/>
  <c r="C2438" i="7"/>
  <c r="D2437" i="7"/>
  <c r="F2437" i="7" s="1"/>
  <c r="C2437" i="7"/>
  <c r="D2436" i="7"/>
  <c r="F2436" i="7" s="1"/>
  <c r="C2436" i="7"/>
  <c r="D2435" i="7"/>
  <c r="F2435" i="7" s="1"/>
  <c r="C2435" i="7"/>
  <c r="D2434" i="7"/>
  <c r="F2434" i="7" s="1"/>
  <c r="C2434" i="7"/>
  <c r="D2433" i="7"/>
  <c r="F2433" i="7" s="1"/>
  <c r="C2433" i="7"/>
  <c r="D2432" i="7"/>
  <c r="F2432" i="7" s="1"/>
  <c r="C2432" i="7"/>
  <c r="D2431" i="7"/>
  <c r="F2431" i="7" s="1"/>
  <c r="C2431" i="7"/>
  <c r="D2430" i="7"/>
  <c r="F2430" i="7" s="1"/>
  <c r="C2430" i="7"/>
  <c r="D2429" i="7"/>
  <c r="F2429" i="7" s="1"/>
  <c r="C2429" i="7"/>
  <c r="D2428" i="7"/>
  <c r="F2428" i="7" s="1"/>
  <c r="C2428" i="7"/>
  <c r="D2427" i="7"/>
  <c r="F2427" i="7" s="1"/>
  <c r="C2427" i="7"/>
  <c r="D2426" i="7"/>
  <c r="F2426" i="7" s="1"/>
  <c r="C2426" i="7"/>
  <c r="D2425" i="7"/>
  <c r="F2425" i="7" s="1"/>
  <c r="C2425" i="7"/>
  <c r="D2424" i="7"/>
  <c r="F2424" i="7" s="1"/>
  <c r="C2424" i="7"/>
  <c r="D2423" i="7"/>
  <c r="F2423" i="7" s="1"/>
  <c r="C2423" i="7"/>
  <c r="D2422" i="7"/>
  <c r="F2422" i="7" s="1"/>
  <c r="C2422" i="7"/>
  <c r="D2421" i="7"/>
  <c r="F2421" i="7" s="1"/>
  <c r="C2421" i="7"/>
  <c r="D2420" i="7"/>
  <c r="F2420" i="7" s="1"/>
  <c r="C2420" i="7"/>
  <c r="D2419" i="7"/>
  <c r="F2419" i="7" s="1"/>
  <c r="C2419" i="7"/>
  <c r="D2418" i="7"/>
  <c r="F2418" i="7" s="1"/>
  <c r="C2418" i="7"/>
  <c r="D2417" i="7"/>
  <c r="F2417" i="7" s="1"/>
  <c r="C2417" i="7"/>
  <c r="D2416" i="7"/>
  <c r="F2416" i="7" s="1"/>
  <c r="C2416" i="7"/>
  <c r="D2415" i="7"/>
  <c r="F2415" i="7" s="1"/>
  <c r="C2415" i="7"/>
  <c r="D2414" i="7"/>
  <c r="F2414" i="7" s="1"/>
  <c r="C2414" i="7"/>
  <c r="D2413" i="7"/>
  <c r="F2413" i="7" s="1"/>
  <c r="C2413" i="7"/>
  <c r="D2412" i="7"/>
  <c r="F2412" i="7" s="1"/>
  <c r="C2412" i="7"/>
  <c r="D2411" i="7"/>
  <c r="F2411" i="7" s="1"/>
  <c r="C2411" i="7"/>
  <c r="D2410" i="7"/>
  <c r="F2410" i="7" s="1"/>
  <c r="C2410" i="7"/>
  <c r="D2409" i="7"/>
  <c r="F2409" i="7" s="1"/>
  <c r="C2409" i="7"/>
  <c r="D2408" i="7"/>
  <c r="F2408" i="7" s="1"/>
  <c r="C2408" i="7"/>
  <c r="D2407" i="7"/>
  <c r="F2407" i="7" s="1"/>
  <c r="C2407" i="7"/>
  <c r="D2406" i="7"/>
  <c r="F2406" i="7" s="1"/>
  <c r="C2406" i="7"/>
  <c r="D2405" i="7"/>
  <c r="F2405" i="7" s="1"/>
  <c r="C2405" i="7"/>
  <c r="D2404" i="7"/>
  <c r="F2404" i="7" s="1"/>
  <c r="C2404" i="7"/>
  <c r="D2403" i="7"/>
  <c r="F2403" i="7" s="1"/>
  <c r="C2403" i="7"/>
  <c r="D2402" i="7"/>
  <c r="F2402" i="7" s="1"/>
  <c r="C2402" i="7"/>
  <c r="D2401" i="7"/>
  <c r="F2401" i="7" s="1"/>
  <c r="C2401" i="7"/>
  <c r="D2400" i="7"/>
  <c r="F2400" i="7" s="1"/>
  <c r="C2400" i="7"/>
  <c r="D2399" i="7"/>
  <c r="F2399" i="7" s="1"/>
  <c r="C2399" i="7"/>
  <c r="D2398" i="7"/>
  <c r="F2398" i="7" s="1"/>
  <c r="C2398" i="7"/>
  <c r="D2397" i="7"/>
  <c r="F2397" i="7" s="1"/>
  <c r="C2397" i="7"/>
  <c r="D2396" i="7"/>
  <c r="F2396" i="7" s="1"/>
  <c r="C2396" i="7"/>
  <c r="D2395" i="7"/>
  <c r="F2395" i="7" s="1"/>
  <c r="C2395" i="7"/>
  <c r="D2394" i="7"/>
  <c r="F2394" i="7" s="1"/>
  <c r="C2394" i="7"/>
  <c r="D2393" i="7"/>
  <c r="F2393" i="7" s="1"/>
  <c r="C2393" i="7"/>
  <c r="D2392" i="7"/>
  <c r="F2392" i="7" s="1"/>
  <c r="C2392" i="7"/>
  <c r="D2391" i="7"/>
  <c r="F2391" i="7" s="1"/>
  <c r="C2391" i="7"/>
  <c r="D2390" i="7"/>
  <c r="F2390" i="7" s="1"/>
  <c r="C2390" i="7"/>
  <c r="D2389" i="7"/>
  <c r="F2389" i="7" s="1"/>
  <c r="C2389" i="7"/>
  <c r="D2388" i="7"/>
  <c r="F2388" i="7" s="1"/>
  <c r="C2388" i="7"/>
  <c r="D2387" i="7"/>
  <c r="F2387" i="7" s="1"/>
  <c r="C2387" i="7"/>
  <c r="D2386" i="7"/>
  <c r="F2386" i="7" s="1"/>
  <c r="C2386" i="7"/>
  <c r="D2385" i="7"/>
  <c r="F2385" i="7" s="1"/>
  <c r="C2385" i="7"/>
  <c r="D2384" i="7"/>
  <c r="F2384" i="7" s="1"/>
  <c r="C2384" i="7"/>
  <c r="D2383" i="7"/>
  <c r="F2383" i="7" s="1"/>
  <c r="C2383" i="7"/>
  <c r="D2382" i="7"/>
  <c r="F2382" i="7" s="1"/>
  <c r="C2382" i="7"/>
  <c r="D2381" i="7"/>
  <c r="F2381" i="7" s="1"/>
  <c r="C2381" i="7"/>
  <c r="D2380" i="7"/>
  <c r="F2380" i="7" s="1"/>
  <c r="C2380" i="7"/>
  <c r="D2379" i="7"/>
  <c r="F2379" i="7" s="1"/>
  <c r="C2379" i="7"/>
  <c r="D2378" i="7"/>
  <c r="F2378" i="7" s="1"/>
  <c r="C2378" i="7"/>
  <c r="D2377" i="7"/>
  <c r="F2377" i="7" s="1"/>
  <c r="C2377" i="7"/>
  <c r="D2376" i="7"/>
  <c r="F2376" i="7" s="1"/>
  <c r="C2376" i="7"/>
  <c r="D2375" i="7"/>
  <c r="F2375" i="7" s="1"/>
  <c r="C2375" i="7"/>
  <c r="D2374" i="7"/>
  <c r="F2374" i="7" s="1"/>
  <c r="C2374" i="7"/>
  <c r="D2373" i="7"/>
  <c r="F2373" i="7" s="1"/>
  <c r="C2373" i="7"/>
  <c r="D2372" i="7"/>
  <c r="F2372" i="7" s="1"/>
  <c r="C2372" i="7"/>
  <c r="D2371" i="7"/>
  <c r="F2371" i="7" s="1"/>
  <c r="C2371" i="7"/>
  <c r="D2370" i="7"/>
  <c r="F2370" i="7" s="1"/>
  <c r="C2370" i="7"/>
  <c r="D2369" i="7"/>
  <c r="F2369" i="7" s="1"/>
  <c r="C2369" i="7"/>
  <c r="D2368" i="7"/>
  <c r="F2368" i="7" s="1"/>
  <c r="C2368" i="7"/>
  <c r="D2367" i="7"/>
  <c r="F2367" i="7" s="1"/>
  <c r="C2367" i="7"/>
  <c r="D2366" i="7"/>
  <c r="F2366" i="7" s="1"/>
  <c r="C2366" i="7"/>
  <c r="D2365" i="7"/>
  <c r="F2365" i="7" s="1"/>
  <c r="C2365" i="7"/>
  <c r="D2364" i="7"/>
  <c r="F2364" i="7" s="1"/>
  <c r="C2364" i="7"/>
  <c r="D2363" i="7"/>
  <c r="F2363" i="7" s="1"/>
  <c r="C2363" i="7"/>
  <c r="D2362" i="7"/>
  <c r="F2362" i="7" s="1"/>
  <c r="C2362" i="7"/>
  <c r="D2361" i="7"/>
  <c r="F2361" i="7" s="1"/>
  <c r="C2361" i="7"/>
  <c r="D2360" i="7"/>
  <c r="F2360" i="7" s="1"/>
  <c r="C2360" i="7"/>
  <c r="D2359" i="7"/>
  <c r="F2359" i="7" s="1"/>
  <c r="C2359" i="7"/>
  <c r="D2358" i="7"/>
  <c r="F2358" i="7" s="1"/>
  <c r="C2358" i="7"/>
  <c r="D2357" i="7"/>
  <c r="F2357" i="7" s="1"/>
  <c r="C2357" i="7"/>
  <c r="D2356" i="7"/>
  <c r="F2356" i="7" s="1"/>
  <c r="C2356" i="7"/>
  <c r="D2355" i="7"/>
  <c r="F2355" i="7" s="1"/>
  <c r="C2355" i="7"/>
  <c r="D2354" i="7"/>
  <c r="F2354" i="7" s="1"/>
  <c r="C2354" i="7"/>
  <c r="D2353" i="7"/>
  <c r="F2353" i="7" s="1"/>
  <c r="C2353" i="7"/>
  <c r="D2352" i="7"/>
  <c r="F2352" i="7" s="1"/>
  <c r="C2352" i="7"/>
  <c r="D2351" i="7"/>
  <c r="F2351" i="7" s="1"/>
  <c r="C2351" i="7"/>
  <c r="D2350" i="7"/>
  <c r="F2350" i="7" s="1"/>
  <c r="C2350" i="7"/>
  <c r="D2349" i="7"/>
  <c r="F2349" i="7" s="1"/>
  <c r="C2349" i="7"/>
  <c r="D2348" i="7"/>
  <c r="F2348" i="7" s="1"/>
  <c r="C2348" i="7"/>
  <c r="D2347" i="7"/>
  <c r="F2347" i="7" s="1"/>
  <c r="C2347" i="7"/>
  <c r="D2346" i="7"/>
  <c r="F2346" i="7" s="1"/>
  <c r="C2346" i="7"/>
  <c r="D2345" i="7"/>
  <c r="F2345" i="7" s="1"/>
  <c r="C2345" i="7"/>
  <c r="D2344" i="7"/>
  <c r="F2344" i="7" s="1"/>
  <c r="C2344" i="7"/>
  <c r="D2343" i="7"/>
  <c r="F2343" i="7" s="1"/>
  <c r="C2343" i="7"/>
  <c r="F2342" i="7"/>
  <c r="D2342" i="7"/>
  <c r="C2342" i="7"/>
  <c r="D2341" i="7"/>
  <c r="F2341" i="7" s="1"/>
  <c r="C2341" i="7"/>
  <c r="D2340" i="7"/>
  <c r="F2340" i="7" s="1"/>
  <c r="C2340" i="7"/>
  <c r="D2339" i="7"/>
  <c r="F2339" i="7" s="1"/>
  <c r="C2339" i="7"/>
  <c r="D2338" i="7"/>
  <c r="F2338" i="7" s="1"/>
  <c r="C2338" i="7"/>
  <c r="D2337" i="7"/>
  <c r="F2337" i="7" s="1"/>
  <c r="C2337" i="7"/>
  <c r="D2336" i="7"/>
  <c r="F2336" i="7" s="1"/>
  <c r="C2336" i="7"/>
  <c r="D2335" i="7"/>
  <c r="F2335" i="7" s="1"/>
  <c r="C2335" i="7"/>
  <c r="D2334" i="7"/>
  <c r="F2334" i="7" s="1"/>
  <c r="C2334" i="7"/>
  <c r="D2333" i="7"/>
  <c r="F2333" i="7" s="1"/>
  <c r="C2333" i="7"/>
  <c r="D2332" i="7"/>
  <c r="F2332" i="7" s="1"/>
  <c r="C2332" i="7"/>
  <c r="D2331" i="7"/>
  <c r="F2331" i="7" s="1"/>
  <c r="C2331" i="7"/>
  <c r="D2330" i="7"/>
  <c r="F2330" i="7" s="1"/>
  <c r="C2330" i="7"/>
  <c r="D2329" i="7"/>
  <c r="F2329" i="7" s="1"/>
  <c r="C2329" i="7"/>
  <c r="D2328" i="7"/>
  <c r="F2328" i="7" s="1"/>
  <c r="C2328" i="7"/>
  <c r="D2327" i="7"/>
  <c r="F2327" i="7" s="1"/>
  <c r="C2327" i="7"/>
  <c r="D2326" i="7"/>
  <c r="F2326" i="7" s="1"/>
  <c r="C2326" i="7"/>
  <c r="D2325" i="7"/>
  <c r="F2325" i="7" s="1"/>
  <c r="C2325" i="7"/>
  <c r="D2324" i="7"/>
  <c r="F2324" i="7" s="1"/>
  <c r="C2324" i="7"/>
  <c r="D2323" i="7"/>
  <c r="F2323" i="7" s="1"/>
  <c r="C2323" i="7"/>
  <c r="D2322" i="7"/>
  <c r="F2322" i="7" s="1"/>
  <c r="C2322" i="7"/>
  <c r="D2321" i="7"/>
  <c r="F2321" i="7" s="1"/>
  <c r="C2321" i="7"/>
  <c r="D2320" i="7"/>
  <c r="F2320" i="7" s="1"/>
  <c r="C2320" i="7"/>
  <c r="D2319" i="7"/>
  <c r="F2319" i="7" s="1"/>
  <c r="C2319" i="7"/>
  <c r="D2318" i="7"/>
  <c r="F2318" i="7" s="1"/>
  <c r="C2318" i="7"/>
  <c r="D2317" i="7"/>
  <c r="F2317" i="7" s="1"/>
  <c r="C2317" i="7"/>
  <c r="D2316" i="7"/>
  <c r="F2316" i="7" s="1"/>
  <c r="C2316" i="7"/>
  <c r="D2315" i="7"/>
  <c r="F2315" i="7" s="1"/>
  <c r="C2315" i="7"/>
  <c r="D2314" i="7"/>
  <c r="F2314" i="7" s="1"/>
  <c r="C2314" i="7"/>
  <c r="D2313" i="7"/>
  <c r="F2313" i="7" s="1"/>
  <c r="C2313" i="7"/>
  <c r="D2312" i="7"/>
  <c r="F2312" i="7" s="1"/>
  <c r="C2312" i="7"/>
  <c r="D2311" i="7"/>
  <c r="F2311" i="7" s="1"/>
  <c r="C2311" i="7"/>
  <c r="D2310" i="7"/>
  <c r="F2310" i="7" s="1"/>
  <c r="C2310" i="7"/>
  <c r="D2309" i="7"/>
  <c r="F2309" i="7" s="1"/>
  <c r="C2309" i="7"/>
  <c r="D2308" i="7"/>
  <c r="F2308" i="7" s="1"/>
  <c r="C2308" i="7"/>
  <c r="D2307" i="7"/>
  <c r="F2307" i="7" s="1"/>
  <c r="C2307" i="7"/>
  <c r="D2306" i="7"/>
  <c r="F2306" i="7" s="1"/>
  <c r="C2306" i="7"/>
  <c r="D2305" i="7"/>
  <c r="F2305" i="7" s="1"/>
  <c r="C2305" i="7"/>
  <c r="D2304" i="7"/>
  <c r="F2304" i="7" s="1"/>
  <c r="C2304" i="7"/>
  <c r="D2303" i="7"/>
  <c r="F2303" i="7" s="1"/>
  <c r="C2303" i="7"/>
  <c r="D2302" i="7"/>
  <c r="F2302" i="7" s="1"/>
  <c r="C2302" i="7"/>
  <c r="D2301" i="7"/>
  <c r="F2301" i="7" s="1"/>
  <c r="C2301" i="7"/>
  <c r="D2300" i="7"/>
  <c r="F2300" i="7" s="1"/>
  <c r="C2300" i="7"/>
  <c r="D2299" i="7"/>
  <c r="F2299" i="7" s="1"/>
  <c r="C2299" i="7"/>
  <c r="D2298" i="7"/>
  <c r="F2298" i="7" s="1"/>
  <c r="C2298" i="7"/>
  <c r="D2297" i="7"/>
  <c r="F2297" i="7" s="1"/>
  <c r="C2297" i="7"/>
  <c r="D2296" i="7"/>
  <c r="F2296" i="7" s="1"/>
  <c r="C2296" i="7"/>
  <c r="D2295" i="7"/>
  <c r="F2295" i="7" s="1"/>
  <c r="C2295" i="7"/>
  <c r="D2294" i="7"/>
  <c r="F2294" i="7" s="1"/>
  <c r="C2294" i="7"/>
  <c r="D2293" i="7"/>
  <c r="F2293" i="7" s="1"/>
  <c r="C2293" i="7"/>
  <c r="D2292" i="7"/>
  <c r="F2292" i="7" s="1"/>
  <c r="C2292" i="7"/>
  <c r="D2291" i="7"/>
  <c r="F2291" i="7" s="1"/>
  <c r="C2291" i="7"/>
  <c r="D2290" i="7"/>
  <c r="F2290" i="7" s="1"/>
  <c r="C2290" i="7"/>
  <c r="D2289" i="7"/>
  <c r="F2289" i="7" s="1"/>
  <c r="C2289" i="7"/>
  <c r="D2288" i="7"/>
  <c r="F2288" i="7" s="1"/>
  <c r="C2288" i="7"/>
  <c r="D2287" i="7"/>
  <c r="F2287" i="7" s="1"/>
  <c r="C2287" i="7"/>
  <c r="D2286" i="7"/>
  <c r="F2286" i="7" s="1"/>
  <c r="C2286" i="7"/>
  <c r="D2285" i="7"/>
  <c r="F2285" i="7" s="1"/>
  <c r="C2285" i="7"/>
  <c r="D2284" i="7"/>
  <c r="F2284" i="7" s="1"/>
  <c r="C2284" i="7"/>
  <c r="D2283" i="7"/>
  <c r="F2283" i="7" s="1"/>
  <c r="C2283" i="7"/>
  <c r="D2282" i="7"/>
  <c r="F2282" i="7" s="1"/>
  <c r="C2282" i="7"/>
  <c r="D2281" i="7"/>
  <c r="F2281" i="7" s="1"/>
  <c r="C2281" i="7"/>
  <c r="D2280" i="7"/>
  <c r="F2280" i="7" s="1"/>
  <c r="C2280" i="7"/>
  <c r="D2279" i="7"/>
  <c r="F2279" i="7" s="1"/>
  <c r="C2279" i="7"/>
  <c r="D2278" i="7"/>
  <c r="F2278" i="7" s="1"/>
  <c r="C2278" i="7"/>
  <c r="D2277" i="7"/>
  <c r="F2277" i="7" s="1"/>
  <c r="C2277" i="7"/>
  <c r="D2276" i="7"/>
  <c r="F2276" i="7" s="1"/>
  <c r="C2276" i="7"/>
  <c r="D2275" i="7"/>
  <c r="F2275" i="7" s="1"/>
  <c r="C2275" i="7"/>
  <c r="D2274" i="7"/>
  <c r="F2274" i="7" s="1"/>
  <c r="C2274" i="7"/>
  <c r="D2273" i="7"/>
  <c r="F2273" i="7" s="1"/>
  <c r="C2273" i="7"/>
  <c r="D2272" i="7"/>
  <c r="F2272" i="7" s="1"/>
  <c r="C2272" i="7"/>
  <c r="D2271" i="7"/>
  <c r="F2271" i="7" s="1"/>
  <c r="C2271" i="7"/>
  <c r="D2270" i="7"/>
  <c r="F2270" i="7" s="1"/>
  <c r="C2270" i="7"/>
  <c r="D2269" i="7"/>
  <c r="F2269" i="7" s="1"/>
  <c r="C2269" i="7"/>
  <c r="D2268" i="7"/>
  <c r="F2268" i="7" s="1"/>
  <c r="C2268" i="7"/>
  <c r="D2267" i="7"/>
  <c r="F2267" i="7" s="1"/>
  <c r="C2267" i="7"/>
  <c r="D2266" i="7"/>
  <c r="F2266" i="7" s="1"/>
  <c r="C2266" i="7"/>
  <c r="D2265" i="7"/>
  <c r="F2265" i="7" s="1"/>
  <c r="C2265" i="7"/>
  <c r="D2264" i="7"/>
  <c r="F2264" i="7" s="1"/>
  <c r="C2264" i="7"/>
  <c r="D2263" i="7"/>
  <c r="F2263" i="7" s="1"/>
  <c r="C2263" i="7"/>
  <c r="D2262" i="7"/>
  <c r="F2262" i="7" s="1"/>
  <c r="C2262" i="7"/>
  <c r="D2261" i="7"/>
  <c r="F2261" i="7" s="1"/>
  <c r="C2261" i="7"/>
  <c r="D2260" i="7"/>
  <c r="F2260" i="7" s="1"/>
  <c r="C2260" i="7"/>
  <c r="D2259" i="7"/>
  <c r="F2259" i="7" s="1"/>
  <c r="C2259" i="7"/>
  <c r="D2258" i="7"/>
  <c r="F2258" i="7" s="1"/>
  <c r="C2258" i="7"/>
  <c r="D2257" i="7"/>
  <c r="F2257" i="7" s="1"/>
  <c r="C2257" i="7"/>
  <c r="D2256" i="7"/>
  <c r="F2256" i="7" s="1"/>
  <c r="C2256" i="7"/>
  <c r="D2255" i="7"/>
  <c r="F2255" i="7" s="1"/>
  <c r="C2255" i="7"/>
  <c r="D2254" i="7"/>
  <c r="F2254" i="7" s="1"/>
  <c r="C2254" i="7"/>
  <c r="D2253" i="7"/>
  <c r="F2253" i="7" s="1"/>
  <c r="C2253" i="7"/>
  <c r="D2252" i="7"/>
  <c r="F2252" i="7" s="1"/>
  <c r="C2252" i="7"/>
  <c r="D2251" i="7"/>
  <c r="F2251" i="7" s="1"/>
  <c r="C2251" i="7"/>
  <c r="D2250" i="7"/>
  <c r="F2250" i="7" s="1"/>
  <c r="C2250" i="7"/>
  <c r="D2249" i="7"/>
  <c r="F2249" i="7" s="1"/>
  <c r="C2249" i="7"/>
  <c r="D2248" i="7"/>
  <c r="F2248" i="7" s="1"/>
  <c r="C2248" i="7"/>
  <c r="D2247" i="7"/>
  <c r="F2247" i="7" s="1"/>
  <c r="C2247" i="7"/>
  <c r="D2246" i="7"/>
  <c r="F2246" i="7" s="1"/>
  <c r="C2246" i="7"/>
  <c r="D2245" i="7"/>
  <c r="F2245" i="7" s="1"/>
  <c r="C2245" i="7"/>
  <c r="D2244" i="7"/>
  <c r="F2244" i="7" s="1"/>
  <c r="C2244" i="7"/>
  <c r="D2243" i="7"/>
  <c r="F2243" i="7" s="1"/>
  <c r="C2243" i="7"/>
  <c r="D2242" i="7"/>
  <c r="F2242" i="7" s="1"/>
  <c r="C2242" i="7"/>
  <c r="D2241" i="7"/>
  <c r="F2241" i="7" s="1"/>
  <c r="C2241" i="7"/>
  <c r="D2240" i="7"/>
  <c r="F2240" i="7" s="1"/>
  <c r="C2240" i="7"/>
  <c r="D2239" i="7"/>
  <c r="F2239" i="7" s="1"/>
  <c r="C2239" i="7"/>
  <c r="D2238" i="7"/>
  <c r="F2238" i="7" s="1"/>
  <c r="C2238" i="7"/>
  <c r="D2237" i="7"/>
  <c r="F2237" i="7" s="1"/>
  <c r="C2237" i="7"/>
  <c r="D2236" i="7"/>
  <c r="F2236" i="7" s="1"/>
  <c r="C2236" i="7"/>
  <c r="D2235" i="7"/>
  <c r="F2235" i="7" s="1"/>
  <c r="C2235" i="7"/>
  <c r="D2234" i="7"/>
  <c r="F2234" i="7" s="1"/>
  <c r="C2234" i="7"/>
  <c r="D2233" i="7"/>
  <c r="F2233" i="7" s="1"/>
  <c r="C2233" i="7"/>
  <c r="D2232" i="7"/>
  <c r="F2232" i="7" s="1"/>
  <c r="C2232" i="7"/>
  <c r="D2231" i="7"/>
  <c r="F2231" i="7" s="1"/>
  <c r="C2231" i="7"/>
  <c r="F2230" i="7"/>
  <c r="D2230" i="7"/>
  <c r="C2230" i="7"/>
  <c r="D2229" i="7"/>
  <c r="F2229" i="7" s="1"/>
  <c r="C2229" i="7"/>
  <c r="D2228" i="7"/>
  <c r="F2228" i="7" s="1"/>
  <c r="C2228" i="7"/>
  <c r="D2227" i="7"/>
  <c r="F2227" i="7" s="1"/>
  <c r="C2227" i="7"/>
  <c r="D2226" i="7"/>
  <c r="F2226" i="7" s="1"/>
  <c r="C2226" i="7"/>
  <c r="D2225" i="7"/>
  <c r="F2225" i="7" s="1"/>
  <c r="C2225" i="7"/>
  <c r="D2224" i="7"/>
  <c r="F2224" i="7" s="1"/>
  <c r="C2224" i="7"/>
  <c r="D2223" i="7"/>
  <c r="F2223" i="7" s="1"/>
  <c r="C2223" i="7"/>
  <c r="D2222" i="7"/>
  <c r="F2222" i="7" s="1"/>
  <c r="C2222" i="7"/>
  <c r="D2221" i="7"/>
  <c r="F2221" i="7" s="1"/>
  <c r="C2221" i="7"/>
  <c r="D2220" i="7"/>
  <c r="F2220" i="7" s="1"/>
  <c r="C2220" i="7"/>
  <c r="D2219" i="7"/>
  <c r="F2219" i="7" s="1"/>
  <c r="C2219" i="7"/>
  <c r="D2218" i="7"/>
  <c r="F2218" i="7" s="1"/>
  <c r="C2218" i="7"/>
  <c r="D2217" i="7"/>
  <c r="F2217" i="7" s="1"/>
  <c r="C2217" i="7"/>
  <c r="D2216" i="7"/>
  <c r="F2216" i="7" s="1"/>
  <c r="C2216" i="7"/>
  <c r="D2215" i="7"/>
  <c r="F2215" i="7" s="1"/>
  <c r="C2215" i="7"/>
  <c r="D2214" i="7"/>
  <c r="F2214" i="7" s="1"/>
  <c r="C2214" i="7"/>
  <c r="D2213" i="7"/>
  <c r="F2213" i="7" s="1"/>
  <c r="C2213" i="7"/>
  <c r="D2212" i="7"/>
  <c r="F2212" i="7" s="1"/>
  <c r="C2212" i="7"/>
  <c r="D2211" i="7"/>
  <c r="F2211" i="7" s="1"/>
  <c r="C2211" i="7"/>
  <c r="D2210" i="7"/>
  <c r="F2210" i="7" s="1"/>
  <c r="C2210" i="7"/>
  <c r="D2209" i="7"/>
  <c r="F2209" i="7" s="1"/>
  <c r="C2209" i="7"/>
  <c r="D2208" i="7"/>
  <c r="F2208" i="7" s="1"/>
  <c r="C2208" i="7"/>
  <c r="F2207" i="7"/>
  <c r="D2207" i="7"/>
  <c r="C2207" i="7"/>
  <c r="D2206" i="7"/>
  <c r="F2206" i="7" s="1"/>
  <c r="C2206" i="7"/>
  <c r="D2205" i="7"/>
  <c r="F2205" i="7" s="1"/>
  <c r="C2205" i="7"/>
  <c r="D2204" i="7"/>
  <c r="F2204" i="7" s="1"/>
  <c r="C2204" i="7"/>
  <c r="D2203" i="7"/>
  <c r="F2203" i="7" s="1"/>
  <c r="C2203" i="7"/>
  <c r="D2202" i="7"/>
  <c r="F2202" i="7" s="1"/>
  <c r="C2202" i="7"/>
  <c r="D2201" i="7"/>
  <c r="F2201" i="7" s="1"/>
  <c r="C2201" i="7"/>
  <c r="D2200" i="7"/>
  <c r="F2200" i="7" s="1"/>
  <c r="C2200" i="7"/>
  <c r="D2199" i="7"/>
  <c r="F2199" i="7" s="1"/>
  <c r="C2199" i="7"/>
  <c r="D2198" i="7"/>
  <c r="F2198" i="7" s="1"/>
  <c r="C2198" i="7"/>
  <c r="D2197" i="7"/>
  <c r="F2197" i="7" s="1"/>
  <c r="C2197" i="7"/>
  <c r="D2196" i="7"/>
  <c r="F2196" i="7" s="1"/>
  <c r="C2196" i="7"/>
  <c r="D2195" i="7"/>
  <c r="F2195" i="7" s="1"/>
  <c r="C2195" i="7"/>
  <c r="D2194" i="7"/>
  <c r="F2194" i="7" s="1"/>
  <c r="C2194" i="7"/>
  <c r="D2193" i="7"/>
  <c r="F2193" i="7" s="1"/>
  <c r="C2193" i="7"/>
  <c r="D2192" i="7"/>
  <c r="F2192" i="7" s="1"/>
  <c r="C2192" i="7"/>
  <c r="D2191" i="7"/>
  <c r="F2191" i="7" s="1"/>
  <c r="C2191" i="7"/>
  <c r="D2190" i="7"/>
  <c r="F2190" i="7" s="1"/>
  <c r="C2190" i="7"/>
  <c r="D2189" i="7"/>
  <c r="F2189" i="7" s="1"/>
  <c r="C2189" i="7"/>
  <c r="D2188" i="7"/>
  <c r="F2188" i="7" s="1"/>
  <c r="C2188" i="7"/>
  <c r="D2187" i="7"/>
  <c r="F2187" i="7" s="1"/>
  <c r="C2187" i="7"/>
  <c r="D2186" i="7"/>
  <c r="F2186" i="7" s="1"/>
  <c r="C2186" i="7"/>
  <c r="D2185" i="7"/>
  <c r="F2185" i="7" s="1"/>
  <c r="C2185" i="7"/>
  <c r="D2184" i="7"/>
  <c r="F2184" i="7" s="1"/>
  <c r="C2184" i="7"/>
  <c r="D2183" i="7"/>
  <c r="F2183" i="7" s="1"/>
  <c r="C2183" i="7"/>
  <c r="D2182" i="7"/>
  <c r="F2182" i="7" s="1"/>
  <c r="C2182" i="7"/>
  <c r="D2181" i="7"/>
  <c r="F2181" i="7" s="1"/>
  <c r="C2181" i="7"/>
  <c r="D2180" i="7"/>
  <c r="F2180" i="7" s="1"/>
  <c r="C2180" i="7"/>
  <c r="D2179" i="7"/>
  <c r="F2179" i="7" s="1"/>
  <c r="C2179" i="7"/>
  <c r="D2178" i="7"/>
  <c r="F2178" i="7" s="1"/>
  <c r="C2178" i="7"/>
  <c r="D2177" i="7"/>
  <c r="F2177" i="7" s="1"/>
  <c r="C2177" i="7"/>
  <c r="D2176" i="7"/>
  <c r="F2176" i="7" s="1"/>
  <c r="C2176" i="7"/>
  <c r="D2175" i="7"/>
  <c r="F2175" i="7" s="1"/>
  <c r="C2175" i="7"/>
  <c r="D2174" i="7"/>
  <c r="F2174" i="7" s="1"/>
  <c r="C2174" i="7"/>
  <c r="D2173" i="7"/>
  <c r="F2173" i="7" s="1"/>
  <c r="C2173" i="7"/>
  <c r="D2172" i="7"/>
  <c r="F2172" i="7" s="1"/>
  <c r="C2172" i="7"/>
  <c r="D2171" i="7"/>
  <c r="F2171" i="7" s="1"/>
  <c r="C2171" i="7"/>
  <c r="D2170" i="7"/>
  <c r="F2170" i="7" s="1"/>
  <c r="C2170" i="7"/>
  <c r="D2169" i="7"/>
  <c r="F2169" i="7" s="1"/>
  <c r="C2169" i="7"/>
  <c r="F2168" i="7"/>
  <c r="D2168" i="7"/>
  <c r="C2168" i="7"/>
  <c r="D2167" i="7"/>
  <c r="F2167" i="7" s="1"/>
  <c r="C2167" i="7"/>
  <c r="D2166" i="7"/>
  <c r="F2166" i="7" s="1"/>
  <c r="C2166" i="7"/>
  <c r="D2165" i="7"/>
  <c r="F2165" i="7" s="1"/>
  <c r="C2165" i="7"/>
  <c r="D2164" i="7"/>
  <c r="F2164" i="7" s="1"/>
  <c r="C2164" i="7"/>
  <c r="D2163" i="7"/>
  <c r="F2163" i="7" s="1"/>
  <c r="C2163" i="7"/>
  <c r="D2162" i="7"/>
  <c r="F2162" i="7" s="1"/>
  <c r="C2162" i="7"/>
  <c r="D2161" i="7"/>
  <c r="F2161" i="7" s="1"/>
  <c r="C2161" i="7"/>
  <c r="D2160" i="7"/>
  <c r="F2160" i="7" s="1"/>
  <c r="C2160" i="7"/>
  <c r="D2159" i="7"/>
  <c r="F2159" i="7" s="1"/>
  <c r="C2159" i="7"/>
  <c r="D2158" i="7"/>
  <c r="F2158" i="7" s="1"/>
  <c r="C2158" i="7"/>
  <c r="D2157" i="7"/>
  <c r="F2157" i="7" s="1"/>
  <c r="C2157" i="7"/>
  <c r="D2156" i="7"/>
  <c r="F2156" i="7" s="1"/>
  <c r="C2156" i="7"/>
  <c r="D2155" i="7"/>
  <c r="F2155" i="7" s="1"/>
  <c r="C2155" i="7"/>
  <c r="D2154" i="7"/>
  <c r="F2154" i="7" s="1"/>
  <c r="C2154" i="7"/>
  <c r="D2153" i="7"/>
  <c r="F2153" i="7" s="1"/>
  <c r="C2153" i="7"/>
  <c r="D2152" i="7"/>
  <c r="F2152" i="7" s="1"/>
  <c r="C2152" i="7"/>
  <c r="D2151" i="7"/>
  <c r="F2151" i="7" s="1"/>
  <c r="C2151" i="7"/>
  <c r="D2150" i="7"/>
  <c r="F2150" i="7" s="1"/>
  <c r="C2150" i="7"/>
  <c r="D2149" i="7"/>
  <c r="F2149" i="7" s="1"/>
  <c r="C2149" i="7"/>
  <c r="D2148" i="7"/>
  <c r="F2148" i="7" s="1"/>
  <c r="C2148" i="7"/>
  <c r="D2147" i="7"/>
  <c r="F2147" i="7" s="1"/>
  <c r="C2147" i="7"/>
  <c r="D2146" i="7"/>
  <c r="F2146" i="7" s="1"/>
  <c r="C2146" i="7"/>
  <c r="D2145" i="7"/>
  <c r="F2145" i="7" s="1"/>
  <c r="C2145" i="7"/>
  <c r="D2144" i="7"/>
  <c r="F2144" i="7" s="1"/>
  <c r="C2144" i="7"/>
  <c r="D2143" i="7"/>
  <c r="F2143" i="7" s="1"/>
  <c r="C2143" i="7"/>
  <c r="D2142" i="7"/>
  <c r="F2142" i="7" s="1"/>
  <c r="C2142" i="7"/>
  <c r="D2141" i="7"/>
  <c r="F2141" i="7" s="1"/>
  <c r="C2141" i="7"/>
  <c r="D2140" i="7"/>
  <c r="F2140" i="7" s="1"/>
  <c r="C2140" i="7"/>
  <c r="D2139" i="7"/>
  <c r="F2139" i="7" s="1"/>
  <c r="C2139" i="7"/>
  <c r="D2138" i="7"/>
  <c r="F2138" i="7" s="1"/>
  <c r="C2138" i="7"/>
  <c r="D2137" i="7"/>
  <c r="F2137" i="7" s="1"/>
  <c r="C2137" i="7"/>
  <c r="D2136" i="7"/>
  <c r="F2136" i="7" s="1"/>
  <c r="C2136" i="7"/>
  <c r="D2135" i="7"/>
  <c r="F2135" i="7" s="1"/>
  <c r="C2135" i="7"/>
  <c r="D2134" i="7"/>
  <c r="F2134" i="7" s="1"/>
  <c r="C2134" i="7"/>
  <c r="D2133" i="7"/>
  <c r="F2133" i="7" s="1"/>
  <c r="C2133" i="7"/>
  <c r="D2132" i="7"/>
  <c r="F2132" i="7" s="1"/>
  <c r="C2132" i="7"/>
  <c r="D2131" i="7"/>
  <c r="F2131" i="7" s="1"/>
  <c r="C2131" i="7"/>
  <c r="D2130" i="7"/>
  <c r="F2130" i="7" s="1"/>
  <c r="C2130" i="7"/>
  <c r="D2129" i="7"/>
  <c r="F2129" i="7" s="1"/>
  <c r="C2129" i="7"/>
  <c r="D2128" i="7"/>
  <c r="F2128" i="7" s="1"/>
  <c r="C2128" i="7"/>
  <c r="D2127" i="7"/>
  <c r="F2127" i="7" s="1"/>
  <c r="C2127" i="7"/>
  <c r="D2126" i="7"/>
  <c r="F2126" i="7" s="1"/>
  <c r="C2126" i="7"/>
  <c r="D2125" i="7"/>
  <c r="F2125" i="7" s="1"/>
  <c r="C2125" i="7"/>
  <c r="D2124" i="7"/>
  <c r="F2124" i="7" s="1"/>
  <c r="C2124" i="7"/>
  <c r="D2123" i="7"/>
  <c r="F2123" i="7" s="1"/>
  <c r="C2123" i="7"/>
  <c r="D2122" i="7"/>
  <c r="F2122" i="7" s="1"/>
  <c r="C2122" i="7"/>
  <c r="D2121" i="7"/>
  <c r="F2121" i="7" s="1"/>
  <c r="C2121" i="7"/>
  <c r="D2120" i="7"/>
  <c r="F2120" i="7" s="1"/>
  <c r="C2120" i="7"/>
  <c r="D2119" i="7"/>
  <c r="F2119" i="7" s="1"/>
  <c r="C2119" i="7"/>
  <c r="D2118" i="7"/>
  <c r="F2118" i="7" s="1"/>
  <c r="C2118" i="7"/>
  <c r="D2117" i="7"/>
  <c r="F2117" i="7" s="1"/>
  <c r="C2117" i="7"/>
  <c r="D2116" i="7"/>
  <c r="F2116" i="7" s="1"/>
  <c r="C2116" i="7"/>
  <c r="D2115" i="7"/>
  <c r="F2115" i="7" s="1"/>
  <c r="C2115" i="7"/>
  <c r="D2114" i="7"/>
  <c r="F2114" i="7" s="1"/>
  <c r="C2114" i="7"/>
  <c r="D2113" i="7"/>
  <c r="F2113" i="7" s="1"/>
  <c r="C2113" i="7"/>
  <c r="D2112" i="7"/>
  <c r="F2112" i="7" s="1"/>
  <c r="C2112" i="7"/>
  <c r="D2111" i="7"/>
  <c r="F2111" i="7" s="1"/>
  <c r="C2111" i="7"/>
  <c r="D2110" i="7"/>
  <c r="F2110" i="7" s="1"/>
  <c r="C2110" i="7"/>
  <c r="D2109" i="7"/>
  <c r="F2109" i="7" s="1"/>
  <c r="C2109" i="7"/>
  <c r="D2108" i="7"/>
  <c r="F2108" i="7" s="1"/>
  <c r="C2108" i="7"/>
  <c r="D2107" i="7"/>
  <c r="F2107" i="7" s="1"/>
  <c r="C2107" i="7"/>
  <c r="D2106" i="7"/>
  <c r="F2106" i="7" s="1"/>
  <c r="C2106" i="7"/>
  <c r="D2105" i="7"/>
  <c r="F2105" i="7" s="1"/>
  <c r="C2105" i="7"/>
  <c r="D2104" i="7"/>
  <c r="F2104" i="7" s="1"/>
  <c r="C2104" i="7"/>
  <c r="D2103" i="7"/>
  <c r="F2103" i="7" s="1"/>
  <c r="C2103" i="7"/>
  <c r="D2102" i="7"/>
  <c r="F2102" i="7" s="1"/>
  <c r="C2102" i="7"/>
  <c r="D2101" i="7"/>
  <c r="F2101" i="7" s="1"/>
  <c r="C2101" i="7"/>
  <c r="D2100" i="7"/>
  <c r="F2100" i="7" s="1"/>
  <c r="C2100" i="7"/>
  <c r="D2099" i="7"/>
  <c r="F2099" i="7" s="1"/>
  <c r="C2099" i="7"/>
  <c r="D2098" i="7"/>
  <c r="F2098" i="7" s="1"/>
  <c r="C2098" i="7"/>
  <c r="D2097" i="7"/>
  <c r="F2097" i="7" s="1"/>
  <c r="C2097" i="7"/>
  <c r="D2096" i="7"/>
  <c r="F2096" i="7" s="1"/>
  <c r="C2096" i="7"/>
  <c r="D2095" i="7"/>
  <c r="F2095" i="7" s="1"/>
  <c r="C2095" i="7"/>
  <c r="D2094" i="7"/>
  <c r="F2094" i="7" s="1"/>
  <c r="C2094" i="7"/>
  <c r="D2093" i="7"/>
  <c r="F2093" i="7" s="1"/>
  <c r="C2093" i="7"/>
  <c r="D2092" i="7"/>
  <c r="F2092" i="7" s="1"/>
  <c r="C2092" i="7"/>
  <c r="D2091" i="7"/>
  <c r="F2091" i="7" s="1"/>
  <c r="C2091" i="7"/>
  <c r="D2090" i="7"/>
  <c r="F2090" i="7" s="1"/>
  <c r="C2090" i="7"/>
  <c r="D2089" i="7"/>
  <c r="F2089" i="7" s="1"/>
  <c r="C2089" i="7"/>
  <c r="D2088" i="7"/>
  <c r="F2088" i="7" s="1"/>
  <c r="C2088" i="7"/>
  <c r="D2087" i="7"/>
  <c r="F2087" i="7" s="1"/>
  <c r="C2087" i="7"/>
  <c r="D2086" i="7"/>
  <c r="F2086" i="7" s="1"/>
  <c r="C2086" i="7"/>
  <c r="D2085" i="7"/>
  <c r="F2085" i="7" s="1"/>
  <c r="C2085" i="7"/>
  <c r="D2084" i="7"/>
  <c r="F2084" i="7" s="1"/>
  <c r="C2084" i="7"/>
  <c r="D2083" i="7"/>
  <c r="F2083" i="7" s="1"/>
  <c r="C2083" i="7"/>
  <c r="D2082" i="7"/>
  <c r="F2082" i="7" s="1"/>
  <c r="C2082" i="7"/>
  <c r="D2081" i="7"/>
  <c r="F2081" i="7" s="1"/>
  <c r="C2081" i="7"/>
  <c r="D2080" i="7"/>
  <c r="F2080" i="7" s="1"/>
  <c r="C2080" i="7"/>
  <c r="D2079" i="7"/>
  <c r="F2079" i="7" s="1"/>
  <c r="C2079" i="7"/>
  <c r="D2078" i="7"/>
  <c r="F2078" i="7" s="1"/>
  <c r="C2078" i="7"/>
  <c r="D2077" i="7"/>
  <c r="F2077" i="7" s="1"/>
  <c r="C2077" i="7"/>
  <c r="D2076" i="7"/>
  <c r="F2076" i="7" s="1"/>
  <c r="C2076" i="7"/>
  <c r="D2075" i="7"/>
  <c r="F2075" i="7" s="1"/>
  <c r="C2075" i="7"/>
  <c r="D2074" i="7"/>
  <c r="F2074" i="7" s="1"/>
  <c r="C2074" i="7"/>
  <c r="D2073" i="7"/>
  <c r="F2073" i="7" s="1"/>
  <c r="C2073" i="7"/>
  <c r="D2072" i="7"/>
  <c r="F2072" i="7" s="1"/>
  <c r="C2072" i="7"/>
  <c r="D2071" i="7"/>
  <c r="F2071" i="7" s="1"/>
  <c r="C2071" i="7"/>
  <c r="D2070" i="7"/>
  <c r="F2070" i="7" s="1"/>
  <c r="C2070" i="7"/>
  <c r="D2069" i="7"/>
  <c r="F2069" i="7" s="1"/>
  <c r="C2069" i="7"/>
  <c r="D2068" i="7"/>
  <c r="F2068" i="7" s="1"/>
  <c r="C2068" i="7"/>
  <c r="D2067" i="7"/>
  <c r="F2067" i="7" s="1"/>
  <c r="C2067" i="7"/>
  <c r="D2066" i="7"/>
  <c r="F2066" i="7" s="1"/>
  <c r="C2066" i="7"/>
  <c r="D2065" i="7"/>
  <c r="F2065" i="7" s="1"/>
  <c r="C2065" i="7"/>
  <c r="D2064" i="7"/>
  <c r="F2064" i="7" s="1"/>
  <c r="C2064" i="7"/>
  <c r="D2063" i="7"/>
  <c r="F2063" i="7" s="1"/>
  <c r="C2063" i="7"/>
  <c r="D2062" i="7"/>
  <c r="F2062" i="7" s="1"/>
  <c r="C2062" i="7"/>
  <c r="D2061" i="7"/>
  <c r="F2061" i="7" s="1"/>
  <c r="C2061" i="7"/>
  <c r="D2060" i="7"/>
  <c r="F2060" i="7" s="1"/>
  <c r="C2060" i="7"/>
  <c r="D2059" i="7"/>
  <c r="F2059" i="7" s="1"/>
  <c r="C2059" i="7"/>
  <c r="D2058" i="7"/>
  <c r="F2058" i="7" s="1"/>
  <c r="C2058" i="7"/>
  <c r="D2057" i="7"/>
  <c r="F2057" i="7" s="1"/>
  <c r="C2057" i="7"/>
  <c r="D2056" i="7"/>
  <c r="F2056" i="7" s="1"/>
  <c r="C2056" i="7"/>
  <c r="D2055" i="7"/>
  <c r="F2055" i="7" s="1"/>
  <c r="C2055" i="7"/>
  <c r="D2054" i="7"/>
  <c r="F2054" i="7" s="1"/>
  <c r="C2054" i="7"/>
  <c r="D2053" i="7"/>
  <c r="F2053" i="7" s="1"/>
  <c r="C2053" i="7"/>
  <c r="D2052" i="7"/>
  <c r="F2052" i="7" s="1"/>
  <c r="C2052" i="7"/>
  <c r="D2051" i="7"/>
  <c r="F2051" i="7" s="1"/>
  <c r="C2051" i="7"/>
  <c r="D2050" i="7"/>
  <c r="F2050" i="7" s="1"/>
  <c r="C2050" i="7"/>
  <c r="D2049" i="7"/>
  <c r="F2049" i="7" s="1"/>
  <c r="C2049" i="7"/>
  <c r="D2048" i="7"/>
  <c r="F2048" i="7" s="1"/>
  <c r="C2048" i="7"/>
  <c r="D2047" i="7"/>
  <c r="F2047" i="7" s="1"/>
  <c r="C2047" i="7"/>
  <c r="D2046" i="7"/>
  <c r="F2046" i="7" s="1"/>
  <c r="C2046" i="7"/>
  <c r="D2045" i="7"/>
  <c r="F2045" i="7" s="1"/>
  <c r="C2045" i="7"/>
  <c r="D2044" i="7"/>
  <c r="F2044" i="7" s="1"/>
  <c r="C2044" i="7"/>
  <c r="D2043" i="7"/>
  <c r="F2043" i="7" s="1"/>
  <c r="C2043" i="7"/>
  <c r="D2042" i="7"/>
  <c r="F2042" i="7" s="1"/>
  <c r="C2042" i="7"/>
  <c r="D2041" i="7"/>
  <c r="F2041" i="7" s="1"/>
  <c r="C2041" i="7"/>
  <c r="D2040" i="7"/>
  <c r="F2040" i="7" s="1"/>
  <c r="C2040" i="7"/>
  <c r="D2039" i="7"/>
  <c r="F2039" i="7" s="1"/>
  <c r="C2039" i="7"/>
  <c r="D2038" i="7"/>
  <c r="F2038" i="7" s="1"/>
  <c r="C2038" i="7"/>
  <c r="D2037" i="7"/>
  <c r="F2037" i="7" s="1"/>
  <c r="C2037" i="7"/>
  <c r="D2036" i="7"/>
  <c r="F2036" i="7" s="1"/>
  <c r="C2036" i="7"/>
  <c r="D2035" i="7"/>
  <c r="F2035" i="7" s="1"/>
  <c r="C2035" i="7"/>
  <c r="D2034" i="7"/>
  <c r="F2034" i="7" s="1"/>
  <c r="C2034" i="7"/>
  <c r="D2033" i="7"/>
  <c r="F2033" i="7" s="1"/>
  <c r="C2033" i="7"/>
  <c r="D2032" i="7"/>
  <c r="F2032" i="7" s="1"/>
  <c r="C2032" i="7"/>
  <c r="D2031" i="7"/>
  <c r="F2031" i="7" s="1"/>
  <c r="C2031" i="7"/>
  <c r="D2030" i="7"/>
  <c r="F2030" i="7" s="1"/>
  <c r="C2030" i="7"/>
  <c r="D2029" i="7"/>
  <c r="F2029" i="7" s="1"/>
  <c r="C2029" i="7"/>
  <c r="D2028" i="7"/>
  <c r="F2028" i="7" s="1"/>
  <c r="C2028" i="7"/>
  <c r="D2027" i="7"/>
  <c r="F2027" i="7" s="1"/>
  <c r="C2027" i="7"/>
  <c r="D2026" i="7"/>
  <c r="F2026" i="7" s="1"/>
  <c r="C2026" i="7"/>
  <c r="D2025" i="7"/>
  <c r="F2025" i="7" s="1"/>
  <c r="C2025" i="7"/>
  <c r="D2024" i="7"/>
  <c r="F2024" i="7" s="1"/>
  <c r="C2024" i="7"/>
  <c r="D2023" i="7"/>
  <c r="F2023" i="7" s="1"/>
  <c r="C2023" i="7"/>
  <c r="D2022" i="7"/>
  <c r="F2022" i="7" s="1"/>
  <c r="C2022" i="7"/>
  <c r="D2021" i="7"/>
  <c r="F2021" i="7" s="1"/>
  <c r="C2021" i="7"/>
  <c r="D2020" i="7"/>
  <c r="F2020" i="7" s="1"/>
  <c r="C2020" i="7"/>
  <c r="D2019" i="7"/>
  <c r="F2019" i="7" s="1"/>
  <c r="C2019" i="7"/>
  <c r="D2018" i="7"/>
  <c r="F2018" i="7" s="1"/>
  <c r="C2018" i="7"/>
  <c r="D2017" i="7"/>
  <c r="F2017" i="7" s="1"/>
  <c r="C2017" i="7"/>
  <c r="D2016" i="7"/>
  <c r="F2016" i="7" s="1"/>
  <c r="C2016" i="7"/>
  <c r="D2015" i="7"/>
  <c r="F2015" i="7" s="1"/>
  <c r="C2015" i="7"/>
  <c r="F2014" i="7"/>
  <c r="D2014" i="7"/>
  <c r="C2014" i="7"/>
  <c r="D2013" i="7"/>
  <c r="F2013" i="7" s="1"/>
  <c r="C2013" i="7"/>
  <c r="D2012" i="7"/>
  <c r="F2012" i="7" s="1"/>
  <c r="C2012" i="7"/>
  <c r="D2011" i="7"/>
  <c r="F2011" i="7" s="1"/>
  <c r="C2011" i="7"/>
  <c r="D2010" i="7"/>
  <c r="F2010" i="7" s="1"/>
  <c r="C2010" i="7"/>
  <c r="D2009" i="7"/>
  <c r="F2009" i="7" s="1"/>
  <c r="C2009" i="7"/>
  <c r="D2008" i="7"/>
  <c r="F2008" i="7" s="1"/>
  <c r="C2008" i="7"/>
  <c r="F2007" i="7"/>
  <c r="D2007" i="7"/>
  <c r="C2007" i="7"/>
  <c r="D2006" i="7"/>
  <c r="F2006" i="7" s="1"/>
  <c r="C2006" i="7"/>
  <c r="D2005" i="7"/>
  <c r="F2005" i="7" s="1"/>
  <c r="C2005" i="7"/>
  <c r="D2004" i="7"/>
  <c r="F2004" i="7" s="1"/>
  <c r="C2004" i="7"/>
  <c r="D2003" i="7"/>
  <c r="F2003" i="7" s="1"/>
  <c r="C2003" i="7"/>
  <c r="D2002" i="7"/>
  <c r="F2002" i="7" s="1"/>
  <c r="C2002" i="7"/>
  <c r="D2001" i="7"/>
  <c r="F2001" i="7" s="1"/>
  <c r="C2001" i="7"/>
  <c r="D2000" i="7"/>
  <c r="F2000" i="7" s="1"/>
  <c r="C2000" i="7"/>
  <c r="D1999" i="7"/>
  <c r="F1999" i="7" s="1"/>
  <c r="C1999" i="7"/>
  <c r="D1998" i="7"/>
  <c r="F1998" i="7" s="1"/>
  <c r="C1998" i="7"/>
  <c r="D1997" i="7"/>
  <c r="F1997" i="7" s="1"/>
  <c r="C1997" i="7"/>
  <c r="D1996" i="7"/>
  <c r="F1996" i="7" s="1"/>
  <c r="C1996" i="7"/>
  <c r="D1995" i="7"/>
  <c r="F1995" i="7" s="1"/>
  <c r="C1995" i="7"/>
  <c r="D1994" i="7"/>
  <c r="F1994" i="7" s="1"/>
  <c r="C1994" i="7"/>
  <c r="D1993" i="7"/>
  <c r="F1993" i="7" s="1"/>
  <c r="C1993" i="7"/>
  <c r="F1992" i="7"/>
  <c r="D1992" i="7"/>
  <c r="C1992" i="7"/>
  <c r="D1991" i="7"/>
  <c r="F1991" i="7" s="1"/>
  <c r="C1991" i="7"/>
  <c r="D1990" i="7"/>
  <c r="F1990" i="7" s="1"/>
  <c r="C1990" i="7"/>
  <c r="D1989" i="7"/>
  <c r="F1989" i="7" s="1"/>
  <c r="C1989" i="7"/>
  <c r="D1988" i="7"/>
  <c r="F1988" i="7" s="1"/>
  <c r="C1988" i="7"/>
  <c r="D1987" i="7"/>
  <c r="F1987" i="7" s="1"/>
  <c r="C1987" i="7"/>
  <c r="D1986" i="7"/>
  <c r="F1986" i="7" s="1"/>
  <c r="C1986" i="7"/>
  <c r="D1985" i="7"/>
  <c r="F1985" i="7" s="1"/>
  <c r="C1985" i="7"/>
  <c r="D1984" i="7"/>
  <c r="F1984" i="7" s="1"/>
  <c r="C1984" i="7"/>
  <c r="D1983" i="7"/>
  <c r="F1983" i="7" s="1"/>
  <c r="C1983" i="7"/>
  <c r="D1982" i="7"/>
  <c r="F1982" i="7" s="1"/>
  <c r="C1982" i="7"/>
  <c r="D1981" i="7"/>
  <c r="F1981" i="7" s="1"/>
  <c r="C1981" i="7"/>
  <c r="D1980" i="7"/>
  <c r="F1980" i="7" s="1"/>
  <c r="C1980" i="7"/>
  <c r="D1979" i="7"/>
  <c r="F1979" i="7" s="1"/>
  <c r="C1979" i="7"/>
  <c r="D1978" i="7"/>
  <c r="F1978" i="7" s="1"/>
  <c r="C1978" i="7"/>
  <c r="D1977" i="7"/>
  <c r="F1977" i="7" s="1"/>
  <c r="C1977" i="7"/>
  <c r="D1976" i="7"/>
  <c r="F1976" i="7" s="1"/>
  <c r="C1976" i="7"/>
  <c r="D1975" i="7"/>
  <c r="F1975" i="7" s="1"/>
  <c r="C1975" i="7"/>
  <c r="D1974" i="7"/>
  <c r="F1974" i="7" s="1"/>
  <c r="C1974" i="7"/>
  <c r="D1973" i="7"/>
  <c r="F1973" i="7" s="1"/>
  <c r="C1973" i="7"/>
  <c r="D1972" i="7"/>
  <c r="F1972" i="7" s="1"/>
  <c r="C1972" i="7"/>
  <c r="D1971" i="7"/>
  <c r="F1971" i="7" s="1"/>
  <c r="C1971" i="7"/>
  <c r="D1970" i="7"/>
  <c r="F1970" i="7" s="1"/>
  <c r="C1970" i="7"/>
  <c r="D1969" i="7"/>
  <c r="F1969" i="7" s="1"/>
  <c r="C1969" i="7"/>
  <c r="D1968" i="7"/>
  <c r="F1968" i="7" s="1"/>
  <c r="C1968" i="7"/>
  <c r="D1967" i="7"/>
  <c r="F1967" i="7" s="1"/>
  <c r="C1967" i="7"/>
  <c r="D1966" i="7"/>
  <c r="F1966" i="7" s="1"/>
  <c r="C1966" i="7"/>
  <c r="D1965" i="7"/>
  <c r="F1965" i="7" s="1"/>
  <c r="C1965" i="7"/>
  <c r="D1964" i="7"/>
  <c r="F1964" i="7" s="1"/>
  <c r="C1964" i="7"/>
  <c r="D1963" i="7"/>
  <c r="F1963" i="7" s="1"/>
  <c r="C1963" i="7"/>
  <c r="D1962" i="7"/>
  <c r="F1962" i="7" s="1"/>
  <c r="C1962" i="7"/>
  <c r="D1961" i="7"/>
  <c r="F1961" i="7" s="1"/>
  <c r="C1961" i="7"/>
  <c r="D1960" i="7"/>
  <c r="F1960" i="7" s="1"/>
  <c r="C1960" i="7"/>
  <c r="D1959" i="7"/>
  <c r="F1959" i="7" s="1"/>
  <c r="C1959" i="7"/>
  <c r="D1958" i="7"/>
  <c r="F1958" i="7" s="1"/>
  <c r="C1958" i="7"/>
  <c r="D1957" i="7"/>
  <c r="F1957" i="7" s="1"/>
  <c r="C1957" i="7"/>
  <c r="D1956" i="7"/>
  <c r="F1956" i="7" s="1"/>
  <c r="C1956" i="7"/>
  <c r="D1955" i="7"/>
  <c r="F1955" i="7" s="1"/>
  <c r="C1955" i="7"/>
  <c r="D1954" i="7"/>
  <c r="F1954" i="7" s="1"/>
  <c r="C1954" i="7"/>
  <c r="D1953" i="7"/>
  <c r="F1953" i="7" s="1"/>
  <c r="C1953" i="7"/>
  <c r="D1952" i="7"/>
  <c r="F1952" i="7" s="1"/>
  <c r="C1952" i="7"/>
  <c r="D1951" i="7"/>
  <c r="F1951" i="7" s="1"/>
  <c r="C1951" i="7"/>
  <c r="D1950" i="7"/>
  <c r="F1950" i="7" s="1"/>
  <c r="C1950" i="7"/>
  <c r="D1949" i="7"/>
  <c r="F1949" i="7" s="1"/>
  <c r="C1949" i="7"/>
  <c r="D1948" i="7"/>
  <c r="F1948" i="7" s="1"/>
  <c r="C1948" i="7"/>
  <c r="D1947" i="7"/>
  <c r="F1947" i="7" s="1"/>
  <c r="C1947" i="7"/>
  <c r="D1946" i="7"/>
  <c r="F1946" i="7" s="1"/>
  <c r="C1946" i="7"/>
  <c r="D1945" i="7"/>
  <c r="F1945" i="7" s="1"/>
  <c r="C1945" i="7"/>
  <c r="D1944" i="7"/>
  <c r="F1944" i="7" s="1"/>
  <c r="C1944" i="7"/>
  <c r="D1943" i="7"/>
  <c r="F1943" i="7" s="1"/>
  <c r="C1943" i="7"/>
  <c r="D1942" i="7"/>
  <c r="F1942" i="7" s="1"/>
  <c r="C1942" i="7"/>
  <c r="D1941" i="7"/>
  <c r="F1941" i="7" s="1"/>
  <c r="C1941" i="7"/>
  <c r="D1940" i="7"/>
  <c r="F1940" i="7" s="1"/>
  <c r="C1940" i="7"/>
  <c r="D1939" i="7"/>
  <c r="F1939" i="7" s="1"/>
  <c r="C1939" i="7"/>
  <c r="D1938" i="7"/>
  <c r="F1938" i="7" s="1"/>
  <c r="C1938" i="7"/>
  <c r="D1937" i="7"/>
  <c r="F1937" i="7" s="1"/>
  <c r="C1937" i="7"/>
  <c r="D1936" i="7"/>
  <c r="F1936" i="7" s="1"/>
  <c r="C1936" i="7"/>
  <c r="D1935" i="7"/>
  <c r="F1935" i="7" s="1"/>
  <c r="C1935" i="7"/>
  <c r="D1934" i="7"/>
  <c r="F1934" i="7" s="1"/>
  <c r="C1934" i="7"/>
  <c r="D1933" i="7"/>
  <c r="F1933" i="7" s="1"/>
  <c r="C1933" i="7"/>
  <c r="D1932" i="7"/>
  <c r="F1932" i="7" s="1"/>
  <c r="C1932" i="7"/>
  <c r="D1931" i="7"/>
  <c r="F1931" i="7" s="1"/>
  <c r="C1931" i="7"/>
  <c r="D1930" i="7"/>
  <c r="F1930" i="7" s="1"/>
  <c r="C1930" i="7"/>
  <c r="D1929" i="7"/>
  <c r="F1929" i="7" s="1"/>
  <c r="C1929" i="7"/>
  <c r="D1928" i="7"/>
  <c r="F1928" i="7" s="1"/>
  <c r="C1928" i="7"/>
  <c r="D1927" i="7"/>
  <c r="F1927" i="7" s="1"/>
  <c r="C1927" i="7"/>
  <c r="F1926" i="7"/>
  <c r="D1926" i="7"/>
  <c r="C1926" i="7"/>
  <c r="D1925" i="7"/>
  <c r="F1925" i="7" s="1"/>
  <c r="C1925" i="7"/>
  <c r="D1924" i="7"/>
  <c r="F1924" i="7" s="1"/>
  <c r="C1924" i="7"/>
  <c r="D1923" i="7"/>
  <c r="F1923" i="7" s="1"/>
  <c r="C1923" i="7"/>
  <c r="D1922" i="7"/>
  <c r="F1922" i="7" s="1"/>
  <c r="C1922" i="7"/>
  <c r="D1921" i="7"/>
  <c r="F1921" i="7" s="1"/>
  <c r="C1921" i="7"/>
  <c r="D1920" i="7"/>
  <c r="F1920" i="7" s="1"/>
  <c r="C1920" i="7"/>
  <c r="D1919" i="7"/>
  <c r="F1919" i="7" s="1"/>
  <c r="C1919" i="7"/>
  <c r="D1918" i="7"/>
  <c r="F1918" i="7" s="1"/>
  <c r="C1918" i="7"/>
  <c r="D1917" i="7"/>
  <c r="F1917" i="7" s="1"/>
  <c r="C1917" i="7"/>
  <c r="D1916" i="7"/>
  <c r="F1916" i="7" s="1"/>
  <c r="C1916" i="7"/>
  <c r="D1915" i="7"/>
  <c r="F1915" i="7" s="1"/>
  <c r="C1915" i="7"/>
  <c r="D1914" i="7"/>
  <c r="F1914" i="7" s="1"/>
  <c r="C1914" i="7"/>
  <c r="D1913" i="7"/>
  <c r="F1913" i="7" s="1"/>
  <c r="C1913" i="7"/>
  <c r="D1912" i="7"/>
  <c r="F1912" i="7" s="1"/>
  <c r="C1912" i="7"/>
  <c r="D1911" i="7"/>
  <c r="F1911" i="7" s="1"/>
  <c r="C1911" i="7"/>
  <c r="D1910" i="7"/>
  <c r="F1910" i="7" s="1"/>
  <c r="C1910" i="7"/>
  <c r="D1909" i="7"/>
  <c r="F1909" i="7" s="1"/>
  <c r="C1909" i="7"/>
  <c r="D1908" i="7"/>
  <c r="F1908" i="7" s="1"/>
  <c r="C1908" i="7"/>
  <c r="D1907" i="7"/>
  <c r="F1907" i="7" s="1"/>
  <c r="C1907" i="7"/>
  <c r="D1906" i="7"/>
  <c r="F1906" i="7" s="1"/>
  <c r="C1906" i="7"/>
  <c r="D1905" i="7"/>
  <c r="F1905" i="7" s="1"/>
  <c r="C1905" i="7"/>
  <c r="D1904" i="7"/>
  <c r="F1904" i="7" s="1"/>
  <c r="C1904" i="7"/>
  <c r="D1903" i="7"/>
  <c r="F1903" i="7" s="1"/>
  <c r="C1903" i="7"/>
  <c r="D1902" i="7"/>
  <c r="F1902" i="7" s="1"/>
  <c r="C1902" i="7"/>
  <c r="D1901" i="7"/>
  <c r="F1901" i="7" s="1"/>
  <c r="C1901" i="7"/>
  <c r="D1900" i="7"/>
  <c r="F1900" i="7" s="1"/>
  <c r="C1900" i="7"/>
  <c r="D1899" i="7"/>
  <c r="F1899" i="7" s="1"/>
  <c r="C1899" i="7"/>
  <c r="D1898" i="7"/>
  <c r="F1898" i="7" s="1"/>
  <c r="C1898" i="7"/>
  <c r="D1897" i="7"/>
  <c r="F1897" i="7" s="1"/>
  <c r="C1897" i="7"/>
  <c r="D1896" i="7"/>
  <c r="F1896" i="7" s="1"/>
  <c r="C1896" i="7"/>
  <c r="D1895" i="7"/>
  <c r="F1895" i="7" s="1"/>
  <c r="C1895" i="7"/>
  <c r="D1894" i="7"/>
  <c r="F1894" i="7" s="1"/>
  <c r="C1894" i="7"/>
  <c r="D1893" i="7"/>
  <c r="F1893" i="7" s="1"/>
  <c r="C1893" i="7"/>
  <c r="D1892" i="7"/>
  <c r="F1892" i="7" s="1"/>
  <c r="C1892" i="7"/>
  <c r="D1891" i="7"/>
  <c r="F1891" i="7" s="1"/>
  <c r="C1891" i="7"/>
  <c r="D1890" i="7"/>
  <c r="F1890" i="7" s="1"/>
  <c r="C1890" i="7"/>
  <c r="D1889" i="7"/>
  <c r="F1889" i="7" s="1"/>
  <c r="C1889" i="7"/>
  <c r="D1888" i="7"/>
  <c r="F1888" i="7" s="1"/>
  <c r="C1888" i="7"/>
  <c r="D1887" i="7"/>
  <c r="F1887" i="7" s="1"/>
  <c r="C1887" i="7"/>
  <c r="D1886" i="7"/>
  <c r="F1886" i="7" s="1"/>
  <c r="C1886" i="7"/>
  <c r="D1885" i="7"/>
  <c r="F1885" i="7" s="1"/>
  <c r="C1885" i="7"/>
  <c r="D1884" i="7"/>
  <c r="F1884" i="7" s="1"/>
  <c r="C1884" i="7"/>
  <c r="D1883" i="7"/>
  <c r="F1883" i="7" s="1"/>
  <c r="C1883" i="7"/>
  <c r="D1882" i="7"/>
  <c r="F1882" i="7" s="1"/>
  <c r="C1882" i="7"/>
  <c r="D1881" i="7"/>
  <c r="F1881" i="7" s="1"/>
  <c r="C1881" i="7"/>
  <c r="D1880" i="7"/>
  <c r="F1880" i="7" s="1"/>
  <c r="C1880" i="7"/>
  <c r="D1879" i="7"/>
  <c r="F1879" i="7" s="1"/>
  <c r="C1879" i="7"/>
  <c r="D1878" i="7"/>
  <c r="F1878" i="7" s="1"/>
  <c r="C1878" i="7"/>
  <c r="D1877" i="7"/>
  <c r="F1877" i="7" s="1"/>
  <c r="C1877" i="7"/>
  <c r="D1876" i="7"/>
  <c r="F1876" i="7" s="1"/>
  <c r="C1876" i="7"/>
  <c r="D1875" i="7"/>
  <c r="F1875" i="7" s="1"/>
  <c r="C1875" i="7"/>
  <c r="D1874" i="7"/>
  <c r="F1874" i="7" s="1"/>
  <c r="C1874" i="7"/>
  <c r="D1873" i="7"/>
  <c r="F1873" i="7" s="1"/>
  <c r="C1873" i="7"/>
  <c r="F1872" i="7"/>
  <c r="D1872" i="7"/>
  <c r="C1872" i="7"/>
  <c r="D1871" i="7"/>
  <c r="F1871" i="7" s="1"/>
  <c r="C1871" i="7"/>
  <c r="D1870" i="7"/>
  <c r="F1870" i="7" s="1"/>
  <c r="C1870" i="7"/>
  <c r="D1869" i="7"/>
  <c r="F1869" i="7" s="1"/>
  <c r="C1869" i="7"/>
  <c r="D1868" i="7"/>
  <c r="F1868" i="7" s="1"/>
  <c r="C1868" i="7"/>
  <c r="D1867" i="7"/>
  <c r="F1867" i="7" s="1"/>
  <c r="C1867" i="7"/>
  <c r="D1866" i="7"/>
  <c r="F1866" i="7" s="1"/>
  <c r="C1866" i="7"/>
  <c r="D1865" i="7"/>
  <c r="F1865" i="7" s="1"/>
  <c r="C1865" i="7"/>
  <c r="D1864" i="7"/>
  <c r="F1864" i="7" s="1"/>
  <c r="C1864" i="7"/>
  <c r="D1863" i="7"/>
  <c r="F1863" i="7" s="1"/>
  <c r="C1863" i="7"/>
  <c r="D1862" i="7"/>
  <c r="F1862" i="7" s="1"/>
  <c r="C1862" i="7"/>
  <c r="D1861" i="7"/>
  <c r="F1861" i="7" s="1"/>
  <c r="C1861" i="7"/>
  <c r="D1860" i="7"/>
  <c r="F1860" i="7" s="1"/>
  <c r="C1860" i="7"/>
  <c r="D1859" i="7"/>
  <c r="F1859" i="7" s="1"/>
  <c r="C1859" i="7"/>
  <c r="D1858" i="7"/>
  <c r="F1858" i="7" s="1"/>
  <c r="C1858" i="7"/>
  <c r="D1857" i="7"/>
  <c r="F1857" i="7" s="1"/>
  <c r="C1857" i="7"/>
  <c r="D1856" i="7"/>
  <c r="F1856" i="7" s="1"/>
  <c r="C1856" i="7"/>
  <c r="D1855" i="7"/>
  <c r="F1855" i="7" s="1"/>
  <c r="C1855" i="7"/>
  <c r="D1854" i="7"/>
  <c r="F1854" i="7" s="1"/>
  <c r="C1854" i="7"/>
  <c r="D1853" i="7"/>
  <c r="F1853" i="7" s="1"/>
  <c r="C1853" i="7"/>
  <c r="D1852" i="7"/>
  <c r="F1852" i="7" s="1"/>
  <c r="C1852" i="7"/>
  <c r="D1851" i="7"/>
  <c r="F1851" i="7" s="1"/>
  <c r="C1851" i="7"/>
  <c r="D1850" i="7"/>
  <c r="F1850" i="7" s="1"/>
  <c r="C1850" i="7"/>
  <c r="D1849" i="7"/>
  <c r="F1849" i="7" s="1"/>
  <c r="C1849" i="7"/>
  <c r="D1848" i="7"/>
  <c r="F1848" i="7" s="1"/>
  <c r="C1848" i="7"/>
  <c r="D1847" i="7"/>
  <c r="F1847" i="7" s="1"/>
  <c r="C1847" i="7"/>
  <c r="D1846" i="7"/>
  <c r="F1846" i="7" s="1"/>
  <c r="C1846" i="7"/>
  <c r="D1845" i="7"/>
  <c r="F1845" i="7" s="1"/>
  <c r="C1845" i="7"/>
  <c r="D1844" i="7"/>
  <c r="F1844" i="7" s="1"/>
  <c r="C1844" i="7"/>
  <c r="D1843" i="7"/>
  <c r="F1843" i="7" s="1"/>
  <c r="C1843" i="7"/>
  <c r="D1842" i="7"/>
  <c r="F1842" i="7" s="1"/>
  <c r="C1842" i="7"/>
  <c r="D1841" i="7"/>
  <c r="F1841" i="7" s="1"/>
  <c r="C1841" i="7"/>
  <c r="D1840" i="7"/>
  <c r="F1840" i="7" s="1"/>
  <c r="C1840" i="7"/>
  <c r="D1839" i="7"/>
  <c r="F1839" i="7" s="1"/>
  <c r="C1839" i="7"/>
  <c r="D1838" i="7"/>
  <c r="F1838" i="7" s="1"/>
  <c r="C1838" i="7"/>
  <c r="D1837" i="7"/>
  <c r="F1837" i="7" s="1"/>
  <c r="C1837" i="7"/>
  <c r="D1836" i="7"/>
  <c r="F1836" i="7" s="1"/>
  <c r="C1836" i="7"/>
  <c r="D1835" i="7"/>
  <c r="F1835" i="7" s="1"/>
  <c r="C1835" i="7"/>
  <c r="D1834" i="7"/>
  <c r="F1834" i="7" s="1"/>
  <c r="C1834" i="7"/>
  <c r="D1833" i="7"/>
  <c r="F1833" i="7" s="1"/>
  <c r="C1833" i="7"/>
  <c r="D1832" i="7"/>
  <c r="F1832" i="7" s="1"/>
  <c r="C1832" i="7"/>
  <c r="D1831" i="7"/>
  <c r="F1831" i="7" s="1"/>
  <c r="C1831" i="7"/>
  <c r="D1830" i="7"/>
  <c r="F1830" i="7" s="1"/>
  <c r="C1830" i="7"/>
  <c r="D1829" i="7"/>
  <c r="F1829" i="7" s="1"/>
  <c r="C1829" i="7"/>
  <c r="D1828" i="7"/>
  <c r="F1828" i="7" s="1"/>
  <c r="C1828" i="7"/>
  <c r="D1827" i="7"/>
  <c r="F1827" i="7" s="1"/>
  <c r="C1827" i="7"/>
  <c r="D1826" i="7"/>
  <c r="F1826" i="7" s="1"/>
  <c r="C1826" i="7"/>
  <c r="D1825" i="7"/>
  <c r="F1825" i="7" s="1"/>
  <c r="C1825" i="7"/>
  <c r="D1824" i="7"/>
  <c r="F1824" i="7" s="1"/>
  <c r="C1824" i="7"/>
  <c r="D1823" i="7"/>
  <c r="F1823" i="7" s="1"/>
  <c r="C1823" i="7"/>
  <c r="D1822" i="7"/>
  <c r="F1822" i="7" s="1"/>
  <c r="C1822" i="7"/>
  <c r="D1821" i="7"/>
  <c r="F1821" i="7" s="1"/>
  <c r="C1821" i="7"/>
  <c r="D1820" i="7"/>
  <c r="F1820" i="7" s="1"/>
  <c r="C1820" i="7"/>
  <c r="D1819" i="7"/>
  <c r="F1819" i="7" s="1"/>
  <c r="C1819" i="7"/>
  <c r="D1818" i="7"/>
  <c r="F1818" i="7" s="1"/>
  <c r="C1818" i="7"/>
  <c r="D1817" i="7"/>
  <c r="F1817" i="7" s="1"/>
  <c r="C1817" i="7"/>
  <c r="D1816" i="7"/>
  <c r="F1816" i="7" s="1"/>
  <c r="C1816" i="7"/>
  <c r="D1815" i="7"/>
  <c r="F1815" i="7" s="1"/>
  <c r="C1815" i="7"/>
  <c r="D1814" i="7"/>
  <c r="F1814" i="7" s="1"/>
  <c r="C1814" i="7"/>
  <c r="D1813" i="7"/>
  <c r="F1813" i="7" s="1"/>
  <c r="C1813" i="7"/>
  <c r="D1812" i="7"/>
  <c r="F1812" i="7" s="1"/>
  <c r="C1812" i="7"/>
  <c r="D1811" i="7"/>
  <c r="F1811" i="7" s="1"/>
  <c r="C1811" i="7"/>
  <c r="D1810" i="7"/>
  <c r="F1810" i="7" s="1"/>
  <c r="C1810" i="7"/>
  <c r="D1809" i="7"/>
  <c r="F1809" i="7" s="1"/>
  <c r="C1809" i="7"/>
  <c r="D1808" i="7"/>
  <c r="F1808" i="7" s="1"/>
  <c r="C1808" i="7"/>
  <c r="D1807" i="7"/>
  <c r="F1807" i="7" s="1"/>
  <c r="C1807" i="7"/>
  <c r="D1806" i="7"/>
  <c r="F1806" i="7" s="1"/>
  <c r="C1806" i="7"/>
  <c r="D1805" i="7"/>
  <c r="F1805" i="7" s="1"/>
  <c r="C1805" i="7"/>
  <c r="D1804" i="7"/>
  <c r="F1804" i="7" s="1"/>
  <c r="C1804" i="7"/>
  <c r="D1803" i="7"/>
  <c r="F1803" i="7" s="1"/>
  <c r="C1803" i="7"/>
  <c r="D1802" i="7"/>
  <c r="F1802" i="7" s="1"/>
  <c r="C1802" i="7"/>
  <c r="D1801" i="7"/>
  <c r="F1801" i="7" s="1"/>
  <c r="C1801" i="7"/>
  <c r="D1800" i="7"/>
  <c r="F1800" i="7" s="1"/>
  <c r="C1800" i="7"/>
  <c r="D1799" i="7"/>
  <c r="F1799" i="7" s="1"/>
  <c r="C1799" i="7"/>
  <c r="D1798" i="7"/>
  <c r="F1798" i="7" s="1"/>
  <c r="C1798" i="7"/>
  <c r="D1797" i="7"/>
  <c r="F1797" i="7" s="1"/>
  <c r="C1797" i="7"/>
  <c r="D1796" i="7"/>
  <c r="F1796" i="7" s="1"/>
  <c r="C1796" i="7"/>
  <c r="D1795" i="7"/>
  <c r="F1795" i="7" s="1"/>
  <c r="C1795" i="7"/>
  <c r="D1794" i="7"/>
  <c r="F1794" i="7" s="1"/>
  <c r="C1794" i="7"/>
  <c r="D1793" i="7"/>
  <c r="F1793" i="7" s="1"/>
  <c r="C1793" i="7"/>
  <c r="D1792" i="7"/>
  <c r="F1792" i="7" s="1"/>
  <c r="C1792" i="7"/>
  <c r="D1791" i="7"/>
  <c r="F1791" i="7" s="1"/>
  <c r="C1791" i="7"/>
  <c r="D1790" i="7"/>
  <c r="F1790" i="7" s="1"/>
  <c r="C1790" i="7"/>
  <c r="D1789" i="7"/>
  <c r="F1789" i="7" s="1"/>
  <c r="C1789" i="7"/>
  <c r="D1788" i="7"/>
  <c r="F1788" i="7" s="1"/>
  <c r="C1788" i="7"/>
  <c r="D1787" i="7"/>
  <c r="F1787" i="7" s="1"/>
  <c r="C1787" i="7"/>
  <c r="D1786" i="7"/>
  <c r="F1786" i="7" s="1"/>
  <c r="C1786" i="7"/>
  <c r="D1785" i="7"/>
  <c r="F1785" i="7" s="1"/>
  <c r="C1785" i="7"/>
  <c r="D1784" i="7"/>
  <c r="F1784" i="7" s="1"/>
  <c r="C1784" i="7"/>
  <c r="D1783" i="7"/>
  <c r="F1783" i="7" s="1"/>
  <c r="C1783" i="7"/>
  <c r="D1782" i="7"/>
  <c r="F1782" i="7" s="1"/>
  <c r="C1782" i="7"/>
  <c r="D1781" i="7"/>
  <c r="F1781" i="7" s="1"/>
  <c r="C1781" i="7"/>
  <c r="D1780" i="7"/>
  <c r="F1780" i="7" s="1"/>
  <c r="C1780" i="7"/>
  <c r="D1779" i="7"/>
  <c r="F1779" i="7" s="1"/>
  <c r="C1779" i="7"/>
  <c r="D1778" i="7"/>
  <c r="F1778" i="7" s="1"/>
  <c r="C1778" i="7"/>
  <c r="D1777" i="7"/>
  <c r="F1777" i="7" s="1"/>
  <c r="C1777" i="7"/>
  <c r="D1776" i="7"/>
  <c r="F1776" i="7" s="1"/>
  <c r="C1776" i="7"/>
  <c r="D1775" i="7"/>
  <c r="F1775" i="7" s="1"/>
  <c r="C1775" i="7"/>
  <c r="D1774" i="7"/>
  <c r="F1774" i="7" s="1"/>
  <c r="C1774" i="7"/>
  <c r="D1773" i="7"/>
  <c r="F1773" i="7" s="1"/>
  <c r="C1773" i="7"/>
  <c r="D1772" i="7"/>
  <c r="F1772" i="7" s="1"/>
  <c r="C1772" i="7"/>
  <c r="D1771" i="7"/>
  <c r="F1771" i="7" s="1"/>
  <c r="C1771" i="7"/>
  <c r="D1770" i="7"/>
  <c r="F1770" i="7" s="1"/>
  <c r="C1770" i="7"/>
  <c r="D1769" i="7"/>
  <c r="F1769" i="7" s="1"/>
  <c r="C1769" i="7"/>
  <c r="D1768" i="7"/>
  <c r="F1768" i="7" s="1"/>
  <c r="C1768" i="7"/>
  <c r="D1767" i="7"/>
  <c r="F1767" i="7" s="1"/>
  <c r="C1767" i="7"/>
  <c r="D1766" i="7"/>
  <c r="F1766" i="7" s="1"/>
  <c r="C1766" i="7"/>
  <c r="D1765" i="7"/>
  <c r="F1765" i="7" s="1"/>
  <c r="C1765" i="7"/>
  <c r="D1764" i="7"/>
  <c r="F1764" i="7" s="1"/>
  <c r="C1764" i="7"/>
  <c r="D1763" i="7"/>
  <c r="F1763" i="7" s="1"/>
  <c r="C1763" i="7"/>
  <c r="D1762" i="7"/>
  <c r="F1762" i="7" s="1"/>
  <c r="C1762" i="7"/>
  <c r="D1761" i="7"/>
  <c r="F1761" i="7" s="1"/>
  <c r="C1761" i="7"/>
  <c r="D1760" i="7"/>
  <c r="F1760" i="7" s="1"/>
  <c r="C1760" i="7"/>
  <c r="D1759" i="7"/>
  <c r="F1759" i="7" s="1"/>
  <c r="C1759" i="7"/>
  <c r="D1758" i="7"/>
  <c r="F1758" i="7" s="1"/>
  <c r="C1758" i="7"/>
  <c r="F1757" i="7"/>
  <c r="D1757" i="7"/>
  <c r="C1757" i="7"/>
  <c r="D1756" i="7"/>
  <c r="F1756" i="7" s="1"/>
  <c r="C1756" i="7"/>
  <c r="D1755" i="7"/>
  <c r="F1755" i="7" s="1"/>
  <c r="C1755" i="7"/>
  <c r="D1754" i="7"/>
  <c r="F1754" i="7" s="1"/>
  <c r="C1754" i="7"/>
  <c r="D1753" i="7"/>
  <c r="F1753" i="7" s="1"/>
  <c r="C1753" i="7"/>
  <c r="D1752" i="7"/>
  <c r="F1752" i="7" s="1"/>
  <c r="C1752" i="7"/>
  <c r="D1751" i="7"/>
  <c r="F1751" i="7" s="1"/>
  <c r="C1751" i="7"/>
  <c r="D1750" i="7"/>
  <c r="F1750" i="7" s="1"/>
  <c r="C1750" i="7"/>
  <c r="D1749" i="7"/>
  <c r="F1749" i="7" s="1"/>
  <c r="C1749" i="7"/>
  <c r="D1748" i="7"/>
  <c r="F1748" i="7" s="1"/>
  <c r="C1748" i="7"/>
  <c r="D1747" i="7"/>
  <c r="F1747" i="7" s="1"/>
  <c r="C1747" i="7"/>
  <c r="D1746" i="7"/>
  <c r="F1746" i="7" s="1"/>
  <c r="C1746" i="7"/>
  <c r="D1745" i="7"/>
  <c r="F1745" i="7" s="1"/>
  <c r="C1745" i="7"/>
  <c r="D1744" i="7"/>
  <c r="F1744" i="7" s="1"/>
  <c r="C1744" i="7"/>
  <c r="D1743" i="7"/>
  <c r="F1743" i="7" s="1"/>
  <c r="C1743" i="7"/>
  <c r="D1742" i="7"/>
  <c r="F1742" i="7" s="1"/>
  <c r="C1742" i="7"/>
  <c r="D1741" i="7"/>
  <c r="F1741" i="7" s="1"/>
  <c r="C1741" i="7"/>
  <c r="D1740" i="7"/>
  <c r="F1740" i="7" s="1"/>
  <c r="C1740" i="7"/>
  <c r="D1739" i="7"/>
  <c r="F1739" i="7" s="1"/>
  <c r="C1739" i="7"/>
  <c r="D1738" i="7"/>
  <c r="F1738" i="7" s="1"/>
  <c r="C1738" i="7"/>
  <c r="D1737" i="7"/>
  <c r="F1737" i="7" s="1"/>
  <c r="C1737" i="7"/>
  <c r="D1736" i="7"/>
  <c r="F1736" i="7" s="1"/>
  <c r="C1736" i="7"/>
  <c r="D1735" i="7"/>
  <c r="F1735" i="7" s="1"/>
  <c r="C1735" i="7"/>
  <c r="D1734" i="7"/>
  <c r="F1734" i="7" s="1"/>
  <c r="C1734" i="7"/>
  <c r="D1733" i="7"/>
  <c r="F1733" i="7" s="1"/>
  <c r="C1733" i="7"/>
  <c r="D1732" i="7"/>
  <c r="F1732" i="7" s="1"/>
  <c r="C1732" i="7"/>
  <c r="D1731" i="7"/>
  <c r="F1731" i="7" s="1"/>
  <c r="C1731" i="7"/>
  <c r="D1730" i="7"/>
  <c r="F1730" i="7" s="1"/>
  <c r="C1730" i="7"/>
  <c r="D1729" i="7"/>
  <c r="F1729" i="7" s="1"/>
  <c r="C1729" i="7"/>
  <c r="D1728" i="7"/>
  <c r="F1728" i="7" s="1"/>
  <c r="C1728" i="7"/>
  <c r="D1727" i="7"/>
  <c r="F1727" i="7" s="1"/>
  <c r="C1727" i="7"/>
  <c r="D1726" i="7"/>
  <c r="F1726" i="7" s="1"/>
  <c r="C1726" i="7"/>
  <c r="D1725" i="7"/>
  <c r="F1725" i="7" s="1"/>
  <c r="C1725" i="7"/>
  <c r="D1724" i="7"/>
  <c r="F1724" i="7" s="1"/>
  <c r="C1724" i="7"/>
  <c r="D1723" i="7"/>
  <c r="F1723" i="7" s="1"/>
  <c r="C1723" i="7"/>
  <c r="D1722" i="7"/>
  <c r="F1722" i="7" s="1"/>
  <c r="C1722" i="7"/>
  <c r="D1721" i="7"/>
  <c r="F1721" i="7" s="1"/>
  <c r="C1721" i="7"/>
  <c r="D1720" i="7"/>
  <c r="F1720" i="7" s="1"/>
  <c r="C1720" i="7"/>
  <c r="D1719" i="7"/>
  <c r="F1719" i="7" s="1"/>
  <c r="C1719" i="7"/>
  <c r="D1718" i="7"/>
  <c r="F1718" i="7" s="1"/>
  <c r="C1718" i="7"/>
  <c r="D1717" i="7"/>
  <c r="F1717" i="7" s="1"/>
  <c r="C1717" i="7"/>
  <c r="D1716" i="7"/>
  <c r="F1716" i="7" s="1"/>
  <c r="C1716" i="7"/>
  <c r="D1715" i="7"/>
  <c r="F1715" i="7" s="1"/>
  <c r="C1715" i="7"/>
  <c r="D1714" i="7"/>
  <c r="F1714" i="7" s="1"/>
  <c r="C1714" i="7"/>
  <c r="D1713" i="7"/>
  <c r="F1713" i="7" s="1"/>
  <c r="C1713" i="7"/>
  <c r="D1712" i="7"/>
  <c r="F1712" i="7" s="1"/>
  <c r="C1712" i="7"/>
  <c r="D1711" i="7"/>
  <c r="F1711" i="7" s="1"/>
  <c r="C1711" i="7"/>
  <c r="D1710" i="7"/>
  <c r="F1710" i="7" s="1"/>
  <c r="C1710" i="7"/>
  <c r="D1709" i="7"/>
  <c r="F1709" i="7" s="1"/>
  <c r="C1709" i="7"/>
  <c r="D1708" i="7"/>
  <c r="F1708" i="7" s="1"/>
  <c r="C1708" i="7"/>
  <c r="D1707" i="7"/>
  <c r="F1707" i="7" s="1"/>
  <c r="C1707" i="7"/>
  <c r="D1706" i="7"/>
  <c r="F1706" i="7" s="1"/>
  <c r="C1706" i="7"/>
  <c r="D1705" i="7"/>
  <c r="F1705" i="7" s="1"/>
  <c r="C1705" i="7"/>
  <c r="D1704" i="7"/>
  <c r="F1704" i="7" s="1"/>
  <c r="C1704" i="7"/>
  <c r="D1703" i="7"/>
  <c r="F1703" i="7" s="1"/>
  <c r="C1703" i="7"/>
  <c r="D1702" i="7"/>
  <c r="F1702" i="7" s="1"/>
  <c r="C1702" i="7"/>
  <c r="D1701" i="7"/>
  <c r="F1701" i="7" s="1"/>
  <c r="C1701" i="7"/>
  <c r="D1700" i="7"/>
  <c r="F1700" i="7" s="1"/>
  <c r="C1700" i="7"/>
  <c r="F1699" i="7"/>
  <c r="D1699" i="7"/>
  <c r="C1699" i="7"/>
  <c r="D1698" i="7"/>
  <c r="F1698" i="7" s="1"/>
  <c r="C1698" i="7"/>
  <c r="D1697" i="7"/>
  <c r="F1697" i="7" s="1"/>
  <c r="C1697" i="7"/>
  <c r="D1696" i="7"/>
  <c r="F1696" i="7" s="1"/>
  <c r="C1696" i="7"/>
  <c r="D1695" i="7"/>
  <c r="F1695" i="7" s="1"/>
  <c r="C1695" i="7"/>
  <c r="D1694" i="7"/>
  <c r="F1694" i="7" s="1"/>
  <c r="C1694" i="7"/>
  <c r="D1693" i="7"/>
  <c r="F1693" i="7" s="1"/>
  <c r="C1693" i="7"/>
  <c r="D1692" i="7"/>
  <c r="F1692" i="7" s="1"/>
  <c r="C1692" i="7"/>
  <c r="D1691" i="7"/>
  <c r="F1691" i="7" s="1"/>
  <c r="C1691" i="7"/>
  <c r="D1690" i="7"/>
  <c r="F1690" i="7" s="1"/>
  <c r="C1690" i="7"/>
  <c r="D1689" i="7"/>
  <c r="F1689" i="7" s="1"/>
  <c r="C1689" i="7"/>
  <c r="D1688" i="7"/>
  <c r="F1688" i="7" s="1"/>
  <c r="C1688" i="7"/>
  <c r="D1687" i="7"/>
  <c r="F1687" i="7" s="1"/>
  <c r="C1687" i="7"/>
  <c r="D1686" i="7"/>
  <c r="F1686" i="7" s="1"/>
  <c r="C1686" i="7"/>
  <c r="D1685" i="7"/>
  <c r="F1685" i="7" s="1"/>
  <c r="C1685" i="7"/>
  <c r="D1684" i="7"/>
  <c r="F1684" i="7" s="1"/>
  <c r="C1684" i="7"/>
  <c r="D1683" i="7"/>
  <c r="F1683" i="7" s="1"/>
  <c r="C1683" i="7"/>
  <c r="D1682" i="7"/>
  <c r="F1682" i="7" s="1"/>
  <c r="C1682" i="7"/>
  <c r="D1681" i="7"/>
  <c r="F1681" i="7" s="1"/>
  <c r="C1681" i="7"/>
  <c r="D1680" i="7"/>
  <c r="F1680" i="7" s="1"/>
  <c r="C1680" i="7"/>
  <c r="D1679" i="7"/>
  <c r="F1679" i="7" s="1"/>
  <c r="C1679" i="7"/>
  <c r="D1678" i="7"/>
  <c r="F1678" i="7" s="1"/>
  <c r="C1678" i="7"/>
  <c r="D1677" i="7"/>
  <c r="F1677" i="7" s="1"/>
  <c r="C1677" i="7"/>
  <c r="D1676" i="7"/>
  <c r="F1676" i="7" s="1"/>
  <c r="C1676" i="7"/>
  <c r="F1675" i="7"/>
  <c r="D1675" i="7"/>
  <c r="C1675" i="7"/>
  <c r="D1674" i="7"/>
  <c r="F1674" i="7" s="1"/>
  <c r="C1674" i="7"/>
  <c r="D1673" i="7"/>
  <c r="F1673" i="7" s="1"/>
  <c r="C1673" i="7"/>
  <c r="D1672" i="7"/>
  <c r="F1672" i="7" s="1"/>
  <c r="C1672" i="7"/>
  <c r="D1671" i="7"/>
  <c r="F1671" i="7" s="1"/>
  <c r="C1671" i="7"/>
  <c r="D1670" i="7"/>
  <c r="F1670" i="7" s="1"/>
  <c r="C1670" i="7"/>
  <c r="D1669" i="7"/>
  <c r="F1669" i="7" s="1"/>
  <c r="C1669" i="7"/>
  <c r="F1668" i="7"/>
  <c r="D1668" i="7"/>
  <c r="C1668" i="7"/>
  <c r="D1667" i="7"/>
  <c r="F1667" i="7" s="1"/>
  <c r="C1667" i="7"/>
  <c r="D1666" i="7"/>
  <c r="F1666" i="7" s="1"/>
  <c r="C1666" i="7"/>
  <c r="F1665" i="7"/>
  <c r="D1665" i="7"/>
  <c r="C1665" i="7"/>
  <c r="D1664" i="7"/>
  <c r="F1664" i="7" s="1"/>
  <c r="C1664" i="7"/>
  <c r="D1663" i="7"/>
  <c r="F1663" i="7" s="1"/>
  <c r="C1663" i="7"/>
  <c r="D1662" i="7"/>
  <c r="F1662" i="7" s="1"/>
  <c r="C1662" i="7"/>
  <c r="D1661" i="7"/>
  <c r="F1661" i="7" s="1"/>
  <c r="C1661" i="7"/>
  <c r="D1660" i="7"/>
  <c r="F1660" i="7" s="1"/>
  <c r="C1660" i="7"/>
  <c r="D1659" i="7"/>
  <c r="F1659" i="7" s="1"/>
  <c r="C1659" i="7"/>
  <c r="D1658" i="7"/>
  <c r="F1658" i="7" s="1"/>
  <c r="C1658" i="7"/>
  <c r="D1657" i="7"/>
  <c r="F1657" i="7" s="1"/>
  <c r="C1657" i="7"/>
  <c r="D1656" i="7"/>
  <c r="F1656" i="7" s="1"/>
  <c r="C1656" i="7"/>
  <c r="D1655" i="7"/>
  <c r="F1655" i="7" s="1"/>
  <c r="C1655" i="7"/>
  <c r="D1654" i="7"/>
  <c r="F1654" i="7" s="1"/>
  <c r="C1654" i="7"/>
  <c r="D1653" i="7"/>
  <c r="F1653" i="7" s="1"/>
  <c r="C1653" i="7"/>
  <c r="D1652" i="7"/>
  <c r="F1652" i="7" s="1"/>
  <c r="C1652" i="7"/>
  <c r="D1651" i="7"/>
  <c r="F1651" i="7" s="1"/>
  <c r="C1651" i="7"/>
  <c r="D1650" i="7"/>
  <c r="F1650" i="7" s="1"/>
  <c r="C1650" i="7"/>
  <c r="D1649" i="7"/>
  <c r="F1649" i="7" s="1"/>
  <c r="C1649" i="7"/>
  <c r="D1648" i="7"/>
  <c r="F1648" i="7" s="1"/>
  <c r="C1648" i="7"/>
  <c r="D1647" i="7"/>
  <c r="F1647" i="7" s="1"/>
  <c r="C1647" i="7"/>
  <c r="D1646" i="7"/>
  <c r="F1646" i="7" s="1"/>
  <c r="C1646" i="7"/>
  <c r="D1645" i="7"/>
  <c r="F1645" i="7" s="1"/>
  <c r="C1645" i="7"/>
  <c r="D1644" i="7"/>
  <c r="F1644" i="7" s="1"/>
  <c r="C1644" i="7"/>
  <c r="D1643" i="7"/>
  <c r="F1643" i="7" s="1"/>
  <c r="C1643" i="7"/>
  <c r="D1642" i="7"/>
  <c r="F1642" i="7" s="1"/>
  <c r="C1642" i="7"/>
  <c r="D1641" i="7"/>
  <c r="F1641" i="7" s="1"/>
  <c r="C1641" i="7"/>
  <c r="D1640" i="7"/>
  <c r="F1640" i="7" s="1"/>
  <c r="C1640" i="7"/>
  <c r="D1639" i="7"/>
  <c r="F1639" i="7" s="1"/>
  <c r="C1639" i="7"/>
  <c r="D1638" i="7"/>
  <c r="F1638" i="7" s="1"/>
  <c r="C1638" i="7"/>
  <c r="D1637" i="7"/>
  <c r="F1637" i="7" s="1"/>
  <c r="C1637" i="7"/>
  <c r="D1636" i="7"/>
  <c r="F1636" i="7" s="1"/>
  <c r="C1636" i="7"/>
  <c r="D1635" i="7"/>
  <c r="F1635" i="7" s="1"/>
  <c r="C1635" i="7"/>
  <c r="D1634" i="7"/>
  <c r="F1634" i="7" s="1"/>
  <c r="C1634" i="7"/>
  <c r="D1633" i="7"/>
  <c r="F1633" i="7" s="1"/>
  <c r="C1633" i="7"/>
  <c r="D1632" i="7"/>
  <c r="F1632" i="7" s="1"/>
  <c r="C1632" i="7"/>
  <c r="D1631" i="7"/>
  <c r="F1631" i="7" s="1"/>
  <c r="C1631" i="7"/>
  <c r="D1630" i="7"/>
  <c r="F1630" i="7" s="1"/>
  <c r="C1630" i="7"/>
  <c r="D1629" i="7"/>
  <c r="F1629" i="7" s="1"/>
  <c r="C1629" i="7"/>
  <c r="D1628" i="7"/>
  <c r="F1628" i="7" s="1"/>
  <c r="C1628" i="7"/>
  <c r="D1627" i="7"/>
  <c r="F1627" i="7" s="1"/>
  <c r="C1627" i="7"/>
  <c r="D1626" i="7"/>
  <c r="F1626" i="7" s="1"/>
  <c r="C1626" i="7"/>
  <c r="D1625" i="7"/>
  <c r="F1625" i="7" s="1"/>
  <c r="C1625" i="7"/>
  <c r="D1624" i="7"/>
  <c r="F1624" i="7" s="1"/>
  <c r="C1624" i="7"/>
  <c r="D1623" i="7"/>
  <c r="F1623" i="7" s="1"/>
  <c r="C1623" i="7"/>
  <c r="D1622" i="7"/>
  <c r="F1622" i="7" s="1"/>
  <c r="C1622" i="7"/>
  <c r="D1621" i="7"/>
  <c r="F1621" i="7" s="1"/>
  <c r="C1621" i="7"/>
  <c r="D1620" i="7"/>
  <c r="F1620" i="7" s="1"/>
  <c r="C1620" i="7"/>
  <c r="D1619" i="7"/>
  <c r="F1619" i="7" s="1"/>
  <c r="C1619" i="7"/>
  <c r="D1618" i="7"/>
  <c r="F1618" i="7" s="1"/>
  <c r="C1618" i="7"/>
  <c r="D1617" i="7"/>
  <c r="F1617" i="7" s="1"/>
  <c r="C1617" i="7"/>
  <c r="D1616" i="7"/>
  <c r="F1616" i="7" s="1"/>
  <c r="C1616" i="7"/>
  <c r="D1615" i="7"/>
  <c r="F1615" i="7" s="1"/>
  <c r="C1615" i="7"/>
  <c r="D1614" i="7"/>
  <c r="F1614" i="7" s="1"/>
  <c r="C1614" i="7"/>
  <c r="F1613" i="7"/>
  <c r="D1613" i="7"/>
  <c r="C1613" i="7"/>
  <c r="D1612" i="7"/>
  <c r="F1612" i="7" s="1"/>
  <c r="C1612" i="7"/>
  <c r="D1611" i="7"/>
  <c r="F1611" i="7" s="1"/>
  <c r="C1611" i="7"/>
  <c r="D1610" i="7"/>
  <c r="F1610" i="7" s="1"/>
  <c r="C1610" i="7"/>
  <c r="D1609" i="7"/>
  <c r="F1609" i="7" s="1"/>
  <c r="C1609" i="7"/>
  <c r="D1608" i="7"/>
  <c r="F1608" i="7" s="1"/>
  <c r="C1608" i="7"/>
  <c r="D1607" i="7"/>
  <c r="F1607" i="7" s="1"/>
  <c r="C1607" i="7"/>
  <c r="D1606" i="7"/>
  <c r="F1606" i="7" s="1"/>
  <c r="C1606" i="7"/>
  <c r="D1605" i="7"/>
  <c r="F1605" i="7" s="1"/>
  <c r="C1605" i="7"/>
  <c r="D1604" i="7"/>
  <c r="F1604" i="7" s="1"/>
  <c r="C1604" i="7"/>
  <c r="D1603" i="7"/>
  <c r="F1603" i="7" s="1"/>
  <c r="C1603" i="7"/>
  <c r="D1602" i="7"/>
  <c r="F1602" i="7" s="1"/>
  <c r="C1602" i="7"/>
  <c r="D1601" i="7"/>
  <c r="F1601" i="7" s="1"/>
  <c r="C1601" i="7"/>
  <c r="D1600" i="7"/>
  <c r="F1600" i="7" s="1"/>
  <c r="C1600" i="7"/>
  <c r="D1599" i="7"/>
  <c r="F1599" i="7" s="1"/>
  <c r="C1599" i="7"/>
  <c r="D1598" i="7"/>
  <c r="F1598" i="7" s="1"/>
  <c r="C1598" i="7"/>
  <c r="D1597" i="7"/>
  <c r="F1597" i="7" s="1"/>
  <c r="C1597" i="7"/>
  <c r="D1596" i="7"/>
  <c r="F1596" i="7" s="1"/>
  <c r="C1596" i="7"/>
  <c r="D1595" i="7"/>
  <c r="F1595" i="7" s="1"/>
  <c r="C1595" i="7"/>
  <c r="D1594" i="7"/>
  <c r="F1594" i="7" s="1"/>
  <c r="C1594" i="7"/>
  <c r="D1593" i="7"/>
  <c r="F1593" i="7" s="1"/>
  <c r="C1593" i="7"/>
  <c r="D1592" i="7"/>
  <c r="F1592" i="7" s="1"/>
  <c r="C1592" i="7"/>
  <c r="D1591" i="7"/>
  <c r="F1591" i="7" s="1"/>
  <c r="C1591" i="7"/>
  <c r="D1590" i="7"/>
  <c r="F1590" i="7" s="1"/>
  <c r="C1590" i="7"/>
  <c r="D1589" i="7"/>
  <c r="F1589" i="7" s="1"/>
  <c r="C1589" i="7"/>
  <c r="D1588" i="7"/>
  <c r="F1588" i="7" s="1"/>
  <c r="C1588" i="7"/>
  <c r="D1587" i="7"/>
  <c r="F1587" i="7" s="1"/>
  <c r="C1587" i="7"/>
  <c r="D1586" i="7"/>
  <c r="F1586" i="7" s="1"/>
  <c r="C1586" i="7"/>
  <c r="D1585" i="7"/>
  <c r="F1585" i="7" s="1"/>
  <c r="C1585" i="7"/>
  <c r="D1584" i="7"/>
  <c r="F1584" i="7" s="1"/>
  <c r="C1584" i="7"/>
  <c r="D1583" i="7"/>
  <c r="F1583" i="7" s="1"/>
  <c r="C1583" i="7"/>
  <c r="D1582" i="7"/>
  <c r="F1582" i="7" s="1"/>
  <c r="C1582" i="7"/>
  <c r="D1581" i="7"/>
  <c r="F1581" i="7" s="1"/>
  <c r="C1581" i="7"/>
  <c r="D1580" i="7"/>
  <c r="F1580" i="7" s="1"/>
  <c r="C1580" i="7"/>
  <c r="D1579" i="7"/>
  <c r="F1579" i="7" s="1"/>
  <c r="C1579" i="7"/>
  <c r="D1578" i="7"/>
  <c r="F1578" i="7" s="1"/>
  <c r="C1578" i="7"/>
  <c r="D1577" i="7"/>
  <c r="F1577" i="7" s="1"/>
  <c r="C1577" i="7"/>
  <c r="D1576" i="7"/>
  <c r="F1576" i="7" s="1"/>
  <c r="C1576" i="7"/>
  <c r="D1575" i="7"/>
  <c r="F1575" i="7" s="1"/>
  <c r="C1575" i="7"/>
  <c r="D1574" i="7"/>
  <c r="F1574" i="7" s="1"/>
  <c r="C1574" i="7"/>
  <c r="D1573" i="7"/>
  <c r="F1573" i="7" s="1"/>
  <c r="C1573" i="7"/>
  <c r="D1572" i="7"/>
  <c r="F1572" i="7" s="1"/>
  <c r="C1572" i="7"/>
  <c r="D1571" i="7"/>
  <c r="F1571" i="7" s="1"/>
  <c r="C1571" i="7"/>
  <c r="D1570" i="7"/>
  <c r="F1570" i="7" s="1"/>
  <c r="C1570" i="7"/>
  <c r="D1569" i="7"/>
  <c r="F1569" i="7" s="1"/>
  <c r="C1569" i="7"/>
  <c r="D1568" i="7"/>
  <c r="F1568" i="7" s="1"/>
  <c r="C1568" i="7"/>
  <c r="D1567" i="7"/>
  <c r="F1567" i="7" s="1"/>
  <c r="C1567" i="7"/>
  <c r="D1566" i="7"/>
  <c r="F1566" i="7" s="1"/>
  <c r="C1566" i="7"/>
  <c r="D1565" i="7"/>
  <c r="F1565" i="7" s="1"/>
  <c r="C1565" i="7"/>
  <c r="D1564" i="7"/>
  <c r="F1564" i="7" s="1"/>
  <c r="C1564" i="7"/>
  <c r="D1563" i="7"/>
  <c r="F1563" i="7" s="1"/>
  <c r="C1563" i="7"/>
  <c r="D1562" i="7"/>
  <c r="F1562" i="7" s="1"/>
  <c r="C1562" i="7"/>
  <c r="D1561" i="7"/>
  <c r="F1561" i="7" s="1"/>
  <c r="C1561" i="7"/>
  <c r="D1560" i="7"/>
  <c r="F1560" i="7" s="1"/>
  <c r="C1560" i="7"/>
  <c r="D1559" i="7"/>
  <c r="F1559" i="7" s="1"/>
  <c r="C1559" i="7"/>
  <c r="D1558" i="7"/>
  <c r="F1558" i="7" s="1"/>
  <c r="C1558" i="7"/>
  <c r="D1557" i="7"/>
  <c r="F1557" i="7" s="1"/>
  <c r="C1557" i="7"/>
  <c r="D1556" i="7"/>
  <c r="F1556" i="7" s="1"/>
  <c r="C1556" i="7"/>
  <c r="D1555" i="7"/>
  <c r="F1555" i="7" s="1"/>
  <c r="C1555" i="7"/>
  <c r="D1554" i="7"/>
  <c r="F1554" i="7" s="1"/>
  <c r="C1554" i="7"/>
  <c r="D1553" i="7"/>
  <c r="F1553" i="7" s="1"/>
  <c r="C1553" i="7"/>
  <c r="D1552" i="7"/>
  <c r="F1552" i="7" s="1"/>
  <c r="C1552" i="7"/>
  <c r="D1551" i="7"/>
  <c r="F1551" i="7" s="1"/>
  <c r="C1551" i="7"/>
  <c r="D1550" i="7"/>
  <c r="F1550" i="7" s="1"/>
  <c r="C1550" i="7"/>
  <c r="D1549" i="7"/>
  <c r="F1549" i="7" s="1"/>
  <c r="C1549" i="7"/>
  <c r="D1548" i="7"/>
  <c r="F1548" i="7" s="1"/>
  <c r="C1548" i="7"/>
  <c r="D1547" i="7"/>
  <c r="F1547" i="7" s="1"/>
  <c r="C1547" i="7"/>
  <c r="D1546" i="7"/>
  <c r="F1546" i="7" s="1"/>
  <c r="C1546" i="7"/>
  <c r="D1545" i="7"/>
  <c r="F1545" i="7" s="1"/>
  <c r="C1545" i="7"/>
  <c r="D1544" i="7"/>
  <c r="F1544" i="7" s="1"/>
  <c r="C1544" i="7"/>
  <c r="D1543" i="7"/>
  <c r="F1543" i="7" s="1"/>
  <c r="C1543" i="7"/>
  <c r="D1542" i="7"/>
  <c r="F1542" i="7" s="1"/>
  <c r="C1542" i="7"/>
  <c r="D1541" i="7"/>
  <c r="F1541" i="7" s="1"/>
  <c r="C1541" i="7"/>
  <c r="D1540" i="7"/>
  <c r="F1540" i="7" s="1"/>
  <c r="C1540" i="7"/>
  <c r="D1539" i="7"/>
  <c r="F1539" i="7" s="1"/>
  <c r="C1539" i="7"/>
  <c r="D1538" i="7"/>
  <c r="F1538" i="7" s="1"/>
  <c r="C1538" i="7"/>
  <c r="D1537" i="7"/>
  <c r="F1537" i="7" s="1"/>
  <c r="C1537" i="7"/>
  <c r="D1536" i="7"/>
  <c r="F1536" i="7" s="1"/>
  <c r="C1536" i="7"/>
  <c r="D1535" i="7"/>
  <c r="F1535" i="7" s="1"/>
  <c r="C1535" i="7"/>
  <c r="D1534" i="7"/>
  <c r="F1534" i="7" s="1"/>
  <c r="C1534" i="7"/>
  <c r="D1533" i="7"/>
  <c r="F1533" i="7" s="1"/>
  <c r="C1533" i="7"/>
  <c r="D1532" i="7"/>
  <c r="F1532" i="7" s="1"/>
  <c r="C1532" i="7"/>
  <c r="D1531" i="7"/>
  <c r="F1531" i="7" s="1"/>
  <c r="C1531" i="7"/>
  <c r="D1530" i="7"/>
  <c r="F1530" i="7" s="1"/>
  <c r="C1530" i="7"/>
  <c r="D1529" i="7"/>
  <c r="F1529" i="7" s="1"/>
  <c r="C1529" i="7"/>
  <c r="D1528" i="7"/>
  <c r="F1528" i="7" s="1"/>
  <c r="C1528" i="7"/>
  <c r="D1527" i="7"/>
  <c r="F1527" i="7" s="1"/>
  <c r="C1527" i="7"/>
  <c r="D1526" i="7"/>
  <c r="F1526" i="7" s="1"/>
  <c r="C1526" i="7"/>
  <c r="D1525" i="7"/>
  <c r="F1525" i="7" s="1"/>
  <c r="C1525" i="7"/>
  <c r="D1524" i="7"/>
  <c r="F1524" i="7" s="1"/>
  <c r="C1524" i="7"/>
  <c r="D1523" i="7"/>
  <c r="F1523" i="7" s="1"/>
  <c r="C1523" i="7"/>
  <c r="D1522" i="7"/>
  <c r="F1522" i="7" s="1"/>
  <c r="C1522" i="7"/>
  <c r="D1521" i="7"/>
  <c r="F1521" i="7" s="1"/>
  <c r="C1521" i="7"/>
  <c r="D1520" i="7"/>
  <c r="F1520" i="7" s="1"/>
  <c r="C1520" i="7"/>
  <c r="D1519" i="7"/>
  <c r="F1519" i="7" s="1"/>
  <c r="C1519" i="7"/>
  <c r="D1518" i="7"/>
  <c r="F1518" i="7" s="1"/>
  <c r="C1518" i="7"/>
  <c r="D1517" i="7"/>
  <c r="F1517" i="7" s="1"/>
  <c r="C1517" i="7"/>
  <c r="D1516" i="7"/>
  <c r="F1516" i="7" s="1"/>
  <c r="C1516" i="7"/>
  <c r="D1515" i="7"/>
  <c r="F1515" i="7" s="1"/>
  <c r="C1515" i="7"/>
  <c r="D1514" i="7"/>
  <c r="F1514" i="7" s="1"/>
  <c r="C1514" i="7"/>
  <c r="D1513" i="7"/>
  <c r="F1513" i="7" s="1"/>
  <c r="C1513" i="7"/>
  <c r="D1512" i="7"/>
  <c r="F1512" i="7" s="1"/>
  <c r="C1512" i="7"/>
  <c r="D1511" i="7"/>
  <c r="F1511" i="7" s="1"/>
  <c r="C1511" i="7"/>
  <c r="D1510" i="7"/>
  <c r="F1510" i="7" s="1"/>
  <c r="C1510" i="7"/>
  <c r="D1509" i="7"/>
  <c r="F1509" i="7" s="1"/>
  <c r="C1509" i="7"/>
  <c r="D1508" i="7"/>
  <c r="F1508" i="7" s="1"/>
  <c r="C1508" i="7"/>
  <c r="D1507" i="7"/>
  <c r="F1507" i="7" s="1"/>
  <c r="C1507" i="7"/>
  <c r="D1506" i="7"/>
  <c r="F1506" i="7" s="1"/>
  <c r="C1506" i="7"/>
  <c r="D1505" i="7"/>
  <c r="F1505" i="7" s="1"/>
  <c r="C1505" i="7"/>
  <c r="D1504" i="7"/>
  <c r="F1504" i="7" s="1"/>
  <c r="C1504" i="7"/>
  <c r="D1503" i="7"/>
  <c r="F1503" i="7" s="1"/>
  <c r="C1503" i="7"/>
  <c r="D1502" i="7"/>
  <c r="F1502" i="7" s="1"/>
  <c r="C1502" i="7"/>
  <c r="D1501" i="7"/>
  <c r="F1501" i="7" s="1"/>
  <c r="C1501" i="7"/>
  <c r="D1500" i="7"/>
  <c r="F1500" i="7" s="1"/>
  <c r="C1500" i="7"/>
  <c r="D1499" i="7"/>
  <c r="F1499" i="7" s="1"/>
  <c r="C1499" i="7"/>
  <c r="D1498" i="7"/>
  <c r="F1498" i="7" s="1"/>
  <c r="C1498" i="7"/>
  <c r="D1497" i="7"/>
  <c r="F1497" i="7" s="1"/>
  <c r="C1497" i="7"/>
  <c r="D1496" i="7"/>
  <c r="F1496" i="7" s="1"/>
  <c r="C1496" i="7"/>
  <c r="D1495" i="7"/>
  <c r="F1495" i="7" s="1"/>
  <c r="C1495" i="7"/>
  <c r="D1494" i="7"/>
  <c r="F1494" i="7" s="1"/>
  <c r="C1494" i="7"/>
  <c r="D1493" i="7"/>
  <c r="F1493" i="7" s="1"/>
  <c r="C1493" i="7"/>
  <c r="D1492" i="7"/>
  <c r="F1492" i="7" s="1"/>
  <c r="C1492" i="7"/>
  <c r="D1491" i="7"/>
  <c r="F1491" i="7" s="1"/>
  <c r="C1491" i="7"/>
  <c r="D1490" i="7"/>
  <c r="F1490" i="7" s="1"/>
  <c r="C1490" i="7"/>
  <c r="D1489" i="7"/>
  <c r="F1489" i="7" s="1"/>
  <c r="C1489" i="7"/>
  <c r="D1488" i="7"/>
  <c r="F1488" i="7" s="1"/>
  <c r="C1488" i="7"/>
  <c r="D1487" i="7"/>
  <c r="F1487" i="7" s="1"/>
  <c r="C1487" i="7"/>
  <c r="D1486" i="7"/>
  <c r="F1486" i="7" s="1"/>
  <c r="C1486" i="7"/>
  <c r="D1485" i="7"/>
  <c r="F1485" i="7" s="1"/>
  <c r="C1485" i="7"/>
  <c r="D1484" i="7"/>
  <c r="F1484" i="7" s="1"/>
  <c r="C1484" i="7"/>
  <c r="D1483" i="7"/>
  <c r="F1483" i="7" s="1"/>
  <c r="C1483" i="7"/>
  <c r="D1482" i="7"/>
  <c r="F1482" i="7" s="1"/>
  <c r="C1482" i="7"/>
  <c r="D1481" i="7"/>
  <c r="F1481" i="7" s="1"/>
  <c r="C1481" i="7"/>
  <c r="D1480" i="7"/>
  <c r="F1480" i="7" s="1"/>
  <c r="C1480" i="7"/>
  <c r="D1479" i="7"/>
  <c r="F1479" i="7" s="1"/>
  <c r="C1479" i="7"/>
  <c r="D1478" i="7"/>
  <c r="F1478" i="7" s="1"/>
  <c r="C1478" i="7"/>
  <c r="D1477" i="7"/>
  <c r="F1477" i="7" s="1"/>
  <c r="C1477" i="7"/>
  <c r="D1476" i="7"/>
  <c r="F1476" i="7" s="1"/>
  <c r="C1476" i="7"/>
  <c r="D1475" i="7"/>
  <c r="F1475" i="7" s="1"/>
  <c r="C1475" i="7"/>
  <c r="D1474" i="7"/>
  <c r="F1474" i="7" s="1"/>
  <c r="C1474" i="7"/>
  <c r="D1473" i="7"/>
  <c r="F1473" i="7" s="1"/>
  <c r="C1473" i="7"/>
  <c r="D1472" i="7"/>
  <c r="F1472" i="7" s="1"/>
  <c r="C1472" i="7"/>
  <c r="D1471" i="7"/>
  <c r="F1471" i="7" s="1"/>
  <c r="C1471" i="7"/>
  <c r="D1470" i="7"/>
  <c r="F1470" i="7" s="1"/>
  <c r="C1470" i="7"/>
  <c r="D1469" i="7"/>
  <c r="F1469" i="7" s="1"/>
  <c r="C1469" i="7"/>
  <c r="D1468" i="7"/>
  <c r="F1468" i="7" s="1"/>
  <c r="C1468" i="7"/>
  <c r="D1467" i="7"/>
  <c r="F1467" i="7" s="1"/>
  <c r="C1467" i="7"/>
  <c r="D1466" i="7"/>
  <c r="F1466" i="7" s="1"/>
  <c r="C1466" i="7"/>
  <c r="D1465" i="7"/>
  <c r="F1465" i="7" s="1"/>
  <c r="C1465" i="7"/>
  <c r="D1464" i="7"/>
  <c r="F1464" i="7" s="1"/>
  <c r="C1464" i="7"/>
  <c r="D1463" i="7"/>
  <c r="F1463" i="7" s="1"/>
  <c r="C1463" i="7"/>
  <c r="D1462" i="7"/>
  <c r="F1462" i="7" s="1"/>
  <c r="C1462" i="7"/>
  <c r="D1461" i="7"/>
  <c r="F1461" i="7" s="1"/>
  <c r="C1461" i="7"/>
  <c r="D1460" i="7"/>
  <c r="F1460" i="7" s="1"/>
  <c r="C1460" i="7"/>
  <c r="D1459" i="7"/>
  <c r="F1459" i="7" s="1"/>
  <c r="C1459" i="7"/>
  <c r="D1458" i="7"/>
  <c r="F1458" i="7" s="1"/>
  <c r="C1458" i="7"/>
  <c r="D1457" i="7"/>
  <c r="F1457" i="7" s="1"/>
  <c r="C1457" i="7"/>
  <c r="D1456" i="7"/>
  <c r="F1456" i="7" s="1"/>
  <c r="C1456" i="7"/>
  <c r="D1455" i="7"/>
  <c r="F1455" i="7" s="1"/>
  <c r="C1455" i="7"/>
  <c r="D1454" i="7"/>
  <c r="F1454" i="7" s="1"/>
  <c r="C1454" i="7"/>
  <c r="D1453" i="7"/>
  <c r="F1453" i="7" s="1"/>
  <c r="C1453" i="7"/>
  <c r="D1452" i="7"/>
  <c r="F1452" i="7" s="1"/>
  <c r="C1452" i="7"/>
  <c r="D1451" i="7"/>
  <c r="F1451" i="7" s="1"/>
  <c r="C1451" i="7"/>
  <c r="D1450" i="7"/>
  <c r="F1450" i="7" s="1"/>
  <c r="C1450" i="7"/>
  <c r="D1449" i="7"/>
  <c r="F1449" i="7" s="1"/>
  <c r="C1449" i="7"/>
  <c r="D1448" i="7"/>
  <c r="F1448" i="7" s="1"/>
  <c r="C1448" i="7"/>
  <c r="D1447" i="7"/>
  <c r="F1447" i="7" s="1"/>
  <c r="C1447" i="7"/>
  <c r="D1446" i="7"/>
  <c r="F1446" i="7" s="1"/>
  <c r="C1446" i="7"/>
  <c r="D1445" i="7"/>
  <c r="F1445" i="7" s="1"/>
  <c r="C1445" i="7"/>
  <c r="D1444" i="7"/>
  <c r="F1444" i="7" s="1"/>
  <c r="C1444" i="7"/>
  <c r="D1443" i="7"/>
  <c r="F1443" i="7" s="1"/>
  <c r="C1443" i="7"/>
  <c r="D1442" i="7"/>
  <c r="F1442" i="7" s="1"/>
  <c r="C1442" i="7"/>
  <c r="D1441" i="7"/>
  <c r="F1441" i="7" s="1"/>
  <c r="C1441" i="7"/>
  <c r="D1440" i="7"/>
  <c r="F1440" i="7" s="1"/>
  <c r="C1440" i="7"/>
  <c r="D1439" i="7"/>
  <c r="F1439" i="7" s="1"/>
  <c r="C1439" i="7"/>
  <c r="D1438" i="7"/>
  <c r="F1438" i="7" s="1"/>
  <c r="C1438" i="7"/>
  <c r="D1437" i="7"/>
  <c r="F1437" i="7" s="1"/>
  <c r="C1437" i="7"/>
  <c r="D1436" i="7"/>
  <c r="F1436" i="7" s="1"/>
  <c r="C1436" i="7"/>
  <c r="F1435" i="7"/>
  <c r="D1435" i="7"/>
  <c r="C1435" i="7"/>
  <c r="D1434" i="7"/>
  <c r="F1434" i="7" s="1"/>
  <c r="C1434" i="7"/>
  <c r="D1433" i="7"/>
  <c r="F1433" i="7" s="1"/>
  <c r="C1433" i="7"/>
  <c r="D1432" i="7"/>
  <c r="F1432" i="7" s="1"/>
  <c r="C1432" i="7"/>
  <c r="D1431" i="7"/>
  <c r="F1431" i="7" s="1"/>
  <c r="C1431" i="7"/>
  <c r="D1430" i="7"/>
  <c r="F1430" i="7" s="1"/>
  <c r="C1430" i="7"/>
  <c r="D1429" i="7"/>
  <c r="F1429" i="7" s="1"/>
  <c r="C1429" i="7"/>
  <c r="F1428" i="7"/>
  <c r="D1428" i="7"/>
  <c r="C1428" i="7"/>
  <c r="D1427" i="7"/>
  <c r="F1427" i="7" s="1"/>
  <c r="C1427" i="7"/>
  <c r="D1426" i="7"/>
  <c r="F1426" i="7" s="1"/>
  <c r="C1426" i="7"/>
  <c r="D1425" i="7"/>
  <c r="F1425" i="7" s="1"/>
  <c r="C1425" i="7"/>
  <c r="D1424" i="7"/>
  <c r="F1424" i="7" s="1"/>
  <c r="C1424" i="7"/>
  <c r="D1423" i="7"/>
  <c r="F1423" i="7" s="1"/>
  <c r="C1423" i="7"/>
  <c r="D1422" i="7"/>
  <c r="F1422" i="7" s="1"/>
  <c r="C1422" i="7"/>
  <c r="D1421" i="7"/>
  <c r="F1421" i="7" s="1"/>
  <c r="C1421" i="7"/>
  <c r="D1420" i="7"/>
  <c r="F1420" i="7" s="1"/>
  <c r="C1420" i="7"/>
  <c r="D1419" i="7"/>
  <c r="F1419" i="7" s="1"/>
  <c r="C1419" i="7"/>
  <c r="D1418" i="7"/>
  <c r="F1418" i="7" s="1"/>
  <c r="C1418" i="7"/>
  <c r="D1417" i="7"/>
  <c r="F1417" i="7" s="1"/>
  <c r="C1417" i="7"/>
  <c r="D1416" i="7"/>
  <c r="F1416" i="7" s="1"/>
  <c r="C1416" i="7"/>
  <c r="D1415" i="7"/>
  <c r="F1415" i="7" s="1"/>
  <c r="C1415" i="7"/>
  <c r="D1414" i="7"/>
  <c r="F1414" i="7" s="1"/>
  <c r="C1414" i="7"/>
  <c r="D1413" i="7"/>
  <c r="F1413" i="7" s="1"/>
  <c r="C1413" i="7"/>
  <c r="D1412" i="7"/>
  <c r="F1412" i="7" s="1"/>
  <c r="C1412" i="7"/>
  <c r="D1411" i="7"/>
  <c r="F1411" i="7" s="1"/>
  <c r="C1411" i="7"/>
  <c r="D1410" i="7"/>
  <c r="F1410" i="7" s="1"/>
  <c r="C1410" i="7"/>
  <c r="D1409" i="7"/>
  <c r="F1409" i="7" s="1"/>
  <c r="C1409" i="7"/>
  <c r="D1408" i="7"/>
  <c r="F1408" i="7" s="1"/>
  <c r="C1408" i="7"/>
  <c r="D1407" i="7"/>
  <c r="F1407" i="7" s="1"/>
  <c r="C1407" i="7"/>
  <c r="D1406" i="7"/>
  <c r="F1406" i="7" s="1"/>
  <c r="C1406" i="7"/>
  <c r="D1405" i="7"/>
  <c r="F1405" i="7" s="1"/>
  <c r="C1405" i="7"/>
  <c r="D1404" i="7"/>
  <c r="F1404" i="7" s="1"/>
  <c r="C1404" i="7"/>
  <c r="D1403" i="7"/>
  <c r="F1403" i="7" s="1"/>
  <c r="C1403" i="7"/>
  <c r="D1402" i="7"/>
  <c r="F1402" i="7" s="1"/>
  <c r="C1402" i="7"/>
  <c r="D1401" i="7"/>
  <c r="F1401" i="7" s="1"/>
  <c r="C1401" i="7"/>
  <c r="D1400" i="7"/>
  <c r="F1400" i="7" s="1"/>
  <c r="C1400" i="7"/>
  <c r="D1399" i="7"/>
  <c r="F1399" i="7" s="1"/>
  <c r="C1399" i="7"/>
  <c r="D1398" i="7"/>
  <c r="F1398" i="7" s="1"/>
  <c r="C1398" i="7"/>
  <c r="D1397" i="7"/>
  <c r="F1397" i="7" s="1"/>
  <c r="C1397" i="7"/>
  <c r="D1396" i="7"/>
  <c r="F1396" i="7" s="1"/>
  <c r="C1396" i="7"/>
  <c r="D1395" i="7"/>
  <c r="F1395" i="7" s="1"/>
  <c r="C1395" i="7"/>
  <c r="D1394" i="7"/>
  <c r="F1394" i="7" s="1"/>
  <c r="C1394" i="7"/>
  <c r="D1393" i="7"/>
  <c r="F1393" i="7" s="1"/>
  <c r="C1393" i="7"/>
  <c r="D1392" i="7"/>
  <c r="F1392" i="7" s="1"/>
  <c r="C1392" i="7"/>
  <c r="D1391" i="7"/>
  <c r="F1391" i="7" s="1"/>
  <c r="C1391" i="7"/>
  <c r="D1390" i="7"/>
  <c r="F1390" i="7" s="1"/>
  <c r="C1390" i="7"/>
  <c r="D1389" i="7"/>
  <c r="F1389" i="7" s="1"/>
  <c r="C1389" i="7"/>
  <c r="D1388" i="7"/>
  <c r="F1388" i="7" s="1"/>
  <c r="C1388" i="7"/>
  <c r="D1387" i="7"/>
  <c r="F1387" i="7" s="1"/>
  <c r="C1387" i="7"/>
  <c r="D1386" i="7"/>
  <c r="F1386" i="7" s="1"/>
  <c r="C1386" i="7"/>
  <c r="D1385" i="7"/>
  <c r="F1385" i="7" s="1"/>
  <c r="C1385" i="7"/>
  <c r="D1384" i="7"/>
  <c r="F1384" i="7" s="1"/>
  <c r="C1384" i="7"/>
  <c r="D1383" i="7"/>
  <c r="F1383" i="7" s="1"/>
  <c r="C1383" i="7"/>
  <c r="D1382" i="7"/>
  <c r="F1382" i="7" s="1"/>
  <c r="C1382" i="7"/>
  <c r="D1381" i="7"/>
  <c r="F1381" i="7" s="1"/>
  <c r="C1381" i="7"/>
  <c r="D1380" i="7"/>
  <c r="F1380" i="7" s="1"/>
  <c r="C1380" i="7"/>
  <c r="D1379" i="7"/>
  <c r="F1379" i="7" s="1"/>
  <c r="C1379" i="7"/>
  <c r="D1378" i="7"/>
  <c r="F1378" i="7" s="1"/>
  <c r="C1378" i="7"/>
  <c r="D1377" i="7"/>
  <c r="F1377" i="7" s="1"/>
  <c r="C1377" i="7"/>
  <c r="D1376" i="7"/>
  <c r="F1376" i="7" s="1"/>
  <c r="C1376" i="7"/>
  <c r="D1375" i="7"/>
  <c r="F1375" i="7" s="1"/>
  <c r="C1375" i="7"/>
  <c r="D1374" i="7"/>
  <c r="F1374" i="7" s="1"/>
  <c r="C1374" i="7"/>
  <c r="D1373" i="7"/>
  <c r="F1373" i="7" s="1"/>
  <c r="C1373" i="7"/>
  <c r="D1372" i="7"/>
  <c r="F1372" i="7" s="1"/>
  <c r="C1372" i="7"/>
  <c r="D1371" i="7"/>
  <c r="F1371" i="7" s="1"/>
  <c r="C1371" i="7"/>
  <c r="D1370" i="7"/>
  <c r="F1370" i="7" s="1"/>
  <c r="C1370" i="7"/>
  <c r="D1369" i="7"/>
  <c r="F1369" i="7" s="1"/>
  <c r="C1369" i="7"/>
  <c r="D1368" i="7"/>
  <c r="F1368" i="7" s="1"/>
  <c r="C1368" i="7"/>
  <c r="D1367" i="7"/>
  <c r="F1367" i="7" s="1"/>
  <c r="C1367" i="7"/>
  <c r="D1366" i="7"/>
  <c r="F1366" i="7" s="1"/>
  <c r="C1366" i="7"/>
  <c r="D1365" i="7"/>
  <c r="F1365" i="7" s="1"/>
  <c r="C1365" i="7"/>
  <c r="D1364" i="7"/>
  <c r="F1364" i="7" s="1"/>
  <c r="C1364" i="7"/>
  <c r="D1363" i="7"/>
  <c r="F1363" i="7" s="1"/>
  <c r="C1363" i="7"/>
  <c r="D1362" i="7"/>
  <c r="F1362" i="7" s="1"/>
  <c r="C1362" i="7"/>
  <c r="D1361" i="7"/>
  <c r="F1361" i="7" s="1"/>
  <c r="C1361" i="7"/>
  <c r="D1360" i="7"/>
  <c r="F1360" i="7" s="1"/>
  <c r="C1360" i="7"/>
  <c r="D1359" i="7"/>
  <c r="F1359" i="7" s="1"/>
  <c r="C1359" i="7"/>
  <c r="D1358" i="7"/>
  <c r="F1358" i="7" s="1"/>
  <c r="C1358" i="7"/>
  <c r="D1357" i="7"/>
  <c r="F1357" i="7" s="1"/>
  <c r="C1357" i="7"/>
  <c r="D1356" i="7"/>
  <c r="F1356" i="7" s="1"/>
  <c r="C1356" i="7"/>
  <c r="D1355" i="7"/>
  <c r="F1355" i="7" s="1"/>
  <c r="C1355" i="7"/>
  <c r="D1354" i="7"/>
  <c r="F1354" i="7" s="1"/>
  <c r="C1354" i="7"/>
  <c r="D1353" i="7"/>
  <c r="F1353" i="7" s="1"/>
  <c r="C1353" i="7"/>
  <c r="D1352" i="7"/>
  <c r="F1352" i="7" s="1"/>
  <c r="C1352" i="7"/>
  <c r="D1351" i="7"/>
  <c r="F1351" i="7" s="1"/>
  <c r="C1351" i="7"/>
  <c r="D1350" i="7"/>
  <c r="F1350" i="7" s="1"/>
  <c r="C1350" i="7"/>
  <c r="D1349" i="7"/>
  <c r="F1349" i="7" s="1"/>
  <c r="C1349" i="7"/>
  <c r="D1348" i="7"/>
  <c r="F1348" i="7" s="1"/>
  <c r="C1348" i="7"/>
  <c r="D1347" i="7"/>
  <c r="F1347" i="7" s="1"/>
  <c r="C1347" i="7"/>
  <c r="D1346" i="7"/>
  <c r="F1346" i="7" s="1"/>
  <c r="C1346" i="7"/>
  <c r="D1345" i="7"/>
  <c r="F1345" i="7" s="1"/>
  <c r="C1345" i="7"/>
  <c r="D1344" i="7"/>
  <c r="F1344" i="7" s="1"/>
  <c r="C1344" i="7"/>
  <c r="D1343" i="7"/>
  <c r="F1343" i="7" s="1"/>
  <c r="C1343" i="7"/>
  <c r="D1342" i="7"/>
  <c r="F1342" i="7" s="1"/>
  <c r="C1342" i="7"/>
  <c r="D1341" i="7"/>
  <c r="F1341" i="7" s="1"/>
  <c r="C1341" i="7"/>
  <c r="D1340" i="7"/>
  <c r="F1340" i="7" s="1"/>
  <c r="C1340" i="7"/>
  <c r="D1339" i="7"/>
  <c r="F1339" i="7" s="1"/>
  <c r="C1339" i="7"/>
  <c r="D1338" i="7"/>
  <c r="F1338" i="7" s="1"/>
  <c r="C1338" i="7"/>
  <c r="D1337" i="7"/>
  <c r="F1337" i="7" s="1"/>
  <c r="C1337" i="7"/>
  <c r="D1336" i="7"/>
  <c r="F1336" i="7" s="1"/>
  <c r="C1336" i="7"/>
  <c r="D1335" i="7"/>
  <c r="F1335" i="7" s="1"/>
  <c r="C1335" i="7"/>
  <c r="D1334" i="7"/>
  <c r="F1334" i="7" s="1"/>
  <c r="C1334" i="7"/>
  <c r="D1333" i="7"/>
  <c r="F1333" i="7" s="1"/>
  <c r="C1333" i="7"/>
  <c r="D1332" i="7"/>
  <c r="F1332" i="7" s="1"/>
  <c r="C1332" i="7"/>
  <c r="D1331" i="7"/>
  <c r="F1331" i="7" s="1"/>
  <c r="C1331" i="7"/>
  <c r="D1330" i="7"/>
  <c r="F1330" i="7" s="1"/>
  <c r="C1330" i="7"/>
  <c r="D1329" i="7"/>
  <c r="F1329" i="7" s="1"/>
  <c r="C1329" i="7"/>
  <c r="D1328" i="7"/>
  <c r="F1328" i="7" s="1"/>
  <c r="C1328" i="7"/>
  <c r="D1327" i="7"/>
  <c r="F1327" i="7" s="1"/>
  <c r="C1327" i="7"/>
  <c r="D1326" i="7"/>
  <c r="F1326" i="7" s="1"/>
  <c r="C1326" i="7"/>
  <c r="D1325" i="7"/>
  <c r="F1325" i="7" s="1"/>
  <c r="C1325" i="7"/>
  <c r="D1324" i="7"/>
  <c r="F1324" i="7" s="1"/>
  <c r="C1324" i="7"/>
  <c r="D1323" i="7"/>
  <c r="F1323" i="7" s="1"/>
  <c r="C1323" i="7"/>
  <c r="D1322" i="7"/>
  <c r="F1322" i="7" s="1"/>
  <c r="C1322" i="7"/>
  <c r="D1321" i="7"/>
  <c r="F1321" i="7" s="1"/>
  <c r="C1321" i="7"/>
  <c r="D1320" i="7"/>
  <c r="F1320" i="7" s="1"/>
  <c r="C1320" i="7"/>
  <c r="D1319" i="7"/>
  <c r="F1319" i="7" s="1"/>
  <c r="C1319" i="7"/>
  <c r="D1318" i="7"/>
  <c r="F1318" i="7" s="1"/>
  <c r="C1318" i="7"/>
  <c r="D1317" i="7"/>
  <c r="F1317" i="7" s="1"/>
  <c r="C1317" i="7"/>
  <c r="D1316" i="7"/>
  <c r="F1316" i="7" s="1"/>
  <c r="C1316" i="7"/>
  <c r="D1315" i="7"/>
  <c r="F1315" i="7" s="1"/>
  <c r="C1315" i="7"/>
  <c r="D1314" i="7"/>
  <c r="F1314" i="7" s="1"/>
  <c r="C1314" i="7"/>
  <c r="D1313" i="7"/>
  <c r="F1313" i="7" s="1"/>
  <c r="C1313" i="7"/>
  <c r="D1312" i="7"/>
  <c r="F1312" i="7" s="1"/>
  <c r="C1312" i="7"/>
  <c r="D1311" i="7"/>
  <c r="F1311" i="7" s="1"/>
  <c r="C1311" i="7"/>
  <c r="D1310" i="7"/>
  <c r="F1310" i="7" s="1"/>
  <c r="C1310" i="7"/>
  <c r="D1309" i="7"/>
  <c r="F1309" i="7" s="1"/>
  <c r="C1309" i="7"/>
  <c r="D1308" i="7"/>
  <c r="F1308" i="7" s="1"/>
  <c r="C1308" i="7"/>
  <c r="D1307" i="7"/>
  <c r="F1307" i="7" s="1"/>
  <c r="C1307" i="7"/>
  <c r="D1306" i="7"/>
  <c r="F1306" i="7" s="1"/>
  <c r="C1306" i="7"/>
  <c r="D1305" i="7"/>
  <c r="F1305" i="7" s="1"/>
  <c r="C1305" i="7"/>
  <c r="D1304" i="7"/>
  <c r="F1304" i="7" s="1"/>
  <c r="C1304" i="7"/>
  <c r="D1303" i="7"/>
  <c r="F1303" i="7" s="1"/>
  <c r="C1303" i="7"/>
  <c r="D1302" i="7"/>
  <c r="F1302" i="7" s="1"/>
  <c r="C1302" i="7"/>
  <c r="D1301" i="7"/>
  <c r="F1301" i="7" s="1"/>
  <c r="C1301" i="7"/>
  <c r="D1300" i="7"/>
  <c r="F1300" i="7" s="1"/>
  <c r="C1300" i="7"/>
  <c r="D1299" i="7"/>
  <c r="F1299" i="7" s="1"/>
  <c r="C1299" i="7"/>
  <c r="D1298" i="7"/>
  <c r="F1298" i="7" s="1"/>
  <c r="C1298" i="7"/>
  <c r="D1297" i="7"/>
  <c r="F1297" i="7" s="1"/>
  <c r="C1297" i="7"/>
  <c r="D1296" i="7"/>
  <c r="F1296" i="7" s="1"/>
  <c r="C1296" i="7"/>
  <c r="D1295" i="7"/>
  <c r="F1295" i="7" s="1"/>
  <c r="C1295" i="7"/>
  <c r="D1294" i="7"/>
  <c r="F1294" i="7" s="1"/>
  <c r="C1294" i="7"/>
  <c r="D1293" i="7"/>
  <c r="F1293" i="7" s="1"/>
  <c r="C1293" i="7"/>
  <c r="D1292" i="7"/>
  <c r="F1292" i="7" s="1"/>
  <c r="C1292" i="7"/>
  <c r="D1291" i="7"/>
  <c r="F1291" i="7" s="1"/>
  <c r="C1291" i="7"/>
  <c r="D1290" i="7"/>
  <c r="F1290" i="7" s="1"/>
  <c r="C1290" i="7"/>
  <c r="D1289" i="7"/>
  <c r="F1289" i="7" s="1"/>
  <c r="C1289" i="7"/>
  <c r="D1288" i="7"/>
  <c r="F1288" i="7" s="1"/>
  <c r="C1288" i="7"/>
  <c r="D1287" i="7"/>
  <c r="F1287" i="7" s="1"/>
  <c r="C1287" i="7"/>
  <c r="D1286" i="7"/>
  <c r="F1286" i="7" s="1"/>
  <c r="C1286" i="7"/>
  <c r="D1285" i="7"/>
  <c r="F1285" i="7" s="1"/>
  <c r="C1285" i="7"/>
  <c r="D1284" i="7"/>
  <c r="F1284" i="7" s="1"/>
  <c r="C1284" i="7"/>
  <c r="D1283" i="7"/>
  <c r="F1283" i="7" s="1"/>
  <c r="C1283" i="7"/>
  <c r="D1282" i="7"/>
  <c r="F1282" i="7" s="1"/>
  <c r="C1282" i="7"/>
  <c r="D1281" i="7"/>
  <c r="F1281" i="7" s="1"/>
  <c r="C1281" i="7"/>
  <c r="D1280" i="7"/>
  <c r="F1280" i="7" s="1"/>
  <c r="C1280" i="7"/>
  <c r="D1279" i="7"/>
  <c r="F1279" i="7" s="1"/>
  <c r="C1279" i="7"/>
  <c r="F1278" i="7"/>
  <c r="D1278" i="7"/>
  <c r="C1278" i="7"/>
  <c r="D1277" i="7"/>
  <c r="F1277" i="7" s="1"/>
  <c r="C1277" i="7"/>
  <c r="D1276" i="7"/>
  <c r="F1276" i="7" s="1"/>
  <c r="C1276" i="7"/>
  <c r="D1275" i="7"/>
  <c r="F1275" i="7" s="1"/>
  <c r="C1275" i="7"/>
  <c r="D1274" i="7"/>
  <c r="F1274" i="7" s="1"/>
  <c r="C1274" i="7"/>
  <c r="D1273" i="7"/>
  <c r="F1273" i="7" s="1"/>
  <c r="C1273" i="7"/>
  <c r="D1272" i="7"/>
  <c r="F1272" i="7" s="1"/>
  <c r="C1272" i="7"/>
  <c r="D1271" i="7"/>
  <c r="F1271" i="7" s="1"/>
  <c r="C1271" i="7"/>
  <c r="D1270" i="7"/>
  <c r="F1270" i="7" s="1"/>
  <c r="C1270" i="7"/>
  <c r="D1269" i="7"/>
  <c r="F1269" i="7" s="1"/>
  <c r="C1269" i="7"/>
  <c r="D1268" i="7"/>
  <c r="F1268" i="7" s="1"/>
  <c r="C1268" i="7"/>
  <c r="D1267" i="7"/>
  <c r="F1267" i="7" s="1"/>
  <c r="C1267" i="7"/>
  <c r="D1266" i="7"/>
  <c r="F1266" i="7" s="1"/>
  <c r="C1266" i="7"/>
  <c r="D1265" i="7"/>
  <c r="F1265" i="7" s="1"/>
  <c r="C1265" i="7"/>
  <c r="D1264" i="7"/>
  <c r="F1264" i="7" s="1"/>
  <c r="C1264" i="7"/>
  <c r="D1263" i="7"/>
  <c r="F1263" i="7" s="1"/>
  <c r="C1263" i="7"/>
  <c r="D1262" i="7"/>
  <c r="F1262" i="7" s="1"/>
  <c r="C1262" i="7"/>
  <c r="D1261" i="7"/>
  <c r="F1261" i="7" s="1"/>
  <c r="C1261" i="7"/>
  <c r="D1260" i="7"/>
  <c r="F1260" i="7" s="1"/>
  <c r="C1260" i="7"/>
  <c r="D1259" i="7"/>
  <c r="F1259" i="7" s="1"/>
  <c r="C1259" i="7"/>
  <c r="D1258" i="7"/>
  <c r="F1258" i="7" s="1"/>
  <c r="C1258" i="7"/>
  <c r="D1257" i="7"/>
  <c r="F1257" i="7" s="1"/>
  <c r="C1257" i="7"/>
  <c r="D1256" i="7"/>
  <c r="F1256" i="7" s="1"/>
  <c r="C1256" i="7"/>
  <c r="D1255" i="7"/>
  <c r="F1255" i="7" s="1"/>
  <c r="C1255" i="7"/>
  <c r="D1254" i="7"/>
  <c r="F1254" i="7" s="1"/>
  <c r="C1254" i="7"/>
  <c r="D1253" i="7"/>
  <c r="F1253" i="7" s="1"/>
  <c r="C1253" i="7"/>
  <c r="D1252" i="7"/>
  <c r="F1252" i="7" s="1"/>
  <c r="C1252" i="7"/>
  <c r="D1251" i="7"/>
  <c r="F1251" i="7" s="1"/>
  <c r="C1251" i="7"/>
  <c r="D1250" i="7"/>
  <c r="F1250" i="7" s="1"/>
  <c r="C1250" i="7"/>
  <c r="D1249" i="7"/>
  <c r="F1249" i="7" s="1"/>
  <c r="C1249" i="7"/>
  <c r="D1248" i="7"/>
  <c r="F1248" i="7" s="1"/>
  <c r="C1248" i="7"/>
  <c r="D1247" i="7"/>
  <c r="F1247" i="7" s="1"/>
  <c r="C1247" i="7"/>
  <c r="D1246" i="7"/>
  <c r="F1246" i="7" s="1"/>
  <c r="C1246" i="7"/>
  <c r="D1245" i="7"/>
  <c r="F1245" i="7" s="1"/>
  <c r="C1245" i="7"/>
  <c r="D1244" i="7"/>
  <c r="F1244" i="7" s="1"/>
  <c r="C1244" i="7"/>
  <c r="D1243" i="7"/>
  <c r="F1243" i="7" s="1"/>
  <c r="C1243" i="7"/>
  <c r="D1242" i="7"/>
  <c r="F1242" i="7" s="1"/>
  <c r="C1242" i="7"/>
  <c r="D1241" i="7"/>
  <c r="F1241" i="7" s="1"/>
  <c r="C1241" i="7"/>
  <c r="D1240" i="7"/>
  <c r="F1240" i="7" s="1"/>
  <c r="C1240" i="7"/>
  <c r="D1239" i="7"/>
  <c r="F1239" i="7" s="1"/>
  <c r="C1239" i="7"/>
  <c r="D1238" i="7"/>
  <c r="F1238" i="7" s="1"/>
  <c r="C1238" i="7"/>
  <c r="D1237" i="7"/>
  <c r="F1237" i="7" s="1"/>
  <c r="C1237" i="7"/>
  <c r="D1236" i="7"/>
  <c r="F1236" i="7" s="1"/>
  <c r="C1236" i="7"/>
  <c r="D1235" i="7"/>
  <c r="F1235" i="7" s="1"/>
  <c r="C1235" i="7"/>
  <c r="D1234" i="7"/>
  <c r="F1234" i="7" s="1"/>
  <c r="C1234" i="7"/>
  <c r="D1233" i="7"/>
  <c r="F1233" i="7" s="1"/>
  <c r="C1233" i="7"/>
  <c r="D1232" i="7"/>
  <c r="F1232" i="7" s="1"/>
  <c r="C1232" i="7"/>
  <c r="D1231" i="7"/>
  <c r="F1231" i="7" s="1"/>
  <c r="C1231" i="7"/>
  <c r="D1230" i="7"/>
  <c r="F1230" i="7" s="1"/>
  <c r="C1230" i="7"/>
  <c r="D1229" i="7"/>
  <c r="F1229" i="7" s="1"/>
  <c r="C1229" i="7"/>
  <c r="D1228" i="7"/>
  <c r="F1228" i="7" s="1"/>
  <c r="C1228" i="7"/>
  <c r="D1227" i="7"/>
  <c r="F1227" i="7" s="1"/>
  <c r="C1227" i="7"/>
  <c r="D1226" i="7"/>
  <c r="F1226" i="7" s="1"/>
  <c r="C1226" i="7"/>
  <c r="D1225" i="7"/>
  <c r="F1225" i="7" s="1"/>
  <c r="C1225" i="7"/>
  <c r="D1224" i="7"/>
  <c r="F1224" i="7" s="1"/>
  <c r="C1224" i="7"/>
  <c r="D1223" i="7"/>
  <c r="F1223" i="7" s="1"/>
  <c r="C1223" i="7"/>
  <c r="D1222" i="7"/>
  <c r="F1222" i="7" s="1"/>
  <c r="C1222" i="7"/>
  <c r="D1221" i="7"/>
  <c r="F1221" i="7" s="1"/>
  <c r="C1221" i="7"/>
  <c r="F1220" i="7"/>
  <c r="D1220" i="7"/>
  <c r="C1220" i="7"/>
  <c r="D1219" i="7"/>
  <c r="F1219" i="7" s="1"/>
  <c r="C1219" i="7"/>
  <c r="D1218" i="7"/>
  <c r="F1218" i="7" s="1"/>
  <c r="C1218" i="7"/>
  <c r="D1217" i="7"/>
  <c r="F1217" i="7" s="1"/>
  <c r="C1217" i="7"/>
  <c r="D1216" i="7"/>
  <c r="F1216" i="7" s="1"/>
  <c r="C1216" i="7"/>
  <c r="D1215" i="7"/>
  <c r="F1215" i="7" s="1"/>
  <c r="C1215" i="7"/>
  <c r="D1214" i="7"/>
  <c r="F1214" i="7" s="1"/>
  <c r="C1214" i="7"/>
  <c r="D1213" i="7"/>
  <c r="F1213" i="7" s="1"/>
  <c r="C1213" i="7"/>
  <c r="D1212" i="7"/>
  <c r="F1212" i="7" s="1"/>
  <c r="C1212" i="7"/>
  <c r="D1211" i="7"/>
  <c r="F1211" i="7" s="1"/>
  <c r="C1211" i="7"/>
  <c r="D1210" i="7"/>
  <c r="F1210" i="7" s="1"/>
  <c r="C1210" i="7"/>
  <c r="D1209" i="7"/>
  <c r="F1209" i="7" s="1"/>
  <c r="C1209" i="7"/>
  <c r="D1208" i="7"/>
  <c r="F1208" i="7" s="1"/>
  <c r="C1208" i="7"/>
  <c r="D1207" i="7"/>
  <c r="F1207" i="7" s="1"/>
  <c r="C1207" i="7"/>
  <c r="D1206" i="7"/>
  <c r="F1206" i="7" s="1"/>
  <c r="C1206" i="7"/>
  <c r="D1205" i="7"/>
  <c r="F1205" i="7" s="1"/>
  <c r="C1205" i="7"/>
  <c r="D1204" i="7"/>
  <c r="F1204" i="7" s="1"/>
  <c r="C1204" i="7"/>
  <c r="D1203" i="7"/>
  <c r="F1203" i="7" s="1"/>
  <c r="C1203" i="7"/>
  <c r="D1202" i="7"/>
  <c r="F1202" i="7" s="1"/>
  <c r="C1202" i="7"/>
  <c r="D1201" i="7"/>
  <c r="F1201" i="7" s="1"/>
  <c r="C1201" i="7"/>
  <c r="D1200" i="7"/>
  <c r="F1200" i="7" s="1"/>
  <c r="C1200" i="7"/>
  <c r="D1199" i="7"/>
  <c r="F1199" i="7" s="1"/>
  <c r="C1199" i="7"/>
  <c r="D1198" i="7"/>
  <c r="F1198" i="7" s="1"/>
  <c r="C1198" i="7"/>
  <c r="D1197" i="7"/>
  <c r="F1197" i="7" s="1"/>
  <c r="C1197" i="7"/>
  <c r="D1196" i="7"/>
  <c r="F1196" i="7" s="1"/>
  <c r="C1196" i="7"/>
  <c r="D1195" i="7"/>
  <c r="F1195" i="7" s="1"/>
  <c r="C1195" i="7"/>
  <c r="D1194" i="7"/>
  <c r="F1194" i="7" s="1"/>
  <c r="C1194" i="7"/>
  <c r="D1193" i="7"/>
  <c r="F1193" i="7" s="1"/>
  <c r="C1193" i="7"/>
  <c r="D1192" i="7"/>
  <c r="F1192" i="7" s="1"/>
  <c r="C1192" i="7"/>
  <c r="D1191" i="7"/>
  <c r="F1191" i="7" s="1"/>
  <c r="C1191" i="7"/>
  <c r="D1190" i="7"/>
  <c r="F1190" i="7" s="1"/>
  <c r="C1190" i="7"/>
  <c r="D1189" i="7"/>
  <c r="F1189" i="7" s="1"/>
  <c r="C1189" i="7"/>
  <c r="D1188" i="7"/>
  <c r="F1188" i="7" s="1"/>
  <c r="C1188" i="7"/>
  <c r="D1187" i="7"/>
  <c r="F1187" i="7" s="1"/>
  <c r="C1187" i="7"/>
  <c r="D1186" i="7"/>
  <c r="F1186" i="7" s="1"/>
  <c r="C1186" i="7"/>
  <c r="D1185" i="7"/>
  <c r="F1185" i="7" s="1"/>
  <c r="C1185" i="7"/>
  <c r="D1184" i="7"/>
  <c r="F1184" i="7" s="1"/>
  <c r="C1184" i="7"/>
  <c r="D1183" i="7"/>
  <c r="F1183" i="7" s="1"/>
  <c r="C1183" i="7"/>
  <c r="D1182" i="7"/>
  <c r="F1182" i="7" s="1"/>
  <c r="C1182" i="7"/>
  <c r="D1181" i="7"/>
  <c r="F1181" i="7" s="1"/>
  <c r="C1181" i="7"/>
  <c r="D1180" i="7"/>
  <c r="F1180" i="7" s="1"/>
  <c r="C1180" i="7"/>
  <c r="D1179" i="7"/>
  <c r="F1179" i="7" s="1"/>
  <c r="C1179" i="7"/>
  <c r="D1178" i="7"/>
  <c r="F1178" i="7" s="1"/>
  <c r="C1178" i="7"/>
  <c r="D1177" i="7"/>
  <c r="F1177" i="7" s="1"/>
  <c r="C1177" i="7"/>
  <c r="D1176" i="7"/>
  <c r="F1176" i="7" s="1"/>
  <c r="C1176" i="7"/>
  <c r="D1175" i="7"/>
  <c r="F1175" i="7" s="1"/>
  <c r="C1175" i="7"/>
  <c r="D1174" i="7"/>
  <c r="F1174" i="7" s="1"/>
  <c r="C1174" i="7"/>
  <c r="D1173" i="7"/>
  <c r="F1173" i="7" s="1"/>
  <c r="C1173" i="7"/>
  <c r="D1172" i="7"/>
  <c r="F1172" i="7" s="1"/>
  <c r="C1172" i="7"/>
  <c r="F1171" i="7"/>
  <c r="D1171" i="7"/>
  <c r="C1171" i="7"/>
  <c r="D1170" i="7"/>
  <c r="F1170" i="7" s="1"/>
  <c r="C1170" i="7"/>
  <c r="D1169" i="7"/>
  <c r="F1169" i="7" s="1"/>
  <c r="C1169" i="7"/>
  <c r="D1168" i="7"/>
  <c r="F1168" i="7" s="1"/>
  <c r="C1168" i="7"/>
  <c r="D1167" i="7"/>
  <c r="F1167" i="7" s="1"/>
  <c r="C1167" i="7"/>
  <c r="D1166" i="7"/>
  <c r="F1166" i="7" s="1"/>
  <c r="C1166" i="7"/>
  <c r="D1165" i="7"/>
  <c r="F1165" i="7" s="1"/>
  <c r="C1165" i="7"/>
  <c r="D1164" i="7"/>
  <c r="F1164" i="7" s="1"/>
  <c r="C1164" i="7"/>
  <c r="D1163" i="7"/>
  <c r="F1163" i="7" s="1"/>
  <c r="C1163" i="7"/>
  <c r="D1162" i="7"/>
  <c r="F1162" i="7" s="1"/>
  <c r="C1162" i="7"/>
  <c r="D1161" i="7"/>
  <c r="F1161" i="7" s="1"/>
  <c r="C1161" i="7"/>
  <c r="D1160" i="7"/>
  <c r="F1160" i="7" s="1"/>
  <c r="C1160" i="7"/>
  <c r="D1159" i="7"/>
  <c r="F1159" i="7" s="1"/>
  <c r="C1159" i="7"/>
  <c r="D1158" i="7"/>
  <c r="F1158" i="7" s="1"/>
  <c r="C1158" i="7"/>
  <c r="D1157" i="7"/>
  <c r="F1157" i="7" s="1"/>
  <c r="C1157" i="7"/>
  <c r="D1156" i="7"/>
  <c r="F1156" i="7" s="1"/>
  <c r="C1156" i="7"/>
  <c r="D1155" i="7"/>
  <c r="F1155" i="7" s="1"/>
  <c r="C1155" i="7"/>
  <c r="D1154" i="7"/>
  <c r="F1154" i="7" s="1"/>
  <c r="C1154" i="7"/>
  <c r="D1153" i="7"/>
  <c r="F1153" i="7" s="1"/>
  <c r="C1153" i="7"/>
  <c r="D1152" i="7"/>
  <c r="F1152" i="7" s="1"/>
  <c r="C1152" i="7"/>
  <c r="D1151" i="7"/>
  <c r="F1151" i="7" s="1"/>
  <c r="C1151" i="7"/>
  <c r="D1150" i="7"/>
  <c r="F1150" i="7" s="1"/>
  <c r="C1150" i="7"/>
  <c r="D1149" i="7"/>
  <c r="F1149" i="7" s="1"/>
  <c r="C1149" i="7"/>
  <c r="D1148" i="7"/>
  <c r="F1148" i="7" s="1"/>
  <c r="C1148" i="7"/>
  <c r="D1147" i="7"/>
  <c r="F1147" i="7" s="1"/>
  <c r="C1147" i="7"/>
  <c r="D1146" i="7"/>
  <c r="F1146" i="7" s="1"/>
  <c r="C1146" i="7"/>
  <c r="D1145" i="7"/>
  <c r="F1145" i="7" s="1"/>
  <c r="C1145" i="7"/>
  <c r="D1144" i="7"/>
  <c r="F1144" i="7" s="1"/>
  <c r="C1144" i="7"/>
  <c r="D1143" i="7"/>
  <c r="F1143" i="7" s="1"/>
  <c r="C1143" i="7"/>
  <c r="D1142" i="7"/>
  <c r="F1142" i="7" s="1"/>
  <c r="C1142" i="7"/>
  <c r="D1141" i="7"/>
  <c r="F1141" i="7" s="1"/>
  <c r="C1141" i="7"/>
  <c r="D1140" i="7"/>
  <c r="F1140" i="7" s="1"/>
  <c r="C1140" i="7"/>
  <c r="D1139" i="7"/>
  <c r="F1139" i="7" s="1"/>
  <c r="C1139" i="7"/>
  <c r="D1138" i="7"/>
  <c r="F1138" i="7" s="1"/>
  <c r="C1138" i="7"/>
  <c r="D1137" i="7"/>
  <c r="F1137" i="7" s="1"/>
  <c r="C1137" i="7"/>
  <c r="D1136" i="7"/>
  <c r="F1136" i="7" s="1"/>
  <c r="C1136" i="7"/>
  <c r="D1135" i="7"/>
  <c r="F1135" i="7" s="1"/>
  <c r="C1135" i="7"/>
  <c r="D1134" i="7"/>
  <c r="F1134" i="7" s="1"/>
  <c r="C1134" i="7"/>
  <c r="D1133" i="7"/>
  <c r="F1133" i="7" s="1"/>
  <c r="C1133" i="7"/>
  <c r="D1132" i="7"/>
  <c r="F1132" i="7" s="1"/>
  <c r="C1132" i="7"/>
  <c r="D1131" i="7"/>
  <c r="F1131" i="7" s="1"/>
  <c r="C1131" i="7"/>
  <c r="D1130" i="7"/>
  <c r="F1130" i="7" s="1"/>
  <c r="C1130" i="7"/>
  <c r="D1129" i="7"/>
  <c r="F1129" i="7" s="1"/>
  <c r="C1129" i="7"/>
  <c r="D1128" i="7"/>
  <c r="F1128" i="7" s="1"/>
  <c r="C1128" i="7"/>
  <c r="D1127" i="7"/>
  <c r="F1127" i="7" s="1"/>
  <c r="C1127" i="7"/>
  <c r="D1126" i="7"/>
  <c r="F1126" i="7" s="1"/>
  <c r="C1126" i="7"/>
  <c r="F1125" i="7"/>
  <c r="D1125" i="7"/>
  <c r="C1125" i="7"/>
  <c r="D1124" i="7"/>
  <c r="F1124" i="7" s="1"/>
  <c r="C1124" i="7"/>
  <c r="D1123" i="7"/>
  <c r="F1123" i="7" s="1"/>
  <c r="C1123" i="7"/>
  <c r="D1122" i="7"/>
  <c r="F1122" i="7" s="1"/>
  <c r="C1122" i="7"/>
  <c r="D1121" i="7"/>
  <c r="F1121" i="7" s="1"/>
  <c r="C1121" i="7"/>
  <c r="D1120" i="7"/>
  <c r="F1120" i="7" s="1"/>
  <c r="C1120" i="7"/>
  <c r="D1119" i="7"/>
  <c r="F1119" i="7" s="1"/>
  <c r="C1119" i="7"/>
  <c r="D1118" i="7"/>
  <c r="F1118" i="7" s="1"/>
  <c r="C1118" i="7"/>
  <c r="D1117" i="7"/>
  <c r="F1117" i="7" s="1"/>
  <c r="C1117" i="7"/>
  <c r="D1116" i="7"/>
  <c r="F1116" i="7" s="1"/>
  <c r="C1116" i="7"/>
  <c r="D1115" i="7"/>
  <c r="F1115" i="7" s="1"/>
  <c r="C1115" i="7"/>
  <c r="D1114" i="7"/>
  <c r="F1114" i="7" s="1"/>
  <c r="C1114" i="7"/>
  <c r="D1113" i="7"/>
  <c r="F1113" i="7" s="1"/>
  <c r="C1113" i="7"/>
  <c r="D1112" i="7"/>
  <c r="F1112" i="7" s="1"/>
  <c r="C1112" i="7"/>
  <c r="D1111" i="7"/>
  <c r="F1111" i="7" s="1"/>
  <c r="C1111" i="7"/>
  <c r="D1110" i="7"/>
  <c r="F1110" i="7" s="1"/>
  <c r="C1110" i="7"/>
  <c r="D1109" i="7"/>
  <c r="F1109" i="7" s="1"/>
  <c r="C1109" i="7"/>
  <c r="D1108" i="7"/>
  <c r="F1108" i="7" s="1"/>
  <c r="C1108" i="7"/>
  <c r="D1107" i="7"/>
  <c r="F1107" i="7" s="1"/>
  <c r="C1107" i="7"/>
  <c r="D1106" i="7"/>
  <c r="F1106" i="7" s="1"/>
  <c r="C1106" i="7"/>
  <c r="D1105" i="7"/>
  <c r="F1105" i="7" s="1"/>
  <c r="C1105" i="7"/>
  <c r="D1104" i="7"/>
  <c r="F1104" i="7" s="1"/>
  <c r="C1104" i="7"/>
  <c r="D1103" i="7"/>
  <c r="F1103" i="7" s="1"/>
  <c r="C1103" i="7"/>
  <c r="D1102" i="7"/>
  <c r="F1102" i="7" s="1"/>
  <c r="C1102" i="7"/>
  <c r="D1101" i="7"/>
  <c r="F1101" i="7" s="1"/>
  <c r="C1101" i="7"/>
  <c r="D1100" i="7"/>
  <c r="F1100" i="7" s="1"/>
  <c r="C1100" i="7"/>
  <c r="D1099" i="7"/>
  <c r="F1099" i="7" s="1"/>
  <c r="C1099" i="7"/>
  <c r="D1098" i="7"/>
  <c r="F1098" i="7" s="1"/>
  <c r="C1098" i="7"/>
  <c r="D1097" i="7"/>
  <c r="F1097" i="7" s="1"/>
  <c r="C1097" i="7"/>
  <c r="D1096" i="7"/>
  <c r="F1096" i="7" s="1"/>
  <c r="C1096" i="7"/>
  <c r="D1095" i="7"/>
  <c r="F1095" i="7" s="1"/>
  <c r="C1095" i="7"/>
  <c r="D1094" i="7"/>
  <c r="F1094" i="7" s="1"/>
  <c r="C1094" i="7"/>
  <c r="F1093" i="7"/>
  <c r="D1093" i="7"/>
  <c r="C1093" i="7"/>
  <c r="D1092" i="7"/>
  <c r="F1092" i="7" s="1"/>
  <c r="C1092" i="7"/>
  <c r="D1091" i="7"/>
  <c r="F1091" i="7" s="1"/>
  <c r="C1091" i="7"/>
  <c r="D1090" i="7"/>
  <c r="F1090" i="7" s="1"/>
  <c r="C1090" i="7"/>
  <c r="D1089" i="7"/>
  <c r="F1089" i="7" s="1"/>
  <c r="C1089" i="7"/>
  <c r="D1088" i="7"/>
  <c r="F1088" i="7" s="1"/>
  <c r="C1088" i="7"/>
  <c r="D1087" i="7"/>
  <c r="F1087" i="7" s="1"/>
  <c r="C1087" i="7"/>
  <c r="F1086" i="7"/>
  <c r="D1086" i="7"/>
  <c r="C1086" i="7"/>
  <c r="D1085" i="7"/>
  <c r="F1085" i="7" s="1"/>
  <c r="C1085" i="7"/>
  <c r="D1084" i="7"/>
  <c r="F1084" i="7" s="1"/>
  <c r="C1084" i="7"/>
  <c r="D1083" i="7"/>
  <c r="F1083" i="7" s="1"/>
  <c r="C1083" i="7"/>
  <c r="D1082" i="7"/>
  <c r="F1082" i="7" s="1"/>
  <c r="C1082" i="7"/>
  <c r="D1081" i="7"/>
  <c r="F1081" i="7" s="1"/>
  <c r="C1081" i="7"/>
  <c r="D1080" i="7"/>
  <c r="F1080" i="7" s="1"/>
  <c r="C1080" i="7"/>
  <c r="D1079" i="7"/>
  <c r="F1079" i="7" s="1"/>
  <c r="C1079" i="7"/>
  <c r="D1078" i="7"/>
  <c r="F1078" i="7" s="1"/>
  <c r="C1078" i="7"/>
  <c r="D1077" i="7"/>
  <c r="F1077" i="7" s="1"/>
  <c r="C1077" i="7"/>
  <c r="D1076" i="7"/>
  <c r="F1076" i="7" s="1"/>
  <c r="C1076" i="7"/>
  <c r="D1075" i="7"/>
  <c r="F1075" i="7" s="1"/>
  <c r="C1075" i="7"/>
  <c r="D1074" i="7"/>
  <c r="F1074" i="7" s="1"/>
  <c r="C1074" i="7"/>
  <c r="D1073" i="7"/>
  <c r="F1073" i="7" s="1"/>
  <c r="C1073" i="7"/>
  <c r="D1072" i="7"/>
  <c r="F1072" i="7" s="1"/>
  <c r="C1072" i="7"/>
  <c r="D1071" i="7"/>
  <c r="F1071" i="7" s="1"/>
  <c r="C1071" i="7"/>
  <c r="D1070" i="7"/>
  <c r="F1070" i="7" s="1"/>
  <c r="C1070" i="7"/>
  <c r="D1069" i="7"/>
  <c r="F1069" i="7" s="1"/>
  <c r="C1069" i="7"/>
  <c r="D1068" i="7"/>
  <c r="F1068" i="7" s="1"/>
  <c r="C1068" i="7"/>
  <c r="D1067" i="7"/>
  <c r="F1067" i="7" s="1"/>
  <c r="C1067" i="7"/>
  <c r="D1066" i="7"/>
  <c r="F1066" i="7" s="1"/>
  <c r="C1066" i="7"/>
  <c r="D1065" i="7"/>
  <c r="F1065" i="7" s="1"/>
  <c r="C1065" i="7"/>
  <c r="F1064" i="7"/>
  <c r="D1064" i="7"/>
  <c r="C1064" i="7"/>
  <c r="D1063" i="7"/>
  <c r="F1063" i="7" s="1"/>
  <c r="C1063" i="7"/>
  <c r="D1062" i="7"/>
  <c r="F1062" i="7" s="1"/>
  <c r="C1062" i="7"/>
  <c r="D1061" i="7"/>
  <c r="F1061" i="7" s="1"/>
  <c r="C1061" i="7"/>
  <c r="D1060" i="7"/>
  <c r="F1060" i="7" s="1"/>
  <c r="C1060" i="7"/>
  <c r="D1059" i="7"/>
  <c r="F1059" i="7" s="1"/>
  <c r="C1059" i="7"/>
  <c r="D1058" i="7"/>
  <c r="F1058" i="7" s="1"/>
  <c r="C1058" i="7"/>
  <c r="D1057" i="7"/>
  <c r="F1057" i="7" s="1"/>
  <c r="C1057" i="7"/>
  <c r="D1056" i="7"/>
  <c r="F1056" i="7" s="1"/>
  <c r="C1056" i="7"/>
  <c r="D1055" i="7"/>
  <c r="F1055" i="7" s="1"/>
  <c r="C1055" i="7"/>
  <c r="D1054" i="7"/>
  <c r="F1054" i="7" s="1"/>
  <c r="C1054" i="7"/>
  <c r="D1053" i="7"/>
  <c r="F1053" i="7" s="1"/>
  <c r="C1053" i="7"/>
  <c r="D1052" i="7"/>
  <c r="F1052" i="7" s="1"/>
  <c r="C1052" i="7"/>
  <c r="D1051" i="7"/>
  <c r="F1051" i="7" s="1"/>
  <c r="C1051" i="7"/>
  <c r="D1050" i="7"/>
  <c r="F1050" i="7" s="1"/>
  <c r="C1050" i="7"/>
  <c r="D1049" i="7"/>
  <c r="F1049" i="7" s="1"/>
  <c r="C1049" i="7"/>
  <c r="D1048" i="7"/>
  <c r="F1048" i="7" s="1"/>
  <c r="C1048" i="7"/>
  <c r="D1047" i="7"/>
  <c r="F1047" i="7" s="1"/>
  <c r="C1047" i="7"/>
  <c r="D1046" i="7"/>
  <c r="F1046" i="7" s="1"/>
  <c r="C1046" i="7"/>
  <c r="D1045" i="7"/>
  <c r="F1045" i="7" s="1"/>
  <c r="C1045" i="7"/>
  <c r="D1044" i="7"/>
  <c r="F1044" i="7" s="1"/>
  <c r="C1044" i="7"/>
  <c r="D1043" i="7"/>
  <c r="F1043" i="7" s="1"/>
  <c r="C1043" i="7"/>
  <c r="D1042" i="7"/>
  <c r="F1042" i="7" s="1"/>
  <c r="C1042" i="7"/>
  <c r="D1041" i="7"/>
  <c r="F1041" i="7" s="1"/>
  <c r="C1041" i="7"/>
  <c r="D1040" i="7"/>
  <c r="F1040" i="7" s="1"/>
  <c r="C1040" i="7"/>
  <c r="D1039" i="7"/>
  <c r="F1039" i="7" s="1"/>
  <c r="C1039" i="7"/>
  <c r="D1038" i="7"/>
  <c r="F1038" i="7" s="1"/>
  <c r="C1038" i="7"/>
  <c r="D1037" i="7"/>
  <c r="F1037" i="7" s="1"/>
  <c r="C1037" i="7"/>
  <c r="D1036" i="7"/>
  <c r="F1036" i="7" s="1"/>
  <c r="C1036" i="7"/>
  <c r="D1035" i="7"/>
  <c r="F1035" i="7" s="1"/>
  <c r="C1035" i="7"/>
  <c r="D1034" i="7"/>
  <c r="F1034" i="7" s="1"/>
  <c r="C1034" i="7"/>
  <c r="D1033" i="7"/>
  <c r="F1033" i="7" s="1"/>
  <c r="C1033" i="7"/>
  <c r="D1032" i="7"/>
  <c r="F1032" i="7" s="1"/>
  <c r="C1032" i="7"/>
  <c r="D1031" i="7"/>
  <c r="F1031" i="7" s="1"/>
  <c r="C1031" i="7"/>
  <c r="D1030" i="7"/>
  <c r="F1030" i="7" s="1"/>
  <c r="C1030" i="7"/>
  <c r="D1029" i="7"/>
  <c r="F1029" i="7" s="1"/>
  <c r="C1029" i="7"/>
  <c r="D1028" i="7"/>
  <c r="F1028" i="7" s="1"/>
  <c r="C1028" i="7"/>
  <c r="D1027" i="7"/>
  <c r="F1027" i="7" s="1"/>
  <c r="C1027" i="7"/>
  <c r="D1026" i="7"/>
  <c r="F1026" i="7" s="1"/>
  <c r="C1026" i="7"/>
  <c r="D1025" i="7"/>
  <c r="F1025" i="7" s="1"/>
  <c r="C1025" i="7"/>
  <c r="D1024" i="7"/>
  <c r="F1024" i="7" s="1"/>
  <c r="C1024" i="7"/>
  <c r="D1023" i="7"/>
  <c r="F1023" i="7" s="1"/>
  <c r="C1023" i="7"/>
  <c r="D1022" i="7"/>
  <c r="F1022" i="7" s="1"/>
  <c r="C1022" i="7"/>
  <c r="D1021" i="7"/>
  <c r="F1021" i="7" s="1"/>
  <c r="C1021" i="7"/>
  <c r="D1020" i="7"/>
  <c r="F1020" i="7" s="1"/>
  <c r="C1020" i="7"/>
  <c r="D1019" i="7"/>
  <c r="F1019" i="7" s="1"/>
  <c r="C1019" i="7"/>
  <c r="D1018" i="7"/>
  <c r="F1018" i="7" s="1"/>
  <c r="C1018" i="7"/>
  <c r="D1017" i="7"/>
  <c r="F1017" i="7" s="1"/>
  <c r="C1017" i="7"/>
  <c r="D1016" i="7"/>
  <c r="F1016" i="7" s="1"/>
  <c r="C1016" i="7"/>
  <c r="D1015" i="7"/>
  <c r="F1015" i="7" s="1"/>
  <c r="C1015" i="7"/>
  <c r="D1014" i="7"/>
  <c r="F1014" i="7" s="1"/>
  <c r="C1014" i="7"/>
  <c r="D1013" i="7"/>
  <c r="F1013" i="7" s="1"/>
  <c r="C1013" i="7"/>
  <c r="D1012" i="7"/>
  <c r="F1012" i="7" s="1"/>
  <c r="C1012" i="7"/>
  <c r="D1011" i="7"/>
  <c r="F1011" i="7" s="1"/>
  <c r="C1011" i="7"/>
  <c r="D1010" i="7"/>
  <c r="F1010" i="7" s="1"/>
  <c r="C1010" i="7"/>
  <c r="D1009" i="7"/>
  <c r="F1009" i="7" s="1"/>
  <c r="C1009" i="7"/>
  <c r="D1008" i="7"/>
  <c r="F1008" i="7" s="1"/>
  <c r="C1008" i="7"/>
  <c r="D1007" i="7"/>
  <c r="F1007" i="7" s="1"/>
  <c r="C1007" i="7"/>
  <c r="D1006" i="7"/>
  <c r="F1006" i="7" s="1"/>
  <c r="C1006" i="7"/>
  <c r="D1005" i="7"/>
  <c r="F1005" i="7" s="1"/>
  <c r="C1005" i="7"/>
  <c r="D1004" i="7"/>
  <c r="F1004" i="7" s="1"/>
  <c r="C1004" i="7"/>
  <c r="D1003" i="7"/>
  <c r="F1003" i="7" s="1"/>
  <c r="C1003" i="7"/>
  <c r="D1002" i="7"/>
  <c r="F1002" i="7" s="1"/>
  <c r="C1002" i="7"/>
  <c r="D1001" i="7"/>
  <c r="F1001" i="7" s="1"/>
  <c r="C1001" i="7"/>
  <c r="D1000" i="7"/>
  <c r="F1000" i="7" s="1"/>
  <c r="C1000" i="7"/>
  <c r="D999" i="7"/>
  <c r="F999" i="7" s="1"/>
  <c r="C999" i="7"/>
  <c r="D998" i="7"/>
  <c r="F998" i="7" s="1"/>
  <c r="C998" i="7"/>
  <c r="D997" i="7"/>
  <c r="F997" i="7" s="1"/>
  <c r="C997" i="7"/>
  <c r="D996" i="7"/>
  <c r="F996" i="7" s="1"/>
  <c r="C996" i="7"/>
  <c r="D995" i="7"/>
  <c r="F995" i="7" s="1"/>
  <c r="C995" i="7"/>
  <c r="D994" i="7"/>
  <c r="F994" i="7" s="1"/>
  <c r="C994" i="7"/>
  <c r="D993" i="7"/>
  <c r="F993" i="7" s="1"/>
  <c r="C993" i="7"/>
  <c r="D992" i="7"/>
  <c r="F992" i="7" s="1"/>
  <c r="C992" i="7"/>
  <c r="D991" i="7"/>
  <c r="F991" i="7" s="1"/>
  <c r="C991" i="7"/>
  <c r="D990" i="7"/>
  <c r="F990" i="7" s="1"/>
  <c r="C990" i="7"/>
  <c r="D989" i="7"/>
  <c r="F989" i="7" s="1"/>
  <c r="C989" i="7"/>
  <c r="D988" i="7"/>
  <c r="F988" i="7" s="1"/>
  <c r="C988" i="7"/>
  <c r="D987" i="7"/>
  <c r="F987" i="7" s="1"/>
  <c r="C987" i="7"/>
  <c r="D986" i="7"/>
  <c r="F986" i="7" s="1"/>
  <c r="C986" i="7"/>
  <c r="D985" i="7"/>
  <c r="F985" i="7" s="1"/>
  <c r="C985" i="7"/>
  <c r="D984" i="7"/>
  <c r="F984" i="7" s="1"/>
  <c r="C984" i="7"/>
  <c r="D983" i="7"/>
  <c r="F983" i="7" s="1"/>
  <c r="C983" i="7"/>
  <c r="D982" i="7"/>
  <c r="F982" i="7" s="1"/>
  <c r="C982" i="7"/>
  <c r="D981" i="7"/>
  <c r="F981" i="7" s="1"/>
  <c r="C981" i="7"/>
  <c r="D980" i="7"/>
  <c r="F980" i="7" s="1"/>
  <c r="C980" i="7"/>
  <c r="D979" i="7"/>
  <c r="F979" i="7" s="1"/>
  <c r="C979" i="7"/>
  <c r="D978" i="7"/>
  <c r="F978" i="7" s="1"/>
  <c r="C978" i="7"/>
  <c r="D977" i="7"/>
  <c r="F977" i="7" s="1"/>
  <c r="C977" i="7"/>
  <c r="D976" i="7"/>
  <c r="F976" i="7" s="1"/>
  <c r="C976" i="7"/>
  <c r="D975" i="7"/>
  <c r="F975" i="7" s="1"/>
  <c r="C975" i="7"/>
  <c r="D974" i="7"/>
  <c r="F974" i="7" s="1"/>
  <c r="C974" i="7"/>
  <c r="D973" i="7"/>
  <c r="F973" i="7" s="1"/>
  <c r="C973" i="7"/>
  <c r="D972" i="7"/>
  <c r="F972" i="7" s="1"/>
  <c r="C972" i="7"/>
  <c r="D971" i="7"/>
  <c r="F971" i="7" s="1"/>
  <c r="C971" i="7"/>
  <c r="D970" i="7"/>
  <c r="F970" i="7" s="1"/>
  <c r="C970" i="7"/>
  <c r="D969" i="7"/>
  <c r="F969" i="7" s="1"/>
  <c r="C969" i="7"/>
  <c r="D968" i="7"/>
  <c r="F968" i="7" s="1"/>
  <c r="C968" i="7"/>
  <c r="D967" i="7"/>
  <c r="F967" i="7" s="1"/>
  <c r="C967" i="7"/>
  <c r="D966" i="7"/>
  <c r="F966" i="7" s="1"/>
  <c r="C966" i="7"/>
  <c r="D965" i="7"/>
  <c r="F965" i="7" s="1"/>
  <c r="C965" i="7"/>
  <c r="D964" i="7"/>
  <c r="F964" i="7" s="1"/>
  <c r="C964" i="7"/>
  <c r="D963" i="7"/>
  <c r="F963" i="7" s="1"/>
  <c r="C963" i="7"/>
  <c r="D962" i="7"/>
  <c r="F962" i="7" s="1"/>
  <c r="C962" i="7"/>
  <c r="D961" i="7"/>
  <c r="F961" i="7" s="1"/>
  <c r="C961" i="7"/>
  <c r="D960" i="7"/>
  <c r="F960" i="7" s="1"/>
  <c r="C960" i="7"/>
  <c r="D959" i="7"/>
  <c r="F959" i="7" s="1"/>
  <c r="C959" i="7"/>
  <c r="D958" i="7"/>
  <c r="F958" i="7" s="1"/>
  <c r="C958" i="7"/>
  <c r="D957" i="7"/>
  <c r="F957" i="7" s="1"/>
  <c r="C957" i="7"/>
  <c r="D956" i="7"/>
  <c r="F956" i="7" s="1"/>
  <c r="C956" i="7"/>
  <c r="D955" i="7"/>
  <c r="F955" i="7" s="1"/>
  <c r="C955" i="7"/>
  <c r="D954" i="7"/>
  <c r="F954" i="7" s="1"/>
  <c r="C954" i="7"/>
  <c r="D953" i="7"/>
  <c r="F953" i="7" s="1"/>
  <c r="C953" i="7"/>
  <c r="F952" i="7"/>
  <c r="D952" i="7"/>
  <c r="C952" i="7"/>
  <c r="D951" i="7"/>
  <c r="F951" i="7" s="1"/>
  <c r="C951" i="7"/>
  <c r="D950" i="7"/>
  <c r="F950" i="7" s="1"/>
  <c r="C950" i="7"/>
  <c r="D949" i="7"/>
  <c r="F949" i="7" s="1"/>
  <c r="C949" i="7"/>
  <c r="D948" i="7"/>
  <c r="F948" i="7" s="1"/>
  <c r="C948" i="7"/>
  <c r="D947" i="7"/>
  <c r="F947" i="7" s="1"/>
  <c r="C947" i="7"/>
  <c r="D946" i="7"/>
  <c r="F946" i="7" s="1"/>
  <c r="C946" i="7"/>
  <c r="D945" i="7"/>
  <c r="F945" i="7" s="1"/>
  <c r="C945" i="7"/>
  <c r="D944" i="7"/>
  <c r="F944" i="7" s="1"/>
  <c r="C944" i="7"/>
  <c r="D943" i="7"/>
  <c r="F943" i="7" s="1"/>
  <c r="C943" i="7"/>
  <c r="D942" i="7"/>
  <c r="F942" i="7" s="1"/>
  <c r="C942" i="7"/>
  <c r="D941" i="7"/>
  <c r="F941" i="7" s="1"/>
  <c r="C941" i="7"/>
  <c r="D940" i="7"/>
  <c r="F940" i="7" s="1"/>
  <c r="C940" i="7"/>
  <c r="D939" i="7"/>
  <c r="F939" i="7" s="1"/>
  <c r="C939" i="7"/>
  <c r="D938" i="7"/>
  <c r="F938" i="7" s="1"/>
  <c r="C938" i="7"/>
  <c r="D937" i="7"/>
  <c r="F937" i="7" s="1"/>
  <c r="C937" i="7"/>
  <c r="D936" i="7"/>
  <c r="F936" i="7" s="1"/>
  <c r="C936" i="7"/>
  <c r="D935" i="7"/>
  <c r="F935" i="7" s="1"/>
  <c r="C935" i="7"/>
  <c r="D934" i="7"/>
  <c r="F934" i="7" s="1"/>
  <c r="C934" i="7"/>
  <c r="D933" i="7"/>
  <c r="F933" i="7" s="1"/>
  <c r="C933" i="7"/>
  <c r="D932" i="7"/>
  <c r="F932" i="7" s="1"/>
  <c r="C932" i="7"/>
  <c r="D931" i="7"/>
  <c r="F931" i="7" s="1"/>
  <c r="C931" i="7"/>
  <c r="D930" i="7"/>
  <c r="F930" i="7" s="1"/>
  <c r="C930" i="7"/>
  <c r="D929" i="7"/>
  <c r="F929" i="7" s="1"/>
  <c r="C929" i="7"/>
  <c r="D928" i="7"/>
  <c r="F928" i="7" s="1"/>
  <c r="C928" i="7"/>
  <c r="D927" i="7"/>
  <c r="F927" i="7" s="1"/>
  <c r="C927" i="7"/>
  <c r="D926" i="7"/>
  <c r="F926" i="7" s="1"/>
  <c r="C926" i="7"/>
  <c r="D925" i="7"/>
  <c r="F925" i="7" s="1"/>
  <c r="C925" i="7"/>
  <c r="D924" i="7"/>
  <c r="F924" i="7" s="1"/>
  <c r="C924" i="7"/>
  <c r="D923" i="7"/>
  <c r="F923" i="7" s="1"/>
  <c r="C923" i="7"/>
  <c r="D922" i="7"/>
  <c r="F922" i="7" s="1"/>
  <c r="C922" i="7"/>
  <c r="D921" i="7"/>
  <c r="F921" i="7" s="1"/>
  <c r="C921" i="7"/>
  <c r="D920" i="7"/>
  <c r="F920" i="7" s="1"/>
  <c r="C920" i="7"/>
  <c r="D919" i="7"/>
  <c r="F919" i="7" s="1"/>
  <c r="C919" i="7"/>
  <c r="D918" i="7"/>
  <c r="F918" i="7" s="1"/>
  <c r="C918" i="7"/>
  <c r="D917" i="7"/>
  <c r="F917" i="7" s="1"/>
  <c r="C917" i="7"/>
  <c r="D916" i="7"/>
  <c r="F916" i="7" s="1"/>
  <c r="C916" i="7"/>
  <c r="D915" i="7"/>
  <c r="F915" i="7" s="1"/>
  <c r="C915" i="7"/>
  <c r="D914" i="7"/>
  <c r="F914" i="7" s="1"/>
  <c r="C914" i="7"/>
  <c r="D913" i="7"/>
  <c r="F913" i="7" s="1"/>
  <c r="C913" i="7"/>
  <c r="D912" i="7"/>
  <c r="F912" i="7" s="1"/>
  <c r="C912" i="7"/>
  <c r="D911" i="7"/>
  <c r="F911" i="7" s="1"/>
  <c r="C911" i="7"/>
  <c r="D910" i="7"/>
  <c r="F910" i="7" s="1"/>
  <c r="C910" i="7"/>
  <c r="D909" i="7"/>
  <c r="F909" i="7" s="1"/>
  <c r="C909" i="7"/>
  <c r="D908" i="7"/>
  <c r="F908" i="7" s="1"/>
  <c r="C908" i="7"/>
  <c r="D907" i="7"/>
  <c r="F907" i="7" s="1"/>
  <c r="C907" i="7"/>
  <c r="D906" i="7"/>
  <c r="F906" i="7" s="1"/>
  <c r="C906" i="7"/>
  <c r="D905" i="7"/>
  <c r="F905" i="7" s="1"/>
  <c r="C905" i="7"/>
  <c r="D904" i="7"/>
  <c r="F904" i="7" s="1"/>
  <c r="C904" i="7"/>
  <c r="F903" i="7"/>
  <c r="D903" i="7"/>
  <c r="C903" i="7"/>
  <c r="D902" i="7"/>
  <c r="F902" i="7" s="1"/>
  <c r="C902" i="7"/>
  <c r="D901" i="7"/>
  <c r="F901" i="7" s="1"/>
  <c r="C901" i="7"/>
  <c r="D900" i="7"/>
  <c r="F900" i="7" s="1"/>
  <c r="C900" i="7"/>
  <c r="D899" i="7"/>
  <c r="F899" i="7" s="1"/>
  <c r="C899" i="7"/>
  <c r="D898" i="7"/>
  <c r="F898" i="7" s="1"/>
  <c r="C898" i="7"/>
  <c r="D897" i="7"/>
  <c r="F897" i="7" s="1"/>
  <c r="C897" i="7"/>
  <c r="D896" i="7"/>
  <c r="F896" i="7" s="1"/>
  <c r="C896" i="7"/>
  <c r="F895" i="7"/>
  <c r="D895" i="7"/>
  <c r="C895" i="7"/>
  <c r="D894" i="7"/>
  <c r="F894" i="7" s="1"/>
  <c r="C894" i="7"/>
  <c r="D893" i="7"/>
  <c r="F893" i="7" s="1"/>
  <c r="C893" i="7"/>
  <c r="D892" i="7"/>
  <c r="F892" i="7" s="1"/>
  <c r="C892" i="7"/>
  <c r="D891" i="7"/>
  <c r="F891" i="7" s="1"/>
  <c r="C891" i="7"/>
  <c r="D890" i="7"/>
  <c r="F890" i="7" s="1"/>
  <c r="C890" i="7"/>
  <c r="D889" i="7"/>
  <c r="F889" i="7" s="1"/>
  <c r="C889" i="7"/>
  <c r="F888" i="7"/>
  <c r="D888" i="7"/>
  <c r="C888" i="7"/>
  <c r="D887" i="7"/>
  <c r="F887" i="7" s="1"/>
  <c r="C887" i="7"/>
  <c r="D886" i="7"/>
  <c r="F886" i="7" s="1"/>
  <c r="C886" i="7"/>
  <c r="D885" i="7"/>
  <c r="F885" i="7" s="1"/>
  <c r="C885" i="7"/>
  <c r="D884" i="7"/>
  <c r="F884" i="7" s="1"/>
  <c r="C884" i="7"/>
  <c r="D883" i="7"/>
  <c r="F883" i="7" s="1"/>
  <c r="C883" i="7"/>
  <c r="D882" i="7"/>
  <c r="F882" i="7" s="1"/>
  <c r="C882" i="7"/>
  <c r="D881" i="7"/>
  <c r="F881" i="7" s="1"/>
  <c r="C881" i="7"/>
  <c r="D880" i="7"/>
  <c r="F880" i="7" s="1"/>
  <c r="C880" i="7"/>
  <c r="D879" i="7"/>
  <c r="F879" i="7" s="1"/>
  <c r="C879" i="7"/>
  <c r="D878" i="7"/>
  <c r="F878" i="7" s="1"/>
  <c r="C878" i="7"/>
  <c r="D877" i="7"/>
  <c r="F877" i="7" s="1"/>
  <c r="C877" i="7"/>
  <c r="D876" i="7"/>
  <c r="F876" i="7" s="1"/>
  <c r="C876" i="7"/>
  <c r="D875" i="7"/>
  <c r="F875" i="7" s="1"/>
  <c r="C875" i="7"/>
  <c r="D874" i="7"/>
  <c r="F874" i="7" s="1"/>
  <c r="C874" i="7"/>
  <c r="D873" i="7"/>
  <c r="F873" i="7" s="1"/>
  <c r="C873" i="7"/>
  <c r="D872" i="7"/>
  <c r="F872" i="7" s="1"/>
  <c r="C872" i="7"/>
  <c r="D871" i="7"/>
  <c r="F871" i="7" s="1"/>
  <c r="C871" i="7"/>
  <c r="D870" i="7"/>
  <c r="F870" i="7" s="1"/>
  <c r="C870" i="7"/>
  <c r="D869" i="7"/>
  <c r="F869" i="7" s="1"/>
  <c r="C869" i="7"/>
  <c r="D868" i="7"/>
  <c r="F868" i="7" s="1"/>
  <c r="C868" i="7"/>
  <c r="D867" i="7"/>
  <c r="F867" i="7" s="1"/>
  <c r="C867" i="7"/>
  <c r="D866" i="7"/>
  <c r="F866" i="7" s="1"/>
  <c r="C866" i="7"/>
  <c r="D865" i="7"/>
  <c r="F865" i="7" s="1"/>
  <c r="C865" i="7"/>
  <c r="D864" i="7"/>
  <c r="F864" i="7" s="1"/>
  <c r="C864" i="7"/>
  <c r="D863" i="7"/>
  <c r="F863" i="7" s="1"/>
  <c r="C863" i="7"/>
  <c r="D862" i="7"/>
  <c r="F862" i="7" s="1"/>
  <c r="C862" i="7"/>
  <c r="D861" i="7"/>
  <c r="F861" i="7" s="1"/>
  <c r="C861" i="7"/>
  <c r="D860" i="7"/>
  <c r="F860" i="7" s="1"/>
  <c r="C860" i="7"/>
  <c r="D859" i="7"/>
  <c r="F859" i="7" s="1"/>
  <c r="C859" i="7"/>
  <c r="D858" i="7"/>
  <c r="F858" i="7" s="1"/>
  <c r="C858" i="7"/>
  <c r="D857" i="7"/>
  <c r="F857" i="7" s="1"/>
  <c r="C857" i="7"/>
  <c r="D856" i="7"/>
  <c r="F856" i="7" s="1"/>
  <c r="C856" i="7"/>
  <c r="D855" i="7"/>
  <c r="F855" i="7" s="1"/>
  <c r="C855" i="7"/>
  <c r="D854" i="7"/>
  <c r="F854" i="7" s="1"/>
  <c r="C854" i="7"/>
  <c r="D853" i="7"/>
  <c r="F853" i="7" s="1"/>
  <c r="C853" i="7"/>
  <c r="D852" i="7"/>
  <c r="F852" i="7" s="1"/>
  <c r="C852" i="7"/>
  <c r="D851" i="7"/>
  <c r="F851" i="7" s="1"/>
  <c r="C851" i="7"/>
  <c r="D850" i="7"/>
  <c r="F850" i="7" s="1"/>
  <c r="C850" i="7"/>
  <c r="D849" i="7"/>
  <c r="F849" i="7" s="1"/>
  <c r="C849" i="7"/>
  <c r="D848" i="7"/>
  <c r="F848" i="7" s="1"/>
  <c r="C848" i="7"/>
  <c r="D847" i="7"/>
  <c r="F847" i="7" s="1"/>
  <c r="C847" i="7"/>
  <c r="D846" i="7"/>
  <c r="F846" i="7" s="1"/>
  <c r="C846" i="7"/>
  <c r="D845" i="7"/>
  <c r="F845" i="7" s="1"/>
  <c r="C845" i="7"/>
  <c r="D844" i="7"/>
  <c r="F844" i="7" s="1"/>
  <c r="C844" i="7"/>
  <c r="F843" i="7"/>
  <c r="D843" i="7"/>
  <c r="C843" i="7"/>
  <c r="D842" i="7"/>
  <c r="F842" i="7" s="1"/>
  <c r="C842" i="7"/>
  <c r="D841" i="7"/>
  <c r="F841" i="7" s="1"/>
  <c r="C841" i="7"/>
  <c r="D840" i="7"/>
  <c r="F840" i="7" s="1"/>
  <c r="C840" i="7"/>
  <c r="D839" i="7"/>
  <c r="F839" i="7" s="1"/>
  <c r="C839" i="7"/>
  <c r="D838" i="7"/>
  <c r="F838" i="7" s="1"/>
  <c r="C838" i="7"/>
  <c r="D837" i="7"/>
  <c r="F837" i="7" s="1"/>
  <c r="C837" i="7"/>
  <c r="D836" i="7"/>
  <c r="F836" i="7" s="1"/>
  <c r="C836" i="7"/>
  <c r="D835" i="7"/>
  <c r="F835" i="7" s="1"/>
  <c r="C835" i="7"/>
  <c r="D834" i="7"/>
  <c r="F834" i="7" s="1"/>
  <c r="C834" i="7"/>
  <c r="D833" i="7"/>
  <c r="F833" i="7" s="1"/>
  <c r="C833" i="7"/>
  <c r="D832" i="7"/>
  <c r="F832" i="7" s="1"/>
  <c r="C832" i="7"/>
  <c r="D831" i="7"/>
  <c r="F831" i="7" s="1"/>
  <c r="C831" i="7"/>
  <c r="D830" i="7"/>
  <c r="F830" i="7" s="1"/>
  <c r="C830" i="7"/>
  <c r="D829" i="7"/>
  <c r="F829" i="7" s="1"/>
  <c r="C829" i="7"/>
  <c r="D828" i="7"/>
  <c r="F828" i="7" s="1"/>
  <c r="C828" i="7"/>
  <c r="D827" i="7"/>
  <c r="F827" i="7" s="1"/>
  <c r="C827" i="7"/>
  <c r="D826" i="7"/>
  <c r="F826" i="7" s="1"/>
  <c r="C826" i="7"/>
  <c r="D825" i="7"/>
  <c r="F825" i="7" s="1"/>
  <c r="C825" i="7"/>
  <c r="D824" i="7"/>
  <c r="F824" i="7" s="1"/>
  <c r="C824" i="7"/>
  <c r="D823" i="7"/>
  <c r="F823" i="7" s="1"/>
  <c r="C823" i="7"/>
  <c r="D822" i="7"/>
  <c r="F822" i="7" s="1"/>
  <c r="C822" i="7"/>
  <c r="D821" i="7"/>
  <c r="F821" i="7" s="1"/>
  <c r="C821" i="7"/>
  <c r="D820" i="7"/>
  <c r="F820" i="7" s="1"/>
  <c r="C820" i="7"/>
  <c r="D819" i="7"/>
  <c r="F819" i="7" s="1"/>
  <c r="C819" i="7"/>
  <c r="D818" i="7"/>
  <c r="F818" i="7" s="1"/>
  <c r="C818" i="7"/>
  <c r="D817" i="7"/>
  <c r="F817" i="7" s="1"/>
  <c r="C817" i="7"/>
  <c r="D816" i="7"/>
  <c r="F816" i="7" s="1"/>
  <c r="C816" i="7"/>
  <c r="D815" i="7"/>
  <c r="F815" i="7" s="1"/>
  <c r="C815" i="7"/>
  <c r="D814" i="7"/>
  <c r="F814" i="7" s="1"/>
  <c r="C814" i="7"/>
  <c r="D813" i="7"/>
  <c r="F813" i="7" s="1"/>
  <c r="C813" i="7"/>
  <c r="D812" i="7"/>
  <c r="F812" i="7" s="1"/>
  <c r="C812" i="7"/>
  <c r="D811" i="7"/>
  <c r="F811" i="7" s="1"/>
  <c r="C811" i="7"/>
  <c r="D810" i="7"/>
  <c r="F810" i="7" s="1"/>
  <c r="C810" i="7"/>
  <c r="D809" i="7"/>
  <c r="F809" i="7" s="1"/>
  <c r="C809" i="7"/>
  <c r="D808" i="7"/>
  <c r="F808" i="7" s="1"/>
  <c r="C808" i="7"/>
  <c r="D807" i="7"/>
  <c r="F807" i="7" s="1"/>
  <c r="C807" i="7"/>
  <c r="D806" i="7"/>
  <c r="F806" i="7" s="1"/>
  <c r="C806" i="7"/>
  <c r="D805" i="7"/>
  <c r="F805" i="7" s="1"/>
  <c r="C805" i="7"/>
  <c r="F804" i="7"/>
  <c r="D804" i="7"/>
  <c r="C804" i="7"/>
  <c r="D803" i="7"/>
  <c r="F803" i="7" s="1"/>
  <c r="C803" i="7"/>
  <c r="D802" i="7"/>
  <c r="F802" i="7" s="1"/>
  <c r="C802" i="7"/>
  <c r="D801" i="7"/>
  <c r="F801" i="7" s="1"/>
  <c r="C801" i="7"/>
  <c r="D800" i="7"/>
  <c r="F800" i="7" s="1"/>
  <c r="C800" i="7"/>
  <c r="D799" i="7"/>
  <c r="F799" i="7" s="1"/>
  <c r="C799" i="7"/>
  <c r="D798" i="7"/>
  <c r="F798" i="7" s="1"/>
  <c r="C798" i="7"/>
  <c r="D797" i="7"/>
  <c r="F797" i="7" s="1"/>
  <c r="C797" i="7"/>
  <c r="D796" i="7"/>
  <c r="F796" i="7" s="1"/>
  <c r="C796" i="7"/>
  <c r="D795" i="7"/>
  <c r="F795" i="7" s="1"/>
  <c r="C795" i="7"/>
  <c r="D794" i="7"/>
  <c r="F794" i="7" s="1"/>
  <c r="C794" i="7"/>
  <c r="D793" i="7"/>
  <c r="F793" i="7" s="1"/>
  <c r="C793" i="7"/>
  <c r="D792" i="7"/>
  <c r="F792" i="7" s="1"/>
  <c r="C792" i="7"/>
  <c r="D791" i="7"/>
  <c r="F791" i="7" s="1"/>
  <c r="C791" i="7"/>
  <c r="D790" i="7"/>
  <c r="F790" i="7" s="1"/>
  <c r="C790" i="7"/>
  <c r="D789" i="7"/>
  <c r="F789" i="7" s="1"/>
  <c r="C789" i="7"/>
  <c r="D788" i="7"/>
  <c r="F788" i="7" s="1"/>
  <c r="C788" i="7"/>
  <c r="D787" i="7"/>
  <c r="F787" i="7" s="1"/>
  <c r="C787" i="7"/>
  <c r="D786" i="7"/>
  <c r="F786" i="7" s="1"/>
  <c r="C786" i="7"/>
  <c r="D785" i="7"/>
  <c r="F785" i="7" s="1"/>
  <c r="C785" i="7"/>
  <c r="D784" i="7"/>
  <c r="F784" i="7" s="1"/>
  <c r="C784" i="7"/>
  <c r="D783" i="7"/>
  <c r="F783" i="7" s="1"/>
  <c r="C783" i="7"/>
  <c r="D782" i="7"/>
  <c r="F782" i="7" s="1"/>
  <c r="C782" i="7"/>
  <c r="D781" i="7"/>
  <c r="F781" i="7" s="1"/>
  <c r="C781" i="7"/>
  <c r="D780" i="7"/>
  <c r="F780" i="7" s="1"/>
  <c r="C780" i="7"/>
  <c r="D779" i="7"/>
  <c r="F779" i="7" s="1"/>
  <c r="C779" i="7"/>
  <c r="D778" i="7"/>
  <c r="F778" i="7" s="1"/>
  <c r="C778" i="7"/>
  <c r="D777" i="7"/>
  <c r="F777" i="7" s="1"/>
  <c r="C777" i="7"/>
  <c r="D776" i="7"/>
  <c r="F776" i="7" s="1"/>
  <c r="C776" i="7"/>
  <c r="D775" i="7"/>
  <c r="F775" i="7" s="1"/>
  <c r="C775" i="7"/>
  <c r="D774" i="7"/>
  <c r="F774" i="7" s="1"/>
  <c r="C774" i="7"/>
  <c r="D773" i="7"/>
  <c r="F773" i="7" s="1"/>
  <c r="C773" i="7"/>
  <c r="D772" i="7"/>
  <c r="F772" i="7" s="1"/>
  <c r="C772" i="7"/>
  <c r="D771" i="7"/>
  <c r="F771" i="7" s="1"/>
  <c r="C771" i="7"/>
  <c r="D770" i="7"/>
  <c r="F770" i="7" s="1"/>
  <c r="C770" i="7"/>
  <c r="D769" i="7"/>
  <c r="F769" i="7" s="1"/>
  <c r="C769" i="7"/>
  <c r="D768" i="7"/>
  <c r="F768" i="7" s="1"/>
  <c r="C768" i="7"/>
  <c r="D767" i="7"/>
  <c r="F767" i="7" s="1"/>
  <c r="C767" i="7"/>
  <c r="D766" i="7"/>
  <c r="F766" i="7" s="1"/>
  <c r="C766" i="7"/>
  <c r="D765" i="7"/>
  <c r="F765" i="7" s="1"/>
  <c r="C765" i="7"/>
  <c r="D764" i="7"/>
  <c r="F764" i="7" s="1"/>
  <c r="C764" i="7"/>
  <c r="F763" i="7"/>
  <c r="D763" i="7"/>
  <c r="C763" i="7"/>
  <c r="D762" i="7"/>
  <c r="F762" i="7" s="1"/>
  <c r="C762" i="7"/>
  <c r="D761" i="7"/>
  <c r="F761" i="7" s="1"/>
  <c r="C761" i="7"/>
  <c r="D760" i="7"/>
  <c r="F760" i="7" s="1"/>
  <c r="C760" i="7"/>
  <c r="D759" i="7"/>
  <c r="F759" i="7" s="1"/>
  <c r="C759" i="7"/>
  <c r="D758" i="7"/>
  <c r="F758" i="7" s="1"/>
  <c r="C758" i="7"/>
  <c r="D757" i="7"/>
  <c r="F757" i="7" s="1"/>
  <c r="C757" i="7"/>
  <c r="D756" i="7"/>
  <c r="F756" i="7" s="1"/>
  <c r="C756" i="7"/>
  <c r="D755" i="7"/>
  <c r="F755" i="7" s="1"/>
  <c r="C755" i="7"/>
  <c r="D754" i="7"/>
  <c r="F754" i="7" s="1"/>
  <c r="C754" i="7"/>
  <c r="D753" i="7"/>
  <c r="F753" i="7" s="1"/>
  <c r="C753" i="7"/>
  <c r="D752" i="7"/>
  <c r="F752" i="7" s="1"/>
  <c r="C752" i="7"/>
  <c r="D751" i="7"/>
  <c r="F751" i="7" s="1"/>
  <c r="C751" i="7"/>
  <c r="D750" i="7"/>
  <c r="F750" i="7" s="1"/>
  <c r="C750" i="7"/>
  <c r="D749" i="7"/>
  <c r="F749" i="7" s="1"/>
  <c r="C749" i="7"/>
  <c r="D748" i="7"/>
  <c r="F748" i="7" s="1"/>
  <c r="C748" i="7"/>
  <c r="D747" i="7"/>
  <c r="F747" i="7" s="1"/>
  <c r="C747" i="7"/>
  <c r="D746" i="7"/>
  <c r="F746" i="7" s="1"/>
  <c r="C746" i="7"/>
  <c r="D745" i="7"/>
  <c r="F745" i="7" s="1"/>
  <c r="C745" i="7"/>
  <c r="D744" i="7"/>
  <c r="F744" i="7" s="1"/>
  <c r="C744" i="7"/>
  <c r="D743" i="7"/>
  <c r="F743" i="7" s="1"/>
  <c r="C743" i="7"/>
  <c r="D742" i="7"/>
  <c r="F742" i="7" s="1"/>
  <c r="C742" i="7"/>
  <c r="D741" i="7"/>
  <c r="F741" i="7" s="1"/>
  <c r="C741" i="7"/>
  <c r="D740" i="7"/>
  <c r="F740" i="7" s="1"/>
  <c r="C740" i="7"/>
  <c r="D739" i="7"/>
  <c r="F739" i="7" s="1"/>
  <c r="C739" i="7"/>
  <c r="D738" i="7"/>
  <c r="F738" i="7" s="1"/>
  <c r="C738" i="7"/>
  <c r="D737" i="7"/>
  <c r="F737" i="7" s="1"/>
  <c r="C737" i="7"/>
  <c r="D736" i="7"/>
  <c r="F736" i="7" s="1"/>
  <c r="C736" i="7"/>
  <c r="D735" i="7"/>
  <c r="F735" i="7" s="1"/>
  <c r="C735" i="7"/>
  <c r="D734" i="7"/>
  <c r="F734" i="7" s="1"/>
  <c r="C734" i="7"/>
  <c r="D733" i="7"/>
  <c r="F733" i="7" s="1"/>
  <c r="C733" i="7"/>
  <c r="D732" i="7"/>
  <c r="F732" i="7" s="1"/>
  <c r="C732" i="7"/>
  <c r="D731" i="7"/>
  <c r="F731" i="7" s="1"/>
  <c r="C731" i="7"/>
  <c r="D730" i="7"/>
  <c r="F730" i="7" s="1"/>
  <c r="C730" i="7"/>
  <c r="D729" i="7"/>
  <c r="F729" i="7" s="1"/>
  <c r="C729" i="7"/>
  <c r="D728" i="7"/>
  <c r="F728" i="7" s="1"/>
  <c r="C728" i="7"/>
  <c r="D727" i="7"/>
  <c r="F727" i="7" s="1"/>
  <c r="C727" i="7"/>
  <c r="D726" i="7"/>
  <c r="F726" i="7" s="1"/>
  <c r="C726" i="7"/>
  <c r="D725" i="7"/>
  <c r="F725" i="7" s="1"/>
  <c r="C725" i="7"/>
  <c r="D724" i="7"/>
  <c r="F724" i="7" s="1"/>
  <c r="C724" i="7"/>
  <c r="D723" i="7"/>
  <c r="F723" i="7" s="1"/>
  <c r="C723" i="7"/>
  <c r="D722" i="7"/>
  <c r="F722" i="7" s="1"/>
  <c r="C722" i="7"/>
  <c r="D721" i="7"/>
  <c r="F721" i="7" s="1"/>
  <c r="C721" i="7"/>
  <c r="D720" i="7"/>
  <c r="F720" i="7" s="1"/>
  <c r="C720" i="7"/>
  <c r="D719" i="7"/>
  <c r="F719" i="7" s="1"/>
  <c r="C719" i="7"/>
  <c r="D718" i="7"/>
  <c r="F718" i="7" s="1"/>
  <c r="C718" i="7"/>
  <c r="D717" i="7"/>
  <c r="F717" i="7" s="1"/>
  <c r="C717" i="7"/>
  <c r="D716" i="7"/>
  <c r="F716" i="7" s="1"/>
  <c r="C716" i="7"/>
  <c r="D715" i="7"/>
  <c r="F715" i="7" s="1"/>
  <c r="C715" i="7"/>
  <c r="D714" i="7"/>
  <c r="F714" i="7" s="1"/>
  <c r="C714" i="7"/>
  <c r="D713" i="7"/>
  <c r="F713" i="7" s="1"/>
  <c r="C713" i="7"/>
  <c r="D712" i="7"/>
  <c r="F712" i="7" s="1"/>
  <c r="C712" i="7"/>
  <c r="D711" i="7"/>
  <c r="F711" i="7" s="1"/>
  <c r="C711" i="7"/>
  <c r="D710" i="7"/>
  <c r="F710" i="7" s="1"/>
  <c r="C710" i="7"/>
  <c r="D709" i="7"/>
  <c r="F709" i="7" s="1"/>
  <c r="C709" i="7"/>
  <c r="D708" i="7"/>
  <c r="F708" i="7" s="1"/>
  <c r="C708" i="7"/>
  <c r="D707" i="7"/>
  <c r="F707" i="7" s="1"/>
  <c r="C707" i="7"/>
  <c r="D706" i="7"/>
  <c r="F706" i="7" s="1"/>
  <c r="C706" i="7"/>
  <c r="D705" i="7"/>
  <c r="F705" i="7" s="1"/>
  <c r="C705" i="7"/>
  <c r="D704" i="7"/>
  <c r="F704" i="7" s="1"/>
  <c r="C704" i="7"/>
  <c r="D703" i="7"/>
  <c r="F703" i="7" s="1"/>
  <c r="C703" i="7"/>
  <c r="D702" i="7"/>
  <c r="F702" i="7" s="1"/>
  <c r="C702" i="7"/>
  <c r="D701" i="7"/>
  <c r="F701" i="7" s="1"/>
  <c r="C701" i="7"/>
  <c r="D700" i="7"/>
  <c r="F700" i="7" s="1"/>
  <c r="C700" i="7"/>
  <c r="D699" i="7"/>
  <c r="F699" i="7" s="1"/>
  <c r="C699" i="7"/>
  <c r="D698" i="7"/>
  <c r="F698" i="7" s="1"/>
  <c r="C698" i="7"/>
  <c r="D697" i="7"/>
  <c r="F697" i="7" s="1"/>
  <c r="C697" i="7"/>
  <c r="D696" i="7"/>
  <c r="F696" i="7" s="1"/>
  <c r="C696" i="7"/>
  <c r="D695" i="7"/>
  <c r="F695" i="7" s="1"/>
  <c r="C695" i="7"/>
  <c r="D694" i="7"/>
  <c r="F694" i="7" s="1"/>
  <c r="C694" i="7"/>
  <c r="D693" i="7"/>
  <c r="F693" i="7" s="1"/>
  <c r="C693" i="7"/>
  <c r="D692" i="7"/>
  <c r="F692" i="7" s="1"/>
  <c r="C692" i="7"/>
  <c r="D691" i="7"/>
  <c r="F691" i="7" s="1"/>
  <c r="C691" i="7"/>
  <c r="D690" i="7"/>
  <c r="F690" i="7" s="1"/>
  <c r="C690" i="7"/>
  <c r="D689" i="7"/>
  <c r="F689" i="7" s="1"/>
  <c r="C689" i="7"/>
  <c r="D688" i="7"/>
  <c r="F688" i="7" s="1"/>
  <c r="C688" i="7"/>
  <c r="D687" i="7"/>
  <c r="F687" i="7" s="1"/>
  <c r="C687" i="7"/>
  <c r="D686" i="7"/>
  <c r="F686" i="7" s="1"/>
  <c r="C686" i="7"/>
  <c r="D685" i="7"/>
  <c r="F685" i="7" s="1"/>
  <c r="C685" i="7"/>
  <c r="D684" i="7"/>
  <c r="F684" i="7" s="1"/>
  <c r="C684" i="7"/>
  <c r="D683" i="7"/>
  <c r="F683" i="7" s="1"/>
  <c r="C683" i="7"/>
  <c r="D682" i="7"/>
  <c r="F682" i="7" s="1"/>
  <c r="C682" i="7"/>
  <c r="D681" i="7"/>
  <c r="F681" i="7" s="1"/>
  <c r="C681" i="7"/>
  <c r="D680" i="7"/>
  <c r="F680" i="7" s="1"/>
  <c r="C680" i="7"/>
  <c r="D679" i="7"/>
  <c r="F679" i="7" s="1"/>
  <c r="C679" i="7"/>
  <c r="D678" i="7"/>
  <c r="F678" i="7" s="1"/>
  <c r="C678" i="7"/>
  <c r="D677" i="7"/>
  <c r="F677" i="7" s="1"/>
  <c r="C677" i="7"/>
  <c r="D676" i="7"/>
  <c r="F676" i="7" s="1"/>
  <c r="C676" i="7"/>
  <c r="D675" i="7"/>
  <c r="F675" i="7" s="1"/>
  <c r="C675" i="7"/>
  <c r="D674" i="7"/>
  <c r="F674" i="7" s="1"/>
  <c r="C674" i="7"/>
  <c r="D673" i="7"/>
  <c r="F673" i="7" s="1"/>
  <c r="C673" i="7"/>
  <c r="D672" i="7"/>
  <c r="F672" i="7" s="1"/>
  <c r="C672" i="7"/>
  <c r="D671" i="7"/>
  <c r="F671" i="7" s="1"/>
  <c r="C671" i="7"/>
  <c r="D670" i="7"/>
  <c r="F670" i="7" s="1"/>
  <c r="C670" i="7"/>
  <c r="D669" i="7"/>
  <c r="F669" i="7" s="1"/>
  <c r="C669" i="7"/>
  <c r="D668" i="7"/>
  <c r="F668" i="7" s="1"/>
  <c r="C668" i="7"/>
  <c r="D667" i="7"/>
  <c r="F667" i="7" s="1"/>
  <c r="C667" i="7"/>
  <c r="D666" i="7"/>
  <c r="F666" i="7" s="1"/>
  <c r="C666" i="7"/>
  <c r="D665" i="7"/>
  <c r="F665" i="7" s="1"/>
  <c r="C665" i="7"/>
  <c r="D664" i="7"/>
  <c r="F664" i="7" s="1"/>
  <c r="C664" i="7"/>
  <c r="D663" i="7"/>
  <c r="F663" i="7" s="1"/>
  <c r="C663" i="7"/>
  <c r="D662" i="7"/>
  <c r="F662" i="7" s="1"/>
  <c r="C662" i="7"/>
  <c r="D661" i="7"/>
  <c r="F661" i="7" s="1"/>
  <c r="C661" i="7"/>
  <c r="D660" i="7"/>
  <c r="F660" i="7" s="1"/>
  <c r="C660" i="7"/>
  <c r="D659" i="7"/>
  <c r="F659" i="7" s="1"/>
  <c r="C659" i="7"/>
  <c r="D658" i="7"/>
  <c r="F658" i="7" s="1"/>
  <c r="C658" i="7"/>
  <c r="D657" i="7"/>
  <c r="F657" i="7" s="1"/>
  <c r="C657" i="7"/>
  <c r="D656" i="7"/>
  <c r="F656" i="7" s="1"/>
  <c r="C656" i="7"/>
  <c r="D655" i="7"/>
  <c r="F655" i="7" s="1"/>
  <c r="C655" i="7"/>
  <c r="D654" i="7"/>
  <c r="F654" i="7" s="1"/>
  <c r="C654" i="7"/>
  <c r="D653" i="7"/>
  <c r="F653" i="7" s="1"/>
  <c r="C653" i="7"/>
  <c r="D652" i="7"/>
  <c r="F652" i="7" s="1"/>
  <c r="C652" i="7"/>
  <c r="D651" i="7"/>
  <c r="F651" i="7" s="1"/>
  <c r="C651" i="7"/>
  <c r="D650" i="7"/>
  <c r="F650" i="7" s="1"/>
  <c r="C650" i="7"/>
  <c r="D649" i="7"/>
  <c r="F649" i="7" s="1"/>
  <c r="C649" i="7"/>
  <c r="D648" i="7"/>
  <c r="F648" i="7" s="1"/>
  <c r="C648" i="7"/>
  <c r="D647" i="7"/>
  <c r="F647" i="7" s="1"/>
  <c r="C647" i="7"/>
  <c r="D646" i="7"/>
  <c r="F646" i="7" s="1"/>
  <c r="C646" i="7"/>
  <c r="D645" i="7"/>
  <c r="F645" i="7" s="1"/>
  <c r="C645" i="7"/>
  <c r="D644" i="7"/>
  <c r="F644" i="7" s="1"/>
  <c r="C644" i="7"/>
  <c r="D643" i="7"/>
  <c r="F643" i="7" s="1"/>
  <c r="C643" i="7"/>
  <c r="D642" i="7"/>
  <c r="F642" i="7" s="1"/>
  <c r="C642" i="7"/>
  <c r="D641" i="7"/>
  <c r="F641" i="7" s="1"/>
  <c r="C641" i="7"/>
  <c r="D640" i="7"/>
  <c r="F640" i="7" s="1"/>
  <c r="C640" i="7"/>
  <c r="D639" i="7"/>
  <c r="F639" i="7" s="1"/>
  <c r="C639" i="7"/>
  <c r="D638" i="7"/>
  <c r="F638" i="7" s="1"/>
  <c r="C638" i="7"/>
  <c r="D637" i="7"/>
  <c r="F637" i="7" s="1"/>
  <c r="C637" i="7"/>
  <c r="D636" i="7"/>
  <c r="F636" i="7" s="1"/>
  <c r="C636" i="7"/>
  <c r="D635" i="7"/>
  <c r="F635" i="7" s="1"/>
  <c r="C635" i="7"/>
  <c r="D634" i="7"/>
  <c r="F634" i="7" s="1"/>
  <c r="C634" i="7"/>
  <c r="D633" i="7"/>
  <c r="F633" i="7" s="1"/>
  <c r="C633" i="7"/>
  <c r="D632" i="7"/>
  <c r="F632" i="7" s="1"/>
  <c r="C632" i="7"/>
  <c r="D631" i="7"/>
  <c r="F631" i="7" s="1"/>
  <c r="C631" i="7"/>
  <c r="D630" i="7"/>
  <c r="F630" i="7" s="1"/>
  <c r="C630" i="7"/>
  <c r="D629" i="7"/>
  <c r="F629" i="7" s="1"/>
  <c r="C629" i="7"/>
  <c r="D628" i="7"/>
  <c r="F628" i="7" s="1"/>
  <c r="C628" i="7"/>
  <c r="D627" i="7"/>
  <c r="F627" i="7" s="1"/>
  <c r="C627" i="7"/>
  <c r="D626" i="7"/>
  <c r="F626" i="7" s="1"/>
  <c r="C626" i="7"/>
  <c r="D625" i="7"/>
  <c r="F625" i="7" s="1"/>
  <c r="C625" i="7"/>
  <c r="D624" i="7"/>
  <c r="F624" i="7" s="1"/>
  <c r="C624" i="7"/>
  <c r="D623" i="7"/>
  <c r="F623" i="7" s="1"/>
  <c r="C623" i="7"/>
  <c r="D622" i="7"/>
  <c r="F622" i="7" s="1"/>
  <c r="C622" i="7"/>
  <c r="D621" i="7"/>
  <c r="F621" i="7" s="1"/>
  <c r="C621" i="7"/>
  <c r="D620" i="7"/>
  <c r="F620" i="7" s="1"/>
  <c r="C620" i="7"/>
  <c r="D619" i="7"/>
  <c r="F619" i="7" s="1"/>
  <c r="C619" i="7"/>
  <c r="D618" i="7"/>
  <c r="F618" i="7" s="1"/>
  <c r="C618" i="7"/>
  <c r="D617" i="7"/>
  <c r="F617" i="7" s="1"/>
  <c r="C617" i="7"/>
  <c r="D616" i="7"/>
  <c r="F616" i="7" s="1"/>
  <c r="C616" i="7"/>
  <c r="D615" i="7"/>
  <c r="F615" i="7" s="1"/>
  <c r="C615" i="7"/>
  <c r="D614" i="7"/>
  <c r="F614" i="7" s="1"/>
  <c r="C614" i="7"/>
  <c r="D613" i="7"/>
  <c r="F613" i="7" s="1"/>
  <c r="C613" i="7"/>
  <c r="D612" i="7"/>
  <c r="F612" i="7" s="1"/>
  <c r="C612" i="7"/>
  <c r="D611" i="7"/>
  <c r="F611" i="7" s="1"/>
  <c r="C611" i="7"/>
  <c r="D610" i="7"/>
  <c r="F610" i="7" s="1"/>
  <c r="C610" i="7"/>
  <c r="D609" i="7"/>
  <c r="F609" i="7" s="1"/>
  <c r="C609" i="7"/>
  <c r="D608" i="7"/>
  <c r="F608" i="7" s="1"/>
  <c r="C608" i="7"/>
  <c r="D607" i="7"/>
  <c r="F607" i="7" s="1"/>
  <c r="C607" i="7"/>
  <c r="D606" i="7"/>
  <c r="F606" i="7" s="1"/>
  <c r="C606" i="7"/>
  <c r="D605" i="7"/>
  <c r="F605" i="7" s="1"/>
  <c r="C605" i="7"/>
  <c r="D604" i="7"/>
  <c r="F604" i="7" s="1"/>
  <c r="C604" i="7"/>
  <c r="D603" i="7"/>
  <c r="F603" i="7" s="1"/>
  <c r="C603" i="7"/>
  <c r="D602" i="7"/>
  <c r="F602" i="7" s="1"/>
  <c r="C602" i="7"/>
  <c r="D601" i="7"/>
  <c r="F601" i="7" s="1"/>
  <c r="C601" i="7"/>
  <c r="D600" i="7"/>
  <c r="F600" i="7" s="1"/>
  <c r="C600" i="7"/>
  <c r="D599" i="7"/>
  <c r="F599" i="7" s="1"/>
  <c r="C599" i="7"/>
  <c r="D598" i="7"/>
  <c r="F598" i="7" s="1"/>
  <c r="C598" i="7"/>
  <c r="D597" i="7"/>
  <c r="F597" i="7" s="1"/>
  <c r="C597" i="7"/>
  <c r="D596" i="7"/>
  <c r="F596" i="7" s="1"/>
  <c r="C596" i="7"/>
  <c r="D595" i="7"/>
  <c r="F595" i="7" s="1"/>
  <c r="C595" i="7"/>
  <c r="D594" i="7"/>
  <c r="F594" i="7" s="1"/>
  <c r="C594" i="7"/>
  <c r="D593" i="7"/>
  <c r="F593" i="7" s="1"/>
  <c r="C593" i="7"/>
  <c r="D592" i="7"/>
  <c r="F592" i="7" s="1"/>
  <c r="C592" i="7"/>
  <c r="D591" i="7"/>
  <c r="F591" i="7" s="1"/>
  <c r="C591" i="7"/>
  <c r="D590" i="7"/>
  <c r="F590" i="7" s="1"/>
  <c r="C590" i="7"/>
  <c r="D589" i="7"/>
  <c r="F589" i="7" s="1"/>
  <c r="C589" i="7"/>
  <c r="D588" i="7"/>
  <c r="F588" i="7" s="1"/>
  <c r="C588" i="7"/>
  <c r="D587" i="7"/>
  <c r="F587" i="7" s="1"/>
  <c r="C587" i="7"/>
  <c r="D586" i="7"/>
  <c r="F586" i="7" s="1"/>
  <c r="C586" i="7"/>
  <c r="D585" i="7"/>
  <c r="F585" i="7" s="1"/>
  <c r="C585" i="7"/>
  <c r="D584" i="7"/>
  <c r="F584" i="7" s="1"/>
  <c r="C584" i="7"/>
  <c r="D583" i="7"/>
  <c r="F583" i="7" s="1"/>
  <c r="C583" i="7"/>
  <c r="D582" i="7"/>
  <c r="F582" i="7" s="1"/>
  <c r="C582" i="7"/>
  <c r="D581" i="7"/>
  <c r="F581" i="7" s="1"/>
  <c r="C581" i="7"/>
  <c r="D580" i="7"/>
  <c r="F580" i="7" s="1"/>
  <c r="C580" i="7"/>
  <c r="D579" i="7"/>
  <c r="F579" i="7" s="1"/>
  <c r="C579" i="7"/>
  <c r="D578" i="7"/>
  <c r="F578" i="7" s="1"/>
  <c r="C578" i="7"/>
  <c r="D577" i="7"/>
  <c r="F577" i="7" s="1"/>
  <c r="C577" i="7"/>
  <c r="D576" i="7"/>
  <c r="F576" i="7" s="1"/>
  <c r="C576" i="7"/>
  <c r="D575" i="7"/>
  <c r="F575" i="7" s="1"/>
  <c r="C575" i="7"/>
  <c r="D574" i="7"/>
  <c r="F574" i="7" s="1"/>
  <c r="C574" i="7"/>
  <c r="D573" i="7"/>
  <c r="F573" i="7" s="1"/>
  <c r="C573" i="7"/>
  <c r="D572" i="7"/>
  <c r="F572" i="7" s="1"/>
  <c r="C572" i="7"/>
  <c r="D571" i="7"/>
  <c r="F571" i="7" s="1"/>
  <c r="C571" i="7"/>
  <c r="D570" i="7"/>
  <c r="F570" i="7" s="1"/>
  <c r="C570" i="7"/>
  <c r="D569" i="7"/>
  <c r="F569" i="7" s="1"/>
  <c r="C569" i="7"/>
  <c r="D568" i="7"/>
  <c r="F568" i="7" s="1"/>
  <c r="C568" i="7"/>
  <c r="D567" i="7"/>
  <c r="F567" i="7" s="1"/>
  <c r="C567" i="7"/>
  <c r="D566" i="7"/>
  <c r="F566" i="7" s="1"/>
  <c r="C566" i="7"/>
  <c r="D565" i="7"/>
  <c r="F565" i="7" s="1"/>
  <c r="C565" i="7"/>
  <c r="D564" i="7"/>
  <c r="C564" i="7"/>
  <c r="D563" i="7"/>
  <c r="C563" i="7"/>
  <c r="D562" i="7"/>
  <c r="C562" i="7"/>
  <c r="D561" i="7"/>
  <c r="C561" i="7"/>
  <c r="D560" i="7"/>
  <c r="C560" i="7"/>
  <c r="D559" i="7"/>
  <c r="C559" i="7"/>
  <c r="D558" i="7"/>
  <c r="C558" i="7"/>
  <c r="D557" i="7"/>
  <c r="F557" i="7" s="1"/>
  <c r="C557" i="7"/>
  <c r="D556" i="7"/>
  <c r="F556" i="7" s="1"/>
  <c r="C556" i="7"/>
  <c r="D555" i="7"/>
  <c r="F555" i="7" s="1"/>
  <c r="C555" i="7"/>
  <c r="D554" i="7"/>
  <c r="F554" i="7" s="1"/>
  <c r="C554" i="7"/>
  <c r="D553" i="7"/>
  <c r="F553" i="7" s="1"/>
  <c r="C553" i="7"/>
  <c r="D552" i="7"/>
  <c r="F552" i="7" s="1"/>
  <c r="C552" i="7"/>
  <c r="D551" i="7"/>
  <c r="F551" i="7" s="1"/>
  <c r="C551" i="7"/>
  <c r="D550" i="7"/>
  <c r="F550" i="7" s="1"/>
  <c r="C550" i="7"/>
  <c r="D549" i="7"/>
  <c r="F549" i="7" s="1"/>
  <c r="C549" i="7"/>
  <c r="D548" i="7"/>
  <c r="F548" i="7" s="1"/>
  <c r="C548" i="7"/>
  <c r="D547" i="7"/>
  <c r="F547" i="7" s="1"/>
  <c r="C547" i="7"/>
  <c r="D546" i="7"/>
  <c r="F546" i="7" s="1"/>
  <c r="C546" i="7"/>
  <c r="D545" i="7"/>
  <c r="F545" i="7" s="1"/>
  <c r="C545" i="7"/>
  <c r="D544" i="7"/>
  <c r="F544" i="7" s="1"/>
  <c r="C544" i="7"/>
  <c r="D543" i="7"/>
  <c r="F543" i="7" s="1"/>
  <c r="C543" i="7"/>
  <c r="D542" i="7"/>
  <c r="F542" i="7" s="1"/>
  <c r="C542" i="7"/>
  <c r="D541" i="7"/>
  <c r="F541" i="7" s="1"/>
  <c r="C541" i="7"/>
  <c r="D540" i="7"/>
  <c r="F540" i="7" s="1"/>
  <c r="C540" i="7"/>
  <c r="D539" i="7"/>
  <c r="F539" i="7" s="1"/>
  <c r="C539" i="7"/>
  <c r="D538" i="7"/>
  <c r="F538" i="7" s="1"/>
  <c r="C538" i="7"/>
  <c r="D537" i="7"/>
  <c r="F537" i="7" s="1"/>
  <c r="C537" i="7"/>
  <c r="D536" i="7"/>
  <c r="F536" i="7" s="1"/>
  <c r="C536" i="7"/>
  <c r="D535" i="7"/>
  <c r="F535" i="7" s="1"/>
  <c r="C535" i="7"/>
  <c r="D534" i="7"/>
  <c r="F534" i="7" s="1"/>
  <c r="C534" i="7"/>
  <c r="D533" i="7"/>
  <c r="F533" i="7" s="1"/>
  <c r="C533" i="7"/>
  <c r="D532" i="7"/>
  <c r="F532" i="7" s="1"/>
  <c r="C532" i="7"/>
  <c r="D531" i="7"/>
  <c r="F531" i="7" s="1"/>
  <c r="C531" i="7"/>
  <c r="D530" i="7"/>
  <c r="F530" i="7" s="1"/>
  <c r="C530" i="7"/>
  <c r="D529" i="7"/>
  <c r="F529" i="7" s="1"/>
  <c r="C529" i="7"/>
  <c r="D528" i="7"/>
  <c r="F528" i="7" s="1"/>
  <c r="C528" i="7"/>
  <c r="D527" i="7"/>
  <c r="F527" i="7" s="1"/>
  <c r="C527" i="7"/>
  <c r="D526" i="7"/>
  <c r="F526" i="7" s="1"/>
  <c r="C526" i="7"/>
  <c r="D525" i="7"/>
  <c r="F525" i="7" s="1"/>
  <c r="C525" i="7"/>
  <c r="D524" i="7"/>
  <c r="F524" i="7" s="1"/>
  <c r="C524" i="7"/>
  <c r="D523" i="7"/>
  <c r="F523" i="7" s="1"/>
  <c r="C523" i="7"/>
  <c r="D522" i="7"/>
  <c r="F522" i="7" s="1"/>
  <c r="C522" i="7"/>
  <c r="D521" i="7"/>
  <c r="F521" i="7" s="1"/>
  <c r="C521" i="7"/>
  <c r="D520" i="7"/>
  <c r="F520" i="7" s="1"/>
  <c r="C520" i="7"/>
  <c r="D519" i="7"/>
  <c r="F519" i="7" s="1"/>
  <c r="C519" i="7"/>
  <c r="D518" i="7"/>
  <c r="F518" i="7" s="1"/>
  <c r="C518" i="7"/>
  <c r="D517" i="7"/>
  <c r="F517" i="7" s="1"/>
  <c r="C517" i="7"/>
  <c r="D516" i="7"/>
  <c r="F516" i="7" s="1"/>
  <c r="C516" i="7"/>
  <c r="D515" i="7"/>
  <c r="F515" i="7" s="1"/>
  <c r="C515" i="7"/>
  <c r="D514" i="7"/>
  <c r="F514" i="7" s="1"/>
  <c r="C514" i="7"/>
  <c r="D513" i="7"/>
  <c r="F513" i="7" s="1"/>
  <c r="C513" i="7"/>
  <c r="D512" i="7"/>
  <c r="F512" i="7" s="1"/>
  <c r="C512" i="7"/>
  <c r="D511" i="7"/>
  <c r="F511" i="7" s="1"/>
  <c r="C511" i="7"/>
  <c r="D510" i="7"/>
  <c r="F510" i="7" s="1"/>
  <c r="C510" i="7"/>
  <c r="F509" i="7"/>
  <c r="D509" i="7"/>
  <c r="C509" i="7"/>
  <c r="D508" i="7"/>
  <c r="F508" i="7" s="1"/>
  <c r="C508" i="7"/>
  <c r="D507" i="7"/>
  <c r="F507" i="7" s="1"/>
  <c r="C507" i="7"/>
  <c r="D506" i="7"/>
  <c r="F506" i="7" s="1"/>
  <c r="C506" i="7"/>
  <c r="D505" i="7"/>
  <c r="F505" i="7" s="1"/>
  <c r="C505" i="7"/>
  <c r="D504" i="7"/>
  <c r="F504" i="7" s="1"/>
  <c r="C504" i="7"/>
  <c r="D503" i="7"/>
  <c r="F503" i="7" s="1"/>
  <c r="C503" i="7"/>
  <c r="D502" i="7"/>
  <c r="F502" i="7" s="1"/>
  <c r="C502" i="7"/>
  <c r="D501" i="7"/>
  <c r="F501" i="7" s="1"/>
  <c r="C501" i="7"/>
  <c r="D500" i="7"/>
  <c r="F500" i="7" s="1"/>
  <c r="C500" i="7"/>
  <c r="D499" i="7"/>
  <c r="F499" i="7" s="1"/>
  <c r="C499" i="7"/>
  <c r="D498" i="7"/>
  <c r="F498" i="7" s="1"/>
  <c r="C498" i="7"/>
  <c r="D497" i="7"/>
  <c r="F497" i="7" s="1"/>
  <c r="C497" i="7"/>
  <c r="D496" i="7"/>
  <c r="F496" i="7" s="1"/>
  <c r="C496" i="7"/>
  <c r="D495" i="7"/>
  <c r="F495" i="7" s="1"/>
  <c r="C495" i="7"/>
  <c r="D494" i="7"/>
  <c r="F494" i="7" s="1"/>
  <c r="C494" i="7"/>
  <c r="D493" i="7"/>
  <c r="F493" i="7" s="1"/>
  <c r="C493" i="7"/>
  <c r="D492" i="7"/>
  <c r="F492" i="7" s="1"/>
  <c r="C492" i="7"/>
  <c r="D491" i="7"/>
  <c r="F491" i="7" s="1"/>
  <c r="C491" i="7"/>
  <c r="D490" i="7"/>
  <c r="F490" i="7" s="1"/>
  <c r="C490" i="7"/>
  <c r="D489" i="7"/>
  <c r="F489" i="7" s="1"/>
  <c r="C489" i="7"/>
  <c r="D488" i="7"/>
  <c r="F488" i="7" s="1"/>
  <c r="C488" i="7"/>
  <c r="D487" i="7"/>
  <c r="F487" i="7" s="1"/>
  <c r="C487" i="7"/>
  <c r="D486" i="7"/>
  <c r="F486" i="7" s="1"/>
  <c r="C486" i="7"/>
  <c r="D485" i="7"/>
  <c r="F485" i="7" s="1"/>
  <c r="C485" i="7"/>
  <c r="D484" i="7"/>
  <c r="F484" i="7" s="1"/>
  <c r="C484" i="7"/>
  <c r="D483" i="7"/>
  <c r="F483" i="7" s="1"/>
  <c r="C483" i="7"/>
  <c r="D482" i="7"/>
  <c r="F482" i="7" s="1"/>
  <c r="C482" i="7"/>
  <c r="D481" i="7"/>
  <c r="F481" i="7" s="1"/>
  <c r="C481" i="7"/>
  <c r="D480" i="7"/>
  <c r="F480" i="7" s="1"/>
  <c r="C480" i="7"/>
  <c r="D479" i="7"/>
  <c r="F479" i="7" s="1"/>
  <c r="C479" i="7"/>
  <c r="D478" i="7"/>
  <c r="F478" i="7" s="1"/>
  <c r="C478" i="7"/>
  <c r="D477" i="7"/>
  <c r="F477" i="7" s="1"/>
  <c r="C477" i="7"/>
  <c r="D476" i="7"/>
  <c r="F476" i="7" s="1"/>
  <c r="C476" i="7"/>
  <c r="D475" i="7"/>
  <c r="F475" i="7" s="1"/>
  <c r="C475" i="7"/>
  <c r="D474" i="7"/>
  <c r="F474" i="7" s="1"/>
  <c r="C474" i="7"/>
  <c r="D473" i="7"/>
  <c r="F473" i="7" s="1"/>
  <c r="C473" i="7"/>
  <c r="D472" i="7"/>
  <c r="F472" i="7" s="1"/>
  <c r="C472" i="7"/>
  <c r="D471" i="7"/>
  <c r="F471" i="7" s="1"/>
  <c r="C471" i="7"/>
  <c r="D470" i="7"/>
  <c r="F470" i="7" s="1"/>
  <c r="C470" i="7"/>
  <c r="D469" i="7"/>
  <c r="F469" i="7" s="1"/>
  <c r="C469" i="7"/>
  <c r="D468" i="7"/>
  <c r="F468" i="7" s="1"/>
  <c r="C468" i="7"/>
  <c r="D467" i="7"/>
  <c r="F467" i="7" s="1"/>
  <c r="C467" i="7"/>
  <c r="D466" i="7"/>
  <c r="F466" i="7" s="1"/>
  <c r="C466" i="7"/>
  <c r="D465" i="7"/>
  <c r="F465" i="7" s="1"/>
  <c r="C465" i="7"/>
  <c r="D464" i="7"/>
  <c r="F464" i="7" s="1"/>
  <c r="C464" i="7"/>
  <c r="D463" i="7"/>
  <c r="F463" i="7" s="1"/>
  <c r="C463" i="7"/>
  <c r="D462" i="7"/>
  <c r="F462" i="7" s="1"/>
  <c r="C462" i="7"/>
  <c r="D461" i="7"/>
  <c r="F461" i="7" s="1"/>
  <c r="C461" i="7"/>
  <c r="D460" i="7"/>
  <c r="F460" i="7" s="1"/>
  <c r="C460" i="7"/>
  <c r="D459" i="7"/>
  <c r="F459" i="7" s="1"/>
  <c r="C459" i="7"/>
  <c r="D458" i="7"/>
  <c r="F458" i="7" s="1"/>
  <c r="C458" i="7"/>
  <c r="D457" i="7"/>
  <c r="F457" i="7" s="1"/>
  <c r="C457" i="7"/>
  <c r="D456" i="7"/>
  <c r="F456" i="7" s="1"/>
  <c r="C456" i="7"/>
  <c r="D455" i="7"/>
  <c r="F455" i="7" s="1"/>
  <c r="C455" i="7"/>
  <c r="D454" i="7"/>
  <c r="F454" i="7" s="1"/>
  <c r="C454" i="7"/>
  <c r="D453" i="7"/>
  <c r="F453" i="7" s="1"/>
  <c r="C453" i="7"/>
  <c r="D452" i="7"/>
  <c r="F452" i="7" s="1"/>
  <c r="C452" i="7"/>
  <c r="D451" i="7"/>
  <c r="F451" i="7" s="1"/>
  <c r="C451" i="7"/>
  <c r="D450" i="7"/>
  <c r="F450" i="7" s="1"/>
  <c r="C450" i="7"/>
  <c r="D449" i="7"/>
  <c r="F449" i="7" s="1"/>
  <c r="C449" i="7"/>
  <c r="D448" i="7"/>
  <c r="F448" i="7" s="1"/>
  <c r="C448" i="7"/>
  <c r="D447" i="7"/>
  <c r="F447" i="7" s="1"/>
  <c r="C447" i="7"/>
  <c r="D446" i="7"/>
  <c r="F446" i="7" s="1"/>
  <c r="C446" i="7"/>
  <c r="D445" i="7"/>
  <c r="F445" i="7" s="1"/>
  <c r="C445" i="7"/>
  <c r="D444" i="7"/>
  <c r="F444" i="7" s="1"/>
  <c r="C444" i="7"/>
  <c r="D443" i="7"/>
  <c r="F443" i="7" s="1"/>
  <c r="C443" i="7"/>
  <c r="D442" i="7"/>
  <c r="F442" i="7" s="1"/>
  <c r="C442" i="7"/>
  <c r="D441" i="7"/>
  <c r="F441" i="7" s="1"/>
  <c r="C441" i="7"/>
  <c r="D440" i="7"/>
  <c r="F440" i="7" s="1"/>
  <c r="C440" i="7"/>
  <c r="D439" i="7"/>
  <c r="F439" i="7" s="1"/>
  <c r="C439" i="7"/>
  <c r="D438" i="7"/>
  <c r="F438" i="7" s="1"/>
  <c r="C438" i="7"/>
  <c r="D437" i="7"/>
  <c r="F437" i="7" s="1"/>
  <c r="C437" i="7"/>
  <c r="D436" i="7"/>
  <c r="F436" i="7" s="1"/>
  <c r="C436" i="7"/>
  <c r="D435" i="7"/>
  <c r="F435" i="7" s="1"/>
  <c r="C435" i="7"/>
  <c r="D434" i="7"/>
  <c r="F434" i="7" s="1"/>
  <c r="C434" i="7"/>
  <c r="D433" i="7"/>
  <c r="F433" i="7" s="1"/>
  <c r="C433" i="7"/>
  <c r="D432" i="7"/>
  <c r="F432" i="7" s="1"/>
  <c r="C432" i="7"/>
  <c r="D431" i="7"/>
  <c r="F431" i="7" s="1"/>
  <c r="C431" i="7"/>
  <c r="D430" i="7"/>
  <c r="F430" i="7" s="1"/>
  <c r="C430" i="7"/>
  <c r="D429" i="7"/>
  <c r="F429" i="7" s="1"/>
  <c r="C429" i="7"/>
  <c r="D428" i="7"/>
  <c r="F428" i="7" s="1"/>
  <c r="C428" i="7"/>
  <c r="D427" i="7"/>
  <c r="F427" i="7" s="1"/>
  <c r="C427" i="7"/>
  <c r="D426" i="7"/>
  <c r="F426" i="7" s="1"/>
  <c r="C426" i="7"/>
  <c r="D425" i="7"/>
  <c r="F425" i="7" s="1"/>
  <c r="C425" i="7"/>
  <c r="D424" i="7"/>
  <c r="F424" i="7" s="1"/>
  <c r="C424" i="7"/>
  <c r="D423" i="7"/>
  <c r="F423" i="7" s="1"/>
  <c r="C423" i="7"/>
  <c r="D422" i="7"/>
  <c r="F422" i="7" s="1"/>
  <c r="C422" i="7"/>
  <c r="D421" i="7"/>
  <c r="F421" i="7" s="1"/>
  <c r="C421" i="7"/>
  <c r="D420" i="7"/>
  <c r="F420" i="7" s="1"/>
  <c r="C420" i="7"/>
  <c r="D419" i="7"/>
  <c r="F419" i="7" s="1"/>
  <c r="C419" i="7"/>
  <c r="D418" i="7"/>
  <c r="F418" i="7" s="1"/>
  <c r="C418" i="7"/>
  <c r="D417" i="7"/>
  <c r="F417" i="7" s="1"/>
  <c r="C417" i="7"/>
  <c r="D416" i="7"/>
  <c r="F416" i="7" s="1"/>
  <c r="C416" i="7"/>
  <c r="D415" i="7"/>
  <c r="F415" i="7" s="1"/>
  <c r="C415" i="7"/>
  <c r="D414" i="7"/>
  <c r="F414" i="7" s="1"/>
  <c r="C414" i="7"/>
  <c r="D413" i="7"/>
  <c r="F413" i="7" s="1"/>
  <c r="C413" i="7"/>
  <c r="D412" i="7"/>
  <c r="F412" i="7" s="1"/>
  <c r="C412" i="7"/>
  <c r="D411" i="7"/>
  <c r="F411" i="7" s="1"/>
  <c r="C411" i="7"/>
  <c r="D410" i="7"/>
  <c r="F410" i="7" s="1"/>
  <c r="C410" i="7"/>
  <c r="D409" i="7"/>
  <c r="F409" i="7" s="1"/>
  <c r="C409" i="7"/>
  <c r="D408" i="7"/>
  <c r="F408" i="7" s="1"/>
  <c r="C408" i="7"/>
  <c r="D407" i="7"/>
  <c r="F407" i="7" s="1"/>
  <c r="C407" i="7"/>
  <c r="D406" i="7"/>
  <c r="F406" i="7" s="1"/>
  <c r="C406" i="7"/>
  <c r="D405" i="7"/>
  <c r="F405" i="7" s="1"/>
  <c r="C405" i="7"/>
  <c r="D404" i="7"/>
  <c r="F404" i="7" s="1"/>
  <c r="C404" i="7"/>
  <c r="D403" i="7"/>
  <c r="F403" i="7" s="1"/>
  <c r="C403" i="7"/>
  <c r="D402" i="7"/>
  <c r="F402" i="7" s="1"/>
  <c r="C402" i="7"/>
  <c r="D401" i="7"/>
  <c r="F401" i="7" s="1"/>
  <c r="C401" i="7"/>
  <c r="D400" i="7"/>
  <c r="F400" i="7" s="1"/>
  <c r="C400" i="7"/>
  <c r="D399" i="7"/>
  <c r="F399" i="7" s="1"/>
  <c r="C399" i="7"/>
  <c r="D398" i="7"/>
  <c r="F398" i="7" s="1"/>
  <c r="C398" i="7"/>
  <c r="D397" i="7"/>
  <c r="F397" i="7" s="1"/>
  <c r="C397" i="7"/>
  <c r="D396" i="7"/>
  <c r="F396" i="7" s="1"/>
  <c r="C396" i="7"/>
  <c r="D395" i="7"/>
  <c r="F395" i="7" s="1"/>
  <c r="C395" i="7"/>
  <c r="D394" i="7"/>
  <c r="F394" i="7" s="1"/>
  <c r="C394" i="7"/>
  <c r="D393" i="7"/>
  <c r="F393" i="7" s="1"/>
  <c r="C393" i="7"/>
  <c r="D392" i="7"/>
  <c r="F392" i="7" s="1"/>
  <c r="C392" i="7"/>
  <c r="D391" i="7"/>
  <c r="F391" i="7" s="1"/>
  <c r="C391" i="7"/>
  <c r="D390" i="7"/>
  <c r="F390" i="7" s="1"/>
  <c r="C390" i="7"/>
  <c r="D389" i="7"/>
  <c r="F389" i="7" s="1"/>
  <c r="C389" i="7"/>
  <c r="D388" i="7"/>
  <c r="F388" i="7" s="1"/>
  <c r="C388" i="7"/>
  <c r="D387" i="7"/>
  <c r="F387" i="7" s="1"/>
  <c r="C387" i="7"/>
  <c r="D386" i="7"/>
  <c r="F386" i="7" s="1"/>
  <c r="C386" i="7"/>
  <c r="D385" i="7"/>
  <c r="F385" i="7" s="1"/>
  <c r="C385" i="7"/>
  <c r="D384" i="7"/>
  <c r="F384" i="7" s="1"/>
  <c r="C384" i="7"/>
  <c r="D383" i="7"/>
  <c r="F383" i="7" s="1"/>
  <c r="C383" i="7"/>
  <c r="D382" i="7"/>
  <c r="F382" i="7" s="1"/>
  <c r="C382" i="7"/>
  <c r="D381" i="7"/>
  <c r="F381" i="7" s="1"/>
  <c r="C381" i="7"/>
  <c r="D380" i="7"/>
  <c r="F380" i="7" s="1"/>
  <c r="C380" i="7"/>
  <c r="D379" i="7"/>
  <c r="F379" i="7" s="1"/>
  <c r="C379" i="7"/>
  <c r="D378" i="7"/>
  <c r="F378" i="7" s="1"/>
  <c r="C378" i="7"/>
  <c r="D377" i="7"/>
  <c r="F377" i="7" s="1"/>
  <c r="C377" i="7"/>
  <c r="D376" i="7"/>
  <c r="F376" i="7" s="1"/>
  <c r="C376" i="7"/>
  <c r="D375" i="7"/>
  <c r="F375" i="7" s="1"/>
  <c r="C375" i="7"/>
  <c r="D374" i="7"/>
  <c r="F374" i="7" s="1"/>
  <c r="C374" i="7"/>
  <c r="D373" i="7"/>
  <c r="F373" i="7" s="1"/>
  <c r="C373" i="7"/>
  <c r="D372" i="7"/>
  <c r="F372" i="7" s="1"/>
  <c r="C372" i="7"/>
  <c r="D371" i="7"/>
  <c r="F371" i="7" s="1"/>
  <c r="C371" i="7"/>
  <c r="D370" i="7"/>
  <c r="F370" i="7" s="1"/>
  <c r="C370" i="7"/>
  <c r="D369" i="7"/>
  <c r="F369" i="7" s="1"/>
  <c r="C369" i="7"/>
  <c r="D368" i="7"/>
  <c r="F368" i="7" s="1"/>
  <c r="C368" i="7"/>
  <c r="D367" i="7"/>
  <c r="F367" i="7" s="1"/>
  <c r="C367" i="7"/>
  <c r="D366" i="7"/>
  <c r="F366" i="7" s="1"/>
  <c r="C366" i="7"/>
  <c r="D365" i="7"/>
  <c r="F365" i="7" s="1"/>
  <c r="C365" i="7"/>
  <c r="F364" i="7"/>
  <c r="D364" i="7"/>
  <c r="C364" i="7"/>
  <c r="D363" i="7"/>
  <c r="F363" i="7" s="1"/>
  <c r="C363" i="7"/>
  <c r="D362" i="7"/>
  <c r="F362" i="7" s="1"/>
  <c r="C362" i="7"/>
  <c r="D361" i="7"/>
  <c r="F361" i="7" s="1"/>
  <c r="C361" i="7"/>
  <c r="D360" i="7"/>
  <c r="F360" i="7" s="1"/>
  <c r="C360" i="7"/>
  <c r="D359" i="7"/>
  <c r="F359" i="7" s="1"/>
  <c r="C359" i="7"/>
  <c r="D358" i="7"/>
  <c r="F358" i="7" s="1"/>
  <c r="C358" i="7"/>
  <c r="D357" i="7"/>
  <c r="F357" i="7" s="1"/>
  <c r="C357" i="7"/>
  <c r="D356" i="7"/>
  <c r="F356" i="7" s="1"/>
  <c r="C356" i="7"/>
  <c r="D355" i="7"/>
  <c r="F355" i="7" s="1"/>
  <c r="C355" i="7"/>
  <c r="D354" i="7"/>
  <c r="F354" i="7" s="1"/>
  <c r="C354" i="7"/>
  <c r="D353" i="7"/>
  <c r="F353" i="7" s="1"/>
  <c r="C353" i="7"/>
  <c r="D352" i="7"/>
  <c r="F352" i="7" s="1"/>
  <c r="C352" i="7"/>
  <c r="D351" i="7"/>
  <c r="F351" i="7" s="1"/>
  <c r="C351" i="7"/>
  <c r="D350" i="7"/>
  <c r="F350" i="7" s="1"/>
  <c r="C350" i="7"/>
  <c r="D349" i="7"/>
  <c r="F349" i="7" s="1"/>
  <c r="C349" i="7"/>
  <c r="D348" i="7"/>
  <c r="F348" i="7" s="1"/>
  <c r="C348" i="7"/>
  <c r="D347" i="7"/>
  <c r="F347" i="7" s="1"/>
  <c r="C347" i="7"/>
  <c r="D346" i="7"/>
  <c r="F346" i="7" s="1"/>
  <c r="C346" i="7"/>
  <c r="D345" i="7"/>
  <c r="F345" i="7" s="1"/>
  <c r="C345" i="7"/>
  <c r="D344" i="7"/>
  <c r="F344" i="7" s="1"/>
  <c r="C344" i="7"/>
  <c r="D343" i="7"/>
  <c r="F343" i="7" s="1"/>
  <c r="C343" i="7"/>
  <c r="D342" i="7"/>
  <c r="F342" i="7" s="1"/>
  <c r="C342" i="7"/>
  <c r="D341" i="7"/>
  <c r="F341" i="7" s="1"/>
  <c r="C341" i="7"/>
  <c r="D340" i="7"/>
  <c r="F340" i="7" s="1"/>
  <c r="C340" i="7"/>
  <c r="D339" i="7"/>
  <c r="F339" i="7" s="1"/>
  <c r="C339" i="7"/>
  <c r="D338" i="7"/>
  <c r="F338" i="7" s="1"/>
  <c r="C338" i="7"/>
  <c r="D337" i="7"/>
  <c r="F337" i="7" s="1"/>
  <c r="C337" i="7"/>
  <c r="D336" i="7"/>
  <c r="F336" i="7" s="1"/>
  <c r="C336" i="7"/>
  <c r="D335" i="7"/>
  <c r="F335" i="7" s="1"/>
  <c r="C335" i="7"/>
  <c r="D334" i="7"/>
  <c r="F334" i="7" s="1"/>
  <c r="C334" i="7"/>
  <c r="D333" i="7"/>
  <c r="F333" i="7" s="1"/>
  <c r="C333" i="7"/>
  <c r="D332" i="7"/>
  <c r="F332" i="7" s="1"/>
  <c r="C332" i="7"/>
  <c r="D331" i="7"/>
  <c r="F331" i="7" s="1"/>
  <c r="C331" i="7"/>
  <c r="D330" i="7"/>
  <c r="F330" i="7" s="1"/>
  <c r="C330" i="7"/>
  <c r="D329" i="7"/>
  <c r="F329" i="7" s="1"/>
  <c r="C329" i="7"/>
  <c r="D328" i="7"/>
  <c r="F328" i="7" s="1"/>
  <c r="C328" i="7"/>
  <c r="D327" i="7"/>
  <c r="F327" i="7" s="1"/>
  <c r="C327" i="7"/>
  <c r="D326" i="7"/>
  <c r="F326" i="7" s="1"/>
  <c r="C326" i="7"/>
  <c r="D325" i="7"/>
  <c r="F325" i="7" s="1"/>
  <c r="C325" i="7"/>
  <c r="D324" i="7"/>
  <c r="F324" i="7" s="1"/>
  <c r="C324" i="7"/>
  <c r="D323" i="7"/>
  <c r="F323" i="7" s="1"/>
  <c r="C323" i="7"/>
  <c r="D322" i="7"/>
  <c r="F322" i="7" s="1"/>
  <c r="C322" i="7"/>
  <c r="D321" i="7"/>
  <c r="F321" i="7" s="1"/>
  <c r="C321" i="7"/>
  <c r="D320" i="7"/>
  <c r="F320" i="7" s="1"/>
  <c r="C320" i="7"/>
  <c r="D319" i="7"/>
  <c r="F319" i="7" s="1"/>
  <c r="C319" i="7"/>
  <c r="D318" i="7"/>
  <c r="F318" i="7" s="1"/>
  <c r="C318" i="7"/>
  <c r="D317" i="7"/>
  <c r="F317" i="7" s="1"/>
  <c r="C317" i="7"/>
  <c r="D316" i="7"/>
  <c r="F316" i="7" s="1"/>
  <c r="C316" i="7"/>
  <c r="D315" i="7"/>
  <c r="F315" i="7" s="1"/>
  <c r="C315" i="7"/>
  <c r="D314" i="7"/>
  <c r="F314" i="7" s="1"/>
  <c r="C314" i="7"/>
  <c r="D313" i="7"/>
  <c r="F313" i="7" s="1"/>
  <c r="C313" i="7"/>
  <c r="D312" i="7"/>
  <c r="F312" i="7" s="1"/>
  <c r="C312" i="7"/>
  <c r="D311" i="7"/>
  <c r="F311" i="7" s="1"/>
  <c r="C311" i="7"/>
  <c r="D310" i="7"/>
  <c r="F310" i="7" s="1"/>
  <c r="C310" i="7"/>
  <c r="F309" i="7"/>
  <c r="D309" i="7"/>
  <c r="C309" i="7"/>
  <c r="D308" i="7"/>
  <c r="F308" i="7" s="1"/>
  <c r="C308" i="7"/>
  <c r="D307" i="7"/>
  <c r="F307" i="7" s="1"/>
  <c r="C307" i="7"/>
  <c r="D306" i="7"/>
  <c r="F306" i="7" s="1"/>
  <c r="C306" i="7"/>
  <c r="D305" i="7"/>
  <c r="F305" i="7" s="1"/>
  <c r="C305" i="7"/>
  <c r="D304" i="7"/>
  <c r="F304" i="7" s="1"/>
  <c r="C304" i="7"/>
  <c r="D303" i="7"/>
  <c r="F303" i="7" s="1"/>
  <c r="C303" i="7"/>
  <c r="D302" i="7"/>
  <c r="F302" i="7" s="1"/>
  <c r="C302" i="7"/>
  <c r="D301" i="7"/>
  <c r="F301" i="7" s="1"/>
  <c r="C301" i="7"/>
  <c r="D300" i="7"/>
  <c r="F300" i="7" s="1"/>
  <c r="C300" i="7"/>
  <c r="D299" i="7"/>
  <c r="F299" i="7" s="1"/>
  <c r="C299" i="7"/>
  <c r="D298" i="7"/>
  <c r="F298" i="7" s="1"/>
  <c r="C298" i="7"/>
  <c r="D297" i="7"/>
  <c r="F297" i="7" s="1"/>
  <c r="C297" i="7"/>
  <c r="D296" i="7"/>
  <c r="F296" i="7" s="1"/>
  <c r="C296" i="7"/>
  <c r="D295" i="7"/>
  <c r="F295" i="7" s="1"/>
  <c r="C295" i="7"/>
  <c r="F294" i="7"/>
  <c r="D294" i="7"/>
  <c r="C294" i="7"/>
  <c r="D293" i="7"/>
  <c r="F293" i="7" s="1"/>
  <c r="C293" i="7"/>
  <c r="D292" i="7"/>
  <c r="F292" i="7" s="1"/>
  <c r="C292" i="7"/>
  <c r="D291" i="7"/>
  <c r="F291" i="7" s="1"/>
  <c r="C291" i="7"/>
  <c r="D290" i="7"/>
  <c r="F290" i="7" s="1"/>
  <c r="C290" i="7"/>
  <c r="D289" i="7"/>
  <c r="F289" i="7" s="1"/>
  <c r="C289" i="7"/>
  <c r="D288" i="7"/>
  <c r="F288" i="7" s="1"/>
  <c r="C288" i="7"/>
  <c r="D287" i="7"/>
  <c r="F287" i="7" s="1"/>
  <c r="C287" i="7"/>
  <c r="D286" i="7"/>
  <c r="F286" i="7" s="1"/>
  <c r="C286" i="7"/>
  <c r="D285" i="7"/>
  <c r="F285" i="7" s="1"/>
  <c r="C285" i="7"/>
  <c r="D284" i="7"/>
  <c r="F284" i="7" s="1"/>
  <c r="C284" i="7"/>
  <c r="D283" i="7"/>
  <c r="F283" i="7" s="1"/>
  <c r="C283" i="7"/>
  <c r="D282" i="7"/>
  <c r="F282" i="7" s="1"/>
  <c r="C282" i="7"/>
  <c r="D281" i="7"/>
  <c r="F281" i="7" s="1"/>
  <c r="C281" i="7"/>
  <c r="D280" i="7"/>
  <c r="F280" i="7" s="1"/>
  <c r="C280" i="7"/>
  <c r="D279" i="7"/>
  <c r="F279" i="7" s="1"/>
  <c r="C279" i="7"/>
  <c r="D278" i="7"/>
  <c r="F278" i="7" s="1"/>
  <c r="C278" i="7"/>
  <c r="D277" i="7"/>
  <c r="F277" i="7" s="1"/>
  <c r="C277" i="7"/>
  <c r="D276" i="7"/>
  <c r="F276" i="7" s="1"/>
  <c r="C276" i="7"/>
  <c r="D275" i="7"/>
  <c r="F275" i="7" s="1"/>
  <c r="C275" i="7"/>
  <c r="D274" i="7"/>
  <c r="F274" i="7" s="1"/>
  <c r="C274" i="7"/>
  <c r="D273" i="7"/>
  <c r="F273" i="7" s="1"/>
  <c r="C273" i="7"/>
  <c r="D272" i="7"/>
  <c r="F272" i="7" s="1"/>
  <c r="C272" i="7"/>
  <c r="D271" i="7"/>
  <c r="F271" i="7" s="1"/>
  <c r="C271" i="7"/>
  <c r="D270" i="7"/>
  <c r="F270" i="7" s="1"/>
  <c r="C270" i="7"/>
  <c r="D269" i="7"/>
  <c r="F269" i="7" s="1"/>
  <c r="C269" i="7"/>
  <c r="D268" i="7"/>
  <c r="F268" i="7" s="1"/>
  <c r="C268" i="7"/>
  <c r="D267" i="7"/>
  <c r="F267" i="7" s="1"/>
  <c r="C267" i="7"/>
  <c r="D266" i="7"/>
  <c r="F266" i="7" s="1"/>
  <c r="C266" i="7"/>
  <c r="D265" i="7"/>
  <c r="F265" i="7" s="1"/>
  <c r="C265" i="7"/>
  <c r="D264" i="7"/>
  <c r="F264" i="7" s="1"/>
  <c r="C264" i="7"/>
  <c r="D263" i="7"/>
  <c r="F263" i="7" s="1"/>
  <c r="C263" i="7"/>
  <c r="D262" i="7"/>
  <c r="F262" i="7" s="1"/>
  <c r="C262" i="7"/>
  <c r="D261" i="7"/>
  <c r="F261" i="7" s="1"/>
  <c r="C261" i="7"/>
  <c r="D260" i="7"/>
  <c r="F260" i="7" s="1"/>
  <c r="C260" i="7"/>
  <c r="D259" i="7"/>
  <c r="F259" i="7" s="1"/>
  <c r="C259" i="7"/>
  <c r="D258" i="7"/>
  <c r="F258" i="7" s="1"/>
  <c r="C258" i="7"/>
  <c r="D257" i="7"/>
  <c r="F257" i="7" s="1"/>
  <c r="C257" i="7"/>
  <c r="D256" i="7"/>
  <c r="F256" i="7" s="1"/>
  <c r="C256" i="7"/>
  <c r="D255" i="7"/>
  <c r="F255" i="7" s="1"/>
  <c r="C255" i="7"/>
  <c r="D254" i="7"/>
  <c r="F254" i="7" s="1"/>
  <c r="C254" i="7"/>
  <c r="D253" i="7"/>
  <c r="F253" i="7" s="1"/>
  <c r="C253" i="7"/>
  <c r="D252" i="7"/>
  <c r="F252" i="7" s="1"/>
  <c r="C252" i="7"/>
  <c r="D251" i="7"/>
  <c r="F251" i="7" s="1"/>
  <c r="C251" i="7"/>
  <c r="D250" i="7"/>
  <c r="F250" i="7" s="1"/>
  <c r="C250" i="7"/>
  <c r="D249" i="7"/>
  <c r="F249" i="7" s="1"/>
  <c r="C249" i="7"/>
  <c r="D248" i="7"/>
  <c r="F248" i="7" s="1"/>
  <c r="C248" i="7"/>
  <c r="D247" i="7"/>
  <c r="F247" i="7" s="1"/>
  <c r="C247" i="7"/>
  <c r="D246" i="7"/>
  <c r="F246" i="7" s="1"/>
  <c r="C246" i="7"/>
  <c r="D245" i="7"/>
  <c r="F245" i="7" s="1"/>
  <c r="C245" i="7"/>
  <c r="D244" i="7"/>
  <c r="F244" i="7" s="1"/>
  <c r="C244" i="7"/>
  <c r="D243" i="7"/>
  <c r="F243" i="7" s="1"/>
  <c r="C243" i="7"/>
  <c r="D242" i="7"/>
  <c r="F242" i="7" s="1"/>
  <c r="C242" i="7"/>
  <c r="D241" i="7"/>
  <c r="F241" i="7" s="1"/>
  <c r="C241" i="7"/>
  <c r="D240" i="7"/>
  <c r="F240" i="7" s="1"/>
  <c r="C240" i="7"/>
  <c r="D239" i="7"/>
  <c r="F239" i="7" s="1"/>
  <c r="C239" i="7"/>
  <c r="D238" i="7"/>
  <c r="F238" i="7" s="1"/>
  <c r="C238" i="7"/>
  <c r="D237" i="7"/>
  <c r="F237" i="7" s="1"/>
  <c r="C237" i="7"/>
  <c r="D236" i="7"/>
  <c r="F236" i="7" s="1"/>
  <c r="C236" i="7"/>
  <c r="D235" i="7"/>
  <c r="F235" i="7" s="1"/>
  <c r="C235" i="7"/>
  <c r="D234" i="7"/>
  <c r="F234" i="7" s="1"/>
  <c r="C234" i="7"/>
  <c r="D233" i="7"/>
  <c r="F233" i="7" s="1"/>
  <c r="C233" i="7"/>
  <c r="D232" i="7"/>
  <c r="F232" i="7" s="1"/>
  <c r="C232" i="7"/>
  <c r="D231" i="7"/>
  <c r="F231" i="7" s="1"/>
  <c r="C231" i="7"/>
  <c r="D230" i="7"/>
  <c r="F230" i="7" s="1"/>
  <c r="C230" i="7"/>
  <c r="D229" i="7"/>
  <c r="F229" i="7" s="1"/>
  <c r="C229" i="7"/>
  <c r="D228" i="7"/>
  <c r="F228" i="7" s="1"/>
  <c r="C228" i="7"/>
  <c r="D227" i="7"/>
  <c r="F227" i="7" s="1"/>
  <c r="C227" i="7"/>
  <c r="D226" i="7"/>
  <c r="F226" i="7" s="1"/>
  <c r="C226" i="7"/>
  <c r="D225" i="7"/>
  <c r="F225" i="7" s="1"/>
  <c r="C225" i="7"/>
  <c r="D224" i="7"/>
  <c r="F224" i="7" s="1"/>
  <c r="C224" i="7"/>
  <c r="D223" i="7"/>
  <c r="F223" i="7" s="1"/>
  <c r="C223" i="7"/>
  <c r="D222" i="7"/>
  <c r="F222" i="7" s="1"/>
  <c r="C222" i="7"/>
  <c r="D221" i="7"/>
  <c r="F221" i="7" s="1"/>
  <c r="C221" i="7"/>
  <c r="D220" i="7"/>
  <c r="F220" i="7" s="1"/>
  <c r="C220" i="7"/>
  <c r="D219" i="7"/>
  <c r="F219" i="7" s="1"/>
  <c r="C219" i="7"/>
  <c r="D218" i="7"/>
  <c r="F218" i="7" s="1"/>
  <c r="C218" i="7"/>
  <c r="D217" i="7"/>
  <c r="F217" i="7" s="1"/>
  <c r="C217" i="7"/>
  <c r="D216" i="7"/>
  <c r="F216" i="7" s="1"/>
  <c r="C216" i="7"/>
  <c r="D215" i="7"/>
  <c r="F215" i="7" s="1"/>
  <c r="C215" i="7"/>
  <c r="F214" i="7"/>
  <c r="D214" i="7"/>
  <c r="C214" i="7"/>
  <c r="D213" i="7"/>
  <c r="F213" i="7" s="1"/>
  <c r="C213" i="7"/>
  <c r="D212" i="7"/>
  <c r="F212" i="7" s="1"/>
  <c r="C212" i="7"/>
  <c r="D211" i="7"/>
  <c r="F211" i="7" s="1"/>
  <c r="C211" i="7"/>
  <c r="D210" i="7"/>
  <c r="F210" i="7" s="1"/>
  <c r="C210" i="7"/>
  <c r="D209" i="7"/>
  <c r="F209" i="7" s="1"/>
  <c r="C209" i="7"/>
  <c r="D208" i="7"/>
  <c r="F208" i="7" s="1"/>
  <c r="C208" i="7"/>
  <c r="D207" i="7"/>
  <c r="F207" i="7" s="1"/>
  <c r="C207" i="7"/>
  <c r="D206" i="7"/>
  <c r="F206" i="7" s="1"/>
  <c r="C206" i="7"/>
  <c r="D205" i="7"/>
  <c r="F205" i="7" s="1"/>
  <c r="C205" i="7"/>
  <c r="D204" i="7"/>
  <c r="F204" i="7" s="1"/>
  <c r="C204" i="7"/>
  <c r="D203" i="7"/>
  <c r="F203" i="7" s="1"/>
  <c r="C203" i="7"/>
  <c r="D202" i="7"/>
  <c r="F202" i="7" s="1"/>
  <c r="C202" i="7"/>
  <c r="D201" i="7"/>
  <c r="F201" i="7" s="1"/>
  <c r="C201" i="7"/>
  <c r="D200" i="7"/>
  <c r="F200" i="7" s="1"/>
  <c r="C200" i="7"/>
  <c r="D199" i="7"/>
  <c r="F199" i="7" s="1"/>
  <c r="C199" i="7"/>
  <c r="D198" i="7"/>
  <c r="F198" i="7" s="1"/>
  <c r="C198" i="7"/>
  <c r="D197" i="7"/>
  <c r="F197" i="7" s="1"/>
  <c r="C197" i="7"/>
  <c r="D196" i="7"/>
  <c r="F196" i="7" s="1"/>
  <c r="C196" i="7"/>
  <c r="D195" i="7"/>
  <c r="F195" i="7" s="1"/>
  <c r="C195" i="7"/>
  <c r="F194" i="7"/>
  <c r="D194" i="7"/>
  <c r="C194" i="7"/>
  <c r="D193" i="7"/>
  <c r="F193" i="7" s="1"/>
  <c r="C193" i="7"/>
  <c r="D192" i="7"/>
  <c r="F192" i="7" s="1"/>
  <c r="C192" i="7"/>
  <c r="D191" i="7"/>
  <c r="F191" i="7" s="1"/>
  <c r="C191" i="7"/>
  <c r="D190" i="7"/>
  <c r="F190" i="7" s="1"/>
  <c r="C190" i="7"/>
  <c r="D189" i="7"/>
  <c r="F189" i="7" s="1"/>
  <c r="C189" i="7"/>
  <c r="D188" i="7"/>
  <c r="F188" i="7" s="1"/>
  <c r="C188" i="7"/>
  <c r="D187" i="7"/>
  <c r="F187" i="7" s="1"/>
  <c r="C187" i="7"/>
  <c r="D186" i="7"/>
  <c r="F186" i="7" s="1"/>
  <c r="C186" i="7"/>
  <c r="D185" i="7"/>
  <c r="F185" i="7" s="1"/>
  <c r="C185" i="7"/>
  <c r="D184" i="7"/>
  <c r="F184" i="7" s="1"/>
  <c r="C184" i="7"/>
  <c r="D183" i="7"/>
  <c r="F183" i="7" s="1"/>
  <c r="C183" i="7"/>
  <c r="D182" i="7"/>
  <c r="F182" i="7" s="1"/>
  <c r="C182" i="7"/>
  <c r="D181" i="7"/>
  <c r="F181" i="7" s="1"/>
  <c r="C181" i="7"/>
  <c r="D180" i="7"/>
  <c r="F180" i="7" s="1"/>
  <c r="C180" i="7"/>
  <c r="D179" i="7"/>
  <c r="F179" i="7" s="1"/>
  <c r="C179" i="7"/>
  <c r="D178" i="7"/>
  <c r="F178" i="7" s="1"/>
  <c r="C178" i="7"/>
  <c r="D177" i="7"/>
  <c r="F177" i="7" s="1"/>
  <c r="C177" i="7"/>
  <c r="F176" i="7"/>
  <c r="D176" i="7"/>
  <c r="C176" i="7"/>
  <c r="D175" i="7"/>
  <c r="F175" i="7" s="1"/>
  <c r="C175" i="7"/>
  <c r="D174" i="7"/>
  <c r="F174" i="7" s="1"/>
  <c r="C174" i="7"/>
  <c r="D173" i="7"/>
  <c r="F173" i="7" s="1"/>
  <c r="C173" i="7"/>
  <c r="D172" i="7"/>
  <c r="F172" i="7" s="1"/>
  <c r="C172" i="7"/>
  <c r="D171" i="7"/>
  <c r="F171" i="7" s="1"/>
  <c r="C171" i="7"/>
  <c r="D170" i="7"/>
  <c r="F170" i="7" s="1"/>
  <c r="C170" i="7"/>
  <c r="D169" i="7"/>
  <c r="F169" i="7" s="1"/>
  <c r="C169" i="7"/>
  <c r="D168" i="7"/>
  <c r="F168" i="7" s="1"/>
  <c r="C168" i="7"/>
  <c r="D167" i="7"/>
  <c r="F167" i="7" s="1"/>
  <c r="C167" i="7"/>
  <c r="D166" i="7"/>
  <c r="F166" i="7" s="1"/>
  <c r="C166" i="7"/>
  <c r="D165" i="7"/>
  <c r="F165" i="7" s="1"/>
  <c r="C165" i="7"/>
  <c r="D164" i="7"/>
  <c r="F164" i="7" s="1"/>
  <c r="C164" i="7"/>
  <c r="D163" i="7"/>
  <c r="F163" i="7" s="1"/>
  <c r="C163" i="7"/>
  <c r="D162" i="7"/>
  <c r="F162" i="7" s="1"/>
  <c r="C162" i="7"/>
  <c r="D161" i="7"/>
  <c r="F161" i="7" s="1"/>
  <c r="C161" i="7"/>
  <c r="D160" i="7"/>
  <c r="F160" i="7" s="1"/>
  <c r="C160" i="7"/>
  <c r="D159" i="7"/>
  <c r="F159" i="7" s="1"/>
  <c r="C159" i="7"/>
  <c r="D158" i="7"/>
  <c r="F158" i="7" s="1"/>
  <c r="C158" i="7"/>
  <c r="D157" i="7"/>
  <c r="F157" i="7" s="1"/>
  <c r="C157" i="7"/>
  <c r="D156" i="7"/>
  <c r="F156" i="7" s="1"/>
  <c r="C156" i="7"/>
  <c r="D155" i="7"/>
  <c r="F155" i="7" s="1"/>
  <c r="C155" i="7"/>
  <c r="D154" i="7"/>
  <c r="F154" i="7" s="1"/>
  <c r="C154" i="7"/>
  <c r="D153" i="7"/>
  <c r="F153" i="7" s="1"/>
  <c r="C153" i="7"/>
  <c r="D152" i="7"/>
  <c r="F152" i="7" s="1"/>
  <c r="C152" i="7"/>
  <c r="D151" i="7"/>
  <c r="F151" i="7" s="1"/>
  <c r="C151" i="7"/>
  <c r="D150" i="7"/>
  <c r="F150" i="7" s="1"/>
  <c r="C150" i="7"/>
  <c r="D149" i="7"/>
  <c r="F149" i="7" s="1"/>
  <c r="C149" i="7"/>
  <c r="D148" i="7"/>
  <c r="F148" i="7" s="1"/>
  <c r="C148" i="7"/>
  <c r="D147" i="7"/>
  <c r="F147" i="7" s="1"/>
  <c r="C147" i="7"/>
  <c r="D146" i="7"/>
  <c r="F146" i="7" s="1"/>
  <c r="C146" i="7"/>
  <c r="D145" i="7"/>
  <c r="F145" i="7" s="1"/>
  <c r="C145" i="7"/>
  <c r="D144" i="7"/>
  <c r="F144" i="7" s="1"/>
  <c r="C144" i="7"/>
  <c r="D143" i="7"/>
  <c r="F143" i="7" s="1"/>
  <c r="C143" i="7"/>
  <c r="D142" i="7"/>
  <c r="F142" i="7" s="1"/>
  <c r="C142" i="7"/>
  <c r="D141" i="7"/>
  <c r="F141" i="7" s="1"/>
  <c r="C141" i="7"/>
  <c r="D140" i="7"/>
  <c r="F140" i="7" s="1"/>
  <c r="C140" i="7"/>
  <c r="D139" i="7"/>
  <c r="F139" i="7" s="1"/>
  <c r="C139" i="7"/>
  <c r="D138" i="7"/>
  <c r="F138" i="7" s="1"/>
  <c r="C138" i="7"/>
  <c r="D137" i="7"/>
  <c r="F137" i="7" s="1"/>
  <c r="C137" i="7"/>
  <c r="D136" i="7"/>
  <c r="F136" i="7" s="1"/>
  <c r="C136" i="7"/>
  <c r="D135" i="7"/>
  <c r="F135" i="7" s="1"/>
  <c r="C135" i="7"/>
  <c r="D134" i="7"/>
  <c r="F134" i="7" s="1"/>
  <c r="C134" i="7"/>
  <c r="D133" i="7"/>
  <c r="F133" i="7" s="1"/>
  <c r="C133" i="7"/>
  <c r="D132" i="7"/>
  <c r="F132" i="7" s="1"/>
  <c r="C132" i="7"/>
  <c r="D131" i="7"/>
  <c r="F131" i="7" s="1"/>
  <c r="C131" i="7"/>
  <c r="D130" i="7"/>
  <c r="F130" i="7" s="1"/>
  <c r="C130" i="7"/>
  <c r="D129" i="7"/>
  <c r="F129" i="7" s="1"/>
  <c r="C129" i="7"/>
  <c r="D128" i="7"/>
  <c r="F128" i="7" s="1"/>
  <c r="C128" i="7"/>
  <c r="D127" i="7"/>
  <c r="F127" i="7" s="1"/>
  <c r="C127" i="7"/>
  <c r="D126" i="7"/>
  <c r="F126" i="7" s="1"/>
  <c r="C126" i="7"/>
  <c r="D125" i="7"/>
  <c r="F125" i="7" s="1"/>
  <c r="C125" i="7"/>
  <c r="F124" i="7"/>
  <c r="D124" i="7"/>
  <c r="C124" i="7"/>
  <c r="D123" i="7"/>
  <c r="F123" i="7" s="1"/>
  <c r="C123" i="7"/>
  <c r="D122" i="7"/>
  <c r="F122" i="7" s="1"/>
  <c r="C122" i="7"/>
  <c r="D121" i="7"/>
  <c r="F121" i="7" s="1"/>
  <c r="C121" i="7"/>
  <c r="D120" i="7"/>
  <c r="F120" i="7" s="1"/>
  <c r="C120" i="7"/>
  <c r="D119" i="7"/>
  <c r="F119" i="7" s="1"/>
  <c r="C119" i="7"/>
  <c r="D118" i="7"/>
  <c r="F118" i="7" s="1"/>
  <c r="C118" i="7"/>
  <c r="D117" i="7"/>
  <c r="F117" i="7" s="1"/>
  <c r="C117" i="7"/>
  <c r="D116" i="7"/>
  <c r="F116" i="7" s="1"/>
  <c r="C116" i="7"/>
  <c r="D115" i="7"/>
  <c r="F115" i="7" s="1"/>
  <c r="C115" i="7"/>
  <c r="D114" i="7"/>
  <c r="F114" i="7" s="1"/>
  <c r="C114" i="7"/>
  <c r="D113" i="7"/>
  <c r="F113" i="7" s="1"/>
  <c r="C113" i="7"/>
  <c r="D112" i="7"/>
  <c r="F112" i="7" s="1"/>
  <c r="C112" i="7"/>
  <c r="D111" i="7"/>
  <c r="F111" i="7" s="1"/>
  <c r="C111" i="7"/>
  <c r="D110" i="7"/>
  <c r="F110" i="7" s="1"/>
  <c r="C110" i="7"/>
  <c r="D109" i="7"/>
  <c r="F109" i="7" s="1"/>
  <c r="C109" i="7"/>
  <c r="D108" i="7"/>
  <c r="F108" i="7" s="1"/>
  <c r="C108" i="7"/>
  <c r="D107" i="7"/>
  <c r="F107" i="7" s="1"/>
  <c r="C107" i="7"/>
  <c r="D106" i="7"/>
  <c r="F106" i="7" s="1"/>
  <c r="C106" i="7"/>
  <c r="D105" i="7"/>
  <c r="F105" i="7" s="1"/>
  <c r="C105" i="7"/>
  <c r="D104" i="7"/>
  <c r="F104" i="7" s="1"/>
  <c r="C104" i="7"/>
  <c r="D103" i="7"/>
  <c r="F103" i="7" s="1"/>
  <c r="C103" i="7"/>
  <c r="D102" i="7"/>
  <c r="F102" i="7" s="1"/>
  <c r="C102" i="7"/>
  <c r="D101" i="7"/>
  <c r="F101" i="7" s="1"/>
  <c r="C101" i="7"/>
  <c r="D100" i="7"/>
  <c r="F100" i="7" s="1"/>
  <c r="C100" i="7"/>
  <c r="D99" i="7"/>
  <c r="F99" i="7" s="1"/>
  <c r="C99" i="7"/>
  <c r="D98" i="7"/>
  <c r="F98" i="7" s="1"/>
  <c r="C98" i="7"/>
  <c r="D97" i="7"/>
  <c r="F97" i="7" s="1"/>
  <c r="C97" i="7"/>
  <c r="D96" i="7"/>
  <c r="F96" i="7" s="1"/>
  <c r="C96" i="7"/>
  <c r="D95" i="7"/>
  <c r="F95" i="7" s="1"/>
  <c r="C95" i="7"/>
  <c r="D94" i="7"/>
  <c r="F94" i="7" s="1"/>
  <c r="C94" i="7"/>
  <c r="D93" i="7"/>
  <c r="F93" i="7" s="1"/>
  <c r="C93" i="7"/>
  <c r="D92" i="7"/>
  <c r="F92" i="7" s="1"/>
  <c r="C92" i="7"/>
  <c r="D91" i="7"/>
  <c r="F91" i="7" s="1"/>
  <c r="C91" i="7"/>
  <c r="D90" i="7"/>
  <c r="F90" i="7" s="1"/>
  <c r="C90" i="7"/>
  <c r="D89" i="7"/>
  <c r="F89" i="7" s="1"/>
  <c r="C89" i="7"/>
  <c r="D88" i="7"/>
  <c r="F88" i="7" s="1"/>
  <c r="C88" i="7"/>
  <c r="D87" i="7"/>
  <c r="F87" i="7" s="1"/>
  <c r="C87" i="7"/>
  <c r="D86" i="7"/>
  <c r="F86" i="7" s="1"/>
  <c r="C86" i="7"/>
  <c r="D85" i="7"/>
  <c r="F85" i="7" s="1"/>
  <c r="C85" i="7"/>
  <c r="D84" i="7"/>
  <c r="F84" i="7" s="1"/>
  <c r="C84" i="7"/>
  <c r="D83" i="7"/>
  <c r="F83" i="7" s="1"/>
  <c r="C83" i="7"/>
  <c r="D82" i="7"/>
  <c r="F82" i="7" s="1"/>
  <c r="C82" i="7"/>
  <c r="D81" i="7"/>
  <c r="F81" i="7" s="1"/>
  <c r="C81" i="7"/>
  <c r="D80" i="7"/>
  <c r="F80" i="7" s="1"/>
  <c r="C80" i="7"/>
  <c r="D79" i="7"/>
  <c r="F79" i="7" s="1"/>
  <c r="C79" i="7"/>
  <c r="D78" i="7"/>
  <c r="F78" i="7" s="1"/>
  <c r="C78" i="7"/>
  <c r="D77" i="7"/>
  <c r="F77" i="7" s="1"/>
  <c r="C77" i="7"/>
  <c r="D76" i="7"/>
  <c r="F76" i="7" s="1"/>
  <c r="C76" i="7"/>
  <c r="D75" i="7"/>
  <c r="F75" i="7" s="1"/>
  <c r="C75" i="7"/>
  <c r="D74" i="7"/>
  <c r="F74" i="7" s="1"/>
  <c r="C74" i="7"/>
  <c r="D73" i="7"/>
  <c r="F73" i="7" s="1"/>
  <c r="C73" i="7"/>
  <c r="D72" i="7"/>
  <c r="F72" i="7" s="1"/>
  <c r="C72" i="7"/>
  <c r="D71" i="7"/>
  <c r="F71" i="7" s="1"/>
  <c r="C71" i="7"/>
  <c r="D70" i="7"/>
  <c r="F70" i="7" s="1"/>
  <c r="C70" i="7"/>
  <c r="D69" i="7"/>
  <c r="F69" i="7" s="1"/>
  <c r="C69" i="7"/>
  <c r="D68" i="7"/>
  <c r="F68" i="7" s="1"/>
  <c r="C68" i="7"/>
  <c r="D67" i="7"/>
  <c r="F67" i="7" s="1"/>
  <c r="C67" i="7"/>
  <c r="D66" i="7"/>
  <c r="F66" i="7" s="1"/>
  <c r="C66" i="7"/>
  <c r="D65" i="7"/>
  <c r="F65" i="7" s="1"/>
  <c r="C65" i="7"/>
  <c r="D64" i="7"/>
  <c r="F64" i="7" s="1"/>
  <c r="C64" i="7"/>
  <c r="D63" i="7"/>
  <c r="F63" i="7" s="1"/>
  <c r="C63" i="7"/>
  <c r="D62" i="7"/>
  <c r="F62" i="7" s="1"/>
  <c r="C62" i="7"/>
  <c r="D61" i="7"/>
  <c r="F61" i="7" s="1"/>
  <c r="C61" i="7"/>
  <c r="D60" i="7"/>
  <c r="F60" i="7" s="1"/>
  <c r="C60" i="7"/>
  <c r="D59" i="7"/>
  <c r="F59" i="7" s="1"/>
  <c r="C59" i="7"/>
  <c r="D58" i="7"/>
  <c r="F58" i="7" s="1"/>
  <c r="C58" i="7"/>
  <c r="D57" i="7"/>
  <c r="F57" i="7" s="1"/>
  <c r="C57" i="7"/>
  <c r="D56" i="7"/>
  <c r="F56" i="7" s="1"/>
  <c r="C56" i="7"/>
  <c r="D55" i="7"/>
  <c r="F55" i="7" s="1"/>
  <c r="C55" i="7"/>
  <c r="D54" i="7"/>
  <c r="F54" i="7" s="1"/>
  <c r="C54" i="7"/>
  <c r="D53" i="7"/>
  <c r="F53" i="7" s="1"/>
  <c r="C53" i="7"/>
  <c r="D52" i="7"/>
  <c r="F52" i="7" s="1"/>
  <c r="C52" i="7"/>
  <c r="D51" i="7"/>
  <c r="F51" i="7" s="1"/>
  <c r="C51" i="7"/>
  <c r="F50" i="7"/>
  <c r="D50" i="7"/>
  <c r="C50" i="7"/>
  <c r="D49" i="7"/>
  <c r="F49" i="7" s="1"/>
  <c r="C49" i="7"/>
  <c r="D48" i="7"/>
  <c r="F48" i="7" s="1"/>
  <c r="C48" i="7"/>
  <c r="D47" i="7"/>
  <c r="F47" i="7" s="1"/>
  <c r="C47" i="7"/>
  <c r="D46" i="7"/>
  <c r="F46" i="7" s="1"/>
  <c r="C46" i="7"/>
  <c r="D45" i="7"/>
  <c r="F45" i="7" s="1"/>
  <c r="C45" i="7"/>
  <c r="D44" i="7"/>
  <c r="F44" i="7" s="1"/>
  <c r="C44" i="7"/>
  <c r="D43" i="7"/>
  <c r="F43" i="7" s="1"/>
  <c r="C43" i="7"/>
  <c r="D42" i="7"/>
  <c r="F42" i="7" s="1"/>
  <c r="C42" i="7"/>
  <c r="C41" i="7"/>
  <c r="D40" i="7"/>
  <c r="F40" i="7" s="1"/>
  <c r="C40" i="7"/>
  <c r="D39" i="7"/>
  <c r="F39" i="7" s="1"/>
  <c r="C39" i="7"/>
  <c r="D38" i="7"/>
  <c r="F38" i="7" s="1"/>
  <c r="C38" i="7"/>
  <c r="D37" i="7"/>
  <c r="F37" i="7" s="1"/>
  <c r="C37" i="7"/>
  <c r="D36" i="7"/>
  <c r="F36" i="7" s="1"/>
  <c r="C36" i="7"/>
  <c r="D35" i="7"/>
  <c r="F35" i="7" s="1"/>
  <c r="C35" i="7"/>
  <c r="D34" i="7"/>
  <c r="F34" i="7" s="1"/>
  <c r="C34" i="7"/>
  <c r="D33" i="7"/>
  <c r="F33" i="7" s="1"/>
  <c r="C33" i="7"/>
  <c r="D32" i="7"/>
  <c r="F32" i="7" s="1"/>
  <c r="C32" i="7"/>
  <c r="D31" i="7"/>
  <c r="F31" i="7" s="1"/>
  <c r="C31" i="7"/>
  <c r="D30" i="7"/>
  <c r="F30" i="7" s="1"/>
  <c r="C30" i="7"/>
  <c r="D29" i="7"/>
  <c r="F29" i="7" s="1"/>
  <c r="C29" i="7"/>
  <c r="D28" i="7"/>
  <c r="F28" i="7" s="1"/>
  <c r="C28" i="7"/>
  <c r="D27" i="7"/>
  <c r="F27" i="7" s="1"/>
  <c r="C27" i="7"/>
  <c r="D26" i="7"/>
  <c r="F26" i="7" s="1"/>
  <c r="C26" i="7"/>
  <c r="D25" i="7"/>
  <c r="F25" i="7" s="1"/>
  <c r="C25" i="7"/>
  <c r="D24" i="7"/>
  <c r="F24" i="7" s="1"/>
  <c r="C24" i="7"/>
  <c r="D23" i="7"/>
  <c r="F23" i="7" s="1"/>
  <c r="C23" i="7"/>
  <c r="D22" i="7"/>
  <c r="F22" i="7" s="1"/>
  <c r="C22" i="7"/>
  <c r="D21" i="7"/>
  <c r="F21" i="7" s="1"/>
  <c r="C21" i="7"/>
  <c r="D20" i="7"/>
  <c r="F20" i="7" s="1"/>
  <c r="C20" i="7"/>
  <c r="D19" i="7"/>
  <c r="F19" i="7" s="1"/>
  <c r="C19" i="7"/>
  <c r="D18" i="7"/>
  <c r="F18" i="7" s="1"/>
  <c r="C18" i="7"/>
  <c r="D17" i="7"/>
  <c r="F17" i="7" s="1"/>
  <c r="C17" i="7"/>
  <c r="D16" i="7"/>
  <c r="F16" i="7" s="1"/>
  <c r="C16" i="7"/>
  <c r="D15" i="7"/>
  <c r="F15" i="7" s="1"/>
  <c r="C15" i="7"/>
  <c r="D14" i="7"/>
  <c r="F14" i="7" s="1"/>
  <c r="C14" i="7"/>
  <c r="D13" i="7"/>
  <c r="F13" i="7" s="1"/>
  <c r="C13" i="7"/>
  <c r="D12" i="7"/>
  <c r="F12" i="7" s="1"/>
  <c r="C12" i="7"/>
  <c r="D11" i="7"/>
  <c r="F11" i="7" s="1"/>
  <c r="C11" i="7"/>
  <c r="D10" i="7"/>
  <c r="F10" i="7" s="1"/>
  <c r="C10" i="7"/>
  <c r="D9" i="7"/>
  <c r="F9" i="7" s="1"/>
  <c r="C9" i="7"/>
  <c r="D8" i="7"/>
  <c r="F8" i="7" s="1"/>
  <c r="C8" i="7"/>
  <c r="D7" i="7"/>
  <c r="F7" i="7" s="1"/>
  <c r="C7" i="7"/>
  <c r="D6" i="7"/>
  <c r="F6" i="7" s="1"/>
  <c r="C6" i="7"/>
  <c r="D5" i="7"/>
  <c r="F5" i="7" s="1"/>
  <c r="C5" i="7"/>
  <c r="D4" i="7"/>
  <c r="F4" i="7" s="1"/>
  <c r="C4" i="7"/>
  <c r="D3" i="7"/>
  <c r="F3" i="7" s="1"/>
  <c r="C3" i="7"/>
  <c r="I2" i="7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D1066" i="6"/>
  <c r="C1066" i="6"/>
  <c r="D1065" i="6"/>
  <c r="C1065" i="6"/>
  <c r="D1064" i="6"/>
  <c r="C1064" i="6"/>
  <c r="D1063" i="6"/>
  <c r="C1063" i="6"/>
  <c r="D1062" i="6"/>
  <c r="C1062" i="6"/>
  <c r="D1061" i="6"/>
  <c r="C1061" i="6"/>
  <c r="D1060" i="6"/>
  <c r="C1060" i="6"/>
  <c r="D1059" i="6"/>
  <c r="C1059" i="6"/>
  <c r="D1058" i="6"/>
  <c r="C1058" i="6"/>
  <c r="D1057" i="6"/>
  <c r="C1057" i="6"/>
  <c r="D1056" i="6"/>
  <c r="C1056" i="6"/>
  <c r="D1055" i="6"/>
  <c r="C1055" i="6"/>
  <c r="D1054" i="6"/>
  <c r="C1054" i="6"/>
  <c r="D1053" i="6"/>
  <c r="C1053" i="6"/>
  <c r="D1052" i="6"/>
  <c r="C1052" i="6"/>
  <c r="D1051" i="6"/>
  <c r="C1051" i="6"/>
  <c r="D1050" i="6"/>
  <c r="C1050" i="6"/>
  <c r="D1049" i="6"/>
  <c r="C1049" i="6"/>
  <c r="D1048" i="6"/>
  <c r="C1048" i="6"/>
  <c r="D1047" i="6"/>
  <c r="C1047" i="6"/>
  <c r="D1046" i="6"/>
  <c r="C1046" i="6"/>
  <c r="D1045" i="6"/>
  <c r="C1045" i="6"/>
  <c r="D1044" i="6"/>
  <c r="C1044" i="6"/>
  <c r="D1043" i="6"/>
  <c r="C1043" i="6"/>
  <c r="D1042" i="6"/>
  <c r="C1042" i="6"/>
  <c r="D1041" i="6"/>
  <c r="C1041" i="6"/>
  <c r="D1040" i="6"/>
  <c r="C1040" i="6"/>
  <c r="D1039" i="6"/>
  <c r="C1039" i="6"/>
  <c r="D1038" i="6"/>
  <c r="C1038" i="6"/>
  <c r="D1037" i="6"/>
  <c r="C1037" i="6"/>
  <c r="D1036" i="6"/>
  <c r="C1036" i="6"/>
  <c r="D1035" i="6"/>
  <c r="C1035" i="6"/>
  <c r="D1034" i="6"/>
  <c r="C1034" i="6"/>
  <c r="D1033" i="6"/>
  <c r="C1033" i="6"/>
  <c r="D1032" i="6"/>
  <c r="C1032" i="6"/>
  <c r="D1031" i="6"/>
  <c r="C1031" i="6"/>
  <c r="D1030" i="6"/>
  <c r="C1030" i="6"/>
  <c r="D1029" i="6"/>
  <c r="C1029" i="6"/>
  <c r="D1028" i="6"/>
  <c r="C1028" i="6"/>
  <c r="D1027" i="6"/>
  <c r="C1027" i="6"/>
  <c r="D1026" i="6"/>
  <c r="C1026" i="6"/>
  <c r="D1025" i="6"/>
  <c r="C1025" i="6"/>
  <c r="D1024" i="6"/>
  <c r="C1024" i="6"/>
  <c r="D1023" i="6"/>
  <c r="C1023" i="6"/>
  <c r="D1022" i="6"/>
  <c r="C1022" i="6"/>
  <c r="D1021" i="6"/>
  <c r="C1021" i="6"/>
  <c r="D1020" i="6"/>
  <c r="C1020" i="6"/>
  <c r="D1019" i="6"/>
  <c r="C1019" i="6"/>
  <c r="D1018" i="6"/>
  <c r="C1018" i="6"/>
  <c r="D1017" i="6"/>
  <c r="C1017" i="6"/>
  <c r="D1016" i="6"/>
  <c r="C1016" i="6"/>
  <c r="D1015" i="6"/>
  <c r="C1015" i="6"/>
  <c r="D1014" i="6"/>
  <c r="C1014" i="6"/>
  <c r="D1013" i="6"/>
  <c r="C1013" i="6"/>
  <c r="D1012" i="6"/>
  <c r="C1012" i="6"/>
  <c r="D1011" i="6"/>
  <c r="C1011" i="6"/>
  <c r="D1010" i="6"/>
  <c r="C1010" i="6"/>
  <c r="D1009" i="6"/>
  <c r="C1009" i="6"/>
  <c r="D1008" i="6"/>
  <c r="C1008" i="6"/>
  <c r="D1007" i="6"/>
  <c r="C1007" i="6"/>
  <c r="D1006" i="6"/>
  <c r="C1006" i="6"/>
  <c r="D1005" i="6"/>
  <c r="C1005" i="6"/>
  <c r="D1004" i="6"/>
  <c r="C1004" i="6"/>
  <c r="D1003" i="6"/>
  <c r="C1003" i="6"/>
  <c r="D1002" i="6"/>
  <c r="C1002" i="6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G399" i="6"/>
  <c r="D399" i="6"/>
  <c r="C399" i="6"/>
  <c r="G398" i="6"/>
  <c r="D398" i="6"/>
  <c r="C398" i="6"/>
  <c r="G397" i="6"/>
  <c r="D397" i="6"/>
  <c r="C397" i="6"/>
  <c r="G396" i="6"/>
  <c r="D396" i="6"/>
  <c r="C396" i="6"/>
  <c r="G395" i="6"/>
  <c r="D395" i="6"/>
  <c r="C395" i="6"/>
  <c r="G394" i="6"/>
  <c r="D394" i="6"/>
  <c r="C394" i="6"/>
  <c r="G393" i="6"/>
  <c r="D393" i="6"/>
  <c r="C393" i="6"/>
  <c r="G392" i="6"/>
  <c r="D392" i="6"/>
  <c r="C392" i="6"/>
  <c r="G391" i="6"/>
  <c r="D391" i="6"/>
  <c r="C391" i="6"/>
  <c r="G390" i="6"/>
  <c r="D390" i="6"/>
  <c r="C390" i="6"/>
  <c r="G389" i="6"/>
  <c r="D389" i="6"/>
  <c r="C389" i="6"/>
  <c r="G388" i="6"/>
  <c r="D388" i="6"/>
  <c r="C388" i="6"/>
  <c r="G387" i="6"/>
  <c r="D387" i="6"/>
  <c r="C387" i="6"/>
  <c r="G386" i="6"/>
  <c r="D386" i="6"/>
  <c r="C386" i="6"/>
  <c r="G385" i="6"/>
  <c r="D385" i="6"/>
  <c r="C385" i="6"/>
  <c r="G384" i="6"/>
  <c r="D384" i="6"/>
  <c r="C384" i="6"/>
  <c r="G383" i="6"/>
  <c r="D383" i="6"/>
  <c r="C383" i="6"/>
  <c r="G382" i="6"/>
  <c r="D382" i="6"/>
  <c r="C382" i="6"/>
  <c r="G381" i="6"/>
  <c r="D381" i="6"/>
  <c r="C381" i="6"/>
  <c r="G380" i="6"/>
  <c r="D380" i="6"/>
  <c r="C380" i="6"/>
  <c r="G379" i="6"/>
  <c r="D379" i="6"/>
  <c r="C379" i="6"/>
  <c r="G378" i="6"/>
  <c r="D378" i="6"/>
  <c r="C378" i="6"/>
  <c r="G377" i="6"/>
  <c r="D377" i="6"/>
  <c r="C377" i="6"/>
  <c r="G376" i="6"/>
  <c r="D376" i="6"/>
  <c r="C376" i="6"/>
  <c r="G375" i="6"/>
  <c r="D375" i="6"/>
  <c r="C375" i="6"/>
  <c r="G374" i="6"/>
  <c r="D374" i="6"/>
  <c r="C374" i="6"/>
  <c r="G373" i="6"/>
  <c r="D373" i="6"/>
  <c r="C373" i="6"/>
  <c r="G372" i="6"/>
  <c r="D372" i="6"/>
  <c r="C372" i="6"/>
  <c r="G371" i="6"/>
  <c r="D371" i="6"/>
  <c r="C371" i="6"/>
  <c r="G370" i="6"/>
  <c r="D370" i="6"/>
  <c r="C370" i="6"/>
  <c r="G369" i="6"/>
  <c r="D369" i="6"/>
  <c r="C369" i="6"/>
  <c r="G368" i="6"/>
  <c r="D368" i="6"/>
  <c r="C368" i="6"/>
  <c r="G367" i="6"/>
  <c r="D367" i="6"/>
  <c r="C367" i="6"/>
  <c r="G366" i="6"/>
  <c r="D366" i="6"/>
  <c r="C366" i="6"/>
  <c r="G365" i="6"/>
  <c r="D365" i="6"/>
  <c r="C365" i="6"/>
  <c r="G364" i="6"/>
  <c r="D364" i="6"/>
  <c r="C364" i="6"/>
  <c r="G363" i="6"/>
  <c r="D363" i="6"/>
  <c r="C363" i="6"/>
  <c r="G362" i="6"/>
  <c r="D362" i="6"/>
  <c r="C362" i="6"/>
  <c r="G361" i="6"/>
  <c r="D361" i="6"/>
  <c r="C361" i="6"/>
  <c r="G360" i="6"/>
  <c r="D360" i="6"/>
  <c r="C360" i="6"/>
  <c r="G359" i="6"/>
  <c r="D359" i="6"/>
  <c r="C359" i="6"/>
  <c r="G358" i="6"/>
  <c r="D358" i="6"/>
  <c r="C358" i="6"/>
  <c r="G357" i="6"/>
  <c r="D357" i="6"/>
  <c r="C357" i="6"/>
  <c r="G356" i="6"/>
  <c r="D356" i="6"/>
  <c r="C356" i="6"/>
  <c r="G355" i="6"/>
  <c r="D355" i="6"/>
  <c r="C355" i="6"/>
  <c r="G354" i="6"/>
  <c r="D354" i="6"/>
  <c r="C354" i="6"/>
  <c r="G353" i="6"/>
  <c r="D353" i="6"/>
  <c r="C353" i="6"/>
  <c r="G352" i="6"/>
  <c r="D352" i="6"/>
  <c r="C352" i="6"/>
  <c r="G351" i="6"/>
  <c r="D351" i="6"/>
  <c r="C351" i="6"/>
  <c r="G350" i="6"/>
  <c r="D350" i="6"/>
  <c r="C350" i="6"/>
  <c r="G349" i="6"/>
  <c r="D349" i="6"/>
  <c r="C349" i="6"/>
  <c r="G348" i="6"/>
  <c r="D348" i="6"/>
  <c r="C348" i="6"/>
  <c r="G347" i="6"/>
  <c r="D347" i="6"/>
  <c r="C347" i="6"/>
  <c r="G346" i="6"/>
  <c r="D346" i="6"/>
  <c r="C346" i="6"/>
  <c r="G345" i="6"/>
  <c r="D345" i="6"/>
  <c r="C345" i="6"/>
  <c r="G344" i="6"/>
  <c r="D344" i="6"/>
  <c r="C344" i="6"/>
  <c r="G343" i="6"/>
  <c r="D343" i="6"/>
  <c r="C343" i="6"/>
  <c r="G342" i="6"/>
  <c r="D342" i="6"/>
  <c r="C342" i="6"/>
  <c r="G341" i="6"/>
  <c r="D341" i="6"/>
  <c r="C341" i="6"/>
  <c r="G340" i="6"/>
  <c r="D340" i="6"/>
  <c r="C340" i="6"/>
  <c r="G339" i="6"/>
  <c r="D339" i="6"/>
  <c r="C339" i="6"/>
  <c r="G338" i="6"/>
  <c r="D338" i="6"/>
  <c r="C338" i="6"/>
  <c r="G337" i="6"/>
  <c r="D337" i="6"/>
  <c r="C337" i="6"/>
  <c r="G336" i="6"/>
  <c r="D336" i="6"/>
  <c r="C336" i="6"/>
  <c r="G335" i="6"/>
  <c r="D335" i="6"/>
  <c r="C335" i="6"/>
  <c r="G334" i="6"/>
  <c r="D334" i="6"/>
  <c r="C334" i="6"/>
  <c r="G333" i="6"/>
  <c r="D333" i="6"/>
  <c r="C333" i="6"/>
  <c r="G332" i="6"/>
  <c r="D332" i="6"/>
  <c r="C332" i="6"/>
  <c r="G331" i="6"/>
  <c r="D331" i="6"/>
  <c r="C331" i="6"/>
  <c r="G330" i="6"/>
  <c r="D330" i="6"/>
  <c r="C330" i="6"/>
  <c r="G329" i="6"/>
  <c r="D329" i="6"/>
  <c r="C329" i="6"/>
  <c r="G328" i="6"/>
  <c r="D328" i="6"/>
  <c r="C328" i="6"/>
  <c r="G327" i="6"/>
  <c r="D327" i="6"/>
  <c r="C327" i="6"/>
  <c r="G326" i="6"/>
  <c r="D326" i="6"/>
  <c r="C326" i="6"/>
  <c r="G325" i="6"/>
  <c r="D325" i="6"/>
  <c r="C325" i="6"/>
  <c r="G324" i="6"/>
  <c r="D324" i="6"/>
  <c r="C324" i="6"/>
  <c r="G323" i="6"/>
  <c r="D323" i="6"/>
  <c r="C323" i="6"/>
  <c r="G322" i="6"/>
  <c r="D322" i="6"/>
  <c r="C322" i="6"/>
  <c r="G321" i="6"/>
  <c r="D321" i="6"/>
  <c r="C321" i="6"/>
  <c r="G320" i="6"/>
  <c r="D320" i="6"/>
  <c r="C320" i="6"/>
  <c r="G319" i="6"/>
  <c r="D319" i="6"/>
  <c r="C319" i="6"/>
  <c r="G318" i="6"/>
  <c r="D318" i="6"/>
  <c r="C318" i="6"/>
  <c r="G317" i="6"/>
  <c r="D317" i="6"/>
  <c r="C317" i="6"/>
  <c r="G316" i="6"/>
  <c r="D316" i="6"/>
  <c r="C316" i="6"/>
  <c r="G315" i="6"/>
  <c r="D315" i="6"/>
  <c r="C315" i="6"/>
  <c r="G314" i="6"/>
  <c r="D314" i="6"/>
  <c r="C314" i="6"/>
  <c r="G313" i="6"/>
  <c r="D313" i="6"/>
  <c r="C313" i="6"/>
  <c r="G312" i="6"/>
  <c r="D312" i="6"/>
  <c r="C312" i="6"/>
  <c r="G311" i="6"/>
  <c r="D311" i="6"/>
  <c r="C311" i="6"/>
  <c r="G310" i="6"/>
  <c r="D310" i="6"/>
  <c r="C310" i="6"/>
  <c r="G309" i="6"/>
  <c r="D309" i="6"/>
  <c r="C309" i="6"/>
  <c r="G308" i="6"/>
  <c r="D308" i="6"/>
  <c r="C308" i="6"/>
  <c r="G307" i="6"/>
  <c r="D307" i="6"/>
  <c r="C307" i="6"/>
  <c r="G306" i="6"/>
  <c r="D306" i="6"/>
  <c r="C306" i="6"/>
  <c r="G305" i="6"/>
  <c r="D305" i="6"/>
  <c r="C305" i="6"/>
  <c r="G304" i="6"/>
  <c r="D304" i="6"/>
  <c r="C304" i="6"/>
  <c r="G303" i="6"/>
  <c r="D303" i="6"/>
  <c r="C303" i="6"/>
  <c r="G302" i="6"/>
  <c r="D302" i="6"/>
  <c r="C302" i="6"/>
  <c r="G301" i="6"/>
  <c r="D301" i="6"/>
  <c r="C301" i="6"/>
  <c r="G300" i="6"/>
  <c r="D300" i="6"/>
  <c r="C300" i="6"/>
  <c r="G299" i="6"/>
  <c r="H299" i="6" s="1"/>
  <c r="D299" i="6"/>
  <c r="C299" i="6"/>
  <c r="G298" i="6"/>
  <c r="H298" i="6" s="1"/>
  <c r="D298" i="6"/>
  <c r="C298" i="6"/>
  <c r="G297" i="6"/>
  <c r="H297" i="6" s="1"/>
  <c r="D297" i="6"/>
  <c r="C297" i="6"/>
  <c r="G296" i="6"/>
  <c r="H296" i="6" s="1"/>
  <c r="D296" i="6"/>
  <c r="C296" i="6"/>
  <c r="G295" i="6"/>
  <c r="H295" i="6" s="1"/>
  <c r="D295" i="6"/>
  <c r="C295" i="6"/>
  <c r="G294" i="6"/>
  <c r="H294" i="6" s="1"/>
  <c r="D294" i="6"/>
  <c r="C294" i="6"/>
  <c r="G293" i="6"/>
  <c r="H293" i="6" s="1"/>
  <c r="D293" i="6"/>
  <c r="C293" i="6"/>
  <c r="G292" i="6"/>
  <c r="H292" i="6" s="1"/>
  <c r="D292" i="6"/>
  <c r="C292" i="6"/>
  <c r="G291" i="6"/>
  <c r="H291" i="6" s="1"/>
  <c r="D291" i="6"/>
  <c r="C291" i="6"/>
  <c r="G290" i="6"/>
  <c r="H290" i="6" s="1"/>
  <c r="D290" i="6"/>
  <c r="C290" i="6"/>
  <c r="G289" i="6"/>
  <c r="H289" i="6" s="1"/>
  <c r="D289" i="6"/>
  <c r="C289" i="6"/>
  <c r="G288" i="6"/>
  <c r="H288" i="6" s="1"/>
  <c r="D288" i="6"/>
  <c r="C288" i="6"/>
  <c r="G287" i="6"/>
  <c r="H287" i="6" s="1"/>
  <c r="D287" i="6"/>
  <c r="C287" i="6"/>
  <c r="G286" i="6"/>
  <c r="H286" i="6" s="1"/>
  <c r="D286" i="6"/>
  <c r="C286" i="6"/>
  <c r="G285" i="6"/>
  <c r="H285" i="6" s="1"/>
  <c r="D285" i="6"/>
  <c r="C285" i="6"/>
  <c r="G284" i="6"/>
  <c r="D284" i="6"/>
  <c r="C284" i="6"/>
  <c r="G283" i="6"/>
  <c r="D283" i="6"/>
  <c r="C283" i="6"/>
  <c r="G282" i="6"/>
  <c r="D282" i="6"/>
  <c r="C282" i="6"/>
  <c r="G281" i="6"/>
  <c r="D281" i="6"/>
  <c r="C281" i="6"/>
  <c r="G280" i="6"/>
  <c r="D280" i="6"/>
  <c r="C280" i="6"/>
  <c r="H279" i="6"/>
  <c r="G279" i="6"/>
  <c r="D279" i="6"/>
  <c r="C279" i="6"/>
  <c r="H278" i="6"/>
  <c r="G278" i="6"/>
  <c r="D278" i="6"/>
  <c r="C278" i="6"/>
  <c r="H277" i="6"/>
  <c r="G277" i="6"/>
  <c r="D277" i="6"/>
  <c r="C277" i="6"/>
  <c r="H276" i="6"/>
  <c r="G276" i="6"/>
  <c r="D276" i="6"/>
  <c r="C276" i="6"/>
  <c r="H275" i="6"/>
  <c r="G275" i="6"/>
  <c r="D275" i="6"/>
  <c r="C275" i="6"/>
  <c r="H274" i="6"/>
  <c r="G274" i="6"/>
  <c r="D274" i="6"/>
  <c r="C274" i="6"/>
  <c r="H273" i="6"/>
  <c r="G273" i="6"/>
  <c r="D273" i="6"/>
  <c r="C273" i="6"/>
  <c r="H272" i="6"/>
  <c r="G272" i="6"/>
  <c r="D272" i="6"/>
  <c r="C272" i="6"/>
  <c r="H271" i="6"/>
  <c r="G271" i="6"/>
  <c r="D271" i="6"/>
  <c r="C271" i="6"/>
  <c r="H270" i="6"/>
  <c r="G270" i="6"/>
  <c r="D270" i="6"/>
  <c r="C270" i="6"/>
  <c r="H269" i="6"/>
  <c r="G269" i="6"/>
  <c r="D269" i="6"/>
  <c r="C269" i="6"/>
  <c r="H268" i="6"/>
  <c r="G268" i="6"/>
  <c r="D268" i="6"/>
  <c r="C268" i="6"/>
  <c r="H267" i="6"/>
  <c r="G267" i="6"/>
  <c r="D267" i="6"/>
  <c r="C267" i="6"/>
  <c r="H266" i="6"/>
  <c r="G266" i="6"/>
  <c r="D266" i="6"/>
  <c r="C266" i="6"/>
  <c r="H265" i="6"/>
  <c r="G265" i="6"/>
  <c r="D265" i="6"/>
  <c r="C265" i="6"/>
  <c r="H264" i="6"/>
  <c r="G264" i="6"/>
  <c r="D264" i="6"/>
  <c r="C264" i="6"/>
  <c r="G263" i="6"/>
  <c r="D263" i="6"/>
  <c r="C263" i="6"/>
  <c r="G262" i="6"/>
  <c r="D262" i="6"/>
  <c r="C262" i="6"/>
  <c r="G261" i="6"/>
  <c r="D261" i="6"/>
  <c r="C261" i="6"/>
  <c r="G260" i="6"/>
  <c r="D260" i="6"/>
  <c r="C260" i="6"/>
  <c r="G259" i="6"/>
  <c r="D259" i="6"/>
  <c r="C259" i="6"/>
  <c r="G258" i="6"/>
  <c r="D258" i="6"/>
  <c r="C258" i="6"/>
  <c r="G257" i="6"/>
  <c r="D257" i="6"/>
  <c r="C257" i="6"/>
  <c r="G256" i="6"/>
  <c r="D256" i="6"/>
  <c r="C256" i="6"/>
  <c r="G255" i="6"/>
  <c r="D255" i="6"/>
  <c r="C255" i="6"/>
  <c r="G254" i="6"/>
  <c r="D254" i="6"/>
  <c r="C254" i="6"/>
  <c r="G253" i="6"/>
  <c r="D253" i="6"/>
  <c r="C253" i="6"/>
  <c r="G252" i="6"/>
  <c r="D252" i="6"/>
  <c r="C252" i="6"/>
  <c r="G251" i="6"/>
  <c r="D251" i="6"/>
  <c r="C251" i="6"/>
  <c r="G250" i="6"/>
  <c r="D250" i="6"/>
  <c r="C250" i="6"/>
  <c r="G249" i="6"/>
  <c r="D249" i="6"/>
  <c r="C249" i="6"/>
  <c r="G248" i="6"/>
  <c r="D248" i="6"/>
  <c r="C248" i="6"/>
  <c r="G247" i="6"/>
  <c r="D247" i="6"/>
  <c r="C247" i="6"/>
  <c r="G246" i="6"/>
  <c r="D246" i="6"/>
  <c r="C246" i="6"/>
  <c r="G245" i="6"/>
  <c r="D245" i="6"/>
  <c r="C245" i="6"/>
  <c r="G244" i="6"/>
  <c r="D244" i="6"/>
  <c r="C244" i="6"/>
  <c r="G243" i="6"/>
  <c r="D243" i="6"/>
  <c r="C243" i="6"/>
  <c r="G242" i="6"/>
  <c r="D242" i="6"/>
  <c r="C242" i="6"/>
  <c r="G241" i="6"/>
  <c r="D241" i="6"/>
  <c r="C241" i="6"/>
  <c r="G240" i="6"/>
  <c r="D240" i="6"/>
  <c r="C240" i="6"/>
  <c r="G239" i="6"/>
  <c r="D239" i="6"/>
  <c r="C239" i="6"/>
  <c r="G238" i="6"/>
  <c r="D238" i="6"/>
  <c r="C238" i="6"/>
  <c r="G237" i="6"/>
  <c r="D237" i="6"/>
  <c r="C237" i="6"/>
  <c r="G236" i="6"/>
  <c r="D236" i="6"/>
  <c r="C236" i="6"/>
  <c r="G235" i="6"/>
  <c r="D235" i="6"/>
  <c r="C235" i="6"/>
  <c r="G234" i="6"/>
  <c r="D234" i="6"/>
  <c r="C234" i="6"/>
  <c r="G233" i="6"/>
  <c r="D233" i="6"/>
  <c r="C233" i="6"/>
  <c r="G232" i="6"/>
  <c r="D232" i="6"/>
  <c r="C232" i="6"/>
  <c r="G231" i="6"/>
  <c r="D231" i="6"/>
  <c r="C231" i="6"/>
  <c r="G230" i="6"/>
  <c r="D230" i="6"/>
  <c r="C230" i="6"/>
  <c r="G229" i="6"/>
  <c r="D229" i="6"/>
  <c r="C229" i="6"/>
  <c r="G228" i="6"/>
  <c r="D228" i="6"/>
  <c r="C228" i="6"/>
  <c r="G227" i="6"/>
  <c r="D227" i="6"/>
  <c r="C227" i="6"/>
  <c r="G226" i="6"/>
  <c r="D226" i="6"/>
  <c r="C226" i="6"/>
  <c r="G225" i="6"/>
  <c r="D225" i="6"/>
  <c r="C225" i="6"/>
  <c r="G224" i="6"/>
  <c r="D224" i="6"/>
  <c r="C224" i="6"/>
  <c r="G223" i="6"/>
  <c r="D223" i="6"/>
  <c r="C223" i="6"/>
  <c r="G222" i="6"/>
  <c r="D222" i="6"/>
  <c r="C222" i="6"/>
  <c r="G221" i="6"/>
  <c r="D221" i="6"/>
  <c r="C221" i="6"/>
  <c r="G220" i="6"/>
  <c r="D220" i="6"/>
  <c r="C220" i="6"/>
  <c r="G219" i="6"/>
  <c r="D219" i="6"/>
  <c r="C219" i="6"/>
  <c r="G218" i="6"/>
  <c r="D218" i="6"/>
  <c r="C218" i="6"/>
  <c r="G217" i="6"/>
  <c r="D217" i="6"/>
  <c r="C217" i="6"/>
  <c r="G216" i="6"/>
  <c r="D216" i="6"/>
  <c r="C216" i="6"/>
  <c r="G215" i="6"/>
  <c r="D215" i="6"/>
  <c r="C215" i="6"/>
  <c r="G214" i="6"/>
  <c r="D214" i="6"/>
  <c r="C214" i="6"/>
  <c r="G213" i="6"/>
  <c r="D213" i="6"/>
  <c r="C213" i="6"/>
  <c r="G212" i="6"/>
  <c r="D212" i="6"/>
  <c r="C212" i="6"/>
  <c r="G211" i="6"/>
  <c r="D211" i="6"/>
  <c r="C211" i="6"/>
  <c r="G210" i="6"/>
  <c r="D210" i="6"/>
  <c r="C210" i="6"/>
  <c r="G209" i="6"/>
  <c r="D209" i="6"/>
  <c r="C209" i="6"/>
  <c r="G208" i="6"/>
  <c r="D208" i="6"/>
  <c r="C208" i="6"/>
  <c r="G207" i="6"/>
  <c r="D207" i="6"/>
  <c r="C207" i="6"/>
  <c r="G206" i="6"/>
  <c r="D206" i="6"/>
  <c r="C206" i="6"/>
  <c r="G205" i="6"/>
  <c r="D205" i="6"/>
  <c r="C205" i="6"/>
  <c r="G204" i="6"/>
  <c r="D204" i="6"/>
  <c r="C204" i="6"/>
  <c r="G203" i="6"/>
  <c r="D203" i="6"/>
  <c r="C203" i="6"/>
  <c r="G202" i="6"/>
  <c r="D202" i="6"/>
  <c r="C202" i="6"/>
  <c r="G201" i="6"/>
  <c r="D201" i="6"/>
  <c r="C201" i="6"/>
  <c r="G200" i="6"/>
  <c r="D200" i="6"/>
  <c r="C200" i="6"/>
  <c r="G199" i="6"/>
  <c r="D199" i="6"/>
  <c r="C199" i="6"/>
  <c r="G198" i="6"/>
  <c r="D198" i="6"/>
  <c r="C198" i="6"/>
  <c r="G197" i="6"/>
  <c r="D197" i="6"/>
  <c r="C197" i="6"/>
  <c r="G196" i="6"/>
  <c r="D196" i="6"/>
  <c r="C196" i="6"/>
  <c r="G195" i="6"/>
  <c r="D195" i="6"/>
  <c r="C195" i="6"/>
  <c r="G194" i="6"/>
  <c r="D194" i="6"/>
  <c r="C194" i="6"/>
  <c r="G193" i="6"/>
  <c r="D193" i="6"/>
  <c r="C193" i="6"/>
  <c r="G192" i="6"/>
  <c r="D192" i="6"/>
  <c r="C192" i="6"/>
  <c r="G191" i="6"/>
  <c r="D191" i="6"/>
  <c r="C191" i="6"/>
  <c r="G190" i="6"/>
  <c r="D190" i="6"/>
  <c r="C190" i="6"/>
  <c r="G189" i="6"/>
  <c r="D189" i="6"/>
  <c r="C189" i="6"/>
  <c r="G188" i="6"/>
  <c r="D188" i="6"/>
  <c r="C188" i="6"/>
  <c r="G187" i="6"/>
  <c r="D187" i="6"/>
  <c r="C187" i="6"/>
  <c r="G186" i="6"/>
  <c r="D186" i="6"/>
  <c r="C186" i="6"/>
  <c r="G185" i="6"/>
  <c r="D185" i="6"/>
  <c r="C185" i="6"/>
  <c r="G184" i="6"/>
  <c r="D184" i="6"/>
  <c r="C184" i="6"/>
  <c r="G183" i="6"/>
  <c r="D183" i="6"/>
  <c r="C183" i="6"/>
  <c r="G182" i="6"/>
  <c r="D182" i="6"/>
  <c r="C182" i="6"/>
  <c r="G181" i="6"/>
  <c r="D181" i="6"/>
  <c r="C181" i="6"/>
  <c r="G180" i="6"/>
  <c r="D180" i="6"/>
  <c r="C180" i="6"/>
  <c r="G179" i="6"/>
  <c r="D179" i="6"/>
  <c r="C179" i="6"/>
  <c r="G178" i="6"/>
  <c r="D178" i="6"/>
  <c r="C178" i="6"/>
  <c r="G177" i="6"/>
  <c r="D177" i="6"/>
  <c r="C177" i="6"/>
  <c r="G176" i="6"/>
  <c r="D176" i="6"/>
  <c r="C176" i="6"/>
  <c r="G175" i="6"/>
  <c r="D175" i="6"/>
  <c r="C175" i="6"/>
  <c r="G174" i="6"/>
  <c r="D174" i="6"/>
  <c r="C174" i="6"/>
  <c r="G173" i="6"/>
  <c r="D173" i="6"/>
  <c r="C173" i="6"/>
  <c r="G172" i="6"/>
  <c r="D172" i="6"/>
  <c r="C172" i="6"/>
  <c r="G171" i="6"/>
  <c r="D171" i="6"/>
  <c r="C171" i="6"/>
  <c r="G170" i="6"/>
  <c r="D170" i="6"/>
  <c r="C170" i="6"/>
  <c r="G169" i="6"/>
  <c r="D169" i="6"/>
  <c r="C169" i="6"/>
  <c r="G168" i="6"/>
  <c r="D168" i="6"/>
  <c r="C168" i="6"/>
  <c r="G167" i="6"/>
  <c r="D167" i="6"/>
  <c r="C167" i="6"/>
  <c r="G166" i="6"/>
  <c r="D166" i="6"/>
  <c r="C166" i="6"/>
  <c r="G165" i="6"/>
  <c r="D165" i="6"/>
  <c r="C165" i="6"/>
  <c r="G164" i="6"/>
  <c r="D164" i="6"/>
  <c r="C164" i="6"/>
  <c r="G163" i="6"/>
  <c r="D163" i="6"/>
  <c r="C163" i="6"/>
  <c r="G162" i="6"/>
  <c r="D162" i="6"/>
  <c r="C162" i="6"/>
  <c r="G161" i="6"/>
  <c r="D161" i="6"/>
  <c r="C161" i="6"/>
  <c r="G160" i="6"/>
  <c r="D160" i="6"/>
  <c r="C160" i="6"/>
  <c r="G159" i="6"/>
  <c r="D159" i="6"/>
  <c r="C159" i="6"/>
  <c r="G158" i="6"/>
  <c r="D158" i="6"/>
  <c r="C158" i="6"/>
  <c r="G157" i="6"/>
  <c r="D157" i="6"/>
  <c r="C157" i="6"/>
  <c r="G156" i="6"/>
  <c r="D156" i="6"/>
  <c r="C156" i="6"/>
  <c r="G155" i="6"/>
  <c r="D155" i="6"/>
  <c r="C155" i="6"/>
  <c r="G154" i="6"/>
  <c r="D154" i="6"/>
  <c r="C154" i="6"/>
  <c r="G153" i="6"/>
  <c r="D153" i="6"/>
  <c r="C153" i="6"/>
  <c r="G152" i="6"/>
  <c r="D152" i="6"/>
  <c r="C152" i="6"/>
  <c r="G151" i="6"/>
  <c r="D151" i="6"/>
  <c r="C151" i="6"/>
  <c r="G150" i="6"/>
  <c r="D150" i="6"/>
  <c r="C150" i="6"/>
  <c r="G149" i="6"/>
  <c r="D149" i="6"/>
  <c r="C149" i="6"/>
  <c r="G148" i="6"/>
  <c r="D148" i="6"/>
  <c r="C148" i="6"/>
  <c r="G147" i="6"/>
  <c r="D147" i="6"/>
  <c r="C147" i="6"/>
  <c r="G146" i="6"/>
  <c r="D146" i="6"/>
  <c r="C146" i="6"/>
  <c r="G145" i="6"/>
  <c r="D145" i="6"/>
  <c r="C145" i="6"/>
  <c r="G144" i="6"/>
  <c r="D144" i="6"/>
  <c r="C144" i="6"/>
  <c r="G143" i="6"/>
  <c r="D143" i="6"/>
  <c r="C143" i="6"/>
  <c r="G142" i="6"/>
  <c r="D142" i="6"/>
  <c r="C142" i="6"/>
  <c r="G141" i="6"/>
  <c r="D141" i="6"/>
  <c r="C141" i="6"/>
  <c r="G140" i="6"/>
  <c r="D140" i="6"/>
  <c r="C140" i="6"/>
  <c r="G139" i="6"/>
  <c r="D139" i="6"/>
  <c r="C139" i="6"/>
  <c r="G138" i="6"/>
  <c r="D138" i="6"/>
  <c r="C138" i="6"/>
  <c r="G137" i="6"/>
  <c r="D137" i="6"/>
  <c r="C137" i="6"/>
  <c r="G136" i="6"/>
  <c r="D136" i="6"/>
  <c r="C136" i="6"/>
  <c r="G135" i="6"/>
  <c r="D135" i="6"/>
  <c r="C135" i="6"/>
  <c r="G134" i="6"/>
  <c r="D134" i="6"/>
  <c r="C134" i="6"/>
  <c r="G133" i="6"/>
  <c r="D133" i="6"/>
  <c r="C133" i="6"/>
  <c r="G132" i="6"/>
  <c r="D132" i="6"/>
  <c r="C132" i="6"/>
  <c r="G131" i="6"/>
  <c r="D131" i="6"/>
  <c r="C131" i="6"/>
  <c r="G130" i="6"/>
  <c r="D130" i="6"/>
  <c r="C130" i="6"/>
  <c r="G129" i="6"/>
  <c r="D129" i="6"/>
  <c r="C129" i="6"/>
  <c r="G128" i="6"/>
  <c r="D128" i="6"/>
  <c r="C128" i="6"/>
  <c r="G127" i="6"/>
  <c r="D127" i="6"/>
  <c r="C127" i="6"/>
  <c r="G126" i="6"/>
  <c r="D126" i="6"/>
  <c r="C126" i="6"/>
  <c r="G125" i="6"/>
  <c r="D125" i="6"/>
  <c r="C125" i="6"/>
  <c r="G124" i="6"/>
  <c r="D124" i="6"/>
  <c r="C124" i="6"/>
  <c r="G123" i="6"/>
  <c r="D123" i="6"/>
  <c r="C123" i="6"/>
  <c r="G122" i="6"/>
  <c r="D122" i="6"/>
  <c r="C122" i="6"/>
  <c r="G121" i="6"/>
  <c r="D121" i="6"/>
  <c r="C121" i="6"/>
  <c r="G120" i="6"/>
  <c r="D120" i="6"/>
  <c r="C120" i="6"/>
  <c r="G119" i="6"/>
  <c r="D119" i="6"/>
  <c r="C119" i="6"/>
  <c r="G118" i="6"/>
  <c r="D118" i="6"/>
  <c r="C118" i="6"/>
  <c r="G117" i="6"/>
  <c r="D117" i="6"/>
  <c r="C117" i="6"/>
  <c r="G116" i="6"/>
  <c r="D116" i="6"/>
  <c r="C116" i="6"/>
  <c r="G115" i="6"/>
  <c r="D115" i="6"/>
  <c r="C115" i="6"/>
  <c r="G114" i="6"/>
  <c r="D114" i="6"/>
  <c r="C114" i="6"/>
  <c r="G113" i="6"/>
  <c r="D113" i="6"/>
  <c r="C113" i="6"/>
  <c r="G112" i="6"/>
  <c r="D112" i="6"/>
  <c r="C112" i="6"/>
  <c r="G111" i="6"/>
  <c r="D111" i="6"/>
  <c r="C111" i="6"/>
  <c r="G110" i="6"/>
  <c r="D110" i="6"/>
  <c r="C110" i="6"/>
  <c r="G109" i="6"/>
  <c r="D109" i="6"/>
  <c r="C109" i="6"/>
  <c r="G108" i="6"/>
  <c r="D108" i="6"/>
  <c r="C108" i="6"/>
  <c r="G107" i="6"/>
  <c r="D107" i="6"/>
  <c r="C107" i="6"/>
  <c r="G106" i="6"/>
  <c r="D106" i="6"/>
  <c r="C106" i="6"/>
  <c r="G105" i="6"/>
  <c r="D105" i="6"/>
  <c r="C105" i="6"/>
  <c r="G104" i="6"/>
  <c r="D104" i="6"/>
  <c r="C104" i="6"/>
  <c r="G103" i="6"/>
  <c r="D103" i="6"/>
  <c r="C103" i="6"/>
  <c r="G102" i="6"/>
  <c r="D102" i="6"/>
  <c r="C102" i="6"/>
  <c r="G101" i="6"/>
  <c r="D101" i="6"/>
  <c r="C101" i="6"/>
  <c r="G100" i="6"/>
  <c r="D100" i="6"/>
  <c r="C100" i="6"/>
  <c r="G99" i="6"/>
  <c r="D99" i="6"/>
  <c r="C99" i="6"/>
  <c r="G98" i="6"/>
  <c r="D98" i="6"/>
  <c r="C98" i="6"/>
  <c r="G97" i="6"/>
  <c r="D97" i="6"/>
  <c r="C97" i="6"/>
  <c r="G96" i="6"/>
  <c r="D96" i="6"/>
  <c r="C96" i="6"/>
  <c r="G95" i="6"/>
  <c r="D95" i="6"/>
  <c r="C95" i="6"/>
  <c r="G94" i="6"/>
  <c r="D94" i="6"/>
  <c r="C94" i="6"/>
  <c r="G93" i="6"/>
  <c r="D93" i="6"/>
  <c r="C93" i="6"/>
  <c r="G92" i="6"/>
  <c r="D92" i="6"/>
  <c r="C92" i="6"/>
  <c r="G91" i="6"/>
  <c r="D91" i="6"/>
  <c r="C91" i="6"/>
  <c r="G90" i="6"/>
  <c r="D90" i="6"/>
  <c r="C90" i="6"/>
  <c r="G89" i="6"/>
  <c r="D89" i="6"/>
  <c r="C89" i="6"/>
  <c r="G88" i="6"/>
  <c r="D88" i="6"/>
  <c r="C88" i="6"/>
  <c r="G87" i="6"/>
  <c r="D87" i="6"/>
  <c r="C87" i="6"/>
  <c r="G86" i="6"/>
  <c r="D86" i="6"/>
  <c r="C86" i="6"/>
  <c r="G85" i="6"/>
  <c r="D85" i="6"/>
  <c r="C85" i="6"/>
  <c r="G84" i="6"/>
  <c r="D84" i="6"/>
  <c r="C84" i="6"/>
  <c r="G83" i="6"/>
  <c r="D83" i="6"/>
  <c r="C83" i="6"/>
  <c r="G82" i="6"/>
  <c r="D82" i="6"/>
  <c r="C82" i="6"/>
  <c r="G81" i="6"/>
  <c r="D81" i="6"/>
  <c r="C81" i="6"/>
  <c r="G80" i="6"/>
  <c r="D80" i="6"/>
  <c r="C80" i="6"/>
  <c r="G79" i="6"/>
  <c r="D79" i="6"/>
  <c r="C79" i="6"/>
  <c r="G78" i="6"/>
  <c r="D78" i="6"/>
  <c r="C78" i="6"/>
  <c r="G77" i="6"/>
  <c r="D77" i="6"/>
  <c r="C77" i="6"/>
  <c r="G76" i="6"/>
  <c r="D76" i="6"/>
  <c r="C76" i="6"/>
  <c r="G75" i="6"/>
  <c r="D75" i="6"/>
  <c r="C75" i="6"/>
  <c r="G74" i="6"/>
  <c r="D74" i="6"/>
  <c r="C74" i="6"/>
  <c r="G73" i="6"/>
  <c r="D73" i="6"/>
  <c r="C73" i="6"/>
  <c r="G72" i="6"/>
  <c r="D72" i="6"/>
  <c r="C72" i="6"/>
  <c r="G71" i="6"/>
  <c r="D71" i="6"/>
  <c r="C71" i="6"/>
  <c r="G70" i="6"/>
  <c r="D70" i="6"/>
  <c r="C70" i="6"/>
  <c r="G69" i="6"/>
  <c r="D69" i="6"/>
  <c r="C69" i="6"/>
  <c r="G68" i="6"/>
  <c r="D68" i="6"/>
  <c r="C68" i="6"/>
  <c r="G67" i="6"/>
  <c r="D67" i="6"/>
  <c r="C67" i="6"/>
  <c r="G66" i="6"/>
  <c r="D66" i="6"/>
  <c r="C66" i="6"/>
  <c r="G65" i="6"/>
  <c r="D65" i="6"/>
  <c r="C65" i="6"/>
  <c r="G64" i="6"/>
  <c r="D64" i="6"/>
  <c r="C64" i="6"/>
  <c r="G63" i="6"/>
  <c r="D63" i="6"/>
  <c r="C63" i="6"/>
  <c r="G62" i="6"/>
  <c r="D62" i="6"/>
  <c r="C62" i="6"/>
  <c r="G61" i="6"/>
  <c r="D61" i="6"/>
  <c r="C61" i="6"/>
  <c r="G60" i="6"/>
  <c r="D60" i="6"/>
  <c r="C60" i="6"/>
  <c r="G59" i="6"/>
  <c r="D59" i="6"/>
  <c r="C59" i="6"/>
  <c r="G58" i="6"/>
  <c r="D58" i="6"/>
  <c r="C58" i="6"/>
  <c r="G57" i="6"/>
  <c r="D57" i="6"/>
  <c r="C57" i="6"/>
  <c r="G56" i="6"/>
  <c r="D56" i="6"/>
  <c r="C56" i="6"/>
  <c r="G55" i="6"/>
  <c r="D55" i="6"/>
  <c r="C55" i="6"/>
  <c r="G54" i="6"/>
  <c r="D54" i="6"/>
  <c r="C54" i="6"/>
  <c r="G53" i="6"/>
  <c r="D53" i="6"/>
  <c r="C53" i="6"/>
  <c r="G52" i="6"/>
  <c r="D52" i="6"/>
  <c r="C52" i="6"/>
  <c r="G51" i="6"/>
  <c r="D51" i="6"/>
  <c r="C51" i="6"/>
  <c r="G50" i="6"/>
  <c r="D50" i="6"/>
  <c r="C50" i="6"/>
  <c r="G49" i="6"/>
  <c r="D49" i="6"/>
  <c r="C49" i="6"/>
  <c r="G48" i="6"/>
  <c r="D48" i="6"/>
  <c r="C48" i="6"/>
  <c r="G47" i="6"/>
  <c r="D47" i="6"/>
  <c r="C47" i="6"/>
  <c r="G46" i="6"/>
  <c r="D46" i="6"/>
  <c r="C46" i="6"/>
  <c r="G45" i="6"/>
  <c r="D45" i="6"/>
  <c r="C45" i="6"/>
  <c r="G44" i="6"/>
  <c r="D44" i="6"/>
  <c r="C44" i="6"/>
  <c r="G43" i="6"/>
  <c r="D43" i="6"/>
  <c r="C43" i="6"/>
  <c r="G42" i="6"/>
  <c r="D42" i="6"/>
  <c r="C42" i="6"/>
  <c r="G41" i="6"/>
  <c r="D41" i="6"/>
  <c r="C41" i="6"/>
  <c r="G40" i="6"/>
  <c r="D40" i="6"/>
  <c r="C40" i="6"/>
  <c r="G39" i="6"/>
  <c r="D39" i="6"/>
  <c r="C39" i="6"/>
  <c r="G38" i="6"/>
  <c r="D38" i="6"/>
  <c r="C38" i="6"/>
  <c r="G37" i="6"/>
  <c r="D37" i="6"/>
  <c r="C37" i="6"/>
  <c r="G36" i="6"/>
  <c r="D36" i="6"/>
  <c r="C36" i="6"/>
  <c r="G35" i="6"/>
  <c r="D35" i="6"/>
  <c r="C35" i="6"/>
  <c r="G34" i="6"/>
  <c r="D34" i="6"/>
  <c r="C34" i="6"/>
  <c r="G33" i="6"/>
  <c r="D33" i="6"/>
  <c r="C33" i="6"/>
  <c r="G32" i="6"/>
  <c r="D32" i="6"/>
  <c r="C32" i="6"/>
  <c r="G31" i="6"/>
  <c r="D31" i="6"/>
  <c r="C31" i="6"/>
  <c r="G30" i="6"/>
  <c r="D30" i="6"/>
  <c r="C30" i="6"/>
  <c r="G29" i="6"/>
  <c r="D29" i="6"/>
  <c r="C29" i="6"/>
  <c r="G28" i="6"/>
  <c r="D28" i="6"/>
  <c r="C28" i="6"/>
  <c r="G27" i="6"/>
  <c r="D27" i="6"/>
  <c r="C27" i="6"/>
  <c r="G26" i="6"/>
  <c r="D26" i="6"/>
  <c r="C26" i="6"/>
  <c r="G25" i="6"/>
  <c r="D25" i="6"/>
  <c r="C25" i="6"/>
  <c r="G24" i="6"/>
  <c r="D24" i="6"/>
  <c r="C24" i="6"/>
  <c r="G23" i="6"/>
  <c r="D23" i="6"/>
  <c r="C23" i="6"/>
  <c r="G22" i="6"/>
  <c r="D22" i="6"/>
  <c r="C22" i="6"/>
  <c r="G21" i="6"/>
  <c r="D21" i="6"/>
  <c r="C21" i="6"/>
  <c r="G20" i="6"/>
  <c r="D20" i="6"/>
  <c r="C20" i="6"/>
  <c r="G19" i="6"/>
  <c r="D19" i="6"/>
  <c r="C19" i="6"/>
  <c r="G18" i="6"/>
  <c r="D18" i="6"/>
  <c r="C18" i="6"/>
  <c r="G17" i="6"/>
  <c r="D17" i="6"/>
  <c r="C17" i="6"/>
  <c r="G16" i="6"/>
  <c r="D16" i="6"/>
  <c r="C16" i="6"/>
  <c r="G15" i="6"/>
  <c r="D15" i="6"/>
  <c r="C15" i="6"/>
  <c r="G14" i="6"/>
  <c r="D14" i="6"/>
  <c r="C14" i="6"/>
  <c r="G13" i="6"/>
  <c r="D13" i="6"/>
  <c r="C13" i="6"/>
  <c r="G12" i="6"/>
  <c r="D12" i="6"/>
  <c r="C12" i="6"/>
  <c r="G11" i="6"/>
  <c r="D11" i="6"/>
  <c r="C11" i="6"/>
  <c r="G10" i="6"/>
  <c r="D10" i="6"/>
  <c r="C10" i="6"/>
  <c r="G9" i="6"/>
  <c r="D9" i="6"/>
  <c r="C9" i="6"/>
  <c r="G8" i="6"/>
  <c r="D8" i="6"/>
  <c r="C8" i="6"/>
  <c r="G7" i="6"/>
  <c r="D7" i="6"/>
  <c r="C7" i="6"/>
  <c r="G6" i="6"/>
  <c r="D6" i="6"/>
  <c r="C6" i="6"/>
  <c r="G5" i="6"/>
  <c r="D5" i="6"/>
  <c r="C5" i="6"/>
  <c r="G4" i="6"/>
  <c r="D4" i="6"/>
  <c r="C4" i="6"/>
  <c r="G3" i="6"/>
  <c r="D3" i="6"/>
  <c r="C3" i="6"/>
  <c r="J788" i="5"/>
  <c r="H788" i="5"/>
  <c r="G788" i="5"/>
  <c r="J787" i="5"/>
  <c r="H787" i="5"/>
  <c r="G787" i="5"/>
  <c r="J786" i="5"/>
  <c r="H786" i="5"/>
  <c r="G786" i="5"/>
  <c r="J785" i="5"/>
  <c r="H785" i="5"/>
  <c r="G785" i="5"/>
  <c r="J784" i="5"/>
  <c r="H784" i="5"/>
  <c r="G784" i="5"/>
  <c r="J783" i="5"/>
  <c r="H783" i="5"/>
  <c r="G783" i="5"/>
  <c r="J782" i="5"/>
  <c r="H782" i="5"/>
  <c r="G782" i="5"/>
  <c r="J781" i="5"/>
  <c r="H781" i="5"/>
  <c r="I781" i="5" s="1"/>
  <c r="G781" i="5"/>
  <c r="J780" i="5"/>
  <c r="H780" i="5"/>
  <c r="G780" i="5"/>
  <c r="J779" i="5"/>
  <c r="H779" i="5"/>
  <c r="G779" i="5"/>
  <c r="J778" i="5"/>
  <c r="H778" i="5"/>
  <c r="G778" i="5"/>
  <c r="J777" i="5"/>
  <c r="H777" i="5"/>
  <c r="I777" i="5" s="1"/>
  <c r="G777" i="5"/>
  <c r="J776" i="5"/>
  <c r="H776" i="5"/>
  <c r="G776" i="5"/>
  <c r="J775" i="5"/>
  <c r="H775" i="5"/>
  <c r="G775" i="5"/>
  <c r="J774" i="5"/>
  <c r="H774" i="5"/>
  <c r="G774" i="5"/>
  <c r="J773" i="5"/>
  <c r="H773" i="5"/>
  <c r="I773" i="5" s="1"/>
  <c r="G773" i="5"/>
  <c r="J772" i="5"/>
  <c r="H772" i="5"/>
  <c r="G772" i="5"/>
  <c r="J771" i="5"/>
  <c r="H771" i="5"/>
  <c r="G771" i="5"/>
  <c r="J770" i="5"/>
  <c r="H770" i="5"/>
  <c r="G770" i="5"/>
  <c r="J769" i="5"/>
  <c r="H769" i="5"/>
  <c r="I769" i="5" s="1"/>
  <c r="G769" i="5"/>
  <c r="J768" i="5"/>
  <c r="H768" i="5"/>
  <c r="G768" i="5"/>
  <c r="J767" i="5"/>
  <c r="H767" i="5"/>
  <c r="G767" i="5"/>
  <c r="J766" i="5"/>
  <c r="H766" i="5"/>
  <c r="G766" i="5"/>
  <c r="J765" i="5"/>
  <c r="H765" i="5"/>
  <c r="I765" i="5" s="1"/>
  <c r="G765" i="5"/>
  <c r="J764" i="5"/>
  <c r="H764" i="5"/>
  <c r="G764" i="5"/>
  <c r="J763" i="5"/>
  <c r="H763" i="5"/>
  <c r="G763" i="5"/>
  <c r="J762" i="5"/>
  <c r="H762" i="5"/>
  <c r="G762" i="5"/>
  <c r="J761" i="5"/>
  <c r="H761" i="5"/>
  <c r="I761" i="5" s="1"/>
  <c r="G761" i="5"/>
  <c r="J760" i="5"/>
  <c r="H760" i="5"/>
  <c r="G760" i="5"/>
  <c r="J759" i="5"/>
  <c r="H759" i="5"/>
  <c r="G759" i="5"/>
  <c r="J758" i="5"/>
  <c r="H758" i="5"/>
  <c r="G758" i="5"/>
  <c r="J757" i="5"/>
  <c r="H757" i="5"/>
  <c r="I757" i="5" s="1"/>
  <c r="G757" i="5"/>
  <c r="J756" i="5"/>
  <c r="H756" i="5"/>
  <c r="G756" i="5"/>
  <c r="J755" i="5"/>
  <c r="H755" i="5"/>
  <c r="G755" i="5"/>
  <c r="J754" i="5"/>
  <c r="H754" i="5"/>
  <c r="G754" i="5"/>
  <c r="J753" i="5"/>
  <c r="I753" i="5"/>
  <c r="H753" i="5"/>
  <c r="G753" i="5"/>
  <c r="J752" i="5"/>
  <c r="H752" i="5"/>
  <c r="G752" i="5"/>
  <c r="J751" i="5"/>
  <c r="H751" i="5"/>
  <c r="G751" i="5"/>
  <c r="J750" i="5"/>
  <c r="H750" i="5"/>
  <c r="G750" i="5"/>
  <c r="J749" i="5"/>
  <c r="H749" i="5"/>
  <c r="I749" i="5" s="1"/>
  <c r="G749" i="5"/>
  <c r="J748" i="5"/>
  <c r="H748" i="5"/>
  <c r="G748" i="5"/>
  <c r="J747" i="5"/>
  <c r="H747" i="5"/>
  <c r="G747" i="5"/>
  <c r="J746" i="5"/>
  <c r="H746" i="5"/>
  <c r="G746" i="5"/>
  <c r="J745" i="5"/>
  <c r="H745" i="5"/>
  <c r="I745" i="5" s="1"/>
  <c r="G745" i="5"/>
  <c r="J744" i="5"/>
  <c r="H744" i="5"/>
  <c r="G744" i="5"/>
  <c r="J743" i="5"/>
  <c r="H743" i="5"/>
  <c r="G743" i="5"/>
  <c r="J742" i="5"/>
  <c r="H742" i="5"/>
  <c r="G742" i="5"/>
  <c r="J741" i="5"/>
  <c r="H741" i="5"/>
  <c r="I741" i="5" s="1"/>
  <c r="G741" i="5"/>
  <c r="J740" i="5"/>
  <c r="H740" i="5"/>
  <c r="G740" i="5"/>
  <c r="J739" i="5"/>
  <c r="H739" i="5"/>
  <c r="G739" i="5"/>
  <c r="J738" i="5"/>
  <c r="H738" i="5"/>
  <c r="G738" i="5"/>
  <c r="J737" i="5"/>
  <c r="H737" i="5"/>
  <c r="G737" i="5"/>
  <c r="J736" i="5"/>
  <c r="H736" i="5"/>
  <c r="G736" i="5"/>
  <c r="J735" i="5"/>
  <c r="H735" i="5"/>
  <c r="G735" i="5"/>
  <c r="J734" i="5"/>
  <c r="H734" i="5"/>
  <c r="G734" i="5"/>
  <c r="J733" i="5"/>
  <c r="H733" i="5"/>
  <c r="I733" i="5" s="1"/>
  <c r="G733" i="5"/>
  <c r="J732" i="5"/>
  <c r="H732" i="5"/>
  <c r="G732" i="5"/>
  <c r="J731" i="5"/>
  <c r="H731" i="5"/>
  <c r="G731" i="5"/>
  <c r="J730" i="5"/>
  <c r="H730" i="5"/>
  <c r="G730" i="5"/>
  <c r="J729" i="5"/>
  <c r="H729" i="5"/>
  <c r="I729" i="5" s="1"/>
  <c r="G729" i="5"/>
  <c r="J728" i="5"/>
  <c r="H728" i="5"/>
  <c r="G728" i="5"/>
  <c r="L727" i="5"/>
  <c r="K727" i="5"/>
  <c r="J727" i="5" s="1"/>
  <c r="H727" i="5"/>
  <c r="M727" i="5" s="1"/>
  <c r="N727" i="5" s="1"/>
  <c r="G727" i="5"/>
  <c r="K726" i="5"/>
  <c r="J726" i="5" s="1"/>
  <c r="H726" i="5"/>
  <c r="M726" i="5" s="1"/>
  <c r="G726" i="5"/>
  <c r="L725" i="5"/>
  <c r="K725" i="5"/>
  <c r="J725" i="5" s="1"/>
  <c r="H725" i="5"/>
  <c r="M725" i="5" s="1"/>
  <c r="G725" i="5"/>
  <c r="K724" i="5"/>
  <c r="J724" i="5" s="1"/>
  <c r="H724" i="5"/>
  <c r="M724" i="5" s="1"/>
  <c r="G724" i="5"/>
  <c r="L723" i="5"/>
  <c r="H723" i="5"/>
  <c r="M723" i="5" s="1"/>
  <c r="G723" i="5"/>
  <c r="H722" i="5"/>
  <c r="M722" i="5" s="1"/>
  <c r="G722" i="5"/>
  <c r="L721" i="5"/>
  <c r="K721" i="5"/>
  <c r="J721" i="5" s="1"/>
  <c r="H721" i="5"/>
  <c r="M721" i="5" s="1"/>
  <c r="N721" i="5" s="1"/>
  <c r="G721" i="5"/>
  <c r="L720" i="5"/>
  <c r="K720" i="5"/>
  <c r="J720" i="5" s="1"/>
  <c r="H720" i="5"/>
  <c r="M720" i="5" s="1"/>
  <c r="N720" i="5" s="1"/>
  <c r="G720" i="5"/>
  <c r="K719" i="5"/>
  <c r="J719" i="5" s="1"/>
  <c r="H719" i="5"/>
  <c r="M719" i="5" s="1"/>
  <c r="G719" i="5"/>
  <c r="L718" i="5"/>
  <c r="K718" i="5"/>
  <c r="J718" i="5" s="1"/>
  <c r="H718" i="5"/>
  <c r="M718" i="5" s="1"/>
  <c r="N718" i="5" s="1"/>
  <c r="G718" i="5"/>
  <c r="K717" i="5"/>
  <c r="J717" i="5" s="1"/>
  <c r="H717" i="5"/>
  <c r="M717" i="5" s="1"/>
  <c r="G717" i="5"/>
  <c r="L716" i="5"/>
  <c r="K716" i="5"/>
  <c r="J716" i="5" s="1"/>
  <c r="H716" i="5"/>
  <c r="M716" i="5" s="1"/>
  <c r="N716" i="5" s="1"/>
  <c r="G716" i="5"/>
  <c r="K715" i="5"/>
  <c r="J715" i="5" s="1"/>
  <c r="H715" i="5"/>
  <c r="M715" i="5" s="1"/>
  <c r="G715" i="5"/>
  <c r="L714" i="5"/>
  <c r="K714" i="5"/>
  <c r="J714" i="5" s="1"/>
  <c r="H714" i="5"/>
  <c r="M714" i="5" s="1"/>
  <c r="N714" i="5" s="1"/>
  <c r="G714" i="5"/>
  <c r="K713" i="5"/>
  <c r="J713" i="5" s="1"/>
  <c r="H713" i="5"/>
  <c r="M713" i="5" s="1"/>
  <c r="G713" i="5"/>
  <c r="K712" i="5"/>
  <c r="J712" i="5" s="1"/>
  <c r="H712" i="5"/>
  <c r="M712" i="5" s="1"/>
  <c r="G712" i="5"/>
  <c r="L711" i="5"/>
  <c r="K711" i="5"/>
  <c r="J711" i="5" s="1"/>
  <c r="H711" i="5"/>
  <c r="M711" i="5" s="1"/>
  <c r="N711" i="5" s="1"/>
  <c r="G711" i="5"/>
  <c r="L710" i="5"/>
  <c r="K710" i="5"/>
  <c r="J710" i="5" s="1"/>
  <c r="H710" i="5"/>
  <c r="M710" i="5" s="1"/>
  <c r="N710" i="5" s="1"/>
  <c r="G710" i="5"/>
  <c r="L709" i="5"/>
  <c r="K709" i="5"/>
  <c r="J709" i="5" s="1"/>
  <c r="H709" i="5"/>
  <c r="M709" i="5" s="1"/>
  <c r="G709" i="5"/>
  <c r="L708" i="5"/>
  <c r="K708" i="5"/>
  <c r="J708" i="5" s="1"/>
  <c r="H708" i="5"/>
  <c r="M708" i="5" s="1"/>
  <c r="N708" i="5" s="1"/>
  <c r="G708" i="5"/>
  <c r="K707" i="5"/>
  <c r="J707" i="5" s="1"/>
  <c r="H707" i="5"/>
  <c r="M707" i="5" s="1"/>
  <c r="G707" i="5"/>
  <c r="K706" i="5"/>
  <c r="J706" i="5" s="1"/>
  <c r="H706" i="5"/>
  <c r="M706" i="5" s="1"/>
  <c r="G706" i="5"/>
  <c r="K705" i="5"/>
  <c r="J705" i="5" s="1"/>
  <c r="H705" i="5"/>
  <c r="M705" i="5" s="1"/>
  <c r="G705" i="5"/>
  <c r="L704" i="5"/>
  <c r="K704" i="5"/>
  <c r="J704" i="5" s="1"/>
  <c r="H704" i="5"/>
  <c r="M704" i="5" s="1"/>
  <c r="N704" i="5" s="1"/>
  <c r="G704" i="5"/>
  <c r="K703" i="5"/>
  <c r="J703" i="5" s="1"/>
  <c r="H703" i="5"/>
  <c r="M703" i="5" s="1"/>
  <c r="G703" i="5"/>
  <c r="L702" i="5"/>
  <c r="K702" i="5"/>
  <c r="J702" i="5" s="1"/>
  <c r="H702" i="5"/>
  <c r="M702" i="5" s="1"/>
  <c r="G702" i="5"/>
  <c r="K701" i="5"/>
  <c r="J701" i="5" s="1"/>
  <c r="H701" i="5"/>
  <c r="M701" i="5" s="1"/>
  <c r="G701" i="5"/>
  <c r="L700" i="5"/>
  <c r="K700" i="5"/>
  <c r="J700" i="5" s="1"/>
  <c r="H700" i="5"/>
  <c r="M700" i="5" s="1"/>
  <c r="G700" i="5"/>
  <c r="K699" i="5"/>
  <c r="J699" i="5" s="1"/>
  <c r="H699" i="5"/>
  <c r="M699" i="5" s="1"/>
  <c r="G699" i="5"/>
  <c r="K698" i="5"/>
  <c r="J698" i="5" s="1"/>
  <c r="H698" i="5"/>
  <c r="M698" i="5" s="1"/>
  <c r="G698" i="5"/>
  <c r="K697" i="5"/>
  <c r="J697" i="5" s="1"/>
  <c r="H697" i="5"/>
  <c r="M697" i="5" s="1"/>
  <c r="G697" i="5"/>
  <c r="K696" i="5"/>
  <c r="J696" i="5" s="1"/>
  <c r="H696" i="5"/>
  <c r="M696" i="5" s="1"/>
  <c r="G696" i="5"/>
  <c r="L695" i="5"/>
  <c r="K695" i="5"/>
  <c r="J695" i="5" s="1"/>
  <c r="H695" i="5"/>
  <c r="M695" i="5" s="1"/>
  <c r="N695" i="5" s="1"/>
  <c r="G695" i="5"/>
  <c r="K694" i="5"/>
  <c r="J694" i="5" s="1"/>
  <c r="H694" i="5"/>
  <c r="M694" i="5" s="1"/>
  <c r="G694" i="5"/>
  <c r="L693" i="5"/>
  <c r="K693" i="5"/>
  <c r="J693" i="5" s="1"/>
  <c r="H693" i="5"/>
  <c r="M693" i="5" s="1"/>
  <c r="G693" i="5"/>
  <c r="K692" i="5"/>
  <c r="J692" i="5" s="1"/>
  <c r="H692" i="5"/>
  <c r="M692" i="5" s="1"/>
  <c r="G692" i="5"/>
  <c r="L691" i="5"/>
  <c r="K691" i="5"/>
  <c r="J691" i="5" s="1"/>
  <c r="H691" i="5"/>
  <c r="M691" i="5" s="1"/>
  <c r="G691" i="5"/>
  <c r="K690" i="5"/>
  <c r="J690" i="5" s="1"/>
  <c r="H690" i="5"/>
  <c r="M690" i="5" s="1"/>
  <c r="G690" i="5"/>
  <c r="L689" i="5"/>
  <c r="K689" i="5"/>
  <c r="J689" i="5" s="1"/>
  <c r="H689" i="5"/>
  <c r="M689" i="5" s="1"/>
  <c r="N689" i="5" s="1"/>
  <c r="G689" i="5"/>
  <c r="L688" i="5"/>
  <c r="K688" i="5"/>
  <c r="J688" i="5" s="1"/>
  <c r="H688" i="5"/>
  <c r="M688" i="5" s="1"/>
  <c r="N688" i="5" s="1"/>
  <c r="G688" i="5"/>
  <c r="K687" i="5"/>
  <c r="J687" i="5" s="1"/>
  <c r="H687" i="5"/>
  <c r="M687" i="5" s="1"/>
  <c r="G687" i="5"/>
  <c r="L686" i="5"/>
  <c r="K686" i="5"/>
  <c r="J686" i="5" s="1"/>
  <c r="H686" i="5"/>
  <c r="M686" i="5" s="1"/>
  <c r="N686" i="5" s="1"/>
  <c r="G686" i="5"/>
  <c r="L685" i="5"/>
  <c r="K685" i="5"/>
  <c r="J685" i="5" s="1"/>
  <c r="H685" i="5"/>
  <c r="M685" i="5" s="1"/>
  <c r="G685" i="5"/>
  <c r="L684" i="5"/>
  <c r="K684" i="5"/>
  <c r="J684" i="5" s="1"/>
  <c r="H684" i="5"/>
  <c r="M684" i="5" s="1"/>
  <c r="N684" i="5" s="1"/>
  <c r="G684" i="5"/>
  <c r="K683" i="5"/>
  <c r="J683" i="5" s="1"/>
  <c r="H683" i="5"/>
  <c r="M683" i="5" s="1"/>
  <c r="G683" i="5"/>
  <c r="L682" i="5"/>
  <c r="K682" i="5"/>
  <c r="J682" i="5" s="1"/>
  <c r="H682" i="5"/>
  <c r="M682" i="5" s="1"/>
  <c r="N682" i="5" s="1"/>
  <c r="G682" i="5"/>
  <c r="K681" i="5"/>
  <c r="J681" i="5" s="1"/>
  <c r="H681" i="5"/>
  <c r="M681" i="5" s="1"/>
  <c r="G681" i="5"/>
  <c r="K680" i="5"/>
  <c r="J680" i="5" s="1"/>
  <c r="H680" i="5"/>
  <c r="M680" i="5" s="1"/>
  <c r="G680" i="5"/>
  <c r="L679" i="5"/>
  <c r="K679" i="5"/>
  <c r="J679" i="5" s="1"/>
  <c r="H679" i="5"/>
  <c r="M679" i="5" s="1"/>
  <c r="N679" i="5" s="1"/>
  <c r="G679" i="5"/>
  <c r="L678" i="5"/>
  <c r="K678" i="5"/>
  <c r="J678" i="5" s="1"/>
  <c r="H678" i="5"/>
  <c r="M678" i="5" s="1"/>
  <c r="N678" i="5" s="1"/>
  <c r="G678" i="5"/>
  <c r="L677" i="5"/>
  <c r="K677" i="5"/>
  <c r="J677" i="5" s="1"/>
  <c r="H677" i="5"/>
  <c r="M677" i="5" s="1"/>
  <c r="G677" i="5"/>
  <c r="L676" i="5"/>
  <c r="K676" i="5"/>
  <c r="J676" i="5" s="1"/>
  <c r="H676" i="5"/>
  <c r="M676" i="5" s="1"/>
  <c r="N676" i="5" s="1"/>
  <c r="G676" i="5"/>
  <c r="K675" i="5"/>
  <c r="J675" i="5" s="1"/>
  <c r="H675" i="5"/>
  <c r="M675" i="5" s="1"/>
  <c r="G675" i="5"/>
  <c r="K674" i="5"/>
  <c r="J674" i="5" s="1"/>
  <c r="H674" i="5"/>
  <c r="M674" i="5" s="1"/>
  <c r="G674" i="5"/>
  <c r="K673" i="5"/>
  <c r="J673" i="5" s="1"/>
  <c r="H673" i="5"/>
  <c r="M673" i="5" s="1"/>
  <c r="G673" i="5"/>
  <c r="L672" i="5"/>
  <c r="K672" i="5"/>
  <c r="J672" i="5" s="1"/>
  <c r="H672" i="5"/>
  <c r="M672" i="5" s="1"/>
  <c r="N672" i="5" s="1"/>
  <c r="G672" i="5"/>
  <c r="K671" i="5"/>
  <c r="J671" i="5" s="1"/>
  <c r="H671" i="5"/>
  <c r="M671" i="5" s="1"/>
  <c r="G671" i="5"/>
  <c r="L670" i="5"/>
  <c r="K670" i="5"/>
  <c r="J670" i="5" s="1"/>
  <c r="H670" i="5"/>
  <c r="M670" i="5" s="1"/>
  <c r="G670" i="5"/>
  <c r="K669" i="5"/>
  <c r="J669" i="5" s="1"/>
  <c r="H669" i="5"/>
  <c r="M669" i="5" s="1"/>
  <c r="G669" i="5"/>
  <c r="L668" i="5"/>
  <c r="K668" i="5"/>
  <c r="J668" i="5" s="1"/>
  <c r="H668" i="5"/>
  <c r="M668" i="5" s="1"/>
  <c r="G668" i="5"/>
  <c r="K667" i="5"/>
  <c r="J667" i="5" s="1"/>
  <c r="H667" i="5"/>
  <c r="M667" i="5" s="1"/>
  <c r="G667" i="5"/>
  <c r="K666" i="5"/>
  <c r="J666" i="5" s="1"/>
  <c r="H666" i="5"/>
  <c r="M666" i="5" s="1"/>
  <c r="G666" i="5"/>
  <c r="K665" i="5"/>
  <c r="J665" i="5" s="1"/>
  <c r="H665" i="5"/>
  <c r="M665" i="5" s="1"/>
  <c r="G665" i="5"/>
  <c r="K664" i="5"/>
  <c r="J664" i="5" s="1"/>
  <c r="H664" i="5"/>
  <c r="M664" i="5" s="1"/>
  <c r="G664" i="5"/>
  <c r="L663" i="5"/>
  <c r="K663" i="5"/>
  <c r="J663" i="5" s="1"/>
  <c r="H663" i="5"/>
  <c r="M663" i="5" s="1"/>
  <c r="N663" i="5" s="1"/>
  <c r="G663" i="5"/>
  <c r="K662" i="5"/>
  <c r="J662" i="5" s="1"/>
  <c r="H662" i="5"/>
  <c r="M662" i="5" s="1"/>
  <c r="G662" i="5"/>
  <c r="L661" i="5"/>
  <c r="K661" i="5"/>
  <c r="J661" i="5" s="1"/>
  <c r="H661" i="5"/>
  <c r="M661" i="5" s="1"/>
  <c r="G661" i="5"/>
  <c r="I661" i="5" s="1"/>
  <c r="K660" i="5"/>
  <c r="J660" i="5" s="1"/>
  <c r="H660" i="5"/>
  <c r="M660" i="5" s="1"/>
  <c r="G660" i="5"/>
  <c r="L659" i="5"/>
  <c r="K659" i="5"/>
  <c r="J659" i="5" s="1"/>
  <c r="H659" i="5"/>
  <c r="M659" i="5" s="1"/>
  <c r="N659" i="5" s="1"/>
  <c r="G659" i="5"/>
  <c r="K658" i="5"/>
  <c r="J658" i="5" s="1"/>
  <c r="H658" i="5"/>
  <c r="M658" i="5" s="1"/>
  <c r="G658" i="5"/>
  <c r="K657" i="5"/>
  <c r="J657" i="5" s="1"/>
  <c r="H657" i="5"/>
  <c r="M657" i="5" s="1"/>
  <c r="G657" i="5"/>
  <c r="L657" i="5" s="1"/>
  <c r="K656" i="5"/>
  <c r="J656" i="5" s="1"/>
  <c r="H656" i="5"/>
  <c r="M656" i="5" s="1"/>
  <c r="G656" i="5"/>
  <c r="L655" i="5"/>
  <c r="K655" i="5"/>
  <c r="J655" i="5" s="1"/>
  <c r="H655" i="5"/>
  <c r="M655" i="5" s="1"/>
  <c r="N655" i="5" s="1"/>
  <c r="G655" i="5"/>
  <c r="L654" i="5"/>
  <c r="K654" i="5"/>
  <c r="J654" i="5" s="1"/>
  <c r="H654" i="5"/>
  <c r="M654" i="5" s="1"/>
  <c r="N654" i="5" s="1"/>
  <c r="G654" i="5"/>
  <c r="L653" i="5"/>
  <c r="K653" i="5"/>
  <c r="J653" i="5" s="1"/>
  <c r="H653" i="5"/>
  <c r="M653" i="5" s="1"/>
  <c r="G653" i="5"/>
  <c r="L652" i="5"/>
  <c r="K652" i="5"/>
  <c r="J652" i="5" s="1"/>
  <c r="H652" i="5"/>
  <c r="M652" i="5" s="1"/>
  <c r="N652" i="5" s="1"/>
  <c r="G652" i="5"/>
  <c r="K651" i="5"/>
  <c r="J651" i="5" s="1"/>
  <c r="H651" i="5"/>
  <c r="M651" i="5" s="1"/>
  <c r="G651" i="5"/>
  <c r="L650" i="5"/>
  <c r="K650" i="5"/>
  <c r="J650" i="5" s="1"/>
  <c r="H650" i="5"/>
  <c r="M650" i="5" s="1"/>
  <c r="N650" i="5" s="1"/>
  <c r="G650" i="5"/>
  <c r="K649" i="5"/>
  <c r="J649" i="5" s="1"/>
  <c r="H649" i="5"/>
  <c r="M649" i="5" s="1"/>
  <c r="G649" i="5"/>
  <c r="L648" i="5"/>
  <c r="K648" i="5"/>
  <c r="J648" i="5" s="1"/>
  <c r="H648" i="5"/>
  <c r="M648" i="5" s="1"/>
  <c r="G648" i="5"/>
  <c r="K647" i="5"/>
  <c r="J647" i="5" s="1"/>
  <c r="H647" i="5"/>
  <c r="M647" i="5" s="1"/>
  <c r="G647" i="5"/>
  <c r="L646" i="5"/>
  <c r="K646" i="5"/>
  <c r="J646" i="5" s="1"/>
  <c r="H646" i="5"/>
  <c r="M646" i="5" s="1"/>
  <c r="N646" i="5" s="1"/>
  <c r="G646" i="5"/>
  <c r="K645" i="5"/>
  <c r="J645" i="5" s="1"/>
  <c r="H645" i="5"/>
  <c r="M645" i="5" s="1"/>
  <c r="G645" i="5"/>
  <c r="K644" i="5"/>
  <c r="J644" i="5" s="1"/>
  <c r="H644" i="5"/>
  <c r="M644" i="5" s="1"/>
  <c r="G644" i="5"/>
  <c r="L643" i="5"/>
  <c r="K643" i="5"/>
  <c r="J643" i="5" s="1"/>
  <c r="H643" i="5"/>
  <c r="M643" i="5" s="1"/>
  <c r="G643" i="5"/>
  <c r="K642" i="5"/>
  <c r="J642" i="5" s="1"/>
  <c r="H642" i="5"/>
  <c r="M642" i="5" s="1"/>
  <c r="G642" i="5"/>
  <c r="L641" i="5"/>
  <c r="K641" i="5"/>
  <c r="J641" i="5" s="1"/>
  <c r="H641" i="5"/>
  <c r="M641" i="5" s="1"/>
  <c r="G641" i="5"/>
  <c r="K640" i="5"/>
  <c r="J640" i="5" s="1"/>
  <c r="H640" i="5"/>
  <c r="M640" i="5" s="1"/>
  <c r="G640" i="5"/>
  <c r="K639" i="5"/>
  <c r="J639" i="5" s="1"/>
  <c r="H639" i="5"/>
  <c r="M639" i="5" s="1"/>
  <c r="G639" i="5"/>
  <c r="K638" i="5"/>
  <c r="J638" i="5" s="1"/>
  <c r="H638" i="5"/>
  <c r="M638" i="5" s="1"/>
  <c r="G638" i="5"/>
  <c r="L637" i="5"/>
  <c r="K637" i="5"/>
  <c r="J637" i="5" s="1"/>
  <c r="H637" i="5"/>
  <c r="M637" i="5" s="1"/>
  <c r="G637" i="5"/>
  <c r="L636" i="5"/>
  <c r="K636" i="5"/>
  <c r="J636" i="5" s="1"/>
  <c r="H636" i="5"/>
  <c r="M636" i="5" s="1"/>
  <c r="G636" i="5"/>
  <c r="K635" i="5"/>
  <c r="J635" i="5" s="1"/>
  <c r="H635" i="5"/>
  <c r="M635" i="5" s="1"/>
  <c r="G635" i="5"/>
  <c r="L634" i="5"/>
  <c r="K634" i="5"/>
  <c r="J634" i="5" s="1"/>
  <c r="H634" i="5"/>
  <c r="M634" i="5" s="1"/>
  <c r="G634" i="5"/>
  <c r="K633" i="5"/>
  <c r="J633" i="5" s="1"/>
  <c r="H633" i="5"/>
  <c r="M633" i="5" s="1"/>
  <c r="G633" i="5"/>
  <c r="K632" i="5"/>
  <c r="J632" i="5" s="1"/>
  <c r="H632" i="5"/>
  <c r="M632" i="5" s="1"/>
  <c r="G632" i="5"/>
  <c r="K631" i="5"/>
  <c r="J631" i="5" s="1"/>
  <c r="H631" i="5"/>
  <c r="M631" i="5" s="1"/>
  <c r="G631" i="5"/>
  <c r="L630" i="5"/>
  <c r="K630" i="5"/>
  <c r="J630" i="5" s="1"/>
  <c r="H630" i="5"/>
  <c r="M630" i="5" s="1"/>
  <c r="N630" i="5" s="1"/>
  <c r="G630" i="5"/>
  <c r="L629" i="5"/>
  <c r="K629" i="5"/>
  <c r="J629" i="5" s="1"/>
  <c r="H629" i="5"/>
  <c r="M629" i="5" s="1"/>
  <c r="G629" i="5"/>
  <c r="K628" i="5"/>
  <c r="J628" i="5" s="1"/>
  <c r="H628" i="5"/>
  <c r="M628" i="5" s="1"/>
  <c r="G628" i="5"/>
  <c r="L627" i="5"/>
  <c r="K627" i="5"/>
  <c r="J627" i="5" s="1"/>
  <c r="H627" i="5"/>
  <c r="M627" i="5" s="1"/>
  <c r="N627" i="5" s="1"/>
  <c r="G627" i="5"/>
  <c r="K626" i="5"/>
  <c r="J626" i="5" s="1"/>
  <c r="H626" i="5"/>
  <c r="M626" i="5" s="1"/>
  <c r="G626" i="5"/>
  <c r="L625" i="5"/>
  <c r="K625" i="5"/>
  <c r="J625" i="5" s="1"/>
  <c r="H625" i="5"/>
  <c r="M625" i="5" s="1"/>
  <c r="N625" i="5" s="1"/>
  <c r="G625" i="5"/>
  <c r="K624" i="5"/>
  <c r="J624" i="5" s="1"/>
  <c r="H624" i="5"/>
  <c r="M624" i="5" s="1"/>
  <c r="G624" i="5"/>
  <c r="L623" i="5"/>
  <c r="K623" i="5"/>
  <c r="J623" i="5" s="1"/>
  <c r="H623" i="5"/>
  <c r="M623" i="5" s="1"/>
  <c r="G623" i="5"/>
  <c r="L622" i="5"/>
  <c r="K622" i="5"/>
  <c r="J622" i="5" s="1"/>
  <c r="H622" i="5"/>
  <c r="M622" i="5" s="1"/>
  <c r="N622" i="5" s="1"/>
  <c r="G622" i="5"/>
  <c r="L621" i="5"/>
  <c r="K621" i="5"/>
  <c r="J621" i="5" s="1"/>
  <c r="H621" i="5"/>
  <c r="M621" i="5" s="1"/>
  <c r="G621" i="5"/>
  <c r="L620" i="5"/>
  <c r="K620" i="5"/>
  <c r="J620" i="5" s="1"/>
  <c r="H620" i="5"/>
  <c r="M620" i="5" s="1"/>
  <c r="N620" i="5" s="1"/>
  <c r="G620" i="5"/>
  <c r="K619" i="5"/>
  <c r="J619" i="5" s="1"/>
  <c r="H619" i="5"/>
  <c r="M619" i="5" s="1"/>
  <c r="G619" i="5"/>
  <c r="L618" i="5"/>
  <c r="K618" i="5"/>
  <c r="J618" i="5" s="1"/>
  <c r="H618" i="5"/>
  <c r="M618" i="5" s="1"/>
  <c r="N618" i="5" s="1"/>
  <c r="G618" i="5"/>
  <c r="K617" i="5"/>
  <c r="J617" i="5" s="1"/>
  <c r="H617" i="5"/>
  <c r="M617" i="5" s="1"/>
  <c r="G617" i="5"/>
  <c r="L616" i="5"/>
  <c r="K616" i="5"/>
  <c r="J616" i="5" s="1"/>
  <c r="H616" i="5"/>
  <c r="M616" i="5" s="1"/>
  <c r="G616" i="5"/>
  <c r="K615" i="5"/>
  <c r="J615" i="5" s="1"/>
  <c r="H615" i="5"/>
  <c r="M615" i="5" s="1"/>
  <c r="G615" i="5"/>
  <c r="L614" i="5"/>
  <c r="K614" i="5"/>
  <c r="J614" i="5" s="1"/>
  <c r="H614" i="5"/>
  <c r="M614" i="5" s="1"/>
  <c r="N614" i="5" s="1"/>
  <c r="G614" i="5"/>
  <c r="L613" i="5"/>
  <c r="K613" i="5"/>
  <c r="J613" i="5" s="1"/>
  <c r="H613" i="5"/>
  <c r="M613" i="5" s="1"/>
  <c r="N613" i="5" s="1"/>
  <c r="G613" i="5"/>
  <c r="K612" i="5"/>
  <c r="J612" i="5" s="1"/>
  <c r="H612" i="5"/>
  <c r="M612" i="5" s="1"/>
  <c r="G612" i="5"/>
  <c r="K611" i="5"/>
  <c r="J611" i="5" s="1"/>
  <c r="H611" i="5"/>
  <c r="M611" i="5" s="1"/>
  <c r="G611" i="5"/>
  <c r="K610" i="5"/>
  <c r="J610" i="5" s="1"/>
  <c r="H610" i="5"/>
  <c r="G610" i="5"/>
  <c r="L610" i="5" s="1"/>
  <c r="K609" i="5"/>
  <c r="J609" i="5" s="1"/>
  <c r="H609" i="5"/>
  <c r="M609" i="5" s="1"/>
  <c r="G609" i="5"/>
  <c r="K608" i="5"/>
  <c r="J608" i="5" s="1"/>
  <c r="H608" i="5"/>
  <c r="I608" i="5" s="1"/>
  <c r="G608" i="5"/>
  <c r="L608" i="5" s="1"/>
  <c r="K607" i="5"/>
  <c r="J607" i="5" s="1"/>
  <c r="H607" i="5"/>
  <c r="M607" i="5" s="1"/>
  <c r="G607" i="5"/>
  <c r="K606" i="5"/>
  <c r="J606" i="5" s="1"/>
  <c r="H606" i="5"/>
  <c r="G606" i="5"/>
  <c r="L606" i="5" s="1"/>
  <c r="K605" i="5"/>
  <c r="J605" i="5" s="1"/>
  <c r="H605" i="5"/>
  <c r="M605" i="5" s="1"/>
  <c r="G605" i="5"/>
  <c r="K604" i="5"/>
  <c r="J604" i="5" s="1"/>
  <c r="H604" i="5"/>
  <c r="M604" i="5" s="1"/>
  <c r="N604" i="5" s="1"/>
  <c r="G604" i="5"/>
  <c r="L604" i="5" s="1"/>
  <c r="K603" i="5"/>
  <c r="J603" i="5" s="1"/>
  <c r="H603" i="5"/>
  <c r="M603" i="5" s="1"/>
  <c r="G603" i="5"/>
  <c r="K602" i="5"/>
  <c r="J602" i="5"/>
  <c r="H602" i="5"/>
  <c r="M602" i="5" s="1"/>
  <c r="N602" i="5" s="1"/>
  <c r="G602" i="5"/>
  <c r="L602" i="5" s="1"/>
  <c r="K601" i="5"/>
  <c r="J601" i="5" s="1"/>
  <c r="H601" i="5"/>
  <c r="M601" i="5" s="1"/>
  <c r="G601" i="5"/>
  <c r="K600" i="5"/>
  <c r="J600" i="5" s="1"/>
  <c r="H600" i="5"/>
  <c r="M600" i="5" s="1"/>
  <c r="G600" i="5"/>
  <c r="L600" i="5" s="1"/>
  <c r="K599" i="5"/>
  <c r="J599" i="5"/>
  <c r="H599" i="5"/>
  <c r="M599" i="5" s="1"/>
  <c r="G599" i="5"/>
  <c r="K598" i="5"/>
  <c r="J598" i="5" s="1"/>
  <c r="H598" i="5"/>
  <c r="M598" i="5" s="1"/>
  <c r="G598" i="5"/>
  <c r="L598" i="5" s="1"/>
  <c r="K597" i="5"/>
  <c r="J597" i="5" s="1"/>
  <c r="H597" i="5"/>
  <c r="M597" i="5" s="1"/>
  <c r="G597" i="5"/>
  <c r="K596" i="5"/>
  <c r="J596" i="5" s="1"/>
  <c r="H596" i="5"/>
  <c r="M596" i="5" s="1"/>
  <c r="N596" i="5" s="1"/>
  <c r="G596" i="5"/>
  <c r="L596" i="5" s="1"/>
  <c r="K595" i="5"/>
  <c r="J595" i="5" s="1"/>
  <c r="H595" i="5"/>
  <c r="M595" i="5" s="1"/>
  <c r="G595" i="5"/>
  <c r="K594" i="5"/>
  <c r="J594" i="5" s="1"/>
  <c r="H594" i="5"/>
  <c r="M594" i="5" s="1"/>
  <c r="N594" i="5" s="1"/>
  <c r="G594" i="5"/>
  <c r="L594" i="5" s="1"/>
  <c r="K593" i="5"/>
  <c r="J593" i="5" s="1"/>
  <c r="H593" i="5"/>
  <c r="M593" i="5" s="1"/>
  <c r="G593" i="5"/>
  <c r="K592" i="5"/>
  <c r="J592" i="5" s="1"/>
  <c r="H592" i="5"/>
  <c r="G592" i="5"/>
  <c r="L592" i="5" s="1"/>
  <c r="K591" i="5"/>
  <c r="J591" i="5" s="1"/>
  <c r="H591" i="5"/>
  <c r="M591" i="5" s="1"/>
  <c r="G591" i="5"/>
  <c r="J590" i="5"/>
  <c r="H590" i="5"/>
  <c r="G590" i="5"/>
  <c r="L590" i="5" s="1"/>
  <c r="K589" i="5"/>
  <c r="J589" i="5" s="1"/>
  <c r="H589" i="5"/>
  <c r="M589" i="5" s="1"/>
  <c r="G589" i="5"/>
  <c r="K588" i="5"/>
  <c r="J588" i="5" s="1"/>
  <c r="H588" i="5"/>
  <c r="M588" i="5" s="1"/>
  <c r="G588" i="5"/>
  <c r="L588" i="5" s="1"/>
  <c r="H587" i="5"/>
  <c r="M587" i="5" s="1"/>
  <c r="G587" i="5"/>
  <c r="K586" i="5"/>
  <c r="J586" i="5" s="1"/>
  <c r="H586" i="5"/>
  <c r="M586" i="5" s="1"/>
  <c r="N586" i="5" s="1"/>
  <c r="G586" i="5"/>
  <c r="L586" i="5" s="1"/>
  <c r="K585" i="5"/>
  <c r="J585" i="5"/>
  <c r="H585" i="5"/>
  <c r="M585" i="5" s="1"/>
  <c r="G585" i="5"/>
  <c r="K584" i="5"/>
  <c r="J584" i="5" s="1"/>
  <c r="H584" i="5"/>
  <c r="M584" i="5" s="1"/>
  <c r="G584" i="5"/>
  <c r="L584" i="5" s="1"/>
  <c r="K583" i="5"/>
  <c r="J583" i="5" s="1"/>
  <c r="H583" i="5"/>
  <c r="M583" i="5" s="1"/>
  <c r="G583" i="5"/>
  <c r="K582" i="5"/>
  <c r="J582" i="5" s="1"/>
  <c r="H582" i="5"/>
  <c r="M582" i="5" s="1"/>
  <c r="G582" i="5"/>
  <c r="L582" i="5" s="1"/>
  <c r="K581" i="5"/>
  <c r="J581" i="5" s="1"/>
  <c r="H581" i="5"/>
  <c r="M581" i="5" s="1"/>
  <c r="G581" i="5"/>
  <c r="K580" i="5"/>
  <c r="J580" i="5" s="1"/>
  <c r="I580" i="5"/>
  <c r="H580" i="5"/>
  <c r="M580" i="5" s="1"/>
  <c r="N580" i="5" s="1"/>
  <c r="G580" i="5"/>
  <c r="L580" i="5" s="1"/>
  <c r="K579" i="5"/>
  <c r="J579" i="5" s="1"/>
  <c r="H579" i="5"/>
  <c r="M579" i="5" s="1"/>
  <c r="G579" i="5"/>
  <c r="K578" i="5"/>
  <c r="J578" i="5" s="1"/>
  <c r="H578" i="5"/>
  <c r="M578" i="5" s="1"/>
  <c r="G578" i="5"/>
  <c r="L578" i="5" s="1"/>
  <c r="K577" i="5"/>
  <c r="J577" i="5" s="1"/>
  <c r="H577" i="5"/>
  <c r="M577" i="5" s="1"/>
  <c r="G577" i="5"/>
  <c r="K576" i="5"/>
  <c r="J576" i="5" s="1"/>
  <c r="H576" i="5"/>
  <c r="M576" i="5" s="1"/>
  <c r="G576" i="5"/>
  <c r="L576" i="5" s="1"/>
  <c r="K575" i="5"/>
  <c r="J575" i="5" s="1"/>
  <c r="H575" i="5"/>
  <c r="M575" i="5" s="1"/>
  <c r="G575" i="5"/>
  <c r="K574" i="5"/>
  <c r="J574" i="5" s="1"/>
  <c r="H574" i="5"/>
  <c r="M574" i="5" s="1"/>
  <c r="G574" i="5"/>
  <c r="L574" i="5" s="1"/>
  <c r="K573" i="5"/>
  <c r="J573" i="5" s="1"/>
  <c r="H573" i="5"/>
  <c r="M573" i="5" s="1"/>
  <c r="G573" i="5"/>
  <c r="K572" i="5"/>
  <c r="J572" i="5" s="1"/>
  <c r="H572" i="5"/>
  <c r="M572" i="5" s="1"/>
  <c r="N572" i="5" s="1"/>
  <c r="G572" i="5"/>
  <c r="L572" i="5" s="1"/>
  <c r="K571" i="5"/>
  <c r="J571" i="5" s="1"/>
  <c r="H571" i="5"/>
  <c r="M571" i="5" s="1"/>
  <c r="G571" i="5"/>
  <c r="K570" i="5"/>
  <c r="J570" i="5" s="1"/>
  <c r="H570" i="5"/>
  <c r="M570" i="5" s="1"/>
  <c r="N570" i="5" s="1"/>
  <c r="G570" i="5"/>
  <c r="L570" i="5" s="1"/>
  <c r="K569" i="5"/>
  <c r="J569" i="5" s="1"/>
  <c r="H569" i="5"/>
  <c r="M569" i="5" s="1"/>
  <c r="G569" i="5"/>
  <c r="K568" i="5"/>
  <c r="J568" i="5" s="1"/>
  <c r="H568" i="5"/>
  <c r="M568" i="5" s="1"/>
  <c r="G568" i="5"/>
  <c r="L568" i="5" s="1"/>
  <c r="K567" i="5"/>
  <c r="J567" i="5" s="1"/>
  <c r="H567" i="5"/>
  <c r="M567" i="5" s="1"/>
  <c r="G567" i="5"/>
  <c r="K566" i="5"/>
  <c r="J566" i="5" s="1"/>
  <c r="H566" i="5"/>
  <c r="M566" i="5" s="1"/>
  <c r="G566" i="5"/>
  <c r="L566" i="5" s="1"/>
  <c r="K565" i="5"/>
  <c r="J565" i="5" s="1"/>
  <c r="H565" i="5"/>
  <c r="M565" i="5" s="1"/>
  <c r="G565" i="5"/>
  <c r="K564" i="5"/>
  <c r="J564" i="5" s="1"/>
  <c r="H564" i="5"/>
  <c r="M564" i="5" s="1"/>
  <c r="N564" i="5" s="1"/>
  <c r="G564" i="5"/>
  <c r="L564" i="5" s="1"/>
  <c r="K563" i="5"/>
  <c r="J563" i="5" s="1"/>
  <c r="H563" i="5"/>
  <c r="M563" i="5" s="1"/>
  <c r="G563" i="5"/>
  <c r="K562" i="5"/>
  <c r="J562" i="5" s="1"/>
  <c r="H562" i="5"/>
  <c r="M562" i="5" s="1"/>
  <c r="N562" i="5" s="1"/>
  <c r="G562" i="5"/>
  <c r="L562" i="5" s="1"/>
  <c r="K561" i="5"/>
  <c r="J561" i="5" s="1"/>
  <c r="H561" i="5"/>
  <c r="M561" i="5" s="1"/>
  <c r="G561" i="5"/>
  <c r="K560" i="5"/>
  <c r="J560" i="5" s="1"/>
  <c r="H560" i="5"/>
  <c r="M560" i="5" s="1"/>
  <c r="N560" i="5" s="1"/>
  <c r="G560" i="5"/>
  <c r="L560" i="5" s="1"/>
  <c r="K559" i="5"/>
  <c r="J559" i="5" s="1"/>
  <c r="H559" i="5"/>
  <c r="M559" i="5" s="1"/>
  <c r="G559" i="5"/>
  <c r="K558" i="5"/>
  <c r="J558" i="5" s="1"/>
  <c r="H558" i="5"/>
  <c r="M558" i="5" s="1"/>
  <c r="N558" i="5" s="1"/>
  <c r="G558" i="5"/>
  <c r="L558" i="5" s="1"/>
  <c r="K557" i="5"/>
  <c r="J557" i="5" s="1"/>
  <c r="H557" i="5"/>
  <c r="M557" i="5" s="1"/>
  <c r="G557" i="5"/>
  <c r="K556" i="5"/>
  <c r="J556" i="5" s="1"/>
  <c r="H556" i="5"/>
  <c r="M556" i="5" s="1"/>
  <c r="N556" i="5" s="1"/>
  <c r="G556" i="5"/>
  <c r="L556" i="5" s="1"/>
  <c r="K555" i="5"/>
  <c r="J555" i="5" s="1"/>
  <c r="H555" i="5"/>
  <c r="M555" i="5" s="1"/>
  <c r="G555" i="5"/>
  <c r="K554" i="5"/>
  <c r="J554" i="5" s="1"/>
  <c r="H554" i="5"/>
  <c r="M554" i="5" s="1"/>
  <c r="N554" i="5" s="1"/>
  <c r="G554" i="5"/>
  <c r="L554" i="5" s="1"/>
  <c r="K553" i="5"/>
  <c r="J553" i="5" s="1"/>
  <c r="H553" i="5"/>
  <c r="M553" i="5" s="1"/>
  <c r="G553" i="5"/>
  <c r="H552" i="5"/>
  <c r="M552" i="5" s="1"/>
  <c r="N552" i="5" s="1"/>
  <c r="G552" i="5"/>
  <c r="L552" i="5" s="1"/>
  <c r="K551" i="5"/>
  <c r="J551" i="5" s="1"/>
  <c r="H551" i="5"/>
  <c r="M551" i="5" s="1"/>
  <c r="G551" i="5"/>
  <c r="K550" i="5"/>
  <c r="J550" i="5" s="1"/>
  <c r="H550" i="5"/>
  <c r="M550" i="5" s="1"/>
  <c r="N550" i="5" s="1"/>
  <c r="G550" i="5"/>
  <c r="L550" i="5" s="1"/>
  <c r="K549" i="5"/>
  <c r="J549" i="5" s="1"/>
  <c r="H549" i="5"/>
  <c r="M549" i="5" s="1"/>
  <c r="G549" i="5"/>
  <c r="K548" i="5"/>
  <c r="J548" i="5" s="1"/>
  <c r="H548" i="5"/>
  <c r="M548" i="5" s="1"/>
  <c r="N548" i="5" s="1"/>
  <c r="G548" i="5"/>
  <c r="L548" i="5" s="1"/>
  <c r="H547" i="5"/>
  <c r="M547" i="5" s="1"/>
  <c r="G547" i="5"/>
  <c r="K546" i="5"/>
  <c r="J546" i="5" s="1"/>
  <c r="H546" i="5"/>
  <c r="M546" i="5" s="1"/>
  <c r="G546" i="5"/>
  <c r="L546" i="5" s="1"/>
  <c r="H545" i="5"/>
  <c r="M545" i="5" s="1"/>
  <c r="G545" i="5"/>
  <c r="J544" i="5"/>
  <c r="H544" i="5"/>
  <c r="M544" i="5" s="1"/>
  <c r="G544" i="5"/>
  <c r="L544" i="5" s="1"/>
  <c r="K543" i="5"/>
  <c r="J543" i="5" s="1"/>
  <c r="H543" i="5"/>
  <c r="M543" i="5" s="1"/>
  <c r="G543" i="5"/>
  <c r="H542" i="5"/>
  <c r="M542" i="5" s="1"/>
  <c r="G542" i="5"/>
  <c r="L542" i="5" s="1"/>
  <c r="H541" i="5"/>
  <c r="M541" i="5" s="1"/>
  <c r="G541" i="5"/>
  <c r="K540" i="5"/>
  <c r="J540" i="5" s="1"/>
  <c r="H540" i="5"/>
  <c r="M540" i="5" s="1"/>
  <c r="N540" i="5" s="1"/>
  <c r="G540" i="5"/>
  <c r="L540" i="5" s="1"/>
  <c r="K539" i="5"/>
  <c r="J539" i="5" s="1"/>
  <c r="H539" i="5"/>
  <c r="M539" i="5" s="1"/>
  <c r="G539" i="5"/>
  <c r="K538" i="5"/>
  <c r="J538" i="5" s="1"/>
  <c r="H538" i="5"/>
  <c r="M538" i="5" s="1"/>
  <c r="N538" i="5" s="1"/>
  <c r="G538" i="5"/>
  <c r="L538" i="5" s="1"/>
  <c r="H537" i="5"/>
  <c r="M537" i="5" s="1"/>
  <c r="G537" i="5"/>
  <c r="K536" i="5"/>
  <c r="J536" i="5" s="1"/>
  <c r="H536" i="5"/>
  <c r="M536" i="5" s="1"/>
  <c r="G536" i="5"/>
  <c r="L536" i="5" s="1"/>
  <c r="K535" i="5"/>
  <c r="J535" i="5"/>
  <c r="H535" i="5"/>
  <c r="M535" i="5" s="1"/>
  <c r="G535" i="5"/>
  <c r="K534" i="5"/>
  <c r="J534" i="5" s="1"/>
  <c r="H534" i="5"/>
  <c r="M534" i="5" s="1"/>
  <c r="G534" i="5"/>
  <c r="L534" i="5" s="1"/>
  <c r="H533" i="5"/>
  <c r="M533" i="5" s="1"/>
  <c r="G533" i="5"/>
  <c r="K532" i="5"/>
  <c r="J532" i="5" s="1"/>
  <c r="H532" i="5"/>
  <c r="M532" i="5" s="1"/>
  <c r="N532" i="5" s="1"/>
  <c r="G532" i="5"/>
  <c r="L532" i="5" s="1"/>
  <c r="H531" i="5"/>
  <c r="M531" i="5" s="1"/>
  <c r="G531" i="5"/>
  <c r="K530" i="5"/>
  <c r="J530" i="5" s="1"/>
  <c r="H530" i="5"/>
  <c r="M530" i="5" s="1"/>
  <c r="N530" i="5" s="1"/>
  <c r="G530" i="5"/>
  <c r="L530" i="5" s="1"/>
  <c r="K529" i="5"/>
  <c r="J529" i="5" s="1"/>
  <c r="H529" i="5"/>
  <c r="M529" i="5" s="1"/>
  <c r="G529" i="5"/>
  <c r="K528" i="5"/>
  <c r="J528" i="5" s="1"/>
  <c r="H528" i="5"/>
  <c r="M528" i="5" s="1"/>
  <c r="N528" i="5" s="1"/>
  <c r="G528" i="5"/>
  <c r="L528" i="5" s="1"/>
  <c r="K527" i="5"/>
  <c r="J527" i="5" s="1"/>
  <c r="H527" i="5"/>
  <c r="M527" i="5" s="1"/>
  <c r="G527" i="5"/>
  <c r="K526" i="5"/>
  <c r="J526" i="5" s="1"/>
  <c r="H526" i="5"/>
  <c r="M526" i="5" s="1"/>
  <c r="N526" i="5" s="1"/>
  <c r="G526" i="5"/>
  <c r="L526" i="5" s="1"/>
  <c r="K525" i="5"/>
  <c r="J525" i="5" s="1"/>
  <c r="H525" i="5"/>
  <c r="M525" i="5" s="1"/>
  <c r="G525" i="5"/>
  <c r="K524" i="5"/>
  <c r="J524" i="5" s="1"/>
  <c r="H524" i="5"/>
  <c r="M524" i="5" s="1"/>
  <c r="N524" i="5" s="1"/>
  <c r="G524" i="5"/>
  <c r="L524" i="5" s="1"/>
  <c r="K523" i="5"/>
  <c r="J523" i="5" s="1"/>
  <c r="H523" i="5"/>
  <c r="M523" i="5" s="1"/>
  <c r="G523" i="5"/>
  <c r="K522" i="5"/>
  <c r="J522" i="5" s="1"/>
  <c r="H522" i="5"/>
  <c r="M522" i="5" s="1"/>
  <c r="N522" i="5" s="1"/>
  <c r="G522" i="5"/>
  <c r="L522" i="5" s="1"/>
  <c r="K521" i="5"/>
  <c r="J521" i="5" s="1"/>
  <c r="H521" i="5"/>
  <c r="M521" i="5" s="1"/>
  <c r="G521" i="5"/>
  <c r="K520" i="5"/>
  <c r="J520" i="5" s="1"/>
  <c r="H520" i="5"/>
  <c r="M520" i="5" s="1"/>
  <c r="N520" i="5" s="1"/>
  <c r="G520" i="5"/>
  <c r="L520" i="5" s="1"/>
  <c r="K519" i="5"/>
  <c r="J519" i="5" s="1"/>
  <c r="H519" i="5"/>
  <c r="M519" i="5" s="1"/>
  <c r="G519" i="5"/>
  <c r="H518" i="5"/>
  <c r="M518" i="5" s="1"/>
  <c r="N518" i="5" s="1"/>
  <c r="G518" i="5"/>
  <c r="L518" i="5" s="1"/>
  <c r="K517" i="5"/>
  <c r="J517" i="5" s="1"/>
  <c r="H517" i="5"/>
  <c r="M517" i="5" s="1"/>
  <c r="G517" i="5"/>
  <c r="H516" i="5"/>
  <c r="M516" i="5" s="1"/>
  <c r="N516" i="5" s="1"/>
  <c r="G516" i="5"/>
  <c r="L516" i="5" s="1"/>
  <c r="K515" i="5"/>
  <c r="J515" i="5" s="1"/>
  <c r="H515" i="5"/>
  <c r="M515" i="5" s="1"/>
  <c r="G515" i="5"/>
  <c r="K514" i="5"/>
  <c r="J514" i="5" s="1"/>
  <c r="H514" i="5"/>
  <c r="M514" i="5" s="1"/>
  <c r="G514" i="5"/>
  <c r="L514" i="5" s="1"/>
  <c r="K513" i="5"/>
  <c r="J513" i="5" s="1"/>
  <c r="H513" i="5"/>
  <c r="M513" i="5" s="1"/>
  <c r="G513" i="5"/>
  <c r="K512" i="5"/>
  <c r="J512" i="5" s="1"/>
  <c r="H512" i="5"/>
  <c r="M512" i="5" s="1"/>
  <c r="G512" i="5"/>
  <c r="L512" i="5" s="1"/>
  <c r="K511" i="5"/>
  <c r="J511" i="5" s="1"/>
  <c r="H511" i="5"/>
  <c r="M511" i="5" s="1"/>
  <c r="G511" i="5"/>
  <c r="K510" i="5"/>
  <c r="J510" i="5"/>
  <c r="H510" i="5"/>
  <c r="M510" i="5" s="1"/>
  <c r="G510" i="5"/>
  <c r="L510" i="5" s="1"/>
  <c r="H509" i="5"/>
  <c r="M509" i="5" s="1"/>
  <c r="G509" i="5"/>
  <c r="K508" i="5"/>
  <c r="J508" i="5" s="1"/>
  <c r="H508" i="5"/>
  <c r="M508" i="5" s="1"/>
  <c r="N508" i="5" s="1"/>
  <c r="G508" i="5"/>
  <c r="L508" i="5" s="1"/>
  <c r="K507" i="5"/>
  <c r="J507" i="5" s="1"/>
  <c r="H507" i="5"/>
  <c r="M507" i="5" s="1"/>
  <c r="G507" i="5"/>
  <c r="K506" i="5"/>
  <c r="J506" i="5" s="1"/>
  <c r="H506" i="5"/>
  <c r="M506" i="5" s="1"/>
  <c r="N506" i="5" s="1"/>
  <c r="G506" i="5"/>
  <c r="L506" i="5" s="1"/>
  <c r="K505" i="5"/>
  <c r="J505" i="5" s="1"/>
  <c r="H505" i="5"/>
  <c r="M505" i="5" s="1"/>
  <c r="G505" i="5"/>
  <c r="K504" i="5"/>
  <c r="J504" i="5" s="1"/>
  <c r="H504" i="5"/>
  <c r="M504" i="5" s="1"/>
  <c r="G504" i="5"/>
  <c r="L504" i="5" s="1"/>
  <c r="K503" i="5"/>
  <c r="J503" i="5" s="1"/>
  <c r="H503" i="5"/>
  <c r="M503" i="5" s="1"/>
  <c r="G503" i="5"/>
  <c r="H502" i="5"/>
  <c r="M502" i="5" s="1"/>
  <c r="G502" i="5"/>
  <c r="L502" i="5" s="1"/>
  <c r="K501" i="5"/>
  <c r="J501" i="5" s="1"/>
  <c r="H501" i="5"/>
  <c r="M501" i="5" s="1"/>
  <c r="G501" i="5"/>
  <c r="H500" i="5"/>
  <c r="M500" i="5" s="1"/>
  <c r="N500" i="5" s="1"/>
  <c r="G500" i="5"/>
  <c r="L500" i="5" s="1"/>
  <c r="K499" i="5"/>
  <c r="J499" i="5" s="1"/>
  <c r="H499" i="5"/>
  <c r="M499" i="5" s="1"/>
  <c r="G499" i="5"/>
  <c r="K498" i="5"/>
  <c r="J498" i="5" s="1"/>
  <c r="H498" i="5"/>
  <c r="M498" i="5" s="1"/>
  <c r="G498" i="5"/>
  <c r="L498" i="5" s="1"/>
  <c r="K497" i="5"/>
  <c r="J497" i="5" s="1"/>
  <c r="H497" i="5"/>
  <c r="M497" i="5" s="1"/>
  <c r="G497" i="5"/>
  <c r="K496" i="5"/>
  <c r="J496" i="5" s="1"/>
  <c r="H496" i="5"/>
  <c r="M496" i="5" s="1"/>
  <c r="G496" i="5"/>
  <c r="L496" i="5" s="1"/>
  <c r="K495" i="5"/>
  <c r="J495" i="5" s="1"/>
  <c r="H495" i="5"/>
  <c r="M495" i="5" s="1"/>
  <c r="G495" i="5"/>
  <c r="K494" i="5"/>
  <c r="J494" i="5" s="1"/>
  <c r="H494" i="5"/>
  <c r="M494" i="5" s="1"/>
  <c r="G494" i="5"/>
  <c r="L494" i="5" s="1"/>
  <c r="K493" i="5"/>
  <c r="J493" i="5" s="1"/>
  <c r="H493" i="5"/>
  <c r="M493" i="5" s="1"/>
  <c r="G493" i="5"/>
  <c r="H492" i="5"/>
  <c r="M492" i="5" s="1"/>
  <c r="G492" i="5"/>
  <c r="L492" i="5" s="1"/>
  <c r="K491" i="5"/>
  <c r="J491" i="5" s="1"/>
  <c r="H491" i="5"/>
  <c r="M491" i="5" s="1"/>
  <c r="G491" i="5"/>
  <c r="K490" i="5"/>
  <c r="J490" i="5" s="1"/>
  <c r="H490" i="5"/>
  <c r="M490" i="5" s="1"/>
  <c r="N490" i="5" s="1"/>
  <c r="G490" i="5"/>
  <c r="L490" i="5" s="1"/>
  <c r="K489" i="5"/>
  <c r="J489" i="5" s="1"/>
  <c r="H489" i="5"/>
  <c r="M489" i="5" s="1"/>
  <c r="G489" i="5"/>
  <c r="H488" i="5"/>
  <c r="M488" i="5" s="1"/>
  <c r="G488" i="5"/>
  <c r="L488" i="5" s="1"/>
  <c r="H487" i="5"/>
  <c r="M487" i="5" s="1"/>
  <c r="G487" i="5"/>
  <c r="K486" i="5"/>
  <c r="J486" i="5" s="1"/>
  <c r="H486" i="5"/>
  <c r="M486" i="5" s="1"/>
  <c r="N486" i="5" s="1"/>
  <c r="G486" i="5"/>
  <c r="L486" i="5" s="1"/>
  <c r="K485" i="5"/>
  <c r="J485" i="5" s="1"/>
  <c r="H485" i="5"/>
  <c r="M485" i="5" s="1"/>
  <c r="G485" i="5"/>
  <c r="K484" i="5"/>
  <c r="J484" i="5" s="1"/>
  <c r="H484" i="5"/>
  <c r="G484" i="5"/>
  <c r="L484" i="5" s="1"/>
  <c r="K483" i="5"/>
  <c r="J483" i="5" s="1"/>
  <c r="H483" i="5"/>
  <c r="M483" i="5" s="1"/>
  <c r="G483" i="5"/>
  <c r="K482" i="5"/>
  <c r="J482" i="5" s="1"/>
  <c r="H482" i="5"/>
  <c r="M482" i="5" s="1"/>
  <c r="N482" i="5" s="1"/>
  <c r="G482" i="5"/>
  <c r="L482" i="5" s="1"/>
  <c r="K481" i="5"/>
  <c r="J481" i="5" s="1"/>
  <c r="H481" i="5"/>
  <c r="M481" i="5" s="1"/>
  <c r="G481" i="5"/>
  <c r="K480" i="5"/>
  <c r="J480" i="5" s="1"/>
  <c r="H480" i="5"/>
  <c r="M480" i="5" s="1"/>
  <c r="N480" i="5" s="1"/>
  <c r="G480" i="5"/>
  <c r="L480" i="5" s="1"/>
  <c r="K479" i="5"/>
  <c r="J479" i="5" s="1"/>
  <c r="H479" i="5"/>
  <c r="M479" i="5" s="1"/>
  <c r="G479" i="5"/>
  <c r="K478" i="5"/>
  <c r="J478" i="5" s="1"/>
  <c r="H478" i="5"/>
  <c r="M478" i="5" s="1"/>
  <c r="N478" i="5" s="1"/>
  <c r="G478" i="5"/>
  <c r="L478" i="5" s="1"/>
  <c r="K477" i="5"/>
  <c r="J477" i="5" s="1"/>
  <c r="H477" i="5"/>
  <c r="M477" i="5" s="1"/>
  <c r="G477" i="5"/>
  <c r="K476" i="5"/>
  <c r="J476" i="5" s="1"/>
  <c r="H476" i="5"/>
  <c r="M476" i="5" s="1"/>
  <c r="N476" i="5" s="1"/>
  <c r="G476" i="5"/>
  <c r="L476" i="5" s="1"/>
  <c r="K475" i="5"/>
  <c r="J475" i="5" s="1"/>
  <c r="H475" i="5"/>
  <c r="M475" i="5" s="1"/>
  <c r="G475" i="5"/>
  <c r="K474" i="5"/>
  <c r="J474" i="5" s="1"/>
  <c r="H474" i="5"/>
  <c r="M474" i="5" s="1"/>
  <c r="N474" i="5" s="1"/>
  <c r="G474" i="5"/>
  <c r="L474" i="5" s="1"/>
  <c r="K473" i="5"/>
  <c r="J473" i="5" s="1"/>
  <c r="H473" i="5"/>
  <c r="M473" i="5" s="1"/>
  <c r="G473" i="5"/>
  <c r="K472" i="5"/>
  <c r="J472" i="5" s="1"/>
  <c r="H472" i="5"/>
  <c r="M472" i="5" s="1"/>
  <c r="N472" i="5" s="1"/>
  <c r="G472" i="5"/>
  <c r="L472" i="5" s="1"/>
  <c r="K471" i="5"/>
  <c r="J471" i="5" s="1"/>
  <c r="H471" i="5"/>
  <c r="M471" i="5" s="1"/>
  <c r="G471" i="5"/>
  <c r="K470" i="5"/>
  <c r="J470" i="5" s="1"/>
  <c r="H470" i="5"/>
  <c r="M470" i="5" s="1"/>
  <c r="N470" i="5" s="1"/>
  <c r="G470" i="5"/>
  <c r="L470" i="5" s="1"/>
  <c r="K469" i="5"/>
  <c r="J469" i="5" s="1"/>
  <c r="H469" i="5"/>
  <c r="M469" i="5" s="1"/>
  <c r="G469" i="5"/>
  <c r="K468" i="5"/>
  <c r="J468" i="5" s="1"/>
  <c r="H468" i="5"/>
  <c r="M468" i="5" s="1"/>
  <c r="N468" i="5" s="1"/>
  <c r="G468" i="5"/>
  <c r="L468" i="5" s="1"/>
  <c r="K467" i="5"/>
  <c r="J467" i="5" s="1"/>
  <c r="H467" i="5"/>
  <c r="M467" i="5" s="1"/>
  <c r="G467" i="5"/>
  <c r="K466" i="5"/>
  <c r="J466" i="5" s="1"/>
  <c r="H466" i="5"/>
  <c r="M466" i="5" s="1"/>
  <c r="N466" i="5" s="1"/>
  <c r="G466" i="5"/>
  <c r="L466" i="5" s="1"/>
  <c r="K465" i="5"/>
  <c r="J465" i="5" s="1"/>
  <c r="H465" i="5"/>
  <c r="M465" i="5" s="1"/>
  <c r="G465" i="5"/>
  <c r="K464" i="5"/>
  <c r="J464" i="5" s="1"/>
  <c r="H464" i="5"/>
  <c r="M464" i="5" s="1"/>
  <c r="N464" i="5" s="1"/>
  <c r="G464" i="5"/>
  <c r="L464" i="5" s="1"/>
  <c r="K463" i="5"/>
  <c r="J463" i="5" s="1"/>
  <c r="H463" i="5"/>
  <c r="M463" i="5" s="1"/>
  <c r="G463" i="5"/>
  <c r="K462" i="5"/>
  <c r="J462" i="5" s="1"/>
  <c r="H462" i="5"/>
  <c r="M462" i="5" s="1"/>
  <c r="N462" i="5" s="1"/>
  <c r="G462" i="5"/>
  <c r="L462" i="5" s="1"/>
  <c r="L461" i="5"/>
  <c r="K461" i="5"/>
  <c r="J461" i="5" s="1"/>
  <c r="H461" i="5"/>
  <c r="M461" i="5" s="1"/>
  <c r="N461" i="5" s="1"/>
  <c r="G461" i="5"/>
  <c r="L460" i="5"/>
  <c r="K460" i="5"/>
  <c r="J460" i="5" s="1"/>
  <c r="H460" i="5"/>
  <c r="M460" i="5" s="1"/>
  <c r="N460" i="5" s="1"/>
  <c r="G460" i="5"/>
  <c r="L459" i="5"/>
  <c r="K459" i="5"/>
  <c r="J459" i="5" s="1"/>
  <c r="H459" i="5"/>
  <c r="M459" i="5" s="1"/>
  <c r="N459" i="5" s="1"/>
  <c r="G459" i="5"/>
  <c r="L458" i="5"/>
  <c r="K458" i="5"/>
  <c r="J458" i="5" s="1"/>
  <c r="H458" i="5"/>
  <c r="M458" i="5" s="1"/>
  <c r="N458" i="5" s="1"/>
  <c r="G458" i="5"/>
  <c r="L457" i="5"/>
  <c r="K457" i="5"/>
  <c r="J457" i="5" s="1"/>
  <c r="H457" i="5"/>
  <c r="M457" i="5" s="1"/>
  <c r="N457" i="5" s="1"/>
  <c r="G457" i="5"/>
  <c r="L456" i="5"/>
  <c r="K456" i="5"/>
  <c r="J456" i="5" s="1"/>
  <c r="H456" i="5"/>
  <c r="M456" i="5" s="1"/>
  <c r="N456" i="5" s="1"/>
  <c r="G456" i="5"/>
  <c r="L455" i="5"/>
  <c r="H455" i="5"/>
  <c r="M455" i="5" s="1"/>
  <c r="N455" i="5" s="1"/>
  <c r="G455" i="5"/>
  <c r="L454" i="5"/>
  <c r="K454" i="5"/>
  <c r="J454" i="5" s="1"/>
  <c r="H454" i="5"/>
  <c r="M454" i="5" s="1"/>
  <c r="N454" i="5" s="1"/>
  <c r="G454" i="5"/>
  <c r="L453" i="5"/>
  <c r="K453" i="5"/>
  <c r="J453" i="5" s="1"/>
  <c r="H453" i="5"/>
  <c r="M453" i="5" s="1"/>
  <c r="N453" i="5" s="1"/>
  <c r="G453" i="5"/>
  <c r="L452" i="5"/>
  <c r="K452" i="5"/>
  <c r="J452" i="5" s="1"/>
  <c r="H452" i="5"/>
  <c r="M452" i="5" s="1"/>
  <c r="N452" i="5" s="1"/>
  <c r="G452" i="5"/>
  <c r="L451" i="5"/>
  <c r="K451" i="5"/>
  <c r="J451" i="5" s="1"/>
  <c r="H451" i="5"/>
  <c r="M451" i="5" s="1"/>
  <c r="N451" i="5" s="1"/>
  <c r="G451" i="5"/>
  <c r="I451" i="5" s="1"/>
  <c r="D435" i="9" s="1"/>
  <c r="G435" i="9" s="1"/>
  <c r="L450" i="5"/>
  <c r="K450" i="5"/>
  <c r="J450" i="5" s="1"/>
  <c r="H450" i="5"/>
  <c r="M450" i="5" s="1"/>
  <c r="N450" i="5" s="1"/>
  <c r="G450" i="5"/>
  <c r="L449" i="5"/>
  <c r="K449" i="5"/>
  <c r="J449" i="5" s="1"/>
  <c r="H449" i="5"/>
  <c r="M449" i="5" s="1"/>
  <c r="N449" i="5" s="1"/>
  <c r="G449" i="5"/>
  <c r="L448" i="5"/>
  <c r="K448" i="5"/>
  <c r="J448" i="5" s="1"/>
  <c r="H448" i="5"/>
  <c r="M448" i="5" s="1"/>
  <c r="N448" i="5" s="1"/>
  <c r="G448" i="5"/>
  <c r="H447" i="5"/>
  <c r="M447" i="5" s="1"/>
  <c r="G447" i="5"/>
  <c r="L446" i="5"/>
  <c r="K446" i="5"/>
  <c r="J446" i="5" s="1"/>
  <c r="H446" i="5"/>
  <c r="M446" i="5" s="1"/>
  <c r="N446" i="5" s="1"/>
  <c r="G446" i="5"/>
  <c r="L445" i="5"/>
  <c r="K445" i="5"/>
  <c r="J445" i="5" s="1"/>
  <c r="H445" i="5"/>
  <c r="M445" i="5" s="1"/>
  <c r="N445" i="5" s="1"/>
  <c r="G445" i="5"/>
  <c r="L444" i="5"/>
  <c r="K444" i="5"/>
  <c r="J444" i="5" s="1"/>
  <c r="H444" i="5"/>
  <c r="M444" i="5" s="1"/>
  <c r="N444" i="5" s="1"/>
  <c r="G444" i="5"/>
  <c r="L443" i="5"/>
  <c r="K443" i="5"/>
  <c r="J443" i="5" s="1"/>
  <c r="H443" i="5"/>
  <c r="M443" i="5" s="1"/>
  <c r="N443" i="5" s="1"/>
  <c r="G443" i="5"/>
  <c r="L442" i="5"/>
  <c r="K442" i="5"/>
  <c r="J442" i="5" s="1"/>
  <c r="H442" i="5"/>
  <c r="M442" i="5" s="1"/>
  <c r="N442" i="5" s="1"/>
  <c r="G442" i="5"/>
  <c r="L441" i="5"/>
  <c r="K441" i="5"/>
  <c r="J441" i="5" s="1"/>
  <c r="H441" i="5"/>
  <c r="M441" i="5" s="1"/>
  <c r="N441" i="5" s="1"/>
  <c r="G441" i="5"/>
  <c r="K440" i="5"/>
  <c r="J440" i="5" s="1"/>
  <c r="H440" i="5"/>
  <c r="M440" i="5" s="1"/>
  <c r="N440" i="5" s="1"/>
  <c r="G440" i="5"/>
  <c r="L440" i="5" s="1"/>
  <c r="L439" i="5"/>
  <c r="K439" i="5"/>
  <c r="J439" i="5" s="1"/>
  <c r="H439" i="5"/>
  <c r="M439" i="5" s="1"/>
  <c r="N439" i="5" s="1"/>
  <c r="G439" i="5"/>
  <c r="I439" i="5" s="1"/>
  <c r="D423" i="9" s="1"/>
  <c r="G423" i="9" s="1"/>
  <c r="L438" i="5"/>
  <c r="K438" i="5"/>
  <c r="J438" i="5" s="1"/>
  <c r="H438" i="5"/>
  <c r="M438" i="5" s="1"/>
  <c r="N438" i="5" s="1"/>
  <c r="G438" i="5"/>
  <c r="L437" i="5"/>
  <c r="K437" i="5"/>
  <c r="J437" i="5" s="1"/>
  <c r="H437" i="5"/>
  <c r="M437" i="5" s="1"/>
  <c r="N437" i="5" s="1"/>
  <c r="G437" i="5"/>
  <c r="L436" i="5"/>
  <c r="K436" i="5"/>
  <c r="J436" i="5" s="1"/>
  <c r="H436" i="5"/>
  <c r="M436" i="5" s="1"/>
  <c r="N436" i="5" s="1"/>
  <c r="G436" i="5"/>
  <c r="L435" i="5"/>
  <c r="K435" i="5"/>
  <c r="J435" i="5" s="1"/>
  <c r="H435" i="5"/>
  <c r="M435" i="5" s="1"/>
  <c r="N435" i="5" s="1"/>
  <c r="G435" i="5"/>
  <c r="L434" i="5"/>
  <c r="K434" i="5"/>
  <c r="J434" i="5" s="1"/>
  <c r="H434" i="5"/>
  <c r="M434" i="5" s="1"/>
  <c r="N434" i="5" s="1"/>
  <c r="G434" i="5"/>
  <c r="L433" i="5"/>
  <c r="K433" i="5"/>
  <c r="J433" i="5" s="1"/>
  <c r="H433" i="5"/>
  <c r="M433" i="5" s="1"/>
  <c r="N433" i="5" s="1"/>
  <c r="G433" i="5"/>
  <c r="L432" i="5"/>
  <c r="K432" i="5"/>
  <c r="J432" i="5" s="1"/>
  <c r="H432" i="5"/>
  <c r="M432" i="5" s="1"/>
  <c r="N432" i="5" s="1"/>
  <c r="G432" i="5"/>
  <c r="L431" i="5"/>
  <c r="K431" i="5"/>
  <c r="J431" i="5" s="1"/>
  <c r="H431" i="5"/>
  <c r="M431" i="5" s="1"/>
  <c r="N431" i="5" s="1"/>
  <c r="G431" i="5"/>
  <c r="K430" i="5"/>
  <c r="J430" i="5" s="1"/>
  <c r="H430" i="5"/>
  <c r="G430" i="5"/>
  <c r="H429" i="5"/>
  <c r="I429" i="5" s="1"/>
  <c r="D413" i="9" s="1"/>
  <c r="G413" i="9" s="1"/>
  <c r="G429" i="5"/>
  <c r="K428" i="5"/>
  <c r="J428" i="5" s="1"/>
  <c r="H428" i="5"/>
  <c r="G428" i="5"/>
  <c r="K427" i="5"/>
  <c r="J427" i="5" s="1"/>
  <c r="H427" i="5"/>
  <c r="G427" i="5"/>
  <c r="K426" i="5"/>
  <c r="J426" i="5" s="1"/>
  <c r="H426" i="5"/>
  <c r="I426" i="5" s="1"/>
  <c r="D410" i="9" s="1"/>
  <c r="G410" i="9" s="1"/>
  <c r="G426" i="5"/>
  <c r="K425" i="5"/>
  <c r="J425" i="5" s="1"/>
  <c r="H425" i="5"/>
  <c r="G425" i="5"/>
  <c r="H424" i="5"/>
  <c r="I424" i="5" s="1"/>
  <c r="D408" i="9" s="1"/>
  <c r="G408" i="9" s="1"/>
  <c r="G424" i="5"/>
  <c r="K423" i="5"/>
  <c r="J423" i="5" s="1"/>
  <c r="H423" i="5"/>
  <c r="I423" i="5" s="1"/>
  <c r="D407" i="9" s="1"/>
  <c r="G407" i="9" s="1"/>
  <c r="G423" i="5"/>
  <c r="K422" i="5"/>
  <c r="J422" i="5" s="1"/>
  <c r="H422" i="5"/>
  <c r="G422" i="5"/>
  <c r="K421" i="5"/>
  <c r="J421" i="5" s="1"/>
  <c r="H421" i="5"/>
  <c r="I421" i="5" s="1"/>
  <c r="D405" i="9" s="1"/>
  <c r="G405" i="9" s="1"/>
  <c r="G421" i="5"/>
  <c r="K420" i="5"/>
  <c r="J420" i="5" s="1"/>
  <c r="H420" i="5"/>
  <c r="G420" i="5"/>
  <c r="K419" i="5"/>
  <c r="J419" i="5" s="1"/>
  <c r="H419" i="5"/>
  <c r="G419" i="5"/>
  <c r="K418" i="5"/>
  <c r="J418" i="5" s="1"/>
  <c r="H418" i="5"/>
  <c r="I418" i="5" s="1"/>
  <c r="D402" i="9" s="1"/>
  <c r="G402" i="9" s="1"/>
  <c r="G418" i="5"/>
  <c r="L417" i="5"/>
  <c r="K417" i="5"/>
  <c r="J417" i="5" s="1"/>
  <c r="H417" i="5"/>
  <c r="M417" i="5" s="1"/>
  <c r="G417" i="5"/>
  <c r="L416" i="5"/>
  <c r="K416" i="5"/>
  <c r="J416" i="5"/>
  <c r="H416" i="5"/>
  <c r="M416" i="5" s="1"/>
  <c r="N416" i="5" s="1"/>
  <c r="G416" i="5"/>
  <c r="N415" i="5"/>
  <c r="H415" i="5"/>
  <c r="G415" i="5"/>
  <c r="H414" i="5"/>
  <c r="G414" i="5"/>
  <c r="K413" i="5"/>
  <c r="J413" i="5" s="1"/>
  <c r="H413" i="5"/>
  <c r="G413" i="5"/>
  <c r="K412" i="5"/>
  <c r="J412" i="5" s="1"/>
  <c r="H412" i="5"/>
  <c r="I412" i="5" s="1"/>
  <c r="D396" i="9" s="1"/>
  <c r="G396" i="9" s="1"/>
  <c r="G412" i="5"/>
  <c r="K411" i="5"/>
  <c r="J411" i="5" s="1"/>
  <c r="H411" i="5"/>
  <c r="M411" i="5" s="1"/>
  <c r="G411" i="5"/>
  <c r="K410" i="5"/>
  <c r="J410" i="5" s="1"/>
  <c r="H410" i="5"/>
  <c r="G410" i="5"/>
  <c r="K409" i="5"/>
  <c r="J409" i="5" s="1"/>
  <c r="H409" i="5"/>
  <c r="I409" i="5" s="1"/>
  <c r="D393" i="9" s="1"/>
  <c r="G393" i="9" s="1"/>
  <c r="G409" i="5"/>
  <c r="K408" i="5"/>
  <c r="J408" i="5" s="1"/>
  <c r="H408" i="5"/>
  <c r="G408" i="5"/>
  <c r="I408" i="5" s="1"/>
  <c r="D392" i="9" s="1"/>
  <c r="G392" i="9" s="1"/>
  <c r="K407" i="5"/>
  <c r="J407" i="5" s="1"/>
  <c r="H407" i="5"/>
  <c r="I407" i="5" s="1"/>
  <c r="D391" i="9" s="1"/>
  <c r="G391" i="9" s="1"/>
  <c r="G407" i="5"/>
  <c r="K406" i="5"/>
  <c r="J406" i="5" s="1"/>
  <c r="H406" i="5"/>
  <c r="I406" i="5" s="1"/>
  <c r="D390" i="9" s="1"/>
  <c r="G390" i="9" s="1"/>
  <c r="G406" i="5"/>
  <c r="K405" i="5"/>
  <c r="J405" i="5" s="1"/>
  <c r="H405" i="5"/>
  <c r="G405" i="5"/>
  <c r="K404" i="5"/>
  <c r="J404" i="5" s="1"/>
  <c r="H404" i="5"/>
  <c r="I404" i="5" s="1"/>
  <c r="D388" i="9" s="1"/>
  <c r="G388" i="9" s="1"/>
  <c r="G404" i="5"/>
  <c r="K403" i="5"/>
  <c r="J403" i="5" s="1"/>
  <c r="H403" i="5"/>
  <c r="G403" i="5"/>
  <c r="K402" i="5"/>
  <c r="J402" i="5" s="1"/>
  <c r="H402" i="5"/>
  <c r="G402" i="5"/>
  <c r="I402" i="5" s="1"/>
  <c r="D386" i="9" s="1"/>
  <c r="G386" i="9" s="1"/>
  <c r="K401" i="5"/>
  <c r="J401" i="5" s="1"/>
  <c r="H401" i="5"/>
  <c r="I401" i="5" s="1"/>
  <c r="D385" i="9" s="1"/>
  <c r="G385" i="9" s="1"/>
  <c r="G401" i="5"/>
  <c r="K400" i="5"/>
  <c r="J400" i="5" s="1"/>
  <c r="H400" i="5"/>
  <c r="I400" i="5" s="1"/>
  <c r="D384" i="9" s="1"/>
  <c r="G384" i="9" s="1"/>
  <c r="G400" i="5"/>
  <c r="K399" i="5"/>
  <c r="J399" i="5" s="1"/>
  <c r="H399" i="5"/>
  <c r="I399" i="5" s="1"/>
  <c r="D383" i="9" s="1"/>
  <c r="G383" i="9" s="1"/>
  <c r="G399" i="5"/>
  <c r="K398" i="5"/>
  <c r="J398" i="5" s="1"/>
  <c r="H398" i="5"/>
  <c r="G398" i="5"/>
  <c r="K397" i="5"/>
  <c r="J397" i="5" s="1"/>
  <c r="H397" i="5"/>
  <c r="G397" i="5"/>
  <c r="K396" i="5"/>
  <c r="J396" i="5" s="1"/>
  <c r="H396" i="5"/>
  <c r="I396" i="5" s="1"/>
  <c r="D380" i="9" s="1"/>
  <c r="G380" i="9" s="1"/>
  <c r="G396" i="5"/>
  <c r="H395" i="5"/>
  <c r="G395" i="5"/>
  <c r="K394" i="5"/>
  <c r="J394" i="5" s="1"/>
  <c r="H394" i="5"/>
  <c r="G394" i="5"/>
  <c r="K393" i="5"/>
  <c r="J393" i="5" s="1"/>
  <c r="H393" i="5"/>
  <c r="I393" i="5" s="1"/>
  <c r="D377" i="9" s="1"/>
  <c r="G377" i="9" s="1"/>
  <c r="G393" i="5"/>
  <c r="K392" i="5"/>
  <c r="J392" i="5" s="1"/>
  <c r="H392" i="5"/>
  <c r="G392" i="5"/>
  <c r="K391" i="5"/>
  <c r="J391" i="5" s="1"/>
  <c r="H391" i="5"/>
  <c r="I391" i="5" s="1"/>
  <c r="D375" i="9" s="1"/>
  <c r="G375" i="9" s="1"/>
  <c r="G391" i="5"/>
  <c r="H390" i="5"/>
  <c r="I390" i="5" s="1"/>
  <c r="D374" i="9" s="1"/>
  <c r="G374" i="9" s="1"/>
  <c r="G390" i="5"/>
  <c r="K389" i="5"/>
  <c r="J389" i="5" s="1"/>
  <c r="H389" i="5"/>
  <c r="G389" i="5"/>
  <c r="K388" i="5"/>
  <c r="J388" i="5" s="1"/>
  <c r="H388" i="5"/>
  <c r="I388" i="5" s="1"/>
  <c r="D372" i="9" s="1"/>
  <c r="G372" i="9" s="1"/>
  <c r="G388" i="5"/>
  <c r="H387" i="5"/>
  <c r="G387" i="5"/>
  <c r="K386" i="5"/>
  <c r="J386" i="5" s="1"/>
  <c r="H386" i="5"/>
  <c r="G386" i="5"/>
  <c r="J385" i="5"/>
  <c r="H385" i="5"/>
  <c r="I385" i="5" s="1"/>
  <c r="D369" i="9" s="1"/>
  <c r="G369" i="9" s="1"/>
  <c r="G385" i="5"/>
  <c r="K384" i="5"/>
  <c r="J384" i="5" s="1"/>
  <c r="H384" i="5"/>
  <c r="I384" i="5" s="1"/>
  <c r="D368" i="9" s="1"/>
  <c r="G368" i="9" s="1"/>
  <c r="G384" i="5"/>
  <c r="K383" i="5"/>
  <c r="J383" i="5" s="1"/>
  <c r="H383" i="5"/>
  <c r="I383" i="5" s="1"/>
  <c r="D367" i="9" s="1"/>
  <c r="G367" i="9" s="1"/>
  <c r="G383" i="5"/>
  <c r="K382" i="5"/>
  <c r="J382" i="5" s="1"/>
  <c r="H382" i="5"/>
  <c r="G382" i="5"/>
  <c r="K381" i="5"/>
  <c r="J381" i="5" s="1"/>
  <c r="H381" i="5"/>
  <c r="G381" i="5"/>
  <c r="K380" i="5"/>
  <c r="J380" i="5" s="1"/>
  <c r="H380" i="5"/>
  <c r="I380" i="5" s="1"/>
  <c r="D364" i="9" s="1"/>
  <c r="G364" i="9" s="1"/>
  <c r="G380" i="5"/>
  <c r="K379" i="5"/>
  <c r="J379" i="5" s="1"/>
  <c r="H379" i="5"/>
  <c r="G379" i="5"/>
  <c r="K378" i="5"/>
  <c r="J378" i="5" s="1"/>
  <c r="H378" i="5"/>
  <c r="G378" i="5"/>
  <c r="K377" i="5"/>
  <c r="J377" i="5" s="1"/>
  <c r="H377" i="5"/>
  <c r="I377" i="5" s="1"/>
  <c r="D361" i="9" s="1"/>
  <c r="G361" i="9" s="1"/>
  <c r="G377" i="5"/>
  <c r="K376" i="5"/>
  <c r="J376" i="5" s="1"/>
  <c r="H376" i="5"/>
  <c r="G376" i="5"/>
  <c r="K375" i="5"/>
  <c r="J375" i="5" s="1"/>
  <c r="H375" i="5"/>
  <c r="I375" i="5" s="1"/>
  <c r="D359" i="9" s="1"/>
  <c r="G359" i="9" s="1"/>
  <c r="G375" i="5"/>
  <c r="K374" i="5"/>
  <c r="J374" i="5" s="1"/>
  <c r="H374" i="5"/>
  <c r="I374" i="5" s="1"/>
  <c r="D358" i="9" s="1"/>
  <c r="G358" i="9" s="1"/>
  <c r="G374" i="5"/>
  <c r="K373" i="5"/>
  <c r="J373" i="5" s="1"/>
  <c r="H373" i="5"/>
  <c r="G373" i="5"/>
  <c r="K372" i="5"/>
  <c r="J372" i="5" s="1"/>
  <c r="H372" i="5"/>
  <c r="I372" i="5" s="1"/>
  <c r="D356" i="9" s="1"/>
  <c r="G356" i="9" s="1"/>
  <c r="G372" i="5"/>
  <c r="K371" i="5"/>
  <c r="J371" i="5" s="1"/>
  <c r="H371" i="5"/>
  <c r="G371" i="5"/>
  <c r="K370" i="5"/>
  <c r="J370" i="5"/>
  <c r="H370" i="5"/>
  <c r="G370" i="5"/>
  <c r="I370" i="5" s="1"/>
  <c r="D354" i="9" s="1"/>
  <c r="G354" i="9" s="1"/>
  <c r="K369" i="5"/>
  <c r="J369" i="5" s="1"/>
  <c r="H369" i="5"/>
  <c r="I369" i="5" s="1"/>
  <c r="D353" i="9" s="1"/>
  <c r="G353" i="9" s="1"/>
  <c r="G369" i="5"/>
  <c r="K368" i="5"/>
  <c r="J368" i="5" s="1"/>
  <c r="H368" i="5"/>
  <c r="I368" i="5" s="1"/>
  <c r="D352" i="9" s="1"/>
  <c r="G352" i="9" s="1"/>
  <c r="G368" i="5"/>
  <c r="K367" i="5"/>
  <c r="J367" i="5" s="1"/>
  <c r="H367" i="5"/>
  <c r="I367" i="5" s="1"/>
  <c r="D351" i="9" s="1"/>
  <c r="G351" i="9" s="1"/>
  <c r="G367" i="5"/>
  <c r="K366" i="5"/>
  <c r="J366" i="5" s="1"/>
  <c r="H366" i="5"/>
  <c r="G366" i="5"/>
  <c r="K365" i="5"/>
  <c r="J365" i="5" s="1"/>
  <c r="H365" i="5"/>
  <c r="G365" i="5"/>
  <c r="K364" i="5"/>
  <c r="J364" i="5" s="1"/>
  <c r="H364" i="5"/>
  <c r="I364" i="5" s="1"/>
  <c r="D348" i="9" s="1"/>
  <c r="G348" i="9" s="1"/>
  <c r="G364" i="5"/>
  <c r="K363" i="5"/>
  <c r="J363" i="5" s="1"/>
  <c r="H363" i="5"/>
  <c r="G363" i="5"/>
  <c r="I363" i="5" s="1"/>
  <c r="D347" i="9" s="1"/>
  <c r="G347" i="9" s="1"/>
  <c r="H362" i="5"/>
  <c r="G362" i="5"/>
  <c r="I362" i="5" s="1"/>
  <c r="D346" i="9" s="1"/>
  <c r="G346" i="9" s="1"/>
  <c r="K361" i="5"/>
  <c r="J361" i="5" s="1"/>
  <c r="H361" i="5"/>
  <c r="I361" i="5" s="1"/>
  <c r="D345" i="9" s="1"/>
  <c r="G345" i="9" s="1"/>
  <c r="G361" i="5"/>
  <c r="K360" i="5"/>
  <c r="J360" i="5" s="1"/>
  <c r="H360" i="5"/>
  <c r="G360" i="5"/>
  <c r="K359" i="5"/>
  <c r="J359" i="5" s="1"/>
  <c r="H359" i="5"/>
  <c r="I359" i="5" s="1"/>
  <c r="D343" i="9" s="1"/>
  <c r="G343" i="9" s="1"/>
  <c r="G359" i="5"/>
  <c r="K358" i="5"/>
  <c r="J358" i="5" s="1"/>
  <c r="H358" i="5"/>
  <c r="I358" i="5" s="1"/>
  <c r="D342" i="9" s="1"/>
  <c r="G342" i="9" s="1"/>
  <c r="G358" i="5"/>
  <c r="K357" i="5"/>
  <c r="J357" i="5" s="1"/>
  <c r="H357" i="5"/>
  <c r="G357" i="5"/>
  <c r="K356" i="5"/>
  <c r="J356" i="5" s="1"/>
  <c r="H356" i="5"/>
  <c r="I356" i="5" s="1"/>
  <c r="D340" i="9" s="1"/>
  <c r="G340" i="9" s="1"/>
  <c r="G356" i="5"/>
  <c r="K355" i="5"/>
  <c r="J355" i="5" s="1"/>
  <c r="H355" i="5"/>
  <c r="G355" i="5"/>
  <c r="K354" i="5"/>
  <c r="J354" i="5" s="1"/>
  <c r="H354" i="5"/>
  <c r="G354" i="5"/>
  <c r="K353" i="5"/>
  <c r="J353" i="5" s="1"/>
  <c r="H353" i="5"/>
  <c r="I353" i="5" s="1"/>
  <c r="D337" i="9" s="1"/>
  <c r="G337" i="9" s="1"/>
  <c r="G353" i="5"/>
  <c r="K352" i="5"/>
  <c r="J352" i="5" s="1"/>
  <c r="H352" i="5"/>
  <c r="G352" i="5"/>
  <c r="K351" i="5"/>
  <c r="J351" i="5" s="1"/>
  <c r="H351" i="5"/>
  <c r="I351" i="5" s="1"/>
  <c r="D335" i="9" s="1"/>
  <c r="G335" i="9" s="1"/>
  <c r="G351" i="5"/>
  <c r="K350" i="5"/>
  <c r="J350" i="5" s="1"/>
  <c r="H350" i="5"/>
  <c r="G350" i="5"/>
  <c r="K349" i="5"/>
  <c r="J349" i="5"/>
  <c r="H349" i="5"/>
  <c r="G349" i="5"/>
  <c r="K348" i="5"/>
  <c r="J348" i="5" s="1"/>
  <c r="H348" i="5"/>
  <c r="I348" i="5" s="1"/>
  <c r="D332" i="9" s="1"/>
  <c r="G332" i="9" s="1"/>
  <c r="G348" i="5"/>
  <c r="K347" i="5"/>
  <c r="J347" i="5" s="1"/>
  <c r="H347" i="5"/>
  <c r="G347" i="5"/>
  <c r="K346" i="5"/>
  <c r="J346" i="5" s="1"/>
  <c r="H346" i="5"/>
  <c r="G346" i="5"/>
  <c r="K345" i="5"/>
  <c r="J345" i="5" s="1"/>
  <c r="H345" i="5"/>
  <c r="I345" i="5" s="1"/>
  <c r="D329" i="9" s="1"/>
  <c r="G329" i="9" s="1"/>
  <c r="G345" i="5"/>
  <c r="H344" i="5"/>
  <c r="G344" i="5"/>
  <c r="I344" i="5" s="1"/>
  <c r="D328" i="9" s="1"/>
  <c r="G328" i="9" s="1"/>
  <c r="K343" i="5"/>
  <c r="J343" i="5" s="1"/>
  <c r="H343" i="5"/>
  <c r="I343" i="5" s="1"/>
  <c r="D327" i="9" s="1"/>
  <c r="G327" i="9" s="1"/>
  <c r="G343" i="5"/>
  <c r="K342" i="5"/>
  <c r="J342" i="5" s="1"/>
  <c r="H342" i="5"/>
  <c r="I342" i="5" s="1"/>
  <c r="D326" i="9" s="1"/>
  <c r="G326" i="9" s="1"/>
  <c r="G342" i="5"/>
  <c r="K341" i="5"/>
  <c r="J341" i="5" s="1"/>
  <c r="H341" i="5"/>
  <c r="G341" i="5"/>
  <c r="K340" i="5"/>
  <c r="J340" i="5" s="1"/>
  <c r="H340" i="5"/>
  <c r="I340" i="5" s="1"/>
  <c r="D324" i="9" s="1"/>
  <c r="G324" i="9" s="1"/>
  <c r="G340" i="5"/>
  <c r="K339" i="5"/>
  <c r="J339" i="5" s="1"/>
  <c r="H339" i="5"/>
  <c r="G339" i="5"/>
  <c r="K338" i="5"/>
  <c r="J338" i="5" s="1"/>
  <c r="H338" i="5"/>
  <c r="G338" i="5"/>
  <c r="K337" i="5"/>
  <c r="J337" i="5"/>
  <c r="H337" i="5"/>
  <c r="I337" i="5" s="1"/>
  <c r="D321" i="9" s="1"/>
  <c r="G321" i="9" s="1"/>
  <c r="G337" i="5"/>
  <c r="K336" i="5"/>
  <c r="J336" i="5" s="1"/>
  <c r="H336" i="5"/>
  <c r="G336" i="5"/>
  <c r="K335" i="5"/>
  <c r="J335" i="5" s="1"/>
  <c r="H335" i="5"/>
  <c r="I335" i="5" s="1"/>
  <c r="D319" i="9" s="1"/>
  <c r="G319" i="9" s="1"/>
  <c r="G335" i="5"/>
  <c r="K334" i="5"/>
  <c r="J334" i="5" s="1"/>
  <c r="H334" i="5"/>
  <c r="I334" i="5" s="1"/>
  <c r="D318" i="9" s="1"/>
  <c r="G318" i="9" s="1"/>
  <c r="G334" i="5"/>
  <c r="H333" i="5"/>
  <c r="G333" i="5"/>
  <c r="K332" i="5"/>
  <c r="J332" i="5" s="1"/>
  <c r="H332" i="5"/>
  <c r="I332" i="5" s="1"/>
  <c r="D316" i="9" s="1"/>
  <c r="G316" i="9" s="1"/>
  <c r="G332" i="5"/>
  <c r="K331" i="5"/>
  <c r="J331" i="5" s="1"/>
  <c r="H331" i="5"/>
  <c r="G331" i="5"/>
  <c r="I331" i="5" s="1"/>
  <c r="D315" i="9" s="1"/>
  <c r="G315" i="9" s="1"/>
  <c r="K330" i="5"/>
  <c r="J330" i="5" s="1"/>
  <c r="H330" i="5"/>
  <c r="G330" i="5"/>
  <c r="K329" i="5"/>
  <c r="J329" i="5" s="1"/>
  <c r="H329" i="5"/>
  <c r="I329" i="5" s="1"/>
  <c r="D313" i="9" s="1"/>
  <c r="G313" i="9" s="1"/>
  <c r="G329" i="5"/>
  <c r="K328" i="5"/>
  <c r="J328" i="5" s="1"/>
  <c r="H328" i="5"/>
  <c r="G328" i="5"/>
  <c r="I328" i="5" s="1"/>
  <c r="D312" i="9" s="1"/>
  <c r="G312" i="9" s="1"/>
  <c r="K327" i="5"/>
  <c r="J327" i="5" s="1"/>
  <c r="H327" i="5"/>
  <c r="I327" i="5" s="1"/>
  <c r="D311" i="9" s="1"/>
  <c r="G311" i="9" s="1"/>
  <c r="G327" i="5"/>
  <c r="K326" i="5"/>
  <c r="J326" i="5" s="1"/>
  <c r="H326" i="5"/>
  <c r="I326" i="5" s="1"/>
  <c r="D310" i="9" s="1"/>
  <c r="G310" i="9" s="1"/>
  <c r="G326" i="5"/>
  <c r="K325" i="5"/>
  <c r="J325" i="5" s="1"/>
  <c r="H325" i="5"/>
  <c r="G325" i="5"/>
  <c r="H324" i="5"/>
  <c r="I324" i="5" s="1"/>
  <c r="D308" i="9" s="1"/>
  <c r="G308" i="9" s="1"/>
  <c r="G324" i="5"/>
  <c r="H323" i="5"/>
  <c r="G323" i="5"/>
  <c r="H322" i="5"/>
  <c r="G322" i="5"/>
  <c r="I322" i="5" s="1"/>
  <c r="D306" i="9" s="1"/>
  <c r="G306" i="9" s="1"/>
  <c r="K321" i="5"/>
  <c r="J321" i="5" s="1"/>
  <c r="H321" i="5"/>
  <c r="I321" i="5" s="1"/>
  <c r="D305" i="9" s="1"/>
  <c r="G305" i="9" s="1"/>
  <c r="G321" i="5"/>
  <c r="K320" i="5"/>
  <c r="J320" i="5" s="1"/>
  <c r="H320" i="5"/>
  <c r="I320" i="5" s="1"/>
  <c r="D304" i="9" s="1"/>
  <c r="G304" i="9" s="1"/>
  <c r="G320" i="5"/>
  <c r="K319" i="5"/>
  <c r="J319" i="5" s="1"/>
  <c r="H319" i="5"/>
  <c r="I319" i="5" s="1"/>
  <c r="D303" i="9" s="1"/>
  <c r="G303" i="9" s="1"/>
  <c r="G319" i="5"/>
  <c r="K318" i="5"/>
  <c r="J318" i="5" s="1"/>
  <c r="H318" i="5"/>
  <c r="G318" i="5"/>
  <c r="K317" i="5"/>
  <c r="J317" i="5" s="1"/>
  <c r="H317" i="5"/>
  <c r="G317" i="5"/>
  <c r="K316" i="5"/>
  <c r="J316" i="5" s="1"/>
  <c r="H316" i="5"/>
  <c r="I316" i="5" s="1"/>
  <c r="D300" i="9" s="1"/>
  <c r="G300" i="9" s="1"/>
  <c r="G316" i="5"/>
  <c r="K315" i="5"/>
  <c r="J315" i="5" s="1"/>
  <c r="H315" i="5"/>
  <c r="G315" i="5"/>
  <c r="K314" i="5"/>
  <c r="J314" i="5" s="1"/>
  <c r="H314" i="5"/>
  <c r="G314" i="5"/>
  <c r="K313" i="5"/>
  <c r="J313" i="5" s="1"/>
  <c r="H313" i="5"/>
  <c r="G313" i="5"/>
  <c r="K312" i="5"/>
  <c r="J312" i="5"/>
  <c r="H312" i="5"/>
  <c r="G312" i="5"/>
  <c r="K311" i="5"/>
  <c r="J311" i="5" s="1"/>
  <c r="H311" i="5"/>
  <c r="I311" i="5" s="1"/>
  <c r="D295" i="9" s="1"/>
  <c r="G295" i="9" s="1"/>
  <c r="G311" i="5"/>
  <c r="L310" i="5"/>
  <c r="K310" i="5"/>
  <c r="J310" i="5" s="1"/>
  <c r="H310" i="5"/>
  <c r="M310" i="5" s="1"/>
  <c r="N310" i="5" s="1"/>
  <c r="G310" i="5"/>
  <c r="L309" i="5"/>
  <c r="K309" i="5"/>
  <c r="J309" i="5" s="1"/>
  <c r="H309" i="5"/>
  <c r="I309" i="5" s="1"/>
  <c r="D293" i="9" s="1"/>
  <c r="G293" i="9" s="1"/>
  <c r="G309" i="5"/>
  <c r="L308" i="5"/>
  <c r="K308" i="5"/>
  <c r="J308" i="5" s="1"/>
  <c r="H308" i="5"/>
  <c r="I308" i="5" s="1"/>
  <c r="D292" i="9" s="1"/>
  <c r="G292" i="9" s="1"/>
  <c r="G308" i="5"/>
  <c r="L307" i="5"/>
  <c r="K307" i="5"/>
  <c r="J307" i="5"/>
  <c r="H307" i="5"/>
  <c r="G307" i="5"/>
  <c r="L306" i="5"/>
  <c r="K306" i="5"/>
  <c r="J306" i="5" s="1"/>
  <c r="H306" i="5"/>
  <c r="M306" i="5" s="1"/>
  <c r="G306" i="5"/>
  <c r="L305" i="5"/>
  <c r="K305" i="5"/>
  <c r="J305" i="5" s="1"/>
  <c r="H305" i="5"/>
  <c r="I305" i="5" s="1"/>
  <c r="D289" i="9" s="1"/>
  <c r="G289" i="9" s="1"/>
  <c r="G305" i="5"/>
  <c r="L304" i="5"/>
  <c r="K304" i="5"/>
  <c r="J304" i="5" s="1"/>
  <c r="H304" i="5"/>
  <c r="I304" i="5" s="1"/>
  <c r="D288" i="9" s="1"/>
  <c r="G288" i="9" s="1"/>
  <c r="G304" i="5"/>
  <c r="L303" i="5"/>
  <c r="K303" i="5"/>
  <c r="J303" i="5" s="1"/>
  <c r="H303" i="5"/>
  <c r="I303" i="5" s="1"/>
  <c r="D287" i="9" s="1"/>
  <c r="G287" i="9" s="1"/>
  <c r="G303" i="5"/>
  <c r="L302" i="5"/>
  <c r="K302" i="5"/>
  <c r="J302" i="5" s="1"/>
  <c r="H302" i="5"/>
  <c r="M302" i="5" s="1"/>
  <c r="N302" i="5" s="1"/>
  <c r="G302" i="5"/>
  <c r="L301" i="5"/>
  <c r="K301" i="5"/>
  <c r="J301" i="5" s="1"/>
  <c r="H301" i="5"/>
  <c r="I301" i="5" s="1"/>
  <c r="D285" i="9" s="1"/>
  <c r="G285" i="9" s="1"/>
  <c r="G301" i="5"/>
  <c r="L300" i="5"/>
  <c r="K300" i="5"/>
  <c r="J300" i="5" s="1"/>
  <c r="H300" i="5"/>
  <c r="M300" i="5" s="1"/>
  <c r="G300" i="5"/>
  <c r="L299" i="5"/>
  <c r="H299" i="5"/>
  <c r="I299" i="5" s="1"/>
  <c r="D283" i="9" s="1"/>
  <c r="G283" i="9" s="1"/>
  <c r="G299" i="5"/>
  <c r="L298" i="5"/>
  <c r="H298" i="5"/>
  <c r="G298" i="5"/>
  <c r="K297" i="5"/>
  <c r="J297" i="5" s="1"/>
  <c r="H297" i="5"/>
  <c r="G297" i="5"/>
  <c r="K296" i="5"/>
  <c r="J296" i="5" s="1"/>
  <c r="H296" i="5"/>
  <c r="G296" i="5"/>
  <c r="K295" i="5"/>
  <c r="J295" i="5" s="1"/>
  <c r="H295" i="5"/>
  <c r="I295" i="5" s="1"/>
  <c r="D279" i="9" s="1"/>
  <c r="G279" i="9" s="1"/>
  <c r="G295" i="5"/>
  <c r="H294" i="5"/>
  <c r="I294" i="5" s="1"/>
  <c r="D278" i="9" s="1"/>
  <c r="G278" i="9" s="1"/>
  <c r="G294" i="5"/>
  <c r="K293" i="5"/>
  <c r="J293" i="5" s="1"/>
  <c r="H293" i="5"/>
  <c r="G293" i="5"/>
  <c r="H292" i="5"/>
  <c r="I292" i="5" s="1"/>
  <c r="D276" i="9" s="1"/>
  <c r="G276" i="9" s="1"/>
  <c r="G292" i="5"/>
  <c r="K291" i="5"/>
  <c r="J291" i="5"/>
  <c r="H291" i="5"/>
  <c r="G291" i="5"/>
  <c r="K290" i="5"/>
  <c r="J290" i="5" s="1"/>
  <c r="H290" i="5"/>
  <c r="I290" i="5" s="1"/>
  <c r="D274" i="9" s="1"/>
  <c r="G274" i="9" s="1"/>
  <c r="G290" i="5"/>
  <c r="K289" i="5"/>
  <c r="J289" i="5" s="1"/>
  <c r="H289" i="5"/>
  <c r="I289" i="5" s="1"/>
  <c r="D273" i="9" s="1"/>
  <c r="G273" i="9" s="1"/>
  <c r="G289" i="5"/>
  <c r="K288" i="5"/>
  <c r="J288" i="5" s="1"/>
  <c r="H288" i="5"/>
  <c r="G288" i="5"/>
  <c r="K287" i="5"/>
  <c r="J287" i="5" s="1"/>
  <c r="H287" i="5"/>
  <c r="I287" i="5" s="1"/>
  <c r="D271" i="9" s="1"/>
  <c r="G271" i="9" s="1"/>
  <c r="G287" i="5"/>
  <c r="K286" i="5"/>
  <c r="J286" i="5"/>
  <c r="H286" i="5"/>
  <c r="G286" i="5"/>
  <c r="K285" i="5"/>
  <c r="J285" i="5" s="1"/>
  <c r="H285" i="5"/>
  <c r="G285" i="5"/>
  <c r="K284" i="5"/>
  <c r="J284" i="5" s="1"/>
  <c r="H284" i="5"/>
  <c r="I284" i="5" s="1"/>
  <c r="D268" i="9" s="1"/>
  <c r="G268" i="9" s="1"/>
  <c r="G284" i="5"/>
  <c r="K283" i="5"/>
  <c r="J283" i="5" s="1"/>
  <c r="H283" i="5"/>
  <c r="I283" i="5" s="1"/>
  <c r="D267" i="9" s="1"/>
  <c r="G267" i="9" s="1"/>
  <c r="G283" i="5"/>
  <c r="K282" i="5"/>
  <c r="J282" i="5" s="1"/>
  <c r="H282" i="5"/>
  <c r="I282" i="5" s="1"/>
  <c r="D266" i="9" s="1"/>
  <c r="G266" i="9" s="1"/>
  <c r="G282" i="5"/>
  <c r="K281" i="5"/>
  <c r="J281" i="5" s="1"/>
  <c r="H281" i="5"/>
  <c r="G281" i="5"/>
  <c r="K280" i="5"/>
  <c r="J280" i="5" s="1"/>
  <c r="H280" i="5"/>
  <c r="G280" i="5"/>
  <c r="I280" i="5" s="1"/>
  <c r="D264" i="9" s="1"/>
  <c r="G264" i="9" s="1"/>
  <c r="K279" i="5"/>
  <c r="J279" i="5" s="1"/>
  <c r="H279" i="5"/>
  <c r="I279" i="5" s="1"/>
  <c r="D263" i="9" s="1"/>
  <c r="G263" i="9" s="1"/>
  <c r="G279" i="5"/>
  <c r="K278" i="5"/>
  <c r="J278" i="5" s="1"/>
  <c r="H278" i="5"/>
  <c r="G278" i="5"/>
  <c r="K277" i="5"/>
  <c r="J277" i="5" s="1"/>
  <c r="H277" i="5"/>
  <c r="G277" i="5"/>
  <c r="K276" i="5"/>
  <c r="J276" i="5" s="1"/>
  <c r="H276" i="5"/>
  <c r="G276" i="5"/>
  <c r="K275" i="5"/>
  <c r="J275" i="5" s="1"/>
  <c r="H275" i="5"/>
  <c r="G275" i="5"/>
  <c r="K274" i="5"/>
  <c r="J274" i="5" s="1"/>
  <c r="H274" i="5"/>
  <c r="I274" i="5" s="1"/>
  <c r="D258" i="9" s="1"/>
  <c r="G258" i="9" s="1"/>
  <c r="G274" i="5"/>
  <c r="K273" i="5"/>
  <c r="J273" i="5" s="1"/>
  <c r="H273" i="5"/>
  <c r="I273" i="5" s="1"/>
  <c r="D257" i="9" s="1"/>
  <c r="G257" i="9" s="1"/>
  <c r="G273" i="5"/>
  <c r="K272" i="5"/>
  <c r="J272" i="5" s="1"/>
  <c r="H272" i="5"/>
  <c r="G272" i="5"/>
  <c r="K271" i="5"/>
  <c r="J271" i="5" s="1"/>
  <c r="H271" i="5"/>
  <c r="G271" i="5"/>
  <c r="H270" i="5"/>
  <c r="G270" i="5"/>
  <c r="K269" i="5"/>
  <c r="J269" i="5"/>
  <c r="H269" i="5"/>
  <c r="G269" i="5"/>
  <c r="K268" i="5"/>
  <c r="J268" i="5" s="1"/>
  <c r="H268" i="5"/>
  <c r="I268" i="5" s="1"/>
  <c r="D252" i="9" s="1"/>
  <c r="G252" i="9" s="1"/>
  <c r="G268" i="5"/>
  <c r="H267" i="5"/>
  <c r="I267" i="5" s="1"/>
  <c r="D251" i="9" s="1"/>
  <c r="G251" i="9" s="1"/>
  <c r="G267" i="5"/>
  <c r="H266" i="5"/>
  <c r="I266" i="5" s="1"/>
  <c r="D250" i="9" s="1"/>
  <c r="G250" i="9" s="1"/>
  <c r="G266" i="5"/>
  <c r="K265" i="5"/>
  <c r="J265" i="5" s="1"/>
  <c r="H265" i="5"/>
  <c r="G265" i="5"/>
  <c r="K264" i="5"/>
  <c r="J264" i="5" s="1"/>
  <c r="H264" i="5"/>
  <c r="G264" i="5"/>
  <c r="K263" i="5"/>
  <c r="J263" i="5" s="1"/>
  <c r="H263" i="5"/>
  <c r="I263" i="5" s="1"/>
  <c r="D247" i="9" s="1"/>
  <c r="G247" i="9" s="1"/>
  <c r="G263" i="5"/>
  <c r="K262" i="5"/>
  <c r="J262" i="5" s="1"/>
  <c r="H262" i="5"/>
  <c r="G262" i="5"/>
  <c r="H261" i="5"/>
  <c r="G261" i="5"/>
  <c r="K260" i="5"/>
  <c r="J260" i="5" s="1"/>
  <c r="H260" i="5"/>
  <c r="G260" i="5"/>
  <c r="I260" i="5" s="1"/>
  <c r="D244" i="9" s="1"/>
  <c r="G244" i="9" s="1"/>
  <c r="H259" i="5"/>
  <c r="G259" i="5"/>
  <c r="H258" i="5"/>
  <c r="I258" i="5" s="1"/>
  <c r="D242" i="9" s="1"/>
  <c r="G242" i="9" s="1"/>
  <c r="G258" i="5"/>
  <c r="L257" i="5"/>
  <c r="H257" i="5"/>
  <c r="M257" i="5" s="1"/>
  <c r="G257" i="5"/>
  <c r="N256" i="5"/>
  <c r="K256" i="5"/>
  <c r="J256" i="5" s="1"/>
  <c r="H256" i="5"/>
  <c r="I256" i="5" s="1"/>
  <c r="D240" i="9" s="1"/>
  <c r="G240" i="9" s="1"/>
  <c r="G256" i="5"/>
  <c r="H255" i="5"/>
  <c r="M255" i="5" s="1"/>
  <c r="G255" i="5"/>
  <c r="L255" i="5" s="1"/>
  <c r="N254" i="5"/>
  <c r="K254" i="5"/>
  <c r="J254" i="5" s="1"/>
  <c r="H254" i="5"/>
  <c r="G254" i="5"/>
  <c r="I254" i="5" s="1"/>
  <c r="D238" i="9" s="1"/>
  <c r="G238" i="9" s="1"/>
  <c r="K253" i="5"/>
  <c r="J253" i="5" s="1"/>
  <c r="H253" i="5"/>
  <c r="M253" i="5" s="1"/>
  <c r="G253" i="5"/>
  <c r="H252" i="5"/>
  <c r="M252" i="5" s="1"/>
  <c r="N252" i="5" s="1"/>
  <c r="G252" i="5"/>
  <c r="L252" i="5" s="1"/>
  <c r="K251" i="5"/>
  <c r="J251" i="5" s="1"/>
  <c r="H251" i="5"/>
  <c r="G251" i="5"/>
  <c r="K250" i="5"/>
  <c r="J250" i="5" s="1"/>
  <c r="H250" i="5"/>
  <c r="I250" i="5" s="1"/>
  <c r="D234" i="9" s="1"/>
  <c r="G234" i="9" s="1"/>
  <c r="G250" i="5"/>
  <c r="K249" i="5"/>
  <c r="J249" i="5"/>
  <c r="H249" i="5"/>
  <c r="G249" i="5"/>
  <c r="K248" i="5"/>
  <c r="J248" i="5" s="1"/>
  <c r="H248" i="5"/>
  <c r="I248" i="5" s="1"/>
  <c r="D232" i="9" s="1"/>
  <c r="G232" i="9" s="1"/>
  <c r="G248" i="5"/>
  <c r="H247" i="5"/>
  <c r="I247" i="5" s="1"/>
  <c r="D231" i="9" s="1"/>
  <c r="G231" i="9" s="1"/>
  <c r="G247" i="5"/>
  <c r="K246" i="5"/>
  <c r="J246" i="5" s="1"/>
  <c r="H246" i="5"/>
  <c r="G246" i="5"/>
  <c r="H245" i="5"/>
  <c r="I245" i="5" s="1"/>
  <c r="D229" i="9" s="1"/>
  <c r="G229" i="9" s="1"/>
  <c r="G245" i="5"/>
  <c r="K244" i="5"/>
  <c r="J244" i="5" s="1"/>
  <c r="H244" i="5"/>
  <c r="I244" i="5" s="1"/>
  <c r="D228" i="9" s="1"/>
  <c r="G228" i="9" s="1"/>
  <c r="G244" i="5"/>
  <c r="K243" i="5"/>
  <c r="J243" i="5" s="1"/>
  <c r="H243" i="5"/>
  <c r="G243" i="5"/>
  <c r="K242" i="5"/>
  <c r="J242" i="5" s="1"/>
  <c r="H242" i="5"/>
  <c r="I242" i="5" s="1"/>
  <c r="D226" i="9" s="1"/>
  <c r="G226" i="9" s="1"/>
  <c r="G242" i="5"/>
  <c r="K241" i="5"/>
  <c r="J241" i="5" s="1"/>
  <c r="H241" i="5"/>
  <c r="I241" i="5" s="1"/>
  <c r="D225" i="9" s="1"/>
  <c r="G225" i="9" s="1"/>
  <c r="G241" i="5"/>
  <c r="K240" i="5"/>
  <c r="J240" i="5" s="1"/>
  <c r="H240" i="5"/>
  <c r="I240" i="5" s="1"/>
  <c r="D224" i="9" s="1"/>
  <c r="G224" i="9" s="1"/>
  <c r="G240" i="5"/>
  <c r="H239" i="5"/>
  <c r="I239" i="5" s="1"/>
  <c r="D223" i="9" s="1"/>
  <c r="G223" i="9" s="1"/>
  <c r="G239" i="5"/>
  <c r="K238" i="5"/>
  <c r="J238" i="5" s="1"/>
  <c r="H238" i="5"/>
  <c r="G238" i="5"/>
  <c r="K237" i="5"/>
  <c r="J237" i="5" s="1"/>
  <c r="H237" i="5"/>
  <c r="I237" i="5" s="1"/>
  <c r="D221" i="9" s="1"/>
  <c r="G221" i="9" s="1"/>
  <c r="G237" i="5"/>
  <c r="K236" i="5"/>
  <c r="J236" i="5" s="1"/>
  <c r="H236" i="5"/>
  <c r="G236" i="5"/>
  <c r="K235" i="5"/>
  <c r="J235" i="5" s="1"/>
  <c r="H235" i="5"/>
  <c r="I235" i="5" s="1"/>
  <c r="D219" i="9" s="1"/>
  <c r="G219" i="9" s="1"/>
  <c r="G235" i="5"/>
  <c r="K234" i="5"/>
  <c r="J234" i="5" s="1"/>
  <c r="H234" i="5"/>
  <c r="I234" i="5" s="1"/>
  <c r="D218" i="9" s="1"/>
  <c r="G218" i="9" s="1"/>
  <c r="G234" i="5"/>
  <c r="K233" i="5"/>
  <c r="J233" i="5" s="1"/>
  <c r="H233" i="5"/>
  <c r="G233" i="5"/>
  <c r="K232" i="5"/>
  <c r="J232" i="5" s="1"/>
  <c r="H232" i="5"/>
  <c r="I232" i="5" s="1"/>
  <c r="D216" i="9" s="1"/>
  <c r="G216" i="9" s="1"/>
  <c r="G232" i="5"/>
  <c r="K231" i="5"/>
  <c r="J231" i="5" s="1"/>
  <c r="H231" i="5"/>
  <c r="I231" i="5" s="1"/>
  <c r="D215" i="9" s="1"/>
  <c r="G215" i="9" s="1"/>
  <c r="G231" i="5"/>
  <c r="K230" i="5"/>
  <c r="J230" i="5" s="1"/>
  <c r="H230" i="5"/>
  <c r="G230" i="5"/>
  <c r="K229" i="5"/>
  <c r="J229" i="5"/>
  <c r="H229" i="5"/>
  <c r="G229" i="5"/>
  <c r="H228" i="5"/>
  <c r="I228" i="5" s="1"/>
  <c r="D212" i="9" s="1"/>
  <c r="G212" i="9" s="1"/>
  <c r="G228" i="5"/>
  <c r="K227" i="5"/>
  <c r="J227" i="5" s="1"/>
  <c r="H227" i="5"/>
  <c r="G227" i="5"/>
  <c r="K226" i="5"/>
  <c r="J226" i="5" s="1"/>
  <c r="H226" i="5"/>
  <c r="I226" i="5" s="1"/>
  <c r="D210" i="9" s="1"/>
  <c r="G210" i="9" s="1"/>
  <c r="G226" i="5"/>
  <c r="K225" i="5"/>
  <c r="J225" i="5" s="1"/>
  <c r="H225" i="5"/>
  <c r="I225" i="5" s="1"/>
  <c r="D209" i="9" s="1"/>
  <c r="G209" i="9" s="1"/>
  <c r="G225" i="5"/>
  <c r="H224" i="5"/>
  <c r="G224" i="5"/>
  <c r="K223" i="5"/>
  <c r="J223" i="5" s="1"/>
  <c r="H223" i="5"/>
  <c r="G223" i="5"/>
  <c r="H222" i="5"/>
  <c r="G222" i="5"/>
  <c r="H221" i="5"/>
  <c r="I221" i="5" s="1"/>
  <c r="D205" i="9" s="1"/>
  <c r="G205" i="9" s="1"/>
  <c r="G221" i="5"/>
  <c r="H220" i="5"/>
  <c r="G220" i="5"/>
  <c r="H219" i="5"/>
  <c r="G219" i="5"/>
  <c r="K218" i="5"/>
  <c r="J218" i="5" s="1"/>
  <c r="H218" i="5"/>
  <c r="G218" i="5"/>
  <c r="K217" i="5"/>
  <c r="J217" i="5" s="1"/>
  <c r="H217" i="5"/>
  <c r="G217" i="5"/>
  <c r="K216" i="5"/>
  <c r="J216" i="5" s="1"/>
  <c r="H216" i="5"/>
  <c r="I216" i="5" s="1"/>
  <c r="D200" i="9" s="1"/>
  <c r="G200" i="9" s="1"/>
  <c r="G216" i="5"/>
  <c r="K215" i="5"/>
  <c r="J215" i="5" s="1"/>
  <c r="H215" i="5"/>
  <c r="I215" i="5" s="1"/>
  <c r="D199" i="9" s="1"/>
  <c r="G199" i="9" s="1"/>
  <c r="G215" i="5"/>
  <c r="K214" i="5"/>
  <c r="J214" i="5" s="1"/>
  <c r="H214" i="5"/>
  <c r="G214" i="5"/>
  <c r="K213" i="5"/>
  <c r="J213" i="5" s="1"/>
  <c r="H213" i="5"/>
  <c r="G213" i="5"/>
  <c r="K212" i="5"/>
  <c r="J212" i="5" s="1"/>
  <c r="H212" i="5"/>
  <c r="G212" i="5"/>
  <c r="H211" i="5"/>
  <c r="G211" i="5"/>
  <c r="K210" i="5"/>
  <c r="J210" i="5" s="1"/>
  <c r="H210" i="5"/>
  <c r="I210" i="5" s="1"/>
  <c r="D194" i="9" s="1"/>
  <c r="G194" i="9" s="1"/>
  <c r="G210" i="5"/>
  <c r="H209" i="5"/>
  <c r="G209" i="5"/>
  <c r="H208" i="5"/>
  <c r="I208" i="5" s="1"/>
  <c r="D192" i="9" s="1"/>
  <c r="G192" i="9" s="1"/>
  <c r="G208" i="5"/>
  <c r="H207" i="5"/>
  <c r="G207" i="5"/>
  <c r="I207" i="5" s="1"/>
  <c r="D191" i="9" s="1"/>
  <c r="G191" i="9" s="1"/>
  <c r="H206" i="5"/>
  <c r="G206" i="5"/>
  <c r="H205" i="5"/>
  <c r="I205" i="5" s="1"/>
  <c r="D189" i="9" s="1"/>
  <c r="G189" i="9" s="1"/>
  <c r="G205" i="5"/>
  <c r="H204" i="5"/>
  <c r="G204" i="5"/>
  <c r="H203" i="5"/>
  <c r="G203" i="5"/>
  <c r="K202" i="5"/>
  <c r="J202" i="5"/>
  <c r="H202" i="5"/>
  <c r="G202" i="5"/>
  <c r="K201" i="5"/>
  <c r="J201" i="5" s="1"/>
  <c r="H201" i="5"/>
  <c r="G201" i="5"/>
  <c r="K200" i="5"/>
  <c r="J200" i="5"/>
  <c r="H200" i="5"/>
  <c r="I200" i="5" s="1"/>
  <c r="D184" i="9" s="1"/>
  <c r="G184" i="9" s="1"/>
  <c r="G200" i="5"/>
  <c r="K199" i="5"/>
  <c r="J199" i="5"/>
  <c r="H199" i="5"/>
  <c r="I199" i="5" s="1"/>
  <c r="D183" i="9" s="1"/>
  <c r="G183" i="9" s="1"/>
  <c r="G199" i="5"/>
  <c r="K198" i="5"/>
  <c r="J198" i="5" s="1"/>
  <c r="H198" i="5"/>
  <c r="G198" i="5"/>
  <c r="K197" i="5"/>
  <c r="J197" i="5" s="1"/>
  <c r="H197" i="5"/>
  <c r="I197" i="5" s="1"/>
  <c r="D181" i="9" s="1"/>
  <c r="G181" i="9" s="1"/>
  <c r="G197" i="5"/>
  <c r="K196" i="5"/>
  <c r="J196" i="5" s="1"/>
  <c r="H196" i="5"/>
  <c r="G196" i="5"/>
  <c r="K195" i="5"/>
  <c r="J195" i="5" s="1"/>
  <c r="H195" i="5"/>
  <c r="G195" i="5"/>
  <c r="K194" i="5"/>
  <c r="J194" i="5" s="1"/>
  <c r="H194" i="5"/>
  <c r="I194" i="5" s="1"/>
  <c r="D178" i="9" s="1"/>
  <c r="G178" i="9" s="1"/>
  <c r="G194" i="5"/>
  <c r="K193" i="5"/>
  <c r="J193" i="5" s="1"/>
  <c r="H193" i="5"/>
  <c r="I193" i="5" s="1"/>
  <c r="D177" i="9" s="1"/>
  <c r="G177" i="9" s="1"/>
  <c r="G193" i="5"/>
  <c r="K192" i="5"/>
  <c r="J192" i="5" s="1"/>
  <c r="H192" i="5"/>
  <c r="I192" i="5" s="1"/>
  <c r="D176" i="9" s="1"/>
  <c r="G176" i="9" s="1"/>
  <c r="G192" i="5"/>
  <c r="K191" i="5"/>
  <c r="J191" i="5" s="1"/>
  <c r="H191" i="5"/>
  <c r="G191" i="5"/>
  <c r="K190" i="5"/>
  <c r="J190" i="5" s="1"/>
  <c r="H190" i="5"/>
  <c r="G190" i="5"/>
  <c r="K189" i="5"/>
  <c r="J189" i="5" s="1"/>
  <c r="H189" i="5"/>
  <c r="I189" i="5" s="1"/>
  <c r="D173" i="9" s="1"/>
  <c r="G173" i="9" s="1"/>
  <c r="G189" i="5"/>
  <c r="K188" i="5"/>
  <c r="J188" i="5" s="1"/>
  <c r="H188" i="5"/>
  <c r="G188" i="5"/>
  <c r="K187" i="5"/>
  <c r="J187" i="5" s="1"/>
  <c r="H187" i="5"/>
  <c r="G187" i="5"/>
  <c r="K186" i="5"/>
  <c r="J186" i="5" s="1"/>
  <c r="H186" i="5"/>
  <c r="G186" i="5"/>
  <c r="K185" i="5"/>
  <c r="J185" i="5"/>
  <c r="H185" i="5"/>
  <c r="I185" i="5" s="1"/>
  <c r="D169" i="9" s="1"/>
  <c r="G169" i="9" s="1"/>
  <c r="G185" i="5"/>
  <c r="K184" i="5"/>
  <c r="J184" i="5" s="1"/>
  <c r="H184" i="5"/>
  <c r="I184" i="5" s="1"/>
  <c r="D168" i="9" s="1"/>
  <c r="G168" i="9" s="1"/>
  <c r="G184" i="5"/>
  <c r="K183" i="5"/>
  <c r="J183" i="5" s="1"/>
  <c r="H183" i="5"/>
  <c r="I183" i="5" s="1"/>
  <c r="D167" i="9" s="1"/>
  <c r="G167" i="9" s="1"/>
  <c r="G183" i="5"/>
  <c r="K182" i="5"/>
  <c r="J182" i="5" s="1"/>
  <c r="H182" i="5"/>
  <c r="I182" i="5" s="1"/>
  <c r="D166" i="9" s="1"/>
  <c r="G166" i="9" s="1"/>
  <c r="G182" i="5"/>
  <c r="K181" i="5"/>
  <c r="J181" i="5" s="1"/>
  <c r="H181" i="5"/>
  <c r="G181" i="5"/>
  <c r="K180" i="5"/>
  <c r="J180" i="5" s="1"/>
  <c r="H180" i="5"/>
  <c r="I180" i="5" s="1"/>
  <c r="D164" i="9" s="1"/>
  <c r="G164" i="9" s="1"/>
  <c r="G180" i="5"/>
  <c r="K179" i="5"/>
  <c r="J179" i="5" s="1"/>
  <c r="H179" i="5"/>
  <c r="G179" i="5"/>
  <c r="K178" i="5"/>
  <c r="J178" i="5" s="1"/>
  <c r="H178" i="5"/>
  <c r="I178" i="5" s="1"/>
  <c r="D162" i="9" s="1"/>
  <c r="G162" i="9" s="1"/>
  <c r="G178" i="5"/>
  <c r="K177" i="5"/>
  <c r="J177" i="5" s="1"/>
  <c r="H177" i="5"/>
  <c r="G177" i="5"/>
  <c r="H176" i="5"/>
  <c r="I176" i="5" s="1"/>
  <c r="D160" i="9" s="1"/>
  <c r="G160" i="9" s="1"/>
  <c r="G176" i="5"/>
  <c r="H175" i="5"/>
  <c r="I175" i="5" s="1"/>
  <c r="D159" i="9" s="1"/>
  <c r="G159" i="9" s="1"/>
  <c r="G175" i="5"/>
  <c r="K174" i="5"/>
  <c r="J174" i="5" s="1"/>
  <c r="H174" i="5"/>
  <c r="G174" i="5"/>
  <c r="I174" i="5" s="1"/>
  <c r="D158" i="9" s="1"/>
  <c r="G158" i="9" s="1"/>
  <c r="K173" i="5"/>
  <c r="J173" i="5" s="1"/>
  <c r="H173" i="5"/>
  <c r="I173" i="5" s="1"/>
  <c r="D157" i="9" s="1"/>
  <c r="G157" i="9" s="1"/>
  <c r="G173" i="5"/>
  <c r="K172" i="5"/>
  <c r="J172" i="5" s="1"/>
  <c r="H172" i="5"/>
  <c r="I172" i="5" s="1"/>
  <c r="D156" i="9" s="1"/>
  <c r="G156" i="9" s="1"/>
  <c r="G172" i="5"/>
  <c r="K171" i="5"/>
  <c r="J171" i="5" s="1"/>
  <c r="H171" i="5"/>
  <c r="G171" i="5"/>
  <c r="I171" i="5" s="1"/>
  <c r="D155" i="9" s="1"/>
  <c r="G155" i="9" s="1"/>
  <c r="K170" i="5"/>
  <c r="J170" i="5" s="1"/>
  <c r="H170" i="5"/>
  <c r="I170" i="5" s="1"/>
  <c r="D154" i="9" s="1"/>
  <c r="G154" i="9" s="1"/>
  <c r="G170" i="5"/>
  <c r="K169" i="5"/>
  <c r="J169" i="5" s="1"/>
  <c r="H169" i="5"/>
  <c r="I169" i="5" s="1"/>
  <c r="D153" i="9" s="1"/>
  <c r="G153" i="9" s="1"/>
  <c r="G169" i="5"/>
  <c r="K168" i="5"/>
  <c r="J168" i="5"/>
  <c r="H168" i="5"/>
  <c r="I168" i="5" s="1"/>
  <c r="D152" i="9" s="1"/>
  <c r="G152" i="9" s="1"/>
  <c r="G168" i="5"/>
  <c r="K167" i="5"/>
  <c r="J167" i="5" s="1"/>
  <c r="H167" i="5"/>
  <c r="I167" i="5" s="1"/>
  <c r="D151" i="9" s="1"/>
  <c r="G151" i="9" s="1"/>
  <c r="G167" i="5"/>
  <c r="K166" i="5"/>
  <c r="J166" i="5" s="1"/>
  <c r="H166" i="5"/>
  <c r="G166" i="5"/>
  <c r="K165" i="5"/>
  <c r="J165" i="5" s="1"/>
  <c r="H165" i="5"/>
  <c r="I165" i="5" s="1"/>
  <c r="D149" i="9" s="1"/>
  <c r="G149" i="9" s="1"/>
  <c r="G165" i="5"/>
  <c r="K164" i="5"/>
  <c r="J164" i="5" s="1"/>
  <c r="H164" i="5"/>
  <c r="G164" i="5"/>
  <c r="K163" i="5"/>
  <c r="J163" i="5"/>
  <c r="H163" i="5"/>
  <c r="G163" i="5"/>
  <c r="K162" i="5"/>
  <c r="J162" i="5" s="1"/>
  <c r="H162" i="5"/>
  <c r="I162" i="5" s="1"/>
  <c r="D146" i="9" s="1"/>
  <c r="G146" i="9" s="1"/>
  <c r="G162" i="5"/>
  <c r="K161" i="5"/>
  <c r="J161" i="5" s="1"/>
  <c r="H161" i="5"/>
  <c r="I161" i="5" s="1"/>
  <c r="D145" i="9" s="1"/>
  <c r="G145" i="9" s="1"/>
  <c r="G161" i="5"/>
  <c r="K160" i="5"/>
  <c r="J160" i="5" s="1"/>
  <c r="H160" i="5"/>
  <c r="I160" i="5" s="1"/>
  <c r="D144" i="9" s="1"/>
  <c r="G144" i="9" s="1"/>
  <c r="G160" i="5"/>
  <c r="K159" i="5"/>
  <c r="J159" i="5"/>
  <c r="H159" i="5"/>
  <c r="G159" i="5"/>
  <c r="K158" i="5"/>
  <c r="J158" i="5" s="1"/>
  <c r="H158" i="5"/>
  <c r="G158" i="5"/>
  <c r="K157" i="5"/>
  <c r="J157" i="5"/>
  <c r="H157" i="5"/>
  <c r="I157" i="5" s="1"/>
  <c r="D141" i="9" s="1"/>
  <c r="G141" i="9" s="1"/>
  <c r="G157" i="5"/>
  <c r="K156" i="5"/>
  <c r="J156" i="5" s="1"/>
  <c r="H156" i="5"/>
  <c r="G156" i="5"/>
  <c r="K155" i="5"/>
  <c r="J155" i="5" s="1"/>
  <c r="H155" i="5"/>
  <c r="G155" i="5"/>
  <c r="K154" i="5"/>
  <c r="J154" i="5" s="1"/>
  <c r="H154" i="5"/>
  <c r="G154" i="5"/>
  <c r="K153" i="5"/>
  <c r="J153" i="5" s="1"/>
  <c r="H153" i="5"/>
  <c r="I153" i="5" s="1"/>
  <c r="D137" i="9" s="1"/>
  <c r="G137" i="9" s="1"/>
  <c r="G153" i="5"/>
  <c r="K152" i="5"/>
  <c r="J152" i="5" s="1"/>
  <c r="H152" i="5"/>
  <c r="I152" i="5" s="1"/>
  <c r="D136" i="9" s="1"/>
  <c r="G136" i="9" s="1"/>
  <c r="G152" i="5"/>
  <c r="K151" i="5"/>
  <c r="J151" i="5" s="1"/>
  <c r="H151" i="5"/>
  <c r="I151" i="5" s="1"/>
  <c r="D135" i="9" s="1"/>
  <c r="G135" i="9" s="1"/>
  <c r="G151" i="5"/>
  <c r="K150" i="5"/>
  <c r="J150" i="5" s="1"/>
  <c r="H150" i="5"/>
  <c r="I150" i="5" s="1"/>
  <c r="D134" i="9" s="1"/>
  <c r="G134" i="9" s="1"/>
  <c r="G150" i="5"/>
  <c r="K149" i="5"/>
  <c r="J149" i="5" s="1"/>
  <c r="H149" i="5"/>
  <c r="G149" i="5"/>
  <c r="K148" i="5"/>
  <c r="J148" i="5"/>
  <c r="H148" i="5"/>
  <c r="I148" i="5" s="1"/>
  <c r="D132" i="9" s="1"/>
  <c r="G132" i="9" s="1"/>
  <c r="G148" i="5"/>
  <c r="K147" i="5"/>
  <c r="J147" i="5" s="1"/>
  <c r="H147" i="5"/>
  <c r="G147" i="5"/>
  <c r="K146" i="5"/>
  <c r="J146" i="5" s="1"/>
  <c r="H146" i="5"/>
  <c r="I146" i="5" s="1"/>
  <c r="D130" i="9" s="1"/>
  <c r="G130" i="9" s="1"/>
  <c r="G146" i="5"/>
  <c r="K145" i="5"/>
  <c r="J145" i="5" s="1"/>
  <c r="H145" i="5"/>
  <c r="G145" i="5"/>
  <c r="K144" i="5"/>
  <c r="J144" i="5"/>
  <c r="H144" i="5"/>
  <c r="G144" i="5"/>
  <c r="K143" i="5"/>
  <c r="J143" i="5" s="1"/>
  <c r="H143" i="5"/>
  <c r="G143" i="5"/>
  <c r="K142" i="5"/>
  <c r="J142" i="5" s="1"/>
  <c r="H142" i="5"/>
  <c r="G142" i="5"/>
  <c r="K141" i="5"/>
  <c r="J141" i="5" s="1"/>
  <c r="H141" i="5"/>
  <c r="I141" i="5" s="1"/>
  <c r="D125" i="9" s="1"/>
  <c r="G125" i="9" s="1"/>
  <c r="G141" i="5"/>
  <c r="K140" i="5"/>
  <c r="J140" i="5" s="1"/>
  <c r="H140" i="5"/>
  <c r="I140" i="5" s="1"/>
  <c r="D124" i="9" s="1"/>
  <c r="G124" i="9" s="1"/>
  <c r="G140" i="5"/>
  <c r="H139" i="5"/>
  <c r="I139" i="5" s="1"/>
  <c r="D123" i="9" s="1"/>
  <c r="G123" i="9" s="1"/>
  <c r="G139" i="5"/>
  <c r="K138" i="5"/>
  <c r="J138" i="5" s="1"/>
  <c r="H138" i="5"/>
  <c r="G138" i="5"/>
  <c r="K137" i="5"/>
  <c r="J137" i="5" s="1"/>
  <c r="H137" i="5"/>
  <c r="I137" i="5" s="1"/>
  <c r="D121" i="9" s="1"/>
  <c r="G121" i="9" s="1"/>
  <c r="G137" i="5"/>
  <c r="K136" i="5"/>
  <c r="J136" i="5" s="1"/>
  <c r="H136" i="5"/>
  <c r="I136" i="5" s="1"/>
  <c r="D120" i="9" s="1"/>
  <c r="G120" i="9" s="1"/>
  <c r="G136" i="5"/>
  <c r="K135" i="5"/>
  <c r="J135" i="5" s="1"/>
  <c r="H135" i="5"/>
  <c r="I135" i="5" s="1"/>
  <c r="D119" i="9" s="1"/>
  <c r="G119" i="9" s="1"/>
  <c r="G135" i="5"/>
  <c r="K134" i="5"/>
  <c r="J134" i="5" s="1"/>
  <c r="H134" i="5"/>
  <c r="I134" i="5" s="1"/>
  <c r="D118" i="9" s="1"/>
  <c r="G118" i="9" s="1"/>
  <c r="G134" i="5"/>
  <c r="K133" i="5"/>
  <c r="J133" i="5" s="1"/>
  <c r="H133" i="5"/>
  <c r="I133" i="5" s="1"/>
  <c r="D117" i="9" s="1"/>
  <c r="G117" i="9" s="1"/>
  <c r="G133" i="5"/>
  <c r="K132" i="5"/>
  <c r="J132" i="5" s="1"/>
  <c r="H132" i="5"/>
  <c r="I132" i="5" s="1"/>
  <c r="D116" i="9" s="1"/>
  <c r="G116" i="9" s="1"/>
  <c r="G132" i="5"/>
  <c r="K131" i="5"/>
  <c r="J131" i="5" s="1"/>
  <c r="H131" i="5"/>
  <c r="G131" i="5"/>
  <c r="K130" i="5"/>
  <c r="J130" i="5" s="1"/>
  <c r="H130" i="5"/>
  <c r="I130" i="5" s="1"/>
  <c r="D114" i="9" s="1"/>
  <c r="G114" i="9" s="1"/>
  <c r="G130" i="5"/>
  <c r="K129" i="5"/>
  <c r="J129" i="5" s="1"/>
  <c r="H129" i="5"/>
  <c r="G129" i="5"/>
  <c r="K128" i="5"/>
  <c r="J128" i="5" s="1"/>
  <c r="H128" i="5"/>
  <c r="I128" i="5" s="1"/>
  <c r="D112" i="9" s="1"/>
  <c r="G112" i="9" s="1"/>
  <c r="G128" i="5"/>
  <c r="K127" i="5"/>
  <c r="J127" i="5" s="1"/>
  <c r="H127" i="5"/>
  <c r="I127" i="5" s="1"/>
  <c r="D111" i="9" s="1"/>
  <c r="G111" i="9" s="1"/>
  <c r="G127" i="5"/>
  <c r="K126" i="5"/>
  <c r="J126" i="5" s="1"/>
  <c r="H126" i="5"/>
  <c r="G126" i="5"/>
  <c r="K125" i="5"/>
  <c r="J125" i="5" s="1"/>
  <c r="H125" i="5"/>
  <c r="I125" i="5" s="1"/>
  <c r="D109" i="9" s="1"/>
  <c r="G109" i="9" s="1"/>
  <c r="G125" i="5"/>
  <c r="H124" i="5"/>
  <c r="G124" i="5"/>
  <c r="K123" i="5"/>
  <c r="J123" i="5" s="1"/>
  <c r="H123" i="5"/>
  <c r="I123" i="5" s="1"/>
  <c r="D107" i="9" s="1"/>
  <c r="G107" i="9" s="1"/>
  <c r="G123" i="5"/>
  <c r="K122" i="5"/>
  <c r="J122" i="5" s="1"/>
  <c r="H122" i="5"/>
  <c r="G122" i="5"/>
  <c r="K121" i="5"/>
  <c r="J121" i="5" s="1"/>
  <c r="H121" i="5"/>
  <c r="G121" i="5"/>
  <c r="K120" i="5"/>
  <c r="J120" i="5" s="1"/>
  <c r="H120" i="5"/>
  <c r="I120" i="5" s="1"/>
  <c r="D104" i="9" s="1"/>
  <c r="G104" i="9" s="1"/>
  <c r="G120" i="5"/>
  <c r="K119" i="5"/>
  <c r="J119" i="5" s="1"/>
  <c r="H119" i="5"/>
  <c r="I119" i="5" s="1"/>
  <c r="D103" i="9" s="1"/>
  <c r="G103" i="9" s="1"/>
  <c r="G119" i="5"/>
  <c r="K118" i="5"/>
  <c r="J118" i="5" s="1"/>
  <c r="H118" i="5"/>
  <c r="I118" i="5" s="1"/>
  <c r="D102" i="9" s="1"/>
  <c r="G102" i="9" s="1"/>
  <c r="G118" i="5"/>
  <c r="K117" i="5"/>
  <c r="J117" i="5" s="1"/>
  <c r="H117" i="5"/>
  <c r="G117" i="5"/>
  <c r="K116" i="5"/>
  <c r="J116" i="5" s="1"/>
  <c r="H116" i="5"/>
  <c r="G116" i="5"/>
  <c r="K115" i="5"/>
  <c r="J115" i="5" s="1"/>
  <c r="H115" i="5"/>
  <c r="G115" i="5"/>
  <c r="K114" i="5"/>
  <c r="J114" i="5"/>
  <c r="H114" i="5"/>
  <c r="I114" i="5" s="1"/>
  <c r="D98" i="9" s="1"/>
  <c r="G98" i="9" s="1"/>
  <c r="G114" i="5"/>
  <c r="K113" i="5"/>
  <c r="J113" i="5" s="1"/>
  <c r="H113" i="5"/>
  <c r="I113" i="5" s="1"/>
  <c r="D97" i="9" s="1"/>
  <c r="G97" i="9" s="1"/>
  <c r="G113" i="5"/>
  <c r="K112" i="5"/>
  <c r="J112" i="5" s="1"/>
  <c r="H112" i="5"/>
  <c r="I112" i="5" s="1"/>
  <c r="D96" i="9" s="1"/>
  <c r="G96" i="9" s="1"/>
  <c r="G112" i="5"/>
  <c r="K111" i="5"/>
  <c r="J111" i="5" s="1"/>
  <c r="H111" i="5"/>
  <c r="G111" i="5"/>
  <c r="K110" i="5"/>
  <c r="J110" i="5" s="1"/>
  <c r="H110" i="5"/>
  <c r="G110" i="5"/>
  <c r="K109" i="5"/>
  <c r="J109" i="5" s="1"/>
  <c r="H109" i="5"/>
  <c r="I109" i="5" s="1"/>
  <c r="D93" i="9" s="1"/>
  <c r="G93" i="9" s="1"/>
  <c r="G109" i="5"/>
  <c r="K108" i="5"/>
  <c r="J108" i="5" s="1"/>
  <c r="H108" i="5"/>
  <c r="I108" i="5" s="1"/>
  <c r="D92" i="9" s="1"/>
  <c r="G92" i="9" s="1"/>
  <c r="G108" i="5"/>
  <c r="K107" i="5"/>
  <c r="J107" i="5" s="1"/>
  <c r="H107" i="5"/>
  <c r="G107" i="5"/>
  <c r="K106" i="5"/>
  <c r="J106" i="5" s="1"/>
  <c r="H106" i="5"/>
  <c r="G106" i="5"/>
  <c r="K105" i="5"/>
  <c r="J105" i="5" s="1"/>
  <c r="H105" i="5"/>
  <c r="G105" i="5"/>
  <c r="K104" i="5"/>
  <c r="J104" i="5" s="1"/>
  <c r="H104" i="5"/>
  <c r="I104" i="5" s="1"/>
  <c r="D88" i="9" s="1"/>
  <c r="G88" i="9" s="1"/>
  <c r="G104" i="5"/>
  <c r="K103" i="5"/>
  <c r="J103" i="5" s="1"/>
  <c r="H103" i="5"/>
  <c r="I103" i="5" s="1"/>
  <c r="D87" i="9" s="1"/>
  <c r="G87" i="9" s="1"/>
  <c r="G103" i="5"/>
  <c r="K102" i="5"/>
  <c r="J102" i="5" s="1"/>
  <c r="H102" i="5"/>
  <c r="G102" i="5"/>
  <c r="K101" i="5"/>
  <c r="J101" i="5" s="1"/>
  <c r="H101" i="5"/>
  <c r="I101" i="5" s="1"/>
  <c r="D85" i="9" s="1"/>
  <c r="G85" i="9" s="1"/>
  <c r="G101" i="5"/>
  <c r="K100" i="5"/>
  <c r="J100" i="5" s="1"/>
  <c r="H100" i="5"/>
  <c r="G100" i="5"/>
  <c r="K99" i="5"/>
  <c r="J99" i="5" s="1"/>
  <c r="H99" i="5"/>
  <c r="G99" i="5"/>
  <c r="K98" i="5"/>
  <c r="J98" i="5" s="1"/>
  <c r="H98" i="5"/>
  <c r="I98" i="5" s="1"/>
  <c r="D82" i="9" s="1"/>
  <c r="G82" i="9" s="1"/>
  <c r="G98" i="5"/>
  <c r="K97" i="5"/>
  <c r="J97" i="5" s="1"/>
  <c r="H97" i="5"/>
  <c r="G97" i="5"/>
  <c r="K96" i="5"/>
  <c r="J96" i="5" s="1"/>
  <c r="H96" i="5"/>
  <c r="I96" i="5" s="1"/>
  <c r="D80" i="9" s="1"/>
  <c r="G80" i="9" s="1"/>
  <c r="G96" i="5"/>
  <c r="K95" i="5"/>
  <c r="J95" i="5" s="1"/>
  <c r="H95" i="5"/>
  <c r="I95" i="5" s="1"/>
  <c r="D79" i="9" s="1"/>
  <c r="G79" i="9" s="1"/>
  <c r="G95" i="5"/>
  <c r="K94" i="5"/>
  <c r="J94" i="5" s="1"/>
  <c r="H94" i="5"/>
  <c r="G94" i="5"/>
  <c r="K93" i="5"/>
  <c r="J93" i="5" s="1"/>
  <c r="H93" i="5"/>
  <c r="I93" i="5" s="1"/>
  <c r="D77" i="9" s="1"/>
  <c r="G77" i="9" s="1"/>
  <c r="G93" i="5"/>
  <c r="K92" i="5"/>
  <c r="J92" i="5" s="1"/>
  <c r="H92" i="5"/>
  <c r="I92" i="5" s="1"/>
  <c r="D76" i="9" s="1"/>
  <c r="G76" i="9" s="1"/>
  <c r="G92" i="5"/>
  <c r="K91" i="5"/>
  <c r="J91" i="5" s="1"/>
  <c r="H91" i="5"/>
  <c r="G91" i="5"/>
  <c r="K90" i="5"/>
  <c r="J90" i="5" s="1"/>
  <c r="H90" i="5"/>
  <c r="I90" i="5" s="1"/>
  <c r="D74" i="9" s="1"/>
  <c r="G74" i="9" s="1"/>
  <c r="G90" i="5"/>
  <c r="K89" i="5"/>
  <c r="J89" i="5" s="1"/>
  <c r="H89" i="5"/>
  <c r="I89" i="5" s="1"/>
  <c r="D73" i="9" s="1"/>
  <c r="G73" i="9" s="1"/>
  <c r="G89" i="5"/>
  <c r="K88" i="5"/>
  <c r="J88" i="5" s="1"/>
  <c r="H88" i="5"/>
  <c r="I88" i="5" s="1"/>
  <c r="D72" i="9" s="1"/>
  <c r="G72" i="9" s="1"/>
  <c r="G88" i="5"/>
  <c r="K87" i="5"/>
  <c r="J87" i="5" s="1"/>
  <c r="H87" i="5"/>
  <c r="I87" i="5" s="1"/>
  <c r="D71" i="9" s="1"/>
  <c r="G71" i="9" s="1"/>
  <c r="G87" i="5"/>
  <c r="K86" i="5"/>
  <c r="J86" i="5" s="1"/>
  <c r="H86" i="5"/>
  <c r="G86" i="5"/>
  <c r="K85" i="5"/>
  <c r="J85" i="5" s="1"/>
  <c r="H85" i="5"/>
  <c r="I85" i="5" s="1"/>
  <c r="D69" i="9" s="1"/>
  <c r="G69" i="9" s="1"/>
  <c r="G85" i="5"/>
  <c r="K84" i="5"/>
  <c r="J84" i="5" s="1"/>
  <c r="H84" i="5"/>
  <c r="G84" i="5"/>
  <c r="K83" i="5"/>
  <c r="J83" i="5" s="1"/>
  <c r="H83" i="5"/>
  <c r="G83" i="5"/>
  <c r="K82" i="5"/>
  <c r="J82" i="5" s="1"/>
  <c r="H82" i="5"/>
  <c r="I82" i="5" s="1"/>
  <c r="D66" i="9" s="1"/>
  <c r="G66" i="9" s="1"/>
  <c r="G82" i="5"/>
  <c r="K81" i="5"/>
  <c r="J81" i="5" s="1"/>
  <c r="H81" i="5"/>
  <c r="I81" i="5" s="1"/>
  <c r="D65" i="9" s="1"/>
  <c r="G65" i="9" s="1"/>
  <c r="G81" i="5"/>
  <c r="K80" i="5"/>
  <c r="J80" i="5" s="1"/>
  <c r="H80" i="5"/>
  <c r="I80" i="5" s="1"/>
  <c r="D64" i="9" s="1"/>
  <c r="G64" i="9" s="1"/>
  <c r="G80" i="5"/>
  <c r="K79" i="5"/>
  <c r="J79" i="5" s="1"/>
  <c r="H79" i="5"/>
  <c r="G79" i="5"/>
  <c r="I79" i="5" s="1"/>
  <c r="D63" i="9" s="1"/>
  <c r="G63" i="9" s="1"/>
  <c r="K78" i="5"/>
  <c r="J78" i="5" s="1"/>
  <c r="H78" i="5"/>
  <c r="G78" i="5"/>
  <c r="K77" i="5"/>
  <c r="J77" i="5" s="1"/>
  <c r="H77" i="5"/>
  <c r="I77" i="5" s="1"/>
  <c r="D61" i="9" s="1"/>
  <c r="G61" i="9" s="1"/>
  <c r="G77" i="5"/>
  <c r="K76" i="5"/>
  <c r="J76" i="5" s="1"/>
  <c r="H76" i="5"/>
  <c r="G76" i="5"/>
  <c r="K75" i="5"/>
  <c r="J75" i="5" s="1"/>
  <c r="H75" i="5"/>
  <c r="I75" i="5" s="1"/>
  <c r="D59" i="9" s="1"/>
  <c r="G59" i="9" s="1"/>
  <c r="G75" i="5"/>
  <c r="I74" i="5"/>
  <c r="D58" i="9" s="1"/>
  <c r="G58" i="9" s="1"/>
  <c r="H74" i="5"/>
  <c r="G74" i="5"/>
  <c r="K73" i="5"/>
  <c r="J73" i="5" s="1"/>
  <c r="H73" i="5"/>
  <c r="G73" i="5"/>
  <c r="K72" i="5"/>
  <c r="J72" i="5" s="1"/>
  <c r="H72" i="5"/>
  <c r="I72" i="5" s="1"/>
  <c r="D56" i="9" s="1"/>
  <c r="G56" i="9" s="1"/>
  <c r="G72" i="5"/>
  <c r="K71" i="5"/>
  <c r="J71" i="5" s="1"/>
  <c r="H71" i="5"/>
  <c r="G71" i="5"/>
  <c r="K70" i="5"/>
  <c r="J70" i="5" s="1"/>
  <c r="H70" i="5"/>
  <c r="G70" i="5"/>
  <c r="K69" i="5"/>
  <c r="J69" i="5" s="1"/>
  <c r="H69" i="5"/>
  <c r="G69" i="5"/>
  <c r="K68" i="5"/>
  <c r="J68" i="5" s="1"/>
  <c r="H68" i="5"/>
  <c r="G68" i="5"/>
  <c r="I68" i="5" s="1"/>
  <c r="D52" i="9" s="1"/>
  <c r="G52" i="9" s="1"/>
  <c r="K67" i="5"/>
  <c r="J67" i="5"/>
  <c r="H67" i="5"/>
  <c r="G67" i="5"/>
  <c r="K66" i="5"/>
  <c r="J66" i="5" s="1"/>
  <c r="H66" i="5"/>
  <c r="I66" i="5" s="1"/>
  <c r="D50" i="9" s="1"/>
  <c r="G50" i="9" s="1"/>
  <c r="G66" i="5"/>
  <c r="K65" i="5"/>
  <c r="J65" i="5" s="1"/>
  <c r="H65" i="5"/>
  <c r="G65" i="5"/>
  <c r="K64" i="5"/>
  <c r="J64" i="5" s="1"/>
  <c r="H64" i="5"/>
  <c r="G64" i="5"/>
  <c r="K63" i="5"/>
  <c r="J63" i="5" s="1"/>
  <c r="H63" i="5"/>
  <c r="I63" i="5" s="1"/>
  <c r="D47" i="9" s="1"/>
  <c r="G47" i="9" s="1"/>
  <c r="G63" i="5"/>
  <c r="K62" i="5"/>
  <c r="J62" i="5" s="1"/>
  <c r="H62" i="5"/>
  <c r="G62" i="5"/>
  <c r="K61" i="5"/>
  <c r="J61" i="5" s="1"/>
  <c r="H61" i="5"/>
  <c r="I61" i="5" s="1"/>
  <c r="D45" i="9" s="1"/>
  <c r="G45" i="9" s="1"/>
  <c r="G61" i="5"/>
  <c r="K60" i="5"/>
  <c r="J60" i="5" s="1"/>
  <c r="H60" i="5"/>
  <c r="G60" i="5"/>
  <c r="K59" i="5"/>
  <c r="J59" i="5" s="1"/>
  <c r="H59" i="5"/>
  <c r="G59" i="5"/>
  <c r="K58" i="5"/>
  <c r="J58" i="5" s="1"/>
  <c r="H58" i="5"/>
  <c r="I58" i="5" s="1"/>
  <c r="D42" i="9" s="1"/>
  <c r="G42" i="9" s="1"/>
  <c r="G58" i="5"/>
  <c r="K57" i="5"/>
  <c r="J57" i="5" s="1"/>
  <c r="H57" i="5"/>
  <c r="G57" i="5"/>
  <c r="K56" i="5"/>
  <c r="J56" i="5" s="1"/>
  <c r="H56" i="5"/>
  <c r="I56" i="5" s="1"/>
  <c r="D40" i="9" s="1"/>
  <c r="G40" i="9" s="1"/>
  <c r="G56" i="5"/>
  <c r="K55" i="5"/>
  <c r="J55" i="5" s="1"/>
  <c r="H55" i="5"/>
  <c r="G55" i="5"/>
  <c r="K54" i="5"/>
  <c r="J54" i="5" s="1"/>
  <c r="H54" i="5"/>
  <c r="G54" i="5"/>
  <c r="K53" i="5"/>
  <c r="J53" i="5" s="1"/>
  <c r="H53" i="5"/>
  <c r="G53" i="5"/>
  <c r="K52" i="5"/>
  <c r="J52" i="5" s="1"/>
  <c r="H52" i="5"/>
  <c r="I52" i="5" s="1"/>
  <c r="D36" i="9" s="1"/>
  <c r="G36" i="9" s="1"/>
  <c r="G52" i="5"/>
  <c r="K51" i="5"/>
  <c r="J51" i="5" s="1"/>
  <c r="H51" i="5"/>
  <c r="G51" i="5"/>
  <c r="K50" i="5"/>
  <c r="J50" i="5" s="1"/>
  <c r="H50" i="5"/>
  <c r="I50" i="5" s="1"/>
  <c r="D34" i="9" s="1"/>
  <c r="G34" i="9" s="1"/>
  <c r="G50" i="5"/>
  <c r="K49" i="5"/>
  <c r="J49" i="5" s="1"/>
  <c r="H49" i="5"/>
  <c r="I49" i="5" s="1"/>
  <c r="D33" i="9" s="1"/>
  <c r="G33" i="9" s="1"/>
  <c r="G49" i="5"/>
  <c r="K48" i="5"/>
  <c r="J48" i="5" s="1"/>
  <c r="H48" i="5"/>
  <c r="G48" i="5"/>
  <c r="K47" i="5"/>
  <c r="J47" i="5" s="1"/>
  <c r="H47" i="5"/>
  <c r="I47" i="5" s="1"/>
  <c r="D31" i="9" s="1"/>
  <c r="G31" i="9" s="1"/>
  <c r="G47" i="5"/>
  <c r="K46" i="5"/>
  <c r="J46" i="5" s="1"/>
  <c r="H46" i="5"/>
  <c r="G46" i="5"/>
  <c r="K45" i="5"/>
  <c r="J45" i="5" s="1"/>
  <c r="H45" i="5"/>
  <c r="I45" i="5" s="1"/>
  <c r="D29" i="9" s="1"/>
  <c r="G29" i="9" s="1"/>
  <c r="G45" i="5"/>
  <c r="K44" i="5"/>
  <c r="J44" i="5" s="1"/>
  <c r="H44" i="5"/>
  <c r="I44" i="5" s="1"/>
  <c r="D28" i="9" s="1"/>
  <c r="G28" i="9" s="1"/>
  <c r="G44" i="5"/>
  <c r="K43" i="5"/>
  <c r="J43" i="5" s="1"/>
  <c r="H43" i="5"/>
  <c r="I43" i="5" s="1"/>
  <c r="D27" i="9" s="1"/>
  <c r="G27" i="9" s="1"/>
  <c r="G43" i="5"/>
  <c r="K42" i="5"/>
  <c r="J42" i="5" s="1"/>
  <c r="H42" i="5"/>
  <c r="I42" i="5" s="1"/>
  <c r="D26" i="9" s="1"/>
  <c r="G26" i="9" s="1"/>
  <c r="G42" i="5"/>
  <c r="K41" i="5"/>
  <c r="J41" i="5" s="1"/>
  <c r="H41" i="5"/>
  <c r="G41" i="5"/>
  <c r="H40" i="5"/>
  <c r="I40" i="5" s="1"/>
  <c r="D24" i="9" s="1"/>
  <c r="G24" i="9" s="1"/>
  <c r="G40" i="5"/>
  <c r="K39" i="5"/>
  <c r="J39" i="5" s="1"/>
  <c r="H39" i="5"/>
  <c r="G39" i="5"/>
  <c r="K38" i="5"/>
  <c r="J38" i="5" s="1"/>
  <c r="H38" i="5"/>
  <c r="I38" i="5" s="1"/>
  <c r="D22" i="9" s="1"/>
  <c r="G22" i="9" s="1"/>
  <c r="G38" i="5"/>
  <c r="K37" i="5"/>
  <c r="J37" i="5" s="1"/>
  <c r="H37" i="5"/>
  <c r="I37" i="5" s="1"/>
  <c r="D21" i="9" s="1"/>
  <c r="G21" i="9" s="1"/>
  <c r="G37" i="5"/>
  <c r="K36" i="5"/>
  <c r="J36" i="5" s="1"/>
  <c r="H36" i="5"/>
  <c r="I36" i="5" s="1"/>
  <c r="D20" i="9" s="1"/>
  <c r="G20" i="9" s="1"/>
  <c r="G36" i="5"/>
  <c r="K35" i="5"/>
  <c r="J35" i="5" s="1"/>
  <c r="H35" i="5"/>
  <c r="G35" i="5"/>
  <c r="K34" i="5"/>
  <c r="J34" i="5" s="1"/>
  <c r="H34" i="5"/>
  <c r="I34" i="5" s="1"/>
  <c r="D18" i="9" s="1"/>
  <c r="G18" i="9" s="1"/>
  <c r="G34" i="5"/>
  <c r="K33" i="5"/>
  <c r="J33" i="5" s="1"/>
  <c r="H33" i="5"/>
  <c r="I33" i="5" s="1"/>
  <c r="D17" i="9" s="1"/>
  <c r="G17" i="9" s="1"/>
  <c r="G33" i="5"/>
  <c r="K32" i="5"/>
  <c r="J32" i="5" s="1"/>
  <c r="H32" i="5"/>
  <c r="G32" i="5"/>
  <c r="K31" i="5"/>
  <c r="J31" i="5"/>
  <c r="H31" i="5"/>
  <c r="G31" i="5"/>
  <c r="K30" i="5"/>
  <c r="J30" i="5"/>
  <c r="H30" i="5"/>
  <c r="G30" i="5"/>
  <c r="K29" i="5"/>
  <c r="J29" i="5" s="1"/>
  <c r="H29" i="5"/>
  <c r="I29" i="5" s="1"/>
  <c r="D13" i="9" s="1"/>
  <c r="G13" i="9" s="1"/>
  <c r="G29" i="5"/>
  <c r="K28" i="5"/>
  <c r="J28" i="5" s="1"/>
  <c r="H28" i="5"/>
  <c r="G28" i="5"/>
  <c r="K27" i="5"/>
  <c r="J27" i="5" s="1"/>
  <c r="H27" i="5"/>
  <c r="G27" i="5"/>
  <c r="K26" i="5"/>
  <c r="J26" i="5" s="1"/>
  <c r="H26" i="5"/>
  <c r="G26" i="5"/>
  <c r="K25" i="5"/>
  <c r="J25" i="5"/>
  <c r="H25" i="5"/>
  <c r="I25" i="5" s="1"/>
  <c r="G25" i="5"/>
  <c r="K24" i="5"/>
  <c r="J24" i="5" s="1"/>
  <c r="H24" i="5"/>
  <c r="I24" i="5" s="1"/>
  <c r="G24" i="5"/>
  <c r="K23" i="5"/>
  <c r="J23" i="5" s="1"/>
  <c r="H23" i="5"/>
  <c r="G23" i="5"/>
  <c r="K22" i="5"/>
  <c r="J22" i="5" s="1"/>
  <c r="H22" i="5"/>
  <c r="I22" i="5" s="1"/>
  <c r="G22" i="5"/>
  <c r="K21" i="5"/>
  <c r="J21" i="5" s="1"/>
  <c r="H21" i="5"/>
  <c r="G21" i="5"/>
  <c r="K20" i="5"/>
  <c r="J20" i="5" s="1"/>
  <c r="H20" i="5"/>
  <c r="I20" i="5" s="1"/>
  <c r="G20" i="5"/>
  <c r="K19" i="5"/>
  <c r="J19" i="5" s="1"/>
  <c r="H19" i="5"/>
  <c r="G19" i="5"/>
  <c r="K18" i="5"/>
  <c r="J18" i="5" s="1"/>
  <c r="H18" i="5"/>
  <c r="I18" i="5" s="1"/>
  <c r="G18" i="5"/>
  <c r="K17" i="5"/>
  <c r="J17" i="5" s="1"/>
  <c r="H17" i="5"/>
  <c r="G17" i="5"/>
  <c r="K16" i="5"/>
  <c r="J16" i="5" s="1"/>
  <c r="H16" i="5"/>
  <c r="G16" i="5"/>
  <c r="K15" i="5"/>
  <c r="J15" i="5" s="1"/>
  <c r="H15" i="5"/>
  <c r="G15" i="5"/>
  <c r="K14" i="5"/>
  <c r="J14" i="5" s="1"/>
  <c r="H14" i="5"/>
  <c r="G14" i="5"/>
  <c r="K13" i="5"/>
  <c r="J13" i="5" s="1"/>
  <c r="H13" i="5"/>
  <c r="I13" i="5" s="1"/>
  <c r="G13" i="5"/>
  <c r="K12" i="5"/>
  <c r="J12" i="5" s="1"/>
  <c r="H12" i="5"/>
  <c r="I12" i="5" s="1"/>
  <c r="D12" i="9" s="1"/>
  <c r="G12" i="9" s="1"/>
  <c r="G12" i="5"/>
  <c r="K11" i="5"/>
  <c r="J11" i="5" s="1"/>
  <c r="H11" i="5"/>
  <c r="I11" i="5" s="1"/>
  <c r="D11" i="9" s="1"/>
  <c r="G11" i="9" s="1"/>
  <c r="G11" i="5"/>
  <c r="K10" i="5"/>
  <c r="J10" i="5" s="1"/>
  <c r="H10" i="5"/>
  <c r="G10" i="5"/>
  <c r="H9" i="5"/>
  <c r="G9" i="5"/>
  <c r="K8" i="5"/>
  <c r="J8" i="5" s="1"/>
  <c r="H8" i="5"/>
  <c r="I8" i="5" s="1"/>
  <c r="D8" i="9" s="1"/>
  <c r="G8" i="9" s="1"/>
  <c r="G8" i="5"/>
  <c r="K7" i="5"/>
  <c r="J7" i="5" s="1"/>
  <c r="H7" i="5"/>
  <c r="G7" i="5"/>
  <c r="K6" i="5"/>
  <c r="J6" i="5" s="1"/>
  <c r="H6" i="5"/>
  <c r="I6" i="5" s="1"/>
  <c r="D6" i="9" s="1"/>
  <c r="G6" i="9" s="1"/>
  <c r="G6" i="5"/>
  <c r="K5" i="5"/>
  <c r="J5" i="5" s="1"/>
  <c r="H5" i="5"/>
  <c r="G5" i="5"/>
  <c r="K4" i="5"/>
  <c r="J4" i="5" s="1"/>
  <c r="H4" i="5"/>
  <c r="G4" i="5"/>
  <c r="K3" i="5"/>
  <c r="J3" i="5" s="1"/>
  <c r="H3" i="5"/>
  <c r="G3" i="5"/>
  <c r="I3" i="5" s="1"/>
  <c r="D3" i="9" s="1"/>
  <c r="G3" i="9" s="1"/>
  <c r="F58" i="4"/>
  <c r="E58" i="4"/>
  <c r="F57" i="4"/>
  <c r="E57" i="4"/>
  <c r="G57" i="4" s="1"/>
  <c r="F56" i="4"/>
  <c r="E56" i="4"/>
  <c r="G56" i="4" s="1"/>
  <c r="F55" i="4"/>
  <c r="E55" i="4"/>
  <c r="G55" i="4" s="1"/>
  <c r="F54" i="4"/>
  <c r="E54" i="4"/>
  <c r="G54" i="4" s="1"/>
  <c r="F53" i="4"/>
  <c r="E53" i="4"/>
  <c r="G53" i="4" s="1"/>
  <c r="F52" i="4"/>
  <c r="E52" i="4"/>
  <c r="G52" i="4" s="1"/>
  <c r="F51" i="4"/>
  <c r="G51" i="4" s="1"/>
  <c r="E51" i="4"/>
  <c r="F50" i="4"/>
  <c r="E50" i="4"/>
  <c r="G50" i="4" s="1"/>
  <c r="F49" i="4"/>
  <c r="E49" i="4"/>
  <c r="G49" i="4" s="1"/>
  <c r="F48" i="4"/>
  <c r="E48" i="4"/>
  <c r="G48" i="4" s="1"/>
  <c r="F47" i="4"/>
  <c r="E47" i="4"/>
  <c r="G47" i="4" s="1"/>
  <c r="F46" i="4"/>
  <c r="E46" i="4"/>
  <c r="G46" i="4" s="1"/>
  <c r="F45" i="4"/>
  <c r="E45" i="4"/>
  <c r="G45" i="4" s="1"/>
  <c r="F44" i="4"/>
  <c r="E44" i="4"/>
  <c r="G44" i="4" s="1"/>
  <c r="F43" i="4"/>
  <c r="E43" i="4"/>
  <c r="G43" i="4" s="1"/>
  <c r="F42" i="4"/>
  <c r="E42" i="4"/>
  <c r="G42" i="4" s="1"/>
  <c r="G41" i="4"/>
  <c r="F41" i="4"/>
  <c r="E41" i="4"/>
  <c r="G40" i="4"/>
  <c r="F40" i="4"/>
  <c r="E40" i="4"/>
  <c r="F39" i="4"/>
  <c r="E39" i="4"/>
  <c r="G39" i="4" s="1"/>
  <c r="F38" i="4"/>
  <c r="E38" i="4"/>
  <c r="G38" i="4" s="1"/>
  <c r="F37" i="4"/>
  <c r="E37" i="4"/>
  <c r="G37" i="4" s="1"/>
  <c r="F36" i="4"/>
  <c r="G36" i="4" s="1"/>
  <c r="E36" i="4"/>
  <c r="F35" i="4"/>
  <c r="G35" i="4" s="1"/>
  <c r="E35" i="4"/>
  <c r="F34" i="4"/>
  <c r="E34" i="4"/>
  <c r="G34" i="4" s="1"/>
  <c r="F33" i="4"/>
  <c r="E33" i="4"/>
  <c r="G33" i="4" s="1"/>
  <c r="F32" i="4"/>
  <c r="E32" i="4"/>
  <c r="G32" i="4" s="1"/>
  <c r="F31" i="4"/>
  <c r="E31" i="4"/>
  <c r="G31" i="4" s="1"/>
  <c r="F30" i="4"/>
  <c r="E30" i="4"/>
  <c r="G30" i="4" s="1"/>
  <c r="F29" i="4"/>
  <c r="E29" i="4"/>
  <c r="G29" i="4" s="1"/>
  <c r="F28" i="4"/>
  <c r="E28" i="4"/>
  <c r="G28" i="4" s="1"/>
  <c r="F27" i="4"/>
  <c r="E27" i="4"/>
  <c r="G27" i="4" s="1"/>
  <c r="F26" i="4"/>
  <c r="E26" i="4"/>
  <c r="G26" i="4" s="1"/>
  <c r="G25" i="4"/>
  <c r="F25" i="4"/>
  <c r="E25" i="4"/>
  <c r="G24" i="4"/>
  <c r="F24" i="4"/>
  <c r="E24" i="4"/>
  <c r="F23" i="4"/>
  <c r="E23" i="4"/>
  <c r="G23" i="4" s="1"/>
  <c r="F22" i="4"/>
  <c r="E22" i="4"/>
  <c r="G22" i="4" s="1"/>
  <c r="F21" i="4"/>
  <c r="E21" i="4"/>
  <c r="G21" i="4" s="1"/>
  <c r="F20" i="4"/>
  <c r="G20" i="4" s="1"/>
  <c r="E20" i="4"/>
  <c r="F19" i="4"/>
  <c r="G19" i="4" s="1"/>
  <c r="E19" i="4"/>
  <c r="F18" i="4"/>
  <c r="E18" i="4"/>
  <c r="G18" i="4" s="1"/>
  <c r="F17" i="4"/>
  <c r="E17" i="4"/>
  <c r="G17" i="4" s="1"/>
  <c r="F16" i="4"/>
  <c r="E16" i="4"/>
  <c r="G16" i="4" s="1"/>
  <c r="F15" i="4"/>
  <c r="E15" i="4"/>
  <c r="G15" i="4" s="1"/>
  <c r="F14" i="4"/>
  <c r="E14" i="4"/>
  <c r="G14" i="4" s="1"/>
  <c r="F13" i="4"/>
  <c r="E13" i="4"/>
  <c r="G13" i="4" s="1"/>
  <c r="F12" i="4"/>
  <c r="E12" i="4"/>
  <c r="G12" i="4" s="1"/>
  <c r="F11" i="4"/>
  <c r="E11" i="4"/>
  <c r="G11" i="4" s="1"/>
  <c r="F10" i="4"/>
  <c r="E10" i="4"/>
  <c r="G10" i="4" s="1"/>
  <c r="G9" i="4"/>
  <c r="F9" i="4"/>
  <c r="E9" i="4"/>
  <c r="G8" i="4"/>
  <c r="F8" i="4"/>
  <c r="E8" i="4"/>
  <c r="F7" i="4"/>
  <c r="E7" i="4"/>
  <c r="G7" i="4" s="1"/>
  <c r="F6" i="4"/>
  <c r="E6" i="4"/>
  <c r="G6" i="4" s="1"/>
  <c r="F5" i="4"/>
  <c r="E5" i="4"/>
  <c r="G5" i="4" s="1"/>
  <c r="F4" i="4"/>
  <c r="G4" i="4" s="1"/>
  <c r="E4" i="4"/>
  <c r="G1373" i="3"/>
  <c r="G1372" i="3"/>
  <c r="B34" i="2" s="1"/>
  <c r="D34" i="2" s="1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B33" i="2" s="1"/>
  <c r="D33" i="2" s="1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B32" i="2" s="1"/>
  <c r="D32" i="2" s="1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B31" i="2" s="1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B30" i="2" s="1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B29" i="2" s="1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B28" i="2" s="1"/>
  <c r="D28" i="2" s="1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B27" i="2" s="1"/>
  <c r="G1134" i="3"/>
  <c r="G1133" i="3"/>
  <c r="G1132" i="3"/>
  <c r="G1131" i="3"/>
  <c r="G1130" i="3"/>
  <c r="G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764" i="3"/>
  <c r="G751" i="3"/>
  <c r="H652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B25" i="2" s="1"/>
  <c r="D25" i="2" s="1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I1" i="3" s="1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35" i="2"/>
  <c r="C34" i="2"/>
  <c r="C33" i="2"/>
  <c r="C26" i="2"/>
  <c r="B26" i="2"/>
  <c r="D26" i="2" s="1"/>
  <c r="C25" i="2"/>
  <c r="B23" i="2"/>
  <c r="C22" i="2"/>
  <c r="B22" i="2"/>
  <c r="D22" i="2" s="1"/>
  <c r="B21" i="2"/>
  <c r="B20" i="2"/>
  <c r="B19" i="2"/>
  <c r="B18" i="2"/>
  <c r="D18" i="2" s="1"/>
  <c r="B17" i="2"/>
  <c r="C8" i="2"/>
  <c r="D8" i="2" s="1"/>
  <c r="C5" i="2"/>
  <c r="D5" i="2" s="1"/>
  <c r="C407" i="1"/>
  <c r="C406" i="1"/>
  <c r="C405" i="1"/>
  <c r="C404" i="1"/>
  <c r="C403" i="1"/>
  <c r="C402" i="1"/>
  <c r="C401" i="1"/>
  <c r="C400" i="1"/>
  <c r="C32" i="2" s="1"/>
  <c r="C399" i="1"/>
  <c r="C398" i="1"/>
  <c r="C397" i="1"/>
  <c r="C31" i="2" s="1"/>
  <c r="C395" i="1"/>
  <c r="C394" i="1"/>
  <c r="C393" i="1"/>
  <c r="C30" i="2" s="1"/>
  <c r="C392" i="1"/>
  <c r="C391" i="1"/>
  <c r="C390" i="1"/>
  <c r="C389" i="1"/>
  <c r="C388" i="1"/>
  <c r="C387" i="1"/>
  <c r="C386" i="1"/>
  <c r="C29" i="2" s="1"/>
  <c r="C385" i="1"/>
  <c r="C384" i="1"/>
  <c r="C383" i="1"/>
  <c r="C382" i="1"/>
  <c r="C28" i="2" s="1"/>
  <c r="C368" i="1"/>
  <c r="C367" i="1"/>
  <c r="C27" i="2" s="1"/>
  <c r="C361" i="1"/>
  <c r="C356" i="1"/>
  <c r="C348" i="1"/>
  <c r="C341" i="1"/>
  <c r="C335" i="1"/>
  <c r="C333" i="1"/>
  <c r="C330" i="1"/>
  <c r="C315" i="1"/>
  <c r="C309" i="1"/>
  <c r="C307" i="1"/>
  <c r="C304" i="1"/>
  <c r="C289" i="1"/>
  <c r="C283" i="1"/>
  <c r="C282" i="1"/>
  <c r="C278" i="1"/>
  <c r="C24" i="2" s="1"/>
  <c r="C263" i="1"/>
  <c r="C257" i="1"/>
  <c r="C256" i="1"/>
  <c r="C255" i="1"/>
  <c r="C23" i="2" s="1"/>
  <c r="C252" i="1"/>
  <c r="C237" i="1"/>
  <c r="C231" i="1"/>
  <c r="C230" i="1"/>
  <c r="C226" i="1"/>
  <c r="C217" i="1"/>
  <c r="C216" i="1"/>
  <c r="C211" i="1"/>
  <c r="C205" i="1"/>
  <c r="C204" i="1"/>
  <c r="C202" i="1"/>
  <c r="C200" i="1"/>
  <c r="C21" i="2" s="1"/>
  <c r="C198" i="1"/>
  <c r="C196" i="1"/>
  <c r="C195" i="1"/>
  <c r="C194" i="1"/>
  <c r="C20" i="2" s="1"/>
  <c r="D20" i="2" s="1"/>
  <c r="C193" i="1"/>
  <c r="C192" i="1"/>
  <c r="C186" i="1"/>
  <c r="C175" i="1"/>
  <c r="C19" i="2" s="1"/>
  <c r="D19" i="2" s="1"/>
  <c r="C167" i="1"/>
  <c r="C165" i="1"/>
  <c r="C164" i="1"/>
  <c r="C160" i="1"/>
  <c r="C154" i="1"/>
  <c r="C151" i="1"/>
  <c r="I149" i="1"/>
  <c r="C149" i="1"/>
  <c r="C18" i="2" s="1"/>
  <c r="C148" i="1"/>
  <c r="C147" i="1"/>
  <c r="C146" i="1"/>
  <c r="C17" i="2" s="1"/>
  <c r="C145" i="1"/>
  <c r="C16" i="2" s="1"/>
  <c r="D16" i="2" s="1"/>
  <c r="C144" i="1"/>
  <c r="C143" i="1"/>
  <c r="C142" i="1"/>
  <c r="C141" i="1"/>
  <c r="C140" i="1"/>
  <c r="C139" i="1"/>
  <c r="C137" i="1"/>
  <c r="C136" i="1"/>
  <c r="C135" i="1"/>
  <c r="C134" i="1"/>
  <c r="C133" i="1"/>
  <c r="C132" i="1"/>
  <c r="C131" i="1"/>
  <c r="C15" i="2" s="1"/>
  <c r="D15" i="2" s="1"/>
  <c r="C130" i="1"/>
  <c r="C129" i="1"/>
  <c r="C128" i="1"/>
  <c r="C14" i="2" s="1"/>
  <c r="D14" i="2" s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3" i="2" s="1"/>
  <c r="D13" i="2" s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" i="2" s="1"/>
  <c r="D12" i="2" s="1"/>
  <c r="C90" i="1"/>
  <c r="C89" i="1"/>
  <c r="C88" i="1"/>
  <c r="C87" i="1"/>
  <c r="C86" i="1"/>
  <c r="C85" i="1"/>
  <c r="C84" i="1"/>
  <c r="C11" i="2" s="1"/>
  <c r="D11" i="2" s="1"/>
  <c r="C81" i="1"/>
  <c r="C80" i="1"/>
  <c r="C78" i="1"/>
  <c r="C77" i="1"/>
  <c r="C76" i="1"/>
  <c r="C75" i="1"/>
  <c r="C74" i="1"/>
  <c r="C73" i="1"/>
  <c r="C72" i="1"/>
  <c r="C71" i="1"/>
  <c r="C70" i="1"/>
  <c r="C69" i="1"/>
  <c r="C10" i="2" s="1"/>
  <c r="D10" i="2" s="1"/>
  <c r="C68" i="1"/>
  <c r="C65" i="1"/>
  <c r="C62" i="1"/>
  <c r="C61" i="1"/>
  <c r="C9" i="2" s="1"/>
  <c r="D9" i="2" s="1"/>
  <c r="C59" i="1"/>
  <c r="C57" i="1"/>
  <c r="C55" i="1"/>
  <c r="C53" i="1"/>
  <c r="C48" i="1"/>
  <c r="C47" i="1"/>
  <c r="C46" i="1"/>
  <c r="C44" i="1"/>
  <c r="C41" i="1"/>
  <c r="C36" i="1"/>
  <c r="C35" i="1"/>
  <c r="C34" i="1"/>
  <c r="C7" i="2" s="1"/>
  <c r="D7" i="2" s="1"/>
  <c r="C33" i="1"/>
  <c r="C30" i="1"/>
  <c r="C29" i="1"/>
  <c r="C27" i="1"/>
  <c r="C6" i="2" s="1"/>
  <c r="D6" i="2" s="1"/>
  <c r="C24" i="1"/>
  <c r="C23" i="1"/>
  <c r="C22" i="1"/>
  <c r="C21" i="1"/>
  <c r="C20" i="1"/>
  <c r="C19" i="1"/>
  <c r="C18" i="1"/>
  <c r="C17" i="1"/>
  <c r="C16" i="1"/>
  <c r="C15" i="1"/>
  <c r="C14" i="1"/>
  <c r="C4" i="2" s="1"/>
  <c r="D4" i="2" s="1"/>
  <c r="K208" i="5" l="1"/>
  <c r="J208" i="5" s="1"/>
  <c r="K220" i="5"/>
  <c r="J220" i="5" s="1"/>
  <c r="K204" i="5"/>
  <c r="J204" i="5" s="1"/>
  <c r="K205" i="5"/>
  <c r="J205" i="5" s="1"/>
  <c r="I568" i="5"/>
  <c r="J165" i="13"/>
  <c r="J80" i="14"/>
  <c r="I156" i="5"/>
  <c r="D140" i="9" s="1"/>
  <c r="G140" i="9" s="1"/>
  <c r="I542" i="5"/>
  <c r="D526" i="9" s="1"/>
  <c r="G526" i="9" s="1"/>
  <c r="I58" i="12"/>
  <c r="I247" i="12"/>
  <c r="I65" i="16"/>
  <c r="I725" i="5"/>
  <c r="K533" i="5"/>
  <c r="J533" i="5" s="1"/>
  <c r="K552" i="5"/>
  <c r="J552" i="5" s="1"/>
  <c r="I64" i="5"/>
  <c r="D48" i="9" s="1"/>
  <c r="G48" i="9" s="1"/>
  <c r="I271" i="5"/>
  <c r="D255" i="9" s="1"/>
  <c r="G255" i="9" s="1"/>
  <c r="I415" i="5"/>
  <c r="D399" i="9" s="1"/>
  <c r="G399" i="9" s="1"/>
  <c r="K722" i="5"/>
  <c r="J722" i="5" s="1"/>
  <c r="K531" i="5"/>
  <c r="J531" i="5" s="1"/>
  <c r="K294" i="5"/>
  <c r="J294" i="5" s="1"/>
  <c r="K488" i="5"/>
  <c r="J488" i="5" s="1"/>
  <c r="K9" i="5"/>
  <c r="J9" i="5" s="1"/>
  <c r="K259" i="5"/>
  <c r="J259" i="5" s="1"/>
  <c r="K516" i="5"/>
  <c r="J516" i="5" s="1"/>
  <c r="K502" i="5"/>
  <c r="J502" i="5" s="1"/>
  <c r="I37" i="12"/>
  <c r="K108" i="14"/>
  <c r="M120" i="15" s="1"/>
  <c r="J113" i="14"/>
  <c r="K424" i="5"/>
  <c r="J424" i="5" s="1"/>
  <c r="I138" i="12"/>
  <c r="J7" i="13"/>
  <c r="I140" i="16"/>
  <c r="I290" i="16"/>
  <c r="K322" i="5"/>
  <c r="J322" i="5" s="1"/>
  <c r="K447" i="5"/>
  <c r="J447" i="5" s="1"/>
  <c r="K387" i="5"/>
  <c r="J387" i="5" s="1"/>
  <c r="K261" i="5"/>
  <c r="J261" i="5" s="1"/>
  <c r="K395" i="5"/>
  <c r="J395" i="5" s="1"/>
  <c r="K12" i="14"/>
  <c r="M7" i="15" s="1"/>
  <c r="J53" i="14"/>
  <c r="I9" i="5"/>
  <c r="D9" i="9" s="1"/>
  <c r="G9" i="9" s="1"/>
  <c r="I35" i="5"/>
  <c r="D19" i="9" s="1"/>
  <c r="G19" i="9" s="1"/>
  <c r="I386" i="5"/>
  <c r="D370" i="9" s="1"/>
  <c r="G370" i="9" s="1"/>
  <c r="K542" i="5"/>
  <c r="J542" i="5" s="1"/>
  <c r="I185" i="12"/>
  <c r="J146" i="13"/>
  <c r="K8" i="14"/>
  <c r="M3" i="15" s="1"/>
  <c r="I514" i="5"/>
  <c r="D498" i="9" s="1"/>
  <c r="G498" i="9" s="1"/>
  <c r="J101" i="13"/>
  <c r="I53" i="5"/>
  <c r="D37" i="9" s="1"/>
  <c r="G37" i="9" s="1"/>
  <c r="I73" i="5"/>
  <c r="D57" i="9" s="1"/>
  <c r="G57" i="9" s="1"/>
  <c r="I281" i="5"/>
  <c r="D265" i="9" s="1"/>
  <c r="G265" i="9" s="1"/>
  <c r="I584" i="5"/>
  <c r="I155" i="5"/>
  <c r="D139" i="9" s="1"/>
  <c r="G139" i="9" s="1"/>
  <c r="I129" i="5"/>
  <c r="D113" i="9" s="1"/>
  <c r="G113" i="9" s="1"/>
  <c r="I230" i="5"/>
  <c r="D214" i="9" s="1"/>
  <c r="G214" i="9" s="1"/>
  <c r="I410" i="5"/>
  <c r="D394" i="9" s="1"/>
  <c r="G394" i="9" s="1"/>
  <c r="I442" i="5"/>
  <c r="D426" i="9" s="1"/>
  <c r="G426" i="9" s="1"/>
  <c r="K219" i="5"/>
  <c r="J219" i="5" s="1"/>
  <c r="I272" i="5"/>
  <c r="D256" i="9" s="1"/>
  <c r="G256" i="9" s="1"/>
  <c r="K252" i="5"/>
  <c r="J252" i="5" s="1"/>
  <c r="I10" i="5"/>
  <c r="D10" i="9" s="1"/>
  <c r="G10" i="9" s="1"/>
  <c r="I60" i="5"/>
  <c r="D44" i="9" s="1"/>
  <c r="G44" i="9" s="1"/>
  <c r="I16" i="5"/>
  <c r="I21" i="5"/>
  <c r="I41" i="5"/>
  <c r="D25" i="9" s="1"/>
  <c r="G25" i="9" s="1"/>
  <c r="I71" i="5"/>
  <c r="D55" i="9" s="1"/>
  <c r="G55" i="9" s="1"/>
  <c r="I86" i="5"/>
  <c r="D70" i="9" s="1"/>
  <c r="G70" i="9" s="1"/>
  <c r="I201" i="5"/>
  <c r="D185" i="9" s="1"/>
  <c r="G185" i="9" s="1"/>
  <c r="I427" i="5"/>
  <c r="D411" i="9" s="1"/>
  <c r="G411" i="9" s="1"/>
  <c r="K492" i="5"/>
  <c r="J492" i="5" s="1"/>
  <c r="I444" i="5"/>
  <c r="D428" i="9" s="1"/>
  <c r="G428" i="9" s="1"/>
  <c r="K209" i="5"/>
  <c r="J209" i="5" s="1"/>
  <c r="I428" i="5"/>
  <c r="D412" i="9" s="1"/>
  <c r="G412" i="9" s="1"/>
  <c r="I188" i="5"/>
  <c r="D172" i="9" s="1"/>
  <c r="G172" i="9" s="1"/>
  <c r="I433" i="5"/>
  <c r="D417" i="9" s="1"/>
  <c r="G417" i="9" s="1"/>
  <c r="I437" i="5"/>
  <c r="D421" i="9" s="1"/>
  <c r="G421" i="9" s="1"/>
  <c r="I636" i="5"/>
  <c r="J63" i="14"/>
  <c r="K88" i="14"/>
  <c r="M100" i="15" s="1"/>
  <c r="J93" i="14"/>
  <c r="J112" i="14"/>
  <c r="K323" i="5"/>
  <c r="J323" i="5" s="1"/>
  <c r="K132" i="14"/>
  <c r="M169" i="15" s="1"/>
  <c r="I39" i="12"/>
  <c r="I130" i="12"/>
  <c r="J86" i="13"/>
  <c r="J296" i="13"/>
  <c r="K16" i="14"/>
  <c r="M11" i="15" s="1"/>
  <c r="K20" i="14"/>
  <c r="M40" i="15" s="1"/>
  <c r="J24" i="14"/>
  <c r="J49" i="14"/>
  <c r="I217" i="5"/>
  <c r="D201" i="9" s="1"/>
  <c r="G201" i="9" s="1"/>
  <c r="I338" i="5"/>
  <c r="D322" i="9" s="1"/>
  <c r="G322" i="9" s="1"/>
  <c r="I398" i="5"/>
  <c r="D382" i="9" s="1"/>
  <c r="G382" i="9" s="1"/>
  <c r="I66" i="12"/>
  <c r="I190" i="12"/>
  <c r="I222" i="12"/>
  <c r="J264" i="13"/>
  <c r="J186" i="13"/>
  <c r="J200" i="13"/>
  <c r="I68" i="16"/>
  <c r="I36" i="12"/>
  <c r="I45" i="12"/>
  <c r="I285" i="12"/>
  <c r="J298" i="13"/>
  <c r="J17" i="14"/>
  <c r="K21" i="14"/>
  <c r="M41" i="15" s="1"/>
  <c r="J85" i="14"/>
  <c r="I66" i="16"/>
  <c r="I67" i="12"/>
  <c r="I184" i="12"/>
  <c r="I296" i="12"/>
  <c r="J30" i="13"/>
  <c r="J177" i="13"/>
  <c r="I59" i="16"/>
  <c r="K299" i="5"/>
  <c r="J299" i="5" s="1"/>
  <c r="I255" i="12"/>
  <c r="K9" i="14"/>
  <c r="M4" i="15" s="1"/>
  <c r="J13" i="14"/>
  <c r="J100" i="14"/>
  <c r="I236" i="12"/>
  <c r="J21" i="13"/>
  <c r="J138" i="13"/>
  <c r="I48" i="16"/>
  <c r="I64" i="16"/>
  <c r="K206" i="5"/>
  <c r="J206" i="5" s="1"/>
  <c r="J300" i="13"/>
  <c r="K56" i="14"/>
  <c r="M68" i="15" s="1"/>
  <c r="I261" i="12"/>
  <c r="I30" i="5"/>
  <c r="D14" i="9" s="1"/>
  <c r="G14" i="9" s="1"/>
  <c r="I110" i="5"/>
  <c r="D94" i="9" s="1"/>
  <c r="G94" i="9" s="1"/>
  <c r="I376" i="5"/>
  <c r="D360" i="9" s="1"/>
  <c r="G360" i="9" s="1"/>
  <c r="I619" i="5"/>
  <c r="K221" i="5"/>
  <c r="J221" i="5" s="1"/>
  <c r="K211" i="5"/>
  <c r="J211" i="5" s="1"/>
  <c r="I106" i="12"/>
  <c r="J13" i="13"/>
  <c r="I156" i="16"/>
  <c r="I288" i="16"/>
  <c r="I83" i="12"/>
  <c r="I88" i="12"/>
  <c r="J22" i="13"/>
  <c r="J70" i="13"/>
  <c r="J19" i="14"/>
  <c r="J23" i="14"/>
  <c r="J101" i="14"/>
  <c r="I665" i="5"/>
  <c r="I692" i="5"/>
  <c r="I715" i="5"/>
  <c r="I43" i="12"/>
  <c r="I47" i="12"/>
  <c r="I129" i="12"/>
  <c r="I160" i="12"/>
  <c r="I257" i="12"/>
  <c r="I293" i="12"/>
  <c r="I606" i="5"/>
  <c r="M606" i="5"/>
  <c r="N606" i="5" s="1"/>
  <c r="M484" i="5"/>
  <c r="I484" i="5"/>
  <c r="D468" i="9" s="1"/>
  <c r="G468" i="9" s="1"/>
  <c r="I508" i="5"/>
  <c r="D492" i="9" s="1"/>
  <c r="G492" i="9" s="1"/>
  <c r="I84" i="5"/>
  <c r="D68" i="9" s="1"/>
  <c r="G68" i="9" s="1"/>
  <c r="I288" i="5"/>
  <c r="D272" i="9" s="1"/>
  <c r="G272" i="9" s="1"/>
  <c r="M308" i="5"/>
  <c r="N308" i="5" s="1"/>
  <c r="I411" i="5"/>
  <c r="D395" i="9" s="1"/>
  <c r="G395" i="9" s="1"/>
  <c r="I425" i="5"/>
  <c r="D409" i="9" s="1"/>
  <c r="G409" i="9" s="1"/>
  <c r="M592" i="5"/>
  <c r="N592" i="5" s="1"/>
  <c r="I592" i="5"/>
  <c r="I122" i="5"/>
  <c r="D106" i="9" s="1"/>
  <c r="G106" i="9" s="1"/>
  <c r="I298" i="5"/>
  <c r="D282" i="9" s="1"/>
  <c r="G282" i="9" s="1"/>
  <c r="M298" i="5"/>
  <c r="N298" i="5" s="1"/>
  <c r="I28" i="5"/>
  <c r="I32" i="5"/>
  <c r="D16" i="9" s="1"/>
  <c r="G16" i="9" s="1"/>
  <c r="I62" i="5"/>
  <c r="D46" i="9" s="1"/>
  <c r="G46" i="9" s="1"/>
  <c r="I149" i="5"/>
  <c r="D133" i="9" s="1"/>
  <c r="G133" i="9" s="1"/>
  <c r="I246" i="5"/>
  <c r="D230" i="9" s="1"/>
  <c r="G230" i="9" s="1"/>
  <c r="I269" i="5"/>
  <c r="D253" i="9" s="1"/>
  <c r="G253" i="9" s="1"/>
  <c r="I76" i="5"/>
  <c r="D60" i="9" s="1"/>
  <c r="G60" i="9" s="1"/>
  <c r="I307" i="5"/>
  <c r="D291" i="9" s="1"/>
  <c r="G291" i="9" s="1"/>
  <c r="M307" i="5"/>
  <c r="N307" i="5" s="1"/>
  <c r="I379" i="5"/>
  <c r="D363" i="9" s="1"/>
  <c r="G363" i="9" s="1"/>
  <c r="M590" i="5"/>
  <c r="N590" i="5" s="1"/>
  <c r="I590" i="5"/>
  <c r="I5" i="5"/>
  <c r="D5" i="9" s="1"/>
  <c r="G5" i="9" s="1"/>
  <c r="I39" i="5"/>
  <c r="D23" i="9" s="1"/>
  <c r="G23" i="9" s="1"/>
  <c r="I91" i="5"/>
  <c r="D75" i="9" s="1"/>
  <c r="G75" i="9" s="1"/>
  <c r="I252" i="5"/>
  <c r="D236" i="9" s="1"/>
  <c r="G236" i="9" s="1"/>
  <c r="I459" i="5"/>
  <c r="D443" i="9" s="1"/>
  <c r="G443" i="9" s="1"/>
  <c r="I610" i="5"/>
  <c r="M610" i="5"/>
  <c r="I448" i="5"/>
  <c r="D432" i="9" s="1"/>
  <c r="G432" i="9" s="1"/>
  <c r="I65" i="5"/>
  <c r="D49" i="9" s="1"/>
  <c r="G49" i="9" s="1"/>
  <c r="M304" i="5"/>
  <c r="N304" i="5" s="1"/>
  <c r="I395" i="5"/>
  <c r="D379" i="9" s="1"/>
  <c r="G379" i="9" s="1"/>
  <c r="I55" i="5"/>
  <c r="D39" i="9" s="1"/>
  <c r="G39" i="9" s="1"/>
  <c r="I106" i="5"/>
  <c r="D90" i="9" s="1"/>
  <c r="G90" i="9" s="1"/>
  <c r="I144" i="5"/>
  <c r="D128" i="9" s="1"/>
  <c r="G128" i="9" s="1"/>
  <c r="I181" i="5"/>
  <c r="D165" i="9" s="1"/>
  <c r="G165" i="9" s="1"/>
  <c r="I204" i="5"/>
  <c r="D188" i="9" s="1"/>
  <c r="G188" i="9" s="1"/>
  <c r="I214" i="5"/>
  <c r="D198" i="9" s="1"/>
  <c r="G198" i="9" s="1"/>
  <c r="I224" i="5"/>
  <c r="D208" i="9" s="1"/>
  <c r="G208" i="9" s="1"/>
  <c r="I285" i="5"/>
  <c r="D269" i="9" s="1"/>
  <c r="G269" i="9" s="1"/>
  <c r="I313" i="5"/>
  <c r="D297" i="9" s="1"/>
  <c r="G297" i="9" s="1"/>
  <c r="I346" i="5"/>
  <c r="D330" i="9" s="1"/>
  <c r="G330" i="9" s="1"/>
  <c r="I392" i="5"/>
  <c r="D376" i="9" s="1"/>
  <c r="G376" i="9" s="1"/>
  <c r="I455" i="5"/>
  <c r="D439" i="9" s="1"/>
  <c r="G439" i="9" s="1"/>
  <c r="I600" i="5"/>
  <c r="I634" i="5"/>
  <c r="I701" i="5"/>
  <c r="I219" i="5"/>
  <c r="D203" i="9" s="1"/>
  <c r="G203" i="9" s="1"/>
  <c r="I318" i="5"/>
  <c r="D302" i="9" s="1"/>
  <c r="G302" i="9" s="1"/>
  <c r="I360" i="5"/>
  <c r="D344" i="9" s="1"/>
  <c r="G344" i="9" s="1"/>
  <c r="I617" i="5"/>
  <c r="I630" i="5"/>
  <c r="I643" i="5"/>
  <c r="I666" i="5"/>
  <c r="I724" i="5"/>
  <c r="I4" i="5"/>
  <c r="D4" i="9" s="1"/>
  <c r="G4" i="9" s="1"/>
  <c r="I19" i="5"/>
  <c r="I97" i="5"/>
  <c r="D81" i="9" s="1"/>
  <c r="G81" i="9" s="1"/>
  <c r="I102" i="5"/>
  <c r="D86" i="9" s="1"/>
  <c r="G86" i="9" s="1"/>
  <c r="I107" i="5"/>
  <c r="D91" i="9" s="1"/>
  <c r="G91" i="9" s="1"/>
  <c r="I145" i="5"/>
  <c r="D129" i="9" s="1"/>
  <c r="G129" i="9" s="1"/>
  <c r="I159" i="5"/>
  <c r="D143" i="9" s="1"/>
  <c r="G143" i="9" s="1"/>
  <c r="I187" i="5"/>
  <c r="D171" i="9" s="1"/>
  <c r="G171" i="9" s="1"/>
  <c r="I220" i="5"/>
  <c r="D204" i="9" s="1"/>
  <c r="G204" i="9" s="1"/>
  <c r="I296" i="5"/>
  <c r="D280" i="9" s="1"/>
  <c r="G280" i="9" s="1"/>
  <c r="I639" i="5"/>
  <c r="I693" i="5"/>
  <c r="I707" i="5"/>
  <c r="I635" i="5"/>
  <c r="I644" i="5"/>
  <c r="I389" i="5"/>
  <c r="D373" i="9" s="1"/>
  <c r="G373" i="9" s="1"/>
  <c r="I649" i="5"/>
  <c r="I685" i="5"/>
  <c r="I236" i="5"/>
  <c r="D220" i="9" s="1"/>
  <c r="G220" i="9" s="1"/>
  <c r="I278" i="5"/>
  <c r="D262" i="9" s="1"/>
  <c r="G262" i="9" s="1"/>
  <c r="I325" i="5"/>
  <c r="D309" i="9" s="1"/>
  <c r="G309" i="9" s="1"/>
  <c r="I330" i="5"/>
  <c r="D314" i="9" s="1"/>
  <c r="G314" i="9" s="1"/>
  <c r="I413" i="5"/>
  <c r="D397" i="9" s="1"/>
  <c r="G397" i="9" s="1"/>
  <c r="I641" i="5"/>
  <c r="I690" i="5"/>
  <c r="I7" i="5"/>
  <c r="D7" i="9" s="1"/>
  <c r="G7" i="9" s="1"/>
  <c r="I54" i="5"/>
  <c r="D38" i="9" s="1"/>
  <c r="G38" i="9" s="1"/>
  <c r="I100" i="5"/>
  <c r="D84" i="9" s="1"/>
  <c r="G84" i="9" s="1"/>
  <c r="I105" i="5"/>
  <c r="D89" i="9" s="1"/>
  <c r="G89" i="9" s="1"/>
  <c r="I143" i="5"/>
  <c r="D127" i="9" s="1"/>
  <c r="G127" i="9" s="1"/>
  <c r="I203" i="5"/>
  <c r="D187" i="9" s="1"/>
  <c r="G187" i="9" s="1"/>
  <c r="I213" i="5"/>
  <c r="D197" i="9" s="1"/>
  <c r="G197" i="9" s="1"/>
  <c r="I218" i="5"/>
  <c r="D202" i="9" s="1"/>
  <c r="G202" i="9" s="1"/>
  <c r="I223" i="5"/>
  <c r="D207" i="9" s="1"/>
  <c r="G207" i="9" s="1"/>
  <c r="I317" i="5"/>
  <c r="D301" i="9" s="1"/>
  <c r="G301" i="9" s="1"/>
  <c r="I336" i="5"/>
  <c r="D320" i="9" s="1"/>
  <c r="G320" i="9" s="1"/>
  <c r="I354" i="5"/>
  <c r="D338" i="9" s="1"/>
  <c r="G338" i="9" s="1"/>
  <c r="I405" i="5"/>
  <c r="D389" i="9" s="1"/>
  <c r="G389" i="9" s="1"/>
  <c r="I637" i="5"/>
  <c r="I642" i="5"/>
  <c r="I651" i="5"/>
  <c r="I705" i="5"/>
  <c r="I12" i="12"/>
  <c r="I197" i="12"/>
  <c r="I204" i="12"/>
  <c r="I297" i="12"/>
  <c r="J243" i="13"/>
  <c r="I21" i="16"/>
  <c r="I21" i="12"/>
  <c r="I26" i="12"/>
  <c r="I69" i="12"/>
  <c r="I150" i="12"/>
  <c r="I238" i="12"/>
  <c r="I337" i="12"/>
  <c r="J18" i="13"/>
  <c r="J189" i="13"/>
  <c r="J250" i="13"/>
  <c r="J281" i="13"/>
  <c r="J286" i="13"/>
  <c r="J43" i="14"/>
  <c r="J70" i="14"/>
  <c r="J102" i="14"/>
  <c r="J133" i="14"/>
  <c r="K143" i="14"/>
  <c r="M180" i="15" s="1"/>
  <c r="I2" i="8"/>
  <c r="I98" i="12"/>
  <c r="I141" i="12"/>
  <c r="I322" i="12"/>
  <c r="J37" i="13"/>
  <c r="J41" i="13"/>
  <c r="J102" i="13"/>
  <c r="J196" i="13"/>
  <c r="J297" i="13"/>
  <c r="K48" i="14"/>
  <c r="M32" i="15" s="1"/>
  <c r="K57" i="14"/>
  <c r="M69" i="15" s="1"/>
  <c r="J75" i="14"/>
  <c r="J107" i="14"/>
  <c r="K116" i="14"/>
  <c r="M128" i="15" s="1"/>
  <c r="I206" i="12"/>
  <c r="K121" i="14"/>
  <c r="J125" i="14"/>
  <c r="I146" i="12"/>
  <c r="I266" i="12"/>
  <c r="I271" i="12"/>
  <c r="I288" i="12"/>
  <c r="I318" i="12"/>
  <c r="J54" i="13"/>
  <c r="J89" i="13"/>
  <c r="J71" i="14"/>
  <c r="J103" i="14"/>
  <c r="J134" i="14"/>
  <c r="I162" i="16"/>
  <c r="I8" i="12"/>
  <c r="I85" i="12"/>
  <c r="I133" i="12"/>
  <c r="I168" i="12"/>
  <c r="I223" i="12"/>
  <c r="I258" i="12"/>
  <c r="J50" i="13"/>
  <c r="J125" i="13"/>
  <c r="I28" i="12"/>
  <c r="I59" i="12"/>
  <c r="I63" i="12"/>
  <c r="I172" i="12"/>
  <c r="I253" i="12"/>
  <c r="J288" i="13"/>
  <c r="J293" i="13"/>
  <c r="I18" i="12"/>
  <c r="I319" i="12"/>
  <c r="I334" i="12"/>
  <c r="I42" i="12"/>
  <c r="I50" i="12"/>
  <c r="I234" i="12"/>
  <c r="I305" i="12"/>
  <c r="J147" i="13"/>
  <c r="J68" i="14"/>
  <c r="J77" i="14"/>
  <c r="I152" i="16"/>
  <c r="I29" i="12"/>
  <c r="I60" i="12"/>
  <c r="I109" i="12"/>
  <c r="I122" i="12"/>
  <c r="I173" i="12"/>
  <c r="I225" i="12"/>
  <c r="J18" i="14"/>
  <c r="M17" i="15"/>
  <c r="J92" i="14"/>
  <c r="J123" i="14"/>
  <c r="J127" i="14"/>
  <c r="I3" i="12"/>
  <c r="J335" i="13"/>
  <c r="J60" i="14"/>
  <c r="J64" i="14"/>
  <c r="J119" i="14"/>
  <c r="J77" i="13"/>
  <c r="J213" i="13"/>
  <c r="I67" i="16"/>
  <c r="I286" i="16"/>
  <c r="I92" i="12"/>
  <c r="I274" i="12"/>
  <c r="J44" i="13"/>
  <c r="J149" i="13"/>
  <c r="J156" i="13"/>
  <c r="J202" i="13"/>
  <c r="I52" i="16"/>
  <c r="I60" i="16"/>
  <c r="I17" i="5"/>
  <c r="I26" i="5"/>
  <c r="I69" i="5"/>
  <c r="D53" i="9" s="1"/>
  <c r="G53" i="9" s="1"/>
  <c r="I111" i="5"/>
  <c r="D95" i="9" s="1"/>
  <c r="G95" i="9" s="1"/>
  <c r="I166" i="5"/>
  <c r="D150" i="9" s="1"/>
  <c r="G150" i="9" s="1"/>
  <c r="I191" i="5"/>
  <c r="D175" i="9" s="1"/>
  <c r="G175" i="9" s="1"/>
  <c r="I243" i="5"/>
  <c r="D227" i="9" s="1"/>
  <c r="G227" i="9" s="1"/>
  <c r="I251" i="5"/>
  <c r="D235" i="9" s="1"/>
  <c r="G235" i="9" s="1"/>
  <c r="N255" i="5"/>
  <c r="I276" i="5"/>
  <c r="D260" i="9" s="1"/>
  <c r="G260" i="9" s="1"/>
  <c r="I293" i="5"/>
  <c r="D277" i="9" s="1"/>
  <c r="G277" i="9" s="1"/>
  <c r="I300" i="5"/>
  <c r="D284" i="9" s="1"/>
  <c r="G284" i="9" s="1"/>
  <c r="M305" i="5"/>
  <c r="N305" i="5" s="1"/>
  <c r="I357" i="5"/>
  <c r="D341" i="9" s="1"/>
  <c r="G341" i="9" s="1"/>
  <c r="I366" i="5"/>
  <c r="D350" i="9" s="1"/>
  <c r="G350" i="9" s="1"/>
  <c r="I378" i="5"/>
  <c r="D362" i="9" s="1"/>
  <c r="G362" i="9" s="1"/>
  <c r="I422" i="5"/>
  <c r="D406" i="9" s="1"/>
  <c r="G406" i="9" s="1"/>
  <c r="I434" i="5"/>
  <c r="D418" i="9" s="1"/>
  <c r="G418" i="9" s="1"/>
  <c r="I566" i="5"/>
  <c r="I598" i="5"/>
  <c r="I624" i="5"/>
  <c r="M608" i="5"/>
  <c r="N608" i="5" s="1"/>
  <c r="I255" i="5"/>
  <c r="D239" i="9" s="1"/>
  <c r="G239" i="9" s="1"/>
  <c r="I602" i="5"/>
  <c r="I31" i="5"/>
  <c r="D15" i="9" s="1"/>
  <c r="G15" i="9" s="1"/>
  <c r="I48" i="5"/>
  <c r="D32" i="9" s="1"/>
  <c r="G32" i="9" s="1"/>
  <c r="I57" i="5"/>
  <c r="D41" i="9" s="1"/>
  <c r="G41" i="9" s="1"/>
  <c r="I78" i="5"/>
  <c r="D62" i="9" s="1"/>
  <c r="G62" i="9" s="1"/>
  <c r="I124" i="5"/>
  <c r="D108" i="9" s="1"/>
  <c r="G108" i="9" s="1"/>
  <c r="I154" i="5"/>
  <c r="D138" i="9" s="1"/>
  <c r="G138" i="9" s="1"/>
  <c r="I196" i="5"/>
  <c r="D180" i="9" s="1"/>
  <c r="G180" i="9" s="1"/>
  <c r="I306" i="5"/>
  <c r="D290" i="9" s="1"/>
  <c r="G290" i="9" s="1"/>
  <c r="I312" i="5"/>
  <c r="D296" i="9" s="1"/>
  <c r="G296" i="9" s="1"/>
  <c r="I333" i="5"/>
  <c r="D317" i="9" s="1"/>
  <c r="G317" i="9" s="1"/>
  <c r="I341" i="5"/>
  <c r="D325" i="9" s="1"/>
  <c r="G325" i="9" s="1"/>
  <c r="I350" i="5"/>
  <c r="D334" i="9" s="1"/>
  <c r="G334" i="9" s="1"/>
  <c r="I419" i="5"/>
  <c r="D403" i="9" s="1"/>
  <c r="G403" i="9" s="1"/>
  <c r="I438" i="5"/>
  <c r="D422" i="9" s="1"/>
  <c r="G422" i="9" s="1"/>
  <c r="I540" i="5"/>
  <c r="D524" i="9" s="1"/>
  <c r="G524" i="9" s="1"/>
  <c r="I588" i="5"/>
  <c r="N300" i="5"/>
  <c r="I570" i="5"/>
  <c r="I23" i="5"/>
  <c r="I27" i="5"/>
  <c r="I70" i="5"/>
  <c r="D54" i="9" s="1"/>
  <c r="G54" i="9" s="1"/>
  <c r="I116" i="5"/>
  <c r="D100" i="9" s="1"/>
  <c r="G100" i="9" s="1"/>
  <c r="I209" i="5"/>
  <c r="D193" i="9" s="1"/>
  <c r="G193" i="9" s="1"/>
  <c r="I277" i="5"/>
  <c r="D261" i="9" s="1"/>
  <c r="G261" i="9" s="1"/>
  <c r="I416" i="5"/>
  <c r="D400" i="9" s="1"/>
  <c r="G400" i="9" s="1"/>
  <c r="I449" i="5"/>
  <c r="D433" i="9" s="1"/>
  <c r="G433" i="9" s="1"/>
  <c r="I574" i="5"/>
  <c r="I673" i="5"/>
  <c r="I660" i="5"/>
  <c r="I669" i="5"/>
  <c r="I678" i="5"/>
  <c r="I737" i="5"/>
  <c r="M303" i="5"/>
  <c r="N306" i="5"/>
  <c r="I490" i="5"/>
  <c r="D474" i="9" s="1"/>
  <c r="G474" i="9" s="1"/>
  <c r="I494" i="5"/>
  <c r="D478" i="9" s="1"/>
  <c r="G478" i="9" s="1"/>
  <c r="I498" i="5"/>
  <c r="D482" i="9" s="1"/>
  <c r="G482" i="9" s="1"/>
  <c r="I578" i="5"/>
  <c r="M309" i="5"/>
  <c r="N309" i="5" s="1"/>
  <c r="I564" i="5"/>
  <c r="I596" i="5"/>
  <c r="I683" i="5"/>
  <c r="I696" i="5"/>
  <c r="I710" i="5"/>
  <c r="I15" i="5"/>
  <c r="I117" i="5"/>
  <c r="D101" i="9" s="1"/>
  <c r="G101" i="9" s="1"/>
  <c r="I121" i="5"/>
  <c r="D105" i="9" s="1"/>
  <c r="G105" i="9" s="1"/>
  <c r="I138" i="5"/>
  <c r="D122" i="9" s="1"/>
  <c r="G122" i="9" s="1"/>
  <c r="I164" i="5"/>
  <c r="D148" i="9" s="1"/>
  <c r="G148" i="9" s="1"/>
  <c r="I265" i="5"/>
  <c r="D249" i="9" s="1"/>
  <c r="G249" i="9" s="1"/>
  <c r="M301" i="5"/>
  <c r="N301" i="5" s="1"/>
  <c r="I347" i="5"/>
  <c r="D331" i="9" s="1"/>
  <c r="G331" i="9" s="1"/>
  <c r="I443" i="5"/>
  <c r="D427" i="9" s="1"/>
  <c r="G427" i="9" s="1"/>
  <c r="I460" i="5"/>
  <c r="D444" i="9" s="1"/>
  <c r="G444" i="9" s="1"/>
  <c r="I510" i="5"/>
  <c r="D494" i="9" s="1"/>
  <c r="G494" i="9" s="1"/>
  <c r="I582" i="5"/>
  <c r="I728" i="5"/>
  <c r="I310" i="5"/>
  <c r="D294" i="9" s="1"/>
  <c r="G294" i="9" s="1"/>
  <c r="I417" i="5"/>
  <c r="D401" i="9" s="1"/>
  <c r="G401" i="9" s="1"/>
  <c r="I586" i="5"/>
  <c r="I675" i="5"/>
  <c r="I697" i="5"/>
  <c r="I530" i="5"/>
  <c r="D514" i="9" s="1"/>
  <c r="G514" i="9" s="1"/>
  <c r="I46" i="5"/>
  <c r="D30" i="9" s="1"/>
  <c r="G30" i="9" s="1"/>
  <c r="I59" i="5"/>
  <c r="D43" i="9" s="1"/>
  <c r="G43" i="9" s="1"/>
  <c r="I177" i="5"/>
  <c r="D161" i="9" s="1"/>
  <c r="G161" i="9" s="1"/>
  <c r="I198" i="5"/>
  <c r="D182" i="9" s="1"/>
  <c r="G182" i="9" s="1"/>
  <c r="I202" i="5"/>
  <c r="D186" i="9" s="1"/>
  <c r="G186" i="9" s="1"/>
  <c r="I229" i="5"/>
  <c r="D213" i="9" s="1"/>
  <c r="G213" i="9" s="1"/>
  <c r="I257" i="5"/>
  <c r="D241" i="9" s="1"/>
  <c r="G241" i="9" s="1"/>
  <c r="I261" i="5"/>
  <c r="D245" i="9" s="1"/>
  <c r="G245" i="9" s="1"/>
  <c r="I302" i="5"/>
  <c r="D286" i="9" s="1"/>
  <c r="G286" i="9" s="1"/>
  <c r="I314" i="5"/>
  <c r="D298" i="9" s="1"/>
  <c r="G298" i="9" s="1"/>
  <c r="I352" i="5"/>
  <c r="D336" i="9" s="1"/>
  <c r="G336" i="9" s="1"/>
  <c r="I572" i="5"/>
  <c r="I604" i="5"/>
  <c r="I631" i="5"/>
  <c r="I546" i="5"/>
  <c r="D530" i="9" s="1"/>
  <c r="G530" i="9" s="1"/>
  <c r="I576" i="5"/>
  <c r="M299" i="5"/>
  <c r="N299" i="5" s="1"/>
  <c r="I186" i="5"/>
  <c r="D170" i="9" s="1"/>
  <c r="G170" i="9" s="1"/>
  <c r="I212" i="5"/>
  <c r="D196" i="9" s="1"/>
  <c r="G196" i="9" s="1"/>
  <c r="I262" i="5"/>
  <c r="D246" i="9" s="1"/>
  <c r="G246" i="9" s="1"/>
  <c r="I297" i="5"/>
  <c r="D281" i="9" s="1"/>
  <c r="G281" i="9" s="1"/>
  <c r="I315" i="5"/>
  <c r="D299" i="9" s="1"/>
  <c r="G299" i="9" s="1"/>
  <c r="I323" i="5"/>
  <c r="D307" i="9" s="1"/>
  <c r="G307" i="9" s="1"/>
  <c r="I373" i="5"/>
  <c r="D357" i="9" s="1"/>
  <c r="G357" i="9" s="1"/>
  <c r="I382" i="5"/>
  <c r="D366" i="9" s="1"/>
  <c r="G366" i="9" s="1"/>
  <c r="I394" i="5"/>
  <c r="D378" i="9" s="1"/>
  <c r="G378" i="9" s="1"/>
  <c r="I488" i="5"/>
  <c r="D472" i="9" s="1"/>
  <c r="G472" i="9" s="1"/>
  <c r="I492" i="5"/>
  <c r="D476" i="9" s="1"/>
  <c r="G476" i="9" s="1"/>
  <c r="I496" i="5"/>
  <c r="D480" i="9" s="1"/>
  <c r="G480" i="9" s="1"/>
  <c r="I562" i="5"/>
  <c r="I594" i="5"/>
  <c r="I628" i="5"/>
  <c r="I632" i="5"/>
  <c r="N257" i="5"/>
  <c r="I787" i="5"/>
  <c r="I788" i="5"/>
  <c r="I667" i="5"/>
  <c r="I671" i="5"/>
  <c r="I698" i="5"/>
  <c r="I668" i="5"/>
  <c r="I740" i="5"/>
  <c r="I785" i="5"/>
  <c r="I699" i="5"/>
  <c r="I703" i="5"/>
  <c r="I730" i="5"/>
  <c r="I735" i="5"/>
  <c r="I664" i="5"/>
  <c r="I717" i="5"/>
  <c r="I786" i="5"/>
  <c r="I700" i="5"/>
  <c r="I731" i="5"/>
  <c r="I736" i="5"/>
  <c r="K40" i="14"/>
  <c r="M24" i="15" s="1"/>
  <c r="J44" i="14"/>
  <c r="J52" i="14"/>
  <c r="J79" i="14"/>
  <c r="J129" i="14"/>
  <c r="K137" i="14"/>
  <c r="M174" i="15" s="1"/>
  <c r="J33" i="13"/>
  <c r="J113" i="13"/>
  <c r="J265" i="13"/>
  <c r="J270" i="13"/>
  <c r="J315" i="13"/>
  <c r="J320" i="13"/>
  <c r="J87" i="14"/>
  <c r="J91" i="14"/>
  <c r="J118" i="14"/>
  <c r="J141" i="14"/>
  <c r="J29" i="13"/>
  <c r="J67" i="13"/>
  <c r="J97" i="13"/>
  <c r="J109" i="13"/>
  <c r="J121" i="13"/>
  <c r="J137" i="13"/>
  <c r="J141" i="13"/>
  <c r="J145" i="13"/>
  <c r="J169" i="13"/>
  <c r="J190" i="13"/>
  <c r="I61" i="16"/>
  <c r="I144" i="16"/>
  <c r="I154" i="16"/>
  <c r="I93" i="12"/>
  <c r="I101" i="12"/>
  <c r="I110" i="12"/>
  <c r="I134" i="12"/>
  <c r="I27" i="12"/>
  <c r="I70" i="12"/>
  <c r="I79" i="12"/>
  <c r="I84" i="12"/>
  <c r="I143" i="12"/>
  <c r="I153" i="12"/>
  <c r="I159" i="12"/>
  <c r="I183" i="12"/>
  <c r="I328" i="12"/>
  <c r="J3" i="13"/>
  <c r="J25" i="13"/>
  <c r="J93" i="13"/>
  <c r="J117" i="13"/>
  <c r="J133" i="13"/>
  <c r="J150" i="13"/>
  <c r="J173" i="13"/>
  <c r="J241" i="13"/>
  <c r="J252" i="13"/>
  <c r="J277" i="13"/>
  <c r="J303" i="13"/>
  <c r="K41" i="14"/>
  <c r="M25" i="15" s="1"/>
  <c r="K72" i="14"/>
  <c r="M84" i="15" s="1"/>
  <c r="J76" i="14"/>
  <c r="J84" i="14"/>
  <c r="J111" i="14"/>
  <c r="I289" i="16"/>
  <c r="I22" i="12"/>
  <c r="I176" i="12"/>
  <c r="I198" i="12"/>
  <c r="I242" i="12"/>
  <c r="I281" i="12"/>
  <c r="I302" i="12"/>
  <c r="I314" i="12"/>
  <c r="J45" i="13"/>
  <c r="J61" i="13"/>
  <c r="J110" i="13"/>
  <c r="J130" i="13"/>
  <c r="J157" i="13"/>
  <c r="J166" i="13"/>
  <c r="J170" i="13"/>
  <c r="J210" i="13"/>
  <c r="J219" i="13"/>
  <c r="J229" i="13"/>
  <c r="J262" i="13"/>
  <c r="J307" i="13"/>
  <c r="J337" i="13"/>
  <c r="I158" i="16"/>
  <c r="I172" i="16"/>
  <c r="I148" i="12"/>
  <c r="J17" i="13"/>
  <c r="J174" i="13"/>
  <c r="J272" i="13"/>
  <c r="J322" i="13"/>
  <c r="J61" i="14"/>
  <c r="J69" i="14"/>
  <c r="J96" i="14"/>
  <c r="J135" i="14"/>
  <c r="J139" i="14"/>
  <c r="I32" i="12"/>
  <c r="I94" i="12"/>
  <c r="I324" i="12"/>
  <c r="J9" i="13"/>
  <c r="J14" i="13"/>
  <c r="J53" i="13"/>
  <c r="J76" i="13"/>
  <c r="J85" i="13"/>
  <c r="J308" i="13"/>
  <c r="J65" i="14"/>
  <c r="K73" i="14"/>
  <c r="M85" i="15" s="1"/>
  <c r="K104" i="14"/>
  <c r="M116" i="15" s="1"/>
  <c r="M18" i="15"/>
  <c r="M6" i="15"/>
  <c r="I166" i="16"/>
  <c r="I169" i="16"/>
  <c r="I250" i="16"/>
  <c r="I64" i="12"/>
  <c r="I90" i="12"/>
  <c r="I107" i="12"/>
  <c r="I149" i="12"/>
  <c r="I221" i="12"/>
  <c r="I244" i="12"/>
  <c r="I277" i="12"/>
  <c r="I320" i="12"/>
  <c r="J90" i="13"/>
  <c r="J107" i="13"/>
  <c r="J134" i="13"/>
  <c r="J181" i="13"/>
  <c r="J289" i="13"/>
  <c r="J294" i="13"/>
  <c r="J301" i="13"/>
  <c r="J313" i="13"/>
  <c r="J333" i="13"/>
  <c r="I5" i="12"/>
  <c r="I11" i="12"/>
  <c r="I48" i="12"/>
  <c r="I76" i="12"/>
  <c r="I116" i="12"/>
  <c r="I125" i="12"/>
  <c r="I165" i="12"/>
  <c r="I186" i="12"/>
  <c r="I193" i="12"/>
  <c r="I216" i="12"/>
  <c r="I272" i="12"/>
  <c r="I287" i="12"/>
  <c r="I292" i="12"/>
  <c r="J10" i="13"/>
  <c r="J27" i="13"/>
  <c r="J46" i="13"/>
  <c r="J62" i="13"/>
  <c r="J99" i="13"/>
  <c r="J193" i="13"/>
  <c r="J226" i="13"/>
  <c r="J254" i="13"/>
  <c r="J328" i="13"/>
  <c r="J81" i="14"/>
  <c r="K89" i="14"/>
  <c r="M101" i="15" s="1"/>
  <c r="K120" i="14"/>
  <c r="M87" i="15" s="1"/>
  <c r="I28" i="16"/>
  <c r="I62" i="16"/>
  <c r="I299" i="16"/>
  <c r="J59" i="13"/>
  <c r="J69" i="13"/>
  <c r="J73" i="13"/>
  <c r="J217" i="13"/>
  <c r="J47" i="14"/>
  <c r="J97" i="14"/>
  <c r="K105" i="14"/>
  <c r="M117" i="15" s="1"/>
  <c r="K136" i="14"/>
  <c r="M173" i="15" s="1"/>
  <c r="J140" i="14"/>
  <c r="I163" i="16"/>
  <c r="I248" i="16"/>
  <c r="I262" i="16"/>
  <c r="I77" i="12"/>
  <c r="I104" i="12"/>
  <c r="I181" i="12"/>
  <c r="I212" i="12"/>
  <c r="I217" i="12"/>
  <c r="I228" i="12"/>
  <c r="J6" i="13"/>
  <c r="J124" i="13"/>
  <c r="J201" i="13"/>
  <c r="J274" i="13"/>
  <c r="J285" i="13"/>
  <c r="J305" i="13"/>
  <c r="J55" i="14"/>
  <c r="J59" i="14"/>
  <c r="J86" i="14"/>
  <c r="J109" i="14"/>
  <c r="J117" i="14"/>
  <c r="I13" i="12"/>
  <c r="I34" i="12"/>
  <c r="I53" i="12"/>
  <c r="I82" i="12"/>
  <c r="I166" i="12"/>
  <c r="I174" i="12"/>
  <c r="I178" i="12"/>
  <c r="I239" i="12"/>
  <c r="I246" i="12"/>
  <c r="I300" i="12"/>
  <c r="I331" i="12"/>
  <c r="J154" i="13"/>
  <c r="J208" i="13"/>
  <c r="J231" i="13"/>
  <c r="I157" i="12"/>
  <c r="I264" i="12"/>
  <c r="I63" i="16"/>
  <c r="D17" i="2"/>
  <c r="D27" i="2"/>
  <c r="D31" i="2"/>
  <c r="D21" i="2"/>
  <c r="D30" i="2"/>
  <c r="D23" i="2"/>
  <c r="D29" i="2"/>
  <c r="I115" i="5"/>
  <c r="D99" i="9" s="1"/>
  <c r="G99" i="9" s="1"/>
  <c r="I275" i="5"/>
  <c r="D259" i="9" s="1"/>
  <c r="G259" i="9" s="1"/>
  <c r="I420" i="5"/>
  <c r="D404" i="9" s="1"/>
  <c r="G404" i="9" s="1"/>
  <c r="I445" i="5"/>
  <c r="D429" i="9" s="1"/>
  <c r="G429" i="9" s="1"/>
  <c r="L465" i="5"/>
  <c r="N465" i="5" s="1"/>
  <c r="I465" i="5"/>
  <c r="D449" i="9" s="1"/>
  <c r="G449" i="9" s="1"/>
  <c r="L469" i="5"/>
  <c r="N469" i="5" s="1"/>
  <c r="I469" i="5"/>
  <c r="D453" i="9" s="1"/>
  <c r="G453" i="9" s="1"/>
  <c r="L473" i="5"/>
  <c r="I473" i="5"/>
  <c r="D457" i="9" s="1"/>
  <c r="G457" i="9" s="1"/>
  <c r="L477" i="5"/>
  <c r="I477" i="5"/>
  <c r="D461" i="9" s="1"/>
  <c r="G461" i="9" s="1"/>
  <c r="L481" i="5"/>
  <c r="I481" i="5"/>
  <c r="D465" i="9" s="1"/>
  <c r="G465" i="9" s="1"/>
  <c r="L485" i="5"/>
  <c r="I485" i="5"/>
  <c r="D469" i="9" s="1"/>
  <c r="G469" i="9" s="1"/>
  <c r="L489" i="5"/>
  <c r="I489" i="5"/>
  <c r="D473" i="9" s="1"/>
  <c r="G473" i="9" s="1"/>
  <c r="L493" i="5"/>
  <c r="N493" i="5" s="1"/>
  <c r="I493" i="5"/>
  <c r="D477" i="9" s="1"/>
  <c r="G477" i="9" s="1"/>
  <c r="L497" i="5"/>
  <c r="I497" i="5"/>
  <c r="D481" i="9" s="1"/>
  <c r="G481" i="9" s="1"/>
  <c r="N504" i="5"/>
  <c r="I518" i="5"/>
  <c r="D502" i="9" s="1"/>
  <c r="G502" i="9" s="1"/>
  <c r="L529" i="5"/>
  <c r="I529" i="5"/>
  <c r="D513" i="9" s="1"/>
  <c r="G513" i="9" s="1"/>
  <c r="N536" i="5"/>
  <c r="I550" i="5"/>
  <c r="D534" i="9" s="1"/>
  <c r="G534" i="9" s="1"/>
  <c r="L561" i="5"/>
  <c r="N561" i="5" s="1"/>
  <c r="I561" i="5"/>
  <c r="N568" i="5"/>
  <c r="L593" i="5"/>
  <c r="N593" i="5" s="1"/>
  <c r="I593" i="5"/>
  <c r="N600" i="5"/>
  <c r="L607" i="5"/>
  <c r="N607" i="5" s="1"/>
  <c r="I607" i="5"/>
  <c r="N473" i="5"/>
  <c r="N477" i="5"/>
  <c r="N481" i="5"/>
  <c r="N485" i="5"/>
  <c r="N489" i="5"/>
  <c r="N497" i="5"/>
  <c r="I504" i="5"/>
  <c r="D488" i="9" s="1"/>
  <c r="G488" i="9" s="1"/>
  <c r="L515" i="5"/>
  <c r="N515" i="5" s="1"/>
  <c r="I515" i="5"/>
  <c r="D499" i="9" s="1"/>
  <c r="G499" i="9" s="1"/>
  <c r="N529" i="5"/>
  <c r="I536" i="5"/>
  <c r="D520" i="9" s="1"/>
  <c r="G520" i="9" s="1"/>
  <c r="L547" i="5"/>
  <c r="I547" i="5"/>
  <c r="D531" i="9" s="1"/>
  <c r="G531" i="9" s="1"/>
  <c r="L579" i="5"/>
  <c r="I579" i="5"/>
  <c r="B3" i="1"/>
  <c r="I67" i="5"/>
  <c r="D51" i="9" s="1"/>
  <c r="G51" i="9" s="1"/>
  <c r="I211" i="5"/>
  <c r="D195" i="9" s="1"/>
  <c r="G195" i="9" s="1"/>
  <c r="I222" i="5"/>
  <c r="D206" i="9" s="1"/>
  <c r="G206" i="9" s="1"/>
  <c r="I264" i="5"/>
  <c r="D248" i="9" s="1"/>
  <c r="G248" i="9" s="1"/>
  <c r="N417" i="5"/>
  <c r="I432" i="5"/>
  <c r="D416" i="9" s="1"/>
  <c r="G416" i="9" s="1"/>
  <c r="I458" i="5"/>
  <c r="D442" i="9" s="1"/>
  <c r="G442" i="9" s="1"/>
  <c r="L501" i="5"/>
  <c r="I501" i="5"/>
  <c r="D485" i="9" s="1"/>
  <c r="G485" i="9" s="1"/>
  <c r="I522" i="5"/>
  <c r="D506" i="9" s="1"/>
  <c r="G506" i="9" s="1"/>
  <c r="L533" i="5"/>
  <c r="I533" i="5"/>
  <c r="D517" i="9" s="1"/>
  <c r="G517" i="9" s="1"/>
  <c r="N547" i="5"/>
  <c r="I554" i="5"/>
  <c r="L565" i="5"/>
  <c r="N565" i="5" s="1"/>
  <c r="I565" i="5"/>
  <c r="N579" i="5"/>
  <c r="L597" i="5"/>
  <c r="I597" i="5"/>
  <c r="I126" i="5"/>
  <c r="D110" i="9" s="1"/>
  <c r="G110" i="9" s="1"/>
  <c r="I233" i="5"/>
  <c r="D217" i="9" s="1"/>
  <c r="G217" i="9" s="1"/>
  <c r="I291" i="5"/>
  <c r="D275" i="9" s="1"/>
  <c r="G275" i="9" s="1"/>
  <c r="L414" i="5"/>
  <c r="I414" i="5"/>
  <c r="N501" i="5"/>
  <c r="L519" i="5"/>
  <c r="I519" i="5"/>
  <c r="D503" i="9" s="1"/>
  <c r="G503" i="9" s="1"/>
  <c r="N533" i="5"/>
  <c r="L551" i="5"/>
  <c r="N551" i="5" s="1"/>
  <c r="I551" i="5"/>
  <c r="D535" i="9" s="1"/>
  <c r="G535" i="9" s="1"/>
  <c r="L583" i="5"/>
  <c r="N583" i="5" s="1"/>
  <c r="I583" i="5"/>
  <c r="N597" i="5"/>
  <c r="N610" i="5"/>
  <c r="I147" i="5"/>
  <c r="D131" i="9" s="1"/>
  <c r="G131" i="9" s="1"/>
  <c r="I179" i="5"/>
  <c r="D163" i="9" s="1"/>
  <c r="G163" i="9" s="1"/>
  <c r="I452" i="5"/>
  <c r="D436" i="9" s="1"/>
  <c r="G436" i="9" s="1"/>
  <c r="L505" i="5"/>
  <c r="N505" i="5" s="1"/>
  <c r="I505" i="5"/>
  <c r="D489" i="9" s="1"/>
  <c r="G489" i="9" s="1"/>
  <c r="N512" i="5"/>
  <c r="N519" i="5"/>
  <c r="I526" i="5"/>
  <c r="D510" i="9" s="1"/>
  <c r="G510" i="9" s="1"/>
  <c r="L537" i="5"/>
  <c r="I537" i="5"/>
  <c r="D521" i="9" s="1"/>
  <c r="G521" i="9" s="1"/>
  <c r="N544" i="5"/>
  <c r="I558" i="5"/>
  <c r="L569" i="5"/>
  <c r="N569" i="5" s="1"/>
  <c r="I569" i="5"/>
  <c r="N576" i="5"/>
  <c r="L601" i="5"/>
  <c r="I601" i="5"/>
  <c r="L611" i="5"/>
  <c r="N611" i="5" s="1"/>
  <c r="I611" i="5"/>
  <c r="N494" i="5"/>
  <c r="N498" i="5"/>
  <c r="I512" i="5"/>
  <c r="D496" i="9" s="1"/>
  <c r="G496" i="9" s="1"/>
  <c r="L523" i="5"/>
  <c r="N523" i="5" s="1"/>
  <c r="I523" i="5"/>
  <c r="D507" i="9" s="1"/>
  <c r="G507" i="9" s="1"/>
  <c r="N537" i="5"/>
  <c r="I544" i="5"/>
  <c r="D528" i="9" s="1"/>
  <c r="G528" i="9" s="1"/>
  <c r="L555" i="5"/>
  <c r="N555" i="5" s="1"/>
  <c r="I555" i="5"/>
  <c r="L587" i="5"/>
  <c r="I587" i="5"/>
  <c r="N601" i="5"/>
  <c r="I99" i="5"/>
  <c r="D83" i="9" s="1"/>
  <c r="G83" i="9" s="1"/>
  <c r="I158" i="5"/>
  <c r="D142" i="9" s="1"/>
  <c r="G142" i="9" s="1"/>
  <c r="I190" i="5"/>
  <c r="D174" i="9" s="1"/>
  <c r="G174" i="9" s="1"/>
  <c r="N303" i="5"/>
  <c r="I436" i="5"/>
  <c r="D420" i="9" s="1"/>
  <c r="G420" i="9" s="1"/>
  <c r="I462" i="5"/>
  <c r="D446" i="9" s="1"/>
  <c r="G446" i="9" s="1"/>
  <c r="I466" i="5"/>
  <c r="D450" i="9" s="1"/>
  <c r="G450" i="9" s="1"/>
  <c r="I470" i="5"/>
  <c r="D454" i="9" s="1"/>
  <c r="G454" i="9" s="1"/>
  <c r="I474" i="5"/>
  <c r="D458" i="9" s="1"/>
  <c r="G458" i="9" s="1"/>
  <c r="I478" i="5"/>
  <c r="D462" i="9" s="1"/>
  <c r="G462" i="9" s="1"/>
  <c r="I482" i="5"/>
  <c r="D466" i="9" s="1"/>
  <c r="G466" i="9" s="1"/>
  <c r="I486" i="5"/>
  <c r="D470" i="9" s="1"/>
  <c r="G470" i="9" s="1"/>
  <c r="L509" i="5"/>
  <c r="I509" i="5"/>
  <c r="D493" i="9" s="1"/>
  <c r="G493" i="9" s="1"/>
  <c r="L541" i="5"/>
  <c r="I541" i="5"/>
  <c r="D525" i="9" s="1"/>
  <c r="G525" i="9" s="1"/>
  <c r="L573" i="5"/>
  <c r="N573" i="5" s="1"/>
  <c r="I573" i="5"/>
  <c r="N587" i="5"/>
  <c r="L605" i="5"/>
  <c r="N605" i="5" s="1"/>
  <c r="I605" i="5"/>
  <c r="I645" i="5"/>
  <c r="L645" i="5"/>
  <c r="I430" i="5"/>
  <c r="D414" i="9" s="1"/>
  <c r="G414" i="9" s="1"/>
  <c r="I446" i="5"/>
  <c r="D430" i="9" s="1"/>
  <c r="G430" i="9" s="1"/>
  <c r="I453" i="5"/>
  <c r="D437" i="9" s="1"/>
  <c r="G437" i="9" s="1"/>
  <c r="N502" i="5"/>
  <c r="N509" i="5"/>
  <c r="I516" i="5"/>
  <c r="D500" i="9" s="1"/>
  <c r="G500" i="9" s="1"/>
  <c r="L527" i="5"/>
  <c r="N527" i="5" s="1"/>
  <c r="I527" i="5"/>
  <c r="D511" i="9" s="1"/>
  <c r="G511" i="9" s="1"/>
  <c r="N534" i="5"/>
  <c r="N541" i="5"/>
  <c r="I548" i="5"/>
  <c r="D532" i="9" s="1"/>
  <c r="G532" i="9" s="1"/>
  <c r="L559" i="5"/>
  <c r="N559" i="5" s="1"/>
  <c r="I559" i="5"/>
  <c r="N566" i="5"/>
  <c r="L591" i="5"/>
  <c r="I591" i="5"/>
  <c r="N598" i="5"/>
  <c r="I51" i="5"/>
  <c r="D35" i="9" s="1"/>
  <c r="G35" i="9" s="1"/>
  <c r="I227" i="5"/>
  <c r="D211" i="9" s="1"/>
  <c r="G211" i="9" s="1"/>
  <c r="I238" i="5"/>
  <c r="D222" i="9" s="1"/>
  <c r="G222" i="9" s="1"/>
  <c r="I249" i="5"/>
  <c r="D233" i="9" s="1"/>
  <c r="G233" i="9" s="1"/>
  <c r="I339" i="5"/>
  <c r="D323" i="9" s="1"/>
  <c r="G323" i="9" s="1"/>
  <c r="I355" i="5"/>
  <c r="D339" i="9" s="1"/>
  <c r="G339" i="9" s="1"/>
  <c r="I371" i="5"/>
  <c r="D355" i="9" s="1"/>
  <c r="G355" i="9" s="1"/>
  <c r="I387" i="5"/>
  <c r="D371" i="9" s="1"/>
  <c r="G371" i="9" s="1"/>
  <c r="I403" i="5"/>
  <c r="D387" i="9" s="1"/>
  <c r="G387" i="9" s="1"/>
  <c r="I456" i="5"/>
  <c r="D440" i="9" s="1"/>
  <c r="G440" i="9" s="1"/>
  <c r="L463" i="5"/>
  <c r="I463" i="5"/>
  <c r="D447" i="9" s="1"/>
  <c r="G447" i="9" s="1"/>
  <c r="L467" i="5"/>
  <c r="N467" i="5" s="1"/>
  <c r="I467" i="5"/>
  <c r="D451" i="9" s="1"/>
  <c r="G451" i="9" s="1"/>
  <c r="L471" i="5"/>
  <c r="N471" i="5" s="1"/>
  <c r="I471" i="5"/>
  <c r="D455" i="9" s="1"/>
  <c r="G455" i="9" s="1"/>
  <c r="L475" i="5"/>
  <c r="N475" i="5" s="1"/>
  <c r="I475" i="5"/>
  <c r="D459" i="9" s="1"/>
  <c r="G459" i="9" s="1"/>
  <c r="L479" i="5"/>
  <c r="I479" i="5"/>
  <c r="D463" i="9" s="1"/>
  <c r="G463" i="9" s="1"/>
  <c r="L483" i="5"/>
  <c r="N483" i="5" s="1"/>
  <c r="I483" i="5"/>
  <c r="D467" i="9" s="1"/>
  <c r="G467" i="9" s="1"/>
  <c r="L487" i="5"/>
  <c r="N487" i="5" s="1"/>
  <c r="I487" i="5"/>
  <c r="D471" i="9" s="1"/>
  <c r="G471" i="9" s="1"/>
  <c r="L491" i="5"/>
  <c r="N491" i="5" s="1"/>
  <c r="I491" i="5"/>
  <c r="D475" i="9" s="1"/>
  <c r="G475" i="9" s="1"/>
  <c r="L495" i="5"/>
  <c r="I495" i="5"/>
  <c r="D479" i="9" s="1"/>
  <c r="G479" i="9" s="1"/>
  <c r="I502" i="5"/>
  <c r="D486" i="9" s="1"/>
  <c r="G486" i="9" s="1"/>
  <c r="L513" i="5"/>
  <c r="I513" i="5"/>
  <c r="D497" i="9" s="1"/>
  <c r="G497" i="9" s="1"/>
  <c r="I534" i="5"/>
  <c r="D518" i="9" s="1"/>
  <c r="G518" i="9" s="1"/>
  <c r="L545" i="5"/>
  <c r="N545" i="5" s="1"/>
  <c r="I545" i="5"/>
  <c r="D529" i="9" s="1"/>
  <c r="G529" i="9" s="1"/>
  <c r="L577" i="5"/>
  <c r="N577" i="5" s="1"/>
  <c r="I577" i="5"/>
  <c r="N584" i="5"/>
  <c r="N591" i="5"/>
  <c r="N463" i="5"/>
  <c r="N479" i="5"/>
  <c r="N495" i="5"/>
  <c r="L499" i="5"/>
  <c r="N499" i="5" s="1"/>
  <c r="I499" i="5"/>
  <c r="D483" i="9" s="1"/>
  <c r="G483" i="9" s="1"/>
  <c r="N513" i="5"/>
  <c r="I520" i="5"/>
  <c r="D504" i="9" s="1"/>
  <c r="G504" i="9" s="1"/>
  <c r="L531" i="5"/>
  <c r="N531" i="5" s="1"/>
  <c r="I531" i="5"/>
  <c r="D515" i="9" s="1"/>
  <c r="G515" i="9" s="1"/>
  <c r="I552" i="5"/>
  <c r="L563" i="5"/>
  <c r="N563" i="5" s="1"/>
  <c r="I563" i="5"/>
  <c r="L595" i="5"/>
  <c r="N595" i="5" s="1"/>
  <c r="I595" i="5"/>
  <c r="I131" i="5"/>
  <c r="D115" i="9" s="1"/>
  <c r="G115" i="9" s="1"/>
  <c r="I253" i="5"/>
  <c r="D237" i="9" s="1"/>
  <c r="G237" i="9" s="1"/>
  <c r="I440" i="5"/>
  <c r="D424" i="9" s="1"/>
  <c r="G424" i="9" s="1"/>
  <c r="L447" i="5"/>
  <c r="I447" i="5"/>
  <c r="D431" i="9" s="1"/>
  <c r="G431" i="9" s="1"/>
  <c r="I450" i="5"/>
  <c r="D434" i="9" s="1"/>
  <c r="G434" i="9" s="1"/>
  <c r="I506" i="5"/>
  <c r="D490" i="9" s="1"/>
  <c r="G490" i="9" s="1"/>
  <c r="L517" i="5"/>
  <c r="N517" i="5" s="1"/>
  <c r="I517" i="5"/>
  <c r="D501" i="9" s="1"/>
  <c r="G501" i="9" s="1"/>
  <c r="I538" i="5"/>
  <c r="D522" i="9" s="1"/>
  <c r="G522" i="9" s="1"/>
  <c r="L549" i="5"/>
  <c r="I549" i="5"/>
  <c r="D533" i="9" s="1"/>
  <c r="G533" i="9" s="1"/>
  <c r="L581" i="5"/>
  <c r="I581" i="5"/>
  <c r="N588" i="5"/>
  <c r="L609" i="5"/>
  <c r="I609" i="5"/>
  <c r="I633" i="5"/>
  <c r="L633" i="5"/>
  <c r="N633" i="5" s="1"/>
  <c r="I431" i="5"/>
  <c r="D415" i="9" s="1"/>
  <c r="G415" i="9" s="1"/>
  <c r="N447" i="5"/>
  <c r="I457" i="5"/>
  <c r="D441" i="9" s="1"/>
  <c r="G441" i="9" s="1"/>
  <c r="L503" i="5"/>
  <c r="N503" i="5" s="1"/>
  <c r="I503" i="5"/>
  <c r="D487" i="9" s="1"/>
  <c r="G487" i="9" s="1"/>
  <c r="N510" i="5"/>
  <c r="I524" i="5"/>
  <c r="D508" i="9" s="1"/>
  <c r="G508" i="9" s="1"/>
  <c r="L535" i="5"/>
  <c r="N535" i="5" s="1"/>
  <c r="I535" i="5"/>
  <c r="D519" i="9" s="1"/>
  <c r="G519" i="9" s="1"/>
  <c r="N542" i="5"/>
  <c r="N549" i="5"/>
  <c r="I556" i="5"/>
  <c r="L567" i="5"/>
  <c r="N567" i="5" s="1"/>
  <c r="I567" i="5"/>
  <c r="N574" i="5"/>
  <c r="N581" i="5"/>
  <c r="L599" i="5"/>
  <c r="I599" i="5"/>
  <c r="N609" i="5"/>
  <c r="I83" i="5"/>
  <c r="D67" i="9" s="1"/>
  <c r="G67" i="9" s="1"/>
  <c r="I163" i="5"/>
  <c r="D147" i="9" s="1"/>
  <c r="G147" i="9" s="1"/>
  <c r="I195" i="5"/>
  <c r="D179" i="9" s="1"/>
  <c r="G179" i="9" s="1"/>
  <c r="I206" i="5"/>
  <c r="D190" i="9" s="1"/>
  <c r="G190" i="9" s="1"/>
  <c r="I270" i="5"/>
  <c r="D254" i="9" s="1"/>
  <c r="G254" i="9" s="1"/>
  <c r="I441" i="5"/>
  <c r="D425" i="9" s="1"/>
  <c r="G425" i="9" s="1"/>
  <c r="L521" i="5"/>
  <c r="I521" i="5"/>
  <c r="D505" i="9" s="1"/>
  <c r="G505" i="9" s="1"/>
  <c r="L553" i="5"/>
  <c r="I553" i="5"/>
  <c r="L585" i="5"/>
  <c r="N585" i="5" s="1"/>
  <c r="I585" i="5"/>
  <c r="N599" i="5"/>
  <c r="N726" i="5"/>
  <c r="I14" i="5"/>
  <c r="I142" i="5"/>
  <c r="D126" i="9" s="1"/>
  <c r="G126" i="9" s="1"/>
  <c r="I259" i="5"/>
  <c r="D243" i="9" s="1"/>
  <c r="G243" i="9" s="1"/>
  <c r="N484" i="5"/>
  <c r="N488" i="5"/>
  <c r="N492" i="5"/>
  <c r="N496" i="5"/>
  <c r="L507" i="5"/>
  <c r="I507" i="5"/>
  <c r="D491" i="9" s="1"/>
  <c r="G491" i="9" s="1"/>
  <c r="N514" i="5"/>
  <c r="N521" i="5"/>
  <c r="I528" i="5"/>
  <c r="D512" i="9" s="1"/>
  <c r="G512" i="9" s="1"/>
  <c r="L539" i="5"/>
  <c r="I539" i="5"/>
  <c r="D523" i="9" s="1"/>
  <c r="G523" i="9" s="1"/>
  <c r="N546" i="5"/>
  <c r="N553" i="5"/>
  <c r="I560" i="5"/>
  <c r="L571" i="5"/>
  <c r="I571" i="5"/>
  <c r="N578" i="5"/>
  <c r="L603" i="5"/>
  <c r="N603" i="5" s="1"/>
  <c r="I603" i="5"/>
  <c r="B24" i="2"/>
  <c r="D24" i="2" s="1"/>
  <c r="L253" i="5"/>
  <c r="N253" i="5" s="1"/>
  <c r="I454" i="5"/>
  <c r="D438" i="9" s="1"/>
  <c r="G438" i="9" s="1"/>
  <c r="I464" i="5"/>
  <c r="D448" i="9" s="1"/>
  <c r="G448" i="9" s="1"/>
  <c r="I468" i="5"/>
  <c r="D452" i="9" s="1"/>
  <c r="G452" i="9" s="1"/>
  <c r="I472" i="5"/>
  <c r="D456" i="9" s="1"/>
  <c r="G456" i="9" s="1"/>
  <c r="I476" i="5"/>
  <c r="D460" i="9" s="1"/>
  <c r="G460" i="9" s="1"/>
  <c r="I480" i="5"/>
  <c r="D464" i="9" s="1"/>
  <c r="G464" i="9" s="1"/>
  <c r="N507" i="5"/>
  <c r="L525" i="5"/>
  <c r="N525" i="5" s="1"/>
  <c r="I525" i="5"/>
  <c r="D509" i="9" s="1"/>
  <c r="G509" i="9" s="1"/>
  <c r="N539" i="5"/>
  <c r="L557" i="5"/>
  <c r="N557" i="5" s="1"/>
  <c r="I557" i="5"/>
  <c r="N571" i="5"/>
  <c r="L589" i="5"/>
  <c r="I589" i="5"/>
  <c r="I638" i="5"/>
  <c r="L638" i="5"/>
  <c r="N638" i="5" s="1"/>
  <c r="I94" i="5"/>
  <c r="D78" i="9" s="1"/>
  <c r="G78" i="9" s="1"/>
  <c r="I286" i="5"/>
  <c r="D270" i="9" s="1"/>
  <c r="G270" i="9" s="1"/>
  <c r="I349" i="5"/>
  <c r="D333" i="9" s="1"/>
  <c r="G333" i="9" s="1"/>
  <c r="I365" i="5"/>
  <c r="D349" i="9" s="1"/>
  <c r="G349" i="9" s="1"/>
  <c r="I381" i="5"/>
  <c r="D365" i="9" s="1"/>
  <c r="G365" i="9" s="1"/>
  <c r="I397" i="5"/>
  <c r="D381" i="9" s="1"/>
  <c r="G381" i="9" s="1"/>
  <c r="I435" i="5"/>
  <c r="D419" i="9" s="1"/>
  <c r="G419" i="9" s="1"/>
  <c r="I461" i="5"/>
  <c r="D445" i="9" s="1"/>
  <c r="G445" i="9" s="1"/>
  <c r="I500" i="5"/>
  <c r="D484" i="9" s="1"/>
  <c r="G484" i="9" s="1"/>
  <c r="L511" i="5"/>
  <c r="N511" i="5" s="1"/>
  <c r="I511" i="5"/>
  <c r="D495" i="9" s="1"/>
  <c r="G495" i="9" s="1"/>
  <c r="I532" i="5"/>
  <c r="D516" i="9" s="1"/>
  <c r="G516" i="9" s="1"/>
  <c r="L543" i="5"/>
  <c r="N543" i="5" s="1"/>
  <c r="I543" i="5"/>
  <c r="D527" i="9" s="1"/>
  <c r="G527" i="9" s="1"/>
  <c r="L575" i="5"/>
  <c r="N575" i="5" s="1"/>
  <c r="I575" i="5"/>
  <c r="N582" i="5"/>
  <c r="N589" i="5"/>
  <c r="I626" i="5"/>
  <c r="L626" i="5"/>
  <c r="N626" i="5" s="1"/>
  <c r="N628" i="5"/>
  <c r="N657" i="5"/>
  <c r="L717" i="5"/>
  <c r="I758" i="5"/>
  <c r="I763" i="5"/>
  <c r="I768" i="5"/>
  <c r="I612" i="5"/>
  <c r="I622" i="5"/>
  <c r="I629" i="5"/>
  <c r="L632" i="5"/>
  <c r="L639" i="5"/>
  <c r="N639" i="5" s="1"/>
  <c r="N643" i="5"/>
  <c r="I654" i="5"/>
  <c r="L664" i="5"/>
  <c r="N664" i="5" s="1"/>
  <c r="L671" i="5"/>
  <c r="N671" i="5" s="1"/>
  <c r="N675" i="5"/>
  <c r="I686" i="5"/>
  <c r="L696" i="5"/>
  <c r="N696" i="5" s="1"/>
  <c r="L703" i="5"/>
  <c r="N707" i="5"/>
  <c r="I718" i="5"/>
  <c r="I778" i="5"/>
  <c r="I783" i="5"/>
  <c r="I615" i="5"/>
  <c r="N629" i="5"/>
  <c r="N632" i="5"/>
  <c r="I640" i="5"/>
  <c r="I647" i="5"/>
  <c r="N661" i="5"/>
  <c r="I672" i="5"/>
  <c r="I679" i="5"/>
  <c r="N693" i="5"/>
  <c r="I704" i="5"/>
  <c r="I711" i="5"/>
  <c r="N725" i="5"/>
  <c r="I734" i="5"/>
  <c r="I739" i="5"/>
  <c r="I744" i="5"/>
  <c r="I658" i="5"/>
  <c r="L675" i="5"/>
  <c r="L707" i="5"/>
  <c r="I722" i="5"/>
  <c r="I754" i="5"/>
  <c r="I759" i="5"/>
  <c r="I764" i="5"/>
  <c r="N636" i="5"/>
  <c r="N668" i="5"/>
  <c r="I676" i="5"/>
  <c r="N697" i="5"/>
  <c r="N700" i="5"/>
  <c r="I708" i="5"/>
  <c r="I774" i="5"/>
  <c r="I779" i="5"/>
  <c r="I784" i="5"/>
  <c r="G191" i="13"/>
  <c r="G191" i="12"/>
  <c r="G237" i="13"/>
  <c r="G237" i="12"/>
  <c r="G278" i="13"/>
  <c r="G278" i="12"/>
  <c r="L612" i="5"/>
  <c r="N612" i="5" s="1"/>
  <c r="L615" i="5"/>
  <c r="N615" i="5" s="1"/>
  <c r="N619" i="5"/>
  <c r="L640" i="5"/>
  <c r="N640" i="5" s="1"/>
  <c r="L647" i="5"/>
  <c r="N647" i="5" s="1"/>
  <c r="I662" i="5"/>
  <c r="I694" i="5"/>
  <c r="I726" i="5"/>
  <c r="I616" i="5"/>
  <c r="I623" i="5"/>
  <c r="N637" i="5"/>
  <c r="I648" i="5"/>
  <c r="I655" i="5"/>
  <c r="L658" i="5"/>
  <c r="N658" i="5" s="1"/>
  <c r="L665" i="5"/>
  <c r="N665" i="5" s="1"/>
  <c r="N669" i="5"/>
  <c r="I680" i="5"/>
  <c r="I687" i="5"/>
  <c r="L690" i="5"/>
  <c r="N690" i="5" s="1"/>
  <c r="L697" i="5"/>
  <c r="I712" i="5"/>
  <c r="I719" i="5"/>
  <c r="L722" i="5"/>
  <c r="N722" i="5" s="1"/>
  <c r="I750" i="5"/>
  <c r="I755" i="5"/>
  <c r="I760" i="5"/>
  <c r="G160" i="13"/>
  <c r="G160" i="12"/>
  <c r="G12" i="13"/>
  <c r="G12" i="12"/>
  <c r="G233" i="13"/>
  <c r="G233" i="12"/>
  <c r="G148" i="13"/>
  <c r="G148" i="12"/>
  <c r="G202" i="13"/>
  <c r="G202" i="12"/>
  <c r="G186" i="13"/>
  <c r="G186" i="12"/>
  <c r="L619" i="5"/>
  <c r="N623" i="5"/>
  <c r="L644" i="5"/>
  <c r="N644" i="5" s="1"/>
  <c r="L651" i="5"/>
  <c r="N651" i="5" s="1"/>
  <c r="L683" i="5"/>
  <c r="N683" i="5" s="1"/>
  <c r="N687" i="5"/>
  <c r="L715" i="5"/>
  <c r="N715" i="5" s="1"/>
  <c r="I770" i="5"/>
  <c r="I775" i="5"/>
  <c r="I780" i="5"/>
  <c r="I613" i="5"/>
  <c r="I620" i="5"/>
  <c r="I627" i="5"/>
  <c r="N641" i="5"/>
  <c r="I652" i="5"/>
  <c r="I659" i="5"/>
  <c r="L662" i="5"/>
  <c r="N662" i="5" s="1"/>
  <c r="L669" i="5"/>
  <c r="N673" i="5"/>
  <c r="I684" i="5"/>
  <c r="I691" i="5"/>
  <c r="L694" i="5"/>
  <c r="N694" i="5" s="1"/>
  <c r="L701" i="5"/>
  <c r="N701" i="5" s="1"/>
  <c r="I716" i="5"/>
  <c r="I723" i="5"/>
  <c r="L726" i="5"/>
  <c r="I670" i="5"/>
  <c r="I677" i="5"/>
  <c r="L680" i="5"/>
  <c r="N680" i="5" s="1"/>
  <c r="L687" i="5"/>
  <c r="N691" i="5"/>
  <c r="I702" i="5"/>
  <c r="I709" i="5"/>
  <c r="L712" i="5"/>
  <c r="N712" i="5" s="1"/>
  <c r="L719" i="5"/>
  <c r="N719" i="5" s="1"/>
  <c r="N723" i="5"/>
  <c r="I746" i="5"/>
  <c r="I751" i="5"/>
  <c r="I756" i="5"/>
  <c r="N616" i="5"/>
  <c r="N645" i="5"/>
  <c r="N648" i="5"/>
  <c r="I656" i="5"/>
  <c r="I663" i="5"/>
  <c r="L666" i="5"/>
  <c r="L673" i="5"/>
  <c r="N677" i="5"/>
  <c r="I688" i="5"/>
  <c r="I695" i="5"/>
  <c r="L698" i="5"/>
  <c r="N698" i="5" s="1"/>
  <c r="L705" i="5"/>
  <c r="N705" i="5" s="1"/>
  <c r="N709" i="5"/>
  <c r="I720" i="5"/>
  <c r="I727" i="5"/>
  <c r="I766" i="5"/>
  <c r="I771" i="5"/>
  <c r="I776" i="5"/>
  <c r="N631" i="5"/>
  <c r="N634" i="5"/>
  <c r="N666" i="5"/>
  <c r="I674" i="5"/>
  <c r="I681" i="5"/>
  <c r="I706" i="5"/>
  <c r="I713" i="5"/>
  <c r="I732" i="5"/>
  <c r="N617" i="5"/>
  <c r="N649" i="5"/>
  <c r="N681" i="5"/>
  <c r="N713" i="5"/>
  <c r="I742" i="5"/>
  <c r="I747" i="5"/>
  <c r="I752" i="5"/>
  <c r="I614" i="5"/>
  <c r="I621" i="5"/>
  <c r="L624" i="5"/>
  <c r="N624" i="5" s="1"/>
  <c r="L631" i="5"/>
  <c r="I646" i="5"/>
  <c r="I653" i="5"/>
  <c r="L656" i="5"/>
  <c r="N656" i="5" s="1"/>
  <c r="N667" i="5"/>
  <c r="N670" i="5"/>
  <c r="N702" i="5"/>
  <c r="I762" i="5"/>
  <c r="I767" i="5"/>
  <c r="I772" i="5"/>
  <c r="L617" i="5"/>
  <c r="N621" i="5"/>
  <c r="L642" i="5"/>
  <c r="N642" i="5" s="1"/>
  <c r="L649" i="5"/>
  <c r="N653" i="5"/>
  <c r="L674" i="5"/>
  <c r="N674" i="5" s="1"/>
  <c r="L681" i="5"/>
  <c r="N685" i="5"/>
  <c r="L706" i="5"/>
  <c r="N706" i="5" s="1"/>
  <c r="L713" i="5"/>
  <c r="N717" i="5"/>
  <c r="I782" i="5"/>
  <c r="I618" i="5"/>
  <c r="I625" i="5"/>
  <c r="L628" i="5"/>
  <c r="L635" i="5"/>
  <c r="N635" i="5" s="1"/>
  <c r="I650" i="5"/>
  <c r="I657" i="5"/>
  <c r="L660" i="5"/>
  <c r="N660" i="5" s="1"/>
  <c r="L667" i="5"/>
  <c r="I682" i="5"/>
  <c r="I689" i="5"/>
  <c r="L692" i="5"/>
  <c r="N692" i="5" s="1"/>
  <c r="L699" i="5"/>
  <c r="N699" i="5" s="1"/>
  <c r="N703" i="5"/>
  <c r="I714" i="5"/>
  <c r="I721" i="5"/>
  <c r="L724" i="5"/>
  <c r="N724" i="5" s="1"/>
  <c r="I738" i="5"/>
  <c r="I743" i="5"/>
  <c r="I748" i="5"/>
  <c r="G194" i="13"/>
  <c r="G194" i="12"/>
  <c r="G239" i="13"/>
  <c r="G239" i="12"/>
  <c r="G280" i="13"/>
  <c r="G280" i="12"/>
  <c r="G224" i="13"/>
  <c r="G224" i="12"/>
  <c r="G157" i="13"/>
  <c r="G157" i="12"/>
  <c r="G11" i="13"/>
  <c r="G11" i="12"/>
  <c r="G242" i="13"/>
  <c r="G242" i="12"/>
  <c r="G207" i="13"/>
  <c r="G207" i="12"/>
  <c r="G219" i="13"/>
  <c r="G219" i="12"/>
  <c r="G154" i="13"/>
  <c r="G154" i="12"/>
  <c r="G9" i="13"/>
  <c r="G9" i="12"/>
  <c r="G187" i="13"/>
  <c r="G187" i="12"/>
  <c r="G147" i="13"/>
  <c r="G147" i="12"/>
  <c r="G201" i="13"/>
  <c r="G201" i="12"/>
  <c r="G297" i="13"/>
  <c r="G297" i="12"/>
  <c r="G299" i="13"/>
  <c r="G299" i="12"/>
  <c r="G193" i="13"/>
  <c r="G193" i="12"/>
  <c r="G235" i="13"/>
  <c r="G235" i="12"/>
  <c r="G279" i="13"/>
  <c r="G279" i="12"/>
  <c r="G152" i="13"/>
  <c r="G152" i="12"/>
  <c r="G238" i="13"/>
  <c r="G238" i="12"/>
  <c r="G192" i="13"/>
  <c r="G192" i="12"/>
  <c r="G3" i="13"/>
  <c r="G3" i="12"/>
  <c r="G184" i="13"/>
  <c r="G184" i="12"/>
  <c r="G245" i="13"/>
  <c r="G245" i="12"/>
  <c r="G208" i="13"/>
  <c r="G208" i="12"/>
  <c r="G274" i="13"/>
  <c r="G274" i="12"/>
  <c r="G220" i="13"/>
  <c r="G220" i="12"/>
  <c r="G155" i="13"/>
  <c r="G155" i="12"/>
  <c r="G7" i="13"/>
  <c r="G7" i="12"/>
  <c r="G185" i="13"/>
  <c r="G185" i="12"/>
  <c r="G153" i="13"/>
  <c r="G153" i="12"/>
  <c r="G241" i="13"/>
  <c r="G241" i="12"/>
  <c r="G296" i="13"/>
  <c r="G296" i="12"/>
  <c r="G195" i="13"/>
  <c r="G195" i="12"/>
  <c r="G236" i="13"/>
  <c r="G236" i="12"/>
  <c r="G200" i="13"/>
  <c r="G200" i="12"/>
  <c r="G149" i="13"/>
  <c r="G149" i="12"/>
  <c r="G189" i="13"/>
  <c r="G189" i="12"/>
  <c r="G5" i="13"/>
  <c r="G5" i="12"/>
  <c r="G188" i="13"/>
  <c r="G188" i="12"/>
  <c r="G246" i="13"/>
  <c r="G246" i="12"/>
  <c r="G150" i="13"/>
  <c r="G150" i="12"/>
  <c r="G221" i="13"/>
  <c r="G221" i="12"/>
  <c r="G159" i="13"/>
  <c r="G159" i="12"/>
  <c r="G6" i="13"/>
  <c r="G6" i="12"/>
  <c r="G203" i="13"/>
  <c r="G203" i="12"/>
  <c r="G240" i="13"/>
  <c r="G240" i="12"/>
  <c r="G300" i="13"/>
  <c r="G300" i="12"/>
  <c r="G298" i="13"/>
  <c r="G298" i="12"/>
  <c r="G10" i="13"/>
  <c r="G10" i="12"/>
  <c r="G196" i="13"/>
  <c r="G196" i="12"/>
  <c r="G231" i="13"/>
  <c r="G231" i="12"/>
  <c r="G199" i="13"/>
  <c r="G199" i="12"/>
  <c r="G190" i="13"/>
  <c r="G190" i="12"/>
  <c r="G232" i="13"/>
  <c r="G232" i="12"/>
  <c r="G183" i="13"/>
  <c r="G183" i="12"/>
  <c r="G276" i="13"/>
  <c r="G276" i="12"/>
  <c r="G151" i="13"/>
  <c r="G151" i="12"/>
  <c r="G222" i="13"/>
  <c r="G222" i="12"/>
  <c r="G156" i="13"/>
  <c r="G156" i="12"/>
  <c r="G4" i="13"/>
  <c r="G4" i="12"/>
  <c r="G182" i="13"/>
  <c r="G182" i="12"/>
  <c r="G243" i="13"/>
  <c r="G243" i="12"/>
  <c r="G204" i="13"/>
  <c r="G204" i="12"/>
  <c r="G205" i="13"/>
  <c r="G205" i="12"/>
  <c r="G197" i="13"/>
  <c r="G197" i="12"/>
  <c r="G234" i="13"/>
  <c r="G234" i="12"/>
  <c r="G198" i="13"/>
  <c r="G198" i="12"/>
  <c r="G223" i="13"/>
  <c r="G223" i="12"/>
  <c r="G158" i="13"/>
  <c r="G158" i="12"/>
  <c r="G8" i="13"/>
  <c r="G8" i="12"/>
  <c r="G244" i="13"/>
  <c r="G244" i="12"/>
  <c r="G206" i="13"/>
  <c r="G206" i="12"/>
  <c r="J259" i="16"/>
  <c r="I259" i="16" s="1"/>
  <c r="L274" i="13"/>
  <c r="K274" i="13" s="1"/>
  <c r="K274" i="12"/>
  <c r="J274" i="12" s="1"/>
  <c r="J160" i="16"/>
  <c r="I160" i="16" s="1"/>
  <c r="L169" i="13"/>
  <c r="K169" i="13" s="1"/>
  <c r="K169" i="12"/>
  <c r="J169" i="12" s="1"/>
  <c r="L206" i="13"/>
  <c r="K206" i="13" s="1"/>
  <c r="K206" i="12"/>
  <c r="J206" i="12" s="1"/>
  <c r="J73" i="16"/>
  <c r="L82" i="13"/>
  <c r="K82" i="13" s="1"/>
  <c r="K82" i="12"/>
  <c r="J82" i="12" s="1"/>
  <c r="J100" i="16"/>
  <c r="L109" i="13"/>
  <c r="K109" i="13" s="1"/>
  <c r="K109" i="12"/>
  <c r="J109" i="12" s="1"/>
  <c r="J281" i="16"/>
  <c r="I281" i="16" s="1"/>
  <c r="L296" i="13"/>
  <c r="K296" i="13" s="1"/>
  <c r="K296" i="12"/>
  <c r="J296" i="12" s="1"/>
  <c r="J221" i="16"/>
  <c r="I221" i="16" s="1"/>
  <c r="L234" i="13"/>
  <c r="K234" i="13" s="1"/>
  <c r="K234" i="12"/>
  <c r="J234" i="12" s="1"/>
  <c r="L255" i="13"/>
  <c r="K255" i="13" s="1"/>
  <c r="K255" i="12"/>
  <c r="J255" i="12" s="1"/>
  <c r="J276" i="16"/>
  <c r="I276" i="16" s="1"/>
  <c r="L291" i="13"/>
  <c r="K291" i="13" s="1"/>
  <c r="K291" i="12"/>
  <c r="J291" i="12" s="1"/>
  <c r="J50" i="16"/>
  <c r="I50" i="16" s="1"/>
  <c r="L50" i="13"/>
  <c r="K50" i="13" s="1"/>
  <c r="K50" i="12"/>
  <c r="J50" i="12" s="1"/>
  <c r="J208" i="16"/>
  <c r="L221" i="13"/>
  <c r="K221" i="13" s="1"/>
  <c r="K221" i="12"/>
  <c r="J221" i="12" s="1"/>
  <c r="J4" i="16"/>
  <c r="I4" i="16" s="1"/>
  <c r="L4" i="13"/>
  <c r="K4" i="13" s="1"/>
  <c r="K4" i="12"/>
  <c r="J4" i="12" s="1"/>
  <c r="J175" i="16"/>
  <c r="I175" i="16" s="1"/>
  <c r="L184" i="13"/>
  <c r="K184" i="13" s="1"/>
  <c r="K184" i="12"/>
  <c r="J184" i="12" s="1"/>
  <c r="J147" i="16"/>
  <c r="I147" i="16" s="1"/>
  <c r="L156" i="13"/>
  <c r="K156" i="13" s="1"/>
  <c r="K156" i="12"/>
  <c r="J156" i="12" s="1"/>
  <c r="J139" i="16"/>
  <c r="I139" i="16" s="1"/>
  <c r="L148" i="13"/>
  <c r="K148" i="13" s="1"/>
  <c r="K148" i="12"/>
  <c r="J148" i="12" s="1"/>
  <c r="J202" i="16"/>
  <c r="L215" i="13"/>
  <c r="K215" i="13" s="1"/>
  <c r="K215" i="12"/>
  <c r="J215" i="12" s="1"/>
  <c r="L74" i="13"/>
  <c r="K74" i="13" s="1"/>
  <c r="K74" i="12"/>
  <c r="J74" i="12" s="1"/>
  <c r="J271" i="16"/>
  <c r="I271" i="16" s="1"/>
  <c r="L286" i="13"/>
  <c r="K286" i="13" s="1"/>
  <c r="K286" i="12"/>
  <c r="J286" i="12" s="1"/>
  <c r="J315" i="16"/>
  <c r="I315" i="16" s="1"/>
  <c r="L330" i="13"/>
  <c r="K330" i="13" s="1"/>
  <c r="K330" i="12"/>
  <c r="J330" i="12" s="1"/>
  <c r="J225" i="16"/>
  <c r="I225" i="16" s="1"/>
  <c r="L238" i="13"/>
  <c r="K238" i="13" s="1"/>
  <c r="K238" i="12"/>
  <c r="J238" i="12" s="1"/>
  <c r="J87" i="16"/>
  <c r="L96" i="13"/>
  <c r="K96" i="13" s="1"/>
  <c r="K96" i="12"/>
  <c r="J96" i="12" s="1"/>
  <c r="J184" i="16"/>
  <c r="I184" i="16" s="1"/>
  <c r="L193" i="13"/>
  <c r="K193" i="13" s="1"/>
  <c r="K193" i="12"/>
  <c r="J193" i="12" s="1"/>
  <c r="J102" i="16"/>
  <c r="L111" i="13"/>
  <c r="K111" i="13" s="1"/>
  <c r="K111" i="12"/>
  <c r="J111" i="12" s="1"/>
  <c r="J180" i="16"/>
  <c r="I180" i="16" s="1"/>
  <c r="L189" i="13"/>
  <c r="K189" i="13" s="1"/>
  <c r="K189" i="12"/>
  <c r="J189" i="12" s="1"/>
  <c r="J3" i="16"/>
  <c r="L3" i="13"/>
  <c r="K3" i="13" s="1"/>
  <c r="K3" i="12"/>
  <c r="J3" i="12" s="1"/>
  <c r="J149" i="16"/>
  <c r="I149" i="16" s="1"/>
  <c r="L158" i="13"/>
  <c r="K158" i="13" s="1"/>
  <c r="K158" i="12"/>
  <c r="J158" i="12" s="1"/>
  <c r="J282" i="16"/>
  <c r="I282" i="16" s="1"/>
  <c r="L297" i="13"/>
  <c r="K297" i="13" s="1"/>
  <c r="K297" i="12"/>
  <c r="J297" i="12" s="1"/>
  <c r="J247" i="16"/>
  <c r="I247" i="16" s="1"/>
  <c r="L260" i="13"/>
  <c r="K260" i="13" s="1"/>
  <c r="K260" i="12"/>
  <c r="J260" i="12" s="1"/>
  <c r="J277" i="16"/>
  <c r="I277" i="16" s="1"/>
  <c r="L292" i="13"/>
  <c r="K292" i="13" s="1"/>
  <c r="K292" i="12"/>
  <c r="J292" i="12" s="1"/>
  <c r="J243" i="16"/>
  <c r="I243" i="16" s="1"/>
  <c r="L256" i="13"/>
  <c r="K256" i="13" s="1"/>
  <c r="K256" i="12"/>
  <c r="J256" i="12" s="1"/>
  <c r="L205" i="13"/>
  <c r="K205" i="13" s="1"/>
  <c r="K205" i="12"/>
  <c r="J205" i="12" s="1"/>
  <c r="J256" i="16"/>
  <c r="I256" i="16" s="1"/>
  <c r="L269" i="13"/>
  <c r="K269" i="13" s="1"/>
  <c r="K269" i="12"/>
  <c r="J269" i="12" s="1"/>
  <c r="J176" i="16"/>
  <c r="I176" i="16" s="1"/>
  <c r="L185" i="13"/>
  <c r="K185" i="13" s="1"/>
  <c r="K185" i="12"/>
  <c r="J185" i="12" s="1"/>
  <c r="J186" i="16"/>
  <c r="I186" i="16" s="1"/>
  <c r="L195" i="13"/>
  <c r="K195" i="13" s="1"/>
  <c r="K195" i="12"/>
  <c r="J195" i="12" s="1"/>
  <c r="L76" i="13"/>
  <c r="K76" i="13" s="1"/>
  <c r="K76" i="12"/>
  <c r="J76" i="12" s="1"/>
  <c r="J272" i="16"/>
  <c r="I272" i="16" s="1"/>
  <c r="L287" i="13"/>
  <c r="K287" i="13" s="1"/>
  <c r="K287" i="12"/>
  <c r="J287" i="12" s="1"/>
  <c r="J81" i="16"/>
  <c r="L90" i="13"/>
  <c r="K90" i="13" s="1"/>
  <c r="K90" i="12"/>
  <c r="J90" i="12" s="1"/>
  <c r="J42" i="16"/>
  <c r="L42" i="13"/>
  <c r="K42" i="13" s="1"/>
  <c r="K42" i="12"/>
  <c r="J42" i="12" s="1"/>
  <c r="J51" i="16"/>
  <c r="I51" i="16" s="1"/>
  <c r="L51" i="13"/>
  <c r="K51" i="13" s="1"/>
  <c r="K51" i="12"/>
  <c r="J51" i="12" s="1"/>
  <c r="J261" i="16"/>
  <c r="I261" i="16" s="1"/>
  <c r="L276" i="13"/>
  <c r="K276" i="13" s="1"/>
  <c r="K276" i="12"/>
  <c r="J276" i="12" s="1"/>
  <c r="J209" i="16"/>
  <c r="L222" i="13"/>
  <c r="K222" i="13" s="1"/>
  <c r="K222" i="12"/>
  <c r="J222" i="12" s="1"/>
  <c r="L73" i="13"/>
  <c r="K73" i="13" s="1"/>
  <c r="K73" i="12"/>
  <c r="J73" i="12" s="1"/>
  <c r="J240" i="16"/>
  <c r="I240" i="16" s="1"/>
  <c r="L252" i="13"/>
  <c r="K252" i="13" s="1"/>
  <c r="K252" i="12"/>
  <c r="J252" i="12" s="1"/>
  <c r="L70" i="13"/>
  <c r="K70" i="13" s="1"/>
  <c r="K70" i="12"/>
  <c r="J70" i="12" s="1"/>
  <c r="J285" i="16"/>
  <c r="I285" i="16" s="1"/>
  <c r="L300" i="13"/>
  <c r="K300" i="13" s="1"/>
  <c r="K300" i="12"/>
  <c r="J300" i="12" s="1"/>
  <c r="J88" i="16"/>
  <c r="L97" i="13"/>
  <c r="K97" i="13" s="1"/>
  <c r="K97" i="12"/>
  <c r="J97" i="12" s="1"/>
  <c r="J278" i="16"/>
  <c r="I278" i="16" s="1"/>
  <c r="L293" i="13"/>
  <c r="K293" i="13" s="1"/>
  <c r="K293" i="12"/>
  <c r="J293" i="12" s="1"/>
  <c r="J150" i="16"/>
  <c r="I150" i="16" s="1"/>
  <c r="L159" i="13"/>
  <c r="K159" i="13" s="1"/>
  <c r="K159" i="12"/>
  <c r="J159" i="12" s="1"/>
  <c r="J157" i="16"/>
  <c r="I157" i="16" s="1"/>
  <c r="L166" i="13"/>
  <c r="K166" i="13" s="1"/>
  <c r="K166" i="12"/>
  <c r="J166" i="12" s="1"/>
  <c r="J33" i="16"/>
  <c r="L33" i="13"/>
  <c r="K33" i="13" s="1"/>
  <c r="K33" i="12"/>
  <c r="J33" i="12" s="1"/>
  <c r="J273" i="16"/>
  <c r="I273" i="16" s="1"/>
  <c r="L288" i="13"/>
  <c r="K288" i="13" s="1"/>
  <c r="K288" i="12"/>
  <c r="J288" i="12" s="1"/>
  <c r="J165" i="16"/>
  <c r="I165" i="16" s="1"/>
  <c r="L174" i="13"/>
  <c r="K174" i="13" s="1"/>
  <c r="K174" i="12"/>
  <c r="J174" i="12" s="1"/>
  <c r="J319" i="16"/>
  <c r="I319" i="16" s="1"/>
  <c r="L334" i="13"/>
  <c r="K334" i="13" s="1"/>
  <c r="K334" i="12"/>
  <c r="J334" i="12" s="1"/>
  <c r="J264" i="16"/>
  <c r="I264" i="16" s="1"/>
  <c r="L279" i="13"/>
  <c r="K279" i="13" s="1"/>
  <c r="K279" i="12"/>
  <c r="J279" i="12" s="1"/>
  <c r="J78" i="16"/>
  <c r="L87" i="13"/>
  <c r="K87" i="13" s="1"/>
  <c r="K87" i="12"/>
  <c r="J87" i="12" s="1"/>
  <c r="J56" i="16"/>
  <c r="I56" i="16" s="1"/>
  <c r="L56" i="13"/>
  <c r="K56" i="13" s="1"/>
  <c r="K56" i="12"/>
  <c r="J56" i="12" s="1"/>
  <c r="J233" i="16"/>
  <c r="I233" i="16" s="1"/>
  <c r="L245" i="13"/>
  <c r="K245" i="13" s="1"/>
  <c r="K245" i="12"/>
  <c r="J245" i="12" s="1"/>
  <c r="J9" i="16"/>
  <c r="L9" i="13"/>
  <c r="K9" i="13" s="1"/>
  <c r="K9" i="12"/>
  <c r="J9" i="12" s="1"/>
  <c r="J75" i="16"/>
  <c r="L84" i="13"/>
  <c r="K84" i="13" s="1"/>
  <c r="K84" i="12"/>
  <c r="J84" i="12" s="1"/>
  <c r="L207" i="13"/>
  <c r="K207" i="13" s="1"/>
  <c r="K207" i="12"/>
  <c r="J207" i="12" s="1"/>
  <c r="J308" i="16"/>
  <c r="I308" i="16" s="1"/>
  <c r="L323" i="13"/>
  <c r="K323" i="13" s="1"/>
  <c r="K323" i="12"/>
  <c r="J323" i="12" s="1"/>
  <c r="J143" i="16"/>
  <c r="I143" i="16" s="1"/>
  <c r="L152" i="13"/>
  <c r="K152" i="13" s="1"/>
  <c r="K152" i="12"/>
  <c r="J152" i="12" s="1"/>
  <c r="J173" i="16"/>
  <c r="I173" i="16" s="1"/>
  <c r="L182" i="13"/>
  <c r="K182" i="13" s="1"/>
  <c r="K182" i="12"/>
  <c r="J182" i="12" s="1"/>
  <c r="J148" i="16"/>
  <c r="I148" i="16" s="1"/>
  <c r="L157" i="13"/>
  <c r="K157" i="13" s="1"/>
  <c r="K157" i="12"/>
  <c r="J157" i="12" s="1"/>
  <c r="J235" i="16"/>
  <c r="I235" i="16" s="1"/>
  <c r="L247" i="13"/>
  <c r="K247" i="13" s="1"/>
  <c r="K247" i="12"/>
  <c r="J247" i="12" s="1"/>
  <c r="J300" i="16"/>
  <c r="I300" i="16" s="1"/>
  <c r="L315" i="13"/>
  <c r="K315" i="13" s="1"/>
  <c r="K315" i="12"/>
  <c r="J315" i="12" s="1"/>
  <c r="J7" i="16"/>
  <c r="L7" i="13"/>
  <c r="K7" i="13" s="1"/>
  <c r="K7" i="12"/>
  <c r="J7" i="12" s="1"/>
  <c r="J279" i="16"/>
  <c r="I279" i="16" s="1"/>
  <c r="L294" i="13"/>
  <c r="K294" i="13" s="1"/>
  <c r="K294" i="12"/>
  <c r="J294" i="12" s="1"/>
  <c r="J185" i="16"/>
  <c r="I185" i="16" s="1"/>
  <c r="L194" i="13"/>
  <c r="K194" i="13" s="1"/>
  <c r="K194" i="12"/>
  <c r="J194" i="12" s="1"/>
  <c r="J114" i="16"/>
  <c r="L123" i="13"/>
  <c r="K123" i="13" s="1"/>
  <c r="K123" i="12"/>
  <c r="J123" i="12" s="1"/>
  <c r="J164" i="16"/>
  <c r="I164" i="16" s="1"/>
  <c r="L173" i="13"/>
  <c r="K173" i="13" s="1"/>
  <c r="K173" i="12"/>
  <c r="J173" i="12" s="1"/>
  <c r="J246" i="16"/>
  <c r="I246" i="16" s="1"/>
  <c r="L259" i="13"/>
  <c r="K259" i="13" s="1"/>
  <c r="K259" i="12"/>
  <c r="J259" i="12" s="1"/>
  <c r="J177" i="16"/>
  <c r="I177" i="16" s="1"/>
  <c r="L186" i="13"/>
  <c r="K186" i="13" s="1"/>
  <c r="K186" i="12"/>
  <c r="J186" i="12" s="1"/>
  <c r="J32" i="16"/>
  <c r="L32" i="13"/>
  <c r="K32" i="13" s="1"/>
  <c r="K32" i="12"/>
  <c r="J32" i="12" s="1"/>
  <c r="J274" i="16"/>
  <c r="I274" i="16" s="1"/>
  <c r="L289" i="13"/>
  <c r="K289" i="13" s="1"/>
  <c r="K289" i="12"/>
  <c r="J289" i="12" s="1"/>
  <c r="J321" i="16"/>
  <c r="I321" i="16" s="1"/>
  <c r="L336" i="13"/>
  <c r="K336" i="13" s="1"/>
  <c r="K336" i="12"/>
  <c r="J336" i="12" s="1"/>
  <c r="J10" i="16"/>
  <c r="I10" i="16" s="1"/>
  <c r="L10" i="13"/>
  <c r="K10" i="13" s="1"/>
  <c r="K10" i="12"/>
  <c r="J10" i="12" s="1"/>
  <c r="J236" i="16"/>
  <c r="I236" i="16" s="1"/>
  <c r="L248" i="13"/>
  <c r="K248" i="13" s="1"/>
  <c r="K248" i="12"/>
  <c r="J248" i="12" s="1"/>
  <c r="L272" i="13"/>
  <c r="K272" i="13" s="1"/>
  <c r="K272" i="12"/>
  <c r="J272" i="12" s="1"/>
  <c r="J219" i="16"/>
  <c r="I219" i="16" s="1"/>
  <c r="L232" i="13"/>
  <c r="K232" i="13" s="1"/>
  <c r="K232" i="12"/>
  <c r="J232" i="12" s="1"/>
  <c r="J145" i="16"/>
  <c r="I145" i="16" s="1"/>
  <c r="L154" i="13"/>
  <c r="K154" i="13" s="1"/>
  <c r="K154" i="12"/>
  <c r="J154" i="12" s="1"/>
  <c r="J74" i="16"/>
  <c r="L83" i="13"/>
  <c r="K83" i="13" s="1"/>
  <c r="K83" i="12"/>
  <c r="J83" i="12" s="1"/>
  <c r="L208" i="13"/>
  <c r="K208" i="13" s="1"/>
  <c r="K208" i="12"/>
  <c r="J208" i="12" s="1"/>
  <c r="L273" i="13"/>
  <c r="K273" i="13" s="1"/>
  <c r="K273" i="12"/>
  <c r="J273" i="12" s="1"/>
  <c r="J280" i="16"/>
  <c r="I280" i="16" s="1"/>
  <c r="L295" i="13"/>
  <c r="K295" i="13" s="1"/>
  <c r="K295" i="12"/>
  <c r="J295" i="12" s="1"/>
  <c r="J151" i="16"/>
  <c r="I151" i="16" s="1"/>
  <c r="L160" i="13"/>
  <c r="K160" i="13" s="1"/>
  <c r="K160" i="12"/>
  <c r="J160" i="12" s="1"/>
  <c r="J141" i="16"/>
  <c r="I141" i="16" s="1"/>
  <c r="L150" i="13"/>
  <c r="K150" i="13" s="1"/>
  <c r="K150" i="12"/>
  <c r="J150" i="12" s="1"/>
  <c r="J31" i="16"/>
  <c r="L31" i="13"/>
  <c r="K31" i="13" s="1"/>
  <c r="K31" i="12"/>
  <c r="J31" i="12" s="1"/>
  <c r="J83" i="16"/>
  <c r="L92" i="13"/>
  <c r="K92" i="13" s="1"/>
  <c r="K92" i="12"/>
  <c r="J92" i="12" s="1"/>
  <c r="J153" i="16"/>
  <c r="I153" i="16" s="1"/>
  <c r="L162" i="13"/>
  <c r="K162" i="13" s="1"/>
  <c r="K162" i="12"/>
  <c r="J162" i="12" s="1"/>
  <c r="J174" i="16"/>
  <c r="I174" i="16" s="1"/>
  <c r="L183" i="13"/>
  <c r="K183" i="13" s="1"/>
  <c r="K183" i="12"/>
  <c r="J183" i="12" s="1"/>
  <c r="J146" i="16"/>
  <c r="I146" i="16" s="1"/>
  <c r="L155" i="13"/>
  <c r="K155" i="13" s="1"/>
  <c r="K155" i="12"/>
  <c r="J155" i="12" s="1"/>
  <c r="J238" i="16"/>
  <c r="I238" i="16" s="1"/>
  <c r="L250" i="13"/>
  <c r="K250" i="13" s="1"/>
  <c r="K250" i="12"/>
  <c r="J250" i="12" s="1"/>
  <c r="J275" i="16"/>
  <c r="I275" i="16" s="1"/>
  <c r="L290" i="13"/>
  <c r="K290" i="13" s="1"/>
  <c r="K290" i="12"/>
  <c r="J290" i="12" s="1"/>
  <c r="J49" i="16"/>
  <c r="I49" i="16" s="1"/>
  <c r="L49" i="13"/>
  <c r="K49" i="13" s="1"/>
  <c r="K49" i="12"/>
  <c r="J49" i="12" s="1"/>
  <c r="J239" i="16"/>
  <c r="I239" i="16" s="1"/>
  <c r="L251" i="13"/>
  <c r="K251" i="13" s="1"/>
  <c r="K251" i="12"/>
  <c r="J251" i="12" s="1"/>
  <c r="J19" i="16"/>
  <c r="I19" i="16" s="1"/>
  <c r="L19" i="13"/>
  <c r="K19" i="13" s="1"/>
  <c r="K19" i="12"/>
  <c r="J19" i="12" s="1"/>
  <c r="J179" i="16"/>
  <c r="I179" i="16" s="1"/>
  <c r="L188" i="13"/>
  <c r="K188" i="13" s="1"/>
  <c r="K188" i="12"/>
  <c r="J188" i="12" s="1"/>
  <c r="J76" i="16"/>
  <c r="L85" i="13"/>
  <c r="K85" i="13" s="1"/>
  <c r="K85" i="12"/>
  <c r="J85" i="12" s="1"/>
  <c r="J183" i="16"/>
  <c r="I183" i="16" s="1"/>
  <c r="L192" i="13"/>
  <c r="K192" i="13" s="1"/>
  <c r="K192" i="12"/>
  <c r="J192" i="12" s="1"/>
  <c r="J200" i="16"/>
  <c r="L213" i="13"/>
  <c r="K213" i="13" s="1"/>
  <c r="K213" i="12"/>
  <c r="J213" i="12" s="1"/>
  <c r="J245" i="16"/>
  <c r="I245" i="16" s="1"/>
  <c r="L258" i="13"/>
  <c r="K258" i="13" s="1"/>
  <c r="K258" i="12"/>
  <c r="J258" i="12" s="1"/>
  <c r="J244" i="16"/>
  <c r="I244" i="16" s="1"/>
  <c r="L257" i="13"/>
  <c r="K257" i="13" s="1"/>
  <c r="K257" i="12"/>
  <c r="J257" i="12" s="1"/>
  <c r="J39" i="16"/>
  <c r="L39" i="13"/>
  <c r="K39" i="13" s="1"/>
  <c r="K39" i="12"/>
  <c r="J39" i="12" s="1"/>
  <c r="J197" i="16"/>
  <c r="L210" i="13"/>
  <c r="K210" i="13" s="1"/>
  <c r="K210" i="12"/>
  <c r="J210" i="12" s="1"/>
  <c r="J313" i="16"/>
  <c r="I313" i="16" s="1"/>
  <c r="L328" i="13"/>
  <c r="K328" i="13" s="1"/>
  <c r="K328" i="12"/>
  <c r="J328" i="12" s="1"/>
  <c r="J72" i="16"/>
  <c r="I72" i="16" s="1"/>
  <c r="L81" i="13"/>
  <c r="K81" i="13" s="1"/>
  <c r="K81" i="12"/>
  <c r="J81" i="12" s="1"/>
  <c r="J296" i="16"/>
  <c r="I296" i="16" s="1"/>
  <c r="L311" i="13"/>
  <c r="K311" i="13" s="1"/>
  <c r="K311" i="12"/>
  <c r="J311" i="12" s="1"/>
  <c r="J268" i="16"/>
  <c r="I268" i="16" s="1"/>
  <c r="L283" i="13"/>
  <c r="K283" i="13" s="1"/>
  <c r="K283" i="12"/>
  <c r="J283" i="12" s="1"/>
  <c r="J5" i="16"/>
  <c r="L5" i="13"/>
  <c r="K5" i="13" s="1"/>
  <c r="K5" i="12"/>
  <c r="J5" i="12" s="1"/>
  <c r="J291" i="16"/>
  <c r="I291" i="16" s="1"/>
  <c r="L306" i="13"/>
  <c r="K306" i="13" s="1"/>
  <c r="K306" i="12"/>
  <c r="J306" i="12" s="1"/>
  <c r="J322" i="16"/>
  <c r="I322" i="16" s="1"/>
  <c r="L337" i="13"/>
  <c r="K337" i="13" s="1"/>
  <c r="K337" i="12"/>
  <c r="J337" i="12" s="1"/>
  <c r="J135" i="16"/>
  <c r="I135" i="16" s="1"/>
  <c r="L144" i="13"/>
  <c r="K144" i="13" s="1"/>
  <c r="K144" i="12"/>
  <c r="J144" i="12" s="1"/>
  <c r="J292" i="16"/>
  <c r="I292" i="16" s="1"/>
  <c r="L307" i="13"/>
  <c r="K307" i="13" s="1"/>
  <c r="K307" i="12"/>
  <c r="J307" i="12" s="1"/>
  <c r="J92" i="16"/>
  <c r="L101" i="13"/>
  <c r="K101" i="13" s="1"/>
  <c r="K101" i="12"/>
  <c r="J101" i="12" s="1"/>
  <c r="J224" i="16"/>
  <c r="I224" i="16" s="1"/>
  <c r="L237" i="13"/>
  <c r="K237" i="13" s="1"/>
  <c r="K237" i="12"/>
  <c r="J237" i="12" s="1"/>
  <c r="J232" i="16"/>
  <c r="I232" i="16" s="1"/>
  <c r="L244" i="13"/>
  <c r="K244" i="13" s="1"/>
  <c r="K244" i="12"/>
  <c r="J244" i="12" s="1"/>
  <c r="J71" i="16"/>
  <c r="I71" i="16" s="1"/>
  <c r="L80" i="13"/>
  <c r="K80" i="13" s="1"/>
  <c r="K80" i="12"/>
  <c r="J80" i="12" s="1"/>
  <c r="J318" i="16"/>
  <c r="I318" i="16" s="1"/>
  <c r="L333" i="13"/>
  <c r="K333" i="13" s="1"/>
  <c r="K333" i="12"/>
  <c r="J333" i="12" s="1"/>
  <c r="J142" i="16"/>
  <c r="I142" i="16" s="1"/>
  <c r="L151" i="13"/>
  <c r="K151" i="13" s="1"/>
  <c r="K151" i="12"/>
  <c r="J151" i="12" s="1"/>
  <c r="J301" i="16"/>
  <c r="I301" i="16" s="1"/>
  <c r="L316" i="13"/>
  <c r="K316" i="13" s="1"/>
  <c r="K316" i="12"/>
  <c r="J316" i="12" s="1"/>
  <c r="J234" i="16"/>
  <c r="I234" i="16" s="1"/>
  <c r="L246" i="13"/>
  <c r="K246" i="13" s="1"/>
  <c r="K246" i="12"/>
  <c r="J246" i="12" s="1"/>
  <c r="J229" i="16"/>
  <c r="I229" i="16" s="1"/>
  <c r="L242" i="13"/>
  <c r="K242" i="13" s="1"/>
  <c r="K242" i="12"/>
  <c r="J242" i="12" s="1"/>
  <c r="J101" i="16"/>
  <c r="L110" i="13"/>
  <c r="K110" i="13" s="1"/>
  <c r="K110" i="12"/>
  <c r="J110" i="12" s="1"/>
  <c r="J241" i="16"/>
  <c r="I241" i="16" s="1"/>
  <c r="L253" i="13"/>
  <c r="K253" i="13" s="1"/>
  <c r="K253" i="12"/>
  <c r="J253" i="12" s="1"/>
  <c r="J305" i="16"/>
  <c r="I305" i="16" s="1"/>
  <c r="L320" i="13"/>
  <c r="K320" i="13" s="1"/>
  <c r="K320" i="12"/>
  <c r="J320" i="12" s="1"/>
  <c r="J129" i="16"/>
  <c r="L138" i="13"/>
  <c r="K138" i="13" s="1"/>
  <c r="K138" i="12"/>
  <c r="J138" i="12" s="1"/>
  <c r="J314" i="16"/>
  <c r="I314" i="16" s="1"/>
  <c r="L329" i="13"/>
  <c r="K329" i="13" s="1"/>
  <c r="K329" i="12"/>
  <c r="J329" i="12" s="1"/>
  <c r="J304" i="16"/>
  <c r="I304" i="16" s="1"/>
  <c r="L319" i="13"/>
  <c r="K319" i="13" s="1"/>
  <c r="K319" i="12"/>
  <c r="J319" i="12" s="1"/>
  <c r="J317" i="16"/>
  <c r="I317" i="16" s="1"/>
  <c r="L332" i="13"/>
  <c r="K332" i="13" s="1"/>
  <c r="K332" i="12"/>
  <c r="J332" i="12" s="1"/>
  <c r="J306" i="16"/>
  <c r="I306" i="16" s="1"/>
  <c r="L321" i="13"/>
  <c r="K321" i="13" s="1"/>
  <c r="K321" i="12"/>
  <c r="J321" i="12" s="1"/>
  <c r="J95" i="16"/>
  <c r="L104" i="13"/>
  <c r="K104" i="13" s="1"/>
  <c r="K104" i="12"/>
  <c r="J104" i="12" s="1"/>
  <c r="J223" i="16"/>
  <c r="I223" i="16" s="1"/>
  <c r="L236" i="13"/>
  <c r="K236" i="13" s="1"/>
  <c r="K236" i="12"/>
  <c r="J236" i="12" s="1"/>
  <c r="J237" i="16"/>
  <c r="I237" i="16" s="1"/>
  <c r="L249" i="13"/>
  <c r="K249" i="13" s="1"/>
  <c r="K249" i="12"/>
  <c r="J249" i="12" s="1"/>
  <c r="J20" i="16"/>
  <c r="I20" i="16" s="1"/>
  <c r="L20" i="13"/>
  <c r="K20" i="13" s="1"/>
  <c r="K20" i="12"/>
  <c r="J20" i="12" s="1"/>
  <c r="J263" i="16"/>
  <c r="I263" i="16" s="1"/>
  <c r="L278" i="13"/>
  <c r="K278" i="13" s="1"/>
  <c r="K278" i="12"/>
  <c r="J278" i="12" s="1"/>
  <c r="J269" i="16"/>
  <c r="I269" i="16" s="1"/>
  <c r="L284" i="13"/>
  <c r="K284" i="13" s="1"/>
  <c r="K284" i="12"/>
  <c r="J284" i="12" s="1"/>
  <c r="J258" i="16"/>
  <c r="I258" i="16" s="1"/>
  <c r="L271" i="13"/>
  <c r="K271" i="13" s="1"/>
  <c r="K271" i="12"/>
  <c r="J271" i="12" s="1"/>
  <c r="J178" i="16"/>
  <c r="I178" i="16" s="1"/>
  <c r="L187" i="13"/>
  <c r="K187" i="13" s="1"/>
  <c r="K187" i="12"/>
  <c r="J187" i="12" s="1"/>
  <c r="J189" i="16"/>
  <c r="I189" i="16" s="1"/>
  <c r="L198" i="13"/>
  <c r="K198" i="13" s="1"/>
  <c r="K198" i="12"/>
  <c r="J198" i="12" s="1"/>
  <c r="J283" i="16"/>
  <c r="I283" i="16" s="1"/>
  <c r="L298" i="13"/>
  <c r="K298" i="13" s="1"/>
  <c r="K298" i="12"/>
  <c r="J298" i="12" s="1"/>
  <c r="J193" i="16"/>
  <c r="I193" i="16" s="1"/>
  <c r="L202" i="13"/>
  <c r="K202" i="13" s="1"/>
  <c r="K202" i="12"/>
  <c r="J202" i="12" s="1"/>
  <c r="J181" i="16"/>
  <c r="I181" i="16" s="1"/>
  <c r="L190" i="13"/>
  <c r="K190" i="13" s="1"/>
  <c r="K190" i="12"/>
  <c r="J190" i="12" s="1"/>
  <c r="J303" i="16"/>
  <c r="I303" i="16" s="1"/>
  <c r="L318" i="13"/>
  <c r="K318" i="13" s="1"/>
  <c r="K318" i="12"/>
  <c r="J318" i="12" s="1"/>
  <c r="J187" i="16"/>
  <c r="I187" i="16" s="1"/>
  <c r="L196" i="13"/>
  <c r="K196" i="13" s="1"/>
  <c r="K196" i="12"/>
  <c r="J196" i="12" s="1"/>
  <c r="J231" i="16"/>
  <c r="I231" i="16" s="1"/>
  <c r="L243" i="13"/>
  <c r="K243" i="13" s="1"/>
  <c r="K243" i="12"/>
  <c r="J243" i="12" s="1"/>
  <c r="J85" i="16"/>
  <c r="L94" i="13"/>
  <c r="K94" i="13" s="1"/>
  <c r="K94" i="12"/>
  <c r="J94" i="12" s="1"/>
  <c r="J310" i="16"/>
  <c r="I310" i="16" s="1"/>
  <c r="L325" i="13"/>
  <c r="K325" i="13" s="1"/>
  <c r="K325" i="12"/>
  <c r="J325" i="12" s="1"/>
  <c r="J309" i="16"/>
  <c r="I309" i="16" s="1"/>
  <c r="L324" i="13"/>
  <c r="K324" i="13" s="1"/>
  <c r="K324" i="12"/>
  <c r="J324" i="12" s="1"/>
  <c r="J293" i="16"/>
  <c r="I293" i="16" s="1"/>
  <c r="L308" i="13"/>
  <c r="K308" i="13" s="1"/>
  <c r="K308" i="12"/>
  <c r="J308" i="12" s="1"/>
  <c r="J266" i="16"/>
  <c r="I266" i="16" s="1"/>
  <c r="L281" i="13"/>
  <c r="K281" i="13" s="1"/>
  <c r="K281" i="12"/>
  <c r="J281" i="12" s="1"/>
  <c r="J270" i="16"/>
  <c r="I270" i="16" s="1"/>
  <c r="L285" i="13"/>
  <c r="K285" i="13" s="1"/>
  <c r="K285" i="12"/>
  <c r="J285" i="12" s="1"/>
  <c r="J220" i="16"/>
  <c r="I220" i="16" s="1"/>
  <c r="L233" i="13"/>
  <c r="K233" i="13" s="1"/>
  <c r="K233" i="12"/>
  <c r="J233" i="12" s="1"/>
  <c r="J295" i="16"/>
  <c r="I295" i="16" s="1"/>
  <c r="L310" i="13"/>
  <c r="K310" i="13" s="1"/>
  <c r="K310" i="12"/>
  <c r="J310" i="12" s="1"/>
  <c r="J218" i="16"/>
  <c r="I218" i="16" s="1"/>
  <c r="L231" i="13"/>
  <c r="K231" i="13" s="1"/>
  <c r="K231" i="12"/>
  <c r="J231" i="12" s="1"/>
  <c r="J205" i="16"/>
  <c r="L218" i="13"/>
  <c r="K218" i="13" s="1"/>
  <c r="K218" i="12"/>
  <c r="J218" i="12" s="1"/>
  <c r="J191" i="16"/>
  <c r="I191" i="16" s="1"/>
  <c r="L200" i="13"/>
  <c r="K200" i="13" s="1"/>
  <c r="K200" i="12"/>
  <c r="J200" i="12" s="1"/>
  <c r="J284" i="16"/>
  <c r="I284" i="16" s="1"/>
  <c r="L299" i="13"/>
  <c r="K299" i="13" s="1"/>
  <c r="K299" i="12"/>
  <c r="J299" i="12" s="1"/>
  <c r="J260" i="16"/>
  <c r="I260" i="16" s="1"/>
  <c r="L275" i="13"/>
  <c r="K275" i="13" s="1"/>
  <c r="K275" i="12"/>
  <c r="J275" i="12" s="1"/>
  <c r="J57" i="16"/>
  <c r="I57" i="16" s="1"/>
  <c r="L57" i="13"/>
  <c r="K57" i="13" s="1"/>
  <c r="K57" i="12"/>
  <c r="J57" i="12" s="1"/>
  <c r="J194" i="16"/>
  <c r="I194" i="16" s="1"/>
  <c r="L203" i="13"/>
  <c r="K203" i="13" s="1"/>
  <c r="K203" i="12"/>
  <c r="J203" i="12" s="1"/>
  <c r="J212" i="16"/>
  <c r="L225" i="13"/>
  <c r="K225" i="13" s="1"/>
  <c r="K225" i="12"/>
  <c r="J225" i="12" s="1"/>
  <c r="J226" i="16"/>
  <c r="I226" i="16" s="1"/>
  <c r="L239" i="13"/>
  <c r="K239" i="13" s="1"/>
  <c r="K239" i="12"/>
  <c r="J239" i="12" s="1"/>
  <c r="J99" i="16"/>
  <c r="L108" i="13"/>
  <c r="K108" i="13" s="1"/>
  <c r="K108" i="12"/>
  <c r="J108" i="12" s="1"/>
  <c r="J213" i="16"/>
  <c r="L226" i="13"/>
  <c r="K226" i="13" s="1"/>
  <c r="K226" i="12"/>
  <c r="J226" i="12" s="1"/>
  <c r="J228" i="16"/>
  <c r="I228" i="16" s="1"/>
  <c r="L241" i="13"/>
  <c r="K241" i="13" s="1"/>
  <c r="K241" i="12"/>
  <c r="J241" i="12" s="1"/>
  <c r="J86" i="16"/>
  <c r="L95" i="13"/>
  <c r="K95" i="13" s="1"/>
  <c r="K95" i="12"/>
  <c r="J95" i="12" s="1"/>
  <c r="J311" i="16"/>
  <c r="I311" i="16" s="1"/>
  <c r="L326" i="13"/>
  <c r="K326" i="13" s="1"/>
  <c r="K326" i="12"/>
  <c r="J326" i="12" s="1"/>
  <c r="J312" i="16"/>
  <c r="I312" i="16" s="1"/>
  <c r="L327" i="13"/>
  <c r="K327" i="13" s="1"/>
  <c r="K327" i="12"/>
  <c r="J327" i="12" s="1"/>
  <c r="J230" i="16"/>
  <c r="I230" i="16" s="1"/>
  <c r="J222" i="16"/>
  <c r="I222" i="16" s="1"/>
  <c r="L235" i="13"/>
  <c r="K235" i="13" s="1"/>
  <c r="K235" i="12"/>
  <c r="J235" i="12" s="1"/>
  <c r="J211" i="16"/>
  <c r="L224" i="13"/>
  <c r="K224" i="13" s="1"/>
  <c r="K224" i="12"/>
  <c r="J224" i="12" s="1"/>
  <c r="J18" i="16"/>
  <c r="I18" i="16" s="1"/>
  <c r="L18" i="13"/>
  <c r="K18" i="13" s="1"/>
  <c r="K18" i="12"/>
  <c r="J18" i="12" s="1"/>
  <c r="J267" i="16"/>
  <c r="I267" i="16" s="1"/>
  <c r="L282" i="13"/>
  <c r="K282" i="13" s="1"/>
  <c r="K282" i="12"/>
  <c r="J282" i="12" s="1"/>
  <c r="J323" i="16"/>
  <c r="I323" i="16" s="1"/>
  <c r="L338" i="13"/>
  <c r="K338" i="13" s="1"/>
  <c r="K338" i="12"/>
  <c r="J338" i="12" s="1"/>
  <c r="J170" i="16"/>
  <c r="I170" i="16" s="1"/>
  <c r="L179" i="13"/>
  <c r="K179" i="13" s="1"/>
  <c r="K179" i="12"/>
  <c r="J179" i="12" s="1"/>
  <c r="J257" i="16"/>
  <c r="I257" i="16" s="1"/>
  <c r="L270" i="13"/>
  <c r="K270" i="13" s="1"/>
  <c r="K270" i="12"/>
  <c r="J270" i="12" s="1"/>
  <c r="J190" i="16"/>
  <c r="I190" i="16" s="1"/>
  <c r="L199" i="13"/>
  <c r="K199" i="13" s="1"/>
  <c r="K199" i="12"/>
  <c r="J199" i="12" s="1"/>
  <c r="J53" i="16"/>
  <c r="I53" i="16" s="1"/>
  <c r="L53" i="13"/>
  <c r="K53" i="13" s="1"/>
  <c r="K53" i="12"/>
  <c r="J53" i="12" s="1"/>
  <c r="J192" i="16"/>
  <c r="I192" i="16" s="1"/>
  <c r="L201" i="13"/>
  <c r="K201" i="13" s="1"/>
  <c r="K201" i="12"/>
  <c r="J201" i="12" s="1"/>
  <c r="J227" i="16"/>
  <c r="I227" i="16" s="1"/>
  <c r="L240" i="13"/>
  <c r="K240" i="13" s="1"/>
  <c r="K240" i="12"/>
  <c r="J240" i="12" s="1"/>
  <c r="J214" i="16"/>
  <c r="L227" i="13"/>
  <c r="K227" i="13" s="1"/>
  <c r="K227" i="12"/>
  <c r="J227" i="12" s="1"/>
  <c r="J70" i="16"/>
  <c r="I70" i="16" s="1"/>
  <c r="L79" i="13"/>
  <c r="K79" i="13" s="1"/>
  <c r="K79" i="12"/>
  <c r="J79" i="12" s="1"/>
  <c r="J265" i="16"/>
  <c r="I265" i="16" s="1"/>
  <c r="L280" i="13"/>
  <c r="K280" i="13" s="1"/>
  <c r="K280" i="12"/>
  <c r="J280" i="12" s="1"/>
  <c r="J195" i="16"/>
  <c r="I195" i="16" s="1"/>
  <c r="L204" i="13"/>
  <c r="K204" i="13" s="1"/>
  <c r="K204" i="12"/>
  <c r="J204" i="12" s="1"/>
  <c r="J138" i="16"/>
  <c r="I138" i="16" s="1"/>
  <c r="L147" i="13"/>
  <c r="K147" i="13" s="1"/>
  <c r="K147" i="12"/>
  <c r="J147" i="12" s="1"/>
  <c r="J69" i="16"/>
  <c r="I69" i="16" s="1"/>
  <c r="L78" i="13"/>
  <c r="K78" i="13" s="1"/>
  <c r="K78" i="12"/>
  <c r="J78" i="12" s="1"/>
  <c r="J217" i="16"/>
  <c r="L230" i="13"/>
  <c r="K230" i="13" s="1"/>
  <c r="K230" i="12"/>
  <c r="J230" i="12" s="1"/>
  <c r="J302" i="16"/>
  <c r="L317" i="13"/>
  <c r="K317" i="13" s="1"/>
  <c r="K317" i="12"/>
  <c r="J317" i="12" s="1"/>
  <c r="J198" i="16"/>
  <c r="L211" i="13"/>
  <c r="K211" i="13" s="1"/>
  <c r="K211" i="12"/>
  <c r="J211" i="12" s="1"/>
  <c r="J242" i="16"/>
  <c r="I242" i="16" s="1"/>
  <c r="L254" i="13"/>
  <c r="K254" i="13" s="1"/>
  <c r="K254" i="12"/>
  <c r="J254" i="12" s="1"/>
  <c r="J297" i="16"/>
  <c r="I297" i="16" s="1"/>
  <c r="L312" i="13"/>
  <c r="K312" i="13" s="1"/>
  <c r="K312" i="12"/>
  <c r="J312" i="12" s="1"/>
  <c r="J320" i="16"/>
  <c r="I320" i="16" s="1"/>
  <c r="L335" i="13"/>
  <c r="K335" i="13" s="1"/>
  <c r="K335" i="12"/>
  <c r="J335" i="12" s="1"/>
  <c r="J316" i="16"/>
  <c r="I316" i="16" s="1"/>
  <c r="L331" i="13"/>
  <c r="K331" i="13" s="1"/>
  <c r="K331" i="12"/>
  <c r="J331" i="12" s="1"/>
  <c r="J252" i="16"/>
  <c r="I252" i="16" s="1"/>
  <c r="L265" i="13"/>
  <c r="K265" i="13" s="1"/>
  <c r="K265" i="12"/>
  <c r="J265" i="12" s="1"/>
  <c r="J253" i="16"/>
  <c r="I253" i="16" s="1"/>
  <c r="L266" i="13"/>
  <c r="K266" i="13" s="1"/>
  <c r="K266" i="12"/>
  <c r="J266" i="12" s="1"/>
  <c r="J11" i="16"/>
  <c r="L11" i="13"/>
  <c r="K11" i="13" s="1"/>
  <c r="K11" i="12"/>
  <c r="J11" i="12" s="1"/>
  <c r="J298" i="16"/>
  <c r="I298" i="16" s="1"/>
  <c r="L313" i="13"/>
  <c r="K313" i="13" s="1"/>
  <c r="K313" i="12"/>
  <c r="J313" i="12" s="1"/>
  <c r="J125" i="16"/>
  <c r="L134" i="13"/>
  <c r="K134" i="13" s="1"/>
  <c r="K134" i="12"/>
  <c r="J134" i="12" s="1"/>
  <c r="J115" i="16"/>
  <c r="L124" i="13"/>
  <c r="K124" i="13" s="1"/>
  <c r="K124" i="12"/>
  <c r="J124" i="12" s="1"/>
  <c r="J6" i="16"/>
  <c r="I6" i="16" s="1"/>
  <c r="L6" i="13"/>
  <c r="K6" i="13" s="1"/>
  <c r="K6" i="12"/>
  <c r="J6" i="12" s="1"/>
  <c r="J41" i="16"/>
  <c r="L41" i="13"/>
  <c r="K41" i="13" s="1"/>
  <c r="K41" i="12"/>
  <c r="J41" i="12" s="1"/>
  <c r="J251" i="16"/>
  <c r="I251" i="16" s="1"/>
  <c r="L264" i="13"/>
  <c r="K264" i="13" s="1"/>
  <c r="K264" i="12"/>
  <c r="J264" i="12" s="1"/>
  <c r="J133" i="16"/>
  <c r="L142" i="13"/>
  <c r="K142" i="13" s="1"/>
  <c r="K142" i="12"/>
  <c r="J142" i="12" s="1"/>
  <c r="J58" i="16"/>
  <c r="I58" i="16" s="1"/>
  <c r="L58" i="13"/>
  <c r="K58" i="13" s="1"/>
  <c r="K58" i="12"/>
  <c r="J58" i="12" s="1"/>
  <c r="J126" i="16"/>
  <c r="L135" i="13"/>
  <c r="K135" i="13" s="1"/>
  <c r="K135" i="12"/>
  <c r="J135" i="12" s="1"/>
  <c r="J112" i="16"/>
  <c r="L121" i="13"/>
  <c r="K121" i="13" s="1"/>
  <c r="K121" i="12"/>
  <c r="J121" i="12" s="1"/>
  <c r="J93" i="16"/>
  <c r="L102" i="13"/>
  <c r="K102" i="13" s="1"/>
  <c r="K102" i="12"/>
  <c r="J102" i="12" s="1"/>
  <c r="J201" i="16"/>
  <c r="L214" i="13"/>
  <c r="K214" i="13" s="1"/>
  <c r="K214" i="12"/>
  <c r="J214" i="12" s="1"/>
  <c r="L71" i="13"/>
  <c r="K71" i="13" s="1"/>
  <c r="K71" i="12"/>
  <c r="J71" i="12" s="1"/>
  <c r="J127" i="16"/>
  <c r="L136" i="13"/>
  <c r="K136" i="13" s="1"/>
  <c r="K136" i="12"/>
  <c r="J136" i="12" s="1"/>
  <c r="J206" i="16"/>
  <c r="L219" i="13"/>
  <c r="K219" i="13" s="1"/>
  <c r="K219" i="12"/>
  <c r="J219" i="12" s="1"/>
  <c r="J254" i="16"/>
  <c r="I254" i="16" s="1"/>
  <c r="L267" i="13"/>
  <c r="K267" i="13" s="1"/>
  <c r="K267" i="12"/>
  <c r="J267" i="12" s="1"/>
  <c r="J255" i="16"/>
  <c r="I255" i="16" s="1"/>
  <c r="L268" i="13"/>
  <c r="K268" i="13" s="1"/>
  <c r="K268" i="12"/>
  <c r="J268" i="12" s="1"/>
  <c r="J82" i="16"/>
  <c r="L91" i="13"/>
  <c r="K91" i="13" s="1"/>
  <c r="K91" i="12"/>
  <c r="J91" i="12" s="1"/>
  <c r="J207" i="16"/>
  <c r="L220" i="13"/>
  <c r="K220" i="13" s="1"/>
  <c r="K220" i="12"/>
  <c r="J220" i="12" s="1"/>
  <c r="J12" i="16"/>
  <c r="I12" i="16" s="1"/>
  <c r="L12" i="13"/>
  <c r="K12" i="13" s="1"/>
  <c r="K12" i="12"/>
  <c r="J12" i="12" s="1"/>
  <c r="J108" i="16"/>
  <c r="L117" i="13"/>
  <c r="K117" i="13" s="1"/>
  <c r="K117" i="12"/>
  <c r="J117" i="12" s="1"/>
  <c r="J116" i="16"/>
  <c r="L125" i="13"/>
  <c r="K125" i="13" s="1"/>
  <c r="K125" i="12"/>
  <c r="J125" i="12" s="1"/>
  <c r="J131" i="16"/>
  <c r="L140" i="13"/>
  <c r="K140" i="13" s="1"/>
  <c r="K140" i="12"/>
  <c r="J140" i="12" s="1"/>
  <c r="L77" i="13"/>
  <c r="K77" i="13" s="1"/>
  <c r="K77" i="12"/>
  <c r="J77" i="12" s="1"/>
  <c r="J111" i="16"/>
  <c r="L120" i="13"/>
  <c r="K120" i="13" s="1"/>
  <c r="K120" i="12"/>
  <c r="J120" i="12" s="1"/>
  <c r="J54" i="16"/>
  <c r="I54" i="16" s="1"/>
  <c r="L54" i="13"/>
  <c r="K54" i="13" s="1"/>
  <c r="K54" i="12"/>
  <c r="J54" i="12" s="1"/>
  <c r="J23" i="16"/>
  <c r="L23" i="13"/>
  <c r="K23" i="13" s="1"/>
  <c r="K23" i="12"/>
  <c r="J23" i="12" s="1"/>
  <c r="J188" i="16"/>
  <c r="I188" i="16" s="1"/>
  <c r="L197" i="13"/>
  <c r="K197" i="13" s="1"/>
  <c r="K197" i="12"/>
  <c r="J197" i="12" s="1"/>
  <c r="J80" i="16"/>
  <c r="L89" i="13"/>
  <c r="K89" i="13" s="1"/>
  <c r="K89" i="12"/>
  <c r="J89" i="12" s="1"/>
  <c r="J24" i="16"/>
  <c r="L24" i="13"/>
  <c r="K24" i="13" s="1"/>
  <c r="K24" i="12"/>
  <c r="J24" i="12" s="1"/>
  <c r="J26" i="16"/>
  <c r="I26" i="16" s="1"/>
  <c r="L26" i="13"/>
  <c r="K26" i="13" s="1"/>
  <c r="K26" i="12"/>
  <c r="J26" i="12" s="1"/>
  <c r="J27" i="16"/>
  <c r="I27" i="16" s="1"/>
  <c r="L27" i="13"/>
  <c r="K27" i="13" s="1"/>
  <c r="K27" i="12"/>
  <c r="J27" i="12" s="1"/>
  <c r="J22" i="16"/>
  <c r="L22" i="13"/>
  <c r="K22" i="13" s="1"/>
  <c r="K22" i="12"/>
  <c r="J22" i="12" s="1"/>
  <c r="J182" i="16"/>
  <c r="I182" i="16" s="1"/>
  <c r="L191" i="13"/>
  <c r="K191" i="13" s="1"/>
  <c r="K191" i="12"/>
  <c r="J191" i="12" s="1"/>
  <c r="J113" i="16"/>
  <c r="L122" i="13"/>
  <c r="K122" i="13" s="1"/>
  <c r="K122" i="12"/>
  <c r="J122" i="12" s="1"/>
  <c r="J55" i="16"/>
  <c r="I55" i="16" s="1"/>
  <c r="L55" i="13"/>
  <c r="K55" i="13" s="1"/>
  <c r="K55" i="12"/>
  <c r="J55" i="12" s="1"/>
  <c r="J79" i="16"/>
  <c r="L88" i="13"/>
  <c r="K88" i="13" s="1"/>
  <c r="K88" i="12"/>
  <c r="J88" i="12" s="1"/>
  <c r="J203" i="16"/>
  <c r="L216" i="13"/>
  <c r="K216" i="13" s="1"/>
  <c r="K216" i="12"/>
  <c r="J216" i="12" s="1"/>
  <c r="J25" i="16"/>
  <c r="I25" i="16" s="1"/>
  <c r="L25" i="13"/>
  <c r="K25" i="13" s="1"/>
  <c r="K25" i="12"/>
  <c r="J25" i="12" s="1"/>
  <c r="I35" i="12"/>
  <c r="H30" i="10"/>
  <c r="H6" i="10"/>
  <c r="I16" i="12"/>
  <c r="I40" i="12"/>
  <c r="I23" i="12"/>
  <c r="I44" i="12"/>
  <c r="I96" i="12"/>
  <c r="I263" i="12"/>
  <c r="I304" i="12"/>
  <c r="I20" i="12"/>
  <c r="I252" i="12"/>
  <c r="I103" i="12"/>
  <c r="I24" i="12"/>
  <c r="I68" i="12"/>
  <c r="I71" i="12"/>
  <c r="I100" i="12"/>
  <c r="I124" i="12"/>
  <c r="I214" i="12"/>
  <c r="H15" i="10"/>
  <c r="I282" i="12"/>
  <c r="I312" i="12"/>
  <c r="I233" i="12"/>
  <c r="I55" i="12"/>
  <c r="I72" i="12"/>
  <c r="H22" i="10"/>
  <c r="I52" i="12"/>
  <c r="I111" i="12"/>
  <c r="I336" i="12"/>
  <c r="I7" i="12"/>
  <c r="I15" i="12"/>
  <c r="I56" i="12"/>
  <c r="I80" i="12"/>
  <c r="I87" i="12"/>
  <c r="I108" i="12"/>
  <c r="I135" i="12"/>
  <c r="I332" i="12"/>
  <c r="I154" i="12"/>
  <c r="I95" i="12"/>
  <c r="I119" i="12"/>
  <c r="I299" i="12"/>
  <c r="I310" i="12"/>
  <c r="I333" i="12"/>
  <c r="I335" i="12"/>
  <c r="J259" i="13"/>
  <c r="J273" i="13"/>
  <c r="J295" i="13"/>
  <c r="J299" i="13"/>
  <c r="J306" i="13"/>
  <c r="J321" i="13"/>
  <c r="J329" i="13"/>
  <c r="J249" i="13"/>
  <c r="J263" i="13"/>
  <c r="J292" i="13"/>
  <c r="J225" i="13"/>
  <c r="J235" i="13"/>
  <c r="J256" i="13"/>
  <c r="J267" i="13"/>
  <c r="J311" i="13"/>
  <c r="J334" i="13"/>
  <c r="J232" i="13"/>
  <c r="J257" i="13"/>
  <c r="J304" i="13"/>
  <c r="J326" i="13"/>
  <c r="J197" i="13"/>
  <c r="J216" i="13"/>
  <c r="J261" i="13"/>
  <c r="J275" i="13"/>
  <c r="J233" i="13"/>
  <c r="J240" i="13"/>
  <c r="J268" i="13"/>
  <c r="J279" i="13"/>
  <c r="J323" i="13"/>
  <c r="J327" i="13"/>
  <c r="J237" i="13"/>
  <c r="J258" i="13"/>
  <c r="J280" i="13"/>
  <c r="J287" i="13"/>
  <c r="J316" i="13"/>
  <c r="J211" i="13"/>
  <c r="J234" i="13"/>
  <c r="J255" i="13"/>
  <c r="J284" i="13"/>
  <c r="J291" i="13"/>
  <c r="J332" i="13"/>
  <c r="J336" i="13"/>
  <c r="K62" i="14"/>
  <c r="M74" i="15" s="1"/>
  <c r="J62" i="14"/>
  <c r="K467" i="14"/>
  <c r="J467" i="14"/>
  <c r="K51" i="14"/>
  <c r="M35" i="15" s="1"/>
  <c r="J51" i="14"/>
  <c r="K78" i="14"/>
  <c r="M90" i="15" s="1"/>
  <c r="J78" i="14"/>
  <c r="M102" i="15"/>
  <c r="G287" i="14"/>
  <c r="K67" i="14"/>
  <c r="M79" i="15" s="1"/>
  <c r="J67" i="14"/>
  <c r="K94" i="14"/>
  <c r="M106" i="15" s="1"/>
  <c r="J94" i="14"/>
  <c r="K276" i="14"/>
  <c r="M22" i="15" s="1"/>
  <c r="J276" i="14"/>
  <c r="K295" i="14"/>
  <c r="J295" i="14"/>
  <c r="M218" i="15"/>
  <c r="M264" i="15"/>
  <c r="J547" i="14"/>
  <c r="M132" i="15"/>
  <c r="M148" i="15"/>
  <c r="K363" i="14"/>
  <c r="J363" i="14"/>
  <c r="K374" i="14"/>
  <c r="J374" i="14"/>
  <c r="J271" i="13"/>
  <c r="J312" i="13"/>
  <c r="K10" i="14"/>
  <c r="M5" i="15" s="1"/>
  <c r="J10" i="14"/>
  <c r="K83" i="14"/>
  <c r="M95" i="15" s="1"/>
  <c r="J83" i="14"/>
  <c r="K110" i="14"/>
  <c r="M122" i="15" s="1"/>
  <c r="J110" i="14"/>
  <c r="K99" i="14"/>
  <c r="M111" i="15" s="1"/>
  <c r="J99" i="14"/>
  <c r="K126" i="14"/>
  <c r="M163" i="15" s="1"/>
  <c r="J126" i="14"/>
  <c r="K379" i="14"/>
  <c r="J379" i="14"/>
  <c r="M144" i="15"/>
  <c r="K22" i="15"/>
  <c r="L22" i="15" s="1"/>
  <c r="M72" i="15"/>
  <c r="K15" i="14"/>
  <c r="M10" i="15" s="1"/>
  <c r="J15" i="14"/>
  <c r="K115" i="14"/>
  <c r="M127" i="15" s="1"/>
  <c r="J115" i="14"/>
  <c r="K142" i="14"/>
  <c r="M179" i="15" s="1"/>
  <c r="J142" i="14"/>
  <c r="K395" i="14"/>
  <c r="J395" i="14"/>
  <c r="J209" i="13"/>
  <c r="J283" i="13"/>
  <c r="J324" i="13"/>
  <c r="K131" i="14"/>
  <c r="M168" i="15" s="1"/>
  <c r="J131" i="14"/>
  <c r="K255" i="14"/>
  <c r="J255" i="14"/>
  <c r="J227" i="13"/>
  <c r="J251" i="13"/>
  <c r="J276" i="13"/>
  <c r="J310" i="13"/>
  <c r="M20" i="15"/>
  <c r="K34" i="14"/>
  <c r="M23" i="15" s="1"/>
  <c r="K400" i="14"/>
  <c r="J400" i="14"/>
  <c r="K46" i="14"/>
  <c r="M30" i="15" s="1"/>
  <c r="J46" i="14"/>
  <c r="M172" i="15"/>
  <c r="K168" i="14"/>
  <c r="J168" i="14"/>
  <c r="K182" i="14"/>
  <c r="K201" i="14"/>
  <c r="M21" i="15" s="1"/>
  <c r="J201" i="14"/>
  <c r="J274" i="14"/>
  <c r="J293" i="14"/>
  <c r="H45" i="15"/>
  <c r="L47" i="15"/>
  <c r="L113" i="15"/>
  <c r="L132" i="15"/>
  <c r="L148" i="15"/>
  <c r="M183" i="15"/>
  <c r="N52" i="15"/>
  <c r="M185" i="15"/>
  <c r="J559" i="14"/>
  <c r="K571" i="14"/>
  <c r="M59" i="15" s="1"/>
  <c r="N60" i="15"/>
  <c r="L104" i="15"/>
  <c r="L162" i="15"/>
  <c r="L247" i="15"/>
  <c r="M143" i="15"/>
  <c r="J14" i="14"/>
  <c r="J27" i="14"/>
  <c r="J50" i="14"/>
  <c r="J66" i="14"/>
  <c r="J82" i="14"/>
  <c r="J98" i="14"/>
  <c r="J114" i="14"/>
  <c r="J130" i="14"/>
  <c r="J205" i="14"/>
  <c r="J250" i="14"/>
  <c r="J275" i="14"/>
  <c r="J294" i="14"/>
  <c r="J320" i="14"/>
  <c r="J351" i="14"/>
  <c r="J362" i="14"/>
  <c r="J378" i="14"/>
  <c r="J399" i="14"/>
  <c r="M53" i="15"/>
  <c r="M57" i="15"/>
  <c r="K556" i="14"/>
  <c r="M176" i="15" s="1"/>
  <c r="L40" i="15"/>
  <c r="L48" i="15"/>
  <c r="H61" i="15"/>
  <c r="L72" i="15"/>
  <c r="L144" i="15"/>
  <c r="N181" i="15"/>
  <c r="M184" i="15"/>
  <c r="M151" i="15"/>
  <c r="L69" i="15"/>
  <c r="L255" i="15"/>
  <c r="M31" i="15"/>
  <c r="M186" i="15"/>
  <c r="M190" i="15"/>
  <c r="M245" i="15"/>
  <c r="N53" i="15"/>
  <c r="L105" i="15"/>
  <c r="L120" i="15"/>
  <c r="L194" i="15"/>
  <c r="M88" i="15"/>
  <c r="M139" i="15"/>
  <c r="N43" i="15"/>
  <c r="O38" i="15" s="1"/>
  <c r="H54" i="15"/>
  <c r="L56" i="15"/>
  <c r="L64" i="15"/>
  <c r="L96" i="15"/>
  <c r="L140" i="15"/>
  <c r="L156" i="15"/>
  <c r="L202" i="15"/>
  <c r="J34" i="14"/>
  <c r="M14" i="15"/>
  <c r="L20" i="15"/>
  <c r="M187" i="15"/>
  <c r="L70" i="15"/>
  <c r="L121" i="15"/>
  <c r="L127" i="15"/>
  <c r="M135" i="15"/>
  <c r="J6" i="14"/>
  <c r="J22" i="14"/>
  <c r="J42" i="14"/>
  <c r="J58" i="14"/>
  <c r="J74" i="14"/>
  <c r="J90" i="14"/>
  <c r="J106" i="14"/>
  <c r="J122" i="14"/>
  <c r="J138" i="14"/>
  <c r="J283" i="14"/>
  <c r="J370" i="14"/>
  <c r="J391" i="14"/>
  <c r="M63" i="15"/>
  <c r="J527" i="14"/>
  <c r="J581" i="14"/>
  <c r="N59" i="15"/>
  <c r="L97" i="15"/>
  <c r="L112" i="15"/>
  <c r="L136" i="15"/>
  <c r="L152" i="15"/>
  <c r="L191" i="15"/>
  <c r="M182" i="15"/>
  <c r="L74" i="15"/>
  <c r="L103" i="15"/>
  <c r="L286" i="15"/>
  <c r="L321" i="15"/>
  <c r="L326" i="15"/>
  <c r="E10" i="18"/>
  <c r="G10" i="17"/>
  <c r="G13" i="17"/>
  <c r="E13" i="18"/>
  <c r="G53" i="17"/>
  <c r="E53" i="18"/>
  <c r="L297" i="15"/>
  <c r="L302" i="15"/>
  <c r="L361" i="15"/>
  <c r="L366" i="15"/>
  <c r="N34" i="16"/>
  <c r="E99" i="18"/>
  <c r="G99" i="17"/>
  <c r="H116" i="16"/>
  <c r="I161" i="16"/>
  <c r="L293" i="15"/>
  <c r="L332" i="15"/>
  <c r="L337" i="15"/>
  <c r="L342" i="15"/>
  <c r="L396" i="15"/>
  <c r="L401" i="15"/>
  <c r="E81" i="18"/>
  <c r="G81" i="17"/>
  <c r="E54" i="18"/>
  <c r="G46" i="17"/>
  <c r="E46" i="18"/>
  <c r="G54" i="17"/>
  <c r="E51" i="18"/>
  <c r="G51" i="17"/>
  <c r="H40" i="16"/>
  <c r="D312" i="8" s="1"/>
  <c r="F312" i="8" s="1"/>
  <c r="L318" i="15"/>
  <c r="E16" i="18"/>
  <c r="G16" i="17"/>
  <c r="H35" i="16"/>
  <c r="N62" i="16"/>
  <c r="G78" i="17"/>
  <c r="E78" i="18"/>
  <c r="H95" i="16"/>
  <c r="L280" i="15"/>
  <c r="L333" i="15"/>
  <c r="L338" i="15"/>
  <c r="E9" i="18"/>
  <c r="G9" i="17"/>
  <c r="L285" i="15"/>
  <c r="L309" i="15"/>
  <c r="L314" i="15"/>
  <c r="L373" i="15"/>
  <c r="L378" i="15"/>
  <c r="N35" i="16"/>
  <c r="E21" i="18"/>
  <c r="G21" i="17"/>
  <c r="H46" i="16"/>
  <c r="L281" i="15"/>
  <c r="L324" i="15"/>
  <c r="L329" i="15"/>
  <c r="L334" i="15"/>
  <c r="L388" i="15"/>
  <c r="L393" i="15"/>
  <c r="G79" i="17"/>
  <c r="E79" i="18"/>
  <c r="I159" i="16"/>
  <c r="E42" i="18"/>
  <c r="G42" i="17"/>
  <c r="H31" i="16"/>
  <c r="E52" i="18"/>
  <c r="G52" i="17"/>
  <c r="H41" i="16"/>
  <c r="N89" i="16"/>
  <c r="L325" i="15"/>
  <c r="L330" i="15"/>
  <c r="L384" i="15"/>
  <c r="L389" i="15"/>
  <c r="L394" i="15"/>
  <c r="N38" i="16"/>
  <c r="L350" i="15"/>
  <c r="L301" i="15"/>
  <c r="L306" i="15"/>
  <c r="L365" i="15"/>
  <c r="L370" i="15"/>
  <c r="G50" i="17"/>
  <c r="E50" i="18"/>
  <c r="H39" i="16"/>
  <c r="D41" i="7" s="1"/>
  <c r="F41" i="7" s="1"/>
  <c r="G22" i="17"/>
  <c r="E22" i="18"/>
  <c r="H47" i="16"/>
  <c r="N61" i="16"/>
  <c r="N100" i="16"/>
  <c r="G98" i="17"/>
  <c r="E98" i="18"/>
  <c r="G114" i="17"/>
  <c r="E114" i="18"/>
  <c r="G126" i="17"/>
  <c r="E126" i="18"/>
  <c r="G135" i="17"/>
  <c r="E135" i="18"/>
  <c r="O294" i="16"/>
  <c r="K294" i="16"/>
  <c r="I294" i="16" s="1"/>
  <c r="E15" i="18"/>
  <c r="G15" i="17"/>
  <c r="G45" i="17"/>
  <c r="E45" i="18"/>
  <c r="G60" i="17"/>
  <c r="E60" i="18"/>
  <c r="G71" i="17"/>
  <c r="E71" i="18"/>
  <c r="E80" i="18"/>
  <c r="G80" i="17"/>
  <c r="G82" i="17"/>
  <c r="E82" i="18"/>
  <c r="E91" i="18"/>
  <c r="G91" i="17"/>
  <c r="H115" i="16"/>
  <c r="E107" i="18"/>
  <c r="G107" i="17"/>
  <c r="H131" i="16"/>
  <c r="H200" i="16"/>
  <c r="K140" i="17"/>
  <c r="J140" i="17"/>
  <c r="E18" i="18"/>
  <c r="G18" i="17"/>
  <c r="G62" i="17"/>
  <c r="E62" i="18"/>
  <c r="E64" i="18"/>
  <c r="G64" i="17"/>
  <c r="E100" i="18"/>
  <c r="G100" i="17"/>
  <c r="E116" i="18"/>
  <c r="G116" i="17"/>
  <c r="G124" i="17"/>
  <c r="H198" i="16"/>
  <c r="E124" i="18"/>
  <c r="G8" i="17"/>
  <c r="E8" i="18"/>
  <c r="G17" i="17"/>
  <c r="E17" i="18"/>
  <c r="G47" i="17"/>
  <c r="E47" i="18"/>
  <c r="G55" i="17"/>
  <c r="E55" i="18"/>
  <c r="H43" i="16"/>
  <c r="H81" i="16"/>
  <c r="E73" i="18"/>
  <c r="G73" i="17"/>
  <c r="E84" i="18"/>
  <c r="G84" i="17"/>
  <c r="G93" i="17"/>
  <c r="E93" i="18"/>
  <c r="H117" i="16"/>
  <c r="G109" i="17"/>
  <c r="E109" i="18"/>
  <c r="H133" i="16"/>
  <c r="K171" i="16"/>
  <c r="I171" i="16" s="1"/>
  <c r="G133" i="17"/>
  <c r="E133" i="18"/>
  <c r="O223" i="16"/>
  <c r="G11" i="17"/>
  <c r="E11" i="18"/>
  <c r="E12" i="18"/>
  <c r="G12" i="17"/>
  <c r="H17" i="16"/>
  <c r="G24" i="17"/>
  <c r="E24" i="18"/>
  <c r="G40" i="17"/>
  <c r="E40" i="18"/>
  <c r="H36" i="16"/>
  <c r="G66" i="17"/>
  <c r="E66" i="18"/>
  <c r="H90" i="16"/>
  <c r="H101" i="16"/>
  <c r="E86" i="18"/>
  <c r="G86" i="17"/>
  <c r="H110" i="16"/>
  <c r="E102" i="18"/>
  <c r="G102" i="17"/>
  <c r="H126" i="16"/>
  <c r="G119" i="17"/>
  <c r="E119" i="18"/>
  <c r="N214" i="16"/>
  <c r="G143" i="17"/>
  <c r="E143" i="18"/>
  <c r="O302" i="16"/>
  <c r="K302" i="16"/>
  <c r="E49" i="18"/>
  <c r="G49" i="17"/>
  <c r="E20" i="18"/>
  <c r="G20" i="17"/>
  <c r="E75" i="18"/>
  <c r="G120" i="17"/>
  <c r="G75" i="17"/>
  <c r="E120" i="18"/>
  <c r="G95" i="17"/>
  <c r="E95" i="18"/>
  <c r="G111" i="17"/>
  <c r="E111" i="18"/>
  <c r="E131" i="18"/>
  <c r="G131" i="17"/>
  <c r="E57" i="18"/>
  <c r="G57" i="17"/>
  <c r="E68" i="18"/>
  <c r="G68" i="17"/>
  <c r="G88" i="17"/>
  <c r="E88" i="18"/>
  <c r="G104" i="17"/>
  <c r="E104" i="18"/>
  <c r="G77" i="17"/>
  <c r="E77" i="18"/>
  <c r="E97" i="18"/>
  <c r="G97" i="17"/>
  <c r="E113" i="18"/>
  <c r="G113" i="17"/>
  <c r="K136" i="17"/>
  <c r="J136" i="17"/>
  <c r="G141" i="17"/>
  <c r="E141" i="18"/>
  <c r="G14" i="17"/>
  <c r="E14" i="18"/>
  <c r="G44" i="17"/>
  <c r="E44" i="18"/>
  <c r="E59" i="18"/>
  <c r="G59" i="17"/>
  <c r="E70" i="18"/>
  <c r="G70" i="17"/>
  <c r="H94" i="16"/>
  <c r="D404" i="8" s="1"/>
  <c r="F404" i="8" s="1"/>
  <c r="E90" i="18"/>
  <c r="E121" i="18"/>
  <c r="G90" i="17"/>
  <c r="G121" i="17"/>
  <c r="H114" i="16"/>
  <c r="E106" i="18"/>
  <c r="G106" i="17"/>
  <c r="H130" i="16"/>
  <c r="G125" i="17"/>
  <c r="E125" i="18"/>
  <c r="G127" i="17"/>
  <c r="E127" i="18"/>
  <c r="E129" i="18"/>
  <c r="G129" i="17"/>
  <c r="H203" i="16"/>
  <c r="H123" i="16"/>
  <c r="E115" i="18"/>
  <c r="G115" i="17"/>
  <c r="H199" i="16"/>
  <c r="H201" i="16"/>
  <c r="K287" i="17"/>
  <c r="J287" i="17"/>
  <c r="G61" i="17"/>
  <c r="E61" i="18"/>
  <c r="G63" i="17"/>
  <c r="E63" i="18"/>
  <c r="G72" i="17"/>
  <c r="E72" i="18"/>
  <c r="E83" i="18"/>
  <c r="G83" i="17"/>
  <c r="G92" i="17"/>
  <c r="E92" i="18"/>
  <c r="G108" i="17"/>
  <c r="E108" i="18"/>
  <c r="N210" i="16"/>
  <c r="E139" i="18"/>
  <c r="G139" i="17"/>
  <c r="E65" i="18"/>
  <c r="G65" i="17"/>
  <c r="H100" i="16"/>
  <c r="H109" i="16"/>
  <c r="D212" i="8" s="1"/>
  <c r="F212" i="8" s="1"/>
  <c r="G101" i="17"/>
  <c r="E101" i="18"/>
  <c r="H125" i="16"/>
  <c r="G117" i="17"/>
  <c r="E117" i="18"/>
  <c r="E118" i="18"/>
  <c r="G118" i="17"/>
  <c r="H197" i="16"/>
  <c r="E123" i="18"/>
  <c r="G123" i="17"/>
  <c r="N203" i="16"/>
  <c r="G23" i="17"/>
  <c r="E23" i="18"/>
  <c r="E48" i="18"/>
  <c r="G48" i="17"/>
  <c r="E19" i="18"/>
  <c r="G19" i="17"/>
  <c r="H82" i="16"/>
  <c r="E74" i="18"/>
  <c r="G74" i="17"/>
  <c r="G85" i="17"/>
  <c r="E85" i="18"/>
  <c r="G94" i="17"/>
  <c r="E94" i="18"/>
  <c r="H118" i="16"/>
  <c r="G110" i="17"/>
  <c r="E110" i="18"/>
  <c r="H134" i="16"/>
  <c r="H136" i="16"/>
  <c r="E41" i="18"/>
  <c r="G41" i="17"/>
  <c r="H37" i="16"/>
  <c r="H44" i="16"/>
  <c r="G56" i="17"/>
  <c r="E56" i="18"/>
  <c r="E67" i="18"/>
  <c r="G67" i="17"/>
  <c r="H91" i="16"/>
  <c r="G87" i="17"/>
  <c r="E87" i="18"/>
  <c r="H111" i="16"/>
  <c r="G103" i="17"/>
  <c r="E103" i="18"/>
  <c r="H127" i="16"/>
  <c r="N208" i="16"/>
  <c r="E137" i="18"/>
  <c r="G137" i="17"/>
  <c r="G76" i="17"/>
  <c r="E76" i="18"/>
  <c r="E96" i="18"/>
  <c r="G96" i="17"/>
  <c r="E112" i="18"/>
  <c r="G112" i="17"/>
  <c r="G130" i="17"/>
  <c r="E130" i="18"/>
  <c r="K142" i="17"/>
  <c r="J142" i="17"/>
  <c r="N242" i="16"/>
  <c r="E43" i="18"/>
  <c r="G43" i="17"/>
  <c r="E58" i="18"/>
  <c r="G58" i="17"/>
  <c r="G69" i="17"/>
  <c r="E69" i="18"/>
  <c r="H93" i="16"/>
  <c r="E89" i="18"/>
  <c r="G89" i="17"/>
  <c r="H113" i="16"/>
  <c r="E105" i="18"/>
  <c r="G105" i="17"/>
  <c r="H129" i="16"/>
  <c r="N197" i="16"/>
  <c r="H204" i="16"/>
  <c r="N228" i="16"/>
  <c r="I287" i="16"/>
  <c r="N302" i="16"/>
  <c r="O307" i="16"/>
  <c r="K307" i="16"/>
  <c r="I307" i="16" s="1"/>
  <c r="E140" i="18"/>
  <c r="G134" i="17"/>
  <c r="G128" i="17"/>
  <c r="J203" i="17"/>
  <c r="J248" i="17"/>
  <c r="J273" i="17"/>
  <c r="J292" i="17"/>
  <c r="J360" i="17"/>
  <c r="J376" i="17"/>
  <c r="J397" i="17"/>
  <c r="J469" i="17"/>
  <c r="J546" i="17"/>
  <c r="E136" i="18"/>
  <c r="G122" i="17"/>
  <c r="G138" i="17"/>
  <c r="J6" i="17"/>
  <c r="J283" i="17"/>
  <c r="J370" i="17"/>
  <c r="J391" i="17"/>
  <c r="J527" i="17"/>
  <c r="J600" i="17"/>
  <c r="E142" i="18"/>
  <c r="J32" i="17"/>
  <c r="G132" i="17"/>
  <c r="J179" i="17"/>
  <c r="J182" i="17"/>
  <c r="J204" i="17"/>
  <c r="J249" i="17"/>
  <c r="J274" i="17"/>
  <c r="J293" i="17"/>
  <c r="J350" i="17"/>
  <c r="J361" i="17"/>
  <c r="J377" i="17"/>
  <c r="J398" i="17"/>
  <c r="J547" i="17"/>
  <c r="J581" i="17"/>
  <c r="J4" i="17"/>
  <c r="J194" i="17"/>
  <c r="J281" i="17"/>
  <c r="J300" i="17"/>
  <c r="J331" i="17"/>
  <c r="J368" i="17"/>
  <c r="J482" i="17"/>
  <c r="J513" i="17"/>
  <c r="J33" i="17"/>
  <c r="J170" i="17"/>
  <c r="J180" i="17"/>
  <c r="J239" i="17"/>
  <c r="J257" i="17"/>
  <c r="J264" i="17"/>
  <c r="J278" i="17"/>
  <c r="J297" i="17"/>
  <c r="J461" i="17"/>
  <c r="J479" i="17"/>
  <c r="J559" i="17"/>
  <c r="J27" i="17"/>
  <c r="J250" i="17"/>
  <c r="J320" i="17"/>
  <c r="J351" i="17"/>
  <c r="J362" i="17"/>
  <c r="J378" i="17"/>
  <c r="J399" i="17"/>
  <c r="J556" i="17"/>
  <c r="J571" i="17"/>
  <c r="K76" i="17" l="1"/>
  <c r="J76" i="17"/>
  <c r="J63" i="17"/>
  <c r="K63" i="17"/>
  <c r="K104" i="17"/>
  <c r="J104" i="17"/>
  <c r="K86" i="17"/>
  <c r="J86" i="17"/>
  <c r="K80" i="17"/>
  <c r="J80" i="17"/>
  <c r="K126" i="17"/>
  <c r="J126" i="17"/>
  <c r="K53" i="17"/>
  <c r="J53" i="17"/>
  <c r="K54" i="17"/>
  <c r="J54" i="17"/>
  <c r="K69" i="17"/>
  <c r="J69" i="17"/>
  <c r="J109" i="16"/>
  <c r="L118" i="13"/>
  <c r="K118" i="13" s="1"/>
  <c r="K118" i="12"/>
  <c r="J118" i="12" s="1"/>
  <c r="K139" i="5"/>
  <c r="J139" i="5" s="1"/>
  <c r="K138" i="17"/>
  <c r="J138" i="17"/>
  <c r="K58" i="17"/>
  <c r="J58" i="17"/>
  <c r="K48" i="17"/>
  <c r="J48" i="17"/>
  <c r="J127" i="17"/>
  <c r="K127" i="17"/>
  <c r="K20" i="17"/>
  <c r="J20" i="17"/>
  <c r="K122" i="17"/>
  <c r="J122" i="17"/>
  <c r="K61" i="17"/>
  <c r="J61" i="17"/>
  <c r="K44" i="17"/>
  <c r="J44" i="17"/>
  <c r="K88" i="17"/>
  <c r="J88" i="17"/>
  <c r="K133" i="17"/>
  <c r="J133" i="17"/>
  <c r="K62" i="17"/>
  <c r="J62" i="17"/>
  <c r="K114" i="17"/>
  <c r="J114" i="17"/>
  <c r="K21" i="17"/>
  <c r="J21" i="17"/>
  <c r="K99" i="17"/>
  <c r="J99" i="17"/>
  <c r="K13" i="17"/>
  <c r="J13" i="17"/>
  <c r="K137" i="17"/>
  <c r="J137" i="17"/>
  <c r="K55" i="17"/>
  <c r="J55" i="17"/>
  <c r="K65" i="17"/>
  <c r="J65" i="17"/>
  <c r="K43" i="17"/>
  <c r="J43" i="17"/>
  <c r="K125" i="17"/>
  <c r="J125" i="17"/>
  <c r="K68" i="17"/>
  <c r="J68" i="17"/>
  <c r="K49" i="17"/>
  <c r="J49" i="17"/>
  <c r="J47" i="17"/>
  <c r="K47" i="17"/>
  <c r="K18" i="17"/>
  <c r="J18" i="17"/>
  <c r="K71" i="17"/>
  <c r="J71" i="17"/>
  <c r="K46" i="17"/>
  <c r="J46" i="17"/>
  <c r="K10" i="17"/>
  <c r="J10" i="17"/>
  <c r="H7" i="13" s="1"/>
  <c r="K287" i="14"/>
  <c r="M19" i="15" s="1"/>
  <c r="J287" i="14"/>
  <c r="I302" i="16"/>
  <c r="K41" i="17"/>
  <c r="J41" i="17"/>
  <c r="K23" i="17"/>
  <c r="J23" i="17"/>
  <c r="K139" i="17"/>
  <c r="J139" i="17"/>
  <c r="O24" i="16"/>
  <c r="K24" i="16"/>
  <c r="I24" i="16" s="1"/>
  <c r="K14" i="17"/>
  <c r="J14" i="17"/>
  <c r="K98" i="17"/>
  <c r="J98" i="17"/>
  <c r="K42" i="17"/>
  <c r="J42" i="17"/>
  <c r="K106" i="17"/>
  <c r="J106" i="17"/>
  <c r="K57" i="17"/>
  <c r="J57" i="17"/>
  <c r="K66" i="17"/>
  <c r="J66" i="17"/>
  <c r="K17" i="17"/>
  <c r="J17" i="17"/>
  <c r="K60" i="17"/>
  <c r="J60" i="17"/>
  <c r="K81" i="17"/>
  <c r="J81" i="17"/>
  <c r="J94" i="16"/>
  <c r="L103" i="13"/>
  <c r="K103" i="13" s="1"/>
  <c r="K103" i="12"/>
  <c r="J103" i="12" s="1"/>
  <c r="K124" i="5"/>
  <c r="J124" i="5" s="1"/>
  <c r="K123" i="17"/>
  <c r="J123" i="17"/>
  <c r="K141" i="17"/>
  <c r="J141" i="17"/>
  <c r="K109" i="17"/>
  <c r="J109" i="17"/>
  <c r="O214" i="16"/>
  <c r="K214" i="16"/>
  <c r="I214" i="16" s="1"/>
  <c r="K78" i="17"/>
  <c r="J78" i="17"/>
  <c r="K12" i="17"/>
  <c r="J12" i="17"/>
  <c r="H11" i="13" s="1"/>
  <c r="K103" i="17"/>
  <c r="J103" i="17"/>
  <c r="K115" i="17"/>
  <c r="J115" i="17"/>
  <c r="K131" i="17"/>
  <c r="J131" i="17"/>
  <c r="K8" i="17"/>
  <c r="J8" i="17"/>
  <c r="K45" i="17"/>
  <c r="J45" i="17"/>
  <c r="K121" i="17"/>
  <c r="J121" i="17"/>
  <c r="O210" i="16"/>
  <c r="K210" i="16"/>
  <c r="I210" i="16" s="1"/>
  <c r="J143" i="17"/>
  <c r="K143" i="17"/>
  <c r="K40" i="17"/>
  <c r="J40" i="17"/>
  <c r="K15" i="17"/>
  <c r="J15" i="17"/>
  <c r="K89" i="17"/>
  <c r="J89" i="17"/>
  <c r="K74" i="17"/>
  <c r="J74" i="17"/>
  <c r="K73" i="17"/>
  <c r="J73" i="17"/>
  <c r="K132" i="17"/>
  <c r="J132" i="17"/>
  <c r="O216" i="16"/>
  <c r="K216" i="16"/>
  <c r="I216" i="16" s="1"/>
  <c r="K87" i="17"/>
  <c r="J87" i="17"/>
  <c r="J79" i="17"/>
  <c r="K79" i="17"/>
  <c r="K16" i="17"/>
  <c r="J16" i="17"/>
  <c r="K105" i="17"/>
  <c r="J105" i="17"/>
  <c r="K94" i="17"/>
  <c r="J94" i="17"/>
  <c r="K113" i="17"/>
  <c r="J113" i="17"/>
  <c r="K93" i="17"/>
  <c r="J93" i="17"/>
  <c r="K107" i="17"/>
  <c r="J107" i="17"/>
  <c r="K92" i="17"/>
  <c r="J92" i="17"/>
  <c r="J111" i="17"/>
  <c r="K111" i="17"/>
  <c r="K84" i="17"/>
  <c r="J84" i="17"/>
  <c r="K22" i="17"/>
  <c r="J22" i="17"/>
  <c r="K117" i="17"/>
  <c r="J117" i="17"/>
  <c r="K91" i="17"/>
  <c r="J91" i="17"/>
  <c r="K110" i="17"/>
  <c r="J110" i="17"/>
  <c r="K108" i="17"/>
  <c r="J108" i="17"/>
  <c r="K118" i="17"/>
  <c r="J118" i="17"/>
  <c r="K90" i="17"/>
  <c r="J90" i="17"/>
  <c r="K130" i="17"/>
  <c r="J130" i="17"/>
  <c r="G147" i="17"/>
  <c r="E147" i="18"/>
  <c r="G147" i="14"/>
  <c r="K24" i="17"/>
  <c r="J24" i="17"/>
  <c r="K124" i="17"/>
  <c r="J124" i="17"/>
  <c r="K112" i="17"/>
  <c r="J112" i="17"/>
  <c r="K67" i="17"/>
  <c r="J67" i="17"/>
  <c r="K85" i="17"/>
  <c r="J85" i="17"/>
  <c r="K83" i="17"/>
  <c r="J83" i="17"/>
  <c r="K97" i="17"/>
  <c r="J97" i="17"/>
  <c r="K119" i="17"/>
  <c r="J119" i="17"/>
  <c r="K116" i="17"/>
  <c r="J116" i="17"/>
  <c r="D398" i="9"/>
  <c r="G398" i="9" s="1"/>
  <c r="G1" i="9" s="1"/>
  <c r="M414" i="5"/>
  <c r="N414" i="5" s="1"/>
  <c r="J95" i="17"/>
  <c r="K95" i="17"/>
  <c r="K128" i="17"/>
  <c r="J128" i="17"/>
  <c r="K96" i="17"/>
  <c r="J96" i="17"/>
  <c r="K70" i="17"/>
  <c r="J70" i="17"/>
  <c r="K100" i="17"/>
  <c r="J100" i="17"/>
  <c r="K135" i="17"/>
  <c r="J135" i="17"/>
  <c r="K50" i="17"/>
  <c r="J50" i="17"/>
  <c r="K102" i="17"/>
  <c r="J102" i="17"/>
  <c r="K134" i="17"/>
  <c r="J134" i="17"/>
  <c r="K56" i="17"/>
  <c r="J56" i="17"/>
  <c r="K72" i="17"/>
  <c r="J72" i="17"/>
  <c r="K129" i="17"/>
  <c r="J129" i="17"/>
  <c r="K77" i="17"/>
  <c r="J77" i="17"/>
  <c r="K75" i="17"/>
  <c r="J75" i="17"/>
  <c r="K52" i="17"/>
  <c r="J52" i="17"/>
  <c r="K9" i="17"/>
  <c r="J9" i="17"/>
  <c r="H5" i="13" s="1"/>
  <c r="J40" i="16"/>
  <c r="L40" i="13"/>
  <c r="K40" i="13" s="1"/>
  <c r="K40" i="12"/>
  <c r="J40" i="12" s="1"/>
  <c r="K40" i="5"/>
  <c r="J40" i="5" s="1"/>
  <c r="K19" i="17"/>
  <c r="J19" i="17"/>
  <c r="K101" i="17"/>
  <c r="J101" i="17"/>
  <c r="K59" i="17"/>
  <c r="J59" i="17"/>
  <c r="K120" i="17"/>
  <c r="J120" i="17"/>
  <c r="J11" i="17"/>
  <c r="H9" i="13" s="1"/>
  <c r="K11" i="17"/>
  <c r="K64" i="17"/>
  <c r="J64" i="17"/>
  <c r="K82" i="17"/>
  <c r="J82" i="17"/>
  <c r="K51" i="17"/>
  <c r="J51" i="17"/>
  <c r="N17" i="15" l="1"/>
  <c r="K42" i="16"/>
  <c r="I42" i="16" s="1"/>
  <c r="O42" i="16"/>
  <c r="O81" i="16"/>
  <c r="K81" i="16"/>
  <c r="I81" i="16" s="1"/>
  <c r="K108" i="16"/>
  <c r="I108" i="16" s="1"/>
  <c r="O108" i="16"/>
  <c r="O217" i="16"/>
  <c r="K217" i="16"/>
  <c r="I217" i="16" s="1"/>
  <c r="O200" i="16"/>
  <c r="K200" i="16"/>
  <c r="I200" i="16" s="1"/>
  <c r="K132" i="16"/>
  <c r="I132" i="16" s="1"/>
  <c r="O132" i="16"/>
  <c r="O126" i="16"/>
  <c r="K126" i="16"/>
  <c r="I126" i="16" s="1"/>
  <c r="K17" i="16"/>
  <c r="I17" i="16" s="1"/>
  <c r="O17" i="16"/>
  <c r="K14" i="16"/>
  <c r="I14" i="16" s="1"/>
  <c r="O14" i="16"/>
  <c r="O85" i="16"/>
  <c r="K85" i="16"/>
  <c r="I85" i="16" s="1"/>
  <c r="K147" i="14"/>
  <c r="M86" i="15" s="1"/>
  <c r="M1" i="15" s="1"/>
  <c r="J147" i="14"/>
  <c r="K134" i="16"/>
  <c r="I134" i="16" s="1"/>
  <c r="O134" i="16"/>
  <c r="O83" i="16"/>
  <c r="K83" i="16"/>
  <c r="I83" i="16" s="1"/>
  <c r="O199" i="16"/>
  <c r="K199" i="16"/>
  <c r="I199" i="16" s="1"/>
  <c r="O97" i="16"/>
  <c r="K97" i="16"/>
  <c r="I97" i="16" s="1"/>
  <c r="K78" i="16"/>
  <c r="I78" i="16" s="1"/>
  <c r="O78" i="16"/>
  <c r="K147" i="17"/>
  <c r="J147" i="17"/>
  <c r="O130" i="16"/>
  <c r="K130" i="16"/>
  <c r="I130" i="16" s="1"/>
  <c r="K206" i="16"/>
  <c r="I206" i="16" s="1"/>
  <c r="O206" i="16"/>
  <c r="K116" i="16"/>
  <c r="I116" i="16" s="1"/>
  <c r="O116" i="16"/>
  <c r="O196" i="16"/>
  <c r="K196" i="16"/>
  <c r="I196" i="16" s="1"/>
  <c r="O86" i="16"/>
  <c r="K86" i="16"/>
  <c r="I86" i="16" s="1"/>
  <c r="O208" i="16"/>
  <c r="K208" i="16"/>
  <c r="I208" i="16" s="1"/>
  <c r="O114" i="16"/>
  <c r="K114" i="16"/>
  <c r="I114" i="16" s="1"/>
  <c r="O11" i="16"/>
  <c r="K11" i="16"/>
  <c r="I11" i="16" s="1"/>
  <c r="K197" i="16"/>
  <c r="I197" i="16" s="1"/>
  <c r="O197" i="16"/>
  <c r="K74" i="16"/>
  <c r="I74" i="16" s="1"/>
  <c r="O74" i="16"/>
  <c r="K213" i="16"/>
  <c r="I213" i="16" s="1"/>
  <c r="O213" i="16"/>
  <c r="K7" i="16"/>
  <c r="I7" i="16" s="1"/>
  <c r="O7" i="16"/>
  <c r="K32" i="16"/>
  <c r="I32" i="16" s="1"/>
  <c r="O32" i="16"/>
  <c r="O103" i="16"/>
  <c r="K103" i="16"/>
  <c r="I103" i="16" s="1"/>
  <c r="K9" i="16"/>
  <c r="I9" i="16" s="1"/>
  <c r="O9" i="16"/>
  <c r="O46" i="16"/>
  <c r="K46" i="16"/>
  <c r="I46" i="16" s="1"/>
  <c r="O45" i="16"/>
  <c r="K45" i="16"/>
  <c r="I45" i="16" s="1"/>
  <c r="O29" i="16"/>
  <c r="K29" i="16"/>
  <c r="I29" i="16" s="1"/>
  <c r="K77" i="16"/>
  <c r="I77" i="16" s="1"/>
  <c r="O77" i="16"/>
  <c r="O38" i="16"/>
  <c r="K38" i="16"/>
  <c r="I38" i="16" s="1"/>
  <c r="K87" i="16"/>
  <c r="I87" i="16" s="1"/>
  <c r="O87" i="16"/>
  <c r="O104" i="16"/>
  <c r="K104" i="16"/>
  <c r="I104" i="16" s="1"/>
  <c r="K33" i="16"/>
  <c r="I33" i="16" s="1"/>
  <c r="O33" i="16"/>
  <c r="K123" i="16"/>
  <c r="I123" i="16" s="1"/>
  <c r="O123" i="16"/>
  <c r="O22" i="16"/>
  <c r="K22" i="16"/>
  <c r="I22" i="16" s="1"/>
  <c r="O35" i="16"/>
  <c r="K35" i="16"/>
  <c r="I35" i="16" s="1"/>
  <c r="K82" i="16"/>
  <c r="I82" i="16" s="1"/>
  <c r="O82" i="16"/>
  <c r="O201" i="16"/>
  <c r="K201" i="16"/>
  <c r="I201" i="16" s="1"/>
  <c r="O121" i="16"/>
  <c r="K121" i="16"/>
  <c r="I121" i="16" s="1"/>
  <c r="O131" i="16"/>
  <c r="K131" i="16"/>
  <c r="I131" i="16" s="1"/>
  <c r="K80" i="16"/>
  <c r="I80" i="16" s="1"/>
  <c r="O80" i="16"/>
  <c r="O133" i="16"/>
  <c r="K133" i="16"/>
  <c r="I133" i="16" s="1"/>
  <c r="O23" i="16"/>
  <c r="K23" i="16"/>
  <c r="I23" i="16" s="1"/>
  <c r="K30" i="16"/>
  <c r="I30" i="16" s="1"/>
  <c r="O30" i="16"/>
  <c r="K88" i="16"/>
  <c r="I88" i="16" s="1"/>
  <c r="O88" i="16"/>
  <c r="O115" i="16"/>
  <c r="K115" i="16"/>
  <c r="I115" i="16" s="1"/>
  <c r="K13" i="16"/>
  <c r="I13" i="16" s="1"/>
  <c r="O13" i="16"/>
  <c r="O41" i="16"/>
  <c r="K41" i="16"/>
  <c r="I41" i="16" s="1"/>
  <c r="O111" i="16"/>
  <c r="K111" i="16"/>
  <c r="I111" i="16" s="1"/>
  <c r="O92" i="16"/>
  <c r="K92" i="16"/>
  <c r="I92" i="16" s="1"/>
  <c r="K136" i="16"/>
  <c r="I136" i="16" s="1"/>
  <c r="O136" i="16"/>
  <c r="K79" i="16"/>
  <c r="I79" i="16" s="1"/>
  <c r="O79" i="16"/>
  <c r="O37" i="16"/>
  <c r="K37" i="16"/>
  <c r="I37" i="16" s="1"/>
  <c r="O113" i="16"/>
  <c r="K113" i="16"/>
  <c r="I113" i="16" s="1"/>
  <c r="O110" i="16"/>
  <c r="K110" i="16"/>
  <c r="I110" i="16" s="1"/>
  <c r="O120" i="16"/>
  <c r="K120" i="16"/>
  <c r="I120" i="16" s="1"/>
  <c r="O204" i="16"/>
  <c r="K204" i="16"/>
  <c r="I204" i="16" s="1"/>
  <c r="K102" i="16"/>
  <c r="I102" i="16" s="1"/>
  <c r="O102" i="16"/>
  <c r="O94" i="16"/>
  <c r="K94" i="16"/>
  <c r="I94" i="16" s="1"/>
  <c r="K39" i="16"/>
  <c r="I39" i="16" s="1"/>
  <c r="O39" i="16"/>
  <c r="O106" i="16"/>
  <c r="K106" i="16"/>
  <c r="I106" i="16" s="1"/>
  <c r="O84" i="16"/>
  <c r="K84" i="16"/>
  <c r="I84" i="16" s="1"/>
  <c r="O128" i="16"/>
  <c r="K128" i="16"/>
  <c r="I128" i="16" s="1"/>
  <c r="K34" i="16"/>
  <c r="I34" i="16" s="1"/>
  <c r="O34" i="16"/>
  <c r="O43" i="16"/>
  <c r="K43" i="16"/>
  <c r="I43" i="16" s="1"/>
  <c r="K211" i="16"/>
  <c r="I211" i="16" s="1"/>
  <c r="O211" i="16"/>
  <c r="O93" i="16"/>
  <c r="K93" i="16"/>
  <c r="I93" i="16" s="1"/>
  <c r="O198" i="16"/>
  <c r="K198" i="16"/>
  <c r="I198" i="16" s="1"/>
  <c r="O205" i="16"/>
  <c r="K205" i="16"/>
  <c r="I205" i="16" s="1"/>
  <c r="K202" i="16"/>
  <c r="I202" i="16" s="1"/>
  <c r="O202" i="16"/>
  <c r="K100" i="16"/>
  <c r="I100" i="16" s="1"/>
  <c r="O100" i="16"/>
  <c r="O47" i="16"/>
  <c r="K47" i="16"/>
  <c r="I47" i="16" s="1"/>
  <c r="O122" i="16"/>
  <c r="K122" i="16"/>
  <c r="I122" i="16" s="1"/>
  <c r="O44" i="16"/>
  <c r="K44" i="16"/>
  <c r="I44" i="16" s="1"/>
  <c r="O101" i="16"/>
  <c r="K101" i="16"/>
  <c r="I101" i="16" s="1"/>
  <c r="O40" i="16"/>
  <c r="K40" i="16"/>
  <c r="I40" i="16" s="1"/>
  <c r="K203" i="16"/>
  <c r="I203" i="16" s="1"/>
  <c r="O203" i="16"/>
  <c r="O209" i="16"/>
  <c r="K209" i="16"/>
  <c r="I209" i="16" s="1"/>
  <c r="K125" i="16"/>
  <c r="I125" i="16" s="1"/>
  <c r="O125" i="16"/>
  <c r="O16" i="16"/>
  <c r="K16" i="16"/>
  <c r="I16" i="16" s="1"/>
  <c r="K36" i="16"/>
  <c r="I36" i="16" s="1"/>
  <c r="O36" i="16"/>
  <c r="O207" i="16"/>
  <c r="K207" i="16"/>
  <c r="I207" i="16" s="1"/>
  <c r="O75" i="16"/>
  <c r="K75" i="16"/>
  <c r="I75" i="16" s="1"/>
  <c r="O137" i="16"/>
  <c r="K137" i="16"/>
  <c r="I137" i="16" s="1"/>
  <c r="O215" i="16"/>
  <c r="K215" i="16"/>
  <c r="I215" i="16" s="1"/>
  <c r="K5" i="16"/>
  <c r="I5" i="16" s="1"/>
  <c r="O5" i="16"/>
  <c r="K76" i="16"/>
  <c r="I76" i="16" s="1"/>
  <c r="O76" i="16"/>
  <c r="O112" i="16"/>
  <c r="K112" i="16"/>
  <c r="I112" i="16" s="1"/>
  <c r="O90" i="16"/>
  <c r="K90" i="16"/>
  <c r="I90" i="16" s="1"/>
  <c r="K107" i="16"/>
  <c r="I107" i="16" s="1"/>
  <c r="O107" i="16"/>
  <c r="O129" i="16"/>
  <c r="K129" i="16"/>
  <c r="I129" i="16" s="1"/>
  <c r="K96" i="16"/>
  <c r="I96" i="16" s="1"/>
  <c r="O96" i="16"/>
  <c r="O15" i="16"/>
  <c r="K15" i="16"/>
  <c r="I15" i="16" s="1"/>
  <c r="O3" i="16"/>
  <c r="K3" i="16"/>
  <c r="I3" i="16" s="1"/>
  <c r="O2" i="17"/>
  <c r="D3" i="1" s="1"/>
  <c r="E3" i="1" s="1"/>
  <c r="O95" i="16"/>
  <c r="K95" i="16"/>
  <c r="I95" i="16" s="1"/>
  <c r="K98" i="16"/>
  <c r="I98" i="16" s="1"/>
  <c r="O98" i="16"/>
  <c r="K31" i="16"/>
  <c r="I31" i="16" s="1"/>
  <c r="O31" i="16"/>
  <c r="O73" i="16"/>
  <c r="K73" i="16"/>
  <c r="I73" i="16" s="1"/>
  <c r="O124" i="16"/>
  <c r="K124" i="16"/>
  <c r="I124" i="16" s="1"/>
  <c r="O119" i="16"/>
  <c r="K119" i="16"/>
  <c r="I119" i="16" s="1"/>
  <c r="K118" i="16"/>
  <c r="I118" i="16" s="1"/>
  <c r="O118" i="16"/>
  <c r="O91" i="16"/>
  <c r="K91" i="16"/>
  <c r="I91" i="16" s="1"/>
  <c r="K99" i="16"/>
  <c r="I99" i="16" s="1"/>
  <c r="O99" i="16"/>
  <c r="K89" i="16"/>
  <c r="I89" i="16" s="1"/>
  <c r="O89" i="16"/>
  <c r="O117" i="16"/>
  <c r="K117" i="16"/>
  <c r="I117" i="16" s="1"/>
  <c r="O127" i="16"/>
  <c r="K127" i="16"/>
  <c r="I127" i="16" s="1"/>
  <c r="K109" i="16"/>
  <c r="I109" i="16" s="1"/>
  <c r="O109" i="16"/>
  <c r="O105" i="16"/>
  <c r="K105" i="16"/>
  <c r="I105" i="16" s="1"/>
  <c r="O212" i="16"/>
  <c r="K212" i="16"/>
  <c r="I212" i="16" s="1"/>
  <c r="O1" i="16" l="1"/>
</calcChain>
</file>

<file path=xl/sharedStrings.xml><?xml version="1.0" encoding="utf-8"?>
<sst xmlns="http://schemas.openxmlformats.org/spreadsheetml/2006/main" count="24054" uniqueCount="2194">
  <si>
    <t>Tổng chi phí</t>
  </si>
  <si>
    <t>Đã Thu</t>
  </si>
  <si>
    <t>Tiền lời</t>
  </si>
  <si>
    <t>Tháng</t>
  </si>
  <si>
    <t>Nội dung khoản chi/thu</t>
  </si>
  <si>
    <t>Chi phí</t>
  </si>
  <si>
    <t>Doanh thu</t>
  </si>
  <si>
    <t>Note</t>
  </si>
  <si>
    <t>đăng kí kinh doanh</t>
  </si>
  <si>
    <t>3 app</t>
  </si>
  <si>
    <t>Phiếu giao + tem quay video</t>
  </si>
  <si>
    <t>Thankyou card</t>
  </si>
  <si>
    <t>Tem</t>
  </si>
  <si>
    <t>Tăng follow facebook</t>
  </si>
  <si>
    <t>Phí rút tiền shopee</t>
  </si>
  <si>
    <t>Shopee Ads</t>
  </si>
  <si>
    <t>Ship MCN</t>
  </si>
  <si>
    <t>Viettel post</t>
  </si>
  <si>
    <t>Nạp tệ</t>
  </si>
  <si>
    <t>Hộp đựng</t>
  </si>
  <si>
    <t>Lixi 6868 shopee + túi ni lông</t>
  </si>
  <si>
    <t>Phí đơn ảo</t>
  </si>
  <si>
    <t>Hộp đựng + băng keo + decal</t>
  </si>
  <si>
    <t>Thuế</t>
  </si>
  <si>
    <t>Acc tiktok</t>
  </si>
  <si>
    <t>Ship Viettel</t>
  </si>
  <si>
    <t>Túi bóng</t>
  </si>
  <si>
    <t>Gói hút ẩm + túi gói hàng</t>
  </si>
  <si>
    <t>Kệ</t>
  </si>
  <si>
    <t xml:space="preserve">Thuế </t>
  </si>
  <si>
    <t>Tiền ship viettel post 19/03</t>
  </si>
  <si>
    <t>Tiktok Ads</t>
  </si>
  <si>
    <t>Giấy in đơn</t>
  </si>
  <si>
    <t>Ship viettel</t>
  </si>
  <si>
    <t>Hộp Carton</t>
  </si>
  <si>
    <t>deco</t>
  </si>
  <si>
    <t>Tăng tương tác Shopee</t>
  </si>
  <si>
    <t>súng bắn keo, keo nến, keo 502</t>
  </si>
  <si>
    <t>tiktok ads</t>
  </si>
  <si>
    <t>Gửi Grab</t>
  </si>
  <si>
    <t>giấy chống sốc, băng keo</t>
  </si>
  <si>
    <t>Đền bù khách hàng</t>
  </si>
  <si>
    <t>miếng dán mô hình</t>
  </si>
  <si>
    <t>giấy in đơn</t>
  </si>
  <si>
    <t>hộp carton</t>
  </si>
  <si>
    <t>Đơn ảo</t>
  </si>
  <si>
    <t>hộp đựng mô hình</t>
  </si>
  <si>
    <t>grab</t>
  </si>
  <si>
    <t>Hoàn đơn</t>
  </si>
  <si>
    <t>Máy khoan mini</t>
  </si>
  <si>
    <t>Đinh xoắn ốc</t>
  </si>
  <si>
    <t xml:space="preserve">kềm và hộp </t>
  </si>
  <si>
    <t>kệ đựng charm</t>
  </si>
  <si>
    <t>Băng keo+ xốp chống sốc</t>
  </si>
  <si>
    <t>seeding tiktok</t>
  </si>
  <si>
    <t>ads facebook</t>
  </si>
  <si>
    <t>Grab</t>
  </si>
  <si>
    <t>mũi khoan</t>
  </si>
  <si>
    <t>ship j&amp;t</t>
  </si>
  <si>
    <t>túi hàng</t>
  </si>
  <si>
    <t>Ship minhtan</t>
  </si>
  <si>
    <t>giấy in đơn, máy in</t>
  </si>
  <si>
    <t>Shopee + FB Ads</t>
  </si>
  <si>
    <t>Bao lì xì</t>
  </si>
  <si>
    <t>phụ kiện móc khóa</t>
  </si>
  <si>
    <t>Doanh Thu</t>
  </si>
  <si>
    <t>Chi Phí</t>
  </si>
  <si>
    <t>Lãi Ròng</t>
  </si>
  <si>
    <t>Doanh Số</t>
  </si>
  <si>
    <t>Ngày</t>
  </si>
  <si>
    <t>Mã sản phẩm</t>
  </si>
  <si>
    <t>Loại</t>
  </si>
  <si>
    <t>Tên sản phẩm</t>
  </si>
  <si>
    <t>Số lượng</t>
  </si>
  <si>
    <t>Giá sàn</t>
  </si>
  <si>
    <t>Ghi chú</t>
  </si>
  <si>
    <t>22/7/2025</t>
  </si>
  <si>
    <t>ccpmdt06</t>
  </si>
  <si>
    <t>móc khóa</t>
  </si>
  <si>
    <t>ccpmdt76</t>
  </si>
  <si>
    <t>ccpmdt34</t>
  </si>
  <si>
    <t>móc khoá</t>
  </si>
  <si>
    <t>ccpmdt63</t>
  </si>
  <si>
    <t xml:space="preserve">móc khoá </t>
  </si>
  <si>
    <t>ccpmdt47</t>
  </si>
  <si>
    <t>ccpmdt19</t>
  </si>
  <si>
    <t>ccpmdt75</t>
  </si>
  <si>
    <t xml:space="preserve"> móc khoá</t>
  </si>
  <si>
    <t>ccpmdt74</t>
  </si>
  <si>
    <t>ccpmdt58 - ct06</t>
  </si>
  <si>
    <t>dây đeo điện thoại</t>
  </si>
  <si>
    <t>ccpmdt76 - ct06</t>
  </si>
  <si>
    <t>ccpmdt82</t>
  </si>
  <si>
    <t>ccpmdt52</t>
  </si>
  <si>
    <t>mkb04</t>
  </si>
  <si>
    <t>ccpmdt60</t>
  </si>
  <si>
    <t>ccpmdt16</t>
  </si>
  <si>
    <t>ccpmdt72</t>
  </si>
  <si>
    <t>ccpmdt78</t>
  </si>
  <si>
    <t>ccpmdt83</t>
  </si>
  <si>
    <t>ccpmdt81</t>
  </si>
  <si>
    <t>ccpmdt65</t>
  </si>
  <si>
    <t>ccpmdt79</t>
  </si>
  <si>
    <t>ccpmdt50</t>
  </si>
  <si>
    <t>ccpmdt61</t>
  </si>
  <si>
    <t>ggvmn03</t>
  </si>
  <si>
    <t>ví mini</t>
  </si>
  <si>
    <t>mkdm13</t>
  </si>
  <si>
    <t>ccpmdt56</t>
  </si>
  <si>
    <t>skullpanda</t>
  </si>
  <si>
    <t>skullpanda01-ct03</t>
  </si>
  <si>
    <t>ccpmdt58</t>
  </si>
  <si>
    <t>mkdm11</t>
  </si>
  <si>
    <t>mkdm01</t>
  </si>
  <si>
    <t>twinkle05</t>
  </si>
  <si>
    <t>hcc</t>
  </si>
  <si>
    <t>hcc04</t>
  </si>
  <si>
    <t>ccpmdt69</t>
  </si>
  <si>
    <t>ccpmdt23</t>
  </si>
  <si>
    <t>tcxgx</t>
  </si>
  <si>
    <t>ccpmdt68-ct02</t>
  </si>
  <si>
    <t>ccpmdt76-ct06</t>
  </si>
  <si>
    <t>Dây đeo điện thoại</t>
  </si>
  <si>
    <t>Charm trang trí túi</t>
  </si>
  <si>
    <t>ccpmdt75-ct06</t>
  </si>
  <si>
    <t>ccpmdt17</t>
  </si>
  <si>
    <t>ccpmdt33</t>
  </si>
  <si>
    <t>ccpmdt35</t>
  </si>
  <si>
    <t>mcc02</t>
  </si>
  <si>
    <t>ttmh09</t>
  </si>
  <si>
    <t>hồng đất</t>
  </si>
  <si>
    <t>crybaby01-ct062</t>
  </si>
  <si>
    <t>ccpmdt64</t>
  </si>
  <si>
    <t>ccpmdt05</t>
  </si>
  <si>
    <t>ccpmdt62</t>
  </si>
  <si>
    <t>ccpmdt21</t>
  </si>
  <si>
    <t>twinkle07</t>
  </si>
  <si>
    <t>ccpmdt51</t>
  </si>
  <si>
    <t>mkcb05</t>
  </si>
  <si>
    <t>ccpmdt57-ct02</t>
  </si>
  <si>
    <t>ccpmdt29</t>
  </si>
  <si>
    <t>ccpmdt68</t>
  </si>
  <si>
    <t>ccpmdt36</t>
  </si>
  <si>
    <t>mcc</t>
  </si>
  <si>
    <t>mèo ú</t>
  </si>
  <si>
    <t>tdvgx</t>
  </si>
  <si>
    <t>thỏ đeo phao</t>
  </si>
  <si>
    <t>thỏ chạy xe</t>
  </si>
  <si>
    <t>twinkle09</t>
  </si>
  <si>
    <t>mkb03</t>
  </si>
  <si>
    <t>mkd11</t>
  </si>
  <si>
    <t>nam châm</t>
  </si>
  <si>
    <t>twinkle03</t>
  </si>
  <si>
    <t>heo ú</t>
  </si>
  <si>
    <t>ccpmdt73</t>
  </si>
  <si>
    <t>ccpmdt54</t>
  </si>
  <si>
    <t>twinkle02</t>
  </si>
  <si>
    <t>twinkle04</t>
  </si>
  <si>
    <t>ccpmdt85</t>
  </si>
  <si>
    <t>ccpmdt03</t>
  </si>
  <si>
    <t>crybaby</t>
  </si>
  <si>
    <t>drg07</t>
  </si>
  <si>
    <t>mkcc06</t>
  </si>
  <si>
    <t>donut</t>
  </si>
  <si>
    <t>td01</t>
  </si>
  <si>
    <t>mkpm43</t>
  </si>
  <si>
    <t>molly</t>
  </si>
  <si>
    <t>mk</t>
  </si>
  <si>
    <t>th05</t>
  </si>
  <si>
    <t>26/7/2025</t>
  </si>
  <si>
    <t>mkbn09</t>
  </si>
  <si>
    <t>ccpmdt37</t>
  </si>
  <si>
    <t>drg16</t>
  </si>
  <si>
    <t>ct06</t>
  </si>
  <si>
    <t>zsiga02</t>
  </si>
  <si>
    <t>ct01</t>
  </si>
  <si>
    <t>ccpmdt18</t>
  </si>
  <si>
    <t>drg15</t>
  </si>
  <si>
    <t>skullpanda01</t>
  </si>
  <si>
    <t>ct03</t>
  </si>
  <si>
    <t>ccpmdt07</t>
  </si>
  <si>
    <t>tmtgx</t>
  </si>
  <si>
    <t>thỏ mặt trăng</t>
  </si>
  <si>
    <t>tmbgx</t>
  </si>
  <si>
    <t>thỏ phi công</t>
  </si>
  <si>
    <t>mèo ú bay</t>
  </si>
  <si>
    <t>tcc02</t>
  </si>
  <si>
    <t>thỏ ú bay</t>
  </si>
  <si>
    <t>ccpmdt59</t>
  </si>
  <si>
    <t>gngx</t>
  </si>
  <si>
    <t>gấu</t>
  </si>
  <si>
    <t>ccpmdt15</t>
  </si>
  <si>
    <t>mkcb12</t>
  </si>
  <si>
    <t>crybaby01</t>
  </si>
  <si>
    <t>ct062</t>
  </si>
  <si>
    <t>twinkle01</t>
  </si>
  <si>
    <t>ccpmdt02</t>
  </si>
  <si>
    <t>crybaby02</t>
  </si>
  <si>
    <t>ct05</t>
  </si>
  <si>
    <t>ccpmdt57</t>
  </si>
  <si>
    <t>ccpmdt44</t>
  </si>
  <si>
    <t>dpm02</t>
  </si>
  <si>
    <t>ccpmdt86</t>
  </si>
  <si>
    <t>ccpmdt87</t>
  </si>
  <si>
    <t>ccpmdt77</t>
  </si>
  <si>
    <t>ct03crybaby</t>
  </si>
  <si>
    <t>dpm09</t>
  </si>
  <si>
    <t>th06</t>
  </si>
  <si>
    <t>th12</t>
  </si>
  <si>
    <t>th09</t>
  </si>
  <si>
    <t>th10</t>
  </si>
  <si>
    <t>mkcb012</t>
  </si>
  <si>
    <t>mkcb013</t>
  </si>
  <si>
    <t>mkcb015</t>
  </si>
  <si>
    <t>ccpmdt66</t>
  </si>
  <si>
    <t>zsiga01-ct06</t>
  </si>
  <si>
    <t>ccpmdt72-ct02</t>
  </si>
  <si>
    <t>twinkle06</t>
  </si>
  <si>
    <t>mkcb016</t>
  </si>
  <si>
    <t>ccpmdt71</t>
  </si>
  <si>
    <t>ccpmdt70</t>
  </si>
  <si>
    <t>ccpmdt41</t>
  </si>
  <si>
    <t>ccpmdt60-ct06</t>
  </si>
  <si>
    <t>mkdm06</t>
  </si>
  <si>
    <t>crybaby02-ct05</t>
  </si>
  <si>
    <t>dpm01-skullpanda</t>
  </si>
  <si>
    <t>ccpmdt03-ct03crybaby</t>
  </si>
  <si>
    <t>mkd03</t>
  </si>
  <si>
    <t>mkbb01</t>
  </si>
  <si>
    <t>mkbb02</t>
  </si>
  <si>
    <t>mkcb08</t>
  </si>
  <si>
    <t>mkd05</t>
  </si>
  <si>
    <t>cgx</t>
  </si>
  <si>
    <t>ccpmdt08</t>
  </si>
  <si>
    <t>mksp01</t>
  </si>
  <si>
    <t>ccpmst58</t>
  </si>
  <si>
    <t>ct02</t>
  </si>
  <si>
    <t>ccpmst36</t>
  </si>
  <si>
    <t>ccpmdt14</t>
  </si>
  <si>
    <t>1/8</t>
  </si>
  <si>
    <t>twinkle08</t>
  </si>
  <si>
    <t>mkdm14</t>
  </si>
  <si>
    <t>ccpmdt31</t>
  </si>
  <si>
    <t>2/8</t>
  </si>
  <si>
    <t>mkbn01</t>
  </si>
  <si>
    <t>mkpm40</t>
  </si>
  <si>
    <t>mkpm39</t>
  </si>
  <si>
    <t>mkg11</t>
  </si>
  <si>
    <t>ccpmdt32</t>
  </si>
  <si>
    <t>skull</t>
  </si>
  <si>
    <t>dpm01</t>
  </si>
  <si>
    <t>ccpmdt67</t>
  </si>
  <si>
    <t>ccpmdt38</t>
  </si>
  <si>
    <t>ct063</t>
  </si>
  <si>
    <t>skullpanda02</t>
  </si>
  <si>
    <t>ccpmdt80</t>
  </si>
  <si>
    <t>mkpm55</t>
  </si>
  <si>
    <t>kubo01</t>
  </si>
  <si>
    <t>mkcb07</t>
  </si>
  <si>
    <t>mkcb09</t>
  </si>
  <si>
    <t>mkcb017</t>
  </si>
  <si>
    <t>clpm04</t>
  </si>
  <si>
    <t>dpm08</t>
  </si>
  <si>
    <t>mkpmdt01</t>
  </si>
  <si>
    <t>ccpmdt40</t>
  </si>
  <si>
    <t>mkcb014</t>
  </si>
  <si>
    <t>ks02</t>
  </si>
  <si>
    <t>dpm06</t>
  </si>
  <si>
    <t>skpm01</t>
  </si>
  <si>
    <t>drg17</t>
  </si>
  <si>
    <t>td02</t>
  </si>
  <si>
    <t>T9</t>
  </si>
  <si>
    <t>T10</t>
  </si>
  <si>
    <t>ccpmdt39</t>
  </si>
  <si>
    <t>ccpmdt89</t>
  </si>
  <si>
    <t>ccpmdt96</t>
  </si>
  <si>
    <t>clpm01</t>
  </si>
  <si>
    <t>mkne02</t>
  </si>
  <si>
    <t>drg09</t>
  </si>
  <si>
    <t>ccpmdt20</t>
  </si>
  <si>
    <t>mktb04</t>
  </si>
  <si>
    <t>mkg01</t>
  </si>
  <si>
    <t>skullpanda03-ct01</t>
  </si>
  <si>
    <t>ccpmdt82-ct02</t>
  </si>
  <si>
    <t>ccpmdt96-ct06</t>
  </si>
  <si>
    <t>mkl07</t>
  </si>
  <si>
    <t>ccpmdt88-ct01</t>
  </si>
  <si>
    <t>skullpanda07-ct01</t>
  </si>
  <si>
    <t>molly01-ct06</t>
  </si>
  <si>
    <t>ccpmdt73-ct01</t>
  </si>
  <si>
    <t>ccpmdt01-ct06</t>
  </si>
  <si>
    <t>ccpmdt90</t>
  </si>
  <si>
    <t>ccpmdt94</t>
  </si>
  <si>
    <t>mkne01</t>
  </si>
  <si>
    <t>skullpanda06-ct07</t>
  </si>
  <si>
    <t>ccpmdt92</t>
  </si>
  <si>
    <t>skullpanda03</t>
  </si>
  <si>
    <t>skullpanda02-ct01</t>
  </si>
  <si>
    <t>crybaby010</t>
  </si>
  <si>
    <t>ccpmdt55</t>
  </si>
  <si>
    <t>mktb03</t>
  </si>
  <si>
    <t>skullpanda05-ct07</t>
  </si>
  <si>
    <t>mktb02</t>
  </si>
  <si>
    <t>twinkle15</t>
  </si>
  <si>
    <t>ctpmdt79-ct01</t>
  </si>
  <si>
    <t>ccpmdt14-crybaby</t>
  </si>
  <si>
    <t>twinkle11</t>
  </si>
  <si>
    <t>ttmh08</t>
  </si>
  <si>
    <t>ttmh07</t>
  </si>
  <si>
    <t>ttmh10</t>
  </si>
  <si>
    <t>ttmh02</t>
  </si>
  <si>
    <t>twinkle</t>
  </si>
  <si>
    <t>twinkle10</t>
  </si>
  <si>
    <t>crybaby02-ct06</t>
  </si>
  <si>
    <t>ccpmdt95</t>
  </si>
  <si>
    <t>ccpmdt84</t>
  </si>
  <si>
    <t>ccpmdt83-ct01</t>
  </si>
  <si>
    <t>drg10</t>
  </si>
  <si>
    <t>ccpmdt64-ct06</t>
  </si>
  <si>
    <t>ccomdt62</t>
  </si>
  <si>
    <t>ggtt01-xanh</t>
  </si>
  <si>
    <t>twinkle14</t>
  </si>
  <si>
    <t>ccpmdt81-ct06</t>
  </si>
  <si>
    <t>ccpmdt49</t>
  </si>
  <si>
    <t>ccpmdt58-ct06</t>
  </si>
  <si>
    <t>gcc</t>
  </si>
  <si>
    <t>ccpmdt100</t>
  </si>
  <si>
    <t>zsiga020</t>
  </si>
  <si>
    <t>mkne03</t>
  </si>
  <si>
    <t>dpm10</t>
  </si>
  <si>
    <t>tcb21</t>
  </si>
  <si>
    <t>1/6</t>
  </si>
  <si>
    <t>Cửa hàng Chút Chíu</t>
  </si>
  <si>
    <t>Mã</t>
  </si>
  <si>
    <t>Kiểu dáng</t>
  </si>
  <si>
    <t>Hình ảnh</t>
  </si>
  <si>
    <t>Nhập</t>
  </si>
  <si>
    <t>Xuất</t>
  </si>
  <si>
    <t>Tồn</t>
  </si>
  <si>
    <t>Crybaby01</t>
  </si>
  <si>
    <t>Mô hình</t>
  </si>
  <si>
    <t>POP BEAN Pajama Party</t>
  </si>
  <si>
    <t>Crybaby01-ct00</t>
  </si>
  <si>
    <t>Móc khóa</t>
  </si>
  <si>
    <t>Crybaby01-ct03</t>
  </si>
  <si>
    <t>crybaby01-ct06</t>
  </si>
  <si>
    <t xml:space="preserve">Pop Bean Popmart </t>
  </si>
  <si>
    <t>Dimoo01</t>
  </si>
  <si>
    <t>Dimoo01-ct00</t>
  </si>
  <si>
    <t>Dimoo02</t>
  </si>
  <si>
    <t>Dimoo02-ct00</t>
  </si>
  <si>
    <t>Hacipupu01</t>
  </si>
  <si>
    <t>Hacipupu01-ct00</t>
  </si>
  <si>
    <t>Kubo01</t>
  </si>
  <si>
    <t>Kubo01-ct00</t>
  </si>
  <si>
    <t>Kubo01-ct03</t>
  </si>
  <si>
    <t>Labubu01</t>
  </si>
  <si>
    <t>Labubu01-ct00</t>
  </si>
  <si>
    <t>Molly01</t>
  </si>
  <si>
    <t>Molly01-ct00</t>
  </si>
  <si>
    <t>Nyota01</t>
  </si>
  <si>
    <t>Nyota01-ct00</t>
  </si>
  <si>
    <t>Pino01</t>
  </si>
  <si>
    <t>Pino01-ct00</t>
  </si>
  <si>
    <t>Pucky01</t>
  </si>
  <si>
    <t>Pucky01-ct00</t>
  </si>
  <si>
    <t>Skullpanda01</t>
  </si>
  <si>
    <t>Skullpanda01-ct00</t>
  </si>
  <si>
    <t>Skullpanda01-ct03</t>
  </si>
  <si>
    <t>skullpanda02-ct05</t>
  </si>
  <si>
    <t>skullpanda03-ct06</t>
  </si>
  <si>
    <t>Sweetbean01</t>
  </si>
  <si>
    <t>Sweetbean01-ct00</t>
  </si>
  <si>
    <t>Twinkle01</t>
  </si>
  <si>
    <t>Twinkle01-ct00</t>
  </si>
  <si>
    <t>Zsiga01</t>
  </si>
  <si>
    <t>Zsiga01-ct00</t>
  </si>
  <si>
    <t>Zsiga02</t>
  </si>
  <si>
    <t>Zsiga02-ct00</t>
  </si>
  <si>
    <t>Zsiga03-ct06</t>
  </si>
  <si>
    <t>DANH MỤC HÀNG HÓA</t>
  </si>
  <si>
    <t>STT</t>
  </si>
  <si>
    <t>Mã hàng</t>
  </si>
  <si>
    <t>Tên quy cách</t>
  </si>
  <si>
    <t>ĐVT</t>
  </si>
  <si>
    <t>Giá bán</t>
  </si>
  <si>
    <t>Tổng doanh thu</t>
  </si>
  <si>
    <t>Doanh thu T4</t>
  </si>
  <si>
    <t>Tổng nhập</t>
  </si>
  <si>
    <t>Tổng số bán</t>
  </si>
  <si>
    <t>Lợi nhuận</t>
  </si>
  <si>
    <t>TÚI CHƯỜM BỤNG</t>
  </si>
  <si>
    <t>TCB01</t>
  </si>
  <si>
    <t>Túi chườm bụng trái bơ 1000ml</t>
  </si>
  <si>
    <t>túi</t>
  </si>
  <si>
    <t>TCB01-500</t>
  </si>
  <si>
    <t>Túi chườm bụng trái bơ 500ml</t>
  </si>
  <si>
    <t>TCB02</t>
  </si>
  <si>
    <t>Túi chườm bụng dâu (xanh) 1000ml</t>
  </si>
  <si>
    <t>TCB02-500</t>
  </si>
  <si>
    <t>Túi chườm bụng dâu (xanh) 500ml</t>
  </si>
  <si>
    <t>TCB03</t>
  </si>
  <si>
    <t>Túi chườm bụng dâu (hồng đất) 1000ml</t>
  </si>
  <si>
    <t>TCB03-500</t>
  </si>
  <si>
    <t>Túi chườm bụng dâu (hồng đất) 500ml</t>
  </si>
  <si>
    <t>TCB04</t>
  </si>
  <si>
    <t>Túi chườm bụng dứa (xanh đậm) 1000ml</t>
  </si>
  <si>
    <t>TCB04-500</t>
  </si>
  <si>
    <t>Túi chườm bụng dứa (xanh đậm) 500ml</t>
  </si>
  <si>
    <t>TCB05</t>
  </si>
  <si>
    <t>Túi chườm bụng thỏ và dứa 1000ml</t>
  </si>
  <si>
    <t>TCB05-500</t>
  </si>
  <si>
    <t>Túi chườm bụng thỏ và dứa 500ml</t>
  </si>
  <si>
    <t>TCB11</t>
  </si>
  <si>
    <t>TCB12</t>
  </si>
  <si>
    <t>Túi chườm bụng dâu tây 500ml</t>
  </si>
  <si>
    <t>TCB13</t>
  </si>
  <si>
    <t>Túi chườm bụng dứa xanh đậm  500ml</t>
  </si>
  <si>
    <t>TCB14</t>
  </si>
  <si>
    <t>Túi chườm bụng dâu xanh nhạt 500ml</t>
  </si>
  <si>
    <t>TCB15</t>
  </si>
  <si>
    <t>Túi chườm bụng thỏ dứa 500ml</t>
  </si>
  <si>
    <t>TCB16</t>
  </si>
  <si>
    <t>Túi chườm bụng gấu nâu 500ml</t>
  </si>
  <si>
    <t>TCB17</t>
  </si>
  <si>
    <t>Túi chườm bụng vịt vàng 500ml</t>
  </si>
  <si>
    <t>TCB18</t>
  </si>
  <si>
    <t>Túi chườm bụng thỏ hồng 500ml</t>
  </si>
  <si>
    <t>TCB19</t>
  </si>
  <si>
    <t>Túi chườm bụng mèo be 500ml</t>
  </si>
  <si>
    <t>BAO LÌ XÌ</t>
  </si>
  <si>
    <t>LX01</t>
  </si>
  <si>
    <t>túi 4 cái</t>
  </si>
  <si>
    <t>LX02</t>
  </si>
  <si>
    <t xml:space="preserve">Bao lì xì </t>
  </si>
  <si>
    <t>LX03</t>
  </si>
  <si>
    <t>set 6 cái</t>
  </si>
  <si>
    <t>LX04</t>
  </si>
  <si>
    <t>LX05</t>
  </si>
  <si>
    <t>LX06</t>
  </si>
  <si>
    <t>LX07</t>
  </si>
  <si>
    <t>PHỤ KIỆN THỜI TRANG</t>
  </si>
  <si>
    <t>CA01</t>
  </si>
  <si>
    <t>Cài áo hoa hồng đen</t>
  </si>
  <si>
    <t>cái</t>
  </si>
  <si>
    <t>CA02</t>
  </si>
  <si>
    <t>Cài áo hoa hồng đỏ</t>
  </si>
  <si>
    <t>CA03</t>
  </si>
  <si>
    <t>Cài áo hoa hồng xanh có ngọc trai</t>
  </si>
  <si>
    <t>CA04</t>
  </si>
  <si>
    <t>Cài áo hoa hồng trắng có ngọc trai</t>
  </si>
  <si>
    <t>CA05</t>
  </si>
  <si>
    <t>Cài áo ngọc trai bướm vàng</t>
  </si>
  <si>
    <t>CA06</t>
  </si>
  <si>
    <t>Cài áo ngọc trai bướm bạc</t>
  </si>
  <si>
    <t>CA07</t>
  </si>
  <si>
    <t>Cài áo tulip</t>
  </si>
  <si>
    <t>CA08</t>
  </si>
  <si>
    <t>Cài áo lúa</t>
  </si>
  <si>
    <t>CA09</t>
  </si>
  <si>
    <t>Cài áo xương rồng</t>
  </si>
  <si>
    <t>CA10</t>
  </si>
  <si>
    <t>Cài áo trái tim vàng</t>
  </si>
  <si>
    <t>CA11</t>
  </si>
  <si>
    <t>Cài áo trái tim bạc</t>
  </si>
  <si>
    <t>CA12</t>
  </si>
  <si>
    <t>Cài áo kính vàng</t>
  </si>
  <si>
    <t>CA13</t>
  </si>
  <si>
    <t>Cài áo kính bạc</t>
  </si>
  <si>
    <t>CA14</t>
  </si>
  <si>
    <t>Cài áo ong</t>
  </si>
  <si>
    <t>PHỤ KIỆN TÓC</t>
  </si>
  <si>
    <t>TC01</t>
  </si>
  <si>
    <t>Trâm cài gỗ nâu trơn</t>
  </si>
  <si>
    <t>TC02</t>
  </si>
  <si>
    <t>Trâm cài hoa xanh</t>
  </si>
  <si>
    <t>TC03</t>
  </si>
  <si>
    <t>Trâm cài hoa trắng</t>
  </si>
  <si>
    <t>TC04</t>
  </si>
  <si>
    <t>Trâm cài hoa hồng</t>
  </si>
  <si>
    <t>TC05</t>
  </si>
  <si>
    <t>Trâm cài gỗ nâu có họa tiết</t>
  </si>
  <si>
    <t>TC001</t>
  </si>
  <si>
    <t>Trâm cài 01</t>
  </si>
  <si>
    <t>cây</t>
  </si>
  <si>
    <t>TC002</t>
  </si>
  <si>
    <t>Trâm cài 02</t>
  </si>
  <si>
    <t>TC003</t>
  </si>
  <si>
    <t>Trâm cài 03</t>
  </si>
  <si>
    <t>TC004</t>
  </si>
  <si>
    <t>Trâm cài 04</t>
  </si>
  <si>
    <t>TC005</t>
  </si>
  <si>
    <t>Trâm cài 05</t>
  </si>
  <si>
    <t>TC006</t>
  </si>
  <si>
    <t>Trâm cài 06</t>
  </si>
  <si>
    <t>TC007</t>
  </si>
  <si>
    <t>Trâm cài 07</t>
  </si>
  <si>
    <t>TC008</t>
  </si>
  <si>
    <t>Trâm cài 08</t>
  </si>
  <si>
    <t>TC009</t>
  </si>
  <si>
    <t>Trâm cài 09</t>
  </si>
  <si>
    <t>TC010</t>
  </si>
  <si>
    <t>Trâm cài 10</t>
  </si>
  <si>
    <t>TC011</t>
  </si>
  <si>
    <t>Trâm cài 11</t>
  </si>
  <si>
    <t>TC012</t>
  </si>
  <si>
    <t>Trâm cài 12</t>
  </si>
  <si>
    <t>TC013</t>
  </si>
  <si>
    <t>Trâm cài 13</t>
  </si>
  <si>
    <t>TC014</t>
  </si>
  <si>
    <t>Trâm cài 14</t>
  </si>
  <si>
    <t>TC015</t>
  </si>
  <si>
    <t>Trâm cài 15</t>
  </si>
  <si>
    <t>TC016</t>
  </si>
  <si>
    <t>Trâm cài 16</t>
  </si>
  <si>
    <t>TC017</t>
  </si>
  <si>
    <t>Trâm cài 17</t>
  </si>
  <si>
    <t>TC018</t>
  </si>
  <si>
    <t>Trâm cài 18</t>
  </si>
  <si>
    <t>TC019</t>
  </si>
  <si>
    <t>Trâm cài 19</t>
  </si>
  <si>
    <t>TC020</t>
  </si>
  <si>
    <t>Trâm cài 20</t>
  </si>
  <si>
    <t>TC021</t>
  </si>
  <si>
    <t>Trâm cài 21</t>
  </si>
  <si>
    <t>TC022</t>
  </si>
  <si>
    <t>Trâm cài 22</t>
  </si>
  <si>
    <t>TC023</t>
  </si>
  <si>
    <t>Trâm cài 23</t>
  </si>
  <si>
    <t>TC024</t>
  </si>
  <si>
    <t>Trâm cài 24</t>
  </si>
  <si>
    <t>TC025</t>
  </si>
  <si>
    <t>Trâm cài 25</t>
  </si>
  <si>
    <t>TC026</t>
  </si>
  <si>
    <t>Trâm cài 26</t>
  </si>
  <si>
    <t>TC027</t>
  </si>
  <si>
    <t>Trâm cài 27</t>
  </si>
  <si>
    <t>TC028</t>
  </si>
  <si>
    <t>Trâm cài 28</t>
  </si>
  <si>
    <t>TC029</t>
  </si>
  <si>
    <t>Trâm cài 29</t>
  </si>
  <si>
    <t>TC030</t>
  </si>
  <si>
    <t>Trâm cài 30</t>
  </si>
  <si>
    <t>KTKL01</t>
  </si>
  <si>
    <t>Kẹp tóc kim loại bông hoa</t>
  </si>
  <si>
    <t>KTKL02</t>
  </si>
  <si>
    <t>Kẹp tóc kim loại ngôi sao</t>
  </si>
  <si>
    <t>KTKL03</t>
  </si>
  <si>
    <t>Kẹp tóc kim loại vỏ sò</t>
  </si>
  <si>
    <t>BT201</t>
  </si>
  <si>
    <t>Ống 20 dây cột tóc đen</t>
  </si>
  <si>
    <t>ống</t>
  </si>
  <si>
    <t>BT202</t>
  </si>
  <si>
    <t>Ống 20 dây cột tóc kem be nâu</t>
  </si>
  <si>
    <t>BT501</t>
  </si>
  <si>
    <t>Ống 50 dây cột tóc đen</t>
  </si>
  <si>
    <t>BT502</t>
  </si>
  <si>
    <t>Ống 50 dây cột tóc đen be nâu</t>
  </si>
  <si>
    <t>BT503</t>
  </si>
  <si>
    <t>Ống 50 dây cột tóc be nâu</t>
  </si>
  <si>
    <t>BT504</t>
  </si>
  <si>
    <t>Ống 50 dây cột tóc nhiều màu</t>
  </si>
  <si>
    <t>BT101</t>
  </si>
  <si>
    <t>Ống 10 dây cột tóc đen</t>
  </si>
  <si>
    <t>BT102</t>
  </si>
  <si>
    <t>Ống 8 dây cột tóc đen xoắn</t>
  </si>
  <si>
    <t>BT103</t>
  </si>
  <si>
    <t>Ống 8 dây cột tóc đen nâu be</t>
  </si>
  <si>
    <t>BT1001</t>
  </si>
  <si>
    <t>Ống 100 dây cột tóc đen</t>
  </si>
  <si>
    <t>BT1002</t>
  </si>
  <si>
    <t>Ống 100 dây cột tóc đen nâu be</t>
  </si>
  <si>
    <t>BT1003</t>
  </si>
  <si>
    <t>Ống 100 dây cột tóc be nâu</t>
  </si>
  <si>
    <t>BT1004</t>
  </si>
  <si>
    <t>Ống 100 dây cột tóc nhiều màu</t>
  </si>
  <si>
    <t>BT011</t>
  </si>
  <si>
    <t>Ống 6 dây cột tóc đen</t>
  </si>
  <si>
    <t>BT012</t>
  </si>
  <si>
    <t>Ống 6 dâu cột tóc nâu</t>
  </si>
  <si>
    <t>BT013</t>
  </si>
  <si>
    <t>Ống 6 dây cột tóc be nâu</t>
  </si>
  <si>
    <t>KTN01</t>
  </si>
  <si>
    <t>Kẹp tóc nhựa đen</t>
  </si>
  <si>
    <t>KTN02</t>
  </si>
  <si>
    <t>Kẹp tóc nhựa nâu</t>
  </si>
  <si>
    <t>KTN03</t>
  </si>
  <si>
    <t>Kẹp tóc nhựa cà phê</t>
  </si>
  <si>
    <t>KTN04</t>
  </si>
  <si>
    <t>Kẹp tóc nhựa be</t>
  </si>
  <si>
    <t>KTN05</t>
  </si>
  <si>
    <t>Kẹp tóc nhựa kem</t>
  </si>
  <si>
    <t>KTN06</t>
  </si>
  <si>
    <t>Kẹp tóc hồng</t>
  </si>
  <si>
    <t>KTN07</t>
  </si>
  <si>
    <t>Kẹp tóc trắng</t>
  </si>
  <si>
    <t>KTN08</t>
  </si>
  <si>
    <t>Kẹp tóc nâu</t>
  </si>
  <si>
    <t>KTN09</t>
  </si>
  <si>
    <t>Kẹp tóc rêu</t>
  </si>
  <si>
    <t>KTN10</t>
  </si>
  <si>
    <t>Kẹp tóc xám trong</t>
  </si>
  <si>
    <t>KTN11</t>
  </si>
  <si>
    <t>Kẹp tóc nâu lạnh</t>
  </si>
  <si>
    <t>KTN12</t>
  </si>
  <si>
    <t>Kẹp tóc nâu nhạt</t>
  </si>
  <si>
    <t>KTN13</t>
  </si>
  <si>
    <t>Kẹp tóc kem</t>
  </si>
  <si>
    <t>KTN14</t>
  </si>
  <si>
    <t>Kẹp tóc trắng sữa</t>
  </si>
  <si>
    <t>KTN15</t>
  </si>
  <si>
    <t>Kẹp tóc be</t>
  </si>
  <si>
    <t>KTN16</t>
  </si>
  <si>
    <t>Kẹp tóc nâu đậm</t>
  </si>
  <si>
    <t>KTN17</t>
  </si>
  <si>
    <t>KTN18</t>
  </si>
  <si>
    <t>Kẹp tóc đen</t>
  </si>
  <si>
    <t>KTN19</t>
  </si>
  <si>
    <t>Kẹp tóc xám đậm</t>
  </si>
  <si>
    <t>KTN20</t>
  </si>
  <si>
    <t>KTN21</t>
  </si>
  <si>
    <t>Kẹp tóc xám nhạt</t>
  </si>
  <si>
    <t>KTN22</t>
  </si>
  <si>
    <t>KTN23</t>
  </si>
  <si>
    <t>KTN24</t>
  </si>
  <si>
    <t>KTN25</t>
  </si>
  <si>
    <t>Kẹp tóc cà phê</t>
  </si>
  <si>
    <t>KTN192021</t>
  </si>
  <si>
    <t>Kẹp tóc vòng cung đen</t>
  </si>
  <si>
    <t>KTL01</t>
  </si>
  <si>
    <t>Kẹp tóc len hoa cam</t>
  </si>
  <si>
    <t>KTL02</t>
  </si>
  <si>
    <t>Kẹp tóc len hoa trắng</t>
  </si>
  <si>
    <t>KTL03</t>
  </si>
  <si>
    <t>Kẹp tóc len hoa be</t>
  </si>
  <si>
    <t>KTLH01</t>
  </si>
  <si>
    <t>Kẹp tóc lông 1</t>
  </si>
  <si>
    <t>KTLH02</t>
  </si>
  <si>
    <t>Kẹp tóc lông 2</t>
  </si>
  <si>
    <t>KTLH03</t>
  </si>
  <si>
    <t>Kẹp tóc lông 3</t>
  </si>
  <si>
    <t>CT01</t>
  </si>
  <si>
    <t>Cài tóc đen</t>
  </si>
  <si>
    <t>CT02</t>
  </si>
  <si>
    <t>Cài tóc nâu</t>
  </si>
  <si>
    <t>CT03</t>
  </si>
  <si>
    <t>Cài tóc be</t>
  </si>
  <si>
    <t>CT04</t>
  </si>
  <si>
    <t>Cài tóc trắng</t>
  </si>
  <si>
    <t>BTH01</t>
  </si>
  <si>
    <t>Buộc tóc hoa cam</t>
  </si>
  <si>
    <t>BTH02</t>
  </si>
  <si>
    <t>Buộc tóc hoa hồng nhỏ</t>
  </si>
  <si>
    <t>BTH03</t>
  </si>
  <si>
    <t>Buộc tóc hoa tím</t>
  </si>
  <si>
    <t>BTH04</t>
  </si>
  <si>
    <t>Buộc tóc hoa vàng</t>
  </si>
  <si>
    <t>BTH05</t>
  </si>
  <si>
    <t>Buộc tóc hoa xanh</t>
  </si>
  <si>
    <t>BTN01</t>
  </si>
  <si>
    <t>Buộc tóc ngọc trai trắng</t>
  </si>
  <si>
    <t>BTN02</t>
  </si>
  <si>
    <t>Buộc tóc ngọc trai đen</t>
  </si>
  <si>
    <t>BTT01</t>
  </si>
  <si>
    <t>Buộc tóc trắng lông nhỏ</t>
  </si>
  <si>
    <t>BTT02</t>
  </si>
  <si>
    <t>Buộc tóc trắng lông</t>
  </si>
  <si>
    <t>BTT03</t>
  </si>
  <si>
    <t>Buộc tóc trắng nhung tăm</t>
  </si>
  <si>
    <t>BTT04</t>
  </si>
  <si>
    <t>Buộc tóc trắng vải</t>
  </si>
  <si>
    <t>BTT05</t>
  </si>
  <si>
    <t>Buộc tóc trắng vải nhung</t>
  </si>
  <si>
    <t>BTT06</t>
  </si>
  <si>
    <t>Buộc tóc trắng vải xù</t>
  </si>
  <si>
    <t>BTX01</t>
  </si>
  <si>
    <t>Buộc tóc vải xốp trắng</t>
  </si>
  <si>
    <t>BTV01</t>
  </si>
  <si>
    <t>Buộc tóc voan hồng nhỏ</t>
  </si>
  <si>
    <t>BTV02</t>
  </si>
  <si>
    <t>Buộc tóc voan hồng lớn</t>
  </si>
  <si>
    <t>BTV03</t>
  </si>
  <si>
    <t>Buộc tóc voan kem nhỏ</t>
  </si>
  <si>
    <t>BTV04</t>
  </si>
  <si>
    <t>Buộc tóc voan kem lớn</t>
  </si>
  <si>
    <t>BTV05</t>
  </si>
  <si>
    <t>Buộc tóc voan xanh lớn</t>
  </si>
  <si>
    <t>BTHX01</t>
  </si>
  <si>
    <t>Buộc tóc hoa xốp hồng</t>
  </si>
  <si>
    <t>BTHX02</t>
  </si>
  <si>
    <t>Buộc tóc hoa xốp kem</t>
  </si>
  <si>
    <t>BTX02</t>
  </si>
  <si>
    <t>Buộc tóc vải xốp nâu</t>
  </si>
  <si>
    <t>BTX03</t>
  </si>
  <si>
    <t>Buộc tóc vải xốp đen</t>
  </si>
  <si>
    <t>BTL01</t>
  </si>
  <si>
    <t>Buộc tóc lụa hoa đen</t>
  </si>
  <si>
    <t>BTL02</t>
  </si>
  <si>
    <t>Buộc tóc lụa hoa be</t>
  </si>
  <si>
    <t>BTL03</t>
  </si>
  <si>
    <t>Buộc tóc lụa hoa xanh</t>
  </si>
  <si>
    <t>BTO01</t>
  </si>
  <si>
    <t>Buộc tóc hồng len</t>
  </si>
  <si>
    <t>BTO02</t>
  </si>
  <si>
    <t>Buộc tóc hồng vải xù</t>
  </si>
  <si>
    <t>BTO03</t>
  </si>
  <si>
    <t>Buộc tóc hồng nhung</t>
  </si>
  <si>
    <t>BTO04</t>
  </si>
  <si>
    <t>Buộc tóc hồng nhung tăm</t>
  </si>
  <si>
    <t>BTO05</t>
  </si>
  <si>
    <t>Buộc tóc hồng lông nhỏ</t>
  </si>
  <si>
    <t>BTO06</t>
  </si>
  <si>
    <t>Buộc tóc hồng lông lớn</t>
  </si>
  <si>
    <t>BTO07</t>
  </si>
  <si>
    <t>Buộc tóc scrunchies hồng cam</t>
  </si>
  <si>
    <t>BTT07</t>
  </si>
  <si>
    <t>Buộc tóc trắng nhỏ</t>
  </si>
  <si>
    <t>KNH</t>
  </si>
  <si>
    <t>Kẹp nơ hồng</t>
  </si>
  <si>
    <t>KN01</t>
  </si>
  <si>
    <t>KN02</t>
  </si>
  <si>
    <t>Kẹp nơ trắng</t>
  </si>
  <si>
    <t>KN03</t>
  </si>
  <si>
    <t>Kẹp nơ nâu nhạt</t>
  </si>
  <si>
    <t>KN04</t>
  </si>
  <si>
    <t>Kẹp nơ nâu</t>
  </si>
  <si>
    <t>KN05</t>
  </si>
  <si>
    <t>Kẹp nơ xanh đen</t>
  </si>
  <si>
    <t>KN06</t>
  </si>
  <si>
    <t>Kẹp nơ đen</t>
  </si>
  <si>
    <t>KN07</t>
  </si>
  <si>
    <t>Kẹp nơ xanh</t>
  </si>
  <si>
    <t>KTHS01</t>
  </si>
  <si>
    <t>Kẹp tóc hoa sứ tím</t>
  </si>
  <si>
    <t>KTHS02</t>
  </si>
  <si>
    <t>Kẹp tóc hoa sứ hồng</t>
  </si>
  <si>
    <t>KTHS03</t>
  </si>
  <si>
    <t>Kẹp tóc hoa sứ vàng</t>
  </si>
  <si>
    <t>KTHS04</t>
  </si>
  <si>
    <t>Kẹp tóc hoa sứ cam</t>
  </si>
  <si>
    <t>KTHS05</t>
  </si>
  <si>
    <t>Kẹp tóc hoa sứ đỏ</t>
  </si>
  <si>
    <t>KTHS06</t>
  </si>
  <si>
    <t>Kẹp tóc hoa sứ xanh</t>
  </si>
  <si>
    <t>KTHS07</t>
  </si>
  <si>
    <t>Kẹp tóc hoa sứ đỏ hồng đậm</t>
  </si>
  <si>
    <t>KTHS08</t>
  </si>
  <si>
    <t>Kẹp tóc hoa năm cánh hồng</t>
  </si>
  <si>
    <t>KTHS09</t>
  </si>
  <si>
    <t>Kẹp tóc hoa năm cánh đỏ hồng</t>
  </si>
  <si>
    <t>KTHS10</t>
  </si>
  <si>
    <t>Kẹp tóc hoa năm cánh cam</t>
  </si>
  <si>
    <t>KTHS11</t>
  </si>
  <si>
    <t>Kẹp tóc hoa năm cánh đỏ hồng đẹp</t>
  </si>
  <si>
    <t>KTHS12</t>
  </si>
  <si>
    <t>Kẹp tóc hoa năm cánh xanh vàng</t>
  </si>
  <si>
    <t>KTHS13</t>
  </si>
  <si>
    <t>Kẹp tóc hoa năm cánh xanh</t>
  </si>
  <si>
    <t>KTHS14</t>
  </si>
  <si>
    <t>Kẹp tóc hoa năm cánh tím</t>
  </si>
  <si>
    <t>KTHS15</t>
  </si>
  <si>
    <t>Kẹp tóc màu vàng trơn</t>
  </si>
  <si>
    <t>KTHS16</t>
  </si>
  <si>
    <t>Kẹp tóc hoa cam trơn</t>
  </si>
  <si>
    <t>KTHS17</t>
  </si>
  <si>
    <t>Kẹp tóc hồng nhạt trơn</t>
  </si>
  <si>
    <t>KTHS18</t>
  </si>
  <si>
    <t>Kẹp tóc trắng trơn</t>
  </si>
  <si>
    <t>KTHS19</t>
  </si>
  <si>
    <t>Kẹp tóc xanh trơn</t>
  </si>
  <si>
    <t>KTHS20</t>
  </si>
  <si>
    <t>Kẹp tóc tím</t>
  </si>
  <si>
    <t>KTHL01</t>
  </si>
  <si>
    <t>Kẹp tóc hoa lan 01</t>
  </si>
  <si>
    <t>KTHL02</t>
  </si>
  <si>
    <t>Kẹp tóc hoa lan 02</t>
  </si>
  <si>
    <t>KTHL03</t>
  </si>
  <si>
    <t>Kẹp tóc hoa lan 03</t>
  </si>
  <si>
    <t>KTHL04</t>
  </si>
  <si>
    <t>Kẹp tóc hoa lan 04</t>
  </si>
  <si>
    <t>KTHL05</t>
  </si>
  <si>
    <t>Kẹp tóc hoa lan 05</t>
  </si>
  <si>
    <t>KTHL06</t>
  </si>
  <si>
    <t>Kẹp tóc hoa lan 06</t>
  </si>
  <si>
    <t>KTHL07</t>
  </si>
  <si>
    <t>Kẹp tóc hoa lan 07</t>
  </si>
  <si>
    <t>KTHL08</t>
  </si>
  <si>
    <t>Kẹp tóc hoa lan 08</t>
  </si>
  <si>
    <t>KTB01</t>
  </si>
  <si>
    <t>Kẹp tóc bướm hồng phấn</t>
  </si>
  <si>
    <t>KTB02</t>
  </si>
  <si>
    <t xml:space="preserve">Kẹp tóc bướm hồng </t>
  </si>
  <si>
    <t>KTB03</t>
  </si>
  <si>
    <t>Kẹp tóc bướm xanh ngọc</t>
  </si>
  <si>
    <t>KTB04</t>
  </si>
  <si>
    <t>Kẹp tóc bướm xanh tím</t>
  </si>
  <si>
    <t>KTB05</t>
  </si>
  <si>
    <t>Kẹp tóc bướm tím</t>
  </si>
  <si>
    <t>KTB06</t>
  </si>
  <si>
    <t>Kẹp tóc bướm trắng</t>
  </si>
  <si>
    <t>KTB07</t>
  </si>
  <si>
    <t>Kẹp tóc bướm kem</t>
  </si>
  <si>
    <t>KTB08</t>
  </si>
  <si>
    <t>Kẹp tóc bướm hồng đỏ</t>
  </si>
  <si>
    <t>KTB09</t>
  </si>
  <si>
    <t>KTB10</t>
  </si>
  <si>
    <t>Kẹp tóc bướm cam</t>
  </si>
  <si>
    <t>KTB11</t>
  </si>
  <si>
    <t>KTB12</t>
  </si>
  <si>
    <t>Kẹp tóc bướm xanh lá</t>
  </si>
  <si>
    <t>KTB13</t>
  </si>
  <si>
    <t>Kẹp tóc bướm xanh da trời</t>
  </si>
  <si>
    <t>KTB14</t>
  </si>
  <si>
    <t>KTB15</t>
  </si>
  <si>
    <t>Kẹp tóc bướm hồng nhạt</t>
  </si>
  <si>
    <t>KTB16</t>
  </si>
  <si>
    <t>Kẹp tóc bướm đen</t>
  </si>
  <si>
    <t>KTB17</t>
  </si>
  <si>
    <t>Kẹp tóc bướm hồng trắng</t>
  </si>
  <si>
    <t>KTB18</t>
  </si>
  <si>
    <t>Kẹp tóc bướm xanh trắng</t>
  </si>
  <si>
    <t>KTB19</t>
  </si>
  <si>
    <t>Kẹp tóc bướm hồng loang xanh</t>
  </si>
  <si>
    <t>KTB20</t>
  </si>
  <si>
    <t>Kẹp tóc bướm xanh vàng</t>
  </si>
  <si>
    <t>KTB21</t>
  </si>
  <si>
    <t>Kẹp tóc bướm hồng cam</t>
  </si>
  <si>
    <t>KTB22</t>
  </si>
  <si>
    <t>Kẹp tóc bướm hồng</t>
  </si>
  <si>
    <t>KTB23</t>
  </si>
  <si>
    <t>KL01</t>
  </si>
  <si>
    <t>Kẹp càng cua lông hình gấu nâu đậm</t>
  </si>
  <si>
    <t>KL02</t>
  </si>
  <si>
    <t>Kẹp càng cua lông hình gấu nâu gấu trắng</t>
  </si>
  <si>
    <t>KL03</t>
  </si>
  <si>
    <t>Kẹp càng cua lông hình gấu nâu gấu nâu</t>
  </si>
  <si>
    <t>KL04</t>
  </si>
  <si>
    <t>Kẹp càng cua lông hình gấu be</t>
  </si>
  <si>
    <t>KHÁC</t>
  </si>
  <si>
    <t>HT01</t>
  </si>
  <si>
    <t>Hộp thuốc nơ nâu</t>
  </si>
  <si>
    <t>hộp</t>
  </si>
  <si>
    <t>HT02</t>
  </si>
  <si>
    <t>Hộp thuốc dấu chân cún</t>
  </si>
  <si>
    <t>HT03</t>
  </si>
  <si>
    <t>Hộp thuốc mây hồng</t>
  </si>
  <si>
    <t>HT04</t>
  </si>
  <si>
    <t>Hộp thuốc ngôi sao xanh</t>
  </si>
  <si>
    <t>HT05</t>
  </si>
  <si>
    <t>Hộp thuốc ông mặt trời</t>
  </si>
  <si>
    <t>HT06</t>
  </si>
  <si>
    <t>Hộp thuốc cô bé tóc nâu</t>
  </si>
  <si>
    <t>HT07</t>
  </si>
  <si>
    <t>Hộp thuốc nơ hồng</t>
  </si>
  <si>
    <t>HT08</t>
  </si>
  <si>
    <t>Hộp thuốc thỏ nâu</t>
  </si>
  <si>
    <t>HT09</t>
  </si>
  <si>
    <t>Hộp thuốc nơ tím</t>
  </si>
  <si>
    <t>HT10</t>
  </si>
  <si>
    <t>Hộp thuốc gấu vàng</t>
  </si>
  <si>
    <t>TD01</t>
  </si>
  <si>
    <t>Thước dây trắng</t>
  </si>
  <si>
    <t>TD02</t>
  </si>
  <si>
    <t>Thước dây vàng</t>
  </si>
  <si>
    <t>TD03</t>
  </si>
  <si>
    <t>Thước dây hồng đất</t>
  </si>
  <si>
    <t>TD04</t>
  </si>
  <si>
    <t>Thước dây hồng phấn</t>
  </si>
  <si>
    <t>TD05</t>
  </si>
  <si>
    <t>Thước dây xám</t>
  </si>
  <si>
    <t>TD06</t>
  </si>
  <si>
    <t>Thước dây xanh</t>
  </si>
  <si>
    <t>DRG01</t>
  </si>
  <si>
    <t>Dao rọc giấy cún vàng</t>
  </si>
  <si>
    <t>DRG02</t>
  </si>
  <si>
    <t>Dao rọc giấy cún xanh</t>
  </si>
  <si>
    <t>DRG03</t>
  </si>
  <si>
    <t>Dao rọc giấy cún trắng</t>
  </si>
  <si>
    <t>DRG04</t>
  </si>
  <si>
    <t>Dao rọc giấy cún hồng</t>
  </si>
  <si>
    <t>DRG05</t>
  </si>
  <si>
    <t>Dao rọc giấy mèo tím</t>
  </si>
  <si>
    <t>DRG06</t>
  </si>
  <si>
    <t>Dao rọc giấy gấu nâu</t>
  </si>
  <si>
    <t>PHỤ KIỆN TRANG TRÍ XE MÁY/XE HƠI</t>
  </si>
  <si>
    <t>GCC</t>
  </si>
  <si>
    <t>Gấu ú</t>
  </si>
  <si>
    <t>MCC</t>
  </si>
  <si>
    <t>Mèo ú</t>
  </si>
  <si>
    <t>MCC02</t>
  </si>
  <si>
    <t>Mèo ú bay</t>
  </si>
  <si>
    <t>HCC</t>
  </si>
  <si>
    <t>Heo ú</t>
  </si>
  <si>
    <t>HCC02</t>
  </si>
  <si>
    <t>Heo ú bay</t>
  </si>
  <si>
    <t>TCC</t>
  </si>
  <si>
    <t>Thỏ ú</t>
  </si>
  <si>
    <t>TCC02</t>
  </si>
  <si>
    <t>Thỏ ú bay</t>
  </si>
  <si>
    <t>TCC03</t>
  </si>
  <si>
    <t>Thỏ ú hoa</t>
  </si>
  <si>
    <t>HCC03</t>
  </si>
  <si>
    <t>Heo ú hoa</t>
  </si>
  <si>
    <t>CCC</t>
  </si>
  <si>
    <t>Cún ú hoa</t>
  </si>
  <si>
    <t>VCC</t>
  </si>
  <si>
    <t>Vịt ú bay</t>
  </si>
  <si>
    <t>CGX</t>
  </si>
  <si>
    <t>Cáo gắn xe</t>
  </si>
  <si>
    <t>GTGX</t>
  </si>
  <si>
    <t>Gấu trắng gắn xe</t>
  </si>
  <si>
    <t>GNGX</t>
  </si>
  <si>
    <t>Gấu nâu gắn xe</t>
  </si>
  <si>
    <t>TMBGX</t>
  </si>
  <si>
    <t>Thỏ máy bay gắn xe</t>
  </si>
  <si>
    <t>TCXGX</t>
  </si>
  <si>
    <t>Thỏ chạy xe gắn xe</t>
  </si>
  <si>
    <t>TDVGX</t>
  </si>
  <si>
    <t>Thỏ đi vịt gắn xe</t>
  </si>
  <si>
    <t>TMTGX</t>
  </si>
  <si>
    <t>Thỏ mặt trăng gắn xe</t>
  </si>
  <si>
    <t>HCKLGX</t>
  </si>
  <si>
    <t>Heo cưỡi kì lân gắn xe</t>
  </si>
  <si>
    <t>KKTTD01</t>
  </si>
  <si>
    <t>Kẹp khuếch tán tinh dầu vịt vàng</t>
  </si>
  <si>
    <t>KKTTD02</t>
  </si>
  <si>
    <t>Kẹp khuếch tán tinh dầu vịt nâu</t>
  </si>
  <si>
    <t>KKTTD03</t>
  </si>
  <si>
    <t>Kẹp khuếch tán tinh dầu mèo hồng</t>
  </si>
  <si>
    <t>KKTTD04</t>
  </si>
  <si>
    <t>Kẹp khuếch tán tinh dầu vịt đen</t>
  </si>
  <si>
    <t>KKTTD05</t>
  </si>
  <si>
    <t>Kẹp khuếch tán tinh dầu thỏ hồng</t>
  </si>
  <si>
    <t>KKTTD06</t>
  </si>
  <si>
    <t>Kẹp khuếch tán tinh dầu gấu dâu</t>
  </si>
  <si>
    <t>KKTTD07</t>
  </si>
  <si>
    <t>Kẹp khuếch tán tinh dầu spider man</t>
  </si>
  <si>
    <t>KKTTD08</t>
  </si>
  <si>
    <t>Kẹp khuếch tán tinh dầu bat man</t>
  </si>
  <si>
    <t>VKKTD00</t>
  </si>
  <si>
    <t>10 túi viên khuếch tán tinh dầu</t>
  </si>
  <si>
    <t>VKKTD01</t>
  </si>
  <si>
    <t>Viên khuếch tán tinh dầu 01 ( lemon )</t>
  </si>
  <si>
    <t>VKKTD02</t>
  </si>
  <si>
    <t>Viên khuếch tán tinh dầu 02 ( rosie )</t>
  </si>
  <si>
    <t>VKKTD03</t>
  </si>
  <si>
    <t>Viên khuếch tán tinh dầu 03 ( green tea )</t>
  </si>
  <si>
    <t>VKKTD04</t>
  </si>
  <si>
    <t>Viên khuếch tán tinh dầu 04 ( sea salt )</t>
  </si>
  <si>
    <t>VKKTD05</t>
  </si>
  <si>
    <t>Viên khuếch tán tinh dầu 05 ( ocean )</t>
  </si>
  <si>
    <t>VKKTD06</t>
  </si>
  <si>
    <t>Viên khuếch tán tinh dầu 06</t>
  </si>
  <si>
    <t>VKKTD07</t>
  </si>
  <si>
    <t>Viên khuếch tán tinh dầu 07</t>
  </si>
  <si>
    <t>VKKTD08</t>
  </si>
  <si>
    <t>Viên khuếch tán tinh dầu 08</t>
  </si>
  <si>
    <t>TGCH01</t>
  </si>
  <si>
    <t>Vịt áo vàng treo gương</t>
  </si>
  <si>
    <t>TGCH02</t>
  </si>
  <si>
    <t>Vịt áo hồng treo gương</t>
  </si>
  <si>
    <t>TGCH03</t>
  </si>
  <si>
    <t>Vịt áo xanh treo gương</t>
  </si>
  <si>
    <t>TGCH04</t>
  </si>
  <si>
    <t>Cánh cụt nơ vàng treo gương</t>
  </si>
  <si>
    <t>TGCH05</t>
  </si>
  <si>
    <t>Cánh cụt nơ xanh treo gương</t>
  </si>
  <si>
    <t>TGCH06</t>
  </si>
  <si>
    <t>Bạch tuyết treo gương</t>
  </si>
  <si>
    <t>TGCH07</t>
  </si>
  <si>
    <t>Mèo xám treo gương</t>
  </si>
  <si>
    <t>TGCH08</t>
  </si>
  <si>
    <t>Mèo vàng treo gương</t>
  </si>
  <si>
    <t>TGCH09</t>
  </si>
  <si>
    <t>Mèo trắng treo gương</t>
  </si>
  <si>
    <t>TGCH10</t>
  </si>
  <si>
    <t>Mèo da treo gương</t>
  </si>
  <si>
    <t>MKD01</t>
  </si>
  <si>
    <t>Móc khóa đôi heo</t>
  </si>
  <si>
    <t>MKD02</t>
  </si>
  <si>
    <t>Móc khóa đôi thỏ cà rốt</t>
  </si>
  <si>
    <t>MKD03</t>
  </si>
  <si>
    <t>Móc khóa đôi corgy</t>
  </si>
  <si>
    <t>MKD04</t>
  </si>
  <si>
    <t>Móc khoá đôi thỏ</t>
  </si>
  <si>
    <t>MKD05</t>
  </si>
  <si>
    <t>Móc khóa đôi gấu trúc</t>
  </si>
  <si>
    <t>MKD06</t>
  </si>
  <si>
    <t>Móc khóa đôi gà rán bia</t>
  </si>
  <si>
    <t>MKD07</t>
  </si>
  <si>
    <t>Móc khóa đôi 2 quả lê có nam châm</t>
  </si>
  <si>
    <t>MKD08</t>
  </si>
  <si>
    <t>Móc khóa đôi 2 mèo trắng nâu</t>
  </si>
  <si>
    <t>MKD09</t>
  </si>
  <si>
    <t>Móc khóa đôi mèo trắng</t>
  </si>
  <si>
    <t>MHTT01</t>
  </si>
  <si>
    <t>Mô hình cún 01</t>
  </si>
  <si>
    <t>MHTT02</t>
  </si>
  <si>
    <t>Mô hình cún 02</t>
  </si>
  <si>
    <t>MHTT03</t>
  </si>
  <si>
    <t>Mô hình cún 03</t>
  </si>
  <si>
    <t>MHTT04</t>
  </si>
  <si>
    <t>Mô hình cún 04</t>
  </si>
  <si>
    <t>MHTT05</t>
  </si>
  <si>
    <t>Mô hình cún 05</t>
  </si>
  <si>
    <t>MHTT06</t>
  </si>
  <si>
    <t>Mô hình trái cây 06</t>
  </si>
  <si>
    <t>MHTT07</t>
  </si>
  <si>
    <t>Mô hình trái cây 07</t>
  </si>
  <si>
    <t>MHTT08</t>
  </si>
  <si>
    <t>Mô hình trái cây 08</t>
  </si>
  <si>
    <t>MHTT09</t>
  </si>
  <si>
    <t>Mô hình trái cây 09</t>
  </si>
  <si>
    <t>MHTT10</t>
  </si>
  <si>
    <t>Mô hình trái cây 10</t>
  </si>
  <si>
    <t>MHTT11</t>
  </si>
  <si>
    <t>Mô hình trái cây 11</t>
  </si>
  <si>
    <t>MHTT12</t>
  </si>
  <si>
    <t>Mô hình trái cây 12</t>
  </si>
  <si>
    <t>MHTT13</t>
  </si>
  <si>
    <t>Mô hình trái cây 13</t>
  </si>
  <si>
    <t>MHTT14</t>
  </si>
  <si>
    <t>Mô hình trái cây 14</t>
  </si>
  <si>
    <t>MHTT15</t>
  </si>
  <si>
    <t>Mô hình trái cây 15</t>
  </si>
  <si>
    <t>MHTT16</t>
  </si>
  <si>
    <t>Mô hình mèo 1</t>
  </si>
  <si>
    <t>MHTT17</t>
  </si>
  <si>
    <t>Mô hình mèo 2</t>
  </si>
  <si>
    <t>MHTT18</t>
  </si>
  <si>
    <t>Mô hình mèo 3</t>
  </si>
  <si>
    <t>MHTT19</t>
  </si>
  <si>
    <t>Mô hình mèo 4</t>
  </si>
  <si>
    <t>MHTT20</t>
  </si>
  <si>
    <t>Mô hình mèo 5</t>
  </si>
  <si>
    <t>VCN01</t>
  </si>
  <si>
    <t>Vớ cổ ngắn trắng thêu họa tiết mẫu 1</t>
  </si>
  <si>
    <t>đôi</t>
  </si>
  <si>
    <t>VCN02</t>
  </si>
  <si>
    <t>Vớ cổ ngắn trắng thêu họa tiết mẫu 2</t>
  </si>
  <si>
    <t>VCN03</t>
  </si>
  <si>
    <t>Vớ cổ ngắn trắng thêu họa tiết mẫu 3</t>
  </si>
  <si>
    <t>VCN04</t>
  </si>
  <si>
    <t>Vớ cổ ngắn trắng thêu họa tiết mẫu 4</t>
  </si>
  <si>
    <t>VCN05</t>
  </si>
  <si>
    <t>Vớ cổ ngắn trắng thêu họa tiết mẫu 5</t>
  </si>
  <si>
    <t>VCN06</t>
  </si>
  <si>
    <t>Vớ cổ ngắn set xanh bơ 1</t>
  </si>
  <si>
    <t>VCN07</t>
  </si>
  <si>
    <t>Vớ cổ ngắn set xanh bơ 2</t>
  </si>
  <si>
    <t>VCN08</t>
  </si>
  <si>
    <t>Vớ cổ ngắn set xanh bơ 3</t>
  </si>
  <si>
    <t>VCN09</t>
  </si>
  <si>
    <t>Vớ cổ ngắn set xanh bơ 4</t>
  </si>
  <si>
    <t>VCN10</t>
  </si>
  <si>
    <t>Vớ cổ ngắn set xanh bơ 5</t>
  </si>
  <si>
    <t>VCN11</t>
  </si>
  <si>
    <t>Vớ cổ ngắn họa tiết hoa thỏ be</t>
  </si>
  <si>
    <t>VCN12</t>
  </si>
  <si>
    <t>Vớ cổ ngắn họa tiết hoa thỏ hồng</t>
  </si>
  <si>
    <t>VCN13</t>
  </si>
  <si>
    <t>Vớ cổ ngắn họa tiết hoa thỏ kem</t>
  </si>
  <si>
    <t>VCN14</t>
  </si>
  <si>
    <t>Vớ cổ ngắn họa tiết hoa thỏ đen</t>
  </si>
  <si>
    <t>VCD01</t>
  </si>
  <si>
    <t>Vớ trắng mỏng nhiều gấu</t>
  </si>
  <si>
    <t>VCD02</t>
  </si>
  <si>
    <t>Vớ trắng mỏng nhiều hoa</t>
  </si>
  <si>
    <t>VCD03</t>
  </si>
  <si>
    <t>Vớ trắng mỏng hoa vàng</t>
  </si>
  <si>
    <t>VCD04</t>
  </si>
  <si>
    <t>Vớ trắng mỏng gấu</t>
  </si>
  <si>
    <t>VCD05</t>
  </si>
  <si>
    <t>Vớ trắng mỏng tulip hồng</t>
  </si>
  <si>
    <t>VCD06</t>
  </si>
  <si>
    <t>Vớ trắng icon be 1</t>
  </si>
  <si>
    <t>VCD07</t>
  </si>
  <si>
    <t>Vớ trắng icon be 2</t>
  </si>
  <si>
    <t>VCD08</t>
  </si>
  <si>
    <t>Vớ trắng icon be 3</t>
  </si>
  <si>
    <t>VCD09</t>
  </si>
  <si>
    <t>Vớ trắng icon be 4</t>
  </si>
  <si>
    <t>VCD10</t>
  </si>
  <si>
    <t>Vớ trắng icon be 5</t>
  </si>
  <si>
    <t>VCD11</t>
  </si>
  <si>
    <t>Vớ trắng đen mẫu 1</t>
  </si>
  <si>
    <t>VCD12</t>
  </si>
  <si>
    <t>Vớ trắng đen mẫu 2</t>
  </si>
  <si>
    <t>VCD13</t>
  </si>
  <si>
    <t>Vớ trắng đen mẫu 3</t>
  </si>
  <si>
    <t>VCD14</t>
  </si>
  <si>
    <t>Vớ trắng đen mẫu 4</t>
  </si>
  <si>
    <t>VCD15</t>
  </si>
  <si>
    <t>Vớ trắng đen mẫu 5</t>
  </si>
  <si>
    <t>VCD16</t>
  </si>
  <si>
    <t>Vớ cổ cao full hồng</t>
  </si>
  <si>
    <t>VCD17</t>
  </si>
  <si>
    <t>Vớ cổ cao hồng be</t>
  </si>
  <si>
    <t>VCD18</t>
  </si>
  <si>
    <t>Vớ cổ cao trắng hoa hồng</t>
  </si>
  <si>
    <t>VCD19</t>
  </si>
  <si>
    <t>Vớ cổ cao sọc hồng</t>
  </si>
  <si>
    <t>VCD20</t>
  </si>
  <si>
    <t>Vớ cổ cao trắng hoa vàng</t>
  </si>
  <si>
    <t>VCD21</t>
  </si>
  <si>
    <t>Vớ cổ cao trắng cỏ ba lá xanh</t>
  </si>
  <si>
    <t>VCD22</t>
  </si>
  <si>
    <t>Vớ cổ cao trắng hoa đen</t>
  </si>
  <si>
    <t>VCD23</t>
  </si>
  <si>
    <t>VD24</t>
  </si>
  <si>
    <t>Vớ cổ cao trắng hoa tím</t>
  </si>
  <si>
    <t>MKM01</t>
  </si>
  <si>
    <t>Móc khoá mèo bông hồng</t>
  </si>
  <si>
    <t>MKM02</t>
  </si>
  <si>
    <t>Móc khoá mèo bông hồng trắng</t>
  </si>
  <si>
    <t>MKM03</t>
  </si>
  <si>
    <t>Móc khoá mèo bông đen</t>
  </si>
  <si>
    <t>MKM04</t>
  </si>
  <si>
    <t>Móc khoá mèo bông tím</t>
  </si>
  <si>
    <t>MKM05</t>
  </si>
  <si>
    <t>Móc khoá mèo bông xanh da trời</t>
  </si>
  <si>
    <t>MKM06</t>
  </si>
  <si>
    <t>Móc khóa mèo bông xanh lá</t>
  </si>
  <si>
    <t>MKC01</t>
  </si>
  <si>
    <t>Móc khóa capybara 1 - hồng áo tennis</t>
  </si>
  <si>
    <t>MKC02</t>
  </si>
  <si>
    <t>Móc khóa capybara 2 - hồng balo tennis</t>
  </si>
  <si>
    <t>MKC03</t>
  </si>
  <si>
    <t>Móc khóa capybara 3 - bóng tennis</t>
  </si>
  <si>
    <t>MKC04</t>
  </si>
  <si>
    <t>Móc khóa capybara 4 - áo tennis</t>
  </si>
  <si>
    <t>MKC05</t>
  </si>
  <si>
    <t>Móc khóa capybara 5 - balo tennis</t>
  </si>
  <si>
    <t>MKC06</t>
  </si>
  <si>
    <t>Móc khóa capybara 6 - bóng tennis</t>
  </si>
  <si>
    <t>MKC07</t>
  </si>
  <si>
    <t>Móc khóa capybara 7 - táo</t>
  </si>
  <si>
    <t>MKC08</t>
  </si>
  <si>
    <t>Móc khóa capybara 8 - sổ mũi cam</t>
  </si>
  <si>
    <t>MKC09</t>
  </si>
  <si>
    <t>Móc khóa capybara 9 - mũ gấu</t>
  </si>
  <si>
    <t>MKC10</t>
  </si>
  <si>
    <t>Móc khóa capybara 10 - mũ gà</t>
  </si>
  <si>
    <t>MKC11</t>
  </si>
  <si>
    <t xml:space="preserve">Móc khóa capybara 11 - sổ mũ </t>
  </si>
  <si>
    <t>MKC12</t>
  </si>
  <si>
    <t>Móc khóa capybara 12 - ghitar điện</t>
  </si>
  <si>
    <t>MKC13</t>
  </si>
  <si>
    <t>Móc khóa capybara 13 - tóc nâu</t>
  </si>
  <si>
    <t>MKC14</t>
  </si>
  <si>
    <t>Móc khóa capybara 14 - tóc hồng</t>
  </si>
  <si>
    <t>MKC15</t>
  </si>
  <si>
    <t>Móc khóa capybara 15 - sổ mũi ko móc khóa</t>
  </si>
  <si>
    <t>MKC16</t>
  </si>
  <si>
    <t>Móc khóa capybara 16 - hồng thơm</t>
  </si>
  <si>
    <t>DRG07</t>
  </si>
  <si>
    <t>Dao rọc giấy 07</t>
  </si>
  <si>
    <t>DRG08</t>
  </si>
  <si>
    <t>Dao rọc giấy 08</t>
  </si>
  <si>
    <t>DRG09</t>
  </si>
  <si>
    <t>Dao rọc giấy 09</t>
  </si>
  <si>
    <t>DRG10</t>
  </si>
  <si>
    <t>Dao rọc giấy 10</t>
  </si>
  <si>
    <t>DRG11</t>
  </si>
  <si>
    <t>Dao rọc giấy 11</t>
  </si>
  <si>
    <t>DRG12</t>
  </si>
  <si>
    <t>Dao rọc giấy 12</t>
  </si>
  <si>
    <t>DRG13</t>
  </si>
  <si>
    <t>Dao rọc giấy 13</t>
  </si>
  <si>
    <t>DRG14</t>
  </si>
  <si>
    <t>Dao rọc giấy 14</t>
  </si>
  <si>
    <t>DRG15</t>
  </si>
  <si>
    <t>Dao rọc giấy 15</t>
  </si>
  <si>
    <t>DRG16</t>
  </si>
  <si>
    <t>Dao rọc giấy 16</t>
  </si>
  <si>
    <t>DRG17</t>
  </si>
  <si>
    <t>Dao rọc giấy 17</t>
  </si>
  <si>
    <t>DRG18</t>
  </si>
  <si>
    <t>Dao rọc giấy 18</t>
  </si>
  <si>
    <t>DRG19</t>
  </si>
  <si>
    <t>Dao rọc giấy 19</t>
  </si>
  <si>
    <t>KS01</t>
  </si>
  <si>
    <t>Kẹp Snack hình khoai tay gọt</t>
  </si>
  <si>
    <t>KS02</t>
  </si>
  <si>
    <t>Kẹp Snack hình tam giác</t>
  </si>
  <si>
    <t>KN1</t>
  </si>
  <si>
    <t>Kẹp nhựa trắng có hoa</t>
  </si>
  <si>
    <t>KN2</t>
  </si>
  <si>
    <t>Kẹp nhựa đen có hoa</t>
  </si>
  <si>
    <t>KN3</t>
  </si>
  <si>
    <t>Kẹp nhựa xanh bóng có hoa</t>
  </si>
  <si>
    <t>KN4</t>
  </si>
  <si>
    <t>Kẹp nhựa xanh mờ có hoa</t>
  </si>
  <si>
    <t>KN5</t>
  </si>
  <si>
    <t>Kẹp nhựa nâu có hoa</t>
  </si>
  <si>
    <t>TCB20</t>
  </si>
  <si>
    <t>TCB21</t>
  </si>
  <si>
    <t>Túi chườm bụng thỏ xám  500ml</t>
  </si>
  <si>
    <t>TCB22</t>
  </si>
  <si>
    <t>Túi chườm bụng gấu trúc 500ml</t>
  </si>
  <si>
    <t>TCB23</t>
  </si>
  <si>
    <t>TCB24</t>
  </si>
  <si>
    <t>Túi chườm bụng chó trắng 500ml</t>
  </si>
  <si>
    <t>TCB25</t>
  </si>
  <si>
    <t>GCC02</t>
  </si>
  <si>
    <t>Gấu ú hoa</t>
  </si>
  <si>
    <t>MKD11</t>
  </si>
  <si>
    <t>Móc khóa có chuông</t>
  </si>
  <si>
    <t>MKD10</t>
  </si>
  <si>
    <t>Móc khóa mèo trái tim</t>
  </si>
  <si>
    <t>scc</t>
  </si>
  <si>
    <t>Shiba ú cầm hoa</t>
  </si>
  <si>
    <t>heo ú cầm hoa</t>
  </si>
  <si>
    <t>MKC17</t>
  </si>
  <si>
    <t>Móc khóa capybara</t>
  </si>
  <si>
    <t>MKC18</t>
  </si>
  <si>
    <t>MKC19</t>
  </si>
  <si>
    <t>MKC20</t>
  </si>
  <si>
    <t>MKCC01</t>
  </si>
  <si>
    <t>Móc khoá cún Bánh mì</t>
  </si>
  <si>
    <t>MKCC02</t>
  </si>
  <si>
    <t>Móc khoá cún Chanh vàng</t>
  </si>
  <si>
    <t>MKCC03</t>
  </si>
  <si>
    <t>Móc khoá cún Chuối</t>
  </si>
  <si>
    <t>MKCC04</t>
  </si>
  <si>
    <t>Móc khoá cún Dưa hấu</t>
  </si>
  <si>
    <t>MKCC05</t>
  </si>
  <si>
    <t>Móc khoá cún Sandwich</t>
  </si>
  <si>
    <t>MKCC06</t>
  </si>
  <si>
    <t>Móc khoá cún Donut</t>
  </si>
  <si>
    <t>MKCC07</t>
  </si>
  <si>
    <t>Móc khoá cún Hoa xinh</t>
  </si>
  <si>
    <t>MKCC08</t>
  </si>
  <si>
    <t>Móc khoá cún Đầu táo</t>
  </si>
  <si>
    <t>MKD12</t>
  </si>
  <si>
    <t>Móc khóa mèo đen cá</t>
  </si>
  <si>
    <t>MHPM01</t>
  </si>
  <si>
    <t>Mô hình Popbean 01</t>
  </si>
  <si>
    <t>MHPM02</t>
  </si>
  <si>
    <t>Mô hình Popbean 02</t>
  </si>
  <si>
    <t>MHPM03</t>
  </si>
  <si>
    <t>Mô hình Popbean 03</t>
  </si>
  <si>
    <t>MHPM04</t>
  </si>
  <si>
    <t>Mô hình Popbean 04</t>
  </si>
  <si>
    <t>MHPM05</t>
  </si>
  <si>
    <t>Mô hình Popbean 05</t>
  </si>
  <si>
    <t>MHPM06</t>
  </si>
  <si>
    <t>Mô hình Popbean 06</t>
  </si>
  <si>
    <t>MHPM07</t>
  </si>
  <si>
    <t>Mô hình Popbean 07</t>
  </si>
  <si>
    <t>MHPM08</t>
  </si>
  <si>
    <t>Mô hình Popbean 08</t>
  </si>
  <si>
    <t>MHPM09</t>
  </si>
  <si>
    <t>Mô hình Popbean 09</t>
  </si>
  <si>
    <t>MHPM10</t>
  </si>
  <si>
    <t>Mô hình Popbean 10</t>
  </si>
  <si>
    <t>MHPM11</t>
  </si>
  <si>
    <t>Mô hình Popbean 11</t>
  </si>
  <si>
    <t>MHPM12</t>
  </si>
  <si>
    <t>Mô hình Popbean 12</t>
  </si>
  <si>
    <t>MHPM13</t>
  </si>
  <si>
    <t>Mô hình Popbean 13</t>
  </si>
  <si>
    <t>MHPM14</t>
  </si>
  <si>
    <t>Mô hình Popbean 14</t>
  </si>
  <si>
    <t>MHPM15</t>
  </si>
  <si>
    <t>Mô hình Popbean 15</t>
  </si>
  <si>
    <t>MHPM16</t>
  </si>
  <si>
    <t>Mô hình Popbean 16</t>
  </si>
  <si>
    <t>MKPM01</t>
  </si>
  <si>
    <t>Móc khóa Popbean 01</t>
  </si>
  <si>
    <t>MKPM02</t>
  </si>
  <si>
    <t>Móc khóa Popbean 02</t>
  </si>
  <si>
    <t>MKPM03</t>
  </si>
  <si>
    <t>Móc khóa Popbean 03</t>
  </si>
  <si>
    <t>MKPM04</t>
  </si>
  <si>
    <t>Móc khóa Popbean 04</t>
  </si>
  <si>
    <t>MKPM05</t>
  </si>
  <si>
    <t>Móc khóa Popbean 05</t>
  </si>
  <si>
    <t>MKPM06</t>
  </si>
  <si>
    <t>Móc khóa Popbean 06</t>
  </si>
  <si>
    <t>MKPM07</t>
  </si>
  <si>
    <t>Móc khóa Popbean 07</t>
  </si>
  <si>
    <t>MKPM08</t>
  </si>
  <si>
    <t>Móc khóa Popbean 08</t>
  </si>
  <si>
    <t>MKPM09</t>
  </si>
  <si>
    <t>Móc khóa Popbean 09</t>
  </si>
  <si>
    <t>MKPM10</t>
  </si>
  <si>
    <t>Móc khóa Popbean 10</t>
  </si>
  <si>
    <t>MKPM11</t>
  </si>
  <si>
    <t>Móc khóa Popbean 11</t>
  </si>
  <si>
    <t>MKPM12</t>
  </si>
  <si>
    <t>Móc khóa Popbean 12</t>
  </si>
  <si>
    <t>MKPM13</t>
  </si>
  <si>
    <t>Móc khóa Popbean 13</t>
  </si>
  <si>
    <t>MKPM14</t>
  </si>
  <si>
    <t>Móc khóa Popbean 14</t>
  </si>
  <si>
    <t>MKPM15</t>
  </si>
  <si>
    <t>Móc khóa Popbean 15</t>
  </si>
  <si>
    <t>MKD13</t>
  </si>
  <si>
    <t>Móc khóa đôi Puppy</t>
  </si>
  <si>
    <t>MKD14</t>
  </si>
  <si>
    <t>Móc khóa đôi Capypara</t>
  </si>
  <si>
    <t>MKPM16</t>
  </si>
  <si>
    <t>Móc khóa Popbean Sweet Bean</t>
  </si>
  <si>
    <t>MKPM17</t>
  </si>
  <si>
    <t>Móc khóa Popbean Hacipupu</t>
  </si>
  <si>
    <t>MKPM18</t>
  </si>
  <si>
    <t>Móc khóa Popbean Pucky</t>
  </si>
  <si>
    <t>MKPM19</t>
  </si>
  <si>
    <t>MKPM20</t>
  </si>
  <si>
    <t>Móc khóa Popbean Labubu</t>
  </si>
  <si>
    <t>MKPM21</t>
  </si>
  <si>
    <t>Móc khóa Popbean Dimoo</t>
  </si>
  <si>
    <t>MKPM22</t>
  </si>
  <si>
    <t>Móc khóa Popbean Cry Baby</t>
  </si>
  <si>
    <t>MKPM23</t>
  </si>
  <si>
    <t>MKPM24</t>
  </si>
  <si>
    <t>Móc khóa Popbean Molly</t>
  </si>
  <si>
    <t>MKPM25</t>
  </si>
  <si>
    <t>Móc khóa Popbean Skull Panda</t>
  </si>
  <si>
    <t>MKPM26</t>
  </si>
  <si>
    <t>Móc khóa Popbean Kubo</t>
  </si>
  <si>
    <t>MKPM27</t>
  </si>
  <si>
    <t>MKPM28</t>
  </si>
  <si>
    <t>Móc khóa Popbean Zsiga</t>
  </si>
  <si>
    <t>MKPM29</t>
  </si>
  <si>
    <t>Móc khóa Popbean Lilios</t>
  </si>
  <si>
    <t>mkpm30</t>
  </si>
  <si>
    <t>Móc khóa Popbean</t>
  </si>
  <si>
    <t>mkpm31</t>
  </si>
  <si>
    <t>mkpm32</t>
  </si>
  <si>
    <t>mkpm33</t>
  </si>
  <si>
    <t>mkpm34</t>
  </si>
  <si>
    <t>mkpm35</t>
  </si>
  <si>
    <t>mkpm36</t>
  </si>
  <si>
    <t>mkpm37</t>
  </si>
  <si>
    <t>Móc khóa chuối</t>
  </si>
  <si>
    <t>mkbn02</t>
  </si>
  <si>
    <t>mkbn03</t>
  </si>
  <si>
    <t>mkbn04</t>
  </si>
  <si>
    <t>mkbn05</t>
  </si>
  <si>
    <t>mkbn06</t>
  </si>
  <si>
    <t>mkbn07</t>
  </si>
  <si>
    <t>mkbn08</t>
  </si>
  <si>
    <t>mkbn10</t>
  </si>
  <si>
    <t>mkbn11</t>
  </si>
  <si>
    <t>mkbn12</t>
  </si>
  <si>
    <t>tcb06-500</t>
  </si>
  <si>
    <t>Túi chườm bụng 500ml</t>
  </si>
  <si>
    <t>tcb06</t>
  </si>
  <si>
    <t>Túi chườm bụng 1000ml</t>
  </si>
  <si>
    <t>ttmh01</t>
  </si>
  <si>
    <t>Trang trí mô hình Heo</t>
  </si>
  <si>
    <t>ttmh03</t>
  </si>
  <si>
    <t>Trang trí mô hình Vịt</t>
  </si>
  <si>
    <t>ttmh04</t>
  </si>
  <si>
    <t>Trang trí mô hình Gấu</t>
  </si>
  <si>
    <t>ttmh05</t>
  </si>
  <si>
    <t>Trang trí mô hình Thỏ</t>
  </si>
  <si>
    <t>ttmh06</t>
  </si>
  <si>
    <t>Trang trí mô hình Cún</t>
  </si>
  <si>
    <t>mhlx03</t>
  </si>
  <si>
    <t>Mô hình gấu</t>
  </si>
  <si>
    <t>mkpm38</t>
  </si>
  <si>
    <t>mkpm41</t>
  </si>
  <si>
    <t>mkpm42</t>
  </si>
  <si>
    <t>mkpm44</t>
  </si>
  <si>
    <t>mkpm45</t>
  </si>
  <si>
    <t>mkpm46</t>
  </si>
  <si>
    <t>mkpm47</t>
  </si>
  <si>
    <t>mkpm48</t>
  </si>
  <si>
    <t>mkpm49</t>
  </si>
  <si>
    <t>mkpm50</t>
  </si>
  <si>
    <t>mhlx02</t>
  </si>
  <si>
    <t>Mô hình xương rồng</t>
  </si>
  <si>
    <t>mhlx01</t>
  </si>
  <si>
    <t>Mô hình thần tài</t>
  </si>
  <si>
    <t>mkpm51</t>
  </si>
  <si>
    <t>DTDT01</t>
  </si>
  <si>
    <t>DTDT02</t>
  </si>
  <si>
    <t>DTDT03</t>
  </si>
  <si>
    <t>DTDT04</t>
  </si>
  <si>
    <t>lotdt</t>
  </si>
  <si>
    <t>miếng dán silicon điện thoại</t>
  </si>
  <si>
    <t>mkcb01</t>
  </si>
  <si>
    <t>Móc khoá Crybaby mini Popmart</t>
  </si>
  <si>
    <t>mkcb02</t>
  </si>
  <si>
    <t>mkcb03</t>
  </si>
  <si>
    <t>mkcb04</t>
  </si>
  <si>
    <t>mkcb06</t>
  </si>
  <si>
    <t>mkl01</t>
  </si>
  <si>
    <t>Móc khoá Labubu mini Popmart</t>
  </si>
  <si>
    <t>mkl02</t>
  </si>
  <si>
    <t>mkl03</t>
  </si>
  <si>
    <t>mkl04</t>
  </si>
  <si>
    <t>mkl05</t>
  </si>
  <si>
    <t>mkl06</t>
  </si>
  <si>
    <t>mkl08</t>
  </si>
  <si>
    <t>mkl09</t>
  </si>
  <si>
    <t>mkl10</t>
  </si>
  <si>
    <t>Móc khoá Dimoo size mini (hàng remake)</t>
  </si>
  <si>
    <t>mkdm02</t>
  </si>
  <si>
    <t>mkdm03</t>
  </si>
  <si>
    <t>mkdm04</t>
  </si>
  <si>
    <t>Móc khoá Dimoo size mini (hàng remake) hồng</t>
  </si>
  <si>
    <t>mkdm05</t>
  </si>
  <si>
    <t>MHDT01</t>
  </si>
  <si>
    <t>Mô hình động vật thần tài - Heo hồng</t>
  </si>
  <si>
    <t>MHDT02</t>
  </si>
  <si>
    <t>Mô hình động vật thần tài - Capy</t>
  </si>
  <si>
    <t>MHDT03</t>
  </si>
  <si>
    <t>Mô hình động vật thần tài - Gấu trúc</t>
  </si>
  <si>
    <t>MKD15</t>
  </si>
  <si>
    <t>Capy</t>
  </si>
  <si>
    <t>MKD16</t>
  </si>
  <si>
    <t>Đôi cún</t>
  </si>
  <si>
    <t>MKB01</t>
  </si>
  <si>
    <t>heo</t>
  </si>
  <si>
    <t>MKB02</t>
  </si>
  <si>
    <t>MKB03</t>
  </si>
  <si>
    <t>ếch</t>
  </si>
  <si>
    <t>MKB04</t>
  </si>
  <si>
    <t>thỏ</t>
  </si>
  <si>
    <t>mkpm52</t>
  </si>
  <si>
    <t>mkcb10</t>
  </si>
  <si>
    <t>mkcb11</t>
  </si>
  <si>
    <t>TH01</t>
  </si>
  <si>
    <t>Thiệp</t>
  </si>
  <si>
    <t>TH02</t>
  </si>
  <si>
    <t>TH03</t>
  </si>
  <si>
    <t>TH04</t>
  </si>
  <si>
    <t>MKG01</t>
  </si>
  <si>
    <t>MKG02</t>
  </si>
  <si>
    <t>MKG03</t>
  </si>
  <si>
    <t>MKG04</t>
  </si>
  <si>
    <t>MKPM53</t>
  </si>
  <si>
    <t>LX01(6bao)</t>
  </si>
  <si>
    <t>bao lì xì Tết 2025</t>
  </si>
  <si>
    <t>LX02(6bao)</t>
  </si>
  <si>
    <t>LX03(6bao)</t>
  </si>
  <si>
    <t>LX04(6bao)</t>
  </si>
  <si>
    <t>LX05(6bao)</t>
  </si>
  <si>
    <t>LX06(6bao)</t>
  </si>
  <si>
    <t>LX07(12bao)</t>
  </si>
  <si>
    <t>TH05</t>
  </si>
  <si>
    <t>TH06</t>
  </si>
  <si>
    <t>tuimu</t>
  </si>
  <si>
    <t>túi mù mô hình</t>
  </si>
  <si>
    <t>MKPM54</t>
  </si>
  <si>
    <t>MKPM55</t>
  </si>
  <si>
    <t>mkbb03</t>
  </si>
  <si>
    <t>MKG05</t>
  </si>
  <si>
    <t>MKG06</t>
  </si>
  <si>
    <t>MKG07</t>
  </si>
  <si>
    <t>MKG08</t>
  </si>
  <si>
    <t>MKG09</t>
  </si>
  <si>
    <t>MKG10</t>
  </si>
  <si>
    <t>MKG11</t>
  </si>
  <si>
    <t>mkbn13</t>
  </si>
  <si>
    <t>mkbn14</t>
  </si>
  <si>
    <t>mkbn15</t>
  </si>
  <si>
    <t>mkdm12</t>
  </si>
  <si>
    <t>mkdm15</t>
  </si>
  <si>
    <t>mkdm16</t>
  </si>
  <si>
    <t>mkbb04</t>
  </si>
  <si>
    <t>mkbb05</t>
  </si>
  <si>
    <t>mkbb06</t>
  </si>
  <si>
    <t>mkbb07</t>
  </si>
  <si>
    <t>mkbb08</t>
  </si>
  <si>
    <t>skullxanh</t>
  </si>
  <si>
    <t>dpm03</t>
  </si>
  <si>
    <t>dpm04</t>
  </si>
  <si>
    <t>dpm05</t>
  </si>
  <si>
    <t>dpm07</t>
  </si>
  <si>
    <t>mkcb13</t>
  </si>
  <si>
    <t>mkcb14</t>
  </si>
  <si>
    <t>mkcb15</t>
  </si>
  <si>
    <t>mkcb16</t>
  </si>
  <si>
    <t>mkcb17</t>
  </si>
  <si>
    <t>mkcb18</t>
  </si>
  <si>
    <t>mkcb19</t>
  </si>
  <si>
    <t>mksm01</t>
  </si>
  <si>
    <t>Móc khoá Dudu nhiều màu sắc treo túi, đeo điện thoại</t>
  </si>
  <si>
    <t>mksm02</t>
  </si>
  <si>
    <t>mksm03</t>
  </si>
  <si>
    <t>mksm04</t>
  </si>
  <si>
    <t>mksm05</t>
  </si>
  <si>
    <t>mksm06</t>
  </si>
  <si>
    <t>DPM08</t>
  </si>
  <si>
    <t>Pop Bean Baked Bread</t>
  </si>
  <si>
    <t>DPM09</t>
  </si>
  <si>
    <t>DPM10</t>
  </si>
  <si>
    <t>DPM11</t>
  </si>
  <si>
    <t>DPM12</t>
  </si>
  <si>
    <t>MKSP01</t>
  </si>
  <si>
    <t>Móc khoá skullpanda phiên bản mini</t>
  </si>
  <si>
    <t>DTDT05</t>
  </si>
  <si>
    <t>Dây treo điện thoại có charm xinh xắn</t>
  </si>
  <si>
    <t>DTDT06</t>
  </si>
  <si>
    <t>ccpmdt01</t>
  </si>
  <si>
    <t>MKDM06</t>
  </si>
  <si>
    <t>MKM07</t>
  </si>
  <si>
    <t>MKM08</t>
  </si>
  <si>
    <t>MDM09</t>
  </si>
  <si>
    <t>MKDM10</t>
  </si>
  <si>
    <t>MKDM11</t>
  </si>
  <si>
    <t>CPBB01</t>
  </si>
  <si>
    <t>Móc Khoá Capybara thổi bong bóng</t>
  </si>
  <si>
    <t>CPBB02</t>
  </si>
  <si>
    <t>CPBB03</t>
  </si>
  <si>
    <t>CPBB04</t>
  </si>
  <si>
    <t>CPBB05</t>
  </si>
  <si>
    <t>CPBB06</t>
  </si>
  <si>
    <t>CPBB07</t>
  </si>
  <si>
    <t>ccpmdt04</t>
  </si>
  <si>
    <t>ccpmdt09</t>
  </si>
  <si>
    <t>ccpmdt10</t>
  </si>
  <si>
    <t>ccpmdt11</t>
  </si>
  <si>
    <t>ccpmdt12</t>
  </si>
  <si>
    <t>ccpmdt13</t>
  </si>
  <si>
    <t>ccpmdt22</t>
  </si>
  <si>
    <t>ccpmdt24</t>
  </si>
  <si>
    <t>ccpmdt25</t>
  </si>
  <si>
    <t>ccpmdt26</t>
  </si>
  <si>
    <t>ccpmdt27</t>
  </si>
  <si>
    <t>ccpmdt28</t>
  </si>
  <si>
    <t>ccpmdt30</t>
  </si>
  <si>
    <t>ccpmdt42</t>
  </si>
  <si>
    <t>ccpmdt43</t>
  </si>
  <si>
    <t>ccpmdt45</t>
  </si>
  <si>
    <t>ccpmdt46</t>
  </si>
  <si>
    <t>ccpmdt48</t>
  </si>
  <si>
    <t>ccpmdt53</t>
  </si>
  <si>
    <t>Túi Xách Vải Chần Bông</t>
  </si>
  <si>
    <t>GGTK01</t>
  </si>
  <si>
    <t>Túi Đựng Mắt Kính Da Pu</t>
  </si>
  <si>
    <t>GGTK02</t>
  </si>
  <si>
    <t>GGTK03</t>
  </si>
  <si>
    <t>GGTK04</t>
  </si>
  <si>
    <t>GGTK05</t>
  </si>
  <si>
    <t>GGTK06</t>
  </si>
  <si>
    <t>GGTK07</t>
  </si>
  <si>
    <t>GGTK08</t>
  </si>
  <si>
    <t>GGTK09</t>
  </si>
  <si>
    <t>GGVMN01</t>
  </si>
  <si>
    <t>Túi đựng đồ trang điểm nhỏ</t>
  </si>
  <si>
    <t>GGVMN02</t>
  </si>
  <si>
    <t>GGVMN03</t>
  </si>
  <si>
    <t>GGVMN04</t>
  </si>
  <si>
    <t>GGTTD01</t>
  </si>
  <si>
    <t>Túi đựng trang điểm</t>
  </si>
  <si>
    <t>GGTTD02</t>
  </si>
  <si>
    <t>GGTTD03</t>
  </si>
  <si>
    <t>GGTTD04</t>
  </si>
  <si>
    <t>GGTTDL01</t>
  </si>
  <si>
    <t>Túi đựng mỹ phẩm cầm tay</t>
  </si>
  <si>
    <t>GGTTDL02</t>
  </si>
  <si>
    <t>GGTTDL03</t>
  </si>
  <si>
    <t>GGTTDL04</t>
  </si>
  <si>
    <t>GGTTDN01</t>
  </si>
  <si>
    <t>Túi đựng đồ trang điểm nơ</t>
  </si>
  <si>
    <t>GGTTDN02</t>
  </si>
  <si>
    <t>GGTTDN03</t>
  </si>
  <si>
    <t>GGTTDN04</t>
  </si>
  <si>
    <t>TT01</t>
  </si>
  <si>
    <t>Túi Tote Denim</t>
  </si>
  <si>
    <t>TT02</t>
  </si>
  <si>
    <t>th07</t>
  </si>
  <si>
    <t>th08</t>
  </si>
  <si>
    <t>DMP08</t>
  </si>
  <si>
    <t>DMP09</t>
  </si>
  <si>
    <t>ggtt01</t>
  </si>
  <si>
    <t>ggtk05</t>
  </si>
  <si>
    <t>ggt05</t>
  </si>
  <si>
    <t>daytreo</t>
  </si>
  <si>
    <t>Móc khóa mô hình Twinkle Mini</t>
  </si>
  <si>
    <t>Nhập kho</t>
  </si>
  <si>
    <t>Đơn giá</t>
  </si>
  <si>
    <t>Số lượng nhập</t>
  </si>
  <si>
    <t>Tổng</t>
  </si>
  <si>
    <t>VNĐ</t>
  </si>
  <si>
    <t>mkm04</t>
  </si>
  <si>
    <t>mkm01</t>
  </si>
  <si>
    <t>mkm05</t>
  </si>
  <si>
    <t>mkm02</t>
  </si>
  <si>
    <t>mkm03</t>
  </si>
  <si>
    <t>tcc03</t>
  </si>
  <si>
    <t>vcc</t>
  </si>
  <si>
    <t>hcc03</t>
  </si>
  <si>
    <t>hcc02</t>
  </si>
  <si>
    <t>ccc</t>
  </si>
  <si>
    <t>tcc</t>
  </si>
  <si>
    <t>gtgx</t>
  </si>
  <si>
    <t>hcklgx</t>
  </si>
  <si>
    <t>mkd01</t>
  </si>
  <si>
    <t>drg08</t>
  </si>
  <si>
    <t>drg11</t>
  </si>
  <si>
    <t>drg12</t>
  </si>
  <si>
    <t>drg13</t>
  </si>
  <si>
    <t>drg14</t>
  </si>
  <si>
    <t>drg18</t>
  </si>
  <si>
    <t>drg19</t>
  </si>
  <si>
    <t>td03</t>
  </si>
  <si>
    <t>td04</t>
  </si>
  <si>
    <t>td05</t>
  </si>
  <si>
    <t>td06</t>
  </si>
  <si>
    <t>ks01</t>
  </si>
  <si>
    <t>kn1</t>
  </si>
  <si>
    <t>kn2</t>
  </si>
  <si>
    <t>kn3</t>
  </si>
  <si>
    <t>kn4</t>
  </si>
  <si>
    <t>kn5</t>
  </si>
  <si>
    <t>ktb06</t>
  </si>
  <si>
    <t>ktb04</t>
  </si>
  <si>
    <t>ktb03</t>
  </si>
  <si>
    <t>ktb05</t>
  </si>
  <si>
    <t>ktb01</t>
  </si>
  <si>
    <t>ktb02</t>
  </si>
  <si>
    <t>ktb17</t>
  </si>
  <si>
    <t>ktb18</t>
  </si>
  <si>
    <t>gcc02</t>
  </si>
  <si>
    <t>mhtt17</t>
  </si>
  <si>
    <t>mhtt16</t>
  </si>
  <si>
    <t>mhtt20</t>
  </si>
  <si>
    <t>mkd10</t>
  </si>
  <si>
    <t>mkd08</t>
  </si>
  <si>
    <t>mkc20</t>
  </si>
  <si>
    <t>mkc15</t>
  </si>
  <si>
    <t>mkc18</t>
  </si>
  <si>
    <t>mkc19</t>
  </si>
  <si>
    <t>mkc17</t>
  </si>
  <si>
    <t>ktb20</t>
  </si>
  <si>
    <t>mkd09</t>
  </si>
  <si>
    <t>mkd06</t>
  </si>
  <si>
    <t>mkd12</t>
  </si>
  <si>
    <t>mhtt19</t>
  </si>
  <si>
    <t>mhtt18</t>
  </si>
  <si>
    <t>HCC04</t>
  </si>
  <si>
    <t>SCC</t>
  </si>
  <si>
    <t>mkd13</t>
  </si>
  <si>
    <t>mkd14</t>
  </si>
  <si>
    <t>tcb05-500</t>
  </si>
  <si>
    <t>tcb04</t>
  </si>
  <si>
    <t>tcb03</t>
  </si>
  <si>
    <t>tcb02-500</t>
  </si>
  <si>
    <t>tcb01-500</t>
  </si>
  <si>
    <t>tcb03-500</t>
  </si>
  <si>
    <t>tcb04-500</t>
  </si>
  <si>
    <t>tcb05</t>
  </si>
  <si>
    <t>tcb01</t>
  </si>
  <si>
    <t>tcb02</t>
  </si>
  <si>
    <t>mkpm16</t>
  </si>
  <si>
    <t>mkpm17</t>
  </si>
  <si>
    <t>mkpm18</t>
  </si>
  <si>
    <t>mkpm19</t>
  </si>
  <si>
    <t>mkpm20</t>
  </si>
  <si>
    <t>mkpm21</t>
  </si>
  <si>
    <t>mkpm22</t>
  </si>
  <si>
    <t>mkpm23</t>
  </si>
  <si>
    <t>mkpm24</t>
  </si>
  <si>
    <t>mkpm25</t>
  </si>
  <si>
    <t>mkpm26</t>
  </si>
  <si>
    <t>mkpm27</t>
  </si>
  <si>
    <t>mkpm28</t>
  </si>
  <si>
    <t>mkpm29</t>
  </si>
  <si>
    <t>xxx</t>
  </si>
  <si>
    <t>MKBN01</t>
  </si>
  <si>
    <t>MKBN02</t>
  </si>
  <si>
    <t>MKBN03</t>
  </si>
  <si>
    <t>MKBN04</t>
  </si>
  <si>
    <t>MKBN05</t>
  </si>
  <si>
    <t>MKBN06</t>
  </si>
  <si>
    <t>MKBN07</t>
  </si>
  <si>
    <t>MKBN09</t>
  </si>
  <si>
    <t>MKBN10</t>
  </si>
  <si>
    <t>MKBN11</t>
  </si>
  <si>
    <t>MKBN12</t>
  </si>
  <si>
    <t>MKPM32</t>
  </si>
  <si>
    <t>MKPM35</t>
  </si>
  <si>
    <t>MKPM43</t>
  </si>
  <si>
    <t>MKPM40</t>
  </si>
  <si>
    <t>MKPM42</t>
  </si>
  <si>
    <t>MKPM47</t>
  </si>
  <si>
    <t>MKPM48</t>
  </si>
  <si>
    <t>MKPM51</t>
  </si>
  <si>
    <t>mkd15</t>
  </si>
  <si>
    <t>Mcc</t>
  </si>
  <si>
    <t>mkpm53</t>
  </si>
  <si>
    <t>dtdt01</t>
  </si>
  <si>
    <t>dtdt02</t>
  </si>
  <si>
    <t>dtdt03</t>
  </si>
  <si>
    <t>dtdt04</t>
  </si>
  <si>
    <t>mkpm06</t>
  </si>
  <si>
    <t>mkpm08</t>
  </si>
  <si>
    <t>mkpm10</t>
  </si>
  <si>
    <t>mkpm12</t>
  </si>
  <si>
    <t>mkb02</t>
  </si>
  <si>
    <t>mkb01</t>
  </si>
  <si>
    <t>mhdt01</t>
  </si>
  <si>
    <t>mhdt02</t>
  </si>
  <si>
    <t>mhdt03</t>
  </si>
  <si>
    <t>mkd16</t>
  </si>
  <si>
    <t>MKPM41</t>
  </si>
  <si>
    <t>mkpm54</t>
  </si>
  <si>
    <t>dtdt05</t>
  </si>
  <si>
    <t>dtdt06</t>
  </si>
  <si>
    <t>lx01</t>
  </si>
  <si>
    <t>lx02</t>
  </si>
  <si>
    <t>lx03</t>
  </si>
  <si>
    <t>lx04</t>
  </si>
  <si>
    <t>lx05</t>
  </si>
  <si>
    <t>lx06</t>
  </si>
  <si>
    <t>lx07</t>
  </si>
  <si>
    <t>mkg02</t>
  </si>
  <si>
    <t>mkg03</t>
  </si>
  <si>
    <t>mkg04</t>
  </si>
  <si>
    <t>mkd07</t>
  </si>
  <si>
    <t>dpm11</t>
  </si>
  <si>
    <t>dpm12</t>
  </si>
  <si>
    <t>CCPMDT02</t>
  </si>
  <si>
    <t>CCPMDT11</t>
  </si>
  <si>
    <t>CCPMDT01</t>
  </si>
  <si>
    <t>CCPMDT08</t>
  </si>
  <si>
    <t>CCPMDT26</t>
  </si>
  <si>
    <t>CCPMDT27</t>
  </si>
  <si>
    <t>CCPMDT28</t>
  </si>
  <si>
    <t>CCPMDT07</t>
  </si>
  <si>
    <t>CCPMDT29</t>
  </si>
  <si>
    <t>CCPMDT30</t>
  </si>
  <si>
    <t>CCPMDT15</t>
  </si>
  <si>
    <t>CCPMDT16</t>
  </si>
  <si>
    <t>CCPMDT17</t>
  </si>
  <si>
    <t>CCPMDT18</t>
  </si>
  <si>
    <t>CCPMDT20</t>
  </si>
  <si>
    <t>CCPMDT21</t>
  </si>
  <si>
    <t>CCPMDT25</t>
  </si>
  <si>
    <t>CCPMDT31</t>
  </si>
  <si>
    <t>CCPMDT38</t>
  </si>
  <si>
    <t>CCPMDT14</t>
  </si>
  <si>
    <t>CCPMDT40</t>
  </si>
  <si>
    <t>CCPMDT47</t>
  </si>
  <si>
    <t>dimoo01</t>
  </si>
  <si>
    <t>dimoo02</t>
  </si>
  <si>
    <t>zsiga01</t>
  </si>
  <si>
    <t>labubu01</t>
  </si>
  <si>
    <t>pucky01</t>
  </si>
  <si>
    <t>sweetbean01</t>
  </si>
  <si>
    <t>hacipupu01</t>
  </si>
  <si>
    <t>molly01</t>
  </si>
  <si>
    <t>nyota01</t>
  </si>
  <si>
    <t>pino01</t>
  </si>
  <si>
    <t>zsiga03-ct06</t>
  </si>
  <si>
    <t>dimoo02-ct06</t>
  </si>
  <si>
    <t>labubu01-ct06</t>
  </si>
  <si>
    <t>skullpanda01-ct06</t>
  </si>
  <si>
    <t>ccpmdt39-ct06</t>
  </si>
  <si>
    <t>crybaby01-ct061</t>
  </si>
  <si>
    <t>Đơn giá bán</t>
  </si>
  <si>
    <t>Số lượng xuất</t>
  </si>
  <si>
    <t>bán kẹp</t>
  </si>
  <si>
    <t>mkg05</t>
  </si>
  <si>
    <t>mkg06</t>
  </si>
  <si>
    <t>mkg07</t>
  </si>
  <si>
    <t>mkg09</t>
  </si>
  <si>
    <t>mkg10</t>
  </si>
  <si>
    <t>mdm09</t>
  </si>
  <si>
    <t>lx01(6bao)</t>
  </si>
  <si>
    <t>lx03(6bao)</t>
  </si>
  <si>
    <t>lx06(6bao)</t>
  </si>
  <si>
    <t>lx04(6bao)</t>
  </si>
  <si>
    <t>ca11</t>
  </si>
  <si>
    <t>bt106</t>
  </si>
  <si>
    <t>lx07(12bao)</t>
  </si>
  <si>
    <t>lxx</t>
  </si>
  <si>
    <t>lx02(6bao)</t>
  </si>
  <si>
    <t>mkst02</t>
  </si>
  <si>
    <t>lx xanh</t>
  </si>
  <si>
    <t>lx05(6bao)</t>
  </si>
  <si>
    <t>lx</t>
  </si>
  <si>
    <t>mkm07</t>
  </si>
  <si>
    <t>tgch04</t>
  </si>
  <si>
    <t>ml01</t>
  </si>
  <si>
    <t>tgch07</t>
  </si>
  <si>
    <t>tc010</t>
  </si>
  <si>
    <t>lxxanh</t>
  </si>
  <si>
    <t>tc025</t>
  </si>
  <si>
    <t>tc009</t>
  </si>
  <si>
    <t>tc007</t>
  </si>
  <si>
    <t>tcb25</t>
  </si>
  <si>
    <t>bt501</t>
  </si>
  <si>
    <t>ht07</t>
  </si>
  <si>
    <t>ktkl02</t>
  </si>
  <si>
    <t>tgch10</t>
  </si>
  <si>
    <t>MKCB02</t>
  </si>
  <si>
    <t>MKCB05</t>
  </si>
  <si>
    <t>MKCB01</t>
  </si>
  <si>
    <t>MKBB02</t>
  </si>
  <si>
    <t>MKBB04</t>
  </si>
  <si>
    <t>MKCB12</t>
  </si>
  <si>
    <t>MKCB18</t>
  </si>
  <si>
    <t>MKCB03</t>
  </si>
  <si>
    <t>mkcc07</t>
  </si>
  <si>
    <t>MKPM46</t>
  </si>
  <si>
    <t>ht05</t>
  </si>
  <si>
    <t>mkcc03</t>
  </si>
  <si>
    <t>mkcc04</t>
  </si>
  <si>
    <t>mkcc08</t>
  </si>
  <si>
    <t>mkbb09</t>
  </si>
  <si>
    <t>MKCB17</t>
  </si>
  <si>
    <t>bể</t>
  </si>
  <si>
    <t>ht03</t>
  </si>
  <si>
    <t>tc008</t>
  </si>
  <si>
    <t>bt06</t>
  </si>
  <si>
    <t>tc020</t>
  </si>
  <si>
    <t>cpbb02</t>
  </si>
  <si>
    <t>ht09</t>
  </si>
  <si>
    <t>mkbb10</t>
  </si>
  <si>
    <t>ggtk02</t>
  </si>
  <si>
    <t>tgch09</t>
  </si>
  <si>
    <t>DPM06</t>
  </si>
  <si>
    <t>mkst01</t>
  </si>
  <si>
    <t>th11</t>
  </si>
  <si>
    <t>mkb14</t>
  </si>
  <si>
    <t>mkdm10</t>
  </si>
  <si>
    <t>ca10</t>
  </si>
  <si>
    <t>ggtk03</t>
  </si>
  <si>
    <t>ggvmn01</t>
  </si>
  <si>
    <t>ggvmn04</t>
  </si>
  <si>
    <t>ggttdn04</t>
  </si>
  <si>
    <t>dm12</t>
  </si>
  <si>
    <t>ggvmn02</t>
  </si>
  <si>
    <t>ggttd02</t>
  </si>
  <si>
    <t>bt101</t>
  </si>
  <si>
    <t>bt102</t>
  </si>
  <si>
    <t>ggtk07</t>
  </si>
  <si>
    <t>mkcc02</t>
  </si>
  <si>
    <t>ggtk04</t>
  </si>
  <si>
    <t>ggttdl02</t>
  </si>
  <si>
    <t>bt201</t>
  </si>
  <si>
    <t>th03</t>
  </si>
  <si>
    <t>ggtk06</t>
  </si>
  <si>
    <t>ggtk01</t>
  </si>
  <si>
    <t>tc027</t>
  </si>
  <si>
    <t>tc023</t>
  </si>
  <si>
    <t>ht04</t>
  </si>
  <si>
    <t>ggtk08</t>
  </si>
  <si>
    <t>cpbb05</t>
  </si>
  <si>
    <t>cpbb04</t>
  </si>
  <si>
    <t>tc002</t>
  </si>
  <si>
    <t>cpbb01</t>
  </si>
  <si>
    <t>CCPMDT05</t>
  </si>
  <si>
    <t>ht06</t>
  </si>
  <si>
    <t>bt1001</t>
  </si>
  <si>
    <t>ggtk09</t>
  </si>
  <si>
    <t>tgch08</t>
  </si>
  <si>
    <t>ggttdl04</t>
  </si>
  <si>
    <t>tc003</t>
  </si>
  <si>
    <t>Zsiga01-mh</t>
  </si>
  <si>
    <t>dimoo01-mh</t>
  </si>
  <si>
    <t>sweetbean01-mh</t>
  </si>
  <si>
    <t>twinkle01-mh</t>
  </si>
  <si>
    <t>ggtt02</t>
  </si>
  <si>
    <t>crybaby01-mh</t>
  </si>
  <si>
    <t>skullpanda01-mh</t>
  </si>
  <si>
    <t>crybaby01-ct00</t>
  </si>
  <si>
    <t>crybaby01-ct03</t>
  </si>
  <si>
    <t>ggttdn01</t>
  </si>
  <si>
    <t>nyota01-ct00</t>
  </si>
  <si>
    <t>twinkle01-ct00</t>
  </si>
  <si>
    <t>dimoo02-ct00</t>
  </si>
  <si>
    <t>molly01-ct00</t>
  </si>
  <si>
    <t>kubo01-ct00</t>
  </si>
  <si>
    <t>kubo01-ct03</t>
  </si>
  <si>
    <t>tc026</t>
  </si>
  <si>
    <t>pino01-ct00</t>
  </si>
  <si>
    <t>dimoo01-ct00</t>
  </si>
  <si>
    <t>cpbb06</t>
  </si>
  <si>
    <t>dimoo02-ct04</t>
  </si>
  <si>
    <t>pino01-ct04</t>
  </si>
  <si>
    <t>kubo01-ct04</t>
  </si>
  <si>
    <t>pucky01-ct04</t>
  </si>
  <si>
    <t>hacipupu01-ct04</t>
  </si>
  <si>
    <t>sweetbean01-ct04</t>
  </si>
  <si>
    <t>skullpanda01-ct00</t>
  </si>
  <si>
    <t>pucky01-ct00</t>
  </si>
  <si>
    <t>ca01</t>
  </si>
  <si>
    <t>daytreo02</t>
  </si>
  <si>
    <t>mkm08</t>
  </si>
  <si>
    <t>crybaby01-ct05</t>
  </si>
  <si>
    <t>crybaby01-ct01</t>
  </si>
  <si>
    <t>ccpmdt36-ct04</t>
  </si>
  <si>
    <t>crybaby010ct62</t>
  </si>
  <si>
    <t>3/7</t>
  </si>
  <si>
    <t>4/7</t>
  </si>
  <si>
    <t>5/7</t>
  </si>
  <si>
    <t>6/7</t>
  </si>
  <si>
    <t>7/7</t>
  </si>
  <si>
    <t>8/7</t>
  </si>
  <si>
    <t>9/7</t>
  </si>
  <si>
    <t>10/7</t>
  </si>
  <si>
    <t>11/7</t>
  </si>
  <si>
    <t>13/7</t>
  </si>
  <si>
    <t>14/7</t>
  </si>
  <si>
    <t>15/7</t>
  </si>
  <si>
    <t>17/7</t>
  </si>
  <si>
    <t>18/7</t>
  </si>
  <si>
    <t>21/7</t>
  </si>
  <si>
    <t>22/7</t>
  </si>
  <si>
    <t>ktn07</t>
  </si>
  <si>
    <t>ktn06</t>
  </si>
  <si>
    <t>vcd16</t>
  </si>
  <si>
    <t>vcd23</t>
  </si>
  <si>
    <t>kthl01</t>
  </si>
  <si>
    <t>kl02</t>
  </si>
  <si>
    <t>mhtt12</t>
  </si>
  <si>
    <t>ktb11</t>
  </si>
  <si>
    <t>vcd02</t>
  </si>
  <si>
    <t>mkd02</t>
  </si>
  <si>
    <t>vcd20</t>
  </si>
  <si>
    <t>vcd22</t>
  </si>
  <si>
    <t>tdvGX</t>
  </si>
  <si>
    <t>ktn23</t>
  </si>
  <si>
    <t>ktn14</t>
  </si>
  <si>
    <t>tc004</t>
  </si>
  <si>
    <t>tc006</t>
  </si>
  <si>
    <t>kths05</t>
  </si>
  <si>
    <t>ktn12</t>
  </si>
  <si>
    <t>ktb09</t>
  </si>
  <si>
    <t>ktn10</t>
  </si>
  <si>
    <t>kn04</t>
  </si>
  <si>
    <t>kn01</t>
  </si>
  <si>
    <t>ca03</t>
  </si>
  <si>
    <t>mkc10</t>
  </si>
  <si>
    <t>mkc03</t>
  </si>
  <si>
    <t>kths01</t>
  </si>
  <si>
    <t>kths02</t>
  </si>
  <si>
    <t>kths03</t>
  </si>
  <si>
    <t>kths04</t>
  </si>
  <si>
    <t>kths06</t>
  </si>
  <si>
    <t>kths07</t>
  </si>
  <si>
    <t>ktkl01</t>
  </si>
  <si>
    <t>mkc07</t>
  </si>
  <si>
    <t>Set1</t>
  </si>
  <si>
    <t>Tất vớ cổ cao nữ 5 đôi</t>
  </si>
  <si>
    <t>bt1003</t>
  </si>
  <si>
    <t>mkc08</t>
  </si>
  <si>
    <t>bt202</t>
  </si>
  <si>
    <t>kn02</t>
  </si>
  <si>
    <t>bt013</t>
  </si>
  <si>
    <t>mhtt02</t>
  </si>
  <si>
    <t>mhtt03</t>
  </si>
  <si>
    <t>mhtt04</t>
  </si>
  <si>
    <t>tcb20</t>
  </si>
  <si>
    <t>mkc01</t>
  </si>
  <si>
    <t>tgch06</t>
  </si>
  <si>
    <t>ktb13</t>
  </si>
  <si>
    <t>mkc09</t>
  </si>
  <si>
    <t>mkc14</t>
  </si>
  <si>
    <t>btt05</t>
  </si>
  <si>
    <t>vcd09</t>
  </si>
  <si>
    <t>ca14</t>
  </si>
  <si>
    <t>kths20</t>
  </si>
  <si>
    <t>drg01</t>
  </si>
  <si>
    <t>kths09</t>
  </si>
  <si>
    <t>tcb22</t>
  </si>
  <si>
    <t>ktn17</t>
  </si>
  <si>
    <t>tcb17</t>
  </si>
  <si>
    <t>kl03</t>
  </si>
  <si>
    <t>kn06</t>
  </si>
  <si>
    <t>ktn24</t>
  </si>
  <si>
    <t>ca12</t>
  </si>
  <si>
    <t>mkc13</t>
  </si>
  <si>
    <t>tcb16</t>
  </si>
  <si>
    <t>mkc04</t>
  </si>
  <si>
    <t>mhtt01</t>
  </si>
  <si>
    <t>mkc16</t>
  </si>
  <si>
    <t>drg03</t>
  </si>
  <si>
    <t>ht02</t>
  </si>
  <si>
    <t>kkttd02</t>
  </si>
  <si>
    <t>kkttd03</t>
  </si>
  <si>
    <t>mkcc05</t>
  </si>
  <si>
    <t>ktb12</t>
  </si>
  <si>
    <t>vcd01</t>
  </si>
  <si>
    <t>vcd07</t>
  </si>
  <si>
    <t>vcd03</t>
  </si>
  <si>
    <t>vcd04</t>
  </si>
  <si>
    <t>vcd05</t>
  </si>
  <si>
    <t>bt011</t>
  </si>
  <si>
    <t>bt012</t>
  </si>
  <si>
    <t>mkc12</t>
  </si>
  <si>
    <t>kkttd01</t>
  </si>
  <si>
    <t>vcd06</t>
  </si>
  <si>
    <t>vcd10</t>
  </si>
  <si>
    <t>ktn09</t>
  </si>
  <si>
    <t>kn05</t>
  </si>
  <si>
    <t>ktn15</t>
  </si>
  <si>
    <t>ktn22</t>
  </si>
  <si>
    <t>vcd18</t>
  </si>
  <si>
    <t>vcd11</t>
  </si>
  <si>
    <t>vcd12</t>
  </si>
  <si>
    <t>vcd13</t>
  </si>
  <si>
    <t>vcd14</t>
  </si>
  <si>
    <t>vcd15</t>
  </si>
  <si>
    <t>ktn20</t>
  </si>
  <si>
    <t>vcd19</t>
  </si>
  <si>
    <t>ktl03</t>
  </si>
  <si>
    <t>mhpm11</t>
  </si>
  <si>
    <t>mhpm10</t>
  </si>
  <si>
    <t>mhpm06</t>
  </si>
  <si>
    <t>mhpm07</t>
  </si>
  <si>
    <t>kkttd08</t>
  </si>
  <si>
    <t>kkttd07</t>
  </si>
  <si>
    <t>mkpm02</t>
  </si>
  <si>
    <t>mhpm15</t>
  </si>
  <si>
    <t>mkpm03</t>
  </si>
  <si>
    <t>mkpm11</t>
  </si>
  <si>
    <t>mkpm01</t>
  </si>
  <si>
    <t>mkpm04</t>
  </si>
  <si>
    <t>mkpm05</t>
  </si>
  <si>
    <t>vcn06</t>
  </si>
  <si>
    <t>vcn11</t>
  </si>
  <si>
    <t>mkpm09</t>
  </si>
  <si>
    <t>kkttd04</t>
  </si>
  <si>
    <t>tcb23</t>
  </si>
  <si>
    <t>mhpm13</t>
  </si>
  <si>
    <t>mhpm02</t>
  </si>
  <si>
    <t>mhpm08</t>
  </si>
  <si>
    <t>mhpm12</t>
  </si>
  <si>
    <t>mhpm01</t>
  </si>
  <si>
    <t>mkpm07</t>
  </si>
  <si>
    <t>kl01</t>
  </si>
  <si>
    <t>tgch02</t>
  </si>
  <si>
    <t>mkc02</t>
  </si>
  <si>
    <t>mkc05</t>
  </si>
  <si>
    <t>mkc06</t>
  </si>
  <si>
    <t>mkpm14</t>
  </si>
  <si>
    <t>mkpm13</t>
  </si>
  <si>
    <t>tgch03</t>
  </si>
  <si>
    <t>mhpm04</t>
  </si>
  <si>
    <t>mhpm05</t>
  </si>
  <si>
    <t>vcn13</t>
  </si>
  <si>
    <t>vcn12</t>
  </si>
  <si>
    <t>vcd21</t>
  </si>
  <si>
    <t>bt502</t>
  </si>
  <si>
    <t>tcb24</t>
  </si>
  <si>
    <t>vcd17</t>
  </si>
  <si>
    <t>kkttd05</t>
  </si>
  <si>
    <t>mkpm15</t>
  </si>
  <si>
    <t>mkc11</t>
  </si>
  <si>
    <t>tc011</t>
  </si>
  <si>
    <t>btl01</t>
  </si>
  <si>
    <t>btl02</t>
  </si>
  <si>
    <t>btt03</t>
  </si>
  <si>
    <t>btx03</t>
  </si>
  <si>
    <t>bto05</t>
  </si>
  <si>
    <t>mkcc01</t>
  </si>
  <si>
    <t>btt06</t>
  </si>
  <si>
    <t>tc029</t>
  </si>
  <si>
    <t>drg06</t>
  </si>
  <si>
    <t>tgch01</t>
  </si>
  <si>
    <t>mhtt08</t>
  </si>
  <si>
    <t>ktl01</t>
  </si>
  <si>
    <t>ht10</t>
  </si>
  <si>
    <t>tc024</t>
  </si>
  <si>
    <t>ktn16</t>
  </si>
  <si>
    <t>bt1002</t>
  </si>
  <si>
    <t>ktb08</t>
  </si>
  <si>
    <t>ca13</t>
  </si>
  <si>
    <t>ktn21</t>
  </si>
  <si>
    <t>tgch05</t>
  </si>
  <si>
    <t>ktn05</t>
  </si>
  <si>
    <t>MKPM39</t>
  </si>
  <si>
    <t>kl04</t>
  </si>
  <si>
    <t>ktkl03</t>
  </si>
  <si>
    <t>btn01</t>
  </si>
  <si>
    <t>bạn Rọm</t>
  </si>
  <si>
    <t>9 con chuối</t>
  </si>
  <si>
    <t>set3</t>
  </si>
  <si>
    <t>bt503</t>
  </si>
  <si>
    <t>ktn08</t>
  </si>
  <si>
    <t>bto03</t>
  </si>
  <si>
    <t>btx01</t>
  </si>
  <si>
    <t>mhtt06</t>
  </si>
  <si>
    <t>mhtt07</t>
  </si>
  <si>
    <t>tc030</t>
  </si>
  <si>
    <t>btt02</t>
  </si>
  <si>
    <t>dtds3</t>
  </si>
  <si>
    <t>túi mù</t>
  </si>
  <si>
    <t>ktb15</t>
  </si>
  <si>
    <t>ktb10</t>
  </si>
  <si>
    <t>mhtt09</t>
  </si>
  <si>
    <t>ktb14</t>
  </si>
  <si>
    <t>ktb16</t>
  </si>
  <si>
    <t>ktn19</t>
  </si>
  <si>
    <t>ktn11</t>
  </si>
  <si>
    <t>ktn01</t>
  </si>
  <si>
    <t>bt103</t>
  </si>
  <si>
    <t>th01</t>
  </si>
  <si>
    <t>th02</t>
  </si>
  <si>
    <t>btt04</t>
  </si>
  <si>
    <t>túimù</t>
  </si>
  <si>
    <t>ht08</t>
  </si>
  <si>
    <t>mhtd02</t>
  </si>
  <si>
    <t>th04</t>
  </si>
  <si>
    <t>Giá nhập (tệ)</t>
  </si>
  <si>
    <t>Giá nhập (vnd)</t>
  </si>
  <si>
    <t>Nhà Gói Gọn</t>
  </si>
  <si>
    <t>Tổng xuất</t>
  </si>
  <si>
    <t>Gấu</t>
  </si>
  <si>
    <t>Cáo</t>
  </si>
  <si>
    <t>Gấu trắng</t>
  </si>
  <si>
    <t>Thỏ phi công</t>
  </si>
  <si>
    <t>Thỏ đeo phao</t>
  </si>
  <si>
    <t>Thỏ chạy xe</t>
  </si>
  <si>
    <t>Thỏ mặt trăng</t>
  </si>
  <si>
    <t>Heo kì lân</t>
  </si>
  <si>
    <t>Gói Gọn 2025</t>
  </si>
  <si>
    <t xml:space="preserve">Đơn giá </t>
  </si>
  <si>
    <t>Giá nhập</t>
  </si>
  <si>
    <t>Túi chườm bụng dứa xanh đậm  1000ml</t>
  </si>
  <si>
    <t>Túi chườm bụng dâu xanh nhạt 1000ml</t>
  </si>
  <si>
    <t>Túi chườm bụng thỏ dứa 1000ml</t>
  </si>
  <si>
    <t>Bao lì xì rồng con</t>
  </si>
  <si>
    <t>Bao lì xì rồng lân</t>
  </si>
  <si>
    <t>Bao lì xì Tết tài lộc</t>
  </si>
  <si>
    <t>Bao lì xì Tết hoa</t>
  </si>
  <si>
    <t>Bao lì xì Tết xanh</t>
  </si>
  <si>
    <t>Bao lì xì vui vẻ</t>
  </si>
  <si>
    <t>Bao lì xì ngộ nghĩnh</t>
  </si>
  <si>
    <t>Chó ú bay</t>
  </si>
  <si>
    <t>Giá nhập tháng 4</t>
  </si>
  <si>
    <t>Giá nhập T3 về trước</t>
  </si>
  <si>
    <t>NHẬP XUẤT HÀNG</t>
  </si>
  <si>
    <t>Nhập/Xuất</t>
  </si>
  <si>
    <t>Tồn cuối</t>
  </si>
  <si>
    <t>Đơn shopee mẹ đặt</t>
  </si>
  <si>
    <t>Vỡ</t>
  </si>
  <si>
    <t>Thiếu</t>
  </si>
  <si>
    <t>VN post</t>
  </si>
  <si>
    <t xml:space="preserve">Xuất </t>
  </si>
  <si>
    <t>Cô Quỳnh</t>
  </si>
  <si>
    <t>drg05</t>
  </si>
  <si>
    <t>Luân</t>
  </si>
  <si>
    <t>Nguyễn thanh tài nhân</t>
  </si>
  <si>
    <t>Nguyễn than tân</t>
  </si>
  <si>
    <t>Lx06</t>
  </si>
  <si>
    <t>Lx07</t>
  </si>
  <si>
    <t>HGX</t>
  </si>
  <si>
    <t>VCD24</t>
  </si>
  <si>
    <t xml:space="preserve">Nhập </t>
  </si>
  <si>
    <t>TcXGX</t>
  </si>
  <si>
    <t>BTo05</t>
  </si>
  <si>
    <t>tc012</t>
  </si>
  <si>
    <t>tc014</t>
  </si>
  <si>
    <t>kths13</t>
  </si>
  <si>
    <t>Gía đăng lên sàn</t>
  </si>
  <si>
    <t>Nhập hiện tại</t>
  </si>
  <si>
    <t>Xuất hiện tại</t>
  </si>
  <si>
    <t>Doanh thu hiện tại</t>
  </si>
  <si>
    <t>Túi chườm bụng dâu tây 1000ml</t>
  </si>
  <si>
    <t>-</t>
  </si>
  <si>
    <t>Kẹp tóc nhựa nâu đậm</t>
  </si>
  <si>
    <t>Kẹp tóc nhựa nâu nhạt</t>
  </si>
  <si>
    <t>Kẹp tóc lông nâu đậm</t>
  </si>
  <si>
    <t>Kẹp tóc lông nâu nhạt</t>
  </si>
  <si>
    <t>Kẹp tóc lông be</t>
  </si>
  <si>
    <t>Cài tóc kem</t>
  </si>
  <si>
    <t>Buộc tóc hoa hồng</t>
  </si>
  <si>
    <t>Gấu chong chóng</t>
  </si>
  <si>
    <t>Mèo chong chóng</t>
  </si>
  <si>
    <t>Heo chong chóng</t>
  </si>
  <si>
    <t>Thỏ chong chóng</t>
  </si>
  <si>
    <t>Gấu trúc gắn xe</t>
  </si>
  <si>
    <t>Heo gắn xe</t>
  </si>
  <si>
    <t>Kẹp khuếch tán tinh dầu vịt be</t>
  </si>
  <si>
    <t>Kẹp khuếch tán tinh dầu thỏ trắng</t>
  </si>
  <si>
    <t>Kẹp khuếch tán tinh dầu batman</t>
  </si>
  <si>
    <t>Viên khuếch tán tinh dầu 01</t>
  </si>
  <si>
    <t>Viên khuếch tán tinh dầu 02</t>
  </si>
  <si>
    <t>Viên khuếch tán tinh dầu 03</t>
  </si>
  <si>
    <t>Viên khuếch tán tinh dầu 04</t>
  </si>
  <si>
    <t>Viên khuếch tán tinh dầu 05</t>
  </si>
  <si>
    <t>Vịt hồng treo gương</t>
  </si>
  <si>
    <t>Vịt vàng treo gương</t>
  </si>
  <si>
    <t>Vịt xanh treo gương</t>
  </si>
  <si>
    <t>Cánh cụt vàng treo gương</t>
  </si>
  <si>
    <t>Cánh cụt xanh treo gương</t>
  </si>
  <si>
    <t>Doanh thu T3</t>
  </si>
  <si>
    <t>(Doanh thu kẹp bướm)</t>
  </si>
  <si>
    <t>(Vốn nhập kẹp bướm)</t>
  </si>
  <si>
    <t>XUẤT HÀNG</t>
  </si>
  <si>
    <t>Tổng/đơn</t>
  </si>
  <si>
    <t>wnqddcfq7d</t>
  </si>
  <si>
    <t>KTHS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</si>
</sst>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164" formatCode="m/yyyy"/>
    <numFmt numFmtId="165" formatCode="mm/yyyy"/>
    <numFmt numFmtId="166" formatCode="dd/mm/yyyy"/>
    <numFmt numFmtId="167" formatCode="d/m"/>
    <numFmt numFmtId="168" formatCode="d/m/yyyy"/>
    <numFmt numFmtId="169" formatCode="d\-m"/>
  </numFmts>
  <fonts count="3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FF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rgb="FF050505"/>
      <name val="&quot;Segoe UI Historic&quot;"/>
    </font>
    <font>
      <b/>
      <sz val="20"/>
      <color theme="1"/>
      <name val="Arial"/>
      <scheme val="minor"/>
    </font>
    <font>
      <sz val="10"/>
      <color rgb="FF434343"/>
      <name val="Roboto"/>
    </font>
    <font>
      <b/>
      <sz val="15"/>
      <color theme="1"/>
      <name val="Arial"/>
    </font>
    <font>
      <b/>
      <sz val="10"/>
      <color theme="1"/>
      <name val="Arial"/>
      <scheme val="minor"/>
    </font>
    <font>
      <sz val="9"/>
      <color rgb="FF000000"/>
      <name val="Arial"/>
      <scheme val="minor"/>
    </font>
    <font>
      <sz val="10"/>
      <color theme="1"/>
      <name val="Arial"/>
      <scheme val="minor"/>
    </font>
    <font>
      <b/>
      <sz val="20"/>
      <color theme="1"/>
      <name val="Arial"/>
    </font>
    <font>
      <b/>
      <sz val="10"/>
      <color rgb="FFFF0000"/>
      <name val="Arial"/>
      <scheme val="minor"/>
    </font>
    <font>
      <sz val="11"/>
      <color rgb="FF1F1F1F"/>
      <name val="&quot;Google Sans&quot;"/>
    </font>
    <font>
      <sz val="10"/>
      <color rgb="FF1F1F1F"/>
      <name val="&quot;Google Sans&quot;"/>
    </font>
    <font>
      <sz val="9"/>
      <color rgb="FF1F1F1F"/>
      <name val="&quot;Google Sans&quot;"/>
    </font>
    <font>
      <sz val="11"/>
      <color rgb="FF050505"/>
      <name val="Arial"/>
    </font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trike/>
      <sz val="10"/>
      <color theme="1"/>
      <name val="Arial"/>
      <scheme val="minor"/>
    </font>
    <font>
      <strike/>
      <sz val="9"/>
      <color rgb="FF000000"/>
      <name val="Arial"/>
      <scheme val="minor"/>
    </font>
    <font>
      <strike/>
      <sz val="10"/>
      <color rgb="FF000000"/>
      <name val="Arial"/>
      <scheme val="minor"/>
    </font>
    <font>
      <i/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FF0000"/>
      <name val="Arial"/>
    </font>
    <font>
      <b/>
      <sz val="2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2" borderId="0" xfId="0" applyNumberFormat="1" applyFont="1" applyFill="1" applyAlignment="1">
      <alignment horizontal="left"/>
    </xf>
    <xf numFmtId="4" fontId="1" fillId="3" borderId="1" xfId="0" applyNumberFormat="1" applyFont="1" applyFill="1" applyBorder="1"/>
    <xf numFmtId="4" fontId="4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/>
    <xf numFmtId="4" fontId="6" fillId="0" borderId="0" xfId="0" applyNumberFormat="1" applyFont="1"/>
    <xf numFmtId="0" fontId="1" fillId="0" borderId="0" xfId="0" applyFont="1" applyAlignment="1"/>
    <xf numFmtId="0" fontId="1" fillId="4" borderId="0" xfId="0" applyFont="1" applyFill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/>
    <xf numFmtId="4" fontId="6" fillId="5" borderId="1" xfId="0" applyNumberFormat="1" applyFont="1" applyFill="1" applyBorder="1" applyAlignment="1"/>
    <xf numFmtId="0" fontId="6" fillId="5" borderId="1" xfId="0" applyFont="1" applyFill="1" applyBorder="1"/>
    <xf numFmtId="4" fontId="6" fillId="5" borderId="1" xfId="0" applyNumberFormat="1" applyFont="1" applyFill="1" applyBorder="1"/>
    <xf numFmtId="0" fontId="6" fillId="0" borderId="1" xfId="0" applyFont="1" applyBorder="1"/>
    <xf numFmtId="4" fontId="6" fillId="0" borderId="1" xfId="0" applyNumberFormat="1" applyFont="1" applyBorder="1"/>
    <xf numFmtId="0" fontId="6" fillId="0" borderId="1" xfId="0" applyFont="1" applyBorder="1" applyAlignment="1"/>
    <xf numFmtId="4" fontId="6" fillId="0" borderId="1" xfId="0" applyNumberFormat="1" applyFont="1" applyBorder="1" applyAlignment="1"/>
    <xf numFmtId="0" fontId="1" fillId="0" borderId="1" xfId="0" applyFont="1" applyBorder="1" applyAlignment="1"/>
    <xf numFmtId="4" fontId="1" fillId="0" borderId="1" xfId="0" applyNumberFormat="1" applyFont="1" applyBorder="1" applyAlignment="1"/>
    <xf numFmtId="0" fontId="1" fillId="0" borderId="1" xfId="0" applyFont="1" applyBorder="1"/>
    <xf numFmtId="4" fontId="1" fillId="5" borderId="1" xfId="0" applyNumberFormat="1" applyFont="1" applyFill="1" applyBorder="1" applyAlignment="1"/>
    <xf numFmtId="0" fontId="1" fillId="5" borderId="1" xfId="0" applyFont="1" applyFill="1" applyBorder="1"/>
    <xf numFmtId="0" fontId="1" fillId="5" borderId="1" xfId="0" applyFont="1" applyFill="1" applyBorder="1" applyAlignment="1"/>
    <xf numFmtId="4" fontId="1" fillId="5" borderId="1" xfId="0" applyNumberFormat="1" applyFont="1" applyFill="1" applyBorder="1"/>
    <xf numFmtId="0" fontId="1" fillId="6" borderId="1" xfId="0" applyFont="1" applyFill="1" applyBorder="1" applyAlignment="1"/>
    <xf numFmtId="4" fontId="1" fillId="6" borderId="1" xfId="0" applyNumberFormat="1" applyFont="1" applyFill="1" applyBorder="1" applyAlignment="1"/>
    <xf numFmtId="0" fontId="1" fillId="6" borderId="1" xfId="0" applyFont="1" applyFill="1" applyBorder="1"/>
    <xf numFmtId="0" fontId="1" fillId="0" borderId="1" xfId="0" applyFont="1" applyBorder="1"/>
    <xf numFmtId="4" fontId="1" fillId="0" borderId="1" xfId="0" applyNumberFormat="1" applyFont="1" applyBorder="1"/>
    <xf numFmtId="0" fontId="8" fillId="4" borderId="0" xfId="0" applyFont="1" applyFill="1" applyAlignment="1">
      <alignment horizontal="left"/>
    </xf>
    <xf numFmtId="0" fontId="1" fillId="5" borderId="1" xfId="0" applyFont="1" applyFill="1" applyBorder="1"/>
    <xf numFmtId="0" fontId="1" fillId="4" borderId="1" xfId="0" applyFont="1" applyFill="1" applyBorder="1"/>
    <xf numFmtId="4" fontId="1" fillId="4" borderId="1" xfId="0" applyNumberFormat="1" applyFont="1" applyFill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/>
    <xf numFmtId="4" fontId="1" fillId="4" borderId="1" xfId="0" applyNumberFormat="1" applyFont="1" applyFill="1" applyBorder="1"/>
    <xf numFmtId="0" fontId="1" fillId="7" borderId="1" xfId="0" applyFont="1" applyFill="1" applyBorder="1"/>
    <xf numFmtId="4" fontId="1" fillId="7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/>
    <xf numFmtId="164" fontId="1" fillId="0" borderId="1" xfId="0" applyNumberFormat="1" applyFont="1" applyBorder="1" applyAlignment="1"/>
    <xf numFmtId="3" fontId="1" fillId="0" borderId="1" xfId="0" applyNumberFormat="1" applyFont="1" applyBorder="1"/>
    <xf numFmtId="165" fontId="1" fillId="0" borderId="1" xfId="0" applyNumberFormat="1" applyFont="1" applyBorder="1" applyAlignment="1"/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" fontId="12" fillId="2" borderId="1" xfId="0" applyNumberFormat="1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" fontId="0" fillId="6" borderId="1" xfId="0" applyNumberFormat="1" applyFont="1" applyFill="1" applyBorder="1" applyAlignment="1">
      <alignment horizontal="center"/>
    </xf>
    <xf numFmtId="4" fontId="0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/>
    <xf numFmtId="0" fontId="1" fillId="9" borderId="1" xfId="0" applyFont="1" applyFill="1" applyBorder="1" applyAlignment="1">
      <alignment horizontal="center"/>
    </xf>
    <xf numFmtId="4" fontId="1" fillId="9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/>
    <xf numFmtId="4" fontId="1" fillId="10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0" fontId="1" fillId="6" borderId="0" xfId="0" applyFont="1" applyFill="1"/>
    <xf numFmtId="0" fontId="5" fillId="10" borderId="1" xfId="0" applyFont="1" applyFill="1" applyBorder="1" applyAlignment="1">
      <alignment horizontal="left"/>
    </xf>
    <xf numFmtId="0" fontId="1" fillId="11" borderId="1" xfId="0" applyFont="1" applyFill="1" applyBorder="1" applyAlignment="1"/>
    <xf numFmtId="0" fontId="6" fillId="11" borderId="1" xfId="0" applyFont="1" applyFill="1" applyBorder="1" applyAlignment="1">
      <alignment horizontal="center"/>
    </xf>
    <xf numFmtId="4" fontId="1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vertical="center"/>
    </xf>
    <xf numFmtId="0" fontId="6" fillId="0" borderId="1" xfId="0" applyFont="1" applyBorder="1" applyAlignment="1"/>
    <xf numFmtId="0" fontId="6" fillId="0" borderId="9" xfId="0" applyFont="1" applyBorder="1" applyAlignment="1"/>
    <xf numFmtId="0" fontId="6" fillId="0" borderId="4" xfId="0" applyFont="1" applyBorder="1" applyAlignment="1"/>
    <xf numFmtId="0" fontId="6" fillId="0" borderId="10" xfId="0" applyFont="1" applyBorder="1" applyAlignment="1"/>
    <xf numFmtId="4" fontId="1" fillId="0" borderId="0" xfId="0" applyNumberFormat="1" applyFont="1" applyAlignment="1"/>
    <xf numFmtId="4" fontId="14" fillId="4" borderId="1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1" fillId="0" borderId="0" xfId="0" applyFont="1" applyAlignment="1">
      <alignment wrapText="1"/>
    </xf>
    <xf numFmtId="4" fontId="14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4" fontId="14" fillId="6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6" fillId="0" borderId="0" xfId="0" applyFont="1" applyAlignment="1"/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/>
    <xf numFmtId="0" fontId="6" fillId="5" borderId="1" xfId="0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/>
    <xf numFmtId="166" fontId="1" fillId="0" borderId="2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4" fontId="1" fillId="6" borderId="1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3" fontId="15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16" fillId="0" borderId="0" xfId="0" applyNumberFormat="1" applyFont="1"/>
    <xf numFmtId="167" fontId="6" fillId="0" borderId="2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/>
    <xf numFmtId="3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7" fillId="0" borderId="0" xfId="0" applyFont="1" applyAlignment="1"/>
    <xf numFmtId="167" fontId="6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/>
    <xf numFmtId="166" fontId="1" fillId="0" borderId="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18" fillId="0" borderId="1" xfId="0" applyFont="1" applyBorder="1" applyAlignment="1"/>
    <xf numFmtId="0" fontId="19" fillId="0" borderId="0" xfId="0" applyFont="1" applyAlignment="1"/>
    <xf numFmtId="0" fontId="20" fillId="0" borderId="0" xfId="0" applyFont="1" applyAlignment="1">
      <alignment horizontal="left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17" fillId="0" borderId="1" xfId="0" applyFont="1" applyBorder="1" applyAlignment="1"/>
    <xf numFmtId="166" fontId="1" fillId="0" borderId="4" xfId="0" applyNumberFormat="1" applyFont="1" applyBorder="1" applyAlignment="1">
      <alignment horizontal="center" vertical="center" wrapText="1"/>
    </xf>
    <xf numFmtId="0" fontId="19" fillId="0" borderId="1" xfId="0" applyFont="1" applyBorder="1" applyAlignment="1"/>
    <xf numFmtId="0" fontId="5" fillId="0" borderId="1" xfId="0" applyFont="1" applyBorder="1" applyAlignment="1">
      <alignment horizontal="left"/>
    </xf>
    <xf numFmtId="166" fontId="1" fillId="0" borderId="11" xfId="0" applyNumberFormat="1" applyFont="1" applyBorder="1" applyAlignment="1">
      <alignment horizontal="center" vertical="center"/>
    </xf>
    <xf numFmtId="169" fontId="1" fillId="0" borderId="11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0" fontId="21" fillId="0" borderId="1" xfId="0" applyFont="1" applyBorder="1" applyAlignment="1"/>
    <xf numFmtId="0" fontId="20" fillId="0" borderId="1" xfId="0" applyFont="1" applyBorder="1" applyAlignment="1">
      <alignment horizontal="left"/>
    </xf>
    <xf numFmtId="167" fontId="1" fillId="0" borderId="0" xfId="0" applyNumberFormat="1" applyFont="1" applyAlignmen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" fontId="6" fillId="5" borderId="1" xfId="0" applyNumberFormat="1" applyFont="1" applyFill="1" applyBorder="1" applyAlignment="1"/>
    <xf numFmtId="0" fontId="6" fillId="4" borderId="1" xfId="0" applyFont="1" applyFill="1" applyBorder="1" applyAlignment="1"/>
    <xf numFmtId="0" fontId="6" fillId="4" borderId="1" xfId="0" applyFont="1" applyFill="1" applyBorder="1" applyAlignment="1">
      <alignment horizontal="center"/>
    </xf>
    <xf numFmtId="4" fontId="6" fillId="4" borderId="1" xfId="0" applyNumberFormat="1" applyFont="1" applyFill="1" applyBorder="1" applyAlignment="1"/>
    <xf numFmtId="4" fontId="6" fillId="0" borderId="1" xfId="0" applyNumberFormat="1" applyFont="1" applyBorder="1" applyAlignment="1">
      <alignment horizontal="right"/>
    </xf>
    <xf numFmtId="0" fontId="17" fillId="4" borderId="1" xfId="0" applyFont="1" applyFill="1" applyBorder="1" applyAlignment="1"/>
    <xf numFmtId="0" fontId="21" fillId="5" borderId="1" xfId="0" applyFont="1" applyFill="1" applyBorder="1" applyAlignment="1"/>
    <xf numFmtId="0" fontId="20" fillId="5" borderId="1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0" fontId="22" fillId="0" borderId="0" xfId="0" applyFont="1"/>
    <xf numFmtId="3" fontId="1" fillId="0" borderId="0" xfId="0" applyNumberFormat="1" applyFont="1" applyAlignment="1">
      <alignment horizontal="center" vertical="center"/>
    </xf>
    <xf numFmtId="0" fontId="16" fillId="0" borderId="0" xfId="0" applyFont="1"/>
    <xf numFmtId="0" fontId="1" fillId="0" borderId="0" xfId="0" applyFont="1" applyAlignment="1">
      <alignment horizontal="center" vertical="center"/>
    </xf>
    <xf numFmtId="0" fontId="23" fillId="0" borderId="1" xfId="0" applyFont="1" applyBorder="1" applyAlignment="1"/>
    <xf numFmtId="0" fontId="23" fillId="0" borderId="1" xfId="0" applyFont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4" fontId="25" fillId="6" borderId="1" xfId="0" applyNumberFormat="1" applyFont="1" applyFill="1" applyBorder="1" applyAlignment="1">
      <alignment horizontal="center"/>
    </xf>
    <xf numFmtId="4" fontId="25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4" fillId="6" borderId="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66" fontId="6" fillId="4" borderId="10" xfId="0" applyNumberFormat="1" applyFont="1" applyFill="1" applyBorder="1" applyAlignment="1">
      <alignment horizontal="center"/>
    </xf>
    <xf numFmtId="0" fontId="6" fillId="0" borderId="10" xfId="0" applyFont="1" applyBorder="1" applyAlignment="1"/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168" fontId="6" fillId="0" borderId="10" xfId="0" applyNumberFormat="1" applyFont="1" applyBorder="1" applyAlignment="1">
      <alignment horizontal="center"/>
    </xf>
    <xf numFmtId="0" fontId="6" fillId="0" borderId="4" xfId="0" applyFont="1" applyBorder="1" applyAlignment="1"/>
    <xf numFmtId="38" fontId="6" fillId="0" borderId="10" xfId="0" applyNumberFormat="1" applyFont="1" applyBorder="1" applyAlignment="1">
      <alignment horizontal="right"/>
    </xf>
    <xf numFmtId="168" fontId="6" fillId="0" borderId="10" xfId="0" applyNumberFormat="1" applyFont="1" applyBorder="1" applyAlignment="1">
      <alignment horizontal="right"/>
    </xf>
    <xf numFmtId="166" fontId="6" fillId="0" borderId="10" xfId="0" applyNumberFormat="1" applyFont="1" applyBorder="1" applyAlignment="1">
      <alignment horizontal="right"/>
    </xf>
    <xf numFmtId="41" fontId="6" fillId="0" borderId="10" xfId="0" applyNumberFormat="1" applyFont="1" applyBorder="1" applyAlignment="1">
      <alignment horizontal="right"/>
    </xf>
    <xf numFmtId="166" fontId="6" fillId="0" borderId="10" xfId="0" applyNumberFormat="1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6" fillId="0" borderId="0" xfId="0" applyFont="1" applyAlignment="1">
      <alignment horizontal="right"/>
    </xf>
    <xf numFmtId="0" fontId="6" fillId="4" borderId="10" xfId="0" applyFont="1" applyFill="1" applyBorder="1" applyAlignment="1"/>
    <xf numFmtId="166" fontId="6" fillId="0" borderId="0" xfId="0" applyNumberFormat="1" applyFont="1" applyAlignment="1">
      <alignment horizontal="right"/>
    </xf>
    <xf numFmtId="166" fontId="6" fillId="0" borderId="11" xfId="0" applyNumberFormat="1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2" fillId="0" borderId="10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38" fontId="6" fillId="0" borderId="10" xfId="0" applyNumberFormat="1" applyFont="1" applyBorder="1" applyAlignment="1">
      <alignment horizontal="center"/>
    </xf>
    <xf numFmtId="2" fontId="6" fillId="4" borderId="10" xfId="0" applyNumberFormat="1" applyFont="1" applyFill="1" applyBorder="1" applyAlignment="1">
      <alignment horizontal="center"/>
    </xf>
    <xf numFmtId="3" fontId="6" fillId="4" borderId="10" xfId="0" applyNumberFormat="1" applyFont="1" applyFill="1" applyBorder="1" applyAlignment="1">
      <alignment horizontal="center"/>
    </xf>
    <xf numFmtId="0" fontId="6" fillId="9" borderId="10" xfId="0" applyFont="1" applyFill="1" applyBorder="1" applyAlignment="1"/>
    <xf numFmtId="0" fontId="6" fillId="9" borderId="10" xfId="0" applyFont="1" applyFill="1" applyBorder="1" applyAlignment="1">
      <alignment horizontal="center"/>
    </xf>
    <xf numFmtId="2" fontId="6" fillId="9" borderId="10" xfId="0" applyNumberFormat="1" applyFont="1" applyFill="1" applyBorder="1" applyAlignment="1">
      <alignment horizontal="center"/>
    </xf>
    <xf numFmtId="3" fontId="6" fillId="9" borderId="10" xfId="0" applyNumberFormat="1" applyFont="1" applyFill="1" applyBorder="1" applyAlignment="1">
      <alignment horizontal="center"/>
    </xf>
    <xf numFmtId="38" fontId="6" fillId="9" borderId="10" xfId="0" applyNumberFormat="1" applyFont="1" applyFill="1" applyBorder="1" applyAlignment="1">
      <alignment horizontal="center"/>
    </xf>
    <xf numFmtId="2" fontId="6" fillId="0" borderId="10" xfId="0" applyNumberFormat="1" applyFont="1" applyBorder="1" applyAlignment="1">
      <alignment horizontal="right"/>
    </xf>
    <xf numFmtId="0" fontId="6" fillId="0" borderId="4" xfId="0" applyFont="1" applyBorder="1"/>
    <xf numFmtId="2" fontId="6" fillId="0" borderId="10" xfId="0" applyNumberFormat="1" applyFont="1" applyBorder="1" applyAlignment="1"/>
    <xf numFmtId="3" fontId="6" fillId="0" borderId="10" xfId="0" applyNumberFormat="1" applyFont="1" applyBorder="1" applyAlignment="1"/>
    <xf numFmtId="38" fontId="6" fillId="0" borderId="10" xfId="0" applyNumberFormat="1" applyFont="1" applyBorder="1" applyAlignment="1"/>
    <xf numFmtId="0" fontId="6" fillId="0" borderId="11" xfId="0" applyFont="1" applyBorder="1"/>
    <xf numFmtId="2" fontId="6" fillId="0" borderId="0" xfId="0" applyNumberFormat="1" applyFont="1" applyAlignment="1"/>
    <xf numFmtId="3" fontId="6" fillId="0" borderId="0" xfId="0" applyNumberFormat="1" applyFont="1" applyAlignment="1"/>
    <xf numFmtId="4" fontId="16" fillId="0" borderId="1" xfId="0" applyNumberFormat="1" applyFont="1" applyBorder="1"/>
    <xf numFmtId="0" fontId="1" fillId="12" borderId="0" xfId="0" applyFont="1" applyFill="1"/>
    <xf numFmtId="2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6" fillId="12" borderId="0" xfId="0" applyFont="1" applyFill="1" applyAlignment="1"/>
    <xf numFmtId="2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0" fillId="2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3" fontId="1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/>
    <xf numFmtId="3" fontId="1" fillId="9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3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/>
    <xf numFmtId="3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/>
    </xf>
    <xf numFmtId="3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/>
    <xf numFmtId="4" fontId="6" fillId="0" borderId="9" xfId="0" applyNumberFormat="1" applyFont="1" applyBorder="1" applyAlignment="1"/>
    <xf numFmtId="0" fontId="1" fillId="0" borderId="9" xfId="0" applyFont="1" applyBorder="1"/>
    <xf numFmtId="3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4" fontId="14" fillId="2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4" fillId="2" borderId="0" xfId="0" applyNumberFormat="1" applyFont="1" applyFill="1" applyAlignment="1">
      <alignment horizontal="center"/>
    </xf>
    <xf numFmtId="2" fontId="1" fillId="0" borderId="0" xfId="0" applyNumberFormat="1" applyFont="1"/>
    <xf numFmtId="3" fontId="1" fillId="0" borderId="0" xfId="0" applyNumberFormat="1" applyFont="1"/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16" fillId="0" borderId="0" xfId="0" applyNumberFormat="1" applyFont="1"/>
    <xf numFmtId="0" fontId="6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4" fontId="6" fillId="0" borderId="13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/>
    <xf numFmtId="166" fontId="1" fillId="0" borderId="1" xfId="0" applyNumberFormat="1" applyFont="1" applyBorder="1" applyAlignment="1"/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6" fontId="1" fillId="0" borderId="0" xfId="0" applyNumberFormat="1" applyFont="1" applyAlignment="1"/>
    <xf numFmtId="0" fontId="1" fillId="0" borderId="1" xfId="0" applyFont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1" fontId="1" fillId="5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right"/>
    </xf>
    <xf numFmtId="4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5" fillId="5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4" fontId="21" fillId="5" borderId="1" xfId="0" applyNumberFormat="1" applyFont="1" applyFill="1" applyBorder="1" applyAlignment="1">
      <alignment horizontal="right"/>
    </xf>
    <xf numFmtId="1" fontId="21" fillId="5" borderId="1" xfId="0" applyNumberFormat="1" applyFont="1" applyFill="1" applyBorder="1" applyAlignment="1">
      <alignment horizontal="center"/>
    </xf>
    <xf numFmtId="1" fontId="2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right"/>
    </xf>
    <xf numFmtId="4" fontId="5" fillId="5" borderId="1" xfId="0" applyNumberFormat="1" applyFont="1" applyFill="1" applyBorder="1" applyAlignment="1"/>
    <xf numFmtId="0" fontId="21" fillId="5" borderId="1" xfId="0" applyFont="1" applyFill="1" applyBorder="1"/>
    <xf numFmtId="0" fontId="27" fillId="5" borderId="1" xfId="0" applyFont="1" applyFill="1" applyBorder="1" applyAlignment="1"/>
    <xf numFmtId="0" fontId="28" fillId="5" borderId="1" xfId="0" applyFont="1" applyFill="1" applyBorder="1" applyAlignment="1"/>
    <xf numFmtId="0" fontId="28" fillId="5" borderId="1" xfId="0" applyFont="1" applyFill="1" applyBorder="1" applyAlignment="1">
      <alignment horizontal="center"/>
    </xf>
    <xf numFmtId="4" fontId="27" fillId="5" borderId="1" xfId="0" applyNumberFormat="1" applyFont="1" applyFill="1" applyBorder="1" applyAlignment="1">
      <alignment horizontal="right"/>
    </xf>
    <xf numFmtId="1" fontId="27" fillId="5" borderId="1" xfId="0" applyNumberFormat="1" applyFont="1" applyFill="1" applyBorder="1" applyAlignment="1">
      <alignment horizontal="center"/>
    </xf>
    <xf numFmtId="1" fontId="27" fillId="5" borderId="1" xfId="0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horizontal="right"/>
    </xf>
    <xf numFmtId="4" fontId="28" fillId="5" borderId="1" xfId="0" applyNumberFormat="1" applyFont="1" applyFill="1" applyBorder="1" applyAlignment="1"/>
    <xf numFmtId="0" fontId="27" fillId="5" borderId="1" xfId="0" applyFont="1" applyFill="1" applyBorder="1"/>
    <xf numFmtId="4" fontId="27" fillId="5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" fontId="1" fillId="6" borderId="1" xfId="0" applyNumberFormat="1" applyFont="1" applyFill="1" applyBorder="1" applyAlignment="1">
      <alignment horizontal="right"/>
    </xf>
    <xf numFmtId="1" fontId="1" fillId="6" borderId="1" xfId="0" applyNumberFormat="1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4" fontId="6" fillId="6" borderId="1" xfId="0" applyNumberFormat="1" applyFont="1" applyFill="1" applyBorder="1" applyAlignment="1"/>
    <xf numFmtId="4" fontId="6" fillId="6" borderId="1" xfId="0" applyNumberFormat="1" applyFont="1" applyFill="1" applyBorder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1" fontId="1" fillId="4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4" fontId="1" fillId="4" borderId="1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4" fontId="1" fillId="0" borderId="0" xfId="0" applyNumberFormat="1" applyFont="1"/>
    <xf numFmtId="164" fontId="6" fillId="5" borderId="2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165" fontId="6" fillId="0" borderId="2" xfId="0" applyNumberFormat="1" applyFont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 vertical="center"/>
    </xf>
    <xf numFmtId="4" fontId="6" fillId="0" borderId="2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6" fontId="6" fillId="4" borderId="2" xfId="0" applyNumberFormat="1" applyFont="1" applyFill="1" applyBorder="1" applyAlignment="1">
      <alignment horizontal="center" vertical="center"/>
    </xf>
    <xf numFmtId="168" fontId="1" fillId="5" borderId="2" xfId="0" applyNumberFormat="1" applyFont="1" applyFill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 wrapText="1"/>
    </xf>
    <xf numFmtId="166" fontId="1" fillId="4" borderId="2" xfId="0" applyNumberFormat="1" applyFont="1" applyFill="1" applyBorder="1" applyAlignment="1">
      <alignment horizontal="center" vertical="center"/>
    </xf>
    <xf numFmtId="166" fontId="1" fillId="5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7" fillId="0" borderId="11" xfId="0" applyFont="1" applyBorder="1"/>
    <xf numFmtId="0" fontId="7" fillId="0" borderId="10" xfId="0" applyFont="1" applyBorder="1"/>
    <xf numFmtId="0" fontId="6" fillId="0" borderId="11" xfId="0" applyFont="1" applyBorder="1" applyAlignment="1"/>
    <xf numFmtId="0" fontId="11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0" borderId="11" xfId="0" applyFont="1" applyBorder="1"/>
    <xf numFmtId="4" fontId="1" fillId="6" borderId="2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4" fontId="1" fillId="5" borderId="2" xfId="0" applyNumberFormat="1" applyFont="1" applyFill="1" applyBorder="1" applyAlignment="1">
      <alignment horizontal="center" vertical="center"/>
    </xf>
    <xf numFmtId="166" fontId="1" fillId="6" borderId="2" xfId="0" applyNumberFormat="1" applyFont="1" applyFill="1" applyBorder="1" applyAlignment="1">
      <alignment horizontal="center" vertical="center" wrapText="1"/>
    </xf>
    <xf numFmtId="166" fontId="1" fillId="5" borderId="2" xfId="0" applyNumberFormat="1" applyFont="1" applyFill="1" applyBorder="1" applyAlignment="1">
      <alignment horizontal="center" vertical="center" wrapText="1"/>
    </xf>
    <xf numFmtId="4" fontId="21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/>
    <xf numFmtId="166" fontId="1" fillId="0" borderId="11" xfId="0" applyNumberFormat="1" applyFont="1" applyBorder="1" applyAlignment="1">
      <alignment horizontal="center" vertical="center"/>
    </xf>
    <xf numFmtId="4" fontId="1" fillId="4" borderId="2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wrapText="1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 applyAlignment="1">
      <alignment horizontal="center"/>
    </xf>
    <xf numFmtId="3" fontId="16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3" fontId="2" fillId="0" borderId="14" xfId="0" applyNumberFormat="1" applyFont="1" applyFill="1" applyBorder="1" applyAlignment="1">
      <alignment horizontal="center" vertical="center"/>
    </xf>
    <xf numFmtId="3" fontId="6" fillId="0" borderId="14" xfId="0" applyNumberFormat="1" applyFont="1" applyFill="1" applyBorder="1" applyAlignment="1">
      <alignment horizontal="center" vertical="center"/>
    </xf>
    <xf numFmtId="3" fontId="6" fillId="0" borderId="14" xfId="0" applyNumberFormat="1" applyFont="1" applyFill="1" applyBorder="1" applyAlignment="1">
      <alignment horizontal="center" vertical="center"/>
    </xf>
    <xf numFmtId="0" fontId="7" fillId="0" borderId="14" xfId="0" applyFont="1" applyFill="1" applyBorder="1"/>
    <xf numFmtId="3" fontId="1" fillId="0" borderId="14" xfId="0" applyNumberFormat="1" applyFont="1" applyFill="1" applyBorder="1" applyAlignment="1">
      <alignment horizontal="center" vertical="center"/>
    </xf>
    <xf numFmtId="3" fontId="1" fillId="0" borderId="14" xfId="0" applyNumberFormat="1" applyFont="1" applyFill="1" applyBorder="1" applyAlignment="1">
      <alignment horizontal="center" vertical="center"/>
    </xf>
    <xf numFmtId="3" fontId="21" fillId="0" borderId="14" xfId="0" applyNumberFormat="1" applyFont="1" applyFill="1" applyBorder="1" applyAlignment="1">
      <alignment horizontal="center" vertical="center"/>
    </xf>
    <xf numFmtId="0" fontId="0" fillId="0" borderId="14" xfId="0" applyFont="1" applyFill="1" applyBorder="1" applyAlignment="1"/>
    <xf numFmtId="0" fontId="2" fillId="0" borderId="9" xfId="0" applyFont="1" applyFill="1" applyBorder="1" applyAlignment="1">
      <alignment horizontal="center"/>
    </xf>
    <xf numFmtId="0" fontId="6" fillId="0" borderId="9" xfId="0" applyFont="1" applyFill="1" applyBorder="1" applyAlignment="1"/>
    <xf numFmtId="0" fontId="2" fillId="0" borderId="14" xfId="0" applyFont="1" applyFill="1" applyBorder="1" applyAlignment="1">
      <alignment horizontal="center"/>
    </xf>
    <xf numFmtId="0" fontId="1" fillId="0" borderId="14" xfId="0" applyFont="1" applyFill="1" applyBorder="1" applyAlignment="1"/>
    <xf numFmtId="0" fontId="1" fillId="0" borderId="14" xfId="0" applyFont="1" applyFill="1" applyBorder="1" applyAlignment="1">
      <alignment horizontal="left"/>
    </xf>
    <xf numFmtId="0" fontId="6" fillId="0" borderId="14" xfId="0" applyFont="1" applyFill="1" applyBorder="1" applyAlignment="1"/>
    <xf numFmtId="0" fontId="17" fillId="0" borderId="14" xfId="0" applyFont="1" applyFill="1" applyBorder="1" applyAlignment="1"/>
    <xf numFmtId="0" fontId="18" fillId="0" borderId="14" xfId="0" applyFont="1" applyFill="1" applyBorder="1" applyAlignment="1"/>
    <xf numFmtId="0" fontId="19" fillId="0" borderId="14" xfId="0" applyFont="1" applyFill="1" applyBorder="1" applyAlignment="1"/>
    <xf numFmtId="0" fontId="20" fillId="0" borderId="14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0" fontId="21" fillId="0" borderId="14" xfId="0" applyFont="1" applyFill="1" applyBorder="1" applyAlignment="1"/>
  </cellXfs>
  <cellStyles count="1">
    <cellStyle name="Normal" xfId="0" builtinId="0"/>
  </cellStyles>
  <dxfs count="31"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E80EDF"/>
        </left>
        <right style="thin">
          <color rgb="FFE80EDF"/>
        </right>
        <top style="thin">
          <color rgb="FFE80EDF"/>
        </top>
        <bottom style="thin">
          <color rgb="FFE80ED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E80EDF"/>
        </left>
        <right style="thin">
          <color rgb="FFE80EDF"/>
        </right>
        <top style="thin">
          <color rgb="FFE80EDF"/>
        </top>
        <bottom style="thin">
          <color rgb="FFE80ED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0EDF"/>
          <bgColor rgb="FFE80ED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E80EDF"/>
        </left>
        <right style="thin">
          <color rgb="FFE80EDF"/>
        </right>
        <top style="thin">
          <color rgb="FFE80EDF"/>
        </top>
        <bottom style="thin">
          <color rgb="FFE80ED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E80EDF"/>
        </left>
        <right style="thin">
          <color rgb="FFE80EDF"/>
        </right>
        <top style="thin">
          <color rgb="FFE80EDF"/>
        </top>
        <bottom style="thin">
          <color rgb="FFE80ED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0EDF"/>
          <bgColor rgb="FFE80EDF"/>
        </patternFill>
      </fill>
    </dxf>
  </dxfs>
  <tableStyles count="7">
    <tableStyle name="Thống kê v2 CC-style" pivot="0" count="4" xr9:uid="{00000000-0011-0000-FFFF-FFFF00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Thống kê v2 CC-style 2" pivot="0" count="4" xr9:uid="{00000000-0011-0000-FFFF-FFFF01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Thống kê-style" pivot="0" count="2" xr9:uid="{00000000-0011-0000-FFFF-FFFF02000000}">
      <tableStyleElement type="firstRowStripe" dxfId="22"/>
      <tableStyleElement type="secondRowStripe" dxfId="21"/>
    </tableStyle>
    <tableStyle name="Nhập kho T42024-style" pivot="0" count="2" xr9:uid="{00000000-0011-0000-FFFF-FFFF03000000}">
      <tableStyleElement type="firstRowStripe" dxfId="20"/>
      <tableStyleElement type="secondRowStripe" dxfId="19"/>
    </tableStyle>
    <tableStyle name="Thống kê GG-style" pivot="0" count="4" xr9:uid="{00000000-0011-0000-FFFF-FFFF04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Thống kê GG-style 2" pivot="0" count="4" xr9:uid="{00000000-0011-0000-FFFF-FFFF05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Nhập xuất GG-style" pivot="0" count="2" xr9:uid="{00000000-0011-0000-FFFF-FFFF06000000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Doanh Thu, Chi Phí và Lãi Ròng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Doanh Thu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'Net Income'!$A$17:$A$40</c:f>
              <c:numCache>
                <c:formatCode>m/yyyy</c:formatCode>
                <c:ptCount val="24"/>
                <c:pt idx="0" formatCode="mm/yyyy">
                  <c:v>45658</c:v>
                </c:pt>
                <c:pt idx="1">
                  <c:v>45689</c:v>
                </c:pt>
                <c:pt idx="2">
                  <c:v>45717</c:v>
                </c:pt>
                <c:pt idx="3" formatCode="mm/yyyy">
                  <c:v>45748</c:v>
                </c:pt>
                <c:pt idx="4">
                  <c:v>45778</c:v>
                </c:pt>
                <c:pt idx="5" formatCode="mm/yyyy">
                  <c:v>45809</c:v>
                </c:pt>
                <c:pt idx="6">
                  <c:v>45839</c:v>
                </c:pt>
                <c:pt idx="7" formatCode="mm/yyyy">
                  <c:v>45870</c:v>
                </c:pt>
                <c:pt idx="8">
                  <c:v>45901</c:v>
                </c:pt>
                <c:pt idx="9" formatCode="mm/yyyy">
                  <c:v>45931</c:v>
                </c:pt>
                <c:pt idx="10">
                  <c:v>45962</c:v>
                </c:pt>
                <c:pt idx="11" formatCode="mm/yyyy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46144</c:v>
                </c:pt>
                <c:pt idx="17">
                  <c:v>46176</c:v>
                </c:pt>
              </c:numCache>
            </c:numRef>
          </c:cat>
          <c:val>
            <c:numRef>
              <c:f>'Net Income'!$B$17:$B$40</c:f>
              <c:numCache>
                <c:formatCode>#,##0</c:formatCode>
                <c:ptCount val="24"/>
                <c:pt idx="0">
                  <c:v>23677332</c:v>
                </c:pt>
                <c:pt idx="1">
                  <c:v>34180085</c:v>
                </c:pt>
                <c:pt idx="2">
                  <c:v>72400566</c:v>
                </c:pt>
                <c:pt idx="3">
                  <c:v>35953072</c:v>
                </c:pt>
                <c:pt idx="4">
                  <c:v>97348999</c:v>
                </c:pt>
                <c:pt idx="5">
                  <c:v>51417797</c:v>
                </c:pt>
                <c:pt idx="6">
                  <c:v>81605923</c:v>
                </c:pt>
                <c:pt idx="7">
                  <c:v>63989768</c:v>
                </c:pt>
                <c:pt idx="8">
                  <c:v>75077277</c:v>
                </c:pt>
                <c:pt idx="9">
                  <c:v>75134577</c:v>
                </c:pt>
                <c:pt idx="10">
                  <c:v>65795997</c:v>
                </c:pt>
                <c:pt idx="11">
                  <c:v>52698220</c:v>
                </c:pt>
                <c:pt idx="12">
                  <c:v>48899363</c:v>
                </c:pt>
                <c:pt idx="13">
                  <c:v>24066901</c:v>
                </c:pt>
                <c:pt idx="14">
                  <c:v>64711889</c:v>
                </c:pt>
                <c:pt idx="15">
                  <c:v>46537462</c:v>
                </c:pt>
                <c:pt idx="16">
                  <c:v>48027140</c:v>
                </c:pt>
                <c:pt idx="17">
                  <c:v>5945840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C3-4228-916C-3E3E3FE99E92}"/>
            </c:ext>
          </c:extLst>
        </c:ser>
        <c:ser>
          <c:idx val="1"/>
          <c:order val="1"/>
          <c:tx>
            <c:v>Chi phí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numRef>
              <c:f>'Net Income'!$A$17:$A$40</c:f>
              <c:numCache>
                <c:formatCode>m/yyyy</c:formatCode>
                <c:ptCount val="24"/>
                <c:pt idx="0" formatCode="mm/yyyy">
                  <c:v>45658</c:v>
                </c:pt>
                <c:pt idx="1">
                  <c:v>45689</c:v>
                </c:pt>
                <c:pt idx="2">
                  <c:v>45717</c:v>
                </c:pt>
                <c:pt idx="3" formatCode="mm/yyyy">
                  <c:v>45748</c:v>
                </c:pt>
                <c:pt idx="4">
                  <c:v>45778</c:v>
                </c:pt>
                <c:pt idx="5" formatCode="mm/yyyy">
                  <c:v>45809</c:v>
                </c:pt>
                <c:pt idx="6">
                  <c:v>45839</c:v>
                </c:pt>
                <c:pt idx="7" formatCode="mm/yyyy">
                  <c:v>45870</c:v>
                </c:pt>
                <c:pt idx="8">
                  <c:v>45901</c:v>
                </c:pt>
                <c:pt idx="9" formatCode="mm/yyyy">
                  <c:v>45931</c:v>
                </c:pt>
                <c:pt idx="10">
                  <c:v>45962</c:v>
                </c:pt>
                <c:pt idx="11" formatCode="mm/yyyy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46144</c:v>
                </c:pt>
                <c:pt idx="17">
                  <c:v>46176</c:v>
                </c:pt>
              </c:numCache>
            </c:numRef>
          </c:cat>
          <c:val>
            <c:numRef>
              <c:f>'Net Income'!$C$17:$C$40</c:f>
              <c:numCache>
                <c:formatCode>#,##0</c:formatCode>
                <c:ptCount val="24"/>
                <c:pt idx="0">
                  <c:v>2008000</c:v>
                </c:pt>
                <c:pt idx="1">
                  <c:v>31033000</c:v>
                </c:pt>
                <c:pt idx="2">
                  <c:v>38768000</c:v>
                </c:pt>
                <c:pt idx="3">
                  <c:v>34814000</c:v>
                </c:pt>
                <c:pt idx="4">
                  <c:v>46238000</c:v>
                </c:pt>
                <c:pt idx="5">
                  <c:v>34939000</c:v>
                </c:pt>
                <c:pt idx="6">
                  <c:v>70985000</c:v>
                </c:pt>
                <c:pt idx="7">
                  <c:v>39284000</c:v>
                </c:pt>
                <c:pt idx="8">
                  <c:v>69331000</c:v>
                </c:pt>
                <c:pt idx="9">
                  <c:v>74381000</c:v>
                </c:pt>
                <c:pt idx="10">
                  <c:v>32438200</c:v>
                </c:pt>
                <c:pt idx="11">
                  <c:v>52978000</c:v>
                </c:pt>
                <c:pt idx="12">
                  <c:v>12964000</c:v>
                </c:pt>
                <c:pt idx="13">
                  <c:v>53201920</c:v>
                </c:pt>
                <c:pt idx="14">
                  <c:v>36054000</c:v>
                </c:pt>
                <c:pt idx="15">
                  <c:v>30463000</c:v>
                </c:pt>
                <c:pt idx="16">
                  <c:v>18474000</c:v>
                </c:pt>
                <c:pt idx="1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C3-4228-916C-3E3E3FE9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681028"/>
        <c:axId val="727637487"/>
      </c:barChart>
      <c:lineChart>
        <c:grouping val="standard"/>
        <c:varyColors val="0"/>
        <c:ser>
          <c:idx val="2"/>
          <c:order val="2"/>
          <c:tx>
            <c:v>Lãi ròng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'Net Income'!$A$17:$A$40</c:f>
              <c:numCache>
                <c:formatCode>m/yyyy</c:formatCode>
                <c:ptCount val="24"/>
                <c:pt idx="0" formatCode="mm/yyyy">
                  <c:v>45658</c:v>
                </c:pt>
                <c:pt idx="1">
                  <c:v>45689</c:v>
                </c:pt>
                <c:pt idx="2">
                  <c:v>45717</c:v>
                </c:pt>
                <c:pt idx="3" formatCode="mm/yyyy">
                  <c:v>45748</c:v>
                </c:pt>
                <c:pt idx="4">
                  <c:v>45778</c:v>
                </c:pt>
                <c:pt idx="5" formatCode="mm/yyyy">
                  <c:v>45809</c:v>
                </c:pt>
                <c:pt idx="6">
                  <c:v>45839</c:v>
                </c:pt>
                <c:pt idx="7" formatCode="mm/yyyy">
                  <c:v>45870</c:v>
                </c:pt>
                <c:pt idx="8">
                  <c:v>45901</c:v>
                </c:pt>
                <c:pt idx="9" formatCode="mm/yyyy">
                  <c:v>45931</c:v>
                </c:pt>
                <c:pt idx="10">
                  <c:v>45962</c:v>
                </c:pt>
                <c:pt idx="11" formatCode="mm/yyyy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46144</c:v>
                </c:pt>
                <c:pt idx="17">
                  <c:v>46176</c:v>
                </c:pt>
              </c:numCache>
            </c:numRef>
          </c:cat>
          <c:val>
            <c:numRef>
              <c:f>'Net Income'!$D$17:$D$40</c:f>
              <c:numCache>
                <c:formatCode>#,##0</c:formatCode>
                <c:ptCount val="24"/>
                <c:pt idx="0">
                  <c:v>21669332</c:v>
                </c:pt>
                <c:pt idx="1">
                  <c:v>3147085</c:v>
                </c:pt>
                <c:pt idx="2">
                  <c:v>33632566</c:v>
                </c:pt>
                <c:pt idx="3">
                  <c:v>1139072</c:v>
                </c:pt>
                <c:pt idx="4">
                  <c:v>51110999</c:v>
                </c:pt>
                <c:pt idx="5">
                  <c:v>16478797</c:v>
                </c:pt>
                <c:pt idx="6">
                  <c:v>10620923</c:v>
                </c:pt>
                <c:pt idx="7">
                  <c:v>24705768</c:v>
                </c:pt>
                <c:pt idx="8">
                  <c:v>5746277</c:v>
                </c:pt>
                <c:pt idx="9">
                  <c:v>753577</c:v>
                </c:pt>
                <c:pt idx="10">
                  <c:v>33357797</c:v>
                </c:pt>
                <c:pt idx="11">
                  <c:v>-279780</c:v>
                </c:pt>
                <c:pt idx="12">
                  <c:v>35935363</c:v>
                </c:pt>
                <c:pt idx="13">
                  <c:v>-29135019</c:v>
                </c:pt>
                <c:pt idx="14">
                  <c:v>28657889</c:v>
                </c:pt>
                <c:pt idx="15">
                  <c:v>16074462</c:v>
                </c:pt>
                <c:pt idx="16">
                  <c:v>29553140</c:v>
                </c:pt>
                <c:pt idx="17">
                  <c:v>5945840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C3-4228-916C-3E3E3FE9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681028"/>
        <c:axId val="727637487"/>
      </c:lineChart>
      <c:dateAx>
        <c:axId val="1232681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7637487"/>
        <c:crosses val="autoZero"/>
        <c:auto val="1"/>
        <c:lblOffset val="100"/>
        <c:baseTimeUnit val="months"/>
      </c:dateAx>
      <c:valAx>
        <c:axId val="727637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26810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485775" cy="2000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</xdr:colOff>
      <xdr:row>15</xdr:row>
      <xdr:rowOff>47625</xdr:rowOff>
    </xdr:from>
    <xdr:ext cx="5715000" cy="3533775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190500" cy="2000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80975" cy="2000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38125" cy="2000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71450" cy="190500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90500" cy="200025"/>
    <xdr:pic>
      <xdr:nvPicPr>
        <xdr:cNvPr id="6" name="image19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9550" cy="200025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71450" cy="200025"/>
    <xdr:pic>
      <xdr:nvPicPr>
        <xdr:cNvPr id="8" name="image2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80975" cy="19050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71450" cy="200025"/>
    <xdr:pic>
      <xdr:nvPicPr>
        <xdr:cNvPr id="10" name="image15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190500" cy="200025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19075" cy="200025"/>
    <xdr:pic>
      <xdr:nvPicPr>
        <xdr:cNvPr id="12" name="image20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13" name="image14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90500" cy="200025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47650" cy="200025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171450" cy="200025"/>
    <xdr:pic>
      <xdr:nvPicPr>
        <xdr:cNvPr id="16" name="image12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47650" cy="200025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18" name="image18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180975" cy="200025"/>
    <xdr:pic>
      <xdr:nvPicPr>
        <xdr:cNvPr id="19" name="image16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47650" cy="200025"/>
    <xdr:pic>
      <xdr:nvPicPr>
        <xdr:cNvPr id="20" name="image11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180975" cy="200025"/>
    <xdr:pic>
      <xdr:nvPicPr>
        <xdr:cNvPr id="21" name="image17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pmart_chính_hãng" displayName="Popmart_chính_hãng" ref="A3:G58">
  <tableColumns count="7">
    <tableColumn id="1" xr3:uid="{00000000-0010-0000-0000-000001000000}" name="Mã"/>
    <tableColumn id="2" xr3:uid="{00000000-0010-0000-0000-000002000000}" name="Kiểu dáng"/>
    <tableColumn id="3" xr3:uid="{00000000-0010-0000-0000-000003000000}" name="Tên sản phẩm"/>
    <tableColumn id="4" xr3:uid="{00000000-0010-0000-0000-000004000000}" name="Hình ảnh"/>
    <tableColumn id="5" xr3:uid="{00000000-0010-0000-0000-000005000000}" name="Nhập"/>
    <tableColumn id="6" xr3:uid="{00000000-0010-0000-0000-000006000000}" name="Xuất"/>
    <tableColumn id="7" xr3:uid="{00000000-0010-0000-0000-000007000000}" name="Tồn"/>
  </tableColumns>
  <tableStyleInfo name="Thống kê v2 C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pmart_fake" displayName="Popmart_fake" ref="A59:F68">
  <tableColumns count="6">
    <tableColumn id="1" xr3:uid="{00000000-0010-0000-0100-000001000000}" name="Mã"/>
    <tableColumn id="2" xr3:uid="{00000000-0010-0000-0100-000002000000}" name="Tên sản phẩm"/>
    <tableColumn id="3" xr3:uid="{00000000-0010-0000-0100-000003000000}" name="Hình ảnh"/>
    <tableColumn id="4" xr3:uid="{00000000-0010-0000-0100-000004000000}" name="Nhập"/>
    <tableColumn id="5" xr3:uid="{00000000-0010-0000-0100-000005000000}" name="Xuất"/>
    <tableColumn id="6" xr3:uid="{00000000-0010-0000-0100-000006000000}" name="Tồn"/>
  </tableColumns>
  <tableStyleInfo name="Thống kê v2 CC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C721:D759" headerRowCount="0">
  <tableColumns count="2">
    <tableColumn id="1" xr3:uid="{00000000-0010-0000-0200-000001000000}" name="Column1"/>
    <tableColumn id="2" xr3:uid="{00000000-0010-0000-0200-000002000000}" name="Column2"/>
  </tableColumns>
  <tableStyleInfo name="Thống kê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B937:B998" headerRowCount="0">
  <tableColumns count="1">
    <tableColumn id="1" xr3:uid="{00000000-0010-0000-0300-000001000000}" name="Column1"/>
  </tableColumns>
  <tableStyleInfo name="Nhập kho T42024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úi" displayName="Túi" ref="A3:I37">
  <tableColumns count="9">
    <tableColumn id="1" xr3:uid="{00000000-0010-0000-0400-000001000000}" name="Mã"/>
    <tableColumn id="2" xr3:uid="{00000000-0010-0000-0400-000002000000}" name="Tên sản phẩm"/>
    <tableColumn id="3" xr3:uid="{00000000-0010-0000-0400-000003000000}" name="Giá sàn"/>
    <tableColumn id="4" xr3:uid="{00000000-0010-0000-0400-000004000000}" name="Nhập"/>
    <tableColumn id="5" xr3:uid="{00000000-0010-0000-0400-000005000000}" name="Tổng nhập"/>
    <tableColumn id="6" xr3:uid="{00000000-0010-0000-0400-000006000000}" name="Xuất"/>
    <tableColumn id="7" xr3:uid="{00000000-0010-0000-0400-000007000000}" name="Tổng xuất"/>
    <tableColumn id="8" xr3:uid="{00000000-0010-0000-0400-000008000000}" name="Tồn"/>
    <tableColumn id="9" xr3:uid="{00000000-0010-0000-0400-000009000000}" name="Lợi nhuận"/>
  </tableColumns>
  <tableStyleInfo name="Thống kê GG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hụ_kiện_xe_máy_ô_tô" displayName="Phụ_kiện_xe_máy_ô_tô" ref="A38:I47">
  <tableColumns count="9">
    <tableColumn id="1" xr3:uid="{00000000-0010-0000-0500-000001000000}" name="Mã"/>
    <tableColumn id="2" xr3:uid="{00000000-0010-0000-0500-000002000000}" name="Tên sản phẩm"/>
    <tableColumn id="3" xr3:uid="{00000000-0010-0000-0500-000003000000}" name="Giá sàn"/>
    <tableColumn id="4" xr3:uid="{00000000-0010-0000-0500-000004000000}" name="Nhập"/>
    <tableColumn id="5" xr3:uid="{00000000-0010-0000-0500-000005000000}" name="Tổng nhập"/>
    <tableColumn id="6" xr3:uid="{00000000-0010-0000-0500-000006000000}" name="Xuất"/>
    <tableColumn id="7" xr3:uid="{00000000-0010-0000-0500-000007000000}" name="Tổng xuất"/>
    <tableColumn id="8" xr3:uid="{00000000-0010-0000-0500-000008000000}" name="Tồn"/>
    <tableColumn id="9" xr3:uid="{00000000-0010-0000-0500-000009000000}" name="Lợi nhuận"/>
  </tableColumns>
  <tableStyleInfo name="Thống kê GG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3" displayName="Table_3" ref="B21:B34" headerRowCount="0">
  <tableColumns count="1">
    <tableColumn id="1" xr3:uid="{00000000-0010-0000-0600-000001000000}" name="Column1"/>
  </tableColumns>
  <tableStyleInfo name="Nhập xuất G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25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.75" customHeight="1"/>
  <cols>
    <col min="1" max="1" width="17.21875" customWidth="1"/>
    <col min="2" max="2" width="25.44140625" customWidth="1"/>
    <col min="3" max="3" width="15.77734375" customWidth="1"/>
    <col min="4" max="4" width="12.6640625" customWidth="1"/>
    <col min="5" max="5" width="17.88671875" customWidth="1"/>
    <col min="8" max="8" width="20.21875" customWidth="1"/>
  </cols>
  <sheetData>
    <row r="1" spans="1:10" ht="42.75" customHeight="1">
      <c r="A1" s="368"/>
      <c r="B1" s="369"/>
      <c r="C1" s="2"/>
    </row>
    <row r="2" spans="1:10" ht="13.2">
      <c r="A2" s="3"/>
      <c r="B2" s="4" t="s">
        <v>0</v>
      </c>
      <c r="C2" s="370"/>
      <c r="D2" s="5" t="s">
        <v>1</v>
      </c>
      <c r="E2" s="5" t="s">
        <v>2</v>
      </c>
      <c r="G2" s="6"/>
      <c r="H2" s="369"/>
      <c r="I2" s="7"/>
      <c r="J2" s="7"/>
    </row>
    <row r="3" spans="1:10" ht="13.2">
      <c r="A3" s="3"/>
      <c r="B3" s="8">
        <f>SUM(C6:C721) + 7291000</f>
        <v>1048907223.5373135</v>
      </c>
      <c r="C3" s="369"/>
      <c r="D3" s="9">
        <f>'Xuất kho'!O2 +'Doanh thu'!I2 + 'Doanh thu 2025'!I2 + 'Doanh số'!I1</f>
        <v>1223080853</v>
      </c>
      <c r="E3" s="10">
        <f>D3-B3</f>
        <v>174173629.46268654</v>
      </c>
      <c r="F3" s="2"/>
      <c r="G3" s="11"/>
      <c r="H3" s="369"/>
      <c r="I3" s="12"/>
      <c r="J3" s="2"/>
    </row>
    <row r="4" spans="1:10" ht="13.2">
      <c r="A4" s="13"/>
      <c r="B4" s="14"/>
      <c r="C4" s="15"/>
      <c r="D4" s="14"/>
      <c r="E4" s="14"/>
      <c r="G4" s="16"/>
      <c r="H4" s="17"/>
    </row>
    <row r="5" spans="1:10" ht="13.2">
      <c r="A5" s="18" t="s">
        <v>3</v>
      </c>
      <c r="B5" s="4" t="s">
        <v>4</v>
      </c>
      <c r="C5" s="19" t="s">
        <v>5</v>
      </c>
      <c r="D5" s="4" t="s">
        <v>6</v>
      </c>
      <c r="E5" s="4" t="s">
        <v>7</v>
      </c>
      <c r="H5" s="17"/>
      <c r="I5" s="17"/>
    </row>
    <row r="6" spans="1:10" ht="13.2">
      <c r="A6" s="371">
        <v>45261</v>
      </c>
      <c r="B6" s="20" t="s">
        <v>8</v>
      </c>
      <c r="C6" s="21">
        <v>2000000</v>
      </c>
      <c r="D6" s="22"/>
      <c r="E6" s="22"/>
      <c r="H6" s="17"/>
    </row>
    <row r="7" spans="1:10" ht="13.2">
      <c r="A7" s="372"/>
      <c r="B7" s="22" t="s">
        <v>9</v>
      </c>
      <c r="C7" s="23">
        <v>800000</v>
      </c>
      <c r="D7" s="22"/>
      <c r="E7" s="22"/>
      <c r="I7" s="17"/>
    </row>
    <row r="8" spans="1:10" ht="13.2">
      <c r="A8" s="372"/>
      <c r="B8" s="22" t="s">
        <v>10</v>
      </c>
      <c r="C8" s="23">
        <v>46000</v>
      </c>
      <c r="D8" s="22"/>
      <c r="E8" s="22"/>
    </row>
    <row r="9" spans="1:10" ht="13.2">
      <c r="A9" s="372"/>
      <c r="B9" s="22" t="s">
        <v>11</v>
      </c>
      <c r="C9" s="23">
        <v>120000</v>
      </c>
      <c r="D9" s="22"/>
      <c r="E9" s="22"/>
    </row>
    <row r="10" spans="1:10" ht="13.2">
      <c r="A10" s="372"/>
      <c r="B10" s="22" t="s">
        <v>12</v>
      </c>
      <c r="C10" s="23">
        <v>170000</v>
      </c>
      <c r="D10" s="22"/>
      <c r="E10" s="22"/>
    </row>
    <row r="11" spans="1:10" ht="13.2">
      <c r="A11" s="372"/>
      <c r="B11" s="22" t="s">
        <v>13</v>
      </c>
      <c r="C11" s="23">
        <v>30000</v>
      </c>
      <c r="D11" s="22"/>
      <c r="E11" s="22"/>
    </row>
    <row r="12" spans="1:10" ht="13.2">
      <c r="A12" s="372"/>
      <c r="B12" s="22" t="s">
        <v>14</v>
      </c>
      <c r="C12" s="23">
        <v>11000</v>
      </c>
      <c r="D12" s="22"/>
      <c r="E12" s="22"/>
    </row>
    <row r="13" spans="1:10" ht="13.2">
      <c r="A13" s="372"/>
      <c r="B13" s="22" t="s">
        <v>15</v>
      </c>
      <c r="C13" s="23">
        <v>330000</v>
      </c>
      <c r="D13" s="22"/>
      <c r="E13" s="22"/>
    </row>
    <row r="14" spans="1:10" ht="13.2">
      <c r="A14" s="372"/>
      <c r="B14" s="22" t="s">
        <v>16</v>
      </c>
      <c r="C14" s="23">
        <f>133840+271600+252280</f>
        <v>657720</v>
      </c>
      <c r="D14" s="22"/>
      <c r="E14" s="22"/>
    </row>
    <row r="15" spans="1:10" ht="13.2">
      <c r="A15" s="372"/>
      <c r="B15" s="22" t="s">
        <v>17</v>
      </c>
      <c r="C15" s="23">
        <f>57000*2+33000</f>
        <v>147000</v>
      </c>
      <c r="D15" s="22"/>
      <c r="E15" s="22"/>
    </row>
    <row r="16" spans="1:10" ht="13.2">
      <c r="A16" s="372"/>
      <c r="B16" s="22" t="s">
        <v>18</v>
      </c>
      <c r="C16" s="23">
        <f>4000000+700000+772000+2983500-2145000</f>
        <v>6310500</v>
      </c>
      <c r="D16" s="22"/>
      <c r="E16" s="22"/>
    </row>
    <row r="17" spans="1:5" ht="13.2">
      <c r="A17" s="372"/>
      <c r="B17" s="22" t="s">
        <v>19</v>
      </c>
      <c r="C17" s="23">
        <f>87089+99000-30429</f>
        <v>155660</v>
      </c>
      <c r="D17" s="22"/>
      <c r="E17" s="22"/>
    </row>
    <row r="18" spans="1:5" ht="13.2">
      <c r="A18" s="372"/>
      <c r="B18" s="22" t="s">
        <v>20</v>
      </c>
      <c r="C18" s="23">
        <f>368400+733200+303000+425000+360000+19500</f>
        <v>2209100</v>
      </c>
      <c r="D18" s="22"/>
      <c r="E18" s="22"/>
    </row>
    <row r="19" spans="1:5" ht="13.2">
      <c r="A19" s="373"/>
      <c r="B19" s="22" t="s">
        <v>21</v>
      </c>
      <c r="C19" s="23">
        <f>356000-338740+310550-298128+99600-95786+285599-270675+321200-303352+218800-192548</f>
        <v>92520</v>
      </c>
      <c r="D19" s="22"/>
      <c r="E19" s="22"/>
    </row>
    <row r="20" spans="1:5" ht="13.2">
      <c r="A20" s="374">
        <v>45292</v>
      </c>
      <c r="B20" s="24" t="s">
        <v>18</v>
      </c>
      <c r="C20" s="25">
        <f>1053000+57*3510-101*3510+4212000-1404000+1755000</f>
        <v>5461560</v>
      </c>
      <c r="D20" s="24"/>
      <c r="E20" s="24"/>
    </row>
    <row r="21" spans="1:5" ht="13.2">
      <c r="A21" s="372"/>
      <c r="B21" s="24" t="s">
        <v>16</v>
      </c>
      <c r="C21" s="25">
        <f>548800-28000*1.1-91560</f>
        <v>426440</v>
      </c>
      <c r="D21" s="24"/>
      <c r="E21" s="24"/>
    </row>
    <row r="22" spans="1:5" ht="13.2">
      <c r="A22" s="372"/>
      <c r="B22" s="24" t="s">
        <v>17</v>
      </c>
      <c r="C22" s="25">
        <f>32000+32000+32000+32000+47000+32000-(32000/3.35*1.1+15000)</f>
        <v>181492.53731343284</v>
      </c>
      <c r="D22" s="24"/>
      <c r="E22" s="24"/>
    </row>
    <row r="23" spans="1:5" ht="13.2">
      <c r="A23" s="372"/>
      <c r="B23" s="24" t="s">
        <v>15</v>
      </c>
      <c r="C23" s="25">
        <f>55000+220000+200000</f>
        <v>475000</v>
      </c>
      <c r="D23" s="24"/>
      <c r="E23" s="24"/>
    </row>
    <row r="24" spans="1:5" ht="13.2">
      <c r="A24" s="372"/>
      <c r="B24" s="24" t="s">
        <v>22</v>
      </c>
      <c r="C24" s="25">
        <f>98580+128107+71000+91800</f>
        <v>389487</v>
      </c>
      <c r="D24" s="24"/>
      <c r="E24" s="24"/>
    </row>
    <row r="25" spans="1:5" ht="13.2">
      <c r="A25" s="372"/>
      <c r="B25" s="26" t="s">
        <v>23</v>
      </c>
      <c r="C25" s="27">
        <v>600000</v>
      </c>
      <c r="D25" s="24"/>
      <c r="E25" s="24"/>
    </row>
    <row r="26" spans="1:5" ht="13.2">
      <c r="A26" s="373"/>
      <c r="B26" s="24" t="s">
        <v>24</v>
      </c>
      <c r="C26" s="25">
        <v>500000</v>
      </c>
      <c r="D26" s="24"/>
      <c r="E26" s="24"/>
    </row>
    <row r="27" spans="1:5" ht="13.2">
      <c r="A27" s="375">
        <v>45323</v>
      </c>
      <c r="B27" s="22" t="s">
        <v>18</v>
      </c>
      <c r="C27" s="23">
        <f>2800000+3510000+3520000+1760000</f>
        <v>11590000</v>
      </c>
      <c r="D27" s="22"/>
      <c r="E27" s="22"/>
    </row>
    <row r="28" spans="1:5" ht="13.2">
      <c r="A28" s="372"/>
      <c r="B28" s="22" t="s">
        <v>15</v>
      </c>
      <c r="C28" s="23">
        <v>200000</v>
      </c>
      <c r="D28" s="22"/>
      <c r="E28" s="22"/>
    </row>
    <row r="29" spans="1:5" ht="13.2">
      <c r="A29" s="372"/>
      <c r="B29" s="22" t="s">
        <v>16</v>
      </c>
      <c r="C29" s="23">
        <f>241920+265160</f>
        <v>507080</v>
      </c>
      <c r="D29" s="22"/>
      <c r="E29" s="22"/>
    </row>
    <row r="30" spans="1:5" ht="13.2">
      <c r="A30" s="372"/>
      <c r="B30" s="22" t="s">
        <v>25</v>
      </c>
      <c r="C30" s="23">
        <f>52002+57002</f>
        <v>109004</v>
      </c>
      <c r="D30" s="22"/>
      <c r="E30" s="22"/>
    </row>
    <row r="31" spans="1:5" ht="13.2">
      <c r="A31" s="372"/>
      <c r="B31" s="20" t="s">
        <v>23</v>
      </c>
      <c r="C31" s="21">
        <v>600000</v>
      </c>
      <c r="D31" s="22"/>
      <c r="E31" s="22"/>
    </row>
    <row r="32" spans="1:5" ht="13.2">
      <c r="A32" s="373"/>
      <c r="B32" s="22" t="s">
        <v>19</v>
      </c>
      <c r="C32" s="23">
        <v>189910</v>
      </c>
      <c r="D32" s="22"/>
      <c r="E32" s="22"/>
    </row>
    <row r="33" spans="1:5" ht="13.2">
      <c r="A33" s="374">
        <v>45352</v>
      </c>
      <c r="B33" s="24" t="s">
        <v>18</v>
      </c>
      <c r="C33" s="25">
        <f>6001000+1775000*2+4260000+2485000-1200000+2142000+2856000+5712000+1071000+1428000</f>
        <v>28305000</v>
      </c>
      <c r="D33" s="24"/>
      <c r="E33" s="24"/>
    </row>
    <row r="34" spans="1:5" ht="13.2">
      <c r="A34" s="372"/>
      <c r="B34" s="24" t="s">
        <v>16</v>
      </c>
      <c r="C34" s="25">
        <f>349160+108640+495600+116200+309120+94080</f>
        <v>1472800</v>
      </c>
      <c r="D34" s="24"/>
      <c r="E34" s="24"/>
    </row>
    <row r="35" spans="1:5" ht="13.2">
      <c r="A35" s="372"/>
      <c r="B35" s="24" t="s">
        <v>25</v>
      </c>
      <c r="C35" s="25">
        <f>72002+32002+97006+67000</f>
        <v>268010</v>
      </c>
      <c r="D35" s="24"/>
      <c r="E35" s="24"/>
    </row>
    <row r="36" spans="1:5" ht="13.2">
      <c r="A36" s="372"/>
      <c r="B36" s="24" t="s">
        <v>19</v>
      </c>
      <c r="C36" s="25">
        <f>71000+147000</f>
        <v>218000</v>
      </c>
      <c r="D36" s="24"/>
      <c r="E36" s="24"/>
    </row>
    <row r="37" spans="1:5" ht="13.2">
      <c r="A37" s="372"/>
      <c r="B37" s="24" t="s">
        <v>26</v>
      </c>
      <c r="C37" s="25">
        <v>51500</v>
      </c>
      <c r="D37" s="24"/>
      <c r="E37" s="24"/>
    </row>
    <row r="38" spans="1:5" ht="13.2">
      <c r="A38" s="372"/>
      <c r="B38" s="24" t="s">
        <v>27</v>
      </c>
      <c r="C38" s="25">
        <v>91500</v>
      </c>
      <c r="D38" s="24"/>
      <c r="E38" s="24"/>
    </row>
    <row r="39" spans="1:5" ht="13.2">
      <c r="A39" s="372"/>
      <c r="B39" s="24" t="s">
        <v>28</v>
      </c>
      <c r="C39" s="25">
        <v>302500</v>
      </c>
      <c r="D39" s="24"/>
      <c r="E39" s="24"/>
    </row>
    <row r="40" spans="1:5" ht="13.2">
      <c r="A40" s="372"/>
      <c r="B40" s="28" t="s">
        <v>29</v>
      </c>
      <c r="C40" s="29">
        <v>600000</v>
      </c>
      <c r="D40" s="30"/>
      <c r="E40" s="30"/>
    </row>
    <row r="41" spans="1:5" ht="13.2">
      <c r="A41" s="372"/>
      <c r="B41" s="28" t="s">
        <v>14</v>
      </c>
      <c r="C41" s="29">
        <f>55000+11000</f>
        <v>66000</v>
      </c>
      <c r="D41" s="30"/>
      <c r="E41" s="30"/>
    </row>
    <row r="42" spans="1:5" ht="13.2">
      <c r="A42" s="372"/>
      <c r="B42" s="28" t="s">
        <v>30</v>
      </c>
      <c r="C42" s="29">
        <v>32000</v>
      </c>
      <c r="D42" s="30"/>
      <c r="E42" s="30"/>
    </row>
    <row r="43" spans="1:5" ht="13.2">
      <c r="A43" s="372"/>
      <c r="B43" s="28" t="s">
        <v>15</v>
      </c>
      <c r="C43" s="29">
        <v>220000</v>
      </c>
      <c r="D43" s="30"/>
      <c r="E43" s="30"/>
    </row>
    <row r="44" spans="1:5" ht="13.2">
      <c r="A44" s="372"/>
      <c r="B44" s="28" t="s">
        <v>31</v>
      </c>
      <c r="C44" s="29">
        <f>48000+48000</f>
        <v>96000</v>
      </c>
      <c r="D44" s="30"/>
      <c r="E44" s="30"/>
    </row>
    <row r="45" spans="1:5" ht="13.2">
      <c r="A45" s="373"/>
      <c r="B45" s="28" t="s">
        <v>32</v>
      </c>
      <c r="C45" s="29">
        <v>67500</v>
      </c>
      <c r="D45" s="30"/>
      <c r="E45" s="30"/>
    </row>
    <row r="46" spans="1:5" ht="13.2">
      <c r="A46" s="377">
        <v>45383</v>
      </c>
      <c r="B46" s="22" t="s">
        <v>16</v>
      </c>
      <c r="C46" s="31">
        <f>51000+267960+314160+106960+74200+276360</f>
        <v>1090640</v>
      </c>
      <c r="D46" s="32"/>
      <c r="E46" s="32"/>
    </row>
    <row r="47" spans="1:5" ht="13.2">
      <c r="A47" s="372"/>
      <c r="B47" s="22" t="s">
        <v>18</v>
      </c>
      <c r="C47" s="23">
        <f>2136000+1452000+3560000+4272000+1782500</f>
        <v>13202500</v>
      </c>
      <c r="D47" s="32"/>
      <c r="E47" s="32"/>
    </row>
    <row r="48" spans="1:5" ht="13.2">
      <c r="A48" s="372"/>
      <c r="B48" s="33" t="s">
        <v>33</v>
      </c>
      <c r="C48" s="34">
        <f>67000+73000+32000</f>
        <v>172000</v>
      </c>
      <c r="D48" s="32"/>
      <c r="E48" s="32"/>
    </row>
    <row r="49" spans="1:5" ht="13.2">
      <c r="A49" s="372"/>
      <c r="B49" s="33" t="s">
        <v>34</v>
      </c>
      <c r="C49" s="31">
        <v>78000</v>
      </c>
      <c r="D49" s="32"/>
      <c r="E49" s="32"/>
    </row>
    <row r="50" spans="1:5" ht="13.2">
      <c r="A50" s="372"/>
      <c r="B50" s="33" t="s">
        <v>35</v>
      </c>
      <c r="C50" s="31">
        <v>244000</v>
      </c>
      <c r="D50" s="32"/>
      <c r="E50" s="32"/>
    </row>
    <row r="51" spans="1:5" ht="13.2">
      <c r="A51" s="372"/>
      <c r="B51" s="33" t="s">
        <v>34</v>
      </c>
      <c r="C51" s="31">
        <v>219000</v>
      </c>
      <c r="D51" s="32"/>
      <c r="E51" s="32"/>
    </row>
    <row r="52" spans="1:5" ht="13.2">
      <c r="A52" s="372"/>
      <c r="B52" s="33" t="s">
        <v>23</v>
      </c>
      <c r="C52" s="31">
        <v>600000</v>
      </c>
      <c r="D52" s="32"/>
      <c r="E52" s="32"/>
    </row>
    <row r="53" spans="1:5" ht="13.2">
      <c r="A53" s="373"/>
      <c r="B53" s="33" t="s">
        <v>15</v>
      </c>
      <c r="C53" s="31">
        <f>165000+200000</f>
        <v>365000</v>
      </c>
      <c r="D53" s="32"/>
      <c r="E53" s="32"/>
    </row>
    <row r="54" spans="1:5" ht="13.2">
      <c r="A54" s="378">
        <v>45413</v>
      </c>
      <c r="B54" s="35" t="s">
        <v>34</v>
      </c>
      <c r="C54" s="36">
        <v>148500</v>
      </c>
      <c r="D54" s="37"/>
      <c r="E54" s="37"/>
    </row>
    <row r="55" spans="1:5" ht="13.2">
      <c r="A55" s="372"/>
      <c r="B55" s="38" t="s">
        <v>16</v>
      </c>
      <c r="C55" s="29">
        <f>649600+328720+25000+253120+222880+495600</f>
        <v>1974920</v>
      </c>
      <c r="D55" s="30"/>
      <c r="E55" s="30"/>
    </row>
    <row r="56" spans="1:5" ht="13.2">
      <c r="A56" s="372"/>
      <c r="B56" s="28" t="s">
        <v>36</v>
      </c>
      <c r="C56" s="29">
        <v>1375000</v>
      </c>
      <c r="D56" s="30"/>
      <c r="E56" s="30"/>
    </row>
    <row r="57" spans="1:5" ht="13.2">
      <c r="A57" s="372"/>
      <c r="B57" s="38" t="s">
        <v>18</v>
      </c>
      <c r="C57" s="39">
        <f>2314000+2668000+1790000+1790000+3580000+5370000</f>
        <v>17512000</v>
      </c>
      <c r="D57" s="30"/>
      <c r="E57" s="30"/>
    </row>
    <row r="58" spans="1:5" ht="13.2">
      <c r="A58" s="372"/>
      <c r="B58" s="28" t="s">
        <v>37</v>
      </c>
      <c r="C58" s="29">
        <v>48000</v>
      </c>
      <c r="D58" s="30"/>
      <c r="E58" s="30"/>
    </row>
    <row r="59" spans="1:5" ht="13.2">
      <c r="A59" s="372"/>
      <c r="B59" s="28" t="s">
        <v>33</v>
      </c>
      <c r="C59" s="29">
        <f>53000+83000+104000+32000+58000</f>
        <v>330000</v>
      </c>
      <c r="D59" s="30"/>
      <c r="E59" s="30"/>
    </row>
    <row r="60" spans="1:5" ht="13.2">
      <c r="A60" s="372"/>
      <c r="B60" s="28" t="s">
        <v>34</v>
      </c>
      <c r="C60" s="29">
        <v>110000</v>
      </c>
      <c r="D60" s="30"/>
      <c r="E60" s="30"/>
    </row>
    <row r="61" spans="1:5" ht="13.2">
      <c r="A61" s="372"/>
      <c r="B61" s="28" t="s">
        <v>26</v>
      </c>
      <c r="C61" s="29">
        <f>77000+61000</f>
        <v>138000</v>
      </c>
      <c r="D61" s="30"/>
      <c r="E61" s="30"/>
    </row>
    <row r="62" spans="1:5" ht="13.2">
      <c r="A62" s="372"/>
      <c r="B62" s="28" t="s">
        <v>15</v>
      </c>
      <c r="C62" s="29">
        <f>470000</f>
        <v>470000</v>
      </c>
      <c r="D62" s="30"/>
      <c r="E62" s="30"/>
    </row>
    <row r="63" spans="1:5" ht="13.8">
      <c r="A63" s="372"/>
      <c r="B63" s="40" t="s">
        <v>38</v>
      </c>
      <c r="C63" s="29">
        <v>63000</v>
      </c>
      <c r="D63" s="30"/>
      <c r="E63" s="30"/>
    </row>
    <row r="64" spans="1:5" ht="13.2">
      <c r="A64" s="372"/>
      <c r="B64" s="28" t="s">
        <v>32</v>
      </c>
      <c r="C64" s="29">
        <v>65000</v>
      </c>
      <c r="D64" s="30"/>
      <c r="E64" s="30"/>
    </row>
    <row r="65" spans="1:5" ht="13.2">
      <c r="A65" s="372"/>
      <c r="B65" s="28" t="s">
        <v>39</v>
      </c>
      <c r="C65" s="29">
        <f>19000*2</f>
        <v>38000</v>
      </c>
      <c r="D65" s="30"/>
      <c r="E65" s="30"/>
    </row>
    <row r="66" spans="1:5" ht="13.2">
      <c r="A66" s="372"/>
      <c r="B66" s="28" t="s">
        <v>23</v>
      </c>
      <c r="C66" s="29">
        <v>600000</v>
      </c>
      <c r="D66" s="30"/>
      <c r="E66" s="30"/>
    </row>
    <row r="67" spans="1:5" ht="13.2">
      <c r="A67" s="372"/>
      <c r="B67" s="28" t="s">
        <v>40</v>
      </c>
      <c r="C67" s="29">
        <v>124000</v>
      </c>
      <c r="D67" s="30"/>
      <c r="E67" s="30"/>
    </row>
    <row r="68" spans="1:5" ht="13.2">
      <c r="A68" s="373"/>
      <c r="B68" s="28" t="s">
        <v>17</v>
      </c>
      <c r="C68" s="29">
        <f>93000+35000</f>
        <v>128000</v>
      </c>
      <c r="D68" s="30"/>
      <c r="E68" s="30"/>
    </row>
    <row r="69" spans="1:5" ht="13.2">
      <c r="A69" s="377">
        <v>45444</v>
      </c>
      <c r="B69" s="41" t="s">
        <v>18</v>
      </c>
      <c r="C69" s="31">
        <f>9308000+3938000+1952000+3399000-1073000+10740000+3580000</f>
        <v>31844000</v>
      </c>
      <c r="D69" s="32"/>
      <c r="E69" s="32"/>
    </row>
    <row r="70" spans="1:5" ht="13.2">
      <c r="A70" s="372"/>
      <c r="B70" s="33" t="s">
        <v>33</v>
      </c>
      <c r="C70" s="34">
        <f>98000+42000+57000+240000</f>
        <v>437000</v>
      </c>
      <c r="D70" s="32"/>
      <c r="E70" s="32"/>
    </row>
    <row r="71" spans="1:5" ht="13.2">
      <c r="A71" s="372"/>
      <c r="B71" s="33" t="s">
        <v>41</v>
      </c>
      <c r="C71" s="34">
        <f>30000</f>
        <v>30000</v>
      </c>
      <c r="D71" s="32"/>
      <c r="E71" s="32"/>
    </row>
    <row r="72" spans="1:5" ht="13.2">
      <c r="A72" s="372"/>
      <c r="B72" s="33" t="s">
        <v>42</v>
      </c>
      <c r="C72" s="34">
        <f>150000</f>
        <v>150000</v>
      </c>
      <c r="D72" s="32"/>
      <c r="E72" s="32"/>
    </row>
    <row r="73" spans="1:5" ht="13.2">
      <c r="A73" s="372"/>
      <c r="B73" s="33" t="s">
        <v>43</v>
      </c>
      <c r="C73" s="34">
        <f>197000</f>
        <v>197000</v>
      </c>
      <c r="D73" s="32"/>
      <c r="E73" s="32"/>
    </row>
    <row r="74" spans="1:5" ht="13.2">
      <c r="A74" s="372"/>
      <c r="B74" s="33" t="s">
        <v>44</v>
      </c>
      <c r="C74" s="34">
        <f>195000+93000</f>
        <v>288000</v>
      </c>
      <c r="D74" s="32"/>
      <c r="E74" s="32"/>
    </row>
    <row r="75" spans="1:5" ht="13.2">
      <c r="A75" s="372"/>
      <c r="B75" s="33" t="s">
        <v>45</v>
      </c>
      <c r="C75" s="34">
        <f>21000</f>
        <v>21000</v>
      </c>
      <c r="D75" s="32"/>
      <c r="E75" s="32"/>
    </row>
    <row r="76" spans="1:5" ht="13.2">
      <c r="A76" s="372"/>
      <c r="B76" s="41" t="s">
        <v>16</v>
      </c>
      <c r="C76" s="34">
        <f>19600+176400+257880+168000</f>
        <v>621880</v>
      </c>
      <c r="D76" s="32"/>
      <c r="E76" s="32"/>
    </row>
    <row r="77" spans="1:5" ht="13.2">
      <c r="A77" s="372"/>
      <c r="B77" s="33" t="s">
        <v>46</v>
      </c>
      <c r="C77" s="34">
        <f>50000</f>
        <v>50000</v>
      </c>
      <c r="D77" s="32"/>
      <c r="E77" s="32"/>
    </row>
    <row r="78" spans="1:5" ht="13.2">
      <c r="A78" s="372"/>
      <c r="B78" s="33" t="s">
        <v>17</v>
      </c>
      <c r="C78" s="34">
        <f>32000+32000</f>
        <v>64000</v>
      </c>
      <c r="D78" s="32"/>
      <c r="E78" s="32"/>
    </row>
    <row r="79" spans="1:5" ht="13.2">
      <c r="A79" s="372"/>
      <c r="B79" s="33" t="s">
        <v>47</v>
      </c>
      <c r="C79" s="31">
        <v>18000</v>
      </c>
      <c r="D79" s="32"/>
      <c r="E79" s="32"/>
    </row>
    <row r="80" spans="1:5" ht="13.2">
      <c r="A80" s="372"/>
      <c r="B80" s="33" t="s">
        <v>15</v>
      </c>
      <c r="C80" s="31">
        <f>440000+110000</f>
        <v>550000</v>
      </c>
      <c r="D80" s="32"/>
      <c r="E80" s="32"/>
    </row>
    <row r="81" spans="1:5" ht="13.2">
      <c r="A81" s="372"/>
      <c r="B81" s="33" t="s">
        <v>48</v>
      </c>
      <c r="C81" s="34">
        <f>38000+74000</f>
        <v>112000</v>
      </c>
      <c r="D81" s="32"/>
      <c r="E81" s="32"/>
    </row>
    <row r="82" spans="1:5" ht="13.2">
      <c r="A82" s="372"/>
      <c r="B82" s="33" t="s">
        <v>14</v>
      </c>
      <c r="C82" s="31">
        <v>44000</v>
      </c>
      <c r="D82" s="32"/>
      <c r="E82" s="32"/>
    </row>
    <row r="83" spans="1:5" ht="13.2">
      <c r="A83" s="373"/>
      <c r="B83" s="33" t="s">
        <v>49</v>
      </c>
      <c r="C83" s="31">
        <v>175000</v>
      </c>
      <c r="D83" s="32"/>
      <c r="E83" s="32"/>
    </row>
    <row r="84" spans="1:5" ht="13.2">
      <c r="A84" s="379">
        <v>45474</v>
      </c>
      <c r="B84" s="42" t="s">
        <v>18</v>
      </c>
      <c r="C84" s="43">
        <f>6094000+3850000+3585000+2509000+3580000+3580000</f>
        <v>23198000</v>
      </c>
      <c r="D84" s="44"/>
      <c r="E84" s="44"/>
    </row>
    <row r="85" spans="1:5" ht="13.2">
      <c r="A85" s="372"/>
      <c r="B85" s="45" t="s">
        <v>33</v>
      </c>
      <c r="C85" s="46">
        <f>32000+47000</f>
        <v>79000</v>
      </c>
      <c r="D85" s="44"/>
      <c r="E85" s="44"/>
    </row>
    <row r="86" spans="1:5" ht="13.2">
      <c r="A86" s="372"/>
      <c r="B86" s="45" t="s">
        <v>41</v>
      </c>
      <c r="C86" s="46">
        <f>16500+53000+49000+64000+50000</f>
        <v>232500</v>
      </c>
      <c r="D86" s="44"/>
      <c r="E86" s="44"/>
    </row>
    <row r="87" spans="1:5" ht="13.2">
      <c r="A87" s="372"/>
      <c r="B87" s="45" t="s">
        <v>44</v>
      </c>
      <c r="C87" s="43">
        <f>256000+130000+149000</f>
        <v>535000</v>
      </c>
      <c r="D87" s="44"/>
      <c r="E87" s="44"/>
    </row>
    <row r="88" spans="1:5" ht="13.2">
      <c r="A88" s="372"/>
      <c r="B88" s="42" t="s">
        <v>16</v>
      </c>
      <c r="C88" s="46">
        <f>335440+62440+270760+119840+378280</f>
        <v>1166760</v>
      </c>
      <c r="D88" s="44"/>
      <c r="E88" s="44"/>
    </row>
    <row r="89" spans="1:5" ht="13.2">
      <c r="A89" s="372"/>
      <c r="B89" s="45" t="s">
        <v>17</v>
      </c>
      <c r="C89" s="46">
        <f>99000+77000</f>
        <v>176000</v>
      </c>
      <c r="D89" s="44"/>
      <c r="E89" s="44"/>
    </row>
    <row r="90" spans="1:5" ht="13.2">
      <c r="A90" s="372"/>
      <c r="B90" s="45" t="s">
        <v>47</v>
      </c>
      <c r="C90" s="43">
        <f>19000</f>
        <v>19000</v>
      </c>
      <c r="D90" s="44"/>
      <c r="E90" s="44"/>
    </row>
    <row r="91" spans="1:5" ht="13.2">
      <c r="A91" s="372"/>
      <c r="B91" s="45" t="s">
        <v>15</v>
      </c>
      <c r="C91" s="43">
        <v>420000</v>
      </c>
      <c r="D91" s="44"/>
      <c r="E91" s="44"/>
    </row>
    <row r="92" spans="1:5" ht="13.2">
      <c r="A92" s="372"/>
      <c r="B92" s="45" t="s">
        <v>49</v>
      </c>
      <c r="C92" s="43">
        <v>95000</v>
      </c>
      <c r="D92" s="44"/>
      <c r="E92" s="44"/>
    </row>
    <row r="93" spans="1:5" ht="13.2">
      <c r="A93" s="372"/>
      <c r="B93" s="28" t="s">
        <v>50</v>
      </c>
      <c r="C93" s="29">
        <v>50000</v>
      </c>
      <c r="D93" s="30"/>
      <c r="E93" s="30"/>
    </row>
    <row r="94" spans="1:5" ht="13.2">
      <c r="A94" s="372"/>
      <c r="B94" s="28" t="s">
        <v>51</v>
      </c>
      <c r="C94" s="29">
        <v>161000</v>
      </c>
      <c r="D94" s="30"/>
      <c r="E94" s="30"/>
    </row>
    <row r="95" spans="1:5" ht="13.2">
      <c r="A95" s="372"/>
      <c r="B95" s="28" t="s">
        <v>52</v>
      </c>
      <c r="C95" s="29">
        <v>83000</v>
      </c>
      <c r="D95" s="30"/>
      <c r="E95" s="30"/>
    </row>
    <row r="96" spans="1:5" ht="13.2">
      <c r="A96" s="372"/>
      <c r="B96" s="28" t="s">
        <v>14</v>
      </c>
      <c r="C96" s="29">
        <v>22000</v>
      </c>
      <c r="D96" s="30"/>
      <c r="E96" s="30"/>
    </row>
    <row r="97" spans="1:5" ht="13.2">
      <c r="A97" s="372"/>
      <c r="B97" s="28" t="s">
        <v>53</v>
      </c>
      <c r="C97" s="29">
        <v>163000</v>
      </c>
      <c r="D97" s="30"/>
      <c r="E97" s="30"/>
    </row>
    <row r="98" spans="1:5" ht="13.2">
      <c r="A98" s="372"/>
      <c r="B98" s="28" t="s">
        <v>23</v>
      </c>
      <c r="C98" s="29">
        <v>600000</v>
      </c>
      <c r="D98" s="30"/>
      <c r="E98" s="30"/>
    </row>
    <row r="99" spans="1:5" ht="13.2">
      <c r="A99" s="372"/>
      <c r="B99" s="28" t="s">
        <v>54</v>
      </c>
      <c r="C99" s="29">
        <v>70000</v>
      </c>
      <c r="D99" s="30"/>
      <c r="E99" s="30"/>
    </row>
    <row r="100" spans="1:5" ht="13.2">
      <c r="A100" s="372"/>
      <c r="B100" s="28" t="s">
        <v>55</v>
      </c>
      <c r="C100" s="29">
        <v>639620</v>
      </c>
      <c r="D100" s="30"/>
      <c r="E100" s="30"/>
    </row>
    <row r="101" spans="1:5" ht="13.2">
      <c r="A101" s="372"/>
      <c r="B101" s="28" t="s">
        <v>56</v>
      </c>
      <c r="C101" s="29">
        <v>19000</v>
      </c>
      <c r="D101" s="30"/>
      <c r="E101" s="30"/>
    </row>
    <row r="102" spans="1:5" ht="13.2">
      <c r="A102" s="373"/>
      <c r="B102" s="28" t="s">
        <v>57</v>
      </c>
      <c r="C102" s="29">
        <v>45000</v>
      </c>
      <c r="D102" s="30"/>
      <c r="E102" s="30"/>
    </row>
    <row r="103" spans="1:5" ht="13.2">
      <c r="A103" s="376">
        <v>45505</v>
      </c>
      <c r="B103" s="42" t="s">
        <v>18</v>
      </c>
      <c r="C103" s="39">
        <f>3585000+2154000+5377500+3585000+3585000+5377000+3590000</f>
        <v>27253500</v>
      </c>
      <c r="D103" s="30"/>
      <c r="E103" s="30"/>
    </row>
    <row r="104" spans="1:5" ht="13.2">
      <c r="A104" s="372"/>
      <c r="B104" s="45" t="s">
        <v>33</v>
      </c>
      <c r="C104" s="39">
        <f>32000+52000+37000+57000</f>
        <v>178000</v>
      </c>
      <c r="D104" s="30"/>
      <c r="E104" s="30"/>
    </row>
    <row r="105" spans="1:5" ht="13.2">
      <c r="A105" s="372"/>
      <c r="B105" s="45" t="s">
        <v>44</v>
      </c>
      <c r="C105" s="39">
        <f>173000</f>
        <v>173000</v>
      </c>
      <c r="D105" s="30"/>
      <c r="E105" s="30"/>
    </row>
    <row r="106" spans="1:5" ht="13.2">
      <c r="A106" s="372"/>
      <c r="B106" s="42" t="s">
        <v>16</v>
      </c>
      <c r="C106" s="39">
        <f>179000+273840+143080+138880+286200</f>
        <v>1021000</v>
      </c>
      <c r="D106" s="30"/>
      <c r="E106" s="30"/>
    </row>
    <row r="107" spans="1:5" ht="13.2">
      <c r="A107" s="372"/>
      <c r="B107" s="45" t="s">
        <v>47</v>
      </c>
      <c r="C107" s="39">
        <f>19000+19000</f>
        <v>38000</v>
      </c>
      <c r="D107" s="30"/>
      <c r="E107" s="30"/>
    </row>
    <row r="108" spans="1:5" ht="13.2">
      <c r="A108" s="372"/>
      <c r="B108" s="45" t="s">
        <v>15</v>
      </c>
      <c r="C108" s="39">
        <f>550000</f>
        <v>550000</v>
      </c>
      <c r="D108" s="30"/>
      <c r="E108" s="30"/>
    </row>
    <row r="109" spans="1:5" ht="13.2">
      <c r="A109" s="372"/>
      <c r="B109" s="28" t="s">
        <v>14</v>
      </c>
      <c r="C109" s="39">
        <f>33000</f>
        <v>33000</v>
      </c>
      <c r="D109" s="30"/>
      <c r="E109" s="30"/>
    </row>
    <row r="110" spans="1:5" ht="13.2">
      <c r="A110" s="372"/>
      <c r="B110" s="28" t="s">
        <v>53</v>
      </c>
      <c r="C110" s="39">
        <f>104000</f>
        <v>104000</v>
      </c>
      <c r="D110" s="30"/>
      <c r="E110" s="30"/>
    </row>
    <row r="111" spans="1:5" ht="13.2">
      <c r="A111" s="372"/>
      <c r="B111" s="28" t="s">
        <v>55</v>
      </c>
      <c r="C111" s="39">
        <f>22000</f>
        <v>22000</v>
      </c>
      <c r="D111" s="30"/>
      <c r="E111" s="30"/>
    </row>
    <row r="112" spans="1:5" ht="13.2">
      <c r="A112" s="372"/>
      <c r="B112" s="28" t="s">
        <v>57</v>
      </c>
      <c r="C112" s="39">
        <f>100000</f>
        <v>100000</v>
      </c>
      <c r="D112" s="30"/>
      <c r="E112" s="30"/>
    </row>
    <row r="113" spans="1:5" ht="13.2">
      <c r="A113" s="372"/>
      <c r="B113" s="28" t="s">
        <v>58</v>
      </c>
      <c r="C113" s="39">
        <f>38000+60000</f>
        <v>98000</v>
      </c>
      <c r="D113" s="30"/>
      <c r="E113" s="30"/>
    </row>
    <row r="114" spans="1:5" ht="13.2">
      <c r="A114" s="372"/>
      <c r="B114" s="28" t="s">
        <v>59</v>
      </c>
      <c r="C114" s="39">
        <f>123000</f>
        <v>123000</v>
      </c>
      <c r="D114" s="30"/>
      <c r="E114" s="30"/>
    </row>
    <row r="115" spans="1:5" ht="13.2">
      <c r="A115" s="373"/>
      <c r="B115" s="28" t="s">
        <v>60</v>
      </c>
      <c r="C115" s="29">
        <f>213400+644000</f>
        <v>857400</v>
      </c>
      <c r="D115" s="30"/>
      <c r="E115" s="30"/>
    </row>
    <row r="116" spans="1:5" ht="13.2">
      <c r="A116" s="376">
        <v>45536</v>
      </c>
      <c r="B116" s="42" t="s">
        <v>18</v>
      </c>
      <c r="C116" s="39">
        <f>8975000+14719000+3595000+7220000</f>
        <v>34509000</v>
      </c>
      <c r="D116" s="30"/>
      <c r="E116" s="30"/>
    </row>
    <row r="117" spans="1:5" ht="13.2">
      <c r="A117" s="372"/>
      <c r="B117" s="45" t="s">
        <v>41</v>
      </c>
      <c r="C117" s="39">
        <f>118000</f>
        <v>118000</v>
      </c>
      <c r="D117" s="30"/>
      <c r="E117" s="30"/>
    </row>
    <row r="118" spans="1:5" ht="13.2">
      <c r="A118" s="372"/>
      <c r="B118" s="45" t="s">
        <v>43</v>
      </c>
      <c r="C118" s="39">
        <f>387000</f>
        <v>387000</v>
      </c>
      <c r="D118" s="30"/>
      <c r="E118" s="30"/>
    </row>
    <row r="119" spans="1:5" ht="13.2">
      <c r="A119" s="372"/>
      <c r="B119" s="45" t="s">
        <v>47</v>
      </c>
      <c r="C119" s="39">
        <f>34000</f>
        <v>34000</v>
      </c>
      <c r="D119" s="30"/>
      <c r="E119" s="30"/>
    </row>
    <row r="120" spans="1:5" ht="13.2">
      <c r="A120" s="372"/>
      <c r="B120" s="45" t="s">
        <v>15</v>
      </c>
      <c r="C120" s="39">
        <f>1390000</f>
        <v>1390000</v>
      </c>
      <c r="D120" s="30"/>
      <c r="E120" s="30"/>
    </row>
    <row r="121" spans="1:5" ht="13.2">
      <c r="A121" s="372"/>
      <c r="B121" s="28" t="s">
        <v>50</v>
      </c>
      <c r="C121" s="39">
        <f>114000</f>
        <v>114000</v>
      </c>
      <c r="D121" s="30"/>
      <c r="E121" s="30"/>
    </row>
    <row r="122" spans="1:5" ht="13.2">
      <c r="A122" s="372"/>
      <c r="B122" s="28" t="s">
        <v>55</v>
      </c>
      <c r="C122" s="39">
        <f>620000</f>
        <v>620000</v>
      </c>
      <c r="D122" s="30"/>
      <c r="E122" s="30"/>
    </row>
    <row r="123" spans="1:5" ht="13.2">
      <c r="A123" s="373"/>
      <c r="B123" s="28" t="s">
        <v>60</v>
      </c>
      <c r="C123" s="29">
        <f>539000+509000</f>
        <v>1048000</v>
      </c>
      <c r="D123" s="30"/>
      <c r="E123" s="30"/>
    </row>
    <row r="124" spans="1:5" ht="13.2">
      <c r="A124" s="376">
        <v>45566</v>
      </c>
      <c r="B124" s="42" t="s">
        <v>18</v>
      </c>
      <c r="C124" s="39">
        <f>3630000+3630000+3670000+7340000</f>
        <v>18270000</v>
      </c>
    </row>
    <row r="125" spans="1:5" ht="13.2">
      <c r="A125" s="372"/>
      <c r="B125" s="45" t="s">
        <v>41</v>
      </c>
      <c r="C125" s="39">
        <f>130000+142000+160000</f>
        <v>432000</v>
      </c>
    </row>
    <row r="126" spans="1:5" ht="13.2">
      <c r="A126" s="372"/>
      <c r="B126" s="45" t="s">
        <v>44</v>
      </c>
      <c r="C126" s="39">
        <f>254000</f>
        <v>254000</v>
      </c>
    </row>
    <row r="127" spans="1:5" ht="13.2">
      <c r="A127" s="372"/>
      <c r="B127" s="45" t="s">
        <v>15</v>
      </c>
      <c r="C127" s="39">
        <f>550000</f>
        <v>550000</v>
      </c>
    </row>
    <row r="128" spans="1:5" ht="13.2">
      <c r="A128" s="372"/>
      <c r="B128" s="45" t="s">
        <v>48</v>
      </c>
      <c r="C128" s="39">
        <f>26500</f>
        <v>26500</v>
      </c>
    </row>
    <row r="129" spans="1:3" ht="13.2">
      <c r="A129" s="372"/>
      <c r="B129" s="28" t="s">
        <v>56</v>
      </c>
      <c r="C129" s="39">
        <f>14000</f>
        <v>14000</v>
      </c>
    </row>
    <row r="130" spans="1:3" ht="13.2">
      <c r="A130" s="373"/>
      <c r="B130" s="28" t="s">
        <v>60</v>
      </c>
      <c r="C130" s="29">
        <f>588000+188700</f>
        <v>776700</v>
      </c>
    </row>
    <row r="131" spans="1:3" ht="13.2">
      <c r="A131" s="376">
        <v>45597</v>
      </c>
      <c r="B131" s="42" t="s">
        <v>18</v>
      </c>
      <c r="C131" s="39">
        <f>5512500+2359000+3675000+1838000+1820000+7260000</f>
        <v>22464500</v>
      </c>
    </row>
    <row r="132" spans="1:3" ht="13.2">
      <c r="A132" s="372"/>
      <c r="B132" s="45" t="s">
        <v>41</v>
      </c>
      <c r="C132" s="39">
        <f>38900</f>
        <v>38900</v>
      </c>
    </row>
    <row r="133" spans="1:3" ht="13.2">
      <c r="A133" s="372"/>
      <c r="B133" s="45" t="s">
        <v>61</v>
      </c>
      <c r="C133" s="39">
        <f>255000</f>
        <v>255000</v>
      </c>
    </row>
    <row r="134" spans="1:3" ht="13.2">
      <c r="A134" s="372"/>
      <c r="B134" s="45" t="s">
        <v>62</v>
      </c>
      <c r="C134" s="29">
        <f>527000+1540000</f>
        <v>2067000</v>
      </c>
    </row>
    <row r="135" spans="1:3" ht="13.2">
      <c r="A135" s="372"/>
      <c r="B135" s="45" t="s">
        <v>48</v>
      </c>
      <c r="C135" s="39">
        <f>57000</f>
        <v>57000</v>
      </c>
    </row>
    <row r="136" spans="1:3" ht="13.2">
      <c r="A136" s="372"/>
      <c r="B136" s="28" t="s">
        <v>63</v>
      </c>
      <c r="C136" s="39">
        <f>2530000</f>
        <v>2530000</v>
      </c>
    </row>
    <row r="137" spans="1:3" ht="13.2">
      <c r="A137" s="372"/>
      <c r="B137" s="28" t="s">
        <v>59</v>
      </c>
      <c r="C137" s="39">
        <f>58000+92000</f>
        <v>150000</v>
      </c>
    </row>
    <row r="138" spans="1:3" ht="13.2">
      <c r="A138" s="373"/>
      <c r="B138" s="28" t="s">
        <v>60</v>
      </c>
      <c r="C138" s="29">
        <v>146000</v>
      </c>
    </row>
    <row r="139" spans="1:3" ht="13.2">
      <c r="A139" s="376">
        <v>45627</v>
      </c>
      <c r="B139" s="47" t="s">
        <v>18</v>
      </c>
      <c r="C139" s="48">
        <f>5445000+10860000+16267500+7235000+8326000+7240000+6516000+9774000+4706000</f>
        <v>76369500</v>
      </c>
    </row>
    <row r="140" spans="1:3" ht="13.2">
      <c r="A140" s="372"/>
      <c r="B140" s="45" t="s">
        <v>44</v>
      </c>
      <c r="C140" s="39">
        <f>410000+58000</f>
        <v>468000</v>
      </c>
    </row>
    <row r="141" spans="1:3" ht="13.2">
      <c r="A141" s="372"/>
      <c r="B141" s="45" t="s">
        <v>47</v>
      </c>
      <c r="C141" s="39">
        <f>500000</f>
        <v>500000</v>
      </c>
    </row>
    <row r="142" spans="1:3" ht="13.2">
      <c r="A142" s="372"/>
      <c r="B142" s="45" t="s">
        <v>62</v>
      </c>
      <c r="C142" s="29">
        <f>418000+220000+220000+55000</f>
        <v>913000</v>
      </c>
    </row>
    <row r="143" spans="1:3" ht="13.2">
      <c r="A143" s="372"/>
      <c r="B143" s="45" t="s">
        <v>48</v>
      </c>
      <c r="C143" s="39">
        <f>143000</f>
        <v>143000</v>
      </c>
    </row>
    <row r="144" spans="1:3" ht="13.2">
      <c r="A144" s="372"/>
      <c r="B144" s="28" t="s">
        <v>14</v>
      </c>
      <c r="C144" s="39">
        <f>55000</f>
        <v>55000</v>
      </c>
    </row>
    <row r="145" spans="1:9" ht="13.2">
      <c r="A145" s="373"/>
      <c r="B145" s="28" t="s">
        <v>60</v>
      </c>
      <c r="C145" s="29">
        <f>102800 + 218300+118400</f>
        <v>439500</v>
      </c>
    </row>
    <row r="146" spans="1:9" ht="13.2">
      <c r="A146" s="376">
        <v>45658</v>
      </c>
      <c r="B146" s="45" t="s">
        <v>61</v>
      </c>
      <c r="C146" s="39">
        <f>161000+114000</f>
        <v>275000</v>
      </c>
    </row>
    <row r="147" spans="1:9" ht="13.2">
      <c r="A147" s="372"/>
      <c r="B147" s="45" t="s">
        <v>44</v>
      </c>
      <c r="C147" s="39">
        <f>90000+90000+123000</f>
        <v>303000</v>
      </c>
    </row>
    <row r="148" spans="1:9" ht="13.2">
      <c r="A148" s="373"/>
      <c r="B148" s="45" t="s">
        <v>62</v>
      </c>
      <c r="C148" s="29">
        <f>1430000</f>
        <v>1430000</v>
      </c>
    </row>
    <row r="149" spans="1:9" ht="13.2">
      <c r="A149" s="376">
        <v>45689</v>
      </c>
      <c r="B149" s="38" t="s">
        <v>18</v>
      </c>
      <c r="C149" s="39">
        <f>882000+5415000+3590000+7180000+3720000+4600000</f>
        <v>25387000</v>
      </c>
      <c r="G149" s="376">
        <v>45689</v>
      </c>
      <c r="H149" s="38" t="s">
        <v>18</v>
      </c>
      <c r="I149" s="39">
        <f>7291000</f>
        <v>7291000</v>
      </c>
    </row>
    <row r="150" spans="1:9" ht="13.2">
      <c r="A150" s="372"/>
      <c r="B150" s="45" t="s">
        <v>33</v>
      </c>
      <c r="C150" s="39"/>
      <c r="G150" s="372"/>
      <c r="H150" s="45" t="s">
        <v>33</v>
      </c>
      <c r="I150" s="39"/>
    </row>
    <row r="151" spans="1:9" ht="13.2">
      <c r="A151" s="372"/>
      <c r="B151" s="45" t="s">
        <v>41</v>
      </c>
      <c r="C151" s="39">
        <f>180000</f>
        <v>180000</v>
      </c>
      <c r="G151" s="372"/>
      <c r="H151" s="45" t="s">
        <v>41</v>
      </c>
      <c r="I151" s="39"/>
    </row>
    <row r="152" spans="1:9" ht="13.2">
      <c r="A152" s="372"/>
      <c r="B152" s="45" t="s">
        <v>42</v>
      </c>
      <c r="C152" s="39"/>
      <c r="G152" s="372"/>
      <c r="H152" s="45" t="s">
        <v>42</v>
      </c>
      <c r="I152" s="39"/>
    </row>
    <row r="153" spans="1:9" ht="13.2">
      <c r="A153" s="372"/>
      <c r="B153" s="45" t="s">
        <v>61</v>
      </c>
      <c r="C153" s="39"/>
      <c r="G153" s="372"/>
      <c r="H153" s="45" t="s">
        <v>61</v>
      </c>
      <c r="I153" s="39"/>
    </row>
    <row r="154" spans="1:9" ht="13.2">
      <c r="A154" s="372"/>
      <c r="B154" s="45" t="s">
        <v>44</v>
      </c>
      <c r="C154" s="39">
        <f>136000+249000</f>
        <v>385000</v>
      </c>
      <c r="G154" s="372"/>
      <c r="H154" s="45" t="s">
        <v>44</v>
      </c>
      <c r="I154" s="39"/>
    </row>
    <row r="155" spans="1:9" ht="13.2">
      <c r="A155" s="372"/>
      <c r="B155" s="45" t="s">
        <v>45</v>
      </c>
      <c r="C155" s="39"/>
      <c r="G155" s="372"/>
      <c r="H155" s="45" t="s">
        <v>45</v>
      </c>
      <c r="I155" s="39"/>
    </row>
    <row r="156" spans="1:9" ht="13.2">
      <c r="A156" s="372"/>
      <c r="B156" s="42" t="s">
        <v>16</v>
      </c>
      <c r="C156" s="39"/>
      <c r="G156" s="372"/>
      <c r="H156" s="42" t="s">
        <v>16</v>
      </c>
      <c r="I156" s="39"/>
    </row>
    <row r="157" spans="1:9" ht="13.2">
      <c r="A157" s="372"/>
      <c r="B157" s="45" t="s">
        <v>46</v>
      </c>
      <c r="C157" s="39"/>
      <c r="G157" s="372"/>
      <c r="H157" s="45" t="s">
        <v>46</v>
      </c>
      <c r="I157" s="39"/>
    </row>
    <row r="158" spans="1:9" ht="13.2">
      <c r="A158" s="372"/>
      <c r="B158" s="45" t="s">
        <v>17</v>
      </c>
      <c r="C158" s="39"/>
      <c r="G158" s="372"/>
      <c r="H158" s="45" t="s">
        <v>17</v>
      </c>
      <c r="I158" s="39"/>
    </row>
    <row r="159" spans="1:9" ht="13.2">
      <c r="A159" s="372"/>
      <c r="B159" s="45" t="s">
        <v>47</v>
      </c>
      <c r="C159" s="39"/>
      <c r="G159" s="372"/>
      <c r="H159" s="45" t="s">
        <v>47</v>
      </c>
      <c r="I159" s="39"/>
    </row>
    <row r="160" spans="1:9" ht="13.2">
      <c r="A160" s="372"/>
      <c r="B160" s="45" t="s">
        <v>62</v>
      </c>
      <c r="C160" s="29">
        <f>600000+3935000</f>
        <v>4535000</v>
      </c>
      <c r="G160" s="372"/>
      <c r="H160" s="45" t="s">
        <v>62</v>
      </c>
      <c r="I160" s="29"/>
    </row>
    <row r="161" spans="1:9" ht="13.2">
      <c r="A161" s="372"/>
      <c r="B161" s="45" t="s">
        <v>48</v>
      </c>
      <c r="C161" s="39"/>
      <c r="G161" s="372"/>
      <c r="H161" s="45" t="s">
        <v>48</v>
      </c>
      <c r="I161" s="39"/>
    </row>
    <row r="162" spans="1:9" ht="13.2">
      <c r="A162" s="372"/>
      <c r="B162" s="45" t="s">
        <v>49</v>
      </c>
      <c r="C162" s="39"/>
      <c r="G162" s="372"/>
      <c r="H162" s="45" t="s">
        <v>49</v>
      </c>
      <c r="I162" s="39"/>
    </row>
    <row r="163" spans="1:9" ht="13.2">
      <c r="A163" s="372"/>
      <c r="B163" s="28" t="s">
        <v>50</v>
      </c>
      <c r="C163" s="39"/>
      <c r="G163" s="372"/>
      <c r="H163" s="28" t="s">
        <v>50</v>
      </c>
      <c r="I163" s="39"/>
    </row>
    <row r="164" spans="1:9" ht="13.2">
      <c r="A164" s="372"/>
      <c r="B164" s="28" t="s">
        <v>51</v>
      </c>
      <c r="C164" s="39">
        <f>245000</f>
        <v>245000</v>
      </c>
      <c r="G164" s="372"/>
      <c r="H164" s="28" t="s">
        <v>51</v>
      </c>
      <c r="I164" s="39"/>
    </row>
    <row r="165" spans="1:9" ht="13.2">
      <c r="A165" s="372"/>
      <c r="B165" s="28" t="s">
        <v>52</v>
      </c>
      <c r="C165" s="39">
        <f>126000</f>
        <v>126000</v>
      </c>
      <c r="G165" s="372"/>
      <c r="H165" s="28" t="s">
        <v>52</v>
      </c>
      <c r="I165" s="39"/>
    </row>
    <row r="166" spans="1:9" ht="13.2">
      <c r="A166" s="372"/>
      <c r="B166" s="28" t="s">
        <v>14</v>
      </c>
      <c r="C166" s="39"/>
      <c r="G166" s="372"/>
      <c r="H166" s="28" t="s">
        <v>14</v>
      </c>
      <c r="I166" s="39"/>
    </row>
    <row r="167" spans="1:9" ht="13.2">
      <c r="A167" s="372"/>
      <c r="B167" s="28" t="s">
        <v>53</v>
      </c>
      <c r="C167" s="39">
        <f>175000</f>
        <v>175000</v>
      </c>
      <c r="G167" s="372"/>
      <c r="H167" s="28" t="s">
        <v>53</v>
      </c>
      <c r="I167" s="39"/>
    </row>
    <row r="168" spans="1:9" ht="13.2">
      <c r="A168" s="372"/>
      <c r="B168" s="28" t="s">
        <v>23</v>
      </c>
      <c r="C168" s="39"/>
      <c r="G168" s="372"/>
      <c r="H168" s="28" t="s">
        <v>23</v>
      </c>
      <c r="I168" s="39"/>
    </row>
    <row r="169" spans="1:9" ht="13.2">
      <c r="A169" s="372"/>
      <c r="B169" s="28" t="s">
        <v>54</v>
      </c>
      <c r="C169" s="39"/>
      <c r="G169" s="372"/>
      <c r="H169" s="28" t="s">
        <v>54</v>
      </c>
      <c r="I169" s="39"/>
    </row>
    <row r="170" spans="1:9" ht="13.2">
      <c r="A170" s="372"/>
      <c r="B170" s="28" t="s">
        <v>56</v>
      </c>
      <c r="C170" s="39"/>
      <c r="G170" s="372"/>
      <c r="H170" s="28" t="s">
        <v>56</v>
      </c>
      <c r="I170" s="39"/>
    </row>
    <row r="171" spans="1:9" ht="13.2">
      <c r="A171" s="372"/>
      <c r="B171" s="28" t="s">
        <v>57</v>
      </c>
      <c r="C171" s="39"/>
      <c r="G171" s="372"/>
      <c r="H171" s="28" t="s">
        <v>57</v>
      </c>
      <c r="I171" s="39"/>
    </row>
    <row r="172" spans="1:9" ht="13.2">
      <c r="A172" s="372"/>
      <c r="B172" s="28" t="s">
        <v>58</v>
      </c>
      <c r="C172" s="39"/>
      <c r="G172" s="372"/>
      <c r="H172" s="28" t="s">
        <v>58</v>
      </c>
      <c r="I172" s="39"/>
    </row>
    <row r="173" spans="1:9" ht="13.2">
      <c r="A173" s="372"/>
      <c r="B173" s="28" t="s">
        <v>59</v>
      </c>
      <c r="C173" s="39"/>
      <c r="G173" s="372"/>
      <c r="H173" s="28" t="s">
        <v>59</v>
      </c>
      <c r="I173" s="39"/>
    </row>
    <row r="174" spans="1:9" ht="13.2">
      <c r="A174" s="373"/>
      <c r="B174" s="28" t="s">
        <v>60</v>
      </c>
      <c r="C174" s="29"/>
      <c r="G174" s="373"/>
      <c r="H174" s="28" t="s">
        <v>60</v>
      </c>
      <c r="I174" s="29"/>
    </row>
    <row r="175" spans="1:9" ht="13.2">
      <c r="A175" s="376">
        <v>45717</v>
      </c>
      <c r="B175" s="38" t="s">
        <v>18</v>
      </c>
      <c r="C175" s="39">
        <f>5070000+3590000+10714000+7908000+5385000+1400000</f>
        <v>34067000</v>
      </c>
    </row>
    <row r="176" spans="1:9" ht="13.2">
      <c r="A176" s="372"/>
      <c r="B176" s="45" t="s">
        <v>33</v>
      </c>
      <c r="C176" s="39"/>
    </row>
    <row r="177" spans="1:3" ht="13.2">
      <c r="A177" s="372"/>
      <c r="B177" s="45" t="s">
        <v>41</v>
      </c>
      <c r="C177" s="39"/>
    </row>
    <row r="178" spans="1:3" ht="13.2">
      <c r="A178" s="372"/>
      <c r="B178" s="45" t="s">
        <v>42</v>
      </c>
      <c r="C178" s="39"/>
    </row>
    <row r="179" spans="1:3" ht="13.2">
      <c r="A179" s="372"/>
      <c r="B179" s="45" t="s">
        <v>61</v>
      </c>
      <c r="C179" s="39"/>
    </row>
    <row r="180" spans="1:3" ht="13.2">
      <c r="A180" s="372"/>
      <c r="B180" s="45" t="s">
        <v>44</v>
      </c>
      <c r="C180" s="39"/>
    </row>
    <row r="181" spans="1:3" ht="13.2">
      <c r="A181" s="372"/>
      <c r="B181" s="45" t="s">
        <v>45</v>
      </c>
      <c r="C181" s="39"/>
    </row>
    <row r="182" spans="1:3" ht="13.2">
      <c r="A182" s="372"/>
      <c r="B182" s="42" t="s">
        <v>16</v>
      </c>
      <c r="C182" s="39"/>
    </row>
    <row r="183" spans="1:3" ht="13.2">
      <c r="A183" s="372"/>
      <c r="B183" s="45" t="s">
        <v>46</v>
      </c>
      <c r="C183" s="39"/>
    </row>
    <row r="184" spans="1:3" ht="13.2">
      <c r="A184" s="372"/>
      <c r="B184" s="45" t="s">
        <v>17</v>
      </c>
      <c r="C184" s="39"/>
    </row>
    <row r="185" spans="1:3" ht="13.2">
      <c r="A185" s="372"/>
      <c r="B185" s="45" t="s">
        <v>47</v>
      </c>
      <c r="C185" s="39"/>
    </row>
    <row r="186" spans="1:3" ht="13.2">
      <c r="A186" s="372"/>
      <c r="B186" s="45" t="s">
        <v>62</v>
      </c>
      <c r="C186" s="29">
        <f>4404000+220000</f>
        <v>4624000</v>
      </c>
    </row>
    <row r="187" spans="1:3" ht="13.2">
      <c r="A187" s="372"/>
      <c r="B187" s="45" t="s">
        <v>48</v>
      </c>
      <c r="C187" s="39"/>
    </row>
    <row r="188" spans="1:3" ht="13.2">
      <c r="A188" s="372"/>
      <c r="B188" s="45" t="s">
        <v>49</v>
      </c>
      <c r="C188" s="39"/>
    </row>
    <row r="189" spans="1:3" ht="13.2">
      <c r="A189" s="372"/>
      <c r="B189" s="28" t="s">
        <v>50</v>
      </c>
      <c r="C189" s="39"/>
    </row>
    <row r="190" spans="1:3" ht="13.2">
      <c r="A190" s="372"/>
      <c r="B190" s="28" t="s">
        <v>51</v>
      </c>
      <c r="C190" s="39"/>
    </row>
    <row r="191" spans="1:3" ht="13.2">
      <c r="A191" s="372"/>
      <c r="B191" s="28" t="s">
        <v>52</v>
      </c>
      <c r="C191" s="39"/>
    </row>
    <row r="192" spans="1:3" ht="13.2">
      <c r="A192" s="373"/>
      <c r="B192" s="28" t="s">
        <v>14</v>
      </c>
      <c r="C192" s="39">
        <f>77000</f>
        <v>77000</v>
      </c>
    </row>
    <row r="193" spans="1:3" ht="13.2">
      <c r="A193" s="376">
        <v>45748</v>
      </c>
      <c r="B193" s="38" t="s">
        <v>18</v>
      </c>
      <c r="C193" s="39">
        <f>7560000+4308000+5100000+5000000+4880000</f>
        <v>26848000</v>
      </c>
    </row>
    <row r="194" spans="1:3" ht="13.2">
      <c r="A194" s="372"/>
      <c r="B194" s="45" t="s">
        <v>61</v>
      </c>
      <c r="C194" s="39">
        <f>150000</f>
        <v>150000</v>
      </c>
    </row>
    <row r="195" spans="1:3" ht="13.2">
      <c r="A195" s="372"/>
      <c r="B195" s="45" t="s">
        <v>44</v>
      </c>
      <c r="C195" s="39">
        <f>95000+310000</f>
        <v>405000</v>
      </c>
    </row>
    <row r="196" spans="1:3" ht="13.2">
      <c r="A196" s="372"/>
      <c r="B196" s="45" t="s">
        <v>46</v>
      </c>
      <c r="C196" s="39">
        <f>330000</f>
        <v>330000</v>
      </c>
    </row>
    <row r="197" spans="1:3" ht="13.2">
      <c r="A197" s="372"/>
      <c r="B197" s="45" t="s">
        <v>62</v>
      </c>
      <c r="C197" s="29">
        <v>6215000</v>
      </c>
    </row>
    <row r="198" spans="1:3" ht="13.2">
      <c r="A198" s="372"/>
      <c r="B198" s="45" t="s">
        <v>48</v>
      </c>
      <c r="C198" s="39">
        <f>800000</f>
        <v>800000</v>
      </c>
    </row>
    <row r="199" spans="1:3" ht="13.2">
      <c r="A199" s="373"/>
      <c r="B199" s="28" t="s">
        <v>14</v>
      </c>
      <c r="C199" s="29">
        <v>66000</v>
      </c>
    </row>
    <row r="200" spans="1:3" ht="13.2">
      <c r="A200" s="376">
        <v>45778</v>
      </c>
      <c r="B200" s="28" t="s">
        <v>18</v>
      </c>
      <c r="C200" s="29">
        <f>3625000+9464000+3590000+4028000+10747000+5494000</f>
        <v>36948000</v>
      </c>
    </row>
    <row r="201" spans="1:3" ht="13.2">
      <c r="A201" s="372"/>
      <c r="B201" s="45" t="s">
        <v>33</v>
      </c>
      <c r="C201" s="39"/>
    </row>
    <row r="202" spans="1:3" ht="13.2">
      <c r="A202" s="372"/>
      <c r="B202" s="45" t="s">
        <v>41</v>
      </c>
      <c r="C202" s="39">
        <f>43000+414000</f>
        <v>457000</v>
      </c>
    </row>
    <row r="203" spans="1:3" ht="13.2">
      <c r="A203" s="372"/>
      <c r="B203" s="45" t="s">
        <v>42</v>
      </c>
      <c r="C203" s="39"/>
    </row>
    <row r="204" spans="1:3" ht="13.2">
      <c r="A204" s="372"/>
      <c r="B204" s="45" t="s">
        <v>61</v>
      </c>
      <c r="C204" s="39">
        <f>132000</f>
        <v>132000</v>
      </c>
    </row>
    <row r="205" spans="1:3" ht="13.2">
      <c r="A205" s="372"/>
      <c r="B205" s="45" t="s">
        <v>44</v>
      </c>
      <c r="C205" s="39">
        <f>210000+192000+117000</f>
        <v>519000</v>
      </c>
    </row>
    <row r="206" spans="1:3" ht="13.2">
      <c r="A206" s="372"/>
      <c r="B206" s="45" t="s">
        <v>45</v>
      </c>
      <c r="C206" s="39"/>
    </row>
    <row r="207" spans="1:3" ht="13.2">
      <c r="A207" s="372"/>
      <c r="B207" s="42" t="s">
        <v>16</v>
      </c>
      <c r="C207" s="39"/>
    </row>
    <row r="208" spans="1:3" ht="13.2">
      <c r="A208" s="372"/>
      <c r="B208" s="45" t="s">
        <v>46</v>
      </c>
      <c r="C208" s="39"/>
    </row>
    <row r="209" spans="1:3" ht="13.2">
      <c r="A209" s="372"/>
      <c r="B209" s="45" t="s">
        <v>17</v>
      </c>
      <c r="C209" s="39"/>
    </row>
    <row r="210" spans="1:3" ht="13.2">
      <c r="A210" s="372"/>
      <c r="B210" s="45" t="s">
        <v>47</v>
      </c>
      <c r="C210" s="39"/>
    </row>
    <row r="211" spans="1:3" ht="13.2">
      <c r="A211" s="372"/>
      <c r="B211" s="45" t="s">
        <v>62</v>
      </c>
      <c r="C211" s="29">
        <f>1718000+5252000+500000+500000</f>
        <v>7970000</v>
      </c>
    </row>
    <row r="212" spans="1:3" ht="13.2">
      <c r="A212" s="372"/>
      <c r="B212" s="45" t="s">
        <v>48</v>
      </c>
      <c r="C212" s="39"/>
    </row>
    <row r="213" spans="1:3" ht="13.2">
      <c r="A213" s="372"/>
      <c r="B213" s="45" t="s">
        <v>49</v>
      </c>
      <c r="C213" s="39"/>
    </row>
    <row r="214" spans="1:3" ht="13.2">
      <c r="A214" s="372"/>
      <c r="B214" s="28" t="s">
        <v>50</v>
      </c>
      <c r="C214" s="39"/>
    </row>
    <row r="215" spans="1:3" ht="13.2">
      <c r="A215" s="372"/>
      <c r="B215" s="28" t="s">
        <v>51</v>
      </c>
      <c r="C215" s="39"/>
    </row>
    <row r="216" spans="1:3" ht="13.2">
      <c r="A216" s="372"/>
      <c r="B216" s="28" t="s">
        <v>52</v>
      </c>
      <c r="C216" s="39">
        <f>168000</f>
        <v>168000</v>
      </c>
    </row>
    <row r="217" spans="1:3" ht="13.2">
      <c r="A217" s="372"/>
      <c r="B217" s="28" t="s">
        <v>14</v>
      </c>
      <c r="C217" s="29">
        <f>44000</f>
        <v>44000</v>
      </c>
    </row>
    <row r="218" spans="1:3" ht="13.2">
      <c r="A218" s="372"/>
      <c r="B218" s="28" t="s">
        <v>53</v>
      </c>
      <c r="C218" s="39"/>
    </row>
    <row r="219" spans="1:3" ht="13.2">
      <c r="A219" s="372"/>
      <c r="B219" s="28" t="s">
        <v>23</v>
      </c>
      <c r="C219" s="39"/>
    </row>
    <row r="220" spans="1:3" ht="13.2">
      <c r="A220" s="372"/>
      <c r="B220" s="28" t="s">
        <v>54</v>
      </c>
      <c r="C220" s="39"/>
    </row>
    <row r="221" spans="1:3" ht="13.2">
      <c r="A221" s="372"/>
      <c r="B221" s="28" t="s">
        <v>56</v>
      </c>
      <c r="C221" s="39"/>
    </row>
    <row r="222" spans="1:3" ht="13.2">
      <c r="A222" s="372"/>
      <c r="B222" s="28" t="s">
        <v>57</v>
      </c>
      <c r="C222" s="39"/>
    </row>
    <row r="223" spans="1:3" ht="13.2">
      <c r="A223" s="372"/>
      <c r="B223" s="28" t="s">
        <v>58</v>
      </c>
      <c r="C223" s="39"/>
    </row>
    <row r="224" spans="1:3" ht="13.2">
      <c r="A224" s="372"/>
      <c r="B224" s="28" t="s">
        <v>59</v>
      </c>
      <c r="C224" s="39"/>
    </row>
    <row r="225" spans="1:3" ht="13.2">
      <c r="A225" s="373"/>
      <c r="B225" s="28" t="s">
        <v>60</v>
      </c>
      <c r="C225" s="29"/>
    </row>
    <row r="226" spans="1:3" ht="13.2">
      <c r="A226" s="376">
        <v>45809</v>
      </c>
      <c r="B226" s="28" t="s">
        <v>18</v>
      </c>
      <c r="C226" s="29">
        <f>4689000+4711000+4680000+7550000+6642000</f>
        <v>28272000</v>
      </c>
    </row>
    <row r="227" spans="1:3" ht="13.2">
      <c r="A227" s="372"/>
      <c r="B227" s="45" t="s">
        <v>33</v>
      </c>
      <c r="C227" s="39"/>
    </row>
    <row r="228" spans="1:3" ht="13.2">
      <c r="A228" s="372"/>
      <c r="B228" s="45" t="s">
        <v>41</v>
      </c>
      <c r="C228" s="39"/>
    </row>
    <row r="229" spans="1:3" ht="13.2">
      <c r="A229" s="372"/>
      <c r="B229" s="45" t="s">
        <v>42</v>
      </c>
      <c r="C229" s="39"/>
    </row>
    <row r="230" spans="1:3" ht="13.2">
      <c r="A230" s="372"/>
      <c r="B230" s="45" t="s">
        <v>61</v>
      </c>
      <c r="C230" s="39">
        <f>594000</f>
        <v>594000</v>
      </c>
    </row>
    <row r="231" spans="1:3" ht="13.2">
      <c r="A231" s="372"/>
      <c r="B231" s="45" t="s">
        <v>44</v>
      </c>
      <c r="C231" s="39">
        <f>158000+110000+204000+101000</f>
        <v>573000</v>
      </c>
    </row>
    <row r="232" spans="1:3" ht="13.2">
      <c r="A232" s="372"/>
      <c r="B232" s="45" t="s">
        <v>45</v>
      </c>
      <c r="C232" s="39"/>
    </row>
    <row r="233" spans="1:3" ht="13.2">
      <c r="A233" s="372"/>
      <c r="B233" s="42" t="s">
        <v>16</v>
      </c>
      <c r="C233" s="39"/>
    </row>
    <row r="234" spans="1:3" ht="13.2">
      <c r="A234" s="372"/>
      <c r="B234" s="45" t="s">
        <v>46</v>
      </c>
      <c r="C234" s="39"/>
    </row>
    <row r="235" spans="1:3" ht="13.2">
      <c r="A235" s="372"/>
      <c r="B235" s="45" t="s">
        <v>17</v>
      </c>
      <c r="C235" s="39"/>
    </row>
    <row r="236" spans="1:3" ht="13.2">
      <c r="A236" s="372"/>
      <c r="B236" s="45" t="s">
        <v>47</v>
      </c>
      <c r="C236" s="39"/>
    </row>
    <row r="237" spans="1:3" ht="13.2">
      <c r="A237" s="372"/>
      <c r="B237" s="45" t="s">
        <v>62</v>
      </c>
      <c r="C237" s="29">
        <f>5500000</f>
        <v>5500000</v>
      </c>
    </row>
    <row r="238" spans="1:3" ht="13.2">
      <c r="A238" s="372"/>
      <c r="B238" s="45" t="s">
        <v>48</v>
      </c>
      <c r="C238" s="39"/>
    </row>
    <row r="239" spans="1:3" ht="13.2">
      <c r="A239" s="372"/>
      <c r="B239" s="45" t="s">
        <v>49</v>
      </c>
      <c r="C239" s="39"/>
    </row>
    <row r="240" spans="1:3" ht="13.2">
      <c r="A240" s="372"/>
      <c r="B240" s="28" t="s">
        <v>50</v>
      </c>
      <c r="C240" s="39"/>
    </row>
    <row r="241" spans="1:3" ht="13.2">
      <c r="A241" s="372"/>
      <c r="B241" s="28" t="s">
        <v>51</v>
      </c>
      <c r="C241" s="39"/>
    </row>
    <row r="242" spans="1:3" ht="13.2">
      <c r="A242" s="372"/>
      <c r="B242" s="28" t="s">
        <v>52</v>
      </c>
      <c r="C242" s="39"/>
    </row>
    <row r="243" spans="1:3" ht="13.2">
      <c r="A243" s="372"/>
      <c r="B243" s="28" t="s">
        <v>14</v>
      </c>
      <c r="C243" s="29"/>
    </row>
    <row r="244" spans="1:3" ht="13.2">
      <c r="A244" s="372"/>
      <c r="B244" s="28" t="s">
        <v>53</v>
      </c>
      <c r="C244" s="39"/>
    </row>
    <row r="245" spans="1:3" ht="13.2">
      <c r="A245" s="372"/>
      <c r="B245" s="28" t="s">
        <v>23</v>
      </c>
      <c r="C245" s="39"/>
    </row>
    <row r="246" spans="1:3" ht="13.2">
      <c r="A246" s="372"/>
      <c r="B246" s="28" t="s">
        <v>54</v>
      </c>
      <c r="C246" s="39"/>
    </row>
    <row r="247" spans="1:3" ht="13.2">
      <c r="A247" s="372"/>
      <c r="B247" s="28" t="s">
        <v>56</v>
      </c>
      <c r="C247" s="39"/>
    </row>
    <row r="248" spans="1:3" ht="13.2">
      <c r="A248" s="372"/>
      <c r="B248" s="28" t="s">
        <v>57</v>
      </c>
      <c r="C248" s="39"/>
    </row>
    <row r="249" spans="1:3" ht="13.2">
      <c r="A249" s="372"/>
      <c r="B249" s="28" t="s">
        <v>58</v>
      </c>
      <c r="C249" s="39"/>
    </row>
    <row r="250" spans="1:3" ht="13.2">
      <c r="A250" s="372"/>
      <c r="B250" s="28" t="s">
        <v>59</v>
      </c>
      <c r="C250" s="39"/>
    </row>
    <row r="251" spans="1:3" ht="13.2">
      <c r="A251" s="373"/>
      <c r="B251" s="28" t="s">
        <v>60</v>
      </c>
      <c r="C251" s="29"/>
    </row>
    <row r="252" spans="1:3" ht="13.2">
      <c r="A252" s="376">
        <v>45839</v>
      </c>
      <c r="B252" s="28" t="s">
        <v>18</v>
      </c>
      <c r="C252" s="29">
        <f>6595000+3823000+5730000+8083000+4653000+7950000+4797000+8000000+6450000+3932000</f>
        <v>60013000</v>
      </c>
    </row>
    <row r="253" spans="1:3" ht="13.2">
      <c r="A253" s="372"/>
      <c r="B253" s="45" t="s">
        <v>33</v>
      </c>
      <c r="C253" s="39"/>
    </row>
    <row r="254" spans="1:3" ht="13.2">
      <c r="A254" s="372"/>
      <c r="B254" s="45" t="s">
        <v>41</v>
      </c>
      <c r="C254" s="39"/>
    </row>
    <row r="255" spans="1:3" ht="13.2">
      <c r="A255" s="372"/>
      <c r="B255" s="45" t="s">
        <v>64</v>
      </c>
      <c r="C255" s="39">
        <f>382000+291000</f>
        <v>673000</v>
      </c>
    </row>
    <row r="256" spans="1:3" ht="13.2">
      <c r="A256" s="372"/>
      <c r="B256" s="45" t="s">
        <v>61</v>
      </c>
      <c r="C256" s="39">
        <f>132000</f>
        <v>132000</v>
      </c>
    </row>
    <row r="257" spans="1:3" ht="13.2">
      <c r="A257" s="372"/>
      <c r="B257" s="45" t="s">
        <v>44</v>
      </c>
      <c r="C257" s="39">
        <f>222000+98000+114000+235000</f>
        <v>669000</v>
      </c>
    </row>
    <row r="258" spans="1:3" ht="13.2">
      <c r="A258" s="372"/>
      <c r="B258" s="45" t="s">
        <v>45</v>
      </c>
      <c r="C258" s="39"/>
    </row>
    <row r="259" spans="1:3" ht="13.2">
      <c r="A259" s="372"/>
      <c r="B259" s="42" t="s">
        <v>16</v>
      </c>
      <c r="C259" s="39"/>
    </row>
    <row r="260" spans="1:3" ht="13.2">
      <c r="A260" s="372"/>
      <c r="B260" s="45" t="s">
        <v>46</v>
      </c>
      <c r="C260" s="39"/>
    </row>
    <row r="261" spans="1:3" ht="13.2">
      <c r="A261" s="372"/>
      <c r="B261" s="45" t="s">
        <v>17</v>
      </c>
      <c r="C261" s="39"/>
    </row>
    <row r="262" spans="1:3" ht="13.2">
      <c r="A262" s="372"/>
      <c r="B262" s="45" t="s">
        <v>47</v>
      </c>
      <c r="C262" s="39"/>
    </row>
    <row r="263" spans="1:3" ht="13.2">
      <c r="A263" s="372"/>
      <c r="B263" s="45" t="s">
        <v>62</v>
      </c>
      <c r="C263" s="29">
        <f>7770000+1728000</f>
        <v>9498000</v>
      </c>
    </row>
    <row r="264" spans="1:3" ht="13.2">
      <c r="A264" s="372"/>
      <c r="B264" s="45" t="s">
        <v>48</v>
      </c>
      <c r="C264" s="39"/>
    </row>
    <row r="265" spans="1:3" ht="13.2">
      <c r="A265" s="372"/>
      <c r="B265" s="45" t="s">
        <v>49</v>
      </c>
      <c r="C265" s="39"/>
    </row>
    <row r="266" spans="1:3" ht="13.2">
      <c r="A266" s="372"/>
      <c r="B266" s="28" t="s">
        <v>50</v>
      </c>
      <c r="C266" s="39"/>
    </row>
    <row r="267" spans="1:3" ht="13.2">
      <c r="A267" s="372"/>
      <c r="B267" s="28" t="s">
        <v>51</v>
      </c>
      <c r="C267" s="39"/>
    </row>
    <row r="268" spans="1:3" ht="13.2">
      <c r="A268" s="372"/>
      <c r="B268" s="28" t="s">
        <v>52</v>
      </c>
      <c r="C268" s="39"/>
    </row>
    <row r="269" spans="1:3" ht="13.2">
      <c r="A269" s="372"/>
      <c r="B269" s="28" t="s">
        <v>14</v>
      </c>
      <c r="C269" s="29"/>
    </row>
    <row r="270" spans="1:3" ht="13.2">
      <c r="A270" s="372"/>
      <c r="B270" s="28" t="s">
        <v>53</v>
      </c>
      <c r="C270" s="39"/>
    </row>
    <row r="271" spans="1:3" ht="13.2">
      <c r="A271" s="372"/>
      <c r="B271" s="28" t="s">
        <v>23</v>
      </c>
      <c r="C271" s="39"/>
    </row>
    <row r="272" spans="1:3" ht="13.2">
      <c r="A272" s="372"/>
      <c r="B272" s="28" t="s">
        <v>54</v>
      </c>
      <c r="C272" s="39"/>
    </row>
    <row r="273" spans="1:3" ht="13.2">
      <c r="A273" s="372"/>
      <c r="B273" s="28" t="s">
        <v>56</v>
      </c>
      <c r="C273" s="39"/>
    </row>
    <row r="274" spans="1:3" ht="13.2">
      <c r="A274" s="372"/>
      <c r="B274" s="28" t="s">
        <v>57</v>
      </c>
      <c r="C274" s="39"/>
    </row>
    <row r="275" spans="1:3" ht="13.2">
      <c r="A275" s="372"/>
      <c r="B275" s="28" t="s">
        <v>58</v>
      </c>
      <c r="C275" s="39"/>
    </row>
    <row r="276" spans="1:3" ht="13.2">
      <c r="A276" s="372"/>
      <c r="B276" s="28" t="s">
        <v>59</v>
      </c>
      <c r="C276" s="39"/>
    </row>
    <row r="277" spans="1:3" ht="13.2">
      <c r="A277" s="373"/>
      <c r="B277" s="28" t="s">
        <v>60</v>
      </c>
      <c r="C277" s="29"/>
    </row>
    <row r="278" spans="1:3" ht="13.2">
      <c r="A278" s="376">
        <v>45870</v>
      </c>
      <c r="B278" s="28" t="s">
        <v>18</v>
      </c>
      <c r="C278" s="29">
        <f>5000000+4470000+12306000+5825000+5519000</f>
        <v>33120000</v>
      </c>
    </row>
    <row r="279" spans="1:3" ht="13.2">
      <c r="A279" s="372"/>
      <c r="B279" s="45" t="s">
        <v>33</v>
      </c>
      <c r="C279" s="39"/>
    </row>
    <row r="280" spans="1:3" ht="13.2">
      <c r="A280" s="372"/>
      <c r="B280" s="45" t="s">
        <v>41</v>
      </c>
      <c r="C280" s="39"/>
    </row>
    <row r="281" spans="1:3" ht="13.2">
      <c r="A281" s="372"/>
      <c r="B281" s="45" t="s">
        <v>64</v>
      </c>
      <c r="C281" s="39"/>
    </row>
    <row r="282" spans="1:3" ht="13.2">
      <c r="A282" s="372"/>
      <c r="B282" s="45" t="s">
        <v>61</v>
      </c>
      <c r="C282" s="39">
        <f>254000+124000</f>
        <v>378000</v>
      </c>
    </row>
    <row r="283" spans="1:3" ht="13.2">
      <c r="A283" s="372"/>
      <c r="B283" s="45" t="s">
        <v>44</v>
      </c>
      <c r="C283" s="39">
        <f>105000+200000+114000+318000</f>
        <v>737000</v>
      </c>
    </row>
    <row r="284" spans="1:3" ht="13.2">
      <c r="A284" s="372"/>
      <c r="B284" s="45" t="s">
        <v>45</v>
      </c>
      <c r="C284" s="39"/>
    </row>
    <row r="285" spans="1:3" ht="13.2">
      <c r="A285" s="372"/>
      <c r="B285" s="42" t="s">
        <v>16</v>
      </c>
      <c r="C285" s="39"/>
    </row>
    <row r="286" spans="1:3" ht="13.2">
      <c r="A286" s="372"/>
      <c r="B286" s="45" t="s">
        <v>46</v>
      </c>
      <c r="C286" s="39"/>
    </row>
    <row r="287" spans="1:3" ht="13.2">
      <c r="A287" s="372"/>
      <c r="B287" s="45" t="s">
        <v>17</v>
      </c>
      <c r="C287" s="39"/>
    </row>
    <row r="288" spans="1:3" ht="13.2">
      <c r="A288" s="372"/>
      <c r="B288" s="45" t="s">
        <v>47</v>
      </c>
      <c r="C288" s="39"/>
    </row>
    <row r="289" spans="1:3" ht="13.2">
      <c r="A289" s="372"/>
      <c r="B289" s="45" t="s">
        <v>62</v>
      </c>
      <c r="C289" s="29">
        <f>5049000</f>
        <v>5049000</v>
      </c>
    </row>
    <row r="290" spans="1:3" ht="13.2">
      <c r="A290" s="372"/>
      <c r="B290" s="45" t="s">
        <v>48</v>
      </c>
      <c r="C290" s="39"/>
    </row>
    <row r="291" spans="1:3" ht="13.2">
      <c r="A291" s="372"/>
      <c r="B291" s="45" t="s">
        <v>49</v>
      </c>
      <c r="C291" s="39"/>
    </row>
    <row r="292" spans="1:3" ht="13.2">
      <c r="A292" s="372"/>
      <c r="B292" s="28" t="s">
        <v>50</v>
      </c>
      <c r="C292" s="39"/>
    </row>
    <row r="293" spans="1:3" ht="13.2">
      <c r="A293" s="372"/>
      <c r="B293" s="28" t="s">
        <v>51</v>
      </c>
      <c r="C293" s="39"/>
    </row>
    <row r="294" spans="1:3" ht="13.2">
      <c r="A294" s="372"/>
      <c r="B294" s="28" t="s">
        <v>52</v>
      </c>
      <c r="C294" s="39"/>
    </row>
    <row r="295" spans="1:3" ht="13.2">
      <c r="A295" s="372"/>
      <c r="B295" s="28" t="s">
        <v>14</v>
      </c>
      <c r="C295" s="29"/>
    </row>
    <row r="296" spans="1:3" ht="13.2">
      <c r="A296" s="372"/>
      <c r="B296" s="28" t="s">
        <v>53</v>
      </c>
      <c r="C296" s="39"/>
    </row>
    <row r="297" spans="1:3" ht="13.2">
      <c r="A297" s="372"/>
      <c r="B297" s="28" t="s">
        <v>23</v>
      </c>
      <c r="C297" s="39"/>
    </row>
    <row r="298" spans="1:3" ht="13.2">
      <c r="A298" s="372"/>
      <c r="B298" s="28" t="s">
        <v>54</v>
      </c>
      <c r="C298" s="39"/>
    </row>
    <row r="299" spans="1:3" ht="13.2">
      <c r="A299" s="372"/>
      <c r="B299" s="28" t="s">
        <v>56</v>
      </c>
      <c r="C299" s="39"/>
    </row>
    <row r="300" spans="1:3" ht="13.2">
      <c r="A300" s="372"/>
      <c r="B300" s="28" t="s">
        <v>57</v>
      </c>
      <c r="C300" s="39"/>
    </row>
    <row r="301" spans="1:3" ht="13.2">
      <c r="A301" s="372"/>
      <c r="B301" s="28" t="s">
        <v>58</v>
      </c>
      <c r="C301" s="39"/>
    </row>
    <row r="302" spans="1:3" ht="13.2">
      <c r="A302" s="372"/>
      <c r="B302" s="28" t="s">
        <v>59</v>
      </c>
      <c r="C302" s="39"/>
    </row>
    <row r="303" spans="1:3" ht="13.2">
      <c r="A303" s="373"/>
      <c r="B303" s="28" t="s">
        <v>60</v>
      </c>
      <c r="C303" s="29"/>
    </row>
    <row r="304" spans="1:3" ht="13.2">
      <c r="A304" s="376">
        <v>45901</v>
      </c>
      <c r="B304" s="28" t="s">
        <v>18</v>
      </c>
      <c r="C304" s="29">
        <f>6580000+7570000+10000000+12000000+4930000+13608000</f>
        <v>54688000</v>
      </c>
    </row>
    <row r="305" spans="1:3" ht="13.2">
      <c r="A305" s="372"/>
      <c r="B305" s="45" t="s">
        <v>33</v>
      </c>
      <c r="C305" s="39"/>
    </row>
    <row r="306" spans="1:3" ht="13.2">
      <c r="A306" s="372"/>
      <c r="B306" s="45" t="s">
        <v>41</v>
      </c>
      <c r="C306" s="39"/>
    </row>
    <row r="307" spans="1:3" ht="13.2">
      <c r="A307" s="372"/>
      <c r="B307" s="45" t="s">
        <v>64</v>
      </c>
      <c r="C307" s="39">
        <f>476000+378000</f>
        <v>854000</v>
      </c>
    </row>
    <row r="308" spans="1:3" ht="13.2">
      <c r="A308" s="372"/>
      <c r="B308" s="45" t="s">
        <v>61</v>
      </c>
      <c r="C308" s="39"/>
    </row>
    <row r="309" spans="1:3" ht="13.2">
      <c r="A309" s="372"/>
      <c r="B309" s="45" t="s">
        <v>44</v>
      </c>
      <c r="C309" s="39">
        <f>202000+102000+217000</f>
        <v>521000</v>
      </c>
    </row>
    <row r="310" spans="1:3" ht="13.2">
      <c r="A310" s="372"/>
      <c r="B310" s="45" t="s">
        <v>45</v>
      </c>
      <c r="C310" s="39"/>
    </row>
    <row r="311" spans="1:3" ht="13.2">
      <c r="A311" s="372"/>
      <c r="B311" s="42" t="s">
        <v>16</v>
      </c>
      <c r="C311" s="39"/>
    </row>
    <row r="312" spans="1:3" ht="13.2">
      <c r="A312" s="372"/>
      <c r="B312" s="45" t="s">
        <v>46</v>
      </c>
      <c r="C312" s="39"/>
    </row>
    <row r="313" spans="1:3" ht="13.2">
      <c r="A313" s="372"/>
      <c r="B313" s="45" t="s">
        <v>17</v>
      </c>
      <c r="C313" s="39"/>
    </row>
    <row r="314" spans="1:3" ht="13.2">
      <c r="A314" s="372"/>
      <c r="B314" s="45" t="s">
        <v>47</v>
      </c>
      <c r="C314" s="39"/>
    </row>
    <row r="315" spans="1:3" ht="13.2">
      <c r="A315" s="372"/>
      <c r="B315" s="45" t="s">
        <v>62</v>
      </c>
      <c r="C315" s="29">
        <f>12960000</f>
        <v>12960000</v>
      </c>
    </row>
    <row r="316" spans="1:3" ht="13.2">
      <c r="A316" s="372"/>
      <c r="B316" s="45" t="s">
        <v>48</v>
      </c>
      <c r="C316" s="39"/>
    </row>
    <row r="317" spans="1:3" ht="13.2">
      <c r="A317" s="372"/>
      <c r="B317" s="45" t="s">
        <v>49</v>
      </c>
      <c r="C317" s="39"/>
    </row>
    <row r="318" spans="1:3" ht="13.2">
      <c r="A318" s="372"/>
      <c r="B318" s="28" t="s">
        <v>50</v>
      </c>
      <c r="C318" s="39"/>
    </row>
    <row r="319" spans="1:3" ht="13.2">
      <c r="A319" s="372"/>
      <c r="B319" s="28" t="s">
        <v>51</v>
      </c>
      <c r="C319" s="39"/>
    </row>
    <row r="320" spans="1:3" ht="13.2">
      <c r="A320" s="372"/>
      <c r="B320" s="28" t="s">
        <v>52</v>
      </c>
      <c r="C320" s="39"/>
    </row>
    <row r="321" spans="1:3" ht="13.2">
      <c r="A321" s="372"/>
      <c r="B321" s="28" t="s">
        <v>14</v>
      </c>
      <c r="C321" s="29">
        <v>108000</v>
      </c>
    </row>
    <row r="322" spans="1:3" ht="13.2">
      <c r="A322" s="372"/>
      <c r="B322" s="28" t="s">
        <v>53</v>
      </c>
      <c r="C322" s="39"/>
    </row>
    <row r="323" spans="1:3" ht="13.2">
      <c r="A323" s="372"/>
      <c r="B323" s="28" t="s">
        <v>23</v>
      </c>
      <c r="C323" s="39"/>
    </row>
    <row r="324" spans="1:3" ht="13.2">
      <c r="A324" s="372"/>
      <c r="B324" s="28" t="s">
        <v>54</v>
      </c>
      <c r="C324" s="39"/>
    </row>
    <row r="325" spans="1:3" ht="13.2">
      <c r="A325" s="372"/>
      <c r="B325" s="28" t="s">
        <v>56</v>
      </c>
      <c r="C325" s="29">
        <v>200000</v>
      </c>
    </row>
    <row r="326" spans="1:3" ht="13.2">
      <c r="A326" s="372"/>
      <c r="B326" s="28" t="s">
        <v>57</v>
      </c>
      <c r="C326" s="39"/>
    </row>
    <row r="327" spans="1:3" ht="13.2">
      <c r="A327" s="372"/>
      <c r="B327" s="28" t="s">
        <v>58</v>
      </c>
      <c r="C327" s="39"/>
    </row>
    <row r="328" spans="1:3" ht="13.2">
      <c r="A328" s="372"/>
      <c r="B328" s="28" t="s">
        <v>59</v>
      </c>
      <c r="C328" s="39"/>
    </row>
    <row r="329" spans="1:3" ht="13.2">
      <c r="A329" s="373"/>
      <c r="B329" s="28" t="s">
        <v>60</v>
      </c>
      <c r="C329" s="29"/>
    </row>
    <row r="330" spans="1:3" ht="13.2">
      <c r="A330" s="376">
        <v>45931</v>
      </c>
      <c r="B330" s="28" t="s">
        <v>18</v>
      </c>
      <c r="C330" s="29">
        <f>11600000+7650000+4536000+10196000+3977000+1080000+6383000+20000000</f>
        <v>65422000</v>
      </c>
    </row>
    <row r="331" spans="1:3" ht="13.2">
      <c r="A331" s="372"/>
      <c r="B331" s="45" t="s">
        <v>33</v>
      </c>
      <c r="C331" s="39"/>
    </row>
    <row r="332" spans="1:3" ht="13.2">
      <c r="A332" s="372"/>
      <c r="B332" s="45" t="s">
        <v>41</v>
      </c>
      <c r="C332" s="39"/>
    </row>
    <row r="333" spans="1:3" ht="13.2">
      <c r="A333" s="372"/>
      <c r="B333" s="45" t="s">
        <v>64</v>
      </c>
      <c r="C333" s="39">
        <f>628000</f>
        <v>628000</v>
      </c>
    </row>
    <row r="334" spans="1:3" ht="13.2">
      <c r="A334" s="372"/>
      <c r="B334" s="45" t="s">
        <v>61</v>
      </c>
      <c r="C334" s="39"/>
    </row>
    <row r="335" spans="1:3" ht="13.2">
      <c r="A335" s="372"/>
      <c r="B335" s="45" t="s">
        <v>44</v>
      </c>
      <c r="C335" s="39">
        <f>522000+161000</f>
        <v>683000</v>
      </c>
    </row>
    <row r="336" spans="1:3" ht="13.2">
      <c r="A336" s="372"/>
      <c r="B336" s="45" t="s">
        <v>45</v>
      </c>
      <c r="C336" s="39"/>
    </row>
    <row r="337" spans="1:3" ht="13.2">
      <c r="A337" s="372"/>
      <c r="B337" s="42" t="s">
        <v>16</v>
      </c>
      <c r="C337" s="39"/>
    </row>
    <row r="338" spans="1:3" ht="13.2">
      <c r="A338" s="372"/>
      <c r="B338" s="45" t="s">
        <v>46</v>
      </c>
      <c r="C338" s="39"/>
    </row>
    <row r="339" spans="1:3" ht="13.2">
      <c r="A339" s="372"/>
      <c r="B339" s="45" t="s">
        <v>17</v>
      </c>
      <c r="C339" s="39"/>
    </row>
    <row r="340" spans="1:3" ht="13.2">
      <c r="A340" s="372"/>
      <c r="B340" s="45" t="s">
        <v>47</v>
      </c>
      <c r="C340" s="39"/>
    </row>
    <row r="341" spans="1:3" ht="13.2">
      <c r="A341" s="372"/>
      <c r="B341" s="45" t="s">
        <v>62</v>
      </c>
      <c r="C341" s="29">
        <f>7209000</f>
        <v>7209000</v>
      </c>
    </row>
    <row r="342" spans="1:3" ht="13.2">
      <c r="A342" s="372"/>
      <c r="B342" s="45" t="s">
        <v>48</v>
      </c>
      <c r="C342" s="39"/>
    </row>
    <row r="343" spans="1:3" ht="13.2">
      <c r="A343" s="372"/>
      <c r="B343" s="45" t="s">
        <v>49</v>
      </c>
      <c r="C343" s="39"/>
    </row>
    <row r="344" spans="1:3" ht="13.2">
      <c r="A344" s="372"/>
      <c r="B344" s="28" t="s">
        <v>50</v>
      </c>
      <c r="C344" s="39"/>
    </row>
    <row r="345" spans="1:3" ht="13.2">
      <c r="A345" s="372"/>
      <c r="B345" s="28" t="s">
        <v>51</v>
      </c>
      <c r="C345" s="39"/>
    </row>
    <row r="346" spans="1:3" ht="13.2">
      <c r="A346" s="372"/>
      <c r="B346" s="28" t="s">
        <v>52</v>
      </c>
      <c r="C346" s="39"/>
    </row>
    <row r="347" spans="1:3" ht="13.2">
      <c r="A347" s="372"/>
      <c r="B347" s="28" t="s">
        <v>14</v>
      </c>
      <c r="C347" s="29">
        <v>108000</v>
      </c>
    </row>
    <row r="348" spans="1:3" ht="13.2">
      <c r="A348" s="372"/>
      <c r="B348" s="28" t="s">
        <v>53</v>
      </c>
      <c r="C348" s="39">
        <f>131000</f>
        <v>131000</v>
      </c>
    </row>
    <row r="349" spans="1:3" ht="13.2">
      <c r="A349" s="372"/>
      <c r="B349" s="28" t="s">
        <v>23</v>
      </c>
      <c r="C349" s="39"/>
    </row>
    <row r="350" spans="1:3" ht="13.2">
      <c r="A350" s="372"/>
      <c r="B350" s="28" t="s">
        <v>54</v>
      </c>
      <c r="C350" s="39"/>
    </row>
    <row r="351" spans="1:3" ht="13.2">
      <c r="A351" s="372"/>
      <c r="B351" s="28" t="s">
        <v>56</v>
      </c>
      <c r="C351" s="29">
        <v>200000</v>
      </c>
    </row>
    <row r="352" spans="1:3" ht="13.2">
      <c r="A352" s="372"/>
      <c r="B352" s="28" t="s">
        <v>57</v>
      </c>
      <c r="C352" s="39"/>
    </row>
    <row r="353" spans="1:3" ht="13.2">
      <c r="A353" s="372"/>
      <c r="B353" s="28" t="s">
        <v>58</v>
      </c>
      <c r="C353" s="39"/>
    </row>
    <row r="354" spans="1:3" ht="13.2">
      <c r="A354" s="372"/>
      <c r="B354" s="28" t="s">
        <v>59</v>
      </c>
      <c r="C354" s="39"/>
    </row>
    <row r="355" spans="1:3" ht="13.2">
      <c r="A355" s="373"/>
      <c r="B355" s="28" t="s">
        <v>60</v>
      </c>
      <c r="C355" s="29"/>
    </row>
    <row r="356" spans="1:3" ht="13.2">
      <c r="A356" s="376">
        <v>45962</v>
      </c>
      <c r="B356" s="28" t="s">
        <v>18</v>
      </c>
      <c r="C356" s="29">
        <f>5516000+7840000+3940000+5918000</f>
        <v>23214000</v>
      </c>
    </row>
    <row r="357" spans="1:3" ht="13.2">
      <c r="A357" s="372"/>
      <c r="B357" s="45" t="s">
        <v>33</v>
      </c>
      <c r="C357" s="39"/>
    </row>
    <row r="358" spans="1:3" ht="13.2">
      <c r="A358" s="372"/>
      <c r="B358" s="45" t="s">
        <v>41</v>
      </c>
      <c r="C358" s="39"/>
    </row>
    <row r="359" spans="1:3" ht="13.2">
      <c r="A359" s="372"/>
      <c r="B359" s="45" t="s">
        <v>64</v>
      </c>
      <c r="C359" s="39"/>
    </row>
    <row r="360" spans="1:3" ht="13.2">
      <c r="A360" s="372"/>
      <c r="B360" s="45" t="s">
        <v>61</v>
      </c>
      <c r="C360" s="39"/>
    </row>
    <row r="361" spans="1:3" ht="13.2">
      <c r="A361" s="372"/>
      <c r="B361" s="45" t="s">
        <v>44</v>
      </c>
      <c r="C361" s="39">
        <f>243000</f>
        <v>243000</v>
      </c>
    </row>
    <row r="362" spans="1:3" ht="13.2">
      <c r="A362" s="372"/>
      <c r="B362" s="45" t="s">
        <v>45</v>
      </c>
      <c r="C362" s="39"/>
    </row>
    <row r="363" spans="1:3" ht="13.2">
      <c r="A363" s="372"/>
      <c r="B363" s="42" t="s">
        <v>16</v>
      </c>
      <c r="C363" s="39"/>
    </row>
    <row r="364" spans="1:3" ht="13.2">
      <c r="A364" s="372"/>
      <c r="B364" s="45" t="s">
        <v>46</v>
      </c>
      <c r="C364" s="39"/>
    </row>
    <row r="365" spans="1:3" ht="13.2">
      <c r="A365" s="372"/>
      <c r="B365" s="45" t="s">
        <v>17</v>
      </c>
      <c r="C365" s="39"/>
    </row>
    <row r="366" spans="1:3" ht="13.2">
      <c r="A366" s="372"/>
      <c r="B366" s="45" t="s">
        <v>47</v>
      </c>
      <c r="C366" s="39"/>
    </row>
    <row r="367" spans="1:3" ht="13.2">
      <c r="A367" s="372"/>
      <c r="B367" s="45" t="s">
        <v>62</v>
      </c>
      <c r="C367" s="29">
        <f>8640000</f>
        <v>8640000</v>
      </c>
    </row>
    <row r="368" spans="1:3" ht="13.2">
      <c r="A368" s="372"/>
      <c r="B368" s="45" t="s">
        <v>48</v>
      </c>
      <c r="C368" s="39">
        <f>32800+32700+16500+32800+16500+32800+32800+32700+16500+28700+37700+28700</f>
        <v>341200</v>
      </c>
    </row>
    <row r="369" spans="1:3" ht="13.2">
      <c r="A369" s="372"/>
      <c r="B369" s="45" t="s">
        <v>49</v>
      </c>
      <c r="C369" s="39"/>
    </row>
    <row r="370" spans="1:3" ht="13.2">
      <c r="A370" s="372"/>
      <c r="B370" s="28" t="s">
        <v>50</v>
      </c>
      <c r="C370" s="39"/>
    </row>
    <row r="371" spans="1:3" ht="13.2">
      <c r="A371" s="372"/>
      <c r="B371" s="28" t="s">
        <v>51</v>
      </c>
      <c r="C371" s="39"/>
    </row>
    <row r="372" spans="1:3" ht="13.2">
      <c r="A372" s="372"/>
      <c r="B372" s="28" t="s">
        <v>52</v>
      </c>
      <c r="C372" s="39"/>
    </row>
    <row r="373" spans="1:3" ht="13.2">
      <c r="A373" s="372"/>
      <c r="B373" s="28" t="s">
        <v>14</v>
      </c>
      <c r="C373" s="29"/>
    </row>
    <row r="374" spans="1:3" ht="13.2">
      <c r="A374" s="372"/>
      <c r="B374" s="28" t="s">
        <v>53</v>
      </c>
      <c r="C374" s="39"/>
    </row>
    <row r="375" spans="1:3" ht="13.2">
      <c r="A375" s="372"/>
      <c r="B375" s="28" t="s">
        <v>23</v>
      </c>
      <c r="C375" s="39"/>
    </row>
    <row r="376" spans="1:3" ht="13.2">
      <c r="A376" s="372"/>
      <c r="B376" s="28" t="s">
        <v>54</v>
      </c>
      <c r="C376" s="39"/>
    </row>
    <row r="377" spans="1:3" ht="13.2">
      <c r="A377" s="372"/>
      <c r="B377" s="28" t="s">
        <v>56</v>
      </c>
      <c r="C377" s="29"/>
    </row>
    <row r="378" spans="1:3" ht="13.2">
      <c r="A378" s="372"/>
      <c r="B378" s="28" t="s">
        <v>57</v>
      </c>
      <c r="C378" s="39"/>
    </row>
    <row r="379" spans="1:3" ht="13.2">
      <c r="A379" s="372"/>
      <c r="B379" s="28" t="s">
        <v>58</v>
      </c>
      <c r="C379" s="39"/>
    </row>
    <row r="380" spans="1:3" ht="13.2">
      <c r="A380" s="372"/>
      <c r="B380" s="28" t="s">
        <v>59</v>
      </c>
      <c r="C380" s="39"/>
    </row>
    <row r="381" spans="1:3" ht="13.2">
      <c r="A381" s="373"/>
      <c r="B381" s="28" t="s">
        <v>60</v>
      </c>
      <c r="C381" s="29"/>
    </row>
    <row r="382" spans="1:3" ht="13.2">
      <c r="A382" s="376">
        <v>45992</v>
      </c>
      <c r="B382" s="28" t="s">
        <v>18</v>
      </c>
      <c r="C382" s="29">
        <f>3935000+3231000+5762000+9872000+25000000</f>
        <v>47800000</v>
      </c>
    </row>
    <row r="383" spans="1:3" ht="13.2">
      <c r="A383" s="372"/>
      <c r="B383" s="45" t="s">
        <v>61</v>
      </c>
      <c r="C383" s="39">
        <f>183000</f>
        <v>183000</v>
      </c>
    </row>
    <row r="384" spans="1:3" ht="13.2">
      <c r="A384" s="372"/>
      <c r="B384" s="45" t="s">
        <v>44</v>
      </c>
      <c r="C384" s="39">
        <f>243000</f>
        <v>243000</v>
      </c>
    </row>
    <row r="385" spans="1:3" ht="13.2">
      <c r="A385" s="373"/>
      <c r="B385" s="45" t="s">
        <v>62</v>
      </c>
      <c r="C385" s="29">
        <f>4752000</f>
        <v>4752000</v>
      </c>
    </row>
    <row r="386" spans="1:3" ht="13.2">
      <c r="A386" s="376">
        <v>46023</v>
      </c>
      <c r="B386" s="28" t="s">
        <v>18</v>
      </c>
      <c r="C386" s="29">
        <f>9300000+2621000</f>
        <v>11921000</v>
      </c>
    </row>
    <row r="387" spans="1:3" ht="13.2">
      <c r="A387" s="372"/>
      <c r="B387" s="45" t="s">
        <v>64</v>
      </c>
      <c r="C387" s="39">
        <f>46000+598000</f>
        <v>644000</v>
      </c>
    </row>
    <row r="388" spans="1:3" ht="13.2">
      <c r="A388" s="372"/>
      <c r="B388" s="45" t="s">
        <v>61</v>
      </c>
      <c r="C388" s="39">
        <f>180000+110000</f>
        <v>290000</v>
      </c>
    </row>
    <row r="389" spans="1:3" ht="13.2">
      <c r="A389" s="373"/>
      <c r="B389" s="45" t="s">
        <v>44</v>
      </c>
      <c r="C389" s="39">
        <f>109000</f>
        <v>109000</v>
      </c>
    </row>
    <row r="390" spans="1:3" ht="13.2">
      <c r="A390" s="376">
        <v>46054</v>
      </c>
      <c r="B390" s="28" t="s">
        <v>18</v>
      </c>
      <c r="C390" s="29">
        <f>5820000+23350000+12438000</f>
        <v>41608000</v>
      </c>
    </row>
    <row r="391" spans="1:3" ht="13.2">
      <c r="A391" s="372"/>
      <c r="B391" s="45" t="s">
        <v>41</v>
      </c>
      <c r="C391" s="39">
        <f>37700+63020+45000+37700+65500+45000</f>
        <v>293920</v>
      </c>
    </row>
    <row r="392" spans="1:3" ht="13.2">
      <c r="A392" s="372"/>
      <c r="B392" s="45" t="s">
        <v>64</v>
      </c>
      <c r="C392" s="39">
        <f>185000</f>
        <v>185000</v>
      </c>
    </row>
    <row r="393" spans="1:3" ht="13.2">
      <c r="A393" s="372"/>
      <c r="B393" s="45" t="s">
        <v>44</v>
      </c>
      <c r="C393" s="39">
        <f>105000</f>
        <v>105000</v>
      </c>
    </row>
    <row r="394" spans="1:3" ht="13.2">
      <c r="A394" s="373"/>
      <c r="B394" s="45" t="s">
        <v>62</v>
      </c>
      <c r="C394" s="29">
        <f>7884000+1026000+2100000</f>
        <v>11010000</v>
      </c>
    </row>
    <row r="395" spans="1:3" ht="13.2">
      <c r="A395" s="376">
        <v>46082</v>
      </c>
      <c r="B395" s="28" t="s">
        <v>18</v>
      </c>
      <c r="C395" s="29">
        <f>7448000+3212000+4762000+6101000+3627000+718000+3812000+856000</f>
        <v>30536000</v>
      </c>
    </row>
    <row r="396" spans="1:3" ht="13.2">
      <c r="A396" s="372"/>
      <c r="B396" s="45" t="s">
        <v>64</v>
      </c>
      <c r="C396" s="29">
        <v>90000</v>
      </c>
    </row>
    <row r="397" spans="1:3" ht="13.2">
      <c r="A397" s="372"/>
      <c r="B397" s="45" t="s">
        <v>61</v>
      </c>
      <c r="C397" s="39">
        <f>173000</f>
        <v>173000</v>
      </c>
    </row>
    <row r="398" spans="1:3" ht="13.2">
      <c r="A398" s="372"/>
      <c r="B398" s="45" t="s">
        <v>44</v>
      </c>
      <c r="C398" s="39">
        <f>205000</f>
        <v>205000</v>
      </c>
    </row>
    <row r="399" spans="1:3" ht="13.2">
      <c r="A399" s="373"/>
      <c r="B399" s="45" t="s">
        <v>62</v>
      </c>
      <c r="C399" s="29">
        <f>5050000</f>
        <v>5050000</v>
      </c>
    </row>
    <row r="400" spans="1:3" ht="13.2">
      <c r="A400" s="376">
        <v>46113</v>
      </c>
      <c r="B400" s="28" t="s">
        <v>18</v>
      </c>
      <c r="C400" s="29">
        <f>5086000+3571000+4000000+7880000+5158000</f>
        <v>25695000</v>
      </c>
    </row>
    <row r="401" spans="1:3" ht="13.2">
      <c r="A401" s="372"/>
      <c r="B401" s="45" t="s">
        <v>64</v>
      </c>
      <c r="C401" s="29">
        <f>100000</f>
        <v>100000</v>
      </c>
    </row>
    <row r="402" spans="1:3" ht="13.2">
      <c r="A402" s="372"/>
      <c r="B402" s="45" t="s">
        <v>62</v>
      </c>
      <c r="C402" s="29">
        <f>4270000</f>
        <v>4270000</v>
      </c>
    </row>
    <row r="403" spans="1:3" ht="13.2">
      <c r="A403" s="372"/>
      <c r="B403" s="28" t="s">
        <v>51</v>
      </c>
      <c r="C403" s="39">
        <f>136000+118000</f>
        <v>254000</v>
      </c>
    </row>
    <row r="404" spans="1:3" ht="13.2">
      <c r="A404" s="373"/>
      <c r="B404" s="28" t="s">
        <v>53</v>
      </c>
      <c r="C404" s="39">
        <f>144000</f>
        <v>144000</v>
      </c>
    </row>
    <row r="405" spans="1:3" ht="13.2">
      <c r="A405" s="376">
        <v>46143</v>
      </c>
      <c r="B405" s="28" t="s">
        <v>18</v>
      </c>
      <c r="C405" s="29">
        <f>5049000+2000000+1165000+1400000+2500000</f>
        <v>12114000</v>
      </c>
    </row>
    <row r="406" spans="1:3" ht="13.2">
      <c r="A406" s="372"/>
      <c r="B406" s="45" t="s">
        <v>44</v>
      </c>
      <c r="C406" s="39">
        <f>179000+154000+127000</f>
        <v>460000</v>
      </c>
    </row>
    <row r="407" spans="1:3" ht="13.2">
      <c r="A407" s="373"/>
      <c r="B407" s="45" t="s">
        <v>62</v>
      </c>
      <c r="C407" s="29">
        <f>5900000</f>
        <v>5900000</v>
      </c>
    </row>
    <row r="408" spans="1:3" ht="13.2">
      <c r="A408" s="376">
        <v>46174</v>
      </c>
      <c r="B408" s="28" t="s">
        <v>18</v>
      </c>
      <c r="C408" s="29"/>
    </row>
    <row r="409" spans="1:3" ht="13.2">
      <c r="A409" s="372"/>
      <c r="B409" s="45" t="s">
        <v>33</v>
      </c>
      <c r="C409" s="39"/>
    </row>
    <row r="410" spans="1:3" ht="13.2">
      <c r="A410" s="372"/>
      <c r="B410" s="45" t="s">
        <v>41</v>
      </c>
      <c r="C410" s="39"/>
    </row>
    <row r="411" spans="1:3" ht="13.2">
      <c r="A411" s="372"/>
      <c r="B411" s="45" t="s">
        <v>64</v>
      </c>
      <c r="C411" s="29"/>
    </row>
    <row r="412" spans="1:3" ht="13.2">
      <c r="A412" s="372"/>
      <c r="B412" s="45" t="s">
        <v>61</v>
      </c>
      <c r="C412" s="39"/>
    </row>
    <row r="413" spans="1:3" ht="13.2">
      <c r="A413" s="372"/>
      <c r="B413" s="45" t="s">
        <v>44</v>
      </c>
      <c r="C413" s="39"/>
    </row>
    <row r="414" spans="1:3" ht="13.2">
      <c r="A414" s="372"/>
      <c r="B414" s="45" t="s">
        <v>45</v>
      </c>
      <c r="C414" s="39"/>
    </row>
    <row r="415" spans="1:3" ht="13.2">
      <c r="A415" s="372"/>
      <c r="B415" s="42" t="s">
        <v>16</v>
      </c>
      <c r="C415" s="39"/>
    </row>
    <row r="416" spans="1:3" ht="13.2">
      <c r="A416" s="372"/>
      <c r="B416" s="45" t="s">
        <v>46</v>
      </c>
      <c r="C416" s="39"/>
    </row>
    <row r="417" spans="1:3" ht="13.2">
      <c r="A417" s="372"/>
      <c r="B417" s="45" t="s">
        <v>17</v>
      </c>
      <c r="C417" s="39"/>
    </row>
    <row r="418" spans="1:3" ht="13.2">
      <c r="A418" s="372"/>
      <c r="B418" s="45" t="s">
        <v>47</v>
      </c>
      <c r="C418" s="39"/>
    </row>
    <row r="419" spans="1:3" ht="13.2">
      <c r="A419" s="372"/>
      <c r="B419" s="45" t="s">
        <v>62</v>
      </c>
      <c r="C419" s="29"/>
    </row>
    <row r="420" spans="1:3" ht="13.2">
      <c r="A420" s="372"/>
      <c r="B420" s="45" t="s">
        <v>48</v>
      </c>
      <c r="C420" s="39"/>
    </row>
    <row r="421" spans="1:3" ht="13.2">
      <c r="A421" s="372"/>
      <c r="B421" s="45" t="s">
        <v>49</v>
      </c>
      <c r="C421" s="39"/>
    </row>
    <row r="422" spans="1:3" ht="13.2">
      <c r="A422" s="372"/>
      <c r="B422" s="28" t="s">
        <v>50</v>
      </c>
      <c r="C422" s="39"/>
    </row>
    <row r="423" spans="1:3" ht="13.2">
      <c r="A423" s="372"/>
      <c r="B423" s="28" t="s">
        <v>51</v>
      </c>
      <c r="C423" s="39"/>
    </row>
    <row r="424" spans="1:3" ht="13.2">
      <c r="A424" s="372"/>
      <c r="B424" s="28" t="s">
        <v>52</v>
      </c>
      <c r="C424" s="39"/>
    </row>
    <row r="425" spans="1:3" ht="13.2">
      <c r="A425" s="372"/>
      <c r="B425" s="28" t="s">
        <v>14</v>
      </c>
      <c r="C425" s="29"/>
    </row>
    <row r="426" spans="1:3" ht="13.2">
      <c r="A426" s="372"/>
      <c r="B426" s="28" t="s">
        <v>53</v>
      </c>
      <c r="C426" s="39"/>
    </row>
    <row r="427" spans="1:3" ht="13.2">
      <c r="A427" s="372"/>
      <c r="B427" s="28" t="s">
        <v>23</v>
      </c>
      <c r="C427" s="39"/>
    </row>
    <row r="428" spans="1:3" ht="13.2">
      <c r="A428" s="372"/>
      <c r="B428" s="28" t="s">
        <v>54</v>
      </c>
      <c r="C428" s="39"/>
    </row>
    <row r="429" spans="1:3" ht="13.2">
      <c r="A429" s="372"/>
      <c r="B429" s="28" t="s">
        <v>56</v>
      </c>
      <c r="C429" s="29"/>
    </row>
    <row r="430" spans="1:3" ht="13.2">
      <c r="A430" s="372"/>
      <c r="B430" s="28" t="s">
        <v>57</v>
      </c>
      <c r="C430" s="39"/>
    </row>
    <row r="431" spans="1:3" ht="13.2">
      <c r="A431" s="372"/>
      <c r="B431" s="28" t="s">
        <v>58</v>
      </c>
      <c r="C431" s="39"/>
    </row>
    <row r="432" spans="1:3" ht="13.2">
      <c r="A432" s="372"/>
      <c r="B432" s="28" t="s">
        <v>59</v>
      </c>
      <c r="C432" s="39"/>
    </row>
    <row r="433" spans="1:3" ht="13.2">
      <c r="A433" s="373"/>
      <c r="B433" s="28" t="s">
        <v>60</v>
      </c>
      <c r="C433" s="29"/>
    </row>
    <row r="434" spans="1:3" ht="13.2">
      <c r="A434" s="49"/>
      <c r="C434" s="2"/>
    </row>
    <row r="435" spans="1:3" ht="13.2">
      <c r="A435" s="49"/>
      <c r="C435" s="2"/>
    </row>
    <row r="436" spans="1:3" ht="13.2">
      <c r="A436" s="49"/>
      <c r="C436" s="2"/>
    </row>
    <row r="437" spans="1:3" ht="13.2">
      <c r="A437" s="49"/>
      <c r="C437" s="2"/>
    </row>
    <row r="438" spans="1:3" ht="13.2">
      <c r="A438" s="49"/>
      <c r="C438" s="2"/>
    </row>
    <row r="439" spans="1:3" ht="13.2">
      <c r="A439" s="49"/>
      <c r="C439" s="2"/>
    </row>
    <row r="440" spans="1:3" ht="13.2">
      <c r="A440" s="49"/>
      <c r="C440" s="2"/>
    </row>
    <row r="441" spans="1:3" ht="13.2">
      <c r="A441" s="49"/>
      <c r="C441" s="2"/>
    </row>
    <row r="442" spans="1:3" ht="13.2">
      <c r="A442" s="49"/>
      <c r="C442" s="2"/>
    </row>
    <row r="443" spans="1:3" ht="13.2">
      <c r="A443" s="49"/>
      <c r="C443" s="2"/>
    </row>
    <row r="444" spans="1:3" ht="13.2">
      <c r="A444" s="49"/>
      <c r="C444" s="2"/>
    </row>
    <row r="445" spans="1:3" ht="13.2">
      <c r="A445" s="49"/>
      <c r="C445" s="2"/>
    </row>
    <row r="446" spans="1:3" ht="13.2">
      <c r="A446" s="49"/>
      <c r="C446" s="2"/>
    </row>
    <row r="447" spans="1:3" ht="13.2">
      <c r="A447" s="49"/>
      <c r="C447" s="2"/>
    </row>
    <row r="448" spans="1:3" ht="13.2">
      <c r="A448" s="49"/>
      <c r="C448" s="2"/>
    </row>
    <row r="449" spans="1:3" ht="13.2">
      <c r="A449" s="49"/>
      <c r="C449" s="2"/>
    </row>
    <row r="450" spans="1:3" ht="13.2">
      <c r="A450" s="49"/>
      <c r="C450" s="2"/>
    </row>
    <row r="451" spans="1:3" ht="13.2">
      <c r="A451" s="49"/>
      <c r="C451" s="2"/>
    </row>
    <row r="452" spans="1:3" ht="13.2">
      <c r="A452" s="49"/>
      <c r="C452" s="2"/>
    </row>
    <row r="453" spans="1:3" ht="13.2">
      <c r="A453" s="49"/>
      <c r="C453" s="2"/>
    </row>
    <row r="454" spans="1:3" ht="13.2">
      <c r="A454" s="49"/>
      <c r="C454" s="2"/>
    </row>
    <row r="455" spans="1:3" ht="13.2">
      <c r="A455" s="49"/>
      <c r="C455" s="2"/>
    </row>
    <row r="456" spans="1:3" ht="13.2">
      <c r="A456" s="49"/>
      <c r="C456" s="2"/>
    </row>
    <row r="457" spans="1:3" ht="13.2">
      <c r="A457" s="49"/>
      <c r="C457" s="2"/>
    </row>
    <row r="458" spans="1:3" ht="13.2">
      <c r="A458" s="49"/>
      <c r="C458" s="2"/>
    </row>
    <row r="459" spans="1:3" ht="13.2">
      <c r="A459" s="49"/>
      <c r="C459" s="2"/>
    </row>
    <row r="460" spans="1:3" ht="13.2">
      <c r="A460" s="49"/>
      <c r="C460" s="2"/>
    </row>
    <row r="461" spans="1:3" ht="13.2">
      <c r="A461" s="49"/>
      <c r="C461" s="2"/>
    </row>
    <row r="462" spans="1:3" ht="13.2">
      <c r="A462" s="49"/>
      <c r="C462" s="2"/>
    </row>
    <row r="463" spans="1:3" ht="13.2">
      <c r="A463" s="49"/>
      <c r="C463" s="2"/>
    </row>
    <row r="464" spans="1:3" ht="13.2">
      <c r="A464" s="49"/>
      <c r="C464" s="2"/>
    </row>
    <row r="465" spans="1:3" ht="13.2">
      <c r="A465" s="49"/>
      <c r="C465" s="2"/>
    </row>
    <row r="466" spans="1:3" ht="13.2">
      <c r="A466" s="49"/>
      <c r="C466" s="2"/>
    </row>
    <row r="467" spans="1:3" ht="13.2">
      <c r="A467" s="49"/>
      <c r="C467" s="2"/>
    </row>
    <row r="468" spans="1:3" ht="13.2">
      <c r="A468" s="49"/>
      <c r="C468" s="2"/>
    </row>
    <row r="469" spans="1:3" ht="13.2">
      <c r="A469" s="49"/>
      <c r="C469" s="2"/>
    </row>
    <row r="470" spans="1:3" ht="13.2">
      <c r="A470" s="49"/>
      <c r="C470" s="2"/>
    </row>
    <row r="471" spans="1:3" ht="13.2">
      <c r="A471" s="49"/>
      <c r="C471" s="2"/>
    </row>
    <row r="472" spans="1:3" ht="13.2">
      <c r="A472" s="49"/>
      <c r="C472" s="2"/>
    </row>
    <row r="473" spans="1:3" ht="13.2">
      <c r="A473" s="49"/>
      <c r="C473" s="2"/>
    </row>
    <row r="474" spans="1:3" ht="13.2">
      <c r="A474" s="49"/>
      <c r="C474" s="2"/>
    </row>
    <row r="475" spans="1:3" ht="13.2">
      <c r="A475" s="49"/>
      <c r="C475" s="2"/>
    </row>
    <row r="476" spans="1:3" ht="13.2">
      <c r="A476" s="49"/>
      <c r="C476" s="2"/>
    </row>
    <row r="477" spans="1:3" ht="13.2">
      <c r="A477" s="49"/>
      <c r="C477" s="2"/>
    </row>
    <row r="478" spans="1:3" ht="13.2">
      <c r="A478" s="49"/>
      <c r="C478" s="2"/>
    </row>
    <row r="479" spans="1:3" ht="13.2">
      <c r="A479" s="49"/>
      <c r="C479" s="2"/>
    </row>
    <row r="480" spans="1:3" ht="13.2">
      <c r="A480" s="49"/>
      <c r="C480" s="2"/>
    </row>
    <row r="481" spans="1:3" ht="13.2">
      <c r="A481" s="49"/>
      <c r="C481" s="2"/>
    </row>
    <row r="482" spans="1:3" ht="13.2">
      <c r="A482" s="49"/>
      <c r="C482" s="2"/>
    </row>
    <row r="483" spans="1:3" ht="13.2">
      <c r="A483" s="49"/>
      <c r="C483" s="2"/>
    </row>
    <row r="484" spans="1:3" ht="13.2">
      <c r="A484" s="49"/>
      <c r="C484" s="2"/>
    </row>
    <row r="485" spans="1:3" ht="13.2">
      <c r="A485" s="49"/>
      <c r="C485" s="2"/>
    </row>
    <row r="486" spans="1:3" ht="13.2">
      <c r="A486" s="49"/>
      <c r="C486" s="2"/>
    </row>
    <row r="487" spans="1:3" ht="13.2">
      <c r="A487" s="49"/>
      <c r="C487" s="2"/>
    </row>
    <row r="488" spans="1:3" ht="13.2">
      <c r="A488" s="49"/>
      <c r="C488" s="2"/>
    </row>
    <row r="489" spans="1:3" ht="13.2">
      <c r="A489" s="49"/>
      <c r="C489" s="2"/>
    </row>
    <row r="490" spans="1:3" ht="13.2">
      <c r="A490" s="49"/>
      <c r="C490" s="2"/>
    </row>
    <row r="491" spans="1:3" ht="13.2">
      <c r="A491" s="49"/>
      <c r="C491" s="2"/>
    </row>
    <row r="492" spans="1:3" ht="13.2">
      <c r="A492" s="49"/>
      <c r="C492" s="2"/>
    </row>
    <row r="493" spans="1:3" ht="13.2">
      <c r="A493" s="49"/>
      <c r="C493" s="2"/>
    </row>
    <row r="494" spans="1:3" ht="13.2">
      <c r="A494" s="49"/>
      <c r="C494" s="2"/>
    </row>
    <row r="495" spans="1:3" ht="13.2">
      <c r="A495" s="49"/>
      <c r="C495" s="2"/>
    </row>
    <row r="496" spans="1:3" ht="13.2">
      <c r="A496" s="49"/>
      <c r="C496" s="2"/>
    </row>
    <row r="497" spans="1:3" ht="13.2">
      <c r="A497" s="49"/>
      <c r="C497" s="2"/>
    </row>
    <row r="498" spans="1:3" ht="13.2">
      <c r="A498" s="49"/>
      <c r="C498" s="2"/>
    </row>
    <row r="499" spans="1:3" ht="13.2">
      <c r="A499" s="49"/>
      <c r="C499" s="2"/>
    </row>
    <row r="500" spans="1:3" ht="13.2">
      <c r="A500" s="49"/>
      <c r="C500" s="2"/>
    </row>
    <row r="501" spans="1:3" ht="13.2">
      <c r="A501" s="49"/>
      <c r="C501" s="2"/>
    </row>
    <row r="502" spans="1:3" ht="13.2">
      <c r="A502" s="49"/>
      <c r="C502" s="2"/>
    </row>
    <row r="503" spans="1:3" ht="13.2">
      <c r="A503" s="49"/>
      <c r="C503" s="2"/>
    </row>
    <row r="504" spans="1:3" ht="13.2">
      <c r="A504" s="49"/>
      <c r="C504" s="2"/>
    </row>
    <row r="505" spans="1:3" ht="13.2">
      <c r="A505" s="49"/>
      <c r="C505" s="2"/>
    </row>
    <row r="506" spans="1:3" ht="13.2">
      <c r="A506" s="49"/>
      <c r="C506" s="2"/>
    </row>
    <row r="507" spans="1:3" ht="13.2">
      <c r="A507" s="49"/>
      <c r="C507" s="2"/>
    </row>
    <row r="508" spans="1:3" ht="13.2">
      <c r="A508" s="49"/>
      <c r="C508" s="2"/>
    </row>
    <row r="509" spans="1:3" ht="13.2">
      <c r="A509" s="49"/>
      <c r="C509" s="2"/>
    </row>
    <row r="510" spans="1:3" ht="13.2">
      <c r="A510" s="49"/>
      <c r="C510" s="2"/>
    </row>
    <row r="511" spans="1:3" ht="13.2">
      <c r="A511" s="49"/>
      <c r="C511" s="2"/>
    </row>
    <row r="512" spans="1:3" ht="13.2">
      <c r="A512" s="49"/>
      <c r="C512" s="2"/>
    </row>
    <row r="513" spans="1:3" ht="13.2">
      <c r="A513" s="49"/>
      <c r="C513" s="2"/>
    </row>
    <row r="514" spans="1:3" ht="13.2">
      <c r="A514" s="49"/>
      <c r="C514" s="2"/>
    </row>
    <row r="515" spans="1:3" ht="13.2">
      <c r="A515" s="49"/>
      <c r="C515" s="2"/>
    </row>
    <row r="516" spans="1:3" ht="13.2">
      <c r="A516" s="49"/>
      <c r="C516" s="2"/>
    </row>
    <row r="517" spans="1:3" ht="13.2">
      <c r="A517" s="49"/>
      <c r="C517" s="2"/>
    </row>
    <row r="518" spans="1:3" ht="13.2">
      <c r="A518" s="49"/>
      <c r="C518" s="2"/>
    </row>
    <row r="519" spans="1:3" ht="13.2">
      <c r="A519" s="49"/>
      <c r="C519" s="2"/>
    </row>
    <row r="520" spans="1:3" ht="13.2">
      <c r="A520" s="49"/>
      <c r="C520" s="2"/>
    </row>
    <row r="521" spans="1:3" ht="13.2">
      <c r="A521" s="49"/>
      <c r="C521" s="2"/>
    </row>
    <row r="522" spans="1:3" ht="13.2">
      <c r="A522" s="49"/>
      <c r="C522" s="2"/>
    </row>
    <row r="523" spans="1:3" ht="13.2">
      <c r="A523" s="49"/>
      <c r="C523" s="2"/>
    </row>
    <row r="524" spans="1:3" ht="13.2">
      <c r="A524" s="49"/>
      <c r="C524" s="2"/>
    </row>
    <row r="525" spans="1:3" ht="13.2">
      <c r="A525" s="49"/>
      <c r="C525" s="2"/>
    </row>
    <row r="526" spans="1:3" ht="13.2">
      <c r="A526" s="49"/>
      <c r="C526" s="2"/>
    </row>
    <row r="527" spans="1:3" ht="13.2">
      <c r="A527" s="49"/>
      <c r="C527" s="2"/>
    </row>
    <row r="528" spans="1:3" ht="13.2">
      <c r="A528" s="49"/>
      <c r="C528" s="2"/>
    </row>
    <row r="529" spans="1:3" ht="13.2">
      <c r="A529" s="49"/>
      <c r="C529" s="2"/>
    </row>
    <row r="530" spans="1:3" ht="13.2">
      <c r="A530" s="49"/>
      <c r="C530" s="2"/>
    </row>
    <row r="531" spans="1:3" ht="13.2">
      <c r="A531" s="49"/>
      <c r="C531" s="2"/>
    </row>
    <row r="532" spans="1:3" ht="13.2">
      <c r="A532" s="49"/>
      <c r="C532" s="2"/>
    </row>
    <row r="533" spans="1:3" ht="13.2">
      <c r="A533" s="49"/>
      <c r="C533" s="2"/>
    </row>
    <row r="534" spans="1:3" ht="13.2">
      <c r="A534" s="49"/>
      <c r="C534" s="2"/>
    </row>
    <row r="535" spans="1:3" ht="13.2">
      <c r="A535" s="49"/>
      <c r="C535" s="2"/>
    </row>
    <row r="536" spans="1:3" ht="13.2">
      <c r="A536" s="49"/>
      <c r="C536" s="2"/>
    </row>
    <row r="537" spans="1:3" ht="13.2">
      <c r="A537" s="49"/>
      <c r="C537" s="2"/>
    </row>
    <row r="538" spans="1:3" ht="13.2">
      <c r="A538" s="49"/>
      <c r="C538" s="2"/>
    </row>
    <row r="539" spans="1:3" ht="13.2">
      <c r="A539" s="49"/>
      <c r="C539" s="2"/>
    </row>
    <row r="540" spans="1:3" ht="13.2">
      <c r="A540" s="49"/>
      <c r="C540" s="2"/>
    </row>
    <row r="541" spans="1:3" ht="13.2">
      <c r="A541" s="49"/>
      <c r="C541" s="2"/>
    </row>
    <row r="542" spans="1:3" ht="13.2">
      <c r="A542" s="49"/>
      <c r="C542" s="2"/>
    </row>
    <row r="543" spans="1:3" ht="13.2">
      <c r="A543" s="49"/>
      <c r="C543" s="2"/>
    </row>
    <row r="544" spans="1:3" ht="13.2">
      <c r="A544" s="49"/>
      <c r="C544" s="2"/>
    </row>
    <row r="545" spans="1:3" ht="13.2">
      <c r="A545" s="49"/>
      <c r="C545" s="2"/>
    </row>
    <row r="546" spans="1:3" ht="13.2">
      <c r="A546" s="49"/>
      <c r="C546" s="2"/>
    </row>
    <row r="547" spans="1:3" ht="13.2">
      <c r="A547" s="49"/>
      <c r="C547" s="2"/>
    </row>
    <row r="548" spans="1:3" ht="13.2">
      <c r="A548" s="49"/>
      <c r="C548" s="2"/>
    </row>
    <row r="549" spans="1:3" ht="13.2">
      <c r="A549" s="49"/>
      <c r="C549" s="2"/>
    </row>
    <row r="550" spans="1:3" ht="13.2">
      <c r="A550" s="49"/>
      <c r="C550" s="2"/>
    </row>
    <row r="551" spans="1:3" ht="13.2">
      <c r="A551" s="49"/>
      <c r="C551" s="2"/>
    </row>
    <row r="552" spans="1:3" ht="13.2">
      <c r="A552" s="49"/>
      <c r="C552" s="2"/>
    </row>
    <row r="553" spans="1:3" ht="13.2">
      <c r="A553" s="49"/>
      <c r="C553" s="2"/>
    </row>
    <row r="554" spans="1:3" ht="13.2">
      <c r="A554" s="49"/>
      <c r="C554" s="2"/>
    </row>
    <row r="555" spans="1:3" ht="13.2">
      <c r="A555" s="49"/>
      <c r="C555" s="2"/>
    </row>
    <row r="556" spans="1:3" ht="13.2">
      <c r="A556" s="49"/>
      <c r="C556" s="2"/>
    </row>
    <row r="557" spans="1:3" ht="13.2">
      <c r="A557" s="49"/>
      <c r="C557" s="2"/>
    </row>
    <row r="558" spans="1:3" ht="13.2">
      <c r="A558" s="49"/>
      <c r="C558" s="2"/>
    </row>
    <row r="559" spans="1:3" ht="13.2">
      <c r="A559" s="49"/>
      <c r="C559" s="2"/>
    </row>
    <row r="560" spans="1:3" ht="13.2">
      <c r="A560" s="49"/>
      <c r="C560" s="2"/>
    </row>
    <row r="561" spans="1:3" ht="13.2">
      <c r="A561" s="49"/>
      <c r="C561" s="2"/>
    </row>
    <row r="562" spans="1:3" ht="13.2">
      <c r="A562" s="49"/>
      <c r="C562" s="2"/>
    </row>
    <row r="563" spans="1:3" ht="13.2">
      <c r="A563" s="49"/>
      <c r="C563" s="2"/>
    </row>
    <row r="564" spans="1:3" ht="13.2">
      <c r="A564" s="49"/>
      <c r="C564" s="2"/>
    </row>
    <row r="565" spans="1:3" ht="13.2">
      <c r="A565" s="49"/>
      <c r="C565" s="2"/>
    </row>
    <row r="566" spans="1:3" ht="13.2">
      <c r="A566" s="49"/>
      <c r="C566" s="2"/>
    </row>
    <row r="567" spans="1:3" ht="13.2">
      <c r="A567" s="49"/>
      <c r="C567" s="2"/>
    </row>
    <row r="568" spans="1:3" ht="13.2">
      <c r="A568" s="49"/>
      <c r="C568" s="2"/>
    </row>
    <row r="569" spans="1:3" ht="13.2">
      <c r="A569" s="49"/>
      <c r="C569" s="2"/>
    </row>
    <row r="570" spans="1:3" ht="13.2">
      <c r="A570" s="49"/>
      <c r="C570" s="2"/>
    </row>
    <row r="571" spans="1:3" ht="13.2">
      <c r="A571" s="49"/>
      <c r="C571" s="2"/>
    </row>
    <row r="572" spans="1:3" ht="13.2">
      <c r="A572" s="49"/>
      <c r="C572" s="2"/>
    </row>
    <row r="573" spans="1:3" ht="13.2">
      <c r="A573" s="49"/>
      <c r="C573" s="2"/>
    </row>
    <row r="574" spans="1:3" ht="13.2">
      <c r="A574" s="49"/>
      <c r="C574" s="2"/>
    </row>
    <row r="575" spans="1:3" ht="13.2">
      <c r="A575" s="49"/>
      <c r="C575" s="2"/>
    </row>
    <row r="576" spans="1:3" ht="13.2">
      <c r="A576" s="49"/>
      <c r="C576" s="2"/>
    </row>
    <row r="577" spans="1:3" ht="13.2">
      <c r="A577" s="49"/>
      <c r="C577" s="2"/>
    </row>
    <row r="578" spans="1:3" ht="13.2">
      <c r="A578" s="49"/>
      <c r="C578" s="2"/>
    </row>
    <row r="579" spans="1:3" ht="13.2">
      <c r="A579" s="49"/>
      <c r="C579" s="2"/>
    </row>
    <row r="580" spans="1:3" ht="13.2">
      <c r="A580" s="49"/>
      <c r="C580" s="2"/>
    </row>
    <row r="581" spans="1:3" ht="13.2">
      <c r="A581" s="49"/>
      <c r="C581" s="2"/>
    </row>
    <row r="582" spans="1:3" ht="13.2">
      <c r="A582" s="49"/>
      <c r="C582" s="2"/>
    </row>
    <row r="583" spans="1:3" ht="13.2">
      <c r="A583" s="49"/>
      <c r="C583" s="2"/>
    </row>
    <row r="584" spans="1:3" ht="13.2">
      <c r="A584" s="49"/>
      <c r="C584" s="2"/>
    </row>
    <row r="585" spans="1:3" ht="13.2">
      <c r="A585" s="49"/>
      <c r="C585" s="2"/>
    </row>
    <row r="586" spans="1:3" ht="13.2">
      <c r="A586" s="49"/>
      <c r="C586" s="2"/>
    </row>
    <row r="587" spans="1:3" ht="13.2">
      <c r="A587" s="49"/>
      <c r="C587" s="2"/>
    </row>
    <row r="588" spans="1:3" ht="13.2">
      <c r="A588" s="49"/>
      <c r="C588" s="2"/>
    </row>
    <row r="589" spans="1:3" ht="13.2">
      <c r="A589" s="49"/>
      <c r="C589" s="2"/>
    </row>
    <row r="590" spans="1:3" ht="13.2">
      <c r="A590" s="49"/>
      <c r="C590" s="2"/>
    </row>
    <row r="591" spans="1:3" ht="13.2">
      <c r="A591" s="49"/>
      <c r="C591" s="2"/>
    </row>
    <row r="592" spans="1:3" ht="13.2">
      <c r="A592" s="49"/>
      <c r="C592" s="2"/>
    </row>
    <row r="593" spans="1:3" ht="13.2">
      <c r="A593" s="49"/>
      <c r="C593" s="2"/>
    </row>
    <row r="594" spans="1:3" ht="13.2">
      <c r="A594" s="49"/>
      <c r="C594" s="2"/>
    </row>
    <row r="595" spans="1:3" ht="13.2">
      <c r="A595" s="49"/>
      <c r="C595" s="2"/>
    </row>
    <row r="596" spans="1:3" ht="13.2">
      <c r="A596" s="49"/>
      <c r="C596" s="2"/>
    </row>
    <row r="597" spans="1:3" ht="13.2">
      <c r="A597" s="49"/>
      <c r="C597" s="2"/>
    </row>
    <row r="598" spans="1:3" ht="13.2">
      <c r="A598" s="49"/>
      <c r="C598" s="2"/>
    </row>
    <row r="599" spans="1:3" ht="13.2">
      <c r="A599" s="49"/>
      <c r="C599" s="2"/>
    </row>
    <row r="600" spans="1:3" ht="13.2">
      <c r="A600" s="49"/>
      <c r="C600" s="2"/>
    </row>
    <row r="601" spans="1:3" ht="13.2">
      <c r="A601" s="49"/>
      <c r="C601" s="2"/>
    </row>
    <row r="602" spans="1:3" ht="13.2">
      <c r="A602" s="49"/>
      <c r="C602" s="2"/>
    </row>
    <row r="603" spans="1:3" ht="13.2">
      <c r="A603" s="49"/>
      <c r="C603" s="2"/>
    </row>
    <row r="604" spans="1:3" ht="13.2">
      <c r="A604" s="49"/>
      <c r="C604" s="2"/>
    </row>
    <row r="605" spans="1:3" ht="13.2">
      <c r="A605" s="49"/>
      <c r="C605" s="2"/>
    </row>
    <row r="606" spans="1:3" ht="13.2">
      <c r="A606" s="49"/>
      <c r="C606" s="2"/>
    </row>
    <row r="607" spans="1:3" ht="13.2">
      <c r="A607" s="49"/>
      <c r="C607" s="2"/>
    </row>
    <row r="608" spans="1:3" ht="13.2">
      <c r="A608" s="49"/>
      <c r="C608" s="2"/>
    </row>
    <row r="609" spans="1:3" ht="13.2">
      <c r="A609" s="49"/>
      <c r="C609" s="2"/>
    </row>
    <row r="610" spans="1:3" ht="13.2">
      <c r="A610" s="49"/>
      <c r="C610" s="2"/>
    </row>
    <row r="611" spans="1:3" ht="13.2">
      <c r="A611" s="49"/>
      <c r="C611" s="2"/>
    </row>
    <row r="612" spans="1:3" ht="13.2">
      <c r="A612" s="49"/>
      <c r="C612" s="2"/>
    </row>
    <row r="613" spans="1:3" ht="13.2">
      <c r="A613" s="49"/>
      <c r="C613" s="2"/>
    </row>
    <row r="614" spans="1:3" ht="13.2">
      <c r="A614" s="49"/>
      <c r="C614" s="2"/>
    </row>
    <row r="615" spans="1:3" ht="13.2">
      <c r="A615" s="49"/>
      <c r="C615" s="2"/>
    </row>
    <row r="616" spans="1:3" ht="13.2">
      <c r="A616" s="49"/>
      <c r="C616" s="2"/>
    </row>
    <row r="617" spans="1:3" ht="13.2">
      <c r="A617" s="49"/>
      <c r="C617" s="2"/>
    </row>
    <row r="618" spans="1:3" ht="13.2">
      <c r="A618" s="49"/>
      <c r="C618" s="2"/>
    </row>
    <row r="619" spans="1:3" ht="13.2">
      <c r="A619" s="49"/>
      <c r="C619" s="2"/>
    </row>
    <row r="620" spans="1:3" ht="13.2">
      <c r="A620" s="49"/>
      <c r="C620" s="2"/>
    </row>
    <row r="621" spans="1:3" ht="13.2">
      <c r="A621" s="49"/>
      <c r="C621" s="2"/>
    </row>
    <row r="622" spans="1:3" ht="13.2">
      <c r="A622" s="49"/>
      <c r="C622" s="2"/>
    </row>
    <row r="623" spans="1:3" ht="13.2">
      <c r="A623" s="49"/>
      <c r="C623" s="2"/>
    </row>
    <row r="624" spans="1:3" ht="13.2">
      <c r="A624" s="49"/>
      <c r="C624" s="2"/>
    </row>
    <row r="625" spans="1:3" ht="13.2">
      <c r="A625" s="49"/>
      <c r="C625" s="2"/>
    </row>
    <row r="626" spans="1:3" ht="13.2">
      <c r="A626" s="49"/>
      <c r="C626" s="2"/>
    </row>
    <row r="627" spans="1:3" ht="13.2">
      <c r="A627" s="49"/>
      <c r="C627" s="2"/>
    </row>
    <row r="628" spans="1:3" ht="13.2">
      <c r="A628" s="49"/>
      <c r="C628" s="2"/>
    </row>
    <row r="629" spans="1:3" ht="13.2">
      <c r="A629" s="49"/>
      <c r="C629" s="2"/>
    </row>
    <row r="630" spans="1:3" ht="13.2">
      <c r="A630" s="49"/>
      <c r="C630" s="2"/>
    </row>
    <row r="631" spans="1:3" ht="13.2">
      <c r="A631" s="49"/>
      <c r="C631" s="2"/>
    </row>
    <row r="632" spans="1:3" ht="13.2">
      <c r="A632" s="49"/>
      <c r="C632" s="2"/>
    </row>
    <row r="633" spans="1:3" ht="13.2">
      <c r="A633" s="49"/>
      <c r="C633" s="2"/>
    </row>
    <row r="634" spans="1:3" ht="13.2">
      <c r="A634" s="49"/>
      <c r="C634" s="2"/>
    </row>
    <row r="635" spans="1:3" ht="13.2">
      <c r="A635" s="49"/>
      <c r="C635" s="2"/>
    </row>
    <row r="636" spans="1:3" ht="13.2">
      <c r="A636" s="49"/>
      <c r="C636" s="2"/>
    </row>
    <row r="637" spans="1:3" ht="13.2">
      <c r="A637" s="49"/>
      <c r="C637" s="2"/>
    </row>
    <row r="638" spans="1:3" ht="13.2">
      <c r="A638" s="49"/>
      <c r="C638" s="2"/>
    </row>
    <row r="639" spans="1:3" ht="13.2">
      <c r="A639" s="49"/>
      <c r="C639" s="2"/>
    </row>
    <row r="640" spans="1:3" ht="13.2">
      <c r="A640" s="49"/>
      <c r="C640" s="2"/>
    </row>
    <row r="641" spans="1:3" ht="13.2">
      <c r="A641" s="49"/>
      <c r="C641" s="2"/>
    </row>
    <row r="642" spans="1:3" ht="13.2">
      <c r="A642" s="49"/>
      <c r="C642" s="2"/>
    </row>
    <row r="643" spans="1:3" ht="13.2">
      <c r="A643" s="49"/>
      <c r="C643" s="2"/>
    </row>
    <row r="644" spans="1:3" ht="13.2">
      <c r="A644" s="49"/>
      <c r="C644" s="2"/>
    </row>
    <row r="645" spans="1:3" ht="13.2">
      <c r="A645" s="49"/>
      <c r="C645" s="2"/>
    </row>
    <row r="646" spans="1:3" ht="13.2">
      <c r="A646" s="49"/>
      <c r="C646" s="2"/>
    </row>
    <row r="647" spans="1:3" ht="13.2">
      <c r="A647" s="49"/>
      <c r="C647" s="2"/>
    </row>
    <row r="648" spans="1:3" ht="13.2">
      <c r="A648" s="49"/>
      <c r="C648" s="2"/>
    </row>
    <row r="649" spans="1:3" ht="13.2">
      <c r="A649" s="49"/>
      <c r="C649" s="2"/>
    </row>
    <row r="650" spans="1:3" ht="13.2">
      <c r="A650" s="49"/>
      <c r="C650" s="2"/>
    </row>
    <row r="651" spans="1:3" ht="13.2">
      <c r="A651" s="49"/>
      <c r="C651" s="2"/>
    </row>
    <row r="652" spans="1:3" ht="13.2">
      <c r="A652" s="49"/>
      <c r="C652" s="2"/>
    </row>
    <row r="653" spans="1:3" ht="13.2">
      <c r="A653" s="49"/>
      <c r="C653" s="2"/>
    </row>
    <row r="654" spans="1:3" ht="13.2">
      <c r="A654" s="49"/>
      <c r="C654" s="2"/>
    </row>
    <row r="655" spans="1:3" ht="13.2">
      <c r="A655" s="49"/>
      <c r="C655" s="2"/>
    </row>
    <row r="656" spans="1:3" ht="13.2">
      <c r="A656" s="49"/>
      <c r="C656" s="2"/>
    </row>
    <row r="657" spans="1:3" ht="13.2">
      <c r="A657" s="49"/>
      <c r="C657" s="2"/>
    </row>
    <row r="658" spans="1:3" ht="13.2">
      <c r="A658" s="49"/>
      <c r="C658" s="2"/>
    </row>
    <row r="659" spans="1:3" ht="13.2">
      <c r="A659" s="49"/>
      <c r="C659" s="2"/>
    </row>
    <row r="660" spans="1:3" ht="13.2">
      <c r="A660" s="49"/>
      <c r="C660" s="2"/>
    </row>
    <row r="661" spans="1:3" ht="13.2">
      <c r="A661" s="49"/>
      <c r="C661" s="2"/>
    </row>
    <row r="662" spans="1:3" ht="13.2">
      <c r="A662" s="49"/>
      <c r="C662" s="2"/>
    </row>
    <row r="663" spans="1:3" ht="13.2">
      <c r="A663" s="49"/>
      <c r="C663" s="2"/>
    </row>
    <row r="664" spans="1:3" ht="13.2">
      <c r="A664" s="49"/>
      <c r="C664" s="2"/>
    </row>
    <row r="665" spans="1:3" ht="13.2">
      <c r="A665" s="49"/>
      <c r="C665" s="2"/>
    </row>
    <row r="666" spans="1:3" ht="13.2">
      <c r="A666" s="49"/>
      <c r="C666" s="2"/>
    </row>
    <row r="667" spans="1:3" ht="13.2">
      <c r="A667" s="49"/>
      <c r="C667" s="2"/>
    </row>
    <row r="668" spans="1:3" ht="13.2">
      <c r="A668" s="49"/>
      <c r="C668" s="2"/>
    </row>
    <row r="669" spans="1:3" ht="13.2">
      <c r="A669" s="49"/>
      <c r="C669" s="2"/>
    </row>
    <row r="670" spans="1:3" ht="13.2">
      <c r="A670" s="49"/>
      <c r="C670" s="2"/>
    </row>
    <row r="671" spans="1:3" ht="13.2">
      <c r="A671" s="49"/>
      <c r="C671" s="2"/>
    </row>
    <row r="672" spans="1:3" ht="13.2">
      <c r="A672" s="49"/>
      <c r="C672" s="2"/>
    </row>
    <row r="673" spans="1:3" ht="13.2">
      <c r="A673" s="49"/>
      <c r="C673" s="2"/>
    </row>
    <row r="674" spans="1:3" ht="13.2">
      <c r="A674" s="49"/>
      <c r="C674" s="2"/>
    </row>
    <row r="675" spans="1:3" ht="13.2">
      <c r="A675" s="49"/>
      <c r="C675" s="2"/>
    </row>
    <row r="676" spans="1:3" ht="13.2">
      <c r="A676" s="49"/>
      <c r="C676" s="2"/>
    </row>
    <row r="677" spans="1:3" ht="13.2">
      <c r="A677" s="49"/>
      <c r="C677" s="2"/>
    </row>
    <row r="678" spans="1:3" ht="13.2">
      <c r="A678" s="49"/>
      <c r="C678" s="2"/>
    </row>
    <row r="679" spans="1:3" ht="13.2">
      <c r="A679" s="49"/>
      <c r="C679" s="2"/>
    </row>
    <row r="680" spans="1:3" ht="13.2">
      <c r="A680" s="49"/>
      <c r="C680" s="2"/>
    </row>
    <row r="681" spans="1:3" ht="13.2">
      <c r="A681" s="49"/>
      <c r="C681" s="2"/>
    </row>
    <row r="682" spans="1:3" ht="13.2">
      <c r="A682" s="49"/>
      <c r="C682" s="2"/>
    </row>
    <row r="683" spans="1:3" ht="13.2">
      <c r="A683" s="49"/>
      <c r="C683" s="2"/>
    </row>
    <row r="684" spans="1:3" ht="13.2">
      <c r="A684" s="49"/>
      <c r="C684" s="2"/>
    </row>
    <row r="685" spans="1:3" ht="13.2">
      <c r="A685" s="49"/>
      <c r="C685" s="2"/>
    </row>
    <row r="686" spans="1:3" ht="13.2">
      <c r="A686" s="49"/>
      <c r="C686" s="2"/>
    </row>
    <row r="687" spans="1:3" ht="13.2">
      <c r="A687" s="49"/>
      <c r="C687" s="2"/>
    </row>
    <row r="688" spans="1:3" ht="13.2">
      <c r="A688" s="49"/>
      <c r="C688" s="2"/>
    </row>
    <row r="689" spans="1:3" ht="13.2">
      <c r="A689" s="49"/>
      <c r="C689" s="2"/>
    </row>
    <row r="690" spans="1:3" ht="13.2">
      <c r="A690" s="49"/>
      <c r="C690" s="2"/>
    </row>
    <row r="691" spans="1:3" ht="13.2">
      <c r="A691" s="49"/>
      <c r="C691" s="2"/>
    </row>
    <row r="692" spans="1:3" ht="13.2">
      <c r="A692" s="49"/>
      <c r="C692" s="2"/>
    </row>
    <row r="693" spans="1:3" ht="13.2">
      <c r="A693" s="49"/>
      <c r="C693" s="2"/>
    </row>
    <row r="694" spans="1:3" ht="13.2">
      <c r="A694" s="49"/>
      <c r="C694" s="2"/>
    </row>
    <row r="695" spans="1:3" ht="13.2">
      <c r="A695" s="49"/>
      <c r="C695" s="2"/>
    </row>
    <row r="696" spans="1:3" ht="13.2">
      <c r="A696" s="49"/>
      <c r="C696" s="2"/>
    </row>
    <row r="697" spans="1:3" ht="13.2">
      <c r="A697" s="49"/>
      <c r="C697" s="2"/>
    </row>
    <row r="698" spans="1:3" ht="13.2">
      <c r="A698" s="49"/>
      <c r="C698" s="2"/>
    </row>
    <row r="699" spans="1:3" ht="13.2">
      <c r="A699" s="49"/>
      <c r="C699" s="2"/>
    </row>
    <row r="700" spans="1:3" ht="13.2">
      <c r="A700" s="49"/>
      <c r="C700" s="2"/>
    </row>
    <row r="701" spans="1:3" ht="13.2">
      <c r="A701" s="49"/>
      <c r="C701" s="2"/>
    </row>
    <row r="702" spans="1:3" ht="13.2">
      <c r="A702" s="49"/>
      <c r="C702" s="2"/>
    </row>
    <row r="703" spans="1:3" ht="13.2">
      <c r="A703" s="49"/>
      <c r="C703" s="2"/>
    </row>
    <row r="704" spans="1:3" ht="13.2">
      <c r="A704" s="49"/>
      <c r="C704" s="2"/>
    </row>
    <row r="705" spans="1:3" ht="13.2">
      <c r="A705" s="49"/>
      <c r="C705" s="2"/>
    </row>
    <row r="706" spans="1:3" ht="13.2">
      <c r="A706" s="49"/>
      <c r="C706" s="2"/>
    </row>
    <row r="707" spans="1:3" ht="13.2">
      <c r="A707" s="49"/>
      <c r="C707" s="2"/>
    </row>
    <row r="708" spans="1:3" ht="13.2">
      <c r="A708" s="49"/>
      <c r="C708" s="2"/>
    </row>
    <row r="709" spans="1:3" ht="13.2">
      <c r="A709" s="49"/>
      <c r="C709" s="2"/>
    </row>
    <row r="710" spans="1:3" ht="13.2">
      <c r="A710" s="49"/>
      <c r="C710" s="2"/>
    </row>
    <row r="711" spans="1:3" ht="13.2">
      <c r="A711" s="49"/>
      <c r="C711" s="2"/>
    </row>
    <row r="712" spans="1:3" ht="13.2">
      <c r="A712" s="49"/>
      <c r="C712" s="2"/>
    </row>
    <row r="713" spans="1:3" ht="13.2">
      <c r="A713" s="49"/>
      <c r="C713" s="2"/>
    </row>
    <row r="714" spans="1:3" ht="13.2">
      <c r="A714" s="49"/>
      <c r="C714" s="2"/>
    </row>
    <row r="715" spans="1:3" ht="13.2">
      <c r="A715" s="49"/>
      <c r="C715" s="2"/>
    </row>
    <row r="716" spans="1:3" ht="13.2">
      <c r="A716" s="49"/>
      <c r="C716" s="2"/>
    </row>
    <row r="717" spans="1:3" ht="13.2">
      <c r="A717" s="49"/>
      <c r="C717" s="2"/>
    </row>
    <row r="718" spans="1:3" ht="13.2">
      <c r="A718" s="49"/>
      <c r="C718" s="2"/>
    </row>
    <row r="719" spans="1:3" ht="13.2">
      <c r="A719" s="49"/>
      <c r="C719" s="2"/>
    </row>
    <row r="720" spans="1:3" ht="13.2">
      <c r="A720" s="49"/>
      <c r="C720" s="2"/>
    </row>
    <row r="721" spans="1:3" ht="13.2">
      <c r="A721" s="49"/>
      <c r="C721" s="2"/>
    </row>
    <row r="722" spans="1:3" ht="13.2">
      <c r="A722" s="49"/>
      <c r="C722" s="2"/>
    </row>
    <row r="723" spans="1:3" ht="13.2">
      <c r="A723" s="49"/>
      <c r="C723" s="2"/>
    </row>
    <row r="724" spans="1:3" ht="13.2">
      <c r="A724" s="49"/>
      <c r="C724" s="2"/>
    </row>
    <row r="725" spans="1:3" ht="13.2">
      <c r="A725" s="49"/>
      <c r="C725" s="2"/>
    </row>
  </sheetData>
  <mergeCells count="35">
    <mergeCell ref="A278:A303"/>
    <mergeCell ref="A304:A329"/>
    <mergeCell ref="A405:A407"/>
    <mergeCell ref="A408:A433"/>
    <mergeCell ref="A330:A355"/>
    <mergeCell ref="A356:A381"/>
    <mergeCell ref="A382:A385"/>
    <mergeCell ref="A386:A389"/>
    <mergeCell ref="A390:A394"/>
    <mergeCell ref="A395:A399"/>
    <mergeCell ref="A400:A404"/>
    <mergeCell ref="A175:A192"/>
    <mergeCell ref="A193:A199"/>
    <mergeCell ref="A200:A225"/>
    <mergeCell ref="A226:A251"/>
    <mergeCell ref="A252:A277"/>
    <mergeCell ref="A149:A174"/>
    <mergeCell ref="G149:G174"/>
    <mergeCell ref="A46:A53"/>
    <mergeCell ref="A54:A68"/>
    <mergeCell ref="A69:A83"/>
    <mergeCell ref="A84:A102"/>
    <mergeCell ref="A103:A115"/>
    <mergeCell ref="A116:A123"/>
    <mergeCell ref="A124:A130"/>
    <mergeCell ref="A27:A32"/>
    <mergeCell ref="A33:A45"/>
    <mergeCell ref="A131:A138"/>
    <mergeCell ref="A139:A145"/>
    <mergeCell ref="A146:A148"/>
    <mergeCell ref="A1:B1"/>
    <mergeCell ref="C2:C3"/>
    <mergeCell ref="H2:H3"/>
    <mergeCell ref="A6:A19"/>
    <mergeCell ref="A20:A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E3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sheetData>
    <row r="3" spans="1:4">
      <c r="A3" s="50"/>
      <c r="B3" s="51" t="s">
        <v>65</v>
      </c>
      <c r="C3" s="51" t="s">
        <v>66</v>
      </c>
      <c r="D3" s="51" t="s">
        <v>67</v>
      </c>
    </row>
    <row r="4" spans="1:4">
      <c r="A4" s="52">
        <v>45261</v>
      </c>
      <c r="B4" s="53"/>
      <c r="C4" s="53">
        <f>SUM('Chi phí'!C6:C19)</f>
        <v>13079500</v>
      </c>
      <c r="D4" s="53">
        <f t="shared" ref="D4:D35" si="0">B4-C4</f>
        <v>-13079500</v>
      </c>
    </row>
    <row r="5" spans="1:4">
      <c r="A5" s="54">
        <v>45292</v>
      </c>
      <c r="B5" s="53"/>
      <c r="C5" s="53">
        <f>SUM('Chi phí'!C20:C26)</f>
        <v>8033979.5373134324</v>
      </c>
      <c r="D5" s="53">
        <f t="shared" si="0"/>
        <v>-8033979.5373134324</v>
      </c>
    </row>
    <row r="6" spans="1:4">
      <c r="A6" s="52">
        <v>45323</v>
      </c>
      <c r="B6" s="53"/>
      <c r="C6" s="53">
        <f>SUM('Chi phí'!C27:C32)</f>
        <v>13195994</v>
      </c>
      <c r="D6" s="53">
        <f t="shared" si="0"/>
        <v>-13195994</v>
      </c>
    </row>
    <row r="7" spans="1:4">
      <c r="A7" s="54">
        <v>45352</v>
      </c>
      <c r="B7" s="53"/>
      <c r="C7" s="53">
        <f>SUM('Chi phí'!C34:C45)</f>
        <v>3485810</v>
      </c>
      <c r="D7" s="53">
        <f t="shared" si="0"/>
        <v>-3485810</v>
      </c>
    </row>
    <row r="8" spans="1:4">
      <c r="A8" s="52">
        <v>45383</v>
      </c>
      <c r="B8" s="53"/>
      <c r="C8" s="53">
        <f>SUM('Chi phí'!C46:C53)</f>
        <v>15971140</v>
      </c>
      <c r="D8" s="53">
        <f t="shared" si="0"/>
        <v>-15971140</v>
      </c>
    </row>
    <row r="9" spans="1:4">
      <c r="A9" s="54">
        <v>45413</v>
      </c>
      <c r="B9" s="53"/>
      <c r="C9" s="53">
        <f>SUM('Chi phí'!C54:C68)</f>
        <v>23124420</v>
      </c>
      <c r="D9" s="53">
        <f t="shared" si="0"/>
        <v>-23124420</v>
      </c>
    </row>
    <row r="10" spans="1:4">
      <c r="A10" s="52">
        <v>45444</v>
      </c>
      <c r="B10" s="53"/>
      <c r="C10" s="53">
        <f>SUM('Chi phí'!C69:C83)</f>
        <v>34601880</v>
      </c>
      <c r="D10" s="53">
        <f t="shared" si="0"/>
        <v>-34601880</v>
      </c>
    </row>
    <row r="11" spans="1:4">
      <c r="A11" s="54">
        <v>45474</v>
      </c>
      <c r="B11" s="53"/>
      <c r="C11" s="53">
        <f>SUM('Chi phí'!C84:C102)</f>
        <v>27773880</v>
      </c>
      <c r="D11" s="53">
        <f t="shared" si="0"/>
        <v>-27773880</v>
      </c>
    </row>
    <row r="12" spans="1:4">
      <c r="A12" s="52">
        <v>45505</v>
      </c>
      <c r="B12" s="53"/>
      <c r="C12" s="53">
        <f>SUM('Chi phí'!C103:C115)</f>
        <v>30550900</v>
      </c>
      <c r="D12" s="53">
        <f t="shared" si="0"/>
        <v>-30550900</v>
      </c>
    </row>
    <row r="13" spans="1:4">
      <c r="A13" s="54">
        <v>45536</v>
      </c>
      <c r="B13" s="53"/>
      <c r="C13" s="53">
        <f>SUM('Chi phí'!C116:C123)</f>
        <v>38220000</v>
      </c>
      <c r="D13" s="53">
        <f t="shared" si="0"/>
        <v>-38220000</v>
      </c>
    </row>
    <row r="14" spans="1:4">
      <c r="A14" s="52">
        <v>45566</v>
      </c>
      <c r="B14" s="53"/>
      <c r="C14" s="53">
        <f>SUM('Chi phí'!C124:C130)</f>
        <v>20323200</v>
      </c>
      <c r="D14" s="53">
        <f t="shared" si="0"/>
        <v>-20323200</v>
      </c>
    </row>
    <row r="15" spans="1:4">
      <c r="A15" s="54">
        <v>45597</v>
      </c>
      <c r="B15" s="53"/>
      <c r="C15" s="53">
        <f>SUM('Chi phí'!C131:C138)</f>
        <v>27708400</v>
      </c>
      <c r="D15" s="53">
        <f t="shared" si="0"/>
        <v>-27708400</v>
      </c>
    </row>
    <row r="16" spans="1:4">
      <c r="A16" s="52">
        <v>45627</v>
      </c>
      <c r="B16" s="53"/>
      <c r="C16" s="53">
        <f>SUM('Chi phí'!C139:C145)</f>
        <v>78888000</v>
      </c>
      <c r="D16" s="53">
        <f t="shared" si="0"/>
        <v>-78888000</v>
      </c>
    </row>
    <row r="17" spans="1:5">
      <c r="A17" s="54">
        <v>45658</v>
      </c>
      <c r="B17" s="53">
        <f>SUM('Doanh thu 2025'!H3:H476)</f>
        <v>23677332</v>
      </c>
      <c r="C17" s="53">
        <f>SUM('Chi phí'!C146:C148)</f>
        <v>2008000</v>
      </c>
      <c r="D17" s="53">
        <f t="shared" si="0"/>
        <v>21669332</v>
      </c>
    </row>
    <row r="18" spans="1:5">
      <c r="A18" s="52">
        <v>45689</v>
      </c>
      <c r="B18" s="53">
        <f>SUM('Doanh thu 2025'!H477:H987)</f>
        <v>34180085</v>
      </c>
      <c r="C18" s="53">
        <f>SUM('Chi phí'!C149:C174)</f>
        <v>31033000</v>
      </c>
      <c r="D18" s="53">
        <f t="shared" si="0"/>
        <v>3147085</v>
      </c>
    </row>
    <row r="19" spans="1:5">
      <c r="A19" s="52">
        <v>45717</v>
      </c>
      <c r="B19" s="53">
        <f>SUM('Doanh thu 2025'!H988:H2134)</f>
        <v>72400566</v>
      </c>
      <c r="C19" s="53">
        <f>SUM('Chi phí'!C175:C192)</f>
        <v>38768000</v>
      </c>
      <c r="D19" s="53">
        <f t="shared" si="0"/>
        <v>33632566</v>
      </c>
    </row>
    <row r="20" spans="1:5">
      <c r="A20" s="54">
        <v>45748</v>
      </c>
      <c r="B20" s="53">
        <f>SUM('Doanh thu 2025'!H2135:H2748)</f>
        <v>35953072</v>
      </c>
      <c r="C20" s="53">
        <f>SUM('Chi phí'!C193:C199)</f>
        <v>34814000</v>
      </c>
      <c r="D20" s="53">
        <f t="shared" si="0"/>
        <v>1139072</v>
      </c>
    </row>
    <row r="21" spans="1:5">
      <c r="A21" s="52">
        <v>45778</v>
      </c>
      <c r="B21" s="53">
        <f>SUM('Doanh thu 2025'!H2749:H3681)</f>
        <v>97348999</v>
      </c>
      <c r="C21" s="53">
        <f>SUM('Chi phí'!C200:C225)</f>
        <v>46238000</v>
      </c>
      <c r="D21" s="53">
        <f t="shared" si="0"/>
        <v>51110999</v>
      </c>
    </row>
    <row r="22" spans="1:5">
      <c r="A22" s="54">
        <v>45809</v>
      </c>
      <c r="B22" s="53">
        <f>SUM('Doanh thu 2025'!H3608:H3681)</f>
        <v>51417797</v>
      </c>
      <c r="C22" s="53">
        <f>SUM('Chi phí'!C226:C251)</f>
        <v>34939000</v>
      </c>
      <c r="D22" s="53">
        <f t="shared" si="0"/>
        <v>16478797</v>
      </c>
    </row>
    <row r="23" spans="1:5">
      <c r="A23" s="52">
        <v>45839</v>
      </c>
      <c r="B23" s="53">
        <f>SUM('Doanh thu 2025'!H3682:H3725)+SUM('Doanh số'!G3:G389)</f>
        <v>81605923</v>
      </c>
      <c r="C23" s="53">
        <f>SUM('Chi phí'!C252:C277)</f>
        <v>70985000</v>
      </c>
      <c r="D23" s="53">
        <f t="shared" si="0"/>
        <v>10620923</v>
      </c>
    </row>
    <row r="24" spans="1:5">
      <c r="A24" s="54">
        <v>45870</v>
      </c>
      <c r="B24" s="53">
        <f>SUM('Doanh số'!G390:G613)</f>
        <v>63989768</v>
      </c>
      <c r="C24" s="53">
        <f>SUM('Chi phí'!C278:C303)</f>
        <v>39284000</v>
      </c>
      <c r="D24" s="53">
        <f t="shared" si="0"/>
        <v>24705768</v>
      </c>
    </row>
    <row r="25" spans="1:5">
      <c r="A25" s="52">
        <v>45901</v>
      </c>
      <c r="B25" s="53">
        <f>SUM('Doanh số'!G614:G652)+SUM('Doanh số'!H652)</f>
        <v>75077277</v>
      </c>
      <c r="C25" s="53">
        <f>SUM('Chi phí'!C304:C329)</f>
        <v>69331000</v>
      </c>
      <c r="D25" s="53">
        <f t="shared" si="0"/>
        <v>5746277</v>
      </c>
    </row>
    <row r="26" spans="1:5">
      <c r="A26" s="54">
        <v>45931</v>
      </c>
      <c r="B26" s="53">
        <f>SUM('Doanh số'!G653:G951) +54165+98025+57946+83187+50353+58661+102450+128968+83187+30615+107325+99022+54981+57931+92729+98712</f>
        <v>75134577</v>
      </c>
      <c r="C26" s="53">
        <f>SUM('Chi phí'!C330:C355)</f>
        <v>74381000</v>
      </c>
      <c r="D26" s="53">
        <f t="shared" si="0"/>
        <v>753577</v>
      </c>
    </row>
    <row r="27" spans="1:5">
      <c r="A27" s="52">
        <v>45962</v>
      </c>
      <c r="B27" s="53">
        <f>SUM('Doanh số'!G952:G1156)</f>
        <v>65795997</v>
      </c>
      <c r="C27" s="53">
        <f>SUM('Chi phí'!C356:C381)</f>
        <v>32438200</v>
      </c>
      <c r="D27" s="53">
        <f t="shared" si="0"/>
        <v>33357797</v>
      </c>
      <c r="E27" s="16">
        <v>2851434</v>
      </c>
    </row>
    <row r="28" spans="1:5">
      <c r="A28" s="54">
        <v>45992</v>
      </c>
      <c r="B28" s="53">
        <f>SUM('Doanh số'!G1157:G1220)</f>
        <v>52698220</v>
      </c>
      <c r="C28" s="53">
        <f>SUM('Chi phí'!C382:C385)</f>
        <v>52978000</v>
      </c>
      <c r="D28" s="53">
        <f t="shared" si="0"/>
        <v>-279780</v>
      </c>
    </row>
    <row r="29" spans="1:5">
      <c r="A29" s="52">
        <v>46023</v>
      </c>
      <c r="B29" s="53">
        <f>SUM('Doanh số'!G1221:G1251)</f>
        <v>48899363</v>
      </c>
      <c r="C29" s="53">
        <f>SUM('Chi phí'!C386:C389)</f>
        <v>12964000</v>
      </c>
      <c r="D29" s="53">
        <f t="shared" si="0"/>
        <v>35935363</v>
      </c>
    </row>
    <row r="30" spans="1:5">
      <c r="A30" s="52">
        <v>46054</v>
      </c>
      <c r="B30" s="53">
        <f>SUM('Doanh số'!G1252:G1265)</f>
        <v>24066901</v>
      </c>
      <c r="C30" s="53">
        <f>SUM('Chi phí'!C390:C394)</f>
        <v>53201920</v>
      </c>
      <c r="D30" s="53">
        <f t="shared" si="0"/>
        <v>-29135019</v>
      </c>
    </row>
    <row r="31" spans="1:5">
      <c r="A31" s="52">
        <v>46082</v>
      </c>
      <c r="B31" s="53">
        <f>SUM('Doanh số'!G1266:G1307)</f>
        <v>64711889</v>
      </c>
      <c r="C31" s="53">
        <f>SUM('Chi phí'!C395:C399)</f>
        <v>36054000</v>
      </c>
      <c r="D31" s="53">
        <f t="shared" si="0"/>
        <v>28657889</v>
      </c>
    </row>
    <row r="32" spans="1:5">
      <c r="A32" s="52">
        <v>46113</v>
      </c>
      <c r="B32" s="53">
        <f>SUM('Doanh số'!G1308:G1338)</f>
        <v>46537462</v>
      </c>
      <c r="C32" s="53">
        <f>SUM('Chi phí'!C400:C404)</f>
        <v>30463000</v>
      </c>
      <c r="D32" s="53">
        <f t="shared" si="0"/>
        <v>16074462</v>
      </c>
    </row>
    <row r="33" spans="1:4">
      <c r="A33" s="52">
        <v>46144</v>
      </c>
      <c r="B33" s="53">
        <f>SUM('Doanh số'!G1339:G1368)</f>
        <v>48027140</v>
      </c>
      <c r="C33" s="53">
        <f>SUM('Chi phí'!C405:C407)</f>
        <v>18474000</v>
      </c>
      <c r="D33" s="53">
        <f t="shared" si="0"/>
        <v>29553140</v>
      </c>
    </row>
    <row r="34" spans="1:4">
      <c r="A34" s="52">
        <v>46176</v>
      </c>
      <c r="B34" s="53">
        <f>SUM('Doanh số'!G1369:G1380)</f>
        <v>5945840</v>
      </c>
      <c r="C34" s="53">
        <f>SUM('Chi phí'!C408:C420)</f>
        <v>0</v>
      </c>
      <c r="D34" s="53">
        <f t="shared" si="0"/>
        <v>5945840</v>
      </c>
    </row>
    <row r="35" spans="1:4">
      <c r="A35" s="30"/>
      <c r="B35" s="53"/>
      <c r="C35" s="53"/>
      <c r="D35" s="53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W2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6.44140625" customWidth="1"/>
    <col min="3" max="3" width="14.88671875" customWidth="1"/>
    <col min="4" max="4" width="54.21875" customWidth="1"/>
  </cols>
  <sheetData>
    <row r="1" spans="1:23">
      <c r="A1" s="380" t="s">
        <v>68</v>
      </c>
      <c r="B1" s="369"/>
      <c r="C1" s="369"/>
      <c r="D1" s="369"/>
      <c r="E1" s="369"/>
      <c r="F1" s="369"/>
      <c r="G1" s="369"/>
      <c r="H1" s="369"/>
      <c r="I1" s="55">
        <f>SUM(G3:G3000)</f>
        <v>589877399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56" t="s">
        <v>74</v>
      </c>
      <c r="G2" s="56" t="s">
        <v>6</v>
      </c>
      <c r="H2" s="1" t="s">
        <v>75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>
      <c r="A3" s="57" t="s">
        <v>76</v>
      </c>
      <c r="B3" s="58" t="s">
        <v>77</v>
      </c>
      <c r="C3" s="58" t="s">
        <v>78</v>
      </c>
      <c r="D3" s="49">
        <f>IFERROR(VLOOKUP(B3,'Thống kê'!$C$3:$D$970,2, FALSE),VLOOKUP(B3,'Thống kê v2 CC'!$A$3:$D$1005,3, FALSE))</f>
        <v>0</v>
      </c>
      <c r="E3" s="58">
        <v>1</v>
      </c>
      <c r="F3" s="59">
        <v>69000</v>
      </c>
      <c r="G3" s="381">
        <v>100058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</row>
    <row r="4" spans="1:23">
      <c r="A4" s="60"/>
      <c r="B4" s="58" t="s">
        <v>79</v>
      </c>
      <c r="C4" s="58" t="s">
        <v>78</v>
      </c>
      <c r="D4" s="49" t="str">
        <f>IFERROR(VLOOKUP(B4,'Thống kê'!$C$3:$D$970,2, FALSE),VLOOKUP(B4,'Thống kê v2 CC'!$A$3:$D$1005,3, FALSE))</f>
        <v>Móc khóa mô hình Twinkle Mini</v>
      </c>
      <c r="E4" s="58">
        <v>1</v>
      </c>
      <c r="F4" s="59">
        <v>68500</v>
      </c>
      <c r="G4" s="36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</row>
    <row r="5" spans="1:23">
      <c r="A5" s="60"/>
      <c r="B5" s="61" t="s">
        <v>80</v>
      </c>
      <c r="C5" s="61" t="s">
        <v>81</v>
      </c>
      <c r="D5" s="49">
        <f>IFERROR(VLOOKUP(B5,'Thống kê'!$C$3:$D$970,2, FALSE),VLOOKUP(B5,'Thống kê v2 CC'!$A$3:$D$1005,3, FALSE))</f>
        <v>0</v>
      </c>
      <c r="E5" s="61">
        <v>1</v>
      </c>
      <c r="F5" s="59">
        <v>68500</v>
      </c>
      <c r="G5" s="59">
        <v>47940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spans="1:23">
      <c r="A6" s="60"/>
      <c r="B6" s="61" t="s">
        <v>82</v>
      </c>
      <c r="C6" s="61" t="s">
        <v>83</v>
      </c>
      <c r="D6" s="49">
        <f>IFERROR(VLOOKUP(B6,'Thống kê'!$C$3:$D$970,2, FALSE),VLOOKUP(B6,'Thống kê v2 CC'!$A$3:$D$1005,3, FALSE))</f>
        <v>0</v>
      </c>
      <c r="E6" s="61">
        <v>1</v>
      </c>
      <c r="F6" s="59">
        <v>68500</v>
      </c>
      <c r="G6" s="381">
        <v>99653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</row>
    <row r="7" spans="1:23">
      <c r="A7" s="60"/>
      <c r="B7" s="61" t="s">
        <v>79</v>
      </c>
      <c r="C7" s="61" t="s">
        <v>81</v>
      </c>
      <c r="D7" s="49" t="str">
        <f>IFERROR(VLOOKUP(B7,'Thống kê'!$C$3:$D$970,2, FALSE),VLOOKUP(B7,'Thống kê v2 CC'!$A$3:$D$1005,3, FALSE))</f>
        <v>Móc khóa mô hình Twinkle Mini</v>
      </c>
      <c r="E7" s="61">
        <v>1</v>
      </c>
      <c r="F7" s="59">
        <v>68500</v>
      </c>
      <c r="G7" s="36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</row>
    <row r="8" spans="1:23">
      <c r="A8" s="60"/>
      <c r="B8" s="61" t="s">
        <v>84</v>
      </c>
      <c r="C8" s="61" t="s">
        <v>81</v>
      </c>
      <c r="D8" s="49">
        <f>IFERROR(VLOOKUP(B8,'Thống kê'!$C$3:$D$970,2, FALSE),VLOOKUP(B8,'Thống kê v2 CC'!$A$3:$D$1005,3, FALSE))</f>
        <v>0</v>
      </c>
      <c r="E8" s="61">
        <v>1</v>
      </c>
      <c r="F8" s="59">
        <v>69000</v>
      </c>
      <c r="G8" s="59">
        <v>48311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</row>
    <row r="9" spans="1:23">
      <c r="A9" s="60"/>
      <c r="B9" s="61" t="s">
        <v>85</v>
      </c>
      <c r="C9" s="61" t="s">
        <v>81</v>
      </c>
      <c r="D9" s="49">
        <f>IFERROR(VLOOKUP(B9,'Thống kê'!$C$3:$D$970,2, FALSE),VLOOKUP(B9,'Thống kê v2 CC'!$A$3:$D$1005,3, FALSE))</f>
        <v>0</v>
      </c>
      <c r="E9" s="61">
        <v>1</v>
      </c>
      <c r="F9" s="59">
        <v>68500</v>
      </c>
      <c r="G9" s="381">
        <v>99653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</row>
    <row r="10" spans="1:23">
      <c r="A10" s="60"/>
      <c r="B10" s="61" t="s">
        <v>86</v>
      </c>
      <c r="C10" s="61" t="s">
        <v>87</v>
      </c>
      <c r="D10" s="49">
        <f>IFERROR(VLOOKUP(B10,'Thống kê'!$C$3:$D$970,2, FALSE),VLOOKUP(B10,'Thống kê v2 CC'!$A$3:$D$1005,3, FALSE))</f>
        <v>0</v>
      </c>
      <c r="E10" s="61">
        <v>1</v>
      </c>
      <c r="F10" s="59">
        <v>68500</v>
      </c>
      <c r="G10" s="36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</row>
    <row r="11" spans="1:23">
      <c r="A11" s="60"/>
      <c r="B11" s="61" t="s">
        <v>88</v>
      </c>
      <c r="C11" s="61" t="s">
        <v>87</v>
      </c>
      <c r="D11" s="49">
        <f>IFERROR(VLOOKUP(B11,'Thống kê'!$C$3:$D$970,2, FALSE),VLOOKUP(B11,'Thống kê v2 CC'!$A$3:$D$1005,3, FALSE))</f>
        <v>0</v>
      </c>
      <c r="E11" s="61">
        <v>1</v>
      </c>
      <c r="F11" s="59">
        <v>68500</v>
      </c>
      <c r="G11" s="59">
        <v>47940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</row>
    <row r="12" spans="1:23">
      <c r="A12" s="60"/>
      <c r="B12" s="61" t="s">
        <v>89</v>
      </c>
      <c r="C12" s="61" t="s">
        <v>90</v>
      </c>
      <c r="D12" s="49" t="e">
        <f>IFERROR(VLOOKUP(B12,'Thống kê'!$C$3:$D$970,2, FALSE),VLOOKUP(B12,'Thống kê v2 CC'!$A$3:$D$1005,3, FALSE))</f>
        <v>#N/A</v>
      </c>
      <c r="E12" s="61">
        <v>1</v>
      </c>
      <c r="F12" s="59">
        <v>131000</v>
      </c>
      <c r="G12" s="381">
        <v>190889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</row>
    <row r="13" spans="1:23">
      <c r="A13" s="60"/>
      <c r="B13" s="61" t="s">
        <v>91</v>
      </c>
      <c r="C13" s="61" t="s">
        <v>90</v>
      </c>
      <c r="D13" s="49" t="e">
        <f>IFERROR(VLOOKUP(B13,'Thống kê'!$C$3:$D$970,2, FALSE),VLOOKUP(B13,'Thống kê v2 CC'!$A$3:$D$1005,3, FALSE))</f>
        <v>#N/A</v>
      </c>
      <c r="E13" s="61">
        <v>1</v>
      </c>
      <c r="F13" s="59">
        <v>131000</v>
      </c>
      <c r="G13" s="36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</row>
    <row r="14" spans="1:23">
      <c r="A14" s="60"/>
      <c r="B14" s="61" t="s">
        <v>86</v>
      </c>
      <c r="C14" s="61" t="s">
        <v>87</v>
      </c>
      <c r="D14" s="49">
        <f>IFERROR(VLOOKUP(B14,'Thống kê'!$C$3:$D$970,2, FALSE),VLOOKUP(B14,'Thống kê v2 CC'!$A$3:$D$1005,3, FALSE))</f>
        <v>0</v>
      </c>
      <c r="E14" s="61">
        <v>1</v>
      </c>
      <c r="F14" s="59">
        <v>68500</v>
      </c>
      <c r="G14" s="381">
        <v>99653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</row>
    <row r="15" spans="1:23">
      <c r="A15" s="60"/>
      <c r="B15" s="61" t="s">
        <v>88</v>
      </c>
      <c r="C15" s="61" t="s">
        <v>87</v>
      </c>
      <c r="D15" s="49">
        <f>IFERROR(VLOOKUP(B15,'Thống kê'!$C$3:$D$970,2, FALSE),VLOOKUP(B15,'Thống kê v2 CC'!$A$3:$D$1005,3, FALSE))</f>
        <v>0</v>
      </c>
      <c r="E15" s="61">
        <v>1</v>
      </c>
      <c r="F15" s="59">
        <v>68500</v>
      </c>
      <c r="G15" s="36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</row>
    <row r="16" spans="1:23">
      <c r="A16" s="60"/>
      <c r="B16" s="61" t="s">
        <v>82</v>
      </c>
      <c r="C16" s="61" t="s">
        <v>81</v>
      </c>
      <c r="D16" s="49">
        <f>IFERROR(VLOOKUP(B16,'Thống kê'!$C$3:$D$970,2, FALSE),VLOOKUP(B16,'Thống kê v2 CC'!$A$3:$D$1005,3, FALSE))</f>
        <v>0</v>
      </c>
      <c r="E16" s="61">
        <v>1</v>
      </c>
      <c r="F16" s="59">
        <v>68500</v>
      </c>
      <c r="G16" s="381">
        <v>99024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</row>
    <row r="17" spans="1:23">
      <c r="A17" s="60"/>
      <c r="B17" s="61" t="s">
        <v>92</v>
      </c>
      <c r="C17" s="61" t="s">
        <v>81</v>
      </c>
      <c r="D17" s="49" t="e">
        <f>IFERROR(VLOOKUP(B17,'Thống kê'!$C$3:$D$970,2, FALSE),VLOOKUP(B17,'Thống kê v2 CC'!$A$3:$D$1005,3, FALSE))</f>
        <v>#N/A</v>
      </c>
      <c r="E17" s="61">
        <v>1</v>
      </c>
      <c r="F17" s="59">
        <v>68500</v>
      </c>
      <c r="G17" s="36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</row>
    <row r="18" spans="1:23">
      <c r="A18" s="60"/>
      <c r="B18" s="61" t="s">
        <v>93</v>
      </c>
      <c r="C18" s="61" t="s">
        <v>81</v>
      </c>
      <c r="D18" s="49">
        <f>IFERROR(VLOOKUP(B18,'Thống kê'!$C$3:$D$970,2, FALSE),VLOOKUP(B18,'Thống kê v2 CC'!$A$3:$D$1005,3, FALSE))</f>
        <v>0</v>
      </c>
      <c r="E18" s="61">
        <v>1</v>
      </c>
      <c r="F18" s="59">
        <v>69000</v>
      </c>
      <c r="G18" s="59">
        <v>47682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</row>
    <row r="19" spans="1:23">
      <c r="A19" s="60"/>
      <c r="B19" s="61" t="s">
        <v>94</v>
      </c>
      <c r="C19" s="61" t="s">
        <v>81</v>
      </c>
      <c r="D19" s="49" t="str">
        <f>IFERROR(VLOOKUP(B19,'Thống kê'!$C$3:$D$970,2, FALSE),VLOOKUP(B19,'Thống kê v2 CC'!$A$3:$D$1005,3, FALSE))</f>
        <v>thỏ</v>
      </c>
      <c r="E19" s="61">
        <v>1</v>
      </c>
      <c r="F19" s="59">
        <v>32200</v>
      </c>
      <c r="G19" s="59">
        <v>22880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</row>
    <row r="20" spans="1:23">
      <c r="A20" s="60"/>
      <c r="B20" s="61" t="s">
        <v>95</v>
      </c>
      <c r="C20" s="61" t="s">
        <v>81</v>
      </c>
      <c r="D20" s="49">
        <f>IFERROR(VLOOKUP(B20,'Thống kê'!$C$3:$D$970,2, FALSE),VLOOKUP(B20,'Thống kê v2 CC'!$A$3:$D$1005,3, FALSE))</f>
        <v>0</v>
      </c>
      <c r="E20" s="61">
        <v>1</v>
      </c>
      <c r="F20" s="59">
        <v>68500</v>
      </c>
      <c r="G20" s="59">
        <v>47940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</row>
    <row r="21" spans="1:23">
      <c r="A21" s="60"/>
      <c r="B21" s="61" t="s">
        <v>96</v>
      </c>
      <c r="C21" s="61" t="s">
        <v>81</v>
      </c>
      <c r="D21" s="49">
        <f>IFERROR(VLOOKUP(B21,'Thống kê'!$C$3:$D$970,2, FALSE),VLOOKUP(B21,'Thống kê v2 CC'!$A$3:$D$1005,3, FALSE))</f>
        <v>0</v>
      </c>
      <c r="E21" s="61">
        <v>1</v>
      </c>
      <c r="F21" s="59">
        <v>68500</v>
      </c>
      <c r="G21" s="59">
        <v>47316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</row>
    <row r="22" spans="1:23">
      <c r="A22" s="60"/>
      <c r="B22" s="61" t="s">
        <v>92</v>
      </c>
      <c r="C22" s="61" t="s">
        <v>81</v>
      </c>
      <c r="D22" s="49" t="e">
        <f>IFERROR(VLOOKUP(B22,'Thống kê'!$C$3:$D$970,2, FALSE),VLOOKUP(B22,'Thống kê v2 CC'!$A$3:$D$1005,3, FALSE))</f>
        <v>#N/A</v>
      </c>
      <c r="E22" s="61">
        <v>1</v>
      </c>
      <c r="F22" s="59">
        <v>68500</v>
      </c>
      <c r="G22" s="381">
        <v>146494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</row>
    <row r="23" spans="1:23">
      <c r="A23" s="60"/>
      <c r="B23" s="61" t="s">
        <v>79</v>
      </c>
      <c r="C23" s="61" t="s">
        <v>81</v>
      </c>
      <c r="D23" s="49" t="str">
        <f>IFERROR(VLOOKUP(B23,'Thống kê'!$C$3:$D$970,2, FALSE),VLOOKUP(B23,'Thống kê v2 CC'!$A$3:$D$1005,3, FALSE))</f>
        <v>Móc khóa mô hình Twinkle Mini</v>
      </c>
      <c r="E23" s="61">
        <v>1</v>
      </c>
      <c r="F23" s="59">
        <v>68500</v>
      </c>
      <c r="G23" s="36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 spans="1:23">
      <c r="A24" s="60"/>
      <c r="B24" s="61" t="s">
        <v>97</v>
      </c>
      <c r="C24" s="61" t="s">
        <v>81</v>
      </c>
      <c r="D24" s="49">
        <f>IFERROR(VLOOKUP(B24,'Thống kê'!$C$3:$D$970,2, FALSE),VLOOKUP(B24,'Thống kê v2 CC'!$A$3:$D$1005,3, FALSE))</f>
        <v>0</v>
      </c>
      <c r="E24" s="61">
        <v>1</v>
      </c>
      <c r="F24" s="59">
        <v>68500</v>
      </c>
      <c r="G24" s="36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 spans="1:23">
      <c r="A25" s="60"/>
      <c r="B25" s="61" t="s">
        <v>98</v>
      </c>
      <c r="C25" s="61" t="s">
        <v>81</v>
      </c>
      <c r="D25" s="49">
        <f>IFERROR(VLOOKUP(B25,'Thống kê'!$C$3:$D$970,2, FALSE),VLOOKUP(B25,'Thống kê v2 CC'!$A$3:$D$1005,3, FALSE))</f>
        <v>0</v>
      </c>
      <c r="E25" s="61">
        <v>1</v>
      </c>
      <c r="F25" s="59">
        <v>68500</v>
      </c>
      <c r="G25" s="381">
        <v>99653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</row>
    <row r="26" spans="1:23">
      <c r="A26" s="60"/>
      <c r="B26" s="61" t="s">
        <v>97</v>
      </c>
      <c r="C26" s="61" t="s">
        <v>81</v>
      </c>
      <c r="D26" s="49">
        <f>IFERROR(VLOOKUP(B26,'Thống kê'!$C$3:$D$970,2, FALSE),VLOOKUP(B26,'Thống kê v2 CC'!$A$3:$D$1005,3, FALSE))</f>
        <v>0</v>
      </c>
      <c r="E26" s="61">
        <v>1</v>
      </c>
      <c r="F26" s="59">
        <v>68500</v>
      </c>
      <c r="G26" s="36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</row>
    <row r="27" spans="1:23">
      <c r="A27" s="60"/>
      <c r="B27" s="61" t="s">
        <v>77</v>
      </c>
      <c r="C27" s="61" t="s">
        <v>81</v>
      </c>
      <c r="D27" s="49">
        <f>IFERROR(VLOOKUP(B27,'Thống kê'!$C$3:$D$970,2, FALSE),VLOOKUP(B27,'Thống kê v2 CC'!$A$3:$D$1005,3, FALSE))</f>
        <v>0</v>
      </c>
      <c r="E27" s="61">
        <v>1</v>
      </c>
      <c r="F27" s="59">
        <v>69000</v>
      </c>
      <c r="G27" s="381">
        <v>100058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</row>
    <row r="28" spans="1:23">
      <c r="A28" s="60"/>
      <c r="B28" s="61" t="s">
        <v>79</v>
      </c>
      <c r="C28" s="61" t="s">
        <v>81</v>
      </c>
      <c r="D28" s="49" t="str">
        <f>IFERROR(VLOOKUP(B28,'Thống kê'!$C$3:$D$970,2, FALSE),VLOOKUP(B28,'Thống kê v2 CC'!$A$3:$D$1005,3, FALSE))</f>
        <v>Móc khóa mô hình Twinkle Mini</v>
      </c>
      <c r="E28" s="61">
        <v>1</v>
      </c>
      <c r="F28" s="59">
        <v>68500</v>
      </c>
      <c r="G28" s="36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</row>
    <row r="29" spans="1:23">
      <c r="A29" s="62">
        <v>45861</v>
      </c>
      <c r="B29" s="61" t="s">
        <v>99</v>
      </c>
      <c r="C29" s="61" t="s">
        <v>81</v>
      </c>
      <c r="D29" s="49" t="e">
        <f>IFERROR(VLOOKUP(B29,'Thống kê'!$C$3:$D$970,2, FALSE),VLOOKUP(B29,'Thống kê v2 CC'!$A$3:$D$1005,3, FALSE))</f>
        <v>#N/A</v>
      </c>
      <c r="E29" s="61">
        <v>1</v>
      </c>
      <c r="F29" s="59">
        <v>68500</v>
      </c>
      <c r="G29" s="59">
        <v>47316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</row>
    <row r="30" spans="1:23">
      <c r="A30" s="60"/>
      <c r="B30" s="61" t="s">
        <v>100</v>
      </c>
      <c r="C30" s="61" t="s">
        <v>81</v>
      </c>
      <c r="D30" s="49" t="e">
        <f>IFERROR(VLOOKUP(B30,'Thống kê'!$C$3:$D$970,2, FALSE),VLOOKUP(B30,'Thống kê v2 CC'!$A$3:$D$1005,3, FALSE))</f>
        <v>#N/A</v>
      </c>
      <c r="E30" s="61">
        <v>1</v>
      </c>
      <c r="F30" s="59">
        <v>68500</v>
      </c>
      <c r="G30" s="381">
        <v>99653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</row>
    <row r="31" spans="1:23">
      <c r="A31" s="60"/>
      <c r="B31" s="61" t="s">
        <v>92</v>
      </c>
      <c r="C31" s="61" t="s">
        <v>81</v>
      </c>
      <c r="D31" s="49" t="e">
        <f>IFERROR(VLOOKUP(B31,'Thống kê'!$C$3:$D$970,2, FALSE),VLOOKUP(B31,'Thống kê v2 CC'!$A$3:$D$1005,3, FALSE))</f>
        <v>#N/A</v>
      </c>
      <c r="E31" s="61">
        <v>1</v>
      </c>
      <c r="F31" s="59">
        <v>68500</v>
      </c>
      <c r="G31" s="36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</row>
    <row r="32" spans="1:23">
      <c r="A32" s="60"/>
      <c r="B32" s="61" t="s">
        <v>101</v>
      </c>
      <c r="C32" s="61" t="s">
        <v>81</v>
      </c>
      <c r="D32" s="49">
        <f>IFERROR(VLOOKUP(B32,'Thống kê'!$C$3:$D$970,2, FALSE),VLOOKUP(B32,'Thống kê v2 CC'!$A$3:$D$1005,3, FALSE))</f>
        <v>0</v>
      </c>
      <c r="E32" s="61">
        <v>1</v>
      </c>
      <c r="F32" s="59">
        <v>68500</v>
      </c>
      <c r="G32" s="59">
        <v>47316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</row>
    <row r="33" spans="1:23">
      <c r="A33" s="60"/>
      <c r="B33" s="61" t="s">
        <v>102</v>
      </c>
      <c r="C33" s="61" t="s">
        <v>81</v>
      </c>
      <c r="D33" s="49" t="e">
        <f>IFERROR(VLOOKUP(B33,'Thống kê'!$C$3:$D$970,2, FALSE),VLOOKUP(B33,'Thống kê v2 CC'!$A$3:$D$1005,3, FALSE))</f>
        <v>#N/A</v>
      </c>
      <c r="E33" s="61">
        <v>1</v>
      </c>
      <c r="F33" s="59">
        <v>68500</v>
      </c>
      <c r="G33" s="59">
        <v>47940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</row>
    <row r="34" spans="1:23">
      <c r="A34" s="60"/>
      <c r="B34" s="61" t="s">
        <v>101</v>
      </c>
      <c r="C34" s="61" t="s">
        <v>81</v>
      </c>
      <c r="D34" s="49">
        <f>IFERROR(VLOOKUP(B34,'Thống kê'!$C$3:$D$970,2, FALSE),VLOOKUP(B34,'Thống kê v2 CC'!$A$3:$D$1005,3, FALSE))</f>
        <v>0</v>
      </c>
      <c r="E34" s="61">
        <v>1</v>
      </c>
      <c r="F34" s="59">
        <v>68500</v>
      </c>
      <c r="G34" s="381">
        <v>139584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</row>
    <row r="35" spans="1:23">
      <c r="A35" s="60"/>
      <c r="B35" s="61" t="s">
        <v>103</v>
      </c>
      <c r="C35" s="61" t="s">
        <v>81</v>
      </c>
      <c r="D35" s="49">
        <f>IFERROR(VLOOKUP(B35,'Thống kê'!$C$3:$D$970,2, FALSE),VLOOKUP(B35,'Thống kê v2 CC'!$A$3:$D$1005,3, FALSE))</f>
        <v>0</v>
      </c>
      <c r="E35" s="61">
        <v>1</v>
      </c>
      <c r="F35" s="59">
        <v>59000</v>
      </c>
      <c r="G35" s="36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</row>
    <row r="36" spans="1:23">
      <c r="A36" s="60"/>
      <c r="B36" s="61" t="s">
        <v>79</v>
      </c>
      <c r="C36" s="61" t="s">
        <v>81</v>
      </c>
      <c r="D36" s="49" t="str">
        <f>IFERROR(VLOOKUP(B36,'Thống kê'!$C$3:$D$970,2, FALSE),VLOOKUP(B36,'Thống kê v2 CC'!$A$3:$D$1005,3, FALSE))</f>
        <v>Móc khóa mô hình Twinkle Mini</v>
      </c>
      <c r="E36" s="61">
        <v>1</v>
      </c>
      <c r="F36" s="59">
        <v>68500</v>
      </c>
      <c r="G36" s="36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</row>
    <row r="37" spans="1:23">
      <c r="A37" s="60"/>
      <c r="B37" s="61" t="s">
        <v>80</v>
      </c>
      <c r="C37" s="61" t="s">
        <v>81</v>
      </c>
      <c r="D37" s="49">
        <f>IFERROR(VLOOKUP(B37,'Thống kê'!$C$3:$D$970,2, FALSE),VLOOKUP(B37,'Thống kê v2 CC'!$A$3:$D$1005,3, FALSE))</f>
        <v>0</v>
      </c>
      <c r="E37" s="61">
        <v>1</v>
      </c>
      <c r="F37" s="59">
        <v>68500</v>
      </c>
      <c r="G37" s="59">
        <v>47940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</row>
    <row r="38" spans="1:23">
      <c r="A38" s="60"/>
      <c r="B38" s="61" t="s">
        <v>88</v>
      </c>
      <c r="C38" s="61" t="s">
        <v>81</v>
      </c>
      <c r="D38" s="49">
        <f>IFERROR(VLOOKUP(B38,'Thống kê'!$C$3:$D$970,2, FALSE),VLOOKUP(B38,'Thống kê v2 CC'!$A$3:$D$1005,3, FALSE))</f>
        <v>0</v>
      </c>
      <c r="E38" s="61">
        <v>1</v>
      </c>
      <c r="F38" s="59">
        <v>68500</v>
      </c>
      <c r="G38" s="59">
        <v>47316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</row>
    <row r="39" spans="1:23">
      <c r="A39" s="60"/>
      <c r="B39" s="61" t="s">
        <v>104</v>
      </c>
      <c r="C39" s="61" t="s">
        <v>81</v>
      </c>
      <c r="D39" s="49">
        <f>IFERROR(VLOOKUP(B39,'Thống kê'!$C$3:$D$970,2, FALSE),VLOOKUP(B39,'Thống kê v2 CC'!$A$3:$D$1005,3, FALSE))</f>
        <v>0</v>
      </c>
      <c r="E39" s="61">
        <v>1</v>
      </c>
      <c r="F39" s="59">
        <v>68500</v>
      </c>
      <c r="G39" s="59">
        <v>47316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</row>
    <row r="40" spans="1:23">
      <c r="A40" s="60"/>
      <c r="B40" s="61" t="s">
        <v>105</v>
      </c>
      <c r="C40" s="61" t="s">
        <v>106</v>
      </c>
      <c r="D40" s="49" t="str">
        <f>IFERROR(VLOOKUP(B40,'Thống kê'!$C$3:$D$970,2, FALSE),VLOOKUP(B40,'Thống kê v2 CC'!$A$3:$D$1005,3, FALSE))</f>
        <v>Túi đựng đồ trang điểm nhỏ</v>
      </c>
      <c r="E40" s="61">
        <v>1</v>
      </c>
      <c r="F40" s="59">
        <v>39200</v>
      </c>
      <c r="G40" s="59">
        <v>28301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</row>
    <row r="41" spans="1:23">
      <c r="A41" s="60"/>
      <c r="B41" s="61" t="s">
        <v>98</v>
      </c>
      <c r="C41" s="61" t="s">
        <v>81</v>
      </c>
      <c r="D41" s="49">
        <f>IFERROR(VLOOKUP(B41,'Thống kê'!$C$3:$D$970,2, FALSE),VLOOKUP(B41,'Thống kê v2 CC'!$A$3:$D$1005,3, FALSE))</f>
        <v>0</v>
      </c>
      <c r="E41" s="61">
        <v>1</v>
      </c>
      <c r="F41" s="59">
        <v>68500</v>
      </c>
      <c r="G41" s="59">
        <v>47940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</row>
    <row r="42" spans="1:23">
      <c r="A42" s="60"/>
      <c r="B42" s="61" t="s">
        <v>102</v>
      </c>
      <c r="C42" s="61" t="s">
        <v>81</v>
      </c>
      <c r="D42" s="49" t="e">
        <f>IFERROR(VLOOKUP(B42,'Thống kê'!$C$3:$D$970,2, FALSE),VLOOKUP(B42,'Thống kê v2 CC'!$A$3:$D$1005,3, FALSE))</f>
        <v>#N/A</v>
      </c>
      <c r="E42" s="61">
        <v>1</v>
      </c>
      <c r="F42" s="59">
        <v>68500</v>
      </c>
      <c r="G42" s="59">
        <v>47940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</row>
    <row r="43" spans="1:23">
      <c r="A43" s="60"/>
      <c r="B43" s="61" t="s">
        <v>79</v>
      </c>
      <c r="C43" s="61" t="s">
        <v>81</v>
      </c>
      <c r="D43" s="49" t="str">
        <f>IFERROR(VLOOKUP(B43,'Thống kê'!$C$3:$D$970,2, FALSE),VLOOKUP(B43,'Thống kê v2 CC'!$A$3:$D$1005,3, FALSE))</f>
        <v>Móc khóa mô hình Twinkle Mini</v>
      </c>
      <c r="E43" s="61">
        <v>1</v>
      </c>
      <c r="F43" s="59">
        <v>68500</v>
      </c>
      <c r="G43" s="381">
        <v>99653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</row>
    <row r="44" spans="1:23">
      <c r="A44" s="60"/>
      <c r="B44" s="61" t="s">
        <v>102</v>
      </c>
      <c r="C44" s="61" t="s">
        <v>81</v>
      </c>
      <c r="D44" s="49" t="e">
        <f>IFERROR(VLOOKUP(B44,'Thống kê'!$C$3:$D$970,2, FALSE),VLOOKUP(B44,'Thống kê v2 CC'!$A$3:$D$1005,3, FALSE))</f>
        <v>#N/A</v>
      </c>
      <c r="E44" s="61">
        <v>1</v>
      </c>
      <c r="F44" s="59">
        <v>68500</v>
      </c>
      <c r="G44" s="36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</row>
    <row r="45" spans="1:23">
      <c r="A45" s="62">
        <v>45862</v>
      </c>
      <c r="B45" s="61" t="s">
        <v>86</v>
      </c>
      <c r="C45" s="61" t="s">
        <v>81</v>
      </c>
      <c r="D45" s="49">
        <f>IFERROR(VLOOKUP(B45,'Thống kê'!$C$3:$D$970,2, FALSE),VLOOKUP(B45,'Thống kê v2 CC'!$A$3:$D$1005,3, FALSE))</f>
        <v>0</v>
      </c>
      <c r="E45" s="61">
        <v>1</v>
      </c>
      <c r="F45" s="59">
        <v>68500</v>
      </c>
      <c r="G45" s="381">
        <v>98395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</row>
    <row r="46" spans="1:23">
      <c r="A46" s="60"/>
      <c r="B46" s="61" t="s">
        <v>102</v>
      </c>
      <c r="C46" s="61" t="s">
        <v>81</v>
      </c>
      <c r="D46" s="49" t="e">
        <f>IFERROR(VLOOKUP(B46,'Thống kê'!$C$3:$D$970,2, FALSE),VLOOKUP(B46,'Thống kê v2 CC'!$A$3:$D$1005,3, FALSE))</f>
        <v>#N/A</v>
      </c>
      <c r="E46" s="61">
        <v>1</v>
      </c>
      <c r="F46" s="59">
        <v>68500</v>
      </c>
      <c r="G46" s="36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</row>
    <row r="47" spans="1:23">
      <c r="A47" s="60"/>
      <c r="B47" s="61" t="s">
        <v>107</v>
      </c>
      <c r="C47" s="61" t="s">
        <v>81</v>
      </c>
      <c r="D47" s="49">
        <f>IFERROR(VLOOKUP(B47,'Thống kê'!$C$3:$D$970,2, FALSE),VLOOKUP(B47,'Thống kê v2 CC'!$A$3:$D$1005,3, FALSE))</f>
        <v>0</v>
      </c>
      <c r="E47" s="61">
        <v>1</v>
      </c>
      <c r="F47" s="59">
        <v>90000</v>
      </c>
      <c r="G47" s="381">
        <v>89308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</row>
    <row r="48" spans="1:23">
      <c r="A48" s="60"/>
      <c r="B48" s="61" t="s">
        <v>94</v>
      </c>
      <c r="C48" s="61" t="s">
        <v>81</v>
      </c>
      <c r="D48" s="49" t="str">
        <f>IFERROR(VLOOKUP(B48,'Thống kê'!$C$3:$D$970,2, FALSE),VLOOKUP(B48,'Thống kê v2 CC'!$A$3:$D$1005,3, FALSE))</f>
        <v>thỏ</v>
      </c>
      <c r="E48" s="61">
        <v>1</v>
      </c>
      <c r="F48" s="59">
        <v>32200</v>
      </c>
      <c r="G48" s="36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</row>
    <row r="49" spans="1:23">
      <c r="A49" s="60"/>
      <c r="B49" s="61" t="s">
        <v>79</v>
      </c>
      <c r="C49" s="61" t="s">
        <v>81</v>
      </c>
      <c r="D49" s="49" t="str">
        <f>IFERROR(VLOOKUP(B49,'Thống kê'!$C$3:$D$970,2, FALSE),VLOOKUP(B49,'Thống kê v2 CC'!$A$3:$D$1005,3, FALSE))</f>
        <v>Móc khóa mô hình Twinkle Mini</v>
      </c>
      <c r="E49" s="61">
        <v>1</v>
      </c>
      <c r="F49" s="59">
        <v>68500</v>
      </c>
      <c r="G49" s="59">
        <v>47316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</row>
    <row r="50" spans="1:23">
      <c r="A50" s="60"/>
      <c r="B50" s="61" t="s">
        <v>108</v>
      </c>
      <c r="C50" s="61" t="s">
        <v>81</v>
      </c>
      <c r="D50" s="49">
        <f>IFERROR(VLOOKUP(B50,'Thống kê'!$C$3:$D$970,2, FALSE),VLOOKUP(B50,'Thống kê v2 CC'!$A$3:$D$1005,3, FALSE))</f>
        <v>0</v>
      </c>
      <c r="E50" s="61">
        <v>1</v>
      </c>
      <c r="F50" s="59">
        <v>69000</v>
      </c>
      <c r="G50" s="59">
        <v>48311</v>
      </c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</row>
    <row r="51" spans="1:23">
      <c r="A51" s="60"/>
      <c r="B51" s="61" t="s">
        <v>79</v>
      </c>
      <c r="C51" s="61" t="s">
        <v>81</v>
      </c>
      <c r="D51" s="49" t="str">
        <f>IFERROR(VLOOKUP(B51,'Thống kê'!$C$3:$D$970,2, FALSE),VLOOKUP(B51,'Thống kê v2 CC'!$A$3:$D$1005,3, FALSE))</f>
        <v>Móc khóa mô hình Twinkle Mini</v>
      </c>
      <c r="E51" s="61">
        <v>1</v>
      </c>
      <c r="F51" s="59">
        <v>68500</v>
      </c>
      <c r="G51" s="59">
        <v>47940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</row>
    <row r="52" spans="1:23">
      <c r="A52" s="60"/>
      <c r="B52" s="61" t="s">
        <v>104</v>
      </c>
      <c r="C52" s="61" t="s">
        <v>81</v>
      </c>
      <c r="D52" s="49">
        <f>IFERROR(VLOOKUP(B52,'Thống kê'!$C$3:$D$970,2, FALSE),VLOOKUP(B52,'Thống kê v2 CC'!$A$3:$D$1005,3, FALSE))</f>
        <v>0</v>
      </c>
      <c r="E52" s="61">
        <v>1</v>
      </c>
      <c r="F52" s="59">
        <v>68500</v>
      </c>
      <c r="G52" s="381">
        <v>146494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</row>
    <row r="53" spans="1:23">
      <c r="A53" s="60"/>
      <c r="B53" s="61" t="s">
        <v>79</v>
      </c>
      <c r="C53" s="61" t="s">
        <v>81</v>
      </c>
      <c r="D53" s="49" t="str">
        <f>IFERROR(VLOOKUP(B53,'Thống kê'!$C$3:$D$970,2, FALSE),VLOOKUP(B53,'Thống kê v2 CC'!$A$3:$D$1005,3, FALSE))</f>
        <v>Móc khóa mô hình Twinkle Mini</v>
      </c>
      <c r="E53" s="61">
        <v>1</v>
      </c>
      <c r="F53" s="59">
        <v>68500</v>
      </c>
      <c r="G53" s="36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</row>
    <row r="54" spans="1:23">
      <c r="A54" s="60"/>
      <c r="B54" s="61" t="s">
        <v>88</v>
      </c>
      <c r="C54" s="61" t="s">
        <v>81</v>
      </c>
      <c r="D54" s="49">
        <f>IFERROR(VLOOKUP(B54,'Thống kê'!$C$3:$D$970,2, FALSE),VLOOKUP(B54,'Thống kê v2 CC'!$A$3:$D$1005,3, FALSE))</f>
        <v>0</v>
      </c>
      <c r="E54" s="61">
        <v>1</v>
      </c>
      <c r="F54" s="59">
        <v>68500</v>
      </c>
      <c r="G54" s="36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</row>
    <row r="55" spans="1:23">
      <c r="A55" s="60"/>
      <c r="B55" s="61" t="s">
        <v>86</v>
      </c>
      <c r="C55" s="61" t="s">
        <v>81</v>
      </c>
      <c r="D55" s="49">
        <f>IFERROR(VLOOKUP(B55,'Thống kê'!$C$3:$D$970,2, FALSE),VLOOKUP(B55,'Thống kê v2 CC'!$A$3:$D$1005,3, FALSE))</f>
        <v>0</v>
      </c>
      <c r="E55" s="61">
        <v>1</v>
      </c>
      <c r="F55" s="59">
        <v>68500</v>
      </c>
      <c r="G55" s="59">
        <v>47940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</row>
    <row r="56" spans="1:23">
      <c r="A56" s="60"/>
      <c r="B56" s="61" t="s">
        <v>109</v>
      </c>
      <c r="C56" s="61" t="s">
        <v>81</v>
      </c>
      <c r="D56" s="49" t="e">
        <f>IFERROR(VLOOKUP(B56,'Thống kê'!$C$3:$D$970,2, FALSE),VLOOKUP(B56,'Thống kê v2 CC'!$A$3:$D$1005,3, FALSE))</f>
        <v>#N/A</v>
      </c>
      <c r="E56" s="61">
        <v>1</v>
      </c>
      <c r="F56" s="59">
        <v>95000</v>
      </c>
      <c r="G56" s="381">
        <v>286371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</row>
    <row r="57" spans="1:23">
      <c r="A57" s="60"/>
      <c r="B57" s="61" t="s">
        <v>110</v>
      </c>
      <c r="C57" s="61" t="s">
        <v>81</v>
      </c>
      <c r="D57" s="49">
        <f>IFERROR(VLOOKUP(B57,'Thống kê'!$C$3:$D$970,2, FALSE),VLOOKUP(B57,'Thống kê v2 CC'!$A$3:$D$1005,3, FALSE))</f>
        <v>0</v>
      </c>
      <c r="E57" s="61">
        <v>1</v>
      </c>
      <c r="F57" s="59">
        <v>168000</v>
      </c>
      <c r="G57" s="36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</row>
    <row r="58" spans="1:23">
      <c r="A58" s="60"/>
      <c r="B58" s="61" t="s">
        <v>111</v>
      </c>
      <c r="C58" s="61" t="s">
        <v>81</v>
      </c>
      <c r="D58" s="49">
        <f>IFERROR(VLOOKUP(B58,'Thống kê'!$C$3:$D$970,2, FALSE),VLOOKUP(B58,'Thống kê v2 CC'!$A$3:$D$1005,3, FALSE))</f>
        <v>0</v>
      </c>
      <c r="E58" s="61">
        <v>1</v>
      </c>
      <c r="F58" s="59">
        <v>120000</v>
      </c>
      <c r="G58" s="36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</row>
    <row r="59" spans="1:23">
      <c r="A59" s="60"/>
      <c r="B59" s="61" t="s">
        <v>112</v>
      </c>
      <c r="C59" s="61" t="s">
        <v>81</v>
      </c>
      <c r="D59" s="49">
        <f>IFERROR(VLOOKUP(B59,'Thống kê'!$C$3:$D$970,2, FALSE),VLOOKUP(B59,'Thống kê v2 CC'!$A$3:$D$1005,3, FALSE))</f>
        <v>0</v>
      </c>
      <c r="E59" s="61">
        <v>1</v>
      </c>
      <c r="F59" s="59">
        <v>90000</v>
      </c>
      <c r="G59" s="381">
        <v>283139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</row>
    <row r="60" spans="1:23">
      <c r="A60" s="60"/>
      <c r="B60" s="61" t="s">
        <v>113</v>
      </c>
      <c r="C60" s="61" t="s">
        <v>81</v>
      </c>
      <c r="D60" s="49" t="str">
        <f>IFERROR(VLOOKUP(B60,'Thống kê'!$C$3:$D$970,2, FALSE),VLOOKUP(B60,'Thống kê v2 CC'!$A$3:$D$1005,3, FALSE))</f>
        <v>Móc khoá Dimoo size mini (hàng remake)</v>
      </c>
      <c r="E60" s="61">
        <v>1</v>
      </c>
      <c r="F60" s="59">
        <v>79000</v>
      </c>
      <c r="G60" s="36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</row>
    <row r="61" spans="1:23">
      <c r="A61" s="60"/>
      <c r="B61" s="61" t="s">
        <v>107</v>
      </c>
      <c r="C61" s="61" t="s">
        <v>81</v>
      </c>
      <c r="D61" s="49">
        <f>IFERROR(VLOOKUP(B61,'Thống kê'!$C$3:$D$970,2, FALSE),VLOOKUP(B61,'Thống kê v2 CC'!$A$3:$D$1005,3, FALSE))</f>
        <v>0</v>
      </c>
      <c r="E61" s="61">
        <v>1</v>
      </c>
      <c r="F61" s="59">
        <v>90000</v>
      </c>
      <c r="G61" s="36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</row>
    <row r="62" spans="1:23">
      <c r="A62" s="60"/>
      <c r="B62" s="61" t="s">
        <v>114</v>
      </c>
      <c r="C62" s="61" t="s">
        <v>81</v>
      </c>
      <c r="D62" s="49" t="e">
        <f>IFERROR(VLOOKUP(B62,'Thống kê'!$C$3:$D$970,2, FALSE),VLOOKUP(B62,'Thống kê v2 CC'!$A$3:$D$1005,3, FALSE))</f>
        <v>#N/A</v>
      </c>
      <c r="E62" s="61">
        <v>1</v>
      </c>
      <c r="F62" s="59">
        <v>120000</v>
      </c>
      <c r="G62" s="36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</row>
    <row r="63" spans="1:23">
      <c r="A63" s="60"/>
      <c r="B63" s="61" t="s">
        <v>115</v>
      </c>
      <c r="C63" s="61" t="s">
        <v>81</v>
      </c>
      <c r="D63" s="49" t="str">
        <f>IFERROR(VLOOKUP(B63,'Thống kê'!$C$3:$D$970,2, FALSE),VLOOKUP(B63,'Thống kê v2 CC'!$A$3:$D$1005,3, FALSE))</f>
        <v>Heo ú</v>
      </c>
      <c r="E63" s="61">
        <v>1</v>
      </c>
      <c r="F63" s="59">
        <v>69000</v>
      </c>
      <c r="G63" s="381">
        <v>106847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</row>
    <row r="64" spans="1:23">
      <c r="A64" s="60"/>
      <c r="B64" s="61" t="s">
        <v>116</v>
      </c>
      <c r="C64" s="61" t="s">
        <v>81</v>
      </c>
      <c r="D64" s="49" t="str">
        <f>IFERROR(VLOOKUP(B64,'Thống kê'!$C$3:$D$970,2, FALSE),VLOOKUP(B64,'Thống kê v2 CC'!$A$3:$D$1005,3, FALSE))</f>
        <v>heo ú cầm hoa</v>
      </c>
      <c r="E64" s="61">
        <v>1</v>
      </c>
      <c r="F64" s="59">
        <v>82000</v>
      </c>
      <c r="G64" s="36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</row>
    <row r="65" spans="1:23">
      <c r="A65" s="60"/>
      <c r="B65" s="61" t="s">
        <v>101</v>
      </c>
      <c r="C65" s="61" t="s">
        <v>81</v>
      </c>
      <c r="D65" s="49">
        <f>IFERROR(VLOOKUP(B65,'Thống kê'!$C$3:$D$970,2, FALSE),VLOOKUP(B65,'Thống kê v2 CC'!$A$3:$D$1005,3, FALSE))</f>
        <v>0</v>
      </c>
      <c r="E65" s="61">
        <v>1</v>
      </c>
      <c r="F65" s="59">
        <v>68500</v>
      </c>
      <c r="G65" s="381">
        <v>146494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</row>
    <row r="66" spans="1:23">
      <c r="A66" s="60"/>
      <c r="B66" s="61" t="s">
        <v>117</v>
      </c>
      <c r="C66" s="61" t="s">
        <v>81</v>
      </c>
      <c r="D66" s="49">
        <f>IFERROR(VLOOKUP(B66,'Thống kê'!$C$3:$D$970,2, FALSE),VLOOKUP(B66,'Thống kê v2 CC'!$A$3:$D$1005,3, FALSE))</f>
        <v>0</v>
      </c>
      <c r="E66" s="61">
        <v>1</v>
      </c>
      <c r="F66" s="59">
        <v>68500</v>
      </c>
      <c r="G66" s="36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</row>
    <row r="67" spans="1:23">
      <c r="A67" s="60"/>
      <c r="B67" s="61" t="s">
        <v>118</v>
      </c>
      <c r="C67" s="61" t="s">
        <v>81</v>
      </c>
      <c r="D67" s="49">
        <f>IFERROR(VLOOKUP(B67,'Thống kê'!$C$3:$D$970,2, FALSE),VLOOKUP(B67,'Thống kê v2 CC'!$A$3:$D$1005,3, FALSE))</f>
        <v>0</v>
      </c>
      <c r="E67" s="61">
        <v>1</v>
      </c>
      <c r="F67" s="59">
        <v>68500</v>
      </c>
      <c r="G67" s="36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</row>
    <row r="68" spans="1:23">
      <c r="A68" s="60"/>
      <c r="B68" s="61" t="s">
        <v>119</v>
      </c>
      <c r="C68" s="61" t="s">
        <v>81</v>
      </c>
      <c r="D68" s="49" t="str">
        <f>IFERROR(VLOOKUP(B68,'Thống kê'!$C$3:$D$970,2, FALSE),VLOOKUP(B68,'Thống kê v2 CC'!$A$3:$D$1005,3, FALSE))</f>
        <v>Thỏ chạy xe gắn xe</v>
      </c>
      <c r="E68" s="61">
        <v>1</v>
      </c>
      <c r="F68" s="59">
        <v>39000</v>
      </c>
      <c r="G68" s="381">
        <v>338506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</row>
    <row r="69" spans="1:23">
      <c r="A69" s="60"/>
      <c r="B69" s="61" t="s">
        <v>120</v>
      </c>
      <c r="C69" s="61" t="s">
        <v>81</v>
      </c>
      <c r="D69" s="49" t="e">
        <f>IFERROR(VLOOKUP(B69,'Thống kê'!$C$3:$D$970,2, FALSE),VLOOKUP(B69,'Thống kê v2 CC'!$A$3:$D$1005,3, FALSE))</f>
        <v>#N/A</v>
      </c>
      <c r="E69" s="61">
        <v>1</v>
      </c>
      <c r="F69" s="59">
        <v>114000</v>
      </c>
      <c r="G69" s="36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</row>
    <row r="70" spans="1:23">
      <c r="A70" s="60"/>
      <c r="B70" s="61" t="s">
        <v>121</v>
      </c>
      <c r="C70" s="61" t="s">
        <v>122</v>
      </c>
      <c r="D70" s="49" t="e">
        <f>IFERROR(VLOOKUP(B70,'Thống kê'!$C$3:$D$970,2, FALSE),VLOOKUP(B70,'Thống kê v2 CC'!$A$3:$D$1005,3, FALSE))</f>
        <v>#N/A</v>
      </c>
      <c r="E70" s="61">
        <v>1</v>
      </c>
      <c r="F70" s="59">
        <v>131000</v>
      </c>
      <c r="G70" s="36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</row>
    <row r="71" spans="1:23">
      <c r="A71" s="60"/>
      <c r="B71" s="60"/>
      <c r="C71" s="61" t="s">
        <v>123</v>
      </c>
      <c r="D71" s="49" t="e">
        <f>IFERROR(VLOOKUP(B71,'Thống kê'!$C$3:$D$970,2, FALSE),VLOOKUP(B71,'Thống kê v2 CC'!$A$3:$D$1005,3, FALSE))</f>
        <v>#N/A</v>
      </c>
      <c r="E71" s="61">
        <v>1</v>
      </c>
      <c r="F71" s="59">
        <v>162000</v>
      </c>
      <c r="G71" s="36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</row>
    <row r="72" spans="1:23">
      <c r="A72" s="60"/>
      <c r="B72" s="61" t="s">
        <v>114</v>
      </c>
      <c r="C72" s="61" t="s">
        <v>81</v>
      </c>
      <c r="D72" s="49" t="e">
        <f>IFERROR(VLOOKUP(B72,'Thống kê'!$C$3:$D$970,2, FALSE),VLOOKUP(B72,'Thống kê v2 CC'!$A$3:$D$1005,3, FALSE))</f>
        <v>#N/A</v>
      </c>
      <c r="E72" s="61">
        <v>1</v>
      </c>
      <c r="F72" s="59">
        <v>120000</v>
      </c>
      <c r="G72" s="59">
        <v>86236</v>
      </c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</row>
    <row r="73" spans="1:23">
      <c r="A73" s="60"/>
      <c r="B73" s="61" t="s">
        <v>114</v>
      </c>
      <c r="C73" s="61" t="s">
        <v>81</v>
      </c>
      <c r="D73" s="49" t="e">
        <f>IFERROR(VLOOKUP(B73,'Thống kê'!$C$3:$D$970,2, FALSE),VLOOKUP(B73,'Thống kê v2 CC'!$A$3:$D$1005,3, FALSE))</f>
        <v>#N/A</v>
      </c>
      <c r="E73" s="61">
        <v>1</v>
      </c>
      <c r="F73" s="59">
        <v>120000</v>
      </c>
      <c r="G73" s="59">
        <v>85143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</row>
    <row r="74" spans="1:23">
      <c r="A74" s="60"/>
      <c r="B74" s="61" t="s">
        <v>79</v>
      </c>
      <c r="C74" s="61" t="s">
        <v>81</v>
      </c>
      <c r="D74" s="49" t="str">
        <f>IFERROR(VLOOKUP(B74,'Thống kê'!$C$3:$D$970,2, FALSE),VLOOKUP(B74,'Thống kê v2 CC'!$A$3:$D$1005,3, FALSE))</f>
        <v>Móc khóa mô hình Twinkle Mini</v>
      </c>
      <c r="E74" s="61">
        <v>1</v>
      </c>
      <c r="F74" s="59">
        <v>68500</v>
      </c>
      <c r="G74" s="381">
        <v>198266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</row>
    <row r="75" spans="1:23">
      <c r="A75" s="60"/>
      <c r="B75" s="61" t="s">
        <v>102</v>
      </c>
      <c r="C75" s="61" t="s">
        <v>81</v>
      </c>
      <c r="D75" s="49" t="e">
        <f>IFERROR(VLOOKUP(B75,'Thống kê'!$C$3:$D$970,2, FALSE),VLOOKUP(B75,'Thống kê v2 CC'!$A$3:$D$1005,3, FALSE))</f>
        <v>#N/A</v>
      </c>
      <c r="E75" s="61">
        <v>1</v>
      </c>
      <c r="F75" s="59">
        <v>68500</v>
      </c>
      <c r="G75" s="36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</row>
    <row r="76" spans="1:23">
      <c r="A76" s="60"/>
      <c r="B76" s="61" t="s">
        <v>97</v>
      </c>
      <c r="C76" s="61" t="s">
        <v>81</v>
      </c>
      <c r="D76" s="49">
        <f>IFERROR(VLOOKUP(B76,'Thống kê'!$C$3:$D$970,2, FALSE),VLOOKUP(B76,'Thống kê v2 CC'!$A$3:$D$1005,3, FALSE))</f>
        <v>0</v>
      </c>
      <c r="E76" s="61">
        <v>1</v>
      </c>
      <c r="F76" s="59">
        <v>68500</v>
      </c>
      <c r="G76" s="36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</row>
    <row r="77" spans="1:23">
      <c r="A77" s="60"/>
      <c r="B77" s="61" t="s">
        <v>99</v>
      </c>
      <c r="C77" s="61" t="s">
        <v>81</v>
      </c>
      <c r="D77" s="49" t="e">
        <f>IFERROR(VLOOKUP(B77,'Thống kê'!$C$3:$D$970,2, FALSE),VLOOKUP(B77,'Thống kê v2 CC'!$A$3:$D$1005,3, FALSE))</f>
        <v>#N/A</v>
      </c>
      <c r="E77" s="61">
        <v>1</v>
      </c>
      <c r="F77" s="59">
        <v>68500</v>
      </c>
      <c r="G77" s="36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</row>
    <row r="78" spans="1:23">
      <c r="A78" s="60"/>
      <c r="B78" s="61" t="s">
        <v>124</v>
      </c>
      <c r="C78" s="61" t="s">
        <v>81</v>
      </c>
      <c r="D78" s="49" t="e">
        <f>IFERROR(VLOOKUP(B78,'Thống kê'!$C$3:$D$970,2, FALSE),VLOOKUP(B78,'Thống kê v2 CC'!$A$3:$D$1005,3, FALSE))</f>
        <v>#N/A</v>
      </c>
      <c r="E78" s="61">
        <v>1</v>
      </c>
      <c r="F78" s="59">
        <v>191000</v>
      </c>
      <c r="G78" s="59">
        <v>137508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</row>
    <row r="79" spans="1:23">
      <c r="A79" s="60"/>
      <c r="B79" s="61" t="s">
        <v>125</v>
      </c>
      <c r="C79" s="61" t="s">
        <v>81</v>
      </c>
      <c r="D79" s="49">
        <f>IFERROR(VLOOKUP(B79,'Thống kê'!$C$3:$D$970,2, FALSE),VLOOKUP(B79,'Thống kê v2 CC'!$A$3:$D$1005,3, FALSE))</f>
        <v>0</v>
      </c>
      <c r="E79" s="61">
        <v>1</v>
      </c>
      <c r="F79" s="59">
        <v>79000</v>
      </c>
      <c r="G79" s="59">
        <v>56459</v>
      </c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</row>
    <row r="80" spans="1:23">
      <c r="A80" s="60"/>
      <c r="B80" s="61" t="s">
        <v>126</v>
      </c>
      <c r="C80" s="61" t="s">
        <v>81</v>
      </c>
      <c r="D80" s="49">
        <f>IFERROR(VLOOKUP(B80,'Thống kê'!$C$3:$D$970,2, FALSE),VLOOKUP(B80,'Thống kê v2 CC'!$A$3:$D$1005,3, FALSE))</f>
        <v>0</v>
      </c>
      <c r="E80" s="61">
        <v>1</v>
      </c>
      <c r="F80" s="59">
        <v>68500</v>
      </c>
      <c r="G80" s="381">
        <v>145883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</row>
    <row r="81" spans="1:23">
      <c r="A81" s="60"/>
      <c r="B81" s="61" t="s">
        <v>127</v>
      </c>
      <c r="C81" s="61" t="s">
        <v>81</v>
      </c>
      <c r="D81" s="49">
        <f>IFERROR(VLOOKUP(B81,'Thống kê'!$C$3:$D$970,2, FALSE),VLOOKUP(B81,'Thống kê v2 CC'!$A$3:$D$1005,3, FALSE))</f>
        <v>0</v>
      </c>
      <c r="E81" s="61">
        <v>1</v>
      </c>
      <c r="F81" s="59">
        <v>68500</v>
      </c>
      <c r="G81" s="36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</row>
    <row r="82" spans="1:23">
      <c r="A82" s="60"/>
      <c r="B82" s="61" t="s">
        <v>118</v>
      </c>
      <c r="C82" s="61" t="s">
        <v>81</v>
      </c>
      <c r="D82" s="49">
        <f>IFERROR(VLOOKUP(B82,'Thống kê'!$C$3:$D$970,2, FALSE),VLOOKUP(B82,'Thống kê v2 CC'!$A$3:$D$1005,3, FALSE))</f>
        <v>0</v>
      </c>
      <c r="E82" s="61">
        <v>1</v>
      </c>
      <c r="F82" s="59">
        <v>68500</v>
      </c>
      <c r="G82" s="36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</row>
    <row r="83" spans="1:23">
      <c r="A83" s="60"/>
      <c r="B83" s="61" t="s">
        <v>128</v>
      </c>
      <c r="C83" s="61" t="s">
        <v>81</v>
      </c>
      <c r="D83" s="49" t="str">
        <f>IFERROR(VLOOKUP(B83,'Thống kê'!$C$3:$D$970,2, FALSE),VLOOKUP(B83,'Thống kê v2 CC'!$A$3:$D$1005,3, FALSE))</f>
        <v>Mèo ú bay</v>
      </c>
      <c r="E83" s="61">
        <v>1</v>
      </c>
      <c r="F83" s="59">
        <v>82000</v>
      </c>
      <c r="G83" s="381">
        <v>86980</v>
      </c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</row>
    <row r="84" spans="1:23">
      <c r="A84" s="60"/>
      <c r="B84" s="61" t="s">
        <v>129</v>
      </c>
      <c r="C84" s="61" t="s">
        <v>81</v>
      </c>
      <c r="D84" s="49">
        <f>IFERROR(VLOOKUP(B84,'Thống kê'!$C$3:$D$970,2, FALSE),VLOOKUP(B84,'Thống kê v2 CC'!$A$3:$D$1005,3, FALSE))</f>
        <v>0</v>
      </c>
      <c r="E84" s="61">
        <v>1</v>
      </c>
      <c r="F84" s="59">
        <v>39000</v>
      </c>
      <c r="G84" s="36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</row>
    <row r="85" spans="1:23">
      <c r="A85" s="62">
        <v>45863</v>
      </c>
      <c r="B85" s="61" t="s">
        <v>77</v>
      </c>
      <c r="C85" s="61" t="s">
        <v>81</v>
      </c>
      <c r="D85" s="49">
        <f>IFERROR(VLOOKUP(B85,'Thống kê'!$C$3:$D$970,2, FALSE),VLOOKUP(B85,'Thống kê v2 CC'!$A$3:$D$1005,3, FALSE))</f>
        <v>0</v>
      </c>
      <c r="E85" s="61">
        <v>1</v>
      </c>
      <c r="F85" s="59">
        <v>119000</v>
      </c>
      <c r="G85" s="59">
        <v>85272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</row>
    <row r="86" spans="1:23">
      <c r="A86" s="60"/>
      <c r="B86" s="61" t="s">
        <v>114</v>
      </c>
      <c r="C86" s="61" t="s">
        <v>81</v>
      </c>
      <c r="D86" s="49" t="e">
        <f>IFERROR(VLOOKUP(B86,'Thống kê'!$C$3:$D$970,2, FALSE),VLOOKUP(B86,'Thống kê v2 CC'!$A$3:$D$1005,3, FALSE))</f>
        <v>#N/A</v>
      </c>
      <c r="E86" s="61">
        <v>1</v>
      </c>
      <c r="F86" s="59">
        <v>120000</v>
      </c>
      <c r="G86" s="59">
        <v>85143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</row>
    <row r="87" spans="1:23">
      <c r="A87" s="60"/>
      <c r="B87" s="61" t="s">
        <v>127</v>
      </c>
      <c r="C87" s="61" t="s">
        <v>81</v>
      </c>
      <c r="D87" s="49">
        <f>IFERROR(VLOOKUP(B87,'Thống kê'!$C$3:$D$970,2, FALSE),VLOOKUP(B87,'Thống kê v2 CC'!$A$3:$D$1005,3, FALSE))</f>
        <v>0</v>
      </c>
      <c r="E87" s="61">
        <v>1</v>
      </c>
      <c r="F87" s="59">
        <v>68500</v>
      </c>
      <c r="G87" s="59">
        <v>47316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</row>
    <row r="88" spans="1:23">
      <c r="A88" s="60"/>
      <c r="B88" s="61" t="s">
        <v>80</v>
      </c>
      <c r="C88" s="61" t="s">
        <v>81</v>
      </c>
      <c r="D88" s="49">
        <f>IFERROR(VLOOKUP(B88,'Thống kê'!$C$3:$D$970,2, FALSE),VLOOKUP(B88,'Thống kê v2 CC'!$A$3:$D$1005,3, FALSE))</f>
        <v>0</v>
      </c>
      <c r="E88" s="61">
        <v>1</v>
      </c>
      <c r="F88" s="59">
        <v>68500</v>
      </c>
      <c r="G88" s="59">
        <v>47316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</row>
    <row r="89" spans="1:23">
      <c r="A89" s="60"/>
      <c r="B89" s="61" t="s">
        <v>130</v>
      </c>
      <c r="C89" s="61" t="s">
        <v>81</v>
      </c>
      <c r="D89" s="49" t="e">
        <f>IFERROR(VLOOKUP(B89,'Thống kê'!$C$3:$D$970,2, FALSE),VLOOKUP(B89,'Thống kê v2 CC'!$A$3:$D$1005,3, FALSE))</f>
        <v>#N/A</v>
      </c>
      <c r="E89" s="61">
        <v>1</v>
      </c>
      <c r="F89" s="59">
        <v>9000</v>
      </c>
      <c r="G89" s="381">
        <v>139034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</row>
    <row r="90" spans="1:23">
      <c r="A90" s="60"/>
      <c r="B90" s="61" t="s">
        <v>114</v>
      </c>
      <c r="C90" s="61" t="s">
        <v>81</v>
      </c>
      <c r="D90" s="49" t="e">
        <f>IFERROR(VLOOKUP(B90,'Thống kê'!$C$3:$D$970,2, FALSE),VLOOKUP(B90,'Thống kê v2 CC'!$A$3:$D$1005,3, FALSE))</f>
        <v>#N/A</v>
      </c>
      <c r="E90" s="61">
        <v>1</v>
      </c>
      <c r="F90" s="59">
        <v>120000</v>
      </c>
      <c r="G90" s="36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</row>
    <row r="91" spans="1:23">
      <c r="A91" s="60"/>
      <c r="B91" s="61" t="s">
        <v>95</v>
      </c>
      <c r="C91" s="61" t="s">
        <v>81</v>
      </c>
      <c r="D91" s="49">
        <f>IFERROR(VLOOKUP(B91,'Thống kê'!$C$3:$D$970,2, FALSE),VLOOKUP(B91,'Thống kê v2 CC'!$A$3:$D$1005,3, FALSE))</f>
        <v>0</v>
      </c>
      <c r="E91" s="61">
        <v>1</v>
      </c>
      <c r="F91" s="59">
        <v>68500</v>
      </c>
      <c r="G91" s="36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</row>
    <row r="92" spans="1:23">
      <c r="A92" s="60"/>
      <c r="B92" s="61" t="s">
        <v>131</v>
      </c>
      <c r="C92" s="61" t="s">
        <v>81</v>
      </c>
      <c r="D92" s="49" t="e">
        <f>IFERROR(VLOOKUP(B92,'Thống kê'!$C$3:$D$970,2, FALSE),VLOOKUP(B92,'Thống kê v2 CC'!$A$3:$D$1005,3, FALSE))</f>
        <v>#N/A</v>
      </c>
      <c r="E92" s="61">
        <v>1</v>
      </c>
      <c r="F92" s="59">
        <v>209000</v>
      </c>
      <c r="G92" s="59">
        <v>150884</v>
      </c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</row>
    <row r="93" spans="1:23">
      <c r="A93" s="60"/>
      <c r="B93" s="61" t="s">
        <v>132</v>
      </c>
      <c r="C93" s="61" t="s">
        <v>81</v>
      </c>
      <c r="D93" s="49">
        <f>IFERROR(VLOOKUP(B93,'Thống kê'!$C$3:$D$970,2, FALSE),VLOOKUP(B93,'Thống kê v2 CC'!$A$3:$D$1005,3, FALSE))</f>
        <v>0</v>
      </c>
      <c r="E93" s="61">
        <v>1</v>
      </c>
      <c r="F93" s="59">
        <v>68500</v>
      </c>
      <c r="G93" s="381">
        <v>99653</v>
      </c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</row>
    <row r="94" spans="1:23">
      <c r="A94" s="60"/>
      <c r="B94" s="61" t="s">
        <v>86</v>
      </c>
      <c r="C94" s="61" t="s">
        <v>81</v>
      </c>
      <c r="D94" s="49">
        <f>IFERROR(VLOOKUP(B94,'Thống kê'!$C$3:$D$970,2, FALSE),VLOOKUP(B94,'Thống kê v2 CC'!$A$3:$D$1005,3, FALSE))</f>
        <v>0</v>
      </c>
      <c r="E94" s="61">
        <v>1</v>
      </c>
      <c r="F94" s="59">
        <v>68500</v>
      </c>
      <c r="G94" s="36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</row>
    <row r="95" spans="1:23">
      <c r="A95" s="62"/>
      <c r="B95" s="61" t="s">
        <v>95</v>
      </c>
      <c r="C95" s="61" t="s">
        <v>81</v>
      </c>
      <c r="D95" s="49">
        <f>IFERROR(VLOOKUP(B95,'Thống kê'!$C$3:$D$970,2, FALSE),VLOOKUP(B95,'Thống kê v2 CC'!$A$3:$D$1005,3, FALSE))</f>
        <v>0</v>
      </c>
      <c r="E95" s="61">
        <v>1</v>
      </c>
      <c r="F95" s="59">
        <v>68500</v>
      </c>
      <c r="G95" s="59">
        <v>47940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</row>
    <row r="96" spans="1:23">
      <c r="A96" s="60"/>
      <c r="B96" s="61" t="s">
        <v>77</v>
      </c>
      <c r="C96" s="61" t="s">
        <v>81</v>
      </c>
      <c r="D96" s="49">
        <f>IFERROR(VLOOKUP(B96,'Thống kê'!$C$3:$D$970,2, FALSE),VLOOKUP(B96,'Thống kê v2 CC'!$A$3:$D$1005,3, FALSE))</f>
        <v>0</v>
      </c>
      <c r="E96" s="61">
        <v>1</v>
      </c>
      <c r="F96" s="59">
        <v>119000</v>
      </c>
      <c r="G96" s="381">
        <v>339226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</row>
    <row r="97" spans="1:23">
      <c r="A97" s="60"/>
      <c r="B97" s="61" t="s">
        <v>133</v>
      </c>
      <c r="C97" s="61" t="s">
        <v>81</v>
      </c>
      <c r="D97" s="49">
        <f>IFERROR(VLOOKUP(B97,'Thống kê'!$C$3:$D$970,2, FALSE),VLOOKUP(B97,'Thống kê v2 CC'!$A$3:$D$1005,3, FALSE))</f>
        <v>0</v>
      </c>
      <c r="E97" s="61">
        <v>1</v>
      </c>
      <c r="F97" s="59">
        <v>119000</v>
      </c>
      <c r="G97" s="36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</row>
    <row r="98" spans="1:23">
      <c r="A98" s="60"/>
      <c r="B98" s="61" t="s">
        <v>131</v>
      </c>
      <c r="C98" s="61" t="s">
        <v>81</v>
      </c>
      <c r="D98" s="49" t="e">
        <f>IFERROR(VLOOKUP(B98,'Thống kê'!$C$3:$D$970,2, FALSE),VLOOKUP(B98,'Thống kê v2 CC'!$A$3:$D$1005,3, FALSE))</f>
        <v>#N/A</v>
      </c>
      <c r="E98" s="61">
        <v>1</v>
      </c>
      <c r="F98" s="59">
        <v>209000</v>
      </c>
      <c r="G98" s="36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</row>
    <row r="99" spans="1:23">
      <c r="A99" s="60"/>
      <c r="B99" s="61" t="s">
        <v>134</v>
      </c>
      <c r="C99" s="61" t="s">
        <v>81</v>
      </c>
      <c r="D99" s="49">
        <f>IFERROR(VLOOKUP(B99,'Thống kê'!$C$3:$D$970,2, FALSE),VLOOKUP(B99,'Thống kê v2 CC'!$A$3:$D$1005,3, FALSE))</f>
        <v>0</v>
      </c>
      <c r="E99" s="61">
        <v>1</v>
      </c>
      <c r="F99" s="59">
        <v>68500</v>
      </c>
      <c r="G99" s="59">
        <v>47316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spans="1:23">
      <c r="A100" s="60"/>
      <c r="B100" s="61" t="s">
        <v>135</v>
      </c>
      <c r="C100" s="61" t="s">
        <v>81</v>
      </c>
      <c r="D100" s="49">
        <f>IFERROR(VLOOKUP(B100,'Thống kê'!$C$3:$D$970,2, FALSE),VLOOKUP(B100,'Thống kê v2 CC'!$A$3:$D$1005,3, FALSE))</f>
        <v>0</v>
      </c>
      <c r="E100" s="61">
        <v>1</v>
      </c>
      <c r="F100" s="59">
        <v>68500</v>
      </c>
      <c r="G100" s="59">
        <v>47316</v>
      </c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</row>
    <row r="101" spans="1:23">
      <c r="A101" s="60"/>
      <c r="B101" s="61" t="s">
        <v>92</v>
      </c>
      <c r="C101" s="61" t="s">
        <v>81</v>
      </c>
      <c r="D101" s="49" t="e">
        <f>IFERROR(VLOOKUP(B101,'Thống kê'!$C$3:$D$970,2, FALSE),VLOOKUP(B101,'Thống kê v2 CC'!$A$3:$D$1005,3, FALSE))</f>
        <v>#N/A</v>
      </c>
      <c r="E101" s="61">
        <v>1</v>
      </c>
      <c r="F101" s="59">
        <v>68500</v>
      </c>
      <c r="G101" s="59">
        <v>47316</v>
      </c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</row>
    <row r="102" spans="1:23">
      <c r="A102" s="60"/>
      <c r="B102" s="61" t="s">
        <v>136</v>
      </c>
      <c r="C102" s="61" t="s">
        <v>81</v>
      </c>
      <c r="D102" s="49" t="e">
        <f>IFERROR(VLOOKUP(B102,'Thống kê'!$C$3:$D$970,2, FALSE),VLOOKUP(B102,'Thống kê v2 CC'!$A$3:$D$1005,3, FALSE))</f>
        <v>#N/A</v>
      </c>
      <c r="E102" s="61">
        <v>1</v>
      </c>
      <c r="F102" s="59">
        <v>150000</v>
      </c>
      <c r="G102" s="59">
        <v>107443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</row>
    <row r="103" spans="1:23">
      <c r="A103" s="60"/>
      <c r="B103" s="61" t="s">
        <v>88</v>
      </c>
      <c r="C103" s="61" t="s">
        <v>81</v>
      </c>
      <c r="D103" s="49">
        <f>IFERROR(VLOOKUP(B103,'Thống kê'!$C$3:$D$970,2, FALSE),VLOOKUP(B103,'Thống kê v2 CC'!$A$3:$D$1005,3, FALSE))</f>
        <v>0</v>
      </c>
      <c r="E103" s="61">
        <v>1</v>
      </c>
      <c r="F103" s="59">
        <v>68500</v>
      </c>
      <c r="G103" s="59">
        <v>47940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</row>
    <row r="104" spans="1:23">
      <c r="A104" s="60"/>
      <c r="B104" s="61" t="s">
        <v>86</v>
      </c>
      <c r="C104" s="61" t="s">
        <v>81</v>
      </c>
      <c r="D104" s="49">
        <f>IFERROR(VLOOKUP(B104,'Thống kê'!$C$3:$D$970,2, FALSE),VLOOKUP(B104,'Thống kê v2 CC'!$A$3:$D$1005,3, FALSE))</f>
        <v>0</v>
      </c>
      <c r="E104" s="61">
        <v>1</v>
      </c>
      <c r="F104" s="59">
        <v>68500</v>
      </c>
      <c r="G104" s="59">
        <v>47316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</row>
    <row r="105" spans="1:23">
      <c r="A105" s="60"/>
      <c r="B105" s="61" t="s">
        <v>111</v>
      </c>
      <c r="C105" s="61" t="s">
        <v>81</v>
      </c>
      <c r="D105" s="49">
        <f>IFERROR(VLOOKUP(B105,'Thống kê'!$C$3:$D$970,2, FALSE),VLOOKUP(B105,'Thống kê v2 CC'!$A$3:$D$1005,3, FALSE))</f>
        <v>0</v>
      </c>
      <c r="E105" s="61">
        <v>1</v>
      </c>
      <c r="F105" s="59">
        <v>68500</v>
      </c>
      <c r="G105" s="381">
        <v>99653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</row>
    <row r="106" spans="1:23">
      <c r="A106" s="60"/>
      <c r="B106" s="61" t="s">
        <v>104</v>
      </c>
      <c r="C106" s="61" t="s">
        <v>81</v>
      </c>
      <c r="D106" s="49">
        <f>IFERROR(VLOOKUP(B106,'Thống kê'!$C$3:$D$970,2, FALSE),VLOOKUP(B106,'Thống kê v2 CC'!$A$3:$D$1005,3, FALSE))</f>
        <v>0</v>
      </c>
      <c r="E106" s="61">
        <v>1</v>
      </c>
      <c r="F106" s="59">
        <v>68500</v>
      </c>
      <c r="G106" s="36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</row>
    <row r="107" spans="1:23">
      <c r="A107" s="60"/>
      <c r="B107" s="61" t="s">
        <v>104</v>
      </c>
      <c r="C107" s="61" t="s">
        <v>81</v>
      </c>
      <c r="D107" s="49">
        <f>IFERROR(VLOOKUP(B107,'Thống kê'!$C$3:$D$970,2, FALSE),VLOOKUP(B107,'Thống kê v2 CC'!$A$3:$D$1005,3, FALSE))</f>
        <v>0</v>
      </c>
      <c r="E107" s="61">
        <v>2</v>
      </c>
      <c r="F107" s="59">
        <v>68500</v>
      </c>
      <c r="G107" s="59">
        <v>99654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</row>
    <row r="108" spans="1:23">
      <c r="A108" s="60"/>
      <c r="B108" s="61" t="s">
        <v>103</v>
      </c>
      <c r="C108" s="61" t="s">
        <v>81</v>
      </c>
      <c r="D108" s="49">
        <f>IFERROR(VLOOKUP(B108,'Thống kê'!$C$3:$D$970,2, FALSE),VLOOKUP(B108,'Thống kê v2 CC'!$A$3:$D$1005,3, FALSE))</f>
        <v>0</v>
      </c>
      <c r="E108" s="61">
        <v>1</v>
      </c>
      <c r="F108" s="59">
        <v>69000</v>
      </c>
      <c r="G108" s="381">
        <v>100462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</row>
    <row r="109" spans="1:23">
      <c r="A109" s="60"/>
      <c r="B109" s="61" t="s">
        <v>137</v>
      </c>
      <c r="C109" s="61" t="s">
        <v>81</v>
      </c>
      <c r="D109" s="49">
        <f>IFERROR(VLOOKUP(B109,'Thống kê'!$C$3:$D$970,2, FALSE),VLOOKUP(B109,'Thống kê v2 CC'!$A$3:$D$1005,3, FALSE))</f>
        <v>0</v>
      </c>
      <c r="E109" s="61">
        <v>1</v>
      </c>
      <c r="F109" s="59">
        <v>69000</v>
      </c>
      <c r="G109" s="36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</row>
    <row r="110" spans="1:23">
      <c r="A110" s="60"/>
      <c r="B110" s="61" t="s">
        <v>138</v>
      </c>
      <c r="C110" s="61" t="s">
        <v>81</v>
      </c>
      <c r="D110" s="49" t="str">
        <f>IFERROR(VLOOKUP(B110,'Thống kê'!$C$3:$D$970,2, FALSE),VLOOKUP(B110,'Thống kê v2 CC'!$A$3:$D$1005,3, FALSE))</f>
        <v>Móc khoá Crybaby mini Popmart</v>
      </c>
      <c r="E110" s="61">
        <v>1</v>
      </c>
      <c r="F110" s="59">
        <v>99000</v>
      </c>
      <c r="G110" s="59">
        <v>70620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</row>
    <row r="111" spans="1:23">
      <c r="A111" s="60"/>
      <c r="B111" s="61" t="s">
        <v>139</v>
      </c>
      <c r="C111" s="61" t="s">
        <v>81</v>
      </c>
      <c r="D111" s="49" t="e">
        <f>IFERROR(VLOOKUP(B111,'Thống kê'!$C$3:$D$970,2, FALSE),VLOOKUP(B111,'Thống kê v2 CC'!$A$3:$D$1005,3, FALSE))</f>
        <v>#N/A</v>
      </c>
      <c r="E111" s="61">
        <v>1</v>
      </c>
      <c r="F111" s="59">
        <v>108000</v>
      </c>
      <c r="G111" s="59">
        <v>77312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</row>
    <row r="112" spans="1:23">
      <c r="A112" s="60"/>
      <c r="B112" s="61" t="s">
        <v>126</v>
      </c>
      <c r="C112" s="61" t="s">
        <v>81</v>
      </c>
      <c r="D112" s="49">
        <f>IFERROR(VLOOKUP(B112,'Thống kê'!$C$3:$D$970,2, FALSE),VLOOKUP(B112,'Thống kê v2 CC'!$A$3:$D$1005,3, FALSE))</f>
        <v>0</v>
      </c>
      <c r="E112" s="61">
        <v>1</v>
      </c>
      <c r="F112" s="59">
        <v>68500</v>
      </c>
      <c r="G112" s="381">
        <v>145883</v>
      </c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</row>
    <row r="113" spans="1:23">
      <c r="A113" s="60"/>
      <c r="B113" s="61" t="s">
        <v>127</v>
      </c>
      <c r="C113" s="61" t="s">
        <v>81</v>
      </c>
      <c r="D113" s="49">
        <f>IFERROR(VLOOKUP(B113,'Thống kê'!$C$3:$D$970,2, FALSE),VLOOKUP(B113,'Thống kê v2 CC'!$A$3:$D$1005,3, FALSE))</f>
        <v>0</v>
      </c>
      <c r="E113" s="61">
        <v>1</v>
      </c>
      <c r="F113" s="59">
        <v>68500</v>
      </c>
      <c r="G113" s="36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</row>
    <row r="114" spans="1:23">
      <c r="A114" s="60"/>
      <c r="B114" s="61" t="s">
        <v>118</v>
      </c>
      <c r="C114" s="61" t="s">
        <v>81</v>
      </c>
      <c r="D114" s="49">
        <f>IFERROR(VLOOKUP(B114,'Thống kê'!$C$3:$D$970,2, FALSE),VLOOKUP(B114,'Thống kê v2 CC'!$A$3:$D$1005,3, FALSE))</f>
        <v>0</v>
      </c>
      <c r="E114" s="61">
        <v>1</v>
      </c>
      <c r="F114" s="59">
        <v>68500</v>
      </c>
      <c r="G114" s="36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</row>
    <row r="115" spans="1:23">
      <c r="A115" s="60"/>
      <c r="B115" s="61" t="s">
        <v>79</v>
      </c>
      <c r="C115" s="61" t="s">
        <v>81</v>
      </c>
      <c r="D115" s="49" t="str">
        <f>IFERROR(VLOOKUP(B115,'Thống kê'!$C$3:$D$970,2, FALSE),VLOOKUP(B115,'Thống kê v2 CC'!$A$3:$D$1005,3, FALSE))</f>
        <v>Móc khóa mô hình Twinkle Mini</v>
      </c>
      <c r="E115" s="61">
        <v>1</v>
      </c>
      <c r="F115" s="59">
        <v>68500</v>
      </c>
      <c r="G115" s="59">
        <v>47940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</row>
    <row r="116" spans="1:23">
      <c r="A116" s="60"/>
      <c r="B116" s="61" t="s">
        <v>140</v>
      </c>
      <c r="C116" s="61" t="s">
        <v>81</v>
      </c>
      <c r="D116" s="49">
        <f>IFERROR(VLOOKUP(B116,'Thống kê'!$C$3:$D$970,2, FALSE),VLOOKUP(B116,'Thống kê v2 CC'!$A$3:$D$1005,3, FALSE))</f>
        <v>0</v>
      </c>
      <c r="E116" s="61">
        <v>1</v>
      </c>
      <c r="F116" s="59">
        <v>69000</v>
      </c>
      <c r="G116" s="59">
        <v>48311</v>
      </c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</row>
    <row r="117" spans="1:23">
      <c r="A117" s="60"/>
      <c r="B117" s="61" t="s">
        <v>79</v>
      </c>
      <c r="C117" s="61" t="s">
        <v>81</v>
      </c>
      <c r="D117" s="49" t="str">
        <f>IFERROR(VLOOKUP(B117,'Thống kê'!$C$3:$D$970,2, FALSE),VLOOKUP(B117,'Thống kê v2 CC'!$A$3:$D$1005,3, FALSE))</f>
        <v>Móc khóa mô hình Twinkle Mini</v>
      </c>
      <c r="E117" s="61">
        <v>1</v>
      </c>
      <c r="F117" s="59">
        <v>68500</v>
      </c>
      <c r="G117" s="59">
        <v>47940</v>
      </c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</row>
    <row r="118" spans="1:23">
      <c r="A118" s="1"/>
      <c r="B118" s="1" t="s">
        <v>141</v>
      </c>
      <c r="C118" s="61" t="s">
        <v>81</v>
      </c>
      <c r="D118" s="49">
        <f>IFERROR(VLOOKUP(B118,'Thống kê'!$C$3:$D$970,2, FALSE),VLOOKUP(B118,'Thống kê v2 CC'!$A$3:$D$1005,3, FALSE))</f>
        <v>0</v>
      </c>
      <c r="E118" s="1">
        <v>1</v>
      </c>
      <c r="F118" s="56">
        <v>68500</v>
      </c>
      <c r="G118" s="382">
        <v>98395</v>
      </c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</row>
    <row r="119" spans="1:23">
      <c r="A119" s="49"/>
      <c r="B119" s="1" t="s">
        <v>142</v>
      </c>
      <c r="C119" s="1" t="s">
        <v>78</v>
      </c>
      <c r="D119" s="49">
        <f>IFERROR(VLOOKUP(B119,'Thống kê'!$C$3:$D$970,2, FALSE),VLOOKUP(B119,'Thống kê v2 CC'!$A$3:$D$1005,3, FALSE))</f>
        <v>0</v>
      </c>
      <c r="E119" s="1">
        <v>1</v>
      </c>
      <c r="F119" s="56">
        <v>68500</v>
      </c>
      <c r="G119" s="36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</row>
    <row r="120" spans="1:23">
      <c r="A120" s="49"/>
      <c r="B120" s="1" t="s">
        <v>114</v>
      </c>
      <c r="C120" s="49"/>
      <c r="D120" s="49" t="e">
        <f>IFERROR(VLOOKUP(B120,'Thống kê'!$C$3:$D$970,2, FALSE),VLOOKUP(B120,'Thống kê v2 CC'!$A$3:$D$1005,3, FALSE))</f>
        <v>#N/A</v>
      </c>
      <c r="E120" s="1">
        <v>1</v>
      </c>
      <c r="F120" s="56">
        <v>120000</v>
      </c>
      <c r="G120" s="56">
        <v>85143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</row>
    <row r="121" spans="1:23">
      <c r="A121" s="49"/>
      <c r="B121" s="1" t="s">
        <v>125</v>
      </c>
      <c r="C121" s="1" t="s">
        <v>78</v>
      </c>
      <c r="D121" s="49">
        <f>IFERROR(VLOOKUP(B121,'Thống kê'!$C$3:$D$970,2, FALSE),VLOOKUP(B121,'Thống kê v2 CC'!$A$3:$D$1005,3, FALSE))</f>
        <v>0</v>
      </c>
      <c r="E121" s="1">
        <v>1</v>
      </c>
      <c r="F121" s="56">
        <v>68500</v>
      </c>
      <c r="G121" s="56">
        <v>47316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</row>
    <row r="122" spans="1:23">
      <c r="A122" s="49"/>
      <c r="B122" s="1" t="s">
        <v>143</v>
      </c>
      <c r="C122" s="1" t="s">
        <v>144</v>
      </c>
      <c r="D122" s="49" t="str">
        <f>IFERROR(VLOOKUP(B122,'Thống kê'!$C$3:$D$970,2, FALSE),VLOOKUP(B122,'Thống kê v2 CC'!$A$3:$D$1005,3, FALSE))</f>
        <v>Mèo ú</v>
      </c>
      <c r="E122" s="1">
        <v>1</v>
      </c>
      <c r="F122" s="56">
        <v>69000</v>
      </c>
      <c r="G122" s="56">
        <v>47682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</row>
    <row r="123" spans="1:23">
      <c r="A123" s="49"/>
      <c r="B123" s="1" t="s">
        <v>145</v>
      </c>
      <c r="C123" s="1" t="s">
        <v>146</v>
      </c>
      <c r="D123" s="49" t="str">
        <f>IFERROR(VLOOKUP(B123,'Thống kê'!$C$3:$D$970,2, FALSE),VLOOKUP(B123,'Thống kê v2 CC'!$A$3:$D$1005,3, FALSE))</f>
        <v>Thỏ đi vịt gắn xe</v>
      </c>
      <c r="E123" s="1">
        <v>1</v>
      </c>
      <c r="F123" s="56">
        <v>39000</v>
      </c>
      <c r="G123" s="382">
        <v>54294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</row>
    <row r="124" spans="1:23">
      <c r="A124" s="49"/>
      <c r="B124" s="1" t="s">
        <v>119</v>
      </c>
      <c r="C124" s="1" t="s">
        <v>147</v>
      </c>
      <c r="D124" s="49" t="str">
        <f>IFERROR(VLOOKUP(B124,'Thống kê'!$C$3:$D$970,2, FALSE),VLOOKUP(B124,'Thống kê v2 CC'!$A$3:$D$1005,3, FALSE))</f>
        <v>Thỏ chạy xe gắn xe</v>
      </c>
      <c r="E124" s="1">
        <v>1</v>
      </c>
      <c r="F124" s="56">
        <v>39000</v>
      </c>
      <c r="G124" s="36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</row>
    <row r="125" spans="1:23">
      <c r="A125" s="49"/>
      <c r="B125" s="1" t="s">
        <v>92</v>
      </c>
      <c r="C125" s="1" t="s">
        <v>78</v>
      </c>
      <c r="D125" s="49" t="e">
        <f>IFERROR(VLOOKUP(B125,'Thống kê'!$C$3:$D$970,2, FALSE),VLOOKUP(B125,'Thống kê v2 CC'!$A$3:$D$1005,3, FALSE))</f>
        <v>#N/A</v>
      </c>
      <c r="E125" s="1">
        <v>1</v>
      </c>
      <c r="F125" s="56">
        <v>68500</v>
      </c>
      <c r="G125" s="56">
        <v>47940</v>
      </c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</row>
    <row r="126" spans="1:23">
      <c r="A126" s="49"/>
      <c r="B126" s="1" t="s">
        <v>92</v>
      </c>
      <c r="C126" s="1" t="s">
        <v>78</v>
      </c>
      <c r="D126" s="49" t="e">
        <f>IFERROR(VLOOKUP(B126,'Thống kê'!$C$3:$D$970,2, FALSE),VLOOKUP(B126,'Thống kê v2 CC'!$A$3:$D$1005,3, FALSE))</f>
        <v>#N/A</v>
      </c>
      <c r="E126" s="1">
        <v>1</v>
      </c>
      <c r="F126" s="56">
        <v>68500</v>
      </c>
      <c r="G126" s="56">
        <v>47316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</row>
    <row r="127" spans="1:23">
      <c r="A127" s="49"/>
      <c r="B127" s="1" t="s">
        <v>148</v>
      </c>
      <c r="C127" s="49"/>
      <c r="D127" s="49" t="e">
        <f>IFERROR(VLOOKUP(B127,'Thống kê'!$C$3:$D$970,2, FALSE),VLOOKUP(B127,'Thống kê v2 CC'!$A$3:$D$1005,3, FALSE))</f>
        <v>#N/A</v>
      </c>
      <c r="E127" s="1">
        <v>1</v>
      </c>
      <c r="F127" s="56">
        <v>150000</v>
      </c>
      <c r="G127" s="382">
        <v>270246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</row>
    <row r="128" spans="1:23">
      <c r="A128" s="49"/>
      <c r="B128" s="1" t="s">
        <v>131</v>
      </c>
      <c r="C128" s="49"/>
      <c r="D128" s="49" t="e">
        <f>IFERROR(VLOOKUP(B128,'Thống kê'!$C$3:$D$970,2, FALSE),VLOOKUP(B128,'Thống kê v2 CC'!$A$3:$D$1005,3, FALSE))</f>
        <v>#N/A</v>
      </c>
      <c r="E128" s="1">
        <v>1</v>
      </c>
      <c r="F128" s="56">
        <v>209000</v>
      </c>
      <c r="G128" s="36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</row>
    <row r="129" spans="1:23">
      <c r="A129" s="49"/>
      <c r="B129" s="1" t="s">
        <v>96</v>
      </c>
      <c r="C129" s="1" t="s">
        <v>78</v>
      </c>
      <c r="D129" s="49">
        <f>IFERROR(VLOOKUP(B129,'Thống kê'!$C$3:$D$970,2, FALSE),VLOOKUP(B129,'Thống kê v2 CC'!$A$3:$D$1005,3, FALSE))</f>
        <v>0</v>
      </c>
      <c r="E129" s="1">
        <v>1</v>
      </c>
      <c r="F129" s="56">
        <v>68500</v>
      </c>
      <c r="G129" s="56">
        <v>47316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</row>
    <row r="130" spans="1:23">
      <c r="A130" s="49"/>
      <c r="B130" s="1" t="s">
        <v>85</v>
      </c>
      <c r="C130" s="1" t="s">
        <v>78</v>
      </c>
      <c r="D130" s="49">
        <f>IFERROR(VLOOKUP(B130,'Thống kê'!$C$3:$D$970,2, FALSE),VLOOKUP(B130,'Thống kê v2 CC'!$A$3:$D$1005,3, FALSE))</f>
        <v>0</v>
      </c>
      <c r="E130" s="1">
        <v>1</v>
      </c>
      <c r="F130" s="56">
        <v>68500</v>
      </c>
      <c r="G130" s="56">
        <v>47940</v>
      </c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</row>
    <row r="131" spans="1:23">
      <c r="A131" s="49"/>
      <c r="B131" s="1" t="s">
        <v>149</v>
      </c>
      <c r="C131" s="49"/>
      <c r="D131" s="49" t="str">
        <f>IFERROR(VLOOKUP(B131,'Thống kê'!$C$3:$D$970,2, FALSE),VLOOKUP(B131,'Thống kê v2 CC'!$A$3:$D$1005,3, FALSE))</f>
        <v>ếch</v>
      </c>
      <c r="E131" s="1">
        <v>1</v>
      </c>
      <c r="F131" s="56">
        <v>32200</v>
      </c>
      <c r="G131" s="56">
        <v>23027</v>
      </c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</row>
    <row r="132" spans="1:23">
      <c r="A132" s="49"/>
      <c r="B132" s="1" t="s">
        <v>150</v>
      </c>
      <c r="C132" s="1" t="s">
        <v>151</v>
      </c>
      <c r="D132" s="49" t="str">
        <f>IFERROR(VLOOKUP(B132,'Thống kê'!$C$3:$D$970,2, FALSE),VLOOKUP(B132,'Thống kê v2 CC'!$A$3:$D$1005,3, FALSE))</f>
        <v>Móc khóa có chuông</v>
      </c>
      <c r="E132" s="1">
        <v>1</v>
      </c>
      <c r="F132" s="56">
        <v>65000</v>
      </c>
      <c r="G132" s="56">
        <v>45337</v>
      </c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</row>
    <row r="133" spans="1:23">
      <c r="A133" s="49"/>
      <c r="B133" s="1" t="s">
        <v>134</v>
      </c>
      <c r="C133" s="1" t="s">
        <v>78</v>
      </c>
      <c r="D133" s="49">
        <f>IFERROR(VLOOKUP(B133,'Thống kê'!$C$3:$D$970,2, FALSE),VLOOKUP(B133,'Thống kê v2 CC'!$A$3:$D$1005,3, FALSE))</f>
        <v>0</v>
      </c>
      <c r="E133" s="1">
        <v>1</v>
      </c>
      <c r="F133" s="56">
        <v>68500</v>
      </c>
      <c r="G133" s="56">
        <v>47316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</row>
    <row r="134" spans="1:23">
      <c r="A134" s="49"/>
      <c r="B134" s="1" t="s">
        <v>152</v>
      </c>
      <c r="C134" s="49"/>
      <c r="D134" s="49" t="e">
        <f>IFERROR(VLOOKUP(B134,'Thống kê'!$C$3:$D$970,2, FALSE),VLOOKUP(B134,'Thống kê v2 CC'!$A$3:$D$1005,3, FALSE))</f>
        <v>#N/A</v>
      </c>
      <c r="E134" s="1">
        <v>1</v>
      </c>
      <c r="F134" s="56">
        <v>120000</v>
      </c>
      <c r="G134" s="56">
        <v>85426</v>
      </c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</row>
    <row r="135" spans="1:23">
      <c r="A135" s="49"/>
      <c r="B135" s="1" t="s">
        <v>115</v>
      </c>
      <c r="C135" s="1" t="s">
        <v>153</v>
      </c>
      <c r="D135" s="49" t="str">
        <f>IFERROR(VLOOKUP(B135,'Thống kê'!$C$3:$D$970,2, FALSE),VLOOKUP(B135,'Thống kê v2 CC'!$A$3:$D$1005,3, FALSE))</f>
        <v>Heo ú</v>
      </c>
      <c r="E135" s="1">
        <v>2</v>
      </c>
      <c r="F135" s="56">
        <v>69000</v>
      </c>
      <c r="G135" s="56">
        <v>100462</v>
      </c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</row>
    <row r="136" spans="1:23">
      <c r="A136" s="49"/>
      <c r="B136" s="1" t="s">
        <v>84</v>
      </c>
      <c r="C136" s="1" t="s">
        <v>78</v>
      </c>
      <c r="D136" s="49">
        <f>IFERROR(VLOOKUP(B136,'Thống kê'!$C$3:$D$970,2, FALSE),VLOOKUP(B136,'Thống kê v2 CC'!$A$3:$D$1005,3, FALSE))</f>
        <v>0</v>
      </c>
      <c r="E136" s="1">
        <v>1</v>
      </c>
      <c r="F136" s="56">
        <v>69000</v>
      </c>
      <c r="G136" s="382">
        <v>100058</v>
      </c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</row>
    <row r="137" spans="1:23">
      <c r="A137" s="49"/>
      <c r="B137" s="1" t="s">
        <v>154</v>
      </c>
      <c r="C137" s="1" t="s">
        <v>78</v>
      </c>
      <c r="D137" s="49">
        <f>IFERROR(VLOOKUP(B137,'Thống kê'!$C$3:$D$970,2, FALSE),VLOOKUP(B137,'Thống kê v2 CC'!$A$3:$D$1005,3, FALSE))</f>
        <v>0</v>
      </c>
      <c r="E137" s="1">
        <v>1</v>
      </c>
      <c r="F137" s="56">
        <v>68500</v>
      </c>
      <c r="G137" s="36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</row>
    <row r="138" spans="1:23">
      <c r="A138" s="49"/>
      <c r="B138" s="1" t="s">
        <v>142</v>
      </c>
      <c r="C138" s="1" t="s">
        <v>78</v>
      </c>
      <c r="D138" s="49">
        <f>IFERROR(VLOOKUP(B138,'Thống kê'!$C$3:$D$970,2, FALSE),VLOOKUP(B138,'Thống kê v2 CC'!$A$3:$D$1005,3, FALSE))</f>
        <v>0</v>
      </c>
      <c r="E138" s="1">
        <v>1</v>
      </c>
      <c r="F138" s="56">
        <v>68500</v>
      </c>
      <c r="G138" s="382">
        <v>99653</v>
      </c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</row>
    <row r="139" spans="1:23">
      <c r="A139" s="49"/>
      <c r="B139" s="1" t="s">
        <v>155</v>
      </c>
      <c r="C139" s="1" t="s">
        <v>78</v>
      </c>
      <c r="D139" s="49">
        <f>IFERROR(VLOOKUP(B139,'Thống kê'!$C$3:$D$970,2, FALSE),VLOOKUP(B139,'Thống kê v2 CC'!$A$3:$D$1005,3, FALSE))</f>
        <v>0</v>
      </c>
      <c r="E139" s="1">
        <v>1</v>
      </c>
      <c r="F139" s="56">
        <v>68500</v>
      </c>
      <c r="G139" s="36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</row>
    <row r="140" spans="1:23">
      <c r="A140" s="49"/>
      <c r="B140" s="1" t="s">
        <v>156</v>
      </c>
      <c r="C140" s="49"/>
      <c r="D140" s="49" t="e">
        <f>IFERROR(VLOOKUP(B140,'Thống kê'!$C$3:$D$970,2, FALSE),VLOOKUP(B140,'Thống kê v2 CC'!$A$3:$D$1005,3, FALSE))</f>
        <v>#N/A</v>
      </c>
      <c r="E140" s="1">
        <v>1</v>
      </c>
      <c r="F140" s="56">
        <v>120000</v>
      </c>
      <c r="G140" s="56">
        <v>86236</v>
      </c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</row>
    <row r="141" spans="1:23">
      <c r="A141" s="49"/>
      <c r="B141" s="1" t="s">
        <v>113</v>
      </c>
      <c r="C141" s="49"/>
      <c r="D141" s="49" t="str">
        <f>IFERROR(VLOOKUP(B141,'Thống kê'!$C$3:$D$970,2, FALSE),VLOOKUP(B141,'Thống kê v2 CC'!$A$3:$D$1005,3, FALSE))</f>
        <v>Móc khoá Dimoo size mini (hàng remake)</v>
      </c>
      <c r="E141" s="1">
        <v>1</v>
      </c>
      <c r="F141" s="56">
        <v>79000</v>
      </c>
      <c r="G141" s="382">
        <v>139993</v>
      </c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1:23">
      <c r="A142" s="49"/>
      <c r="B142" s="1" t="s">
        <v>157</v>
      </c>
      <c r="C142" s="49"/>
      <c r="D142" s="49" t="e">
        <f>IFERROR(VLOOKUP(B142,'Thống kê'!$C$3:$D$970,2, FALSE),VLOOKUP(B142,'Thống kê v2 CC'!$A$3:$D$1005,3, FALSE))</f>
        <v>#N/A</v>
      </c>
      <c r="E142" s="1">
        <v>1</v>
      </c>
      <c r="F142" s="56">
        <v>120000</v>
      </c>
      <c r="G142" s="36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23">
      <c r="A143" s="49"/>
      <c r="B143" s="1" t="s">
        <v>113</v>
      </c>
      <c r="C143" s="49"/>
      <c r="D143" s="49" t="str">
        <f>IFERROR(VLOOKUP(B143,'Thống kê'!$C$3:$D$970,2, FALSE),VLOOKUP(B143,'Thống kê v2 CC'!$A$3:$D$1005,3, FALSE))</f>
        <v>Móc khoá Dimoo size mini (hàng remake)</v>
      </c>
      <c r="E143" s="1">
        <v>1</v>
      </c>
      <c r="F143" s="56">
        <v>79000</v>
      </c>
      <c r="G143" s="56">
        <v>55747</v>
      </c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1:23">
      <c r="A144" s="49"/>
      <c r="B144" s="1" t="s">
        <v>158</v>
      </c>
      <c r="C144" s="1" t="s">
        <v>81</v>
      </c>
      <c r="D144" s="49" t="e">
        <f>IFERROR(VLOOKUP(B144,'Thống kê'!$C$3:$D$970,2, FALSE),VLOOKUP(B144,'Thống kê v2 CC'!$A$3:$D$1005,3, FALSE))</f>
        <v>#N/A</v>
      </c>
      <c r="E144" s="1">
        <v>1</v>
      </c>
      <c r="F144" s="56">
        <v>68500</v>
      </c>
      <c r="G144" s="56">
        <v>47316</v>
      </c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1:23">
      <c r="A145" s="49"/>
      <c r="B145" s="1" t="s">
        <v>159</v>
      </c>
      <c r="C145" s="1" t="s">
        <v>160</v>
      </c>
      <c r="D145" s="49">
        <f>IFERROR(VLOOKUP(B145,'Thống kê'!$C$3:$D$970,2, FALSE),VLOOKUP(B145,'Thống kê v2 CC'!$A$3:$D$1005,3, FALSE))</f>
        <v>0</v>
      </c>
      <c r="E145" s="1">
        <v>1</v>
      </c>
      <c r="F145" s="56">
        <v>90250</v>
      </c>
      <c r="G145" s="56">
        <v>63292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1:23">
      <c r="A146" s="49"/>
      <c r="B146" s="1" t="s">
        <v>161</v>
      </c>
      <c r="C146" s="49"/>
      <c r="D146" s="49" t="str">
        <f>IFERROR(VLOOKUP(B146,'Thống kê'!$C$3:$D$970,2, FALSE),VLOOKUP(B146,'Thống kê v2 CC'!$A$3:$D$1005,3, FALSE))</f>
        <v>Dao rọc giấy 07</v>
      </c>
      <c r="E146" s="1">
        <v>1</v>
      </c>
      <c r="F146" s="56">
        <v>11040</v>
      </c>
      <c r="G146" s="382">
        <v>138531</v>
      </c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</row>
    <row r="147" spans="1:23">
      <c r="A147" s="49"/>
      <c r="B147" s="1" t="s">
        <v>162</v>
      </c>
      <c r="C147" s="1" t="s">
        <v>163</v>
      </c>
      <c r="D147" s="49" t="str">
        <f>IFERROR(VLOOKUP(B147,'Thống kê'!$C$3:$D$970,2, FALSE),VLOOKUP(B147,'Thống kê v2 CC'!$A$3:$D$1005,3, FALSE))</f>
        <v>Móc khoá cún Donut</v>
      </c>
      <c r="E147" s="1">
        <v>1</v>
      </c>
      <c r="F147" s="56">
        <v>34960</v>
      </c>
      <c r="G147" s="36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</row>
    <row r="148" spans="1:23">
      <c r="A148" s="49"/>
      <c r="B148" s="1" t="s">
        <v>164</v>
      </c>
      <c r="C148" s="49"/>
      <c r="D148" s="49" t="str">
        <f>IFERROR(VLOOKUP(B148,'Thống kê'!$C$3:$D$970,2, FALSE),VLOOKUP(B148,'Thống kê v2 CC'!$A$3:$D$1005,3, FALSE))</f>
        <v>Thước dây trắng</v>
      </c>
      <c r="E148" s="1">
        <v>1</v>
      </c>
      <c r="F148" s="56">
        <v>9000</v>
      </c>
      <c r="G148" s="36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</row>
    <row r="149" spans="1:23">
      <c r="A149" s="49"/>
      <c r="B149" s="1" t="s">
        <v>165</v>
      </c>
      <c r="C149" s="1" t="s">
        <v>166</v>
      </c>
      <c r="D149" s="49" t="str">
        <f>IFERROR(VLOOKUP(B149,'Thống kê'!$C$3:$D$970,2, FALSE),VLOOKUP(B149,'Thống kê v2 CC'!$A$3:$D$1005,3, FALSE))</f>
        <v>Móc khóa Popbean</v>
      </c>
      <c r="E149" s="1">
        <v>1</v>
      </c>
      <c r="F149" s="56">
        <v>139500</v>
      </c>
      <c r="G149" s="36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</row>
    <row r="150" spans="1:23">
      <c r="A150" s="49"/>
      <c r="B150" s="1" t="s">
        <v>152</v>
      </c>
      <c r="C150" s="49"/>
      <c r="D150" s="49" t="e">
        <f>IFERROR(VLOOKUP(B150,'Thống kê'!$C$3:$D$970,2, FALSE),VLOOKUP(B150,'Thống kê v2 CC'!$A$3:$D$1005,3, FALSE))</f>
        <v>#N/A</v>
      </c>
      <c r="E150" s="1">
        <v>1</v>
      </c>
      <c r="F150" s="56">
        <v>120000</v>
      </c>
      <c r="G150" s="56">
        <v>86236</v>
      </c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</row>
    <row r="151" spans="1:23">
      <c r="A151" s="49"/>
      <c r="B151" s="1" t="s">
        <v>82</v>
      </c>
      <c r="C151" s="1" t="s">
        <v>81</v>
      </c>
      <c r="D151" s="49">
        <f>IFERROR(VLOOKUP(B151,'Thống kê'!$C$3:$D$970,2, FALSE),VLOOKUP(B151,'Thống kê v2 CC'!$A$3:$D$1005,3, FALSE))</f>
        <v>0</v>
      </c>
      <c r="E151" s="1">
        <v>1</v>
      </c>
      <c r="F151" s="56">
        <v>68500</v>
      </c>
      <c r="G151" s="382">
        <v>99457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</row>
    <row r="152" spans="1:23">
      <c r="A152" s="49"/>
      <c r="B152" s="1" t="s">
        <v>92</v>
      </c>
      <c r="C152" s="1" t="s">
        <v>81</v>
      </c>
      <c r="D152" s="49" t="e">
        <f>IFERROR(VLOOKUP(B152,'Thống kê'!$C$3:$D$970,2, FALSE),VLOOKUP(B152,'Thống kê v2 CC'!$A$3:$D$1005,3, FALSE))</f>
        <v>#N/A</v>
      </c>
      <c r="E152" s="1">
        <v>1</v>
      </c>
      <c r="F152" s="56">
        <v>68500</v>
      </c>
      <c r="G152" s="36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</row>
    <row r="153" spans="1:23">
      <c r="A153" s="49"/>
      <c r="B153" s="1" t="s">
        <v>150</v>
      </c>
      <c r="C153" s="1" t="s">
        <v>151</v>
      </c>
      <c r="D153" s="49" t="str">
        <f>IFERROR(VLOOKUP(B153,'Thống kê'!$C$3:$D$970,2, FALSE),VLOOKUP(B153,'Thống kê v2 CC'!$A$3:$D$1005,3, FALSE))</f>
        <v>Móc khóa có chuông</v>
      </c>
      <c r="E153" s="1">
        <v>1</v>
      </c>
      <c r="F153" s="56">
        <v>65000</v>
      </c>
      <c r="G153" s="382">
        <v>96505</v>
      </c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</row>
    <row r="154" spans="1:23">
      <c r="A154" s="49"/>
      <c r="B154" s="1" t="s">
        <v>95</v>
      </c>
      <c r="C154" s="1" t="s">
        <v>167</v>
      </c>
      <c r="D154" s="49">
        <f>IFERROR(VLOOKUP(B154,'Thống kê'!$C$3:$D$970,2, FALSE),VLOOKUP(B154,'Thống kê v2 CC'!$A$3:$D$1005,3, FALSE))</f>
        <v>0</v>
      </c>
      <c r="E154" s="1">
        <v>1</v>
      </c>
      <c r="F154" s="56">
        <v>68500</v>
      </c>
      <c r="G154" s="36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</row>
    <row r="155" spans="1:23">
      <c r="A155" s="49"/>
      <c r="B155" s="1" t="s">
        <v>168</v>
      </c>
      <c r="C155" s="49"/>
      <c r="D155" s="49" t="str">
        <f>IFERROR(VLOOKUP(B155,'Thống kê'!$C$3:$D$970,2, FALSE),VLOOKUP(B155,'Thống kê v2 CC'!$A$3:$D$1005,3, FALSE))</f>
        <v>Thiệp</v>
      </c>
      <c r="E155" s="1">
        <v>1</v>
      </c>
      <c r="F155" s="56">
        <v>4500</v>
      </c>
      <c r="G155" s="382">
        <v>137081</v>
      </c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</row>
    <row r="156" spans="1:23">
      <c r="A156" s="49"/>
      <c r="B156" s="1" t="s">
        <v>114</v>
      </c>
      <c r="C156" s="49"/>
      <c r="D156" s="49" t="e">
        <f>IFERROR(VLOOKUP(B156,'Thống kê'!$C$3:$D$970,2, FALSE),VLOOKUP(B156,'Thống kê v2 CC'!$A$3:$D$1005,3, FALSE))</f>
        <v>#N/A</v>
      </c>
      <c r="E156" s="1">
        <v>1</v>
      </c>
      <c r="F156" s="56">
        <v>120000</v>
      </c>
      <c r="G156" s="36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</row>
    <row r="157" spans="1:23">
      <c r="A157" s="49"/>
      <c r="B157" s="1" t="s">
        <v>100</v>
      </c>
      <c r="C157" s="1" t="s">
        <v>167</v>
      </c>
      <c r="D157" s="49" t="e">
        <f>IFERROR(VLOOKUP(B157,'Thống kê'!$C$3:$D$970,2, FALSE),VLOOKUP(B157,'Thống kê v2 CC'!$A$3:$D$1005,3, FALSE))</f>
        <v>#N/A</v>
      </c>
      <c r="E157" s="1">
        <v>1</v>
      </c>
      <c r="F157" s="56">
        <v>68500</v>
      </c>
      <c r="G157" s="36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</row>
    <row r="158" spans="1:23">
      <c r="A158" s="63" t="s">
        <v>169</v>
      </c>
      <c r="B158" s="1" t="s">
        <v>170</v>
      </c>
      <c r="C158" s="49"/>
      <c r="D158" s="49" t="str">
        <f>IFERROR(VLOOKUP(B158,'Thống kê'!$C$3:$D$970,2, FALSE),VLOOKUP(B158,'Thống kê v2 CC'!$A$3:$D$1005,3, FALSE))</f>
        <v>Móc khóa chuối</v>
      </c>
      <c r="E158" s="1">
        <v>1</v>
      </c>
      <c r="F158" s="56">
        <v>85000</v>
      </c>
      <c r="G158" s="56">
        <v>60208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</row>
    <row r="159" spans="1:23">
      <c r="A159" s="49"/>
      <c r="B159" s="1" t="s">
        <v>171</v>
      </c>
      <c r="C159" s="49"/>
      <c r="D159" s="49">
        <f>IFERROR(VLOOKUP(B159,'Thống kê'!$C$3:$D$970,2, FALSE),VLOOKUP(B159,'Thống kê v2 CC'!$A$3:$D$1005,3, FALSE))</f>
        <v>0</v>
      </c>
      <c r="E159" s="1">
        <v>1</v>
      </c>
      <c r="F159" s="56">
        <v>79000</v>
      </c>
      <c r="G159" s="382">
        <v>108864</v>
      </c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</row>
    <row r="160" spans="1:23">
      <c r="A160" s="49"/>
      <c r="B160" s="1" t="s">
        <v>158</v>
      </c>
      <c r="C160" s="1" t="s">
        <v>167</v>
      </c>
      <c r="D160" s="49" t="e">
        <f>IFERROR(VLOOKUP(B160,'Thống kê'!$C$3:$D$970,2, FALSE),VLOOKUP(B160,'Thống kê v2 CC'!$A$3:$D$1005,3, FALSE))</f>
        <v>#N/A</v>
      </c>
      <c r="E160" s="1">
        <v>1</v>
      </c>
      <c r="F160" s="56">
        <v>68500</v>
      </c>
      <c r="G160" s="36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</row>
    <row r="161" spans="1:23">
      <c r="A161" s="49"/>
      <c r="B161" s="1" t="s">
        <v>141</v>
      </c>
      <c r="C161" s="1" t="s">
        <v>167</v>
      </c>
      <c r="D161" s="49">
        <f>IFERROR(VLOOKUP(B161,'Thống kê'!$C$3:$D$970,2, FALSE),VLOOKUP(B161,'Thống kê v2 CC'!$A$3:$D$1005,3, FALSE))</f>
        <v>0</v>
      </c>
      <c r="E161" s="1">
        <v>1</v>
      </c>
      <c r="F161" s="56">
        <v>68500</v>
      </c>
      <c r="G161" s="56">
        <v>47940</v>
      </c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</row>
    <row r="162" spans="1:23">
      <c r="A162" s="49"/>
      <c r="B162" s="1" t="s">
        <v>154</v>
      </c>
      <c r="C162" s="1" t="s">
        <v>167</v>
      </c>
      <c r="D162" s="49">
        <f>IFERROR(VLOOKUP(B162,'Thống kê'!$C$3:$D$970,2, FALSE),VLOOKUP(B162,'Thống kê v2 CC'!$A$3:$D$1005,3, FALSE))</f>
        <v>0</v>
      </c>
      <c r="E162" s="1">
        <v>1</v>
      </c>
      <c r="F162" s="56">
        <v>68500</v>
      </c>
      <c r="G162" s="56">
        <v>47940</v>
      </c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</row>
    <row r="163" spans="1:23">
      <c r="A163" s="49"/>
      <c r="B163" s="1" t="s">
        <v>111</v>
      </c>
      <c r="C163" s="1" t="s">
        <v>167</v>
      </c>
      <c r="D163" s="49">
        <f>IFERROR(VLOOKUP(B163,'Thống kê'!$C$3:$D$970,2, FALSE),VLOOKUP(B163,'Thống kê v2 CC'!$A$3:$D$1005,3, FALSE))</f>
        <v>0</v>
      </c>
      <c r="E163" s="1">
        <v>1</v>
      </c>
      <c r="F163" s="56">
        <v>68500</v>
      </c>
      <c r="G163" s="382">
        <v>98395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</row>
    <row r="164" spans="1:23">
      <c r="A164" s="49"/>
      <c r="B164" s="1" t="s">
        <v>82</v>
      </c>
      <c r="C164" s="1" t="s">
        <v>167</v>
      </c>
      <c r="D164" s="49">
        <f>IFERROR(VLOOKUP(B164,'Thống kê'!$C$3:$D$970,2, FALSE),VLOOKUP(B164,'Thống kê v2 CC'!$A$3:$D$1005,3, FALSE))</f>
        <v>0</v>
      </c>
      <c r="E164" s="1">
        <v>1</v>
      </c>
      <c r="F164" s="56">
        <v>68500</v>
      </c>
      <c r="G164" s="36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</row>
    <row r="165" spans="1:23">
      <c r="A165" s="49"/>
      <c r="B165" s="1" t="s">
        <v>172</v>
      </c>
      <c r="C165" s="49"/>
      <c r="D165" s="49" t="str">
        <f>IFERROR(VLOOKUP(B165,'Thống kê'!$C$3:$D$970,2, FALSE),VLOOKUP(B165,'Thống kê v2 CC'!$A$3:$D$1005,3, FALSE))</f>
        <v>Dao rọc giấy 16</v>
      </c>
      <c r="E165" s="1">
        <v>1</v>
      </c>
      <c r="F165" s="56">
        <v>11040</v>
      </c>
      <c r="G165" s="382">
        <v>104921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</row>
    <row r="166" spans="1:23">
      <c r="A166" s="49"/>
      <c r="B166" s="1" t="s">
        <v>79</v>
      </c>
      <c r="C166" s="1" t="s">
        <v>173</v>
      </c>
      <c r="D166" s="49" t="str">
        <f>IFERROR(VLOOKUP(B166,'Thống kê'!$C$3:$D$970,2, FALSE),VLOOKUP(B166,'Thống kê v2 CC'!$A$3:$D$1005,3, FALSE))</f>
        <v>Móc khóa mô hình Twinkle Mini</v>
      </c>
      <c r="E166" s="1">
        <v>1</v>
      </c>
      <c r="F166" s="56">
        <v>131000</v>
      </c>
      <c r="G166" s="36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</row>
    <row r="167" spans="1:23">
      <c r="A167" s="49"/>
      <c r="B167" s="1" t="s">
        <v>141</v>
      </c>
      <c r="C167" s="1" t="s">
        <v>167</v>
      </c>
      <c r="D167" s="49">
        <f>IFERROR(VLOOKUP(B167,'Thống kê'!$C$3:$D$970,2, FALSE),VLOOKUP(B167,'Thống kê v2 CC'!$A$3:$D$1005,3, FALSE))</f>
        <v>0</v>
      </c>
      <c r="E167" s="1">
        <v>1</v>
      </c>
      <c r="F167" s="56">
        <v>68500</v>
      </c>
      <c r="G167" s="382">
        <v>233013</v>
      </c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</row>
    <row r="168" spans="1:23">
      <c r="A168" s="49"/>
      <c r="B168" s="1" t="s">
        <v>135</v>
      </c>
      <c r="C168" s="1" t="s">
        <v>167</v>
      </c>
      <c r="D168" s="49">
        <f>IFERROR(VLOOKUP(B168,'Thống kê'!$C$3:$D$970,2, FALSE),VLOOKUP(B168,'Thống kê v2 CC'!$A$3:$D$1005,3, FALSE))</f>
        <v>0</v>
      </c>
      <c r="E168" s="1">
        <v>1</v>
      </c>
      <c r="F168" s="56">
        <v>68500</v>
      </c>
      <c r="G168" s="36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</row>
    <row r="169" spans="1:23">
      <c r="A169" s="49"/>
      <c r="B169" s="1" t="s">
        <v>174</v>
      </c>
      <c r="C169" s="1" t="s">
        <v>175</v>
      </c>
      <c r="D169" s="49" t="str">
        <f>IFERROR(VLOOKUP(B169,'Thống kê'!$C$3:$D$970,2, FALSE),VLOOKUP(B169,'Thống kê v2 CC'!$A$3:$D$1005,3, FALSE))</f>
        <v>POP BEAN Pajama Party</v>
      </c>
      <c r="E169" s="1">
        <v>1</v>
      </c>
      <c r="F169" s="56">
        <v>99000</v>
      </c>
      <c r="G169" s="36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</row>
    <row r="170" spans="1:23">
      <c r="A170" s="49"/>
      <c r="B170" s="1" t="s">
        <v>176</v>
      </c>
      <c r="C170" s="49"/>
      <c r="D170" s="49">
        <f>IFERROR(VLOOKUP(B170,'Thống kê'!$C$3:$D$970,2, FALSE),VLOOKUP(B170,'Thống kê v2 CC'!$A$3:$D$1005,3, FALSE))</f>
        <v>0</v>
      </c>
      <c r="E170" s="1">
        <v>1</v>
      </c>
      <c r="F170" s="56">
        <v>79000</v>
      </c>
      <c r="G170" s="36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</row>
    <row r="171" spans="1:23">
      <c r="A171" s="49"/>
      <c r="B171" s="1" t="s">
        <v>177</v>
      </c>
      <c r="C171" s="49"/>
      <c r="D171" s="49" t="str">
        <f>IFERROR(VLOOKUP(B171,'Thống kê'!$C$3:$D$970,2, FALSE),VLOOKUP(B171,'Thống kê v2 CC'!$A$3:$D$1005,3, FALSE))</f>
        <v>Dao rọc giấy 15</v>
      </c>
      <c r="E171" s="1">
        <v>1</v>
      </c>
      <c r="F171" s="56">
        <v>11040</v>
      </c>
      <c r="G171" s="382">
        <v>56148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</row>
    <row r="172" spans="1:23">
      <c r="A172" s="49"/>
      <c r="B172" s="1" t="s">
        <v>82</v>
      </c>
      <c r="C172" s="1" t="s">
        <v>167</v>
      </c>
      <c r="D172" s="49">
        <f>IFERROR(VLOOKUP(B172,'Thống kê'!$C$3:$D$970,2, FALSE),VLOOKUP(B172,'Thống kê v2 CC'!$A$3:$D$1005,3, FALSE))</f>
        <v>0</v>
      </c>
      <c r="E172" s="1">
        <v>1</v>
      </c>
      <c r="F172" s="56">
        <v>68500</v>
      </c>
      <c r="G172" s="36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</row>
    <row r="173" spans="1:23">
      <c r="A173" s="49"/>
      <c r="B173" s="1" t="s">
        <v>178</v>
      </c>
      <c r="C173" s="1" t="s">
        <v>179</v>
      </c>
      <c r="D173" s="49" t="str">
        <f>IFERROR(VLOOKUP(B173,'Thống kê'!$C$3:$D$970,2, FALSE),VLOOKUP(B173,'Thống kê v2 CC'!$A$3:$D$1005,3, FALSE))</f>
        <v>POP BEAN Pajama Party</v>
      </c>
      <c r="E173" s="1">
        <v>1</v>
      </c>
      <c r="F173" s="56">
        <v>168000</v>
      </c>
      <c r="G173" s="56">
        <v>119214</v>
      </c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</row>
    <row r="174" spans="1:23">
      <c r="A174" s="49"/>
      <c r="B174" s="1" t="s">
        <v>134</v>
      </c>
      <c r="C174" s="1" t="s">
        <v>167</v>
      </c>
      <c r="D174" s="49">
        <f>IFERROR(VLOOKUP(B174,'Thống kê'!$C$3:$D$970,2, FALSE),VLOOKUP(B174,'Thống kê v2 CC'!$A$3:$D$1005,3, FALSE))</f>
        <v>0</v>
      </c>
      <c r="E174" s="1">
        <v>1</v>
      </c>
      <c r="F174" s="56">
        <v>68500</v>
      </c>
      <c r="G174" s="382">
        <v>146494</v>
      </c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</row>
    <row r="175" spans="1:23">
      <c r="A175" s="49"/>
      <c r="B175" s="1" t="s">
        <v>132</v>
      </c>
      <c r="C175" s="1" t="s">
        <v>167</v>
      </c>
      <c r="D175" s="49">
        <f>IFERROR(VLOOKUP(B175,'Thống kê'!$C$3:$D$970,2, FALSE),VLOOKUP(B175,'Thống kê v2 CC'!$A$3:$D$1005,3, FALSE))</f>
        <v>0</v>
      </c>
      <c r="E175" s="1">
        <v>1</v>
      </c>
      <c r="F175" s="56">
        <v>68500</v>
      </c>
      <c r="G175" s="36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</row>
    <row r="176" spans="1:23">
      <c r="A176" s="49"/>
      <c r="B176" s="1" t="s">
        <v>86</v>
      </c>
      <c r="C176" s="1" t="s">
        <v>167</v>
      </c>
      <c r="D176" s="49">
        <f>IFERROR(VLOOKUP(B176,'Thống kê'!$C$3:$D$970,2, FALSE),VLOOKUP(B176,'Thống kê v2 CC'!$A$3:$D$1005,3, FALSE))</f>
        <v>0</v>
      </c>
      <c r="E176" s="1">
        <v>1</v>
      </c>
      <c r="F176" s="56">
        <v>68500</v>
      </c>
      <c r="G176" s="36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</row>
    <row r="177" spans="1:23">
      <c r="A177" s="49"/>
      <c r="B177" s="1" t="s">
        <v>119</v>
      </c>
      <c r="C177" s="1" t="s">
        <v>147</v>
      </c>
      <c r="D177" s="49" t="str">
        <f>IFERROR(VLOOKUP(B177,'Thống kê'!$C$3:$D$970,2, FALSE),VLOOKUP(B177,'Thống kê v2 CC'!$A$3:$D$1005,3, FALSE))</f>
        <v>Thỏ chạy xe gắn xe</v>
      </c>
      <c r="E177" s="1">
        <v>1</v>
      </c>
      <c r="F177" s="56">
        <v>39000</v>
      </c>
      <c r="G177" s="56">
        <v>28524</v>
      </c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</row>
    <row r="178" spans="1:23">
      <c r="A178" s="49"/>
      <c r="B178" s="1" t="s">
        <v>180</v>
      </c>
      <c r="C178" s="1" t="s">
        <v>167</v>
      </c>
      <c r="D178" s="49">
        <f>IFERROR(VLOOKUP(B178,'Thống kê'!$C$3:$D$970,2, FALSE),VLOOKUP(B178,'Thống kê v2 CC'!$A$3:$D$1005,3, FALSE))</f>
        <v>0</v>
      </c>
      <c r="E178" s="1">
        <v>1</v>
      </c>
      <c r="F178" s="56">
        <v>69000</v>
      </c>
      <c r="G178" s="382">
        <v>146858</v>
      </c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 spans="1:23">
      <c r="A179" s="49"/>
      <c r="B179" s="1" t="s">
        <v>111</v>
      </c>
      <c r="C179" s="1" t="s">
        <v>167</v>
      </c>
      <c r="D179" s="49">
        <f>IFERROR(VLOOKUP(B179,'Thống kê'!$C$3:$D$970,2, FALSE),VLOOKUP(B179,'Thống kê v2 CC'!$A$3:$D$1005,3, FALSE))</f>
        <v>0</v>
      </c>
      <c r="E179" s="1">
        <v>1</v>
      </c>
      <c r="F179" s="56">
        <v>68500</v>
      </c>
      <c r="G179" s="36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 spans="1:23">
      <c r="A180" s="49"/>
      <c r="B180" s="1" t="s">
        <v>98</v>
      </c>
      <c r="C180" s="1" t="s">
        <v>167</v>
      </c>
      <c r="D180" s="49">
        <f>IFERROR(VLOOKUP(B180,'Thống kê'!$C$3:$D$970,2, FALSE),VLOOKUP(B180,'Thống kê v2 CC'!$A$3:$D$1005,3, FALSE))</f>
        <v>0</v>
      </c>
      <c r="E180" s="1">
        <v>1</v>
      </c>
      <c r="F180" s="56">
        <v>68500</v>
      </c>
      <c r="G180" s="36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</row>
    <row r="181" spans="1:23">
      <c r="A181" s="49"/>
      <c r="B181" s="1" t="s">
        <v>82</v>
      </c>
      <c r="C181" s="1" t="s">
        <v>167</v>
      </c>
      <c r="D181" s="49">
        <f>IFERROR(VLOOKUP(B181,'Thống kê'!$C$3:$D$970,2, FALSE),VLOOKUP(B181,'Thống kê v2 CC'!$A$3:$D$1005,3, FALSE))</f>
        <v>0</v>
      </c>
      <c r="E181" s="1">
        <v>1</v>
      </c>
      <c r="F181" s="56">
        <v>68500</v>
      </c>
      <c r="G181" s="56">
        <v>47940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 spans="1:23">
      <c r="A182" s="49"/>
      <c r="B182" s="1" t="s">
        <v>96</v>
      </c>
      <c r="C182" s="1" t="s">
        <v>167</v>
      </c>
      <c r="D182" s="49">
        <f>IFERROR(VLOOKUP(B182,'Thống kê'!$C$3:$D$970,2, FALSE),VLOOKUP(B182,'Thống kê v2 CC'!$A$3:$D$1005,3, FALSE))</f>
        <v>0</v>
      </c>
      <c r="E182" s="1">
        <v>1</v>
      </c>
      <c r="F182" s="56">
        <v>68500</v>
      </c>
      <c r="G182" s="56">
        <v>47940</v>
      </c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 spans="1:23">
      <c r="A183" s="49"/>
      <c r="B183" s="1" t="s">
        <v>88</v>
      </c>
      <c r="C183" s="1" t="s">
        <v>167</v>
      </c>
      <c r="D183" s="49">
        <f>IFERROR(VLOOKUP(B183,'Thống kê'!$C$3:$D$970,2, FALSE),VLOOKUP(B183,'Thống kê v2 CC'!$A$3:$D$1005,3, FALSE))</f>
        <v>0</v>
      </c>
      <c r="E183" s="1">
        <v>1</v>
      </c>
      <c r="F183" s="56">
        <v>68500</v>
      </c>
      <c r="G183" s="56">
        <v>47940</v>
      </c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 spans="1:23">
      <c r="A184" s="49"/>
      <c r="B184" s="1" t="s">
        <v>104</v>
      </c>
      <c r="C184" s="1" t="s">
        <v>167</v>
      </c>
      <c r="D184" s="49">
        <f>IFERROR(VLOOKUP(B184,'Thống kê'!$C$3:$D$970,2, FALSE),VLOOKUP(B184,'Thống kê v2 CC'!$A$3:$D$1005,3, FALSE))</f>
        <v>0</v>
      </c>
      <c r="E184" s="1">
        <v>1</v>
      </c>
      <c r="F184" s="56">
        <v>68500</v>
      </c>
      <c r="G184" s="56">
        <v>47940</v>
      </c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 spans="1:23">
      <c r="A185" s="49"/>
      <c r="B185" s="1" t="s">
        <v>142</v>
      </c>
      <c r="C185" s="1" t="s">
        <v>167</v>
      </c>
      <c r="D185" s="49">
        <f>IFERROR(VLOOKUP(B185,'Thống kê'!$C$3:$D$970,2, FALSE),VLOOKUP(B185,'Thống kê v2 CC'!$A$3:$D$1005,3, FALSE))</f>
        <v>0</v>
      </c>
      <c r="E185" s="1">
        <v>1</v>
      </c>
      <c r="F185" s="56">
        <v>68500</v>
      </c>
      <c r="G185" s="56">
        <v>47940</v>
      </c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  <row r="186" spans="1:23">
      <c r="A186" s="49"/>
      <c r="B186" s="1" t="s">
        <v>181</v>
      </c>
      <c r="C186" s="1" t="s">
        <v>182</v>
      </c>
      <c r="D186" s="49" t="str">
        <f>IFERROR(VLOOKUP(B186,'Thống kê'!$C$3:$D$970,2, FALSE),VLOOKUP(B186,'Thống kê v2 CC'!$A$3:$D$1005,3, FALSE))</f>
        <v>Thỏ mặt trăng gắn xe</v>
      </c>
      <c r="E186" s="1">
        <v>1</v>
      </c>
      <c r="F186" s="56">
        <v>39000</v>
      </c>
      <c r="G186" s="382">
        <v>84006</v>
      </c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</row>
    <row r="187" spans="1:23">
      <c r="A187" s="49"/>
      <c r="B187" s="1" t="s">
        <v>183</v>
      </c>
      <c r="C187" s="1" t="s">
        <v>184</v>
      </c>
      <c r="D187" s="49" t="str">
        <f>IFERROR(VLOOKUP(B187,'Thống kê'!$C$3:$D$970,2, FALSE),VLOOKUP(B187,'Thống kê v2 CC'!$A$3:$D$1005,3, FALSE))</f>
        <v>Thỏ máy bay gắn xe</v>
      </c>
      <c r="E187" s="1">
        <v>1</v>
      </c>
      <c r="F187" s="56">
        <v>39000</v>
      </c>
      <c r="G187" s="36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</row>
    <row r="188" spans="1:23">
      <c r="A188" s="49"/>
      <c r="B188" s="1" t="s">
        <v>119</v>
      </c>
      <c r="C188" s="1" t="s">
        <v>147</v>
      </c>
      <c r="D188" s="49" t="str">
        <f>IFERROR(VLOOKUP(B188,'Thống kê'!$C$3:$D$970,2, FALSE),VLOOKUP(B188,'Thống kê v2 CC'!$A$3:$D$1005,3, FALSE))</f>
        <v>Thỏ chạy xe gắn xe</v>
      </c>
      <c r="E188" s="1">
        <v>1</v>
      </c>
      <c r="F188" s="56">
        <v>39000</v>
      </c>
      <c r="G188" s="36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</row>
    <row r="189" spans="1:23">
      <c r="A189" s="49"/>
      <c r="B189" s="1" t="s">
        <v>100</v>
      </c>
      <c r="C189" s="1" t="s">
        <v>167</v>
      </c>
      <c r="D189" s="49" t="e">
        <f>IFERROR(VLOOKUP(B189,'Thống kê'!$C$3:$D$970,2, FALSE),VLOOKUP(B189,'Thống kê v2 CC'!$A$3:$D$1005,3, FALSE))</f>
        <v>#N/A</v>
      </c>
      <c r="E189" s="1">
        <v>1</v>
      </c>
      <c r="F189" s="56">
        <v>68500</v>
      </c>
      <c r="G189" s="56">
        <v>47940</v>
      </c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</row>
    <row r="190" spans="1:23">
      <c r="A190" s="49"/>
      <c r="B190" s="1" t="s">
        <v>128</v>
      </c>
      <c r="C190" s="1" t="s">
        <v>185</v>
      </c>
      <c r="D190" s="49" t="str">
        <f>IFERROR(VLOOKUP(B190,'Thống kê'!$C$3:$D$970,2, FALSE),VLOOKUP(B190,'Thống kê v2 CC'!$A$3:$D$1005,3, FALSE))</f>
        <v>Mèo ú bay</v>
      </c>
      <c r="E190" s="1">
        <v>1</v>
      </c>
      <c r="F190" s="56">
        <v>82000</v>
      </c>
      <c r="G190" s="382">
        <v>116305</v>
      </c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</row>
    <row r="191" spans="1:23">
      <c r="A191" s="49"/>
      <c r="B191" s="1" t="s">
        <v>186</v>
      </c>
      <c r="C191" s="1" t="s">
        <v>187</v>
      </c>
      <c r="D191" s="49" t="str">
        <f>IFERROR(VLOOKUP(B191,'Thống kê'!$C$3:$D$970,2, FALSE),VLOOKUP(B191,'Thống kê v2 CC'!$A$3:$D$1005,3, FALSE))</f>
        <v>Thỏ ú bay</v>
      </c>
      <c r="E191" s="1">
        <v>1</v>
      </c>
      <c r="F191" s="56">
        <v>82000</v>
      </c>
      <c r="G191" s="36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</row>
    <row r="192" spans="1:23">
      <c r="A192" s="49"/>
      <c r="B192" s="1" t="s">
        <v>188</v>
      </c>
      <c r="C192" s="1" t="s">
        <v>167</v>
      </c>
      <c r="D192" s="49">
        <f>IFERROR(VLOOKUP(B192,'Thống kê'!$C$3:$D$970,2, FALSE),VLOOKUP(B192,'Thống kê v2 CC'!$A$3:$D$1005,3, FALSE))</f>
        <v>0</v>
      </c>
      <c r="E192" s="1">
        <v>1</v>
      </c>
      <c r="F192" s="56">
        <v>68500</v>
      </c>
      <c r="G192" s="56">
        <v>47940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</row>
    <row r="193" spans="1:23">
      <c r="A193" s="49"/>
      <c r="B193" s="1" t="s">
        <v>145</v>
      </c>
      <c r="C193" s="1" t="s">
        <v>146</v>
      </c>
      <c r="D193" s="49" t="str">
        <f>IFERROR(VLOOKUP(B193,'Thống kê'!$C$3:$D$970,2, FALSE),VLOOKUP(B193,'Thống kê v2 CC'!$A$3:$D$1005,3, FALSE))</f>
        <v>Thỏ đi vịt gắn xe</v>
      </c>
      <c r="E193" s="1">
        <v>1</v>
      </c>
      <c r="F193" s="56">
        <v>39000</v>
      </c>
      <c r="G193" s="382">
        <v>84006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</row>
    <row r="194" spans="1:23">
      <c r="A194" s="49"/>
      <c r="B194" s="1" t="s">
        <v>119</v>
      </c>
      <c r="C194" s="1" t="s">
        <v>147</v>
      </c>
      <c r="D194" s="49" t="str">
        <f>IFERROR(VLOOKUP(B194,'Thống kê'!$C$3:$D$970,2, FALSE),VLOOKUP(B194,'Thống kê v2 CC'!$A$3:$D$1005,3, FALSE))</f>
        <v>Thỏ chạy xe gắn xe</v>
      </c>
      <c r="E194" s="1">
        <v>1</v>
      </c>
      <c r="F194" s="56">
        <v>39000</v>
      </c>
      <c r="G194" s="36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</row>
    <row r="195" spans="1:23">
      <c r="A195" s="49"/>
      <c r="B195" s="1" t="s">
        <v>189</v>
      </c>
      <c r="C195" s="1" t="s">
        <v>190</v>
      </c>
      <c r="D195" s="49" t="str">
        <f>IFERROR(VLOOKUP(B195,'Thống kê'!$C$3:$D$970,2, FALSE),VLOOKUP(B195,'Thống kê v2 CC'!$A$3:$D$1005,3, FALSE))</f>
        <v>Gấu nâu gắn xe</v>
      </c>
      <c r="E195" s="1">
        <v>1</v>
      </c>
      <c r="F195" s="56">
        <v>39000</v>
      </c>
      <c r="G195" s="36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</row>
    <row r="196" spans="1:23">
      <c r="A196" s="49"/>
      <c r="B196" s="1" t="s">
        <v>101</v>
      </c>
      <c r="C196" s="1" t="s">
        <v>167</v>
      </c>
      <c r="D196" s="49">
        <f>IFERROR(VLOOKUP(B196,'Thống kê'!$C$3:$D$970,2, FALSE),VLOOKUP(B196,'Thống kê v2 CC'!$A$3:$D$1005,3, FALSE))</f>
        <v>0</v>
      </c>
      <c r="E196" s="1">
        <v>1</v>
      </c>
      <c r="F196" s="56">
        <v>68500</v>
      </c>
      <c r="G196" s="382">
        <v>98395</v>
      </c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</row>
    <row r="197" spans="1:23">
      <c r="A197" s="49"/>
      <c r="B197" s="1" t="s">
        <v>191</v>
      </c>
      <c r="C197" s="1" t="s">
        <v>167</v>
      </c>
      <c r="D197" s="49">
        <f>IFERROR(VLOOKUP(B197,'Thống kê'!$C$3:$D$970,2, FALSE),VLOOKUP(B197,'Thống kê v2 CC'!$A$3:$D$1005,3, FALSE))</f>
        <v>0</v>
      </c>
      <c r="E197" s="1">
        <v>1</v>
      </c>
      <c r="F197" s="56">
        <v>68500</v>
      </c>
      <c r="G197" s="36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</row>
    <row r="198" spans="1:23">
      <c r="A198" s="49"/>
      <c r="B198" s="1" t="s">
        <v>192</v>
      </c>
      <c r="C198" s="49"/>
      <c r="D198" s="49">
        <f>IFERROR(VLOOKUP(B198,'Thống kê'!$C$3:$D$970,2, FALSE),VLOOKUP(B198,'Thống kê v2 CC'!$A$3:$D$1005,3, FALSE))</f>
        <v>0</v>
      </c>
      <c r="E198" s="1">
        <v>2</v>
      </c>
      <c r="F198" s="56">
        <v>115000</v>
      </c>
      <c r="G198" s="56">
        <v>166347</v>
      </c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</row>
    <row r="199" spans="1:23">
      <c r="A199" s="49"/>
      <c r="B199" s="1" t="s">
        <v>79</v>
      </c>
      <c r="C199" s="1" t="s">
        <v>173</v>
      </c>
      <c r="D199" s="49" t="str">
        <f>IFERROR(VLOOKUP(B199,'Thống kê'!$C$3:$D$970,2, FALSE),VLOOKUP(B199,'Thống kê v2 CC'!$A$3:$D$1005,3, FALSE))</f>
        <v>Móc khóa mô hình Twinkle Mini</v>
      </c>
      <c r="E199" s="1">
        <v>1</v>
      </c>
      <c r="F199" s="56">
        <v>131000</v>
      </c>
      <c r="G199" s="56">
        <v>95990</v>
      </c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</row>
    <row r="200" spans="1:23">
      <c r="A200" s="49"/>
      <c r="B200" s="1" t="s">
        <v>193</v>
      </c>
      <c r="C200" s="1" t="s">
        <v>194</v>
      </c>
      <c r="D200" s="49" t="str">
        <f>IFERROR(VLOOKUP(B200,'Thống kê'!$C$3:$D$970,2, FALSE),VLOOKUP(B200,'Thống kê v2 CC'!$A$3:$D$1005,3, FALSE))</f>
        <v>POP BEAN Pajama Party</v>
      </c>
      <c r="E200" s="1">
        <v>1</v>
      </c>
      <c r="F200" s="56">
        <v>209000</v>
      </c>
      <c r="G200" s="56">
        <v>150884</v>
      </c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</row>
    <row r="201" spans="1:23">
      <c r="A201" s="49"/>
      <c r="B201" s="1" t="s">
        <v>86</v>
      </c>
      <c r="C201" s="1" t="s">
        <v>167</v>
      </c>
      <c r="D201" s="49">
        <f>IFERROR(VLOOKUP(B201,'Thống kê'!$C$3:$D$970,2, FALSE),VLOOKUP(B201,'Thống kê v2 CC'!$A$3:$D$1005,3, FALSE))</f>
        <v>0</v>
      </c>
      <c r="E201" s="1">
        <v>1</v>
      </c>
      <c r="F201" s="56">
        <v>68500</v>
      </c>
      <c r="G201" s="56">
        <v>47316</v>
      </c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</row>
    <row r="202" spans="1:23">
      <c r="A202" s="49"/>
      <c r="B202" s="1" t="s">
        <v>195</v>
      </c>
      <c r="C202" s="49"/>
      <c r="D202" s="49" t="str">
        <f>IFERROR(VLOOKUP(B202,'Thống kê'!$C$3:$D$970,2, FALSE),VLOOKUP(B202,'Thống kê v2 CC'!$A$3:$D$1005,3, FALSE))</f>
        <v>POP BEAN Pajama Party</v>
      </c>
      <c r="E202" s="1">
        <v>1</v>
      </c>
      <c r="F202" s="56">
        <v>120000</v>
      </c>
      <c r="G202" s="382">
        <v>134128</v>
      </c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</row>
    <row r="203" spans="1:23">
      <c r="A203" s="49"/>
      <c r="B203" s="1" t="s">
        <v>92</v>
      </c>
      <c r="C203" s="1" t="s">
        <v>167</v>
      </c>
      <c r="D203" s="49" t="e">
        <f>IFERROR(VLOOKUP(B203,'Thống kê'!$C$3:$D$970,2, FALSE),VLOOKUP(B203,'Thống kê v2 CC'!$A$3:$D$1005,3, FALSE))</f>
        <v>#N/A</v>
      </c>
      <c r="E203" s="1">
        <v>1</v>
      </c>
      <c r="F203" s="56">
        <v>68500</v>
      </c>
      <c r="G203" s="36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</row>
    <row r="204" spans="1:23">
      <c r="A204" s="49"/>
      <c r="B204" s="1" t="s">
        <v>86</v>
      </c>
      <c r="C204" s="1" t="s">
        <v>167</v>
      </c>
      <c r="D204" s="49">
        <f>IFERROR(VLOOKUP(B204,'Thống kê'!$C$3:$D$970,2, FALSE),VLOOKUP(B204,'Thống kê v2 CC'!$A$3:$D$1005,3, FALSE))</f>
        <v>0</v>
      </c>
      <c r="E204" s="1">
        <v>2</v>
      </c>
      <c r="F204" s="56">
        <v>68500</v>
      </c>
      <c r="G204" s="56">
        <v>99654</v>
      </c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</row>
    <row r="205" spans="1:23">
      <c r="A205" s="49"/>
      <c r="B205" s="1" t="s">
        <v>196</v>
      </c>
      <c r="C205" s="1" t="s">
        <v>167</v>
      </c>
      <c r="D205" s="49">
        <f>IFERROR(VLOOKUP(B205,'Thống kê'!$C$3:$D$970,2, FALSE),VLOOKUP(B205,'Thống kê v2 CC'!$A$3:$D$1005,3, FALSE))</f>
        <v>0</v>
      </c>
      <c r="E205" s="1">
        <v>1</v>
      </c>
      <c r="F205" s="56">
        <v>75000</v>
      </c>
      <c r="G205" s="382">
        <v>209035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</row>
    <row r="206" spans="1:23">
      <c r="A206" s="49"/>
      <c r="B206" s="1" t="s">
        <v>197</v>
      </c>
      <c r="C206" s="1" t="s">
        <v>198</v>
      </c>
      <c r="D206" s="49" t="e">
        <f>IFERROR(VLOOKUP(B206,'Thống kê'!$C$3:$D$970,2, FALSE),VLOOKUP(B206,'Thống kê v2 CC'!$A$3:$D$1005,3, FALSE))</f>
        <v>#N/A</v>
      </c>
      <c r="E206" s="1">
        <v>1</v>
      </c>
      <c r="F206" s="56">
        <v>210000</v>
      </c>
      <c r="G206" s="36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</row>
    <row r="207" spans="1:23">
      <c r="A207" s="49"/>
      <c r="B207" s="1" t="s">
        <v>134</v>
      </c>
      <c r="C207" s="1" t="s">
        <v>167</v>
      </c>
      <c r="D207" s="49">
        <f>IFERROR(VLOOKUP(B207,'Thống kê'!$C$3:$D$970,2, FALSE),VLOOKUP(B207,'Thống kê v2 CC'!$A$3:$D$1005,3, FALSE))</f>
        <v>0</v>
      </c>
      <c r="E207" s="1">
        <v>1</v>
      </c>
      <c r="F207" s="56">
        <v>68500</v>
      </c>
      <c r="G207" s="56">
        <v>47940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</row>
    <row r="208" spans="1:23">
      <c r="A208" s="49"/>
      <c r="B208" s="1" t="s">
        <v>196</v>
      </c>
      <c r="C208" s="1" t="s">
        <v>167</v>
      </c>
      <c r="D208" s="49">
        <f>IFERROR(VLOOKUP(B208,'Thống kê'!$C$3:$D$970,2, FALSE),VLOOKUP(B208,'Thống kê v2 CC'!$A$3:$D$1005,3, FALSE))</f>
        <v>0</v>
      </c>
      <c r="E208" s="1">
        <v>1</v>
      </c>
      <c r="F208" s="56">
        <v>75000</v>
      </c>
      <c r="G208" s="382">
        <v>103986</v>
      </c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</row>
    <row r="209" spans="1:23">
      <c r="A209" s="49"/>
      <c r="B209" s="1" t="s">
        <v>103</v>
      </c>
      <c r="C209" s="1" t="s">
        <v>167</v>
      </c>
      <c r="D209" s="49">
        <f>IFERROR(VLOOKUP(B209,'Thống kê'!$C$3:$D$970,2, FALSE),VLOOKUP(B209,'Thống kê v2 CC'!$A$3:$D$1005,3, FALSE))</f>
        <v>0</v>
      </c>
      <c r="E209" s="1">
        <v>1</v>
      </c>
      <c r="F209" s="56">
        <v>69000</v>
      </c>
      <c r="G209" s="36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</row>
    <row r="210" spans="1:23">
      <c r="A210" s="64">
        <v>45865</v>
      </c>
      <c r="B210" s="1" t="s">
        <v>82</v>
      </c>
      <c r="C210" s="1" t="s">
        <v>167</v>
      </c>
      <c r="D210" s="49">
        <f>IFERROR(VLOOKUP(B210,'Thống kê'!$C$3:$D$970,2, FALSE),VLOOKUP(B210,'Thống kê v2 CC'!$A$3:$D$1005,3, FALSE))</f>
        <v>0</v>
      </c>
      <c r="E210" s="1">
        <v>1</v>
      </c>
      <c r="F210" s="56">
        <v>68500</v>
      </c>
      <c r="G210" s="56">
        <v>47316</v>
      </c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</row>
    <row r="211" spans="1:23">
      <c r="A211" s="49"/>
      <c r="B211" s="1" t="s">
        <v>113</v>
      </c>
      <c r="C211" s="49"/>
      <c r="D211" s="49" t="str">
        <f>IFERROR(VLOOKUP(B211,'Thống kê'!$C$3:$D$970,2, FALSE),VLOOKUP(B211,'Thống kê v2 CC'!$A$3:$D$1005,3, FALSE))</f>
        <v>Móc khoá Dimoo size mini (hàng remake)</v>
      </c>
      <c r="E211" s="1">
        <v>1</v>
      </c>
      <c r="F211" s="56">
        <v>79000</v>
      </c>
      <c r="G211" s="382">
        <v>106781</v>
      </c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</row>
    <row r="212" spans="1:23">
      <c r="A212" s="49"/>
      <c r="B212" s="1" t="s">
        <v>154</v>
      </c>
      <c r="C212" s="1" t="s">
        <v>167</v>
      </c>
      <c r="D212" s="49">
        <f>IFERROR(VLOOKUP(B212,'Thống kê'!$C$3:$D$970,2, FALSE),VLOOKUP(B212,'Thống kê v2 CC'!$A$3:$D$1005,3, FALSE))</f>
        <v>0</v>
      </c>
      <c r="E212" s="1">
        <v>1</v>
      </c>
      <c r="F212" s="56">
        <v>68500</v>
      </c>
      <c r="G212" s="36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</row>
    <row r="213" spans="1:23">
      <c r="A213" s="49"/>
      <c r="B213" s="1" t="s">
        <v>196</v>
      </c>
      <c r="C213" s="1" t="s">
        <v>167</v>
      </c>
      <c r="D213" s="49">
        <f>IFERROR(VLOOKUP(B213,'Thống kê'!$C$3:$D$970,2, FALSE),VLOOKUP(B213,'Thống kê v2 CC'!$A$3:$D$1005,3, FALSE))</f>
        <v>0</v>
      </c>
      <c r="E213" s="1">
        <v>1</v>
      </c>
      <c r="F213" s="56">
        <v>75000</v>
      </c>
      <c r="G213" s="56">
        <v>52089</v>
      </c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</row>
    <row r="214" spans="1:23">
      <c r="A214" s="49"/>
      <c r="B214" s="1" t="s">
        <v>77</v>
      </c>
      <c r="C214" s="1" t="s">
        <v>167</v>
      </c>
      <c r="D214" s="49">
        <f>IFERROR(VLOOKUP(B214,'Thống kê'!$C$3:$D$970,2, FALSE),VLOOKUP(B214,'Thống kê v2 CC'!$A$3:$D$1005,3, FALSE))</f>
        <v>0</v>
      </c>
      <c r="E214" s="1">
        <v>1</v>
      </c>
      <c r="F214" s="56">
        <v>69000</v>
      </c>
      <c r="G214" s="382">
        <v>100462</v>
      </c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</row>
    <row r="215" spans="1:23">
      <c r="A215" s="49"/>
      <c r="B215" s="1" t="s">
        <v>199</v>
      </c>
      <c r="C215" s="1" t="s">
        <v>167</v>
      </c>
      <c r="D215" s="49">
        <f>IFERROR(VLOOKUP(B215,'Thống kê'!$C$3:$D$970,2, FALSE),VLOOKUP(B215,'Thống kê v2 CC'!$A$3:$D$1005,3, FALSE))</f>
        <v>0</v>
      </c>
      <c r="E215" s="1">
        <v>1</v>
      </c>
      <c r="F215" s="56">
        <v>69000</v>
      </c>
      <c r="G215" s="36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</row>
    <row r="216" spans="1:23">
      <c r="A216" s="49"/>
      <c r="B216" s="1" t="s">
        <v>200</v>
      </c>
      <c r="C216" s="1" t="s">
        <v>167</v>
      </c>
      <c r="D216" s="49">
        <f>IFERROR(VLOOKUP(B216,'Thống kê'!$C$3:$D$970,2, FALSE),VLOOKUP(B216,'Thống kê v2 CC'!$A$3:$D$1005,3, FALSE))</f>
        <v>0</v>
      </c>
      <c r="E216" s="1">
        <v>1</v>
      </c>
      <c r="F216" s="56">
        <v>68500</v>
      </c>
      <c r="G216" s="382">
        <v>99653</v>
      </c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</row>
    <row r="217" spans="1:23">
      <c r="A217" s="49"/>
      <c r="B217" s="1" t="s">
        <v>96</v>
      </c>
      <c r="C217" s="1" t="s">
        <v>167</v>
      </c>
      <c r="D217" s="49">
        <f>IFERROR(VLOOKUP(B217,'Thống kê'!$C$3:$D$970,2, FALSE),VLOOKUP(B217,'Thống kê v2 CC'!$A$3:$D$1005,3, FALSE))</f>
        <v>0</v>
      </c>
      <c r="E217" s="1">
        <v>1</v>
      </c>
      <c r="F217" s="56">
        <v>68500</v>
      </c>
      <c r="G217" s="36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</row>
    <row r="218" spans="1:23">
      <c r="A218" s="49"/>
      <c r="B218" s="1" t="s">
        <v>201</v>
      </c>
      <c r="C218" s="1" t="s">
        <v>109</v>
      </c>
      <c r="D218" s="49">
        <f>IFERROR(VLOOKUP(B218,'Thống kê'!$C$3:$D$970,2, FALSE),VLOOKUP(B218,'Thống kê v2 CC'!$A$3:$D$1005,3, FALSE))</f>
        <v>0</v>
      </c>
      <c r="E218" s="1">
        <v>1</v>
      </c>
      <c r="F218" s="56">
        <v>189000</v>
      </c>
      <c r="G218" s="56">
        <v>136158</v>
      </c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</row>
    <row r="219" spans="1:23">
      <c r="A219" s="49"/>
      <c r="B219" s="1" t="s">
        <v>143</v>
      </c>
      <c r="C219" s="1" t="s">
        <v>144</v>
      </c>
      <c r="D219" s="49" t="str">
        <f>IFERROR(VLOOKUP(B219,'Thống kê'!$C$3:$D$970,2, FALSE),VLOOKUP(B219,'Thống kê v2 CC'!$A$3:$D$1005,3, FALSE))</f>
        <v>Mèo ú</v>
      </c>
      <c r="E219" s="1">
        <v>1</v>
      </c>
      <c r="F219" s="56">
        <v>69000</v>
      </c>
      <c r="G219" s="56">
        <v>48311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</row>
    <row r="220" spans="1:23">
      <c r="A220" s="49"/>
      <c r="B220" s="1" t="s">
        <v>162</v>
      </c>
      <c r="C220" s="1" t="s">
        <v>163</v>
      </c>
      <c r="D220" s="49" t="str">
        <f>IFERROR(VLOOKUP(B220,'Thống kê'!$C$3:$D$970,2, FALSE),VLOOKUP(B220,'Thống kê v2 CC'!$A$3:$D$1005,3, FALSE))</f>
        <v>Móc khoá cún Donut</v>
      </c>
      <c r="E220" s="1">
        <v>1</v>
      </c>
      <c r="F220" s="56">
        <v>34960</v>
      </c>
      <c r="G220" s="382">
        <v>73936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</row>
    <row r="221" spans="1:23">
      <c r="A221" s="49"/>
      <c r="B221" s="1" t="s">
        <v>97</v>
      </c>
      <c r="C221" s="1" t="s">
        <v>167</v>
      </c>
      <c r="D221" s="49">
        <f>IFERROR(VLOOKUP(B221,'Thống kê'!$C$3:$D$970,2, FALSE),VLOOKUP(B221,'Thống kê v2 CC'!$A$3:$D$1005,3, FALSE))</f>
        <v>0</v>
      </c>
      <c r="E221" s="1">
        <v>1</v>
      </c>
      <c r="F221" s="56">
        <v>68500</v>
      </c>
      <c r="G221" s="36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</row>
    <row r="222" spans="1:23">
      <c r="A222" s="49"/>
      <c r="B222" s="1" t="s">
        <v>77</v>
      </c>
      <c r="C222" s="1" t="s">
        <v>167</v>
      </c>
      <c r="D222" s="49">
        <f>IFERROR(VLOOKUP(B222,'Thống kê'!$C$3:$D$970,2, FALSE),VLOOKUP(B222,'Thống kê v2 CC'!$A$3:$D$1005,3, FALSE))</f>
        <v>0</v>
      </c>
      <c r="E222" s="1">
        <v>1</v>
      </c>
      <c r="F222" s="56">
        <v>69000</v>
      </c>
      <c r="G222" s="382">
        <v>146858</v>
      </c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</row>
    <row r="223" spans="1:23">
      <c r="A223" s="49"/>
      <c r="B223" s="1" t="s">
        <v>202</v>
      </c>
      <c r="C223" s="49"/>
      <c r="D223" s="49" t="e">
        <f>IFERROR(VLOOKUP(B223,'Thống kê'!$C$3:$D$970,2, FALSE),VLOOKUP(B223,'Thống kê v2 CC'!$A$3:$D$1005,3, FALSE))</f>
        <v>#N/A</v>
      </c>
      <c r="E223" s="1">
        <v>1</v>
      </c>
      <c r="F223" s="56">
        <v>68500</v>
      </c>
      <c r="G223" s="36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</row>
    <row r="224" spans="1:23">
      <c r="A224" s="49"/>
      <c r="B224" s="1" t="s">
        <v>203</v>
      </c>
      <c r="C224" s="49"/>
      <c r="D224" s="49" t="e">
        <f>IFERROR(VLOOKUP(B224,'Thống kê'!$C$3:$D$970,2, FALSE),VLOOKUP(B224,'Thống kê v2 CC'!$A$3:$D$1005,3, FALSE))</f>
        <v>#N/A</v>
      </c>
      <c r="E224" s="1">
        <v>1</v>
      </c>
      <c r="F224" s="56">
        <v>68500</v>
      </c>
      <c r="G224" s="36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</row>
    <row r="225" spans="1:23">
      <c r="A225" s="49"/>
      <c r="B225" s="1" t="s">
        <v>102</v>
      </c>
      <c r="C225" s="1" t="s">
        <v>167</v>
      </c>
      <c r="D225" s="49" t="e">
        <f>IFERROR(VLOOKUP(B225,'Thống kê'!$C$3:$D$970,2, FALSE),VLOOKUP(B225,'Thống kê v2 CC'!$A$3:$D$1005,3, FALSE))</f>
        <v>#N/A</v>
      </c>
      <c r="E225" s="1">
        <v>1</v>
      </c>
      <c r="F225" s="56">
        <v>68500</v>
      </c>
      <c r="G225" s="56">
        <v>47316</v>
      </c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</row>
    <row r="226" spans="1:23">
      <c r="A226" s="49"/>
      <c r="B226" s="1" t="s">
        <v>132</v>
      </c>
      <c r="C226" s="1" t="s">
        <v>167</v>
      </c>
      <c r="D226" s="49">
        <f>IFERROR(VLOOKUP(B226,'Thống kê'!$C$3:$D$970,2, FALSE),VLOOKUP(B226,'Thống kê v2 CC'!$A$3:$D$1005,3, FALSE))</f>
        <v>0</v>
      </c>
      <c r="E226" s="1">
        <v>1</v>
      </c>
      <c r="F226" s="56">
        <v>68500</v>
      </c>
      <c r="G226" s="382">
        <v>143285</v>
      </c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</row>
    <row r="227" spans="1:23">
      <c r="A227" s="49"/>
      <c r="B227" s="1" t="s">
        <v>95</v>
      </c>
      <c r="C227" s="1" t="s">
        <v>173</v>
      </c>
      <c r="D227" s="49">
        <f>IFERROR(VLOOKUP(B227,'Thống kê'!$C$3:$D$970,2, FALSE),VLOOKUP(B227,'Thống kê v2 CC'!$A$3:$D$1005,3, FALSE))</f>
        <v>0</v>
      </c>
      <c r="E227" s="1">
        <v>1</v>
      </c>
      <c r="F227" s="56">
        <v>131000</v>
      </c>
      <c r="G227" s="36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</row>
    <row r="228" spans="1:23">
      <c r="A228" s="49"/>
      <c r="B228" s="1" t="s">
        <v>188</v>
      </c>
      <c r="C228" s="1" t="s">
        <v>167</v>
      </c>
      <c r="D228" s="49">
        <f>IFERROR(VLOOKUP(B228,'Thống kê'!$C$3:$D$970,2, FALSE),VLOOKUP(B228,'Thống kê v2 CC'!$A$3:$D$1005,3, FALSE))</f>
        <v>0</v>
      </c>
      <c r="E228" s="1">
        <v>1</v>
      </c>
      <c r="F228" s="56">
        <v>68500</v>
      </c>
      <c r="G228" s="382">
        <v>308105</v>
      </c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</row>
    <row r="229" spans="1:23">
      <c r="A229" s="49"/>
      <c r="B229" s="1" t="s">
        <v>111</v>
      </c>
      <c r="C229" s="1" t="s">
        <v>167</v>
      </c>
      <c r="D229" s="49">
        <f>IFERROR(VLOOKUP(B229,'Thống kê'!$C$3:$D$970,2, FALSE),VLOOKUP(B229,'Thống kê v2 CC'!$A$3:$D$1005,3, FALSE))</f>
        <v>0</v>
      </c>
      <c r="E229" s="1">
        <v>1</v>
      </c>
      <c r="F229" s="56">
        <v>68500</v>
      </c>
      <c r="G229" s="36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</row>
    <row r="230" spans="1:23">
      <c r="A230" s="49"/>
      <c r="B230" s="1" t="s">
        <v>104</v>
      </c>
      <c r="C230" s="1" t="s">
        <v>167</v>
      </c>
      <c r="D230" s="49">
        <f>IFERROR(VLOOKUP(B230,'Thống kê'!$C$3:$D$970,2, FALSE),VLOOKUP(B230,'Thống kê v2 CC'!$A$3:$D$1005,3, FALSE))</f>
        <v>0</v>
      </c>
      <c r="E230" s="1">
        <v>1</v>
      </c>
      <c r="F230" s="56">
        <v>68500</v>
      </c>
      <c r="G230" s="36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</row>
    <row r="231" spans="1:23">
      <c r="A231" s="49"/>
      <c r="B231" s="1" t="s">
        <v>204</v>
      </c>
      <c r="C231" s="1" t="s">
        <v>167</v>
      </c>
      <c r="D231" s="49">
        <f>IFERROR(VLOOKUP(B231,'Thống kê'!$C$3:$D$970,2, FALSE),VLOOKUP(B231,'Thống kê v2 CC'!$A$3:$D$1005,3, FALSE))</f>
        <v>0</v>
      </c>
      <c r="E231" s="1">
        <v>1</v>
      </c>
      <c r="F231" s="56">
        <v>68500</v>
      </c>
      <c r="G231" s="36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</row>
    <row r="232" spans="1:23">
      <c r="A232" s="49"/>
      <c r="B232" s="1" t="s">
        <v>97</v>
      </c>
      <c r="C232" s="1" t="s">
        <v>167</v>
      </c>
      <c r="D232" s="49">
        <f>IFERROR(VLOOKUP(B232,'Thống kê'!$C$3:$D$970,2, FALSE),VLOOKUP(B232,'Thống kê v2 CC'!$A$3:$D$1005,3, FALSE))</f>
        <v>0</v>
      </c>
      <c r="E232" s="1">
        <v>1</v>
      </c>
      <c r="F232" s="56">
        <v>68500</v>
      </c>
      <c r="G232" s="36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</row>
    <row r="233" spans="1:23">
      <c r="A233" s="49"/>
      <c r="B233" s="1" t="s">
        <v>100</v>
      </c>
      <c r="C233" s="1" t="s">
        <v>167</v>
      </c>
      <c r="D233" s="49" t="e">
        <f>IFERROR(VLOOKUP(B233,'Thống kê'!$C$3:$D$970,2, FALSE),VLOOKUP(B233,'Thống kê v2 CC'!$A$3:$D$1005,3, FALSE))</f>
        <v>#N/A</v>
      </c>
      <c r="E233" s="1">
        <v>1</v>
      </c>
      <c r="F233" s="56">
        <v>68500</v>
      </c>
      <c r="G233" s="36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</row>
    <row r="234" spans="1:23">
      <c r="A234" s="49"/>
      <c r="B234" s="1" t="s">
        <v>97</v>
      </c>
      <c r="C234" s="1" t="s">
        <v>167</v>
      </c>
      <c r="D234" s="49">
        <f>IFERROR(VLOOKUP(B234,'Thống kê'!$C$3:$D$970,2, FALSE),VLOOKUP(B234,'Thống kê v2 CC'!$A$3:$D$1005,3, FALSE))</f>
        <v>0</v>
      </c>
      <c r="E234" s="1">
        <v>1</v>
      </c>
      <c r="F234" s="56">
        <v>68500</v>
      </c>
      <c r="G234" s="56">
        <v>47316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</row>
    <row r="235" spans="1:23">
      <c r="A235" s="49"/>
      <c r="B235" s="1" t="s">
        <v>202</v>
      </c>
      <c r="C235" s="49"/>
      <c r="D235" s="49" t="e">
        <f>IFERROR(VLOOKUP(B235,'Thống kê'!$C$3:$D$970,2, FALSE),VLOOKUP(B235,'Thống kê v2 CC'!$A$3:$D$1005,3, FALSE))</f>
        <v>#N/A</v>
      </c>
      <c r="E235" s="1">
        <v>1</v>
      </c>
      <c r="F235" s="56">
        <v>68500</v>
      </c>
      <c r="G235" s="56">
        <v>47940</v>
      </c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</row>
    <row r="236" spans="1:23">
      <c r="A236" s="49"/>
      <c r="B236" s="1" t="s">
        <v>159</v>
      </c>
      <c r="C236" s="1" t="s">
        <v>205</v>
      </c>
      <c r="D236" s="49">
        <f>IFERROR(VLOOKUP(B236,'Thống kê'!$C$3:$D$970,2, FALSE),VLOOKUP(B236,'Thống kê v2 CC'!$A$3:$D$1005,3, FALSE))</f>
        <v>0</v>
      </c>
      <c r="E236" s="1">
        <v>1</v>
      </c>
      <c r="F236" s="56">
        <v>168000</v>
      </c>
      <c r="G236" s="382">
        <v>307356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</row>
    <row r="237" spans="1:23">
      <c r="A237" s="49"/>
      <c r="B237" s="1" t="s">
        <v>127</v>
      </c>
      <c r="C237" s="49"/>
      <c r="D237" s="49">
        <f>IFERROR(VLOOKUP(B237,'Thống kê'!$C$3:$D$970,2, FALSE),VLOOKUP(B237,'Thống kê v2 CC'!$A$3:$D$1005,3, FALSE))</f>
        <v>0</v>
      </c>
      <c r="E237" s="1">
        <v>1</v>
      </c>
      <c r="F237" s="56">
        <v>98000</v>
      </c>
      <c r="G237" s="36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</row>
    <row r="238" spans="1:23">
      <c r="A238" s="49"/>
      <c r="B238" s="1" t="s">
        <v>206</v>
      </c>
      <c r="C238" s="49"/>
      <c r="D238" s="49" t="str">
        <f>IFERROR(VLOOKUP(B238,'Thống kê'!$C$3:$D$970,2, FALSE),VLOOKUP(B238,'Thống kê v2 CC'!$A$3:$D$1005,3, FALSE))</f>
        <v>Pop Bean Baked Bread</v>
      </c>
      <c r="E238" s="1">
        <v>1</v>
      </c>
      <c r="F238" s="56">
        <v>140250</v>
      </c>
      <c r="G238" s="36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</row>
    <row r="239" spans="1:23">
      <c r="A239" s="49"/>
      <c r="B239" s="1" t="s">
        <v>82</v>
      </c>
      <c r="C239" s="1" t="s">
        <v>167</v>
      </c>
      <c r="D239" s="49">
        <f>IFERROR(VLOOKUP(B239,'Thống kê'!$C$3:$D$970,2, FALSE),VLOOKUP(B239,'Thống kê v2 CC'!$A$3:$D$1005,3, FALSE))</f>
        <v>0</v>
      </c>
      <c r="E239" s="1">
        <v>1</v>
      </c>
      <c r="F239" s="56">
        <v>68500</v>
      </c>
      <c r="G239" s="56">
        <v>47940</v>
      </c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</row>
    <row r="240" spans="1:23">
      <c r="A240" s="49"/>
      <c r="B240" s="1" t="s">
        <v>119</v>
      </c>
      <c r="C240" s="1" t="s">
        <v>147</v>
      </c>
      <c r="D240" s="49" t="str">
        <f>IFERROR(VLOOKUP(B240,'Thống kê'!$C$3:$D$970,2, FALSE),VLOOKUP(B240,'Thống kê v2 CC'!$A$3:$D$1005,3, FALSE))</f>
        <v>Thỏ chạy xe gắn xe</v>
      </c>
      <c r="E240" s="1">
        <v>1</v>
      </c>
      <c r="F240" s="56">
        <v>39000</v>
      </c>
      <c r="G240" s="56">
        <v>28524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</row>
    <row r="241" spans="1:23">
      <c r="A241" s="49"/>
      <c r="B241" s="1" t="s">
        <v>82</v>
      </c>
      <c r="C241" s="1" t="s">
        <v>167</v>
      </c>
      <c r="D241" s="49">
        <f>IFERROR(VLOOKUP(B241,'Thống kê'!$C$3:$D$970,2, FALSE),VLOOKUP(B241,'Thống kê v2 CC'!$A$3:$D$1005,3, FALSE))</f>
        <v>0</v>
      </c>
      <c r="E241" s="1">
        <v>1</v>
      </c>
      <c r="F241" s="56">
        <v>68500</v>
      </c>
      <c r="G241" s="56">
        <v>47316</v>
      </c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</row>
    <row r="242" spans="1:23">
      <c r="A242" s="49"/>
      <c r="B242" s="1" t="s">
        <v>113</v>
      </c>
      <c r="C242" s="49"/>
      <c r="D242" s="49" t="str">
        <f>IFERROR(VLOOKUP(B242,'Thống kê'!$C$3:$D$970,2, FALSE),VLOOKUP(B242,'Thống kê v2 CC'!$A$3:$D$1005,3, FALSE))</f>
        <v>Móc khoá Dimoo size mini (hàng remake)</v>
      </c>
      <c r="E242" s="1">
        <v>1</v>
      </c>
      <c r="F242" s="56">
        <v>79000</v>
      </c>
      <c r="G242" s="382">
        <v>164912</v>
      </c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</row>
    <row r="243" spans="1:23">
      <c r="A243" s="49"/>
      <c r="B243" s="1" t="s">
        <v>136</v>
      </c>
      <c r="C243" s="49"/>
      <c r="D243" s="49" t="e">
        <f>IFERROR(VLOOKUP(B243,'Thống kê'!$C$3:$D$970,2, FALSE),VLOOKUP(B243,'Thống kê v2 CC'!$A$3:$D$1005,3, FALSE))</f>
        <v>#N/A</v>
      </c>
      <c r="E243" s="1">
        <v>1</v>
      </c>
      <c r="F243" s="56">
        <v>150000</v>
      </c>
      <c r="G243" s="36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</row>
    <row r="244" spans="1:23">
      <c r="A244" s="49"/>
      <c r="B244" s="1" t="s">
        <v>203</v>
      </c>
      <c r="C244" s="49"/>
      <c r="D244" s="49" t="e">
        <f>IFERROR(VLOOKUP(B244,'Thống kê'!$C$3:$D$970,2, FALSE),VLOOKUP(B244,'Thống kê v2 CC'!$A$3:$D$1005,3, FALSE))</f>
        <v>#N/A</v>
      </c>
      <c r="E244" s="1">
        <v>1</v>
      </c>
      <c r="F244" s="56">
        <v>68500</v>
      </c>
      <c r="G244" s="382">
        <v>99653</v>
      </c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</row>
    <row r="245" spans="1:23">
      <c r="A245" s="49"/>
      <c r="B245" s="1" t="s">
        <v>82</v>
      </c>
      <c r="C245" s="1" t="s">
        <v>167</v>
      </c>
      <c r="D245" s="49">
        <f>IFERROR(VLOOKUP(B245,'Thống kê'!$C$3:$D$970,2, FALSE),VLOOKUP(B245,'Thống kê v2 CC'!$A$3:$D$1005,3, FALSE))</f>
        <v>0</v>
      </c>
      <c r="E245" s="1">
        <v>1</v>
      </c>
      <c r="F245" s="56">
        <v>68500</v>
      </c>
      <c r="G245" s="36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</row>
    <row r="246" spans="1:23">
      <c r="A246" s="49"/>
      <c r="B246" s="1" t="s">
        <v>95</v>
      </c>
      <c r="C246" s="1" t="s">
        <v>167</v>
      </c>
      <c r="D246" s="49">
        <f>IFERROR(VLOOKUP(B246,'Thống kê'!$C$3:$D$970,2, FALSE),VLOOKUP(B246,'Thống kê v2 CC'!$A$3:$D$1005,3, FALSE))</f>
        <v>0</v>
      </c>
      <c r="E246" s="1">
        <v>1</v>
      </c>
      <c r="F246" s="56">
        <v>68500</v>
      </c>
      <c r="G246" s="382">
        <v>253005</v>
      </c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</row>
    <row r="247" spans="1:23">
      <c r="A247" s="49"/>
      <c r="B247" s="1" t="s">
        <v>188</v>
      </c>
      <c r="C247" s="1" t="s">
        <v>167</v>
      </c>
      <c r="D247" s="49">
        <f>IFERROR(VLOOKUP(B247,'Thống kê'!$C$3:$D$970,2, FALSE),VLOOKUP(B247,'Thống kê v2 CC'!$A$3:$D$1005,3, FALSE))</f>
        <v>0</v>
      </c>
      <c r="E247" s="1">
        <v>1</v>
      </c>
      <c r="F247" s="56">
        <v>68500</v>
      </c>
      <c r="G247" s="36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</row>
    <row r="248" spans="1:23">
      <c r="A248" s="49"/>
      <c r="B248" s="1" t="s">
        <v>132</v>
      </c>
      <c r="C248" s="1" t="s">
        <v>167</v>
      </c>
      <c r="D248" s="49">
        <f>IFERROR(VLOOKUP(B248,'Thống kê'!$C$3:$D$970,2, FALSE),VLOOKUP(B248,'Thống kê v2 CC'!$A$3:$D$1005,3, FALSE))</f>
        <v>0</v>
      </c>
      <c r="E248" s="1">
        <v>1</v>
      </c>
      <c r="F248" s="56">
        <v>68500</v>
      </c>
      <c r="G248" s="36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</row>
    <row r="249" spans="1:23">
      <c r="A249" s="49"/>
      <c r="B249" s="1" t="s">
        <v>204</v>
      </c>
      <c r="C249" s="1" t="s">
        <v>167</v>
      </c>
      <c r="D249" s="49">
        <f>IFERROR(VLOOKUP(B249,'Thống kê'!$C$3:$D$970,2, FALSE),VLOOKUP(B249,'Thống kê v2 CC'!$A$3:$D$1005,3, FALSE))</f>
        <v>0</v>
      </c>
      <c r="E249" s="1">
        <v>1</v>
      </c>
      <c r="F249" s="56">
        <v>68500</v>
      </c>
      <c r="G249" s="36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</row>
    <row r="250" spans="1:23">
      <c r="A250" s="49"/>
      <c r="B250" s="1" t="s">
        <v>88</v>
      </c>
      <c r="C250" s="1" t="s">
        <v>167</v>
      </c>
      <c r="D250" s="49">
        <f>IFERROR(VLOOKUP(B250,'Thống kê'!$C$3:$D$970,2, FALSE),VLOOKUP(B250,'Thống kê v2 CC'!$A$3:$D$1005,3, FALSE))</f>
        <v>0</v>
      </c>
      <c r="E250" s="1">
        <v>1</v>
      </c>
      <c r="F250" s="56">
        <v>68500</v>
      </c>
      <c r="G250" s="36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</row>
    <row r="251" spans="1:23">
      <c r="A251" s="49"/>
      <c r="B251" s="1" t="s">
        <v>206</v>
      </c>
      <c r="C251" s="1" t="s">
        <v>160</v>
      </c>
      <c r="D251" s="49" t="str">
        <f>IFERROR(VLOOKUP(B251,'Thống kê'!$C$3:$D$970,2, FALSE),VLOOKUP(B251,'Thống kê v2 CC'!$A$3:$D$1005,3, FALSE))</f>
        <v>Pop Bean Baked Bread</v>
      </c>
      <c r="E251" s="1">
        <v>1</v>
      </c>
      <c r="F251" s="56">
        <v>166250</v>
      </c>
      <c r="G251" s="56">
        <v>252306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</row>
    <row r="252" spans="1:23">
      <c r="A252" s="49"/>
      <c r="B252" s="1" t="s">
        <v>197</v>
      </c>
      <c r="C252" s="1" t="s">
        <v>173</v>
      </c>
      <c r="D252" s="49" t="e">
        <f>IFERROR(VLOOKUP(B252,'Thống kê'!$C$3:$D$970,2, FALSE),VLOOKUP(B252,'Thống kê v2 CC'!$A$3:$D$1005,3, FALSE))</f>
        <v>#N/A</v>
      </c>
      <c r="E252" s="1">
        <v>1</v>
      </c>
      <c r="F252" s="56">
        <v>175000</v>
      </c>
      <c r="G252" s="382">
        <v>223729</v>
      </c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</row>
    <row r="253" spans="1:23">
      <c r="A253" s="49"/>
      <c r="B253" s="1" t="s">
        <v>207</v>
      </c>
      <c r="C253" s="49"/>
      <c r="D253" s="49" t="str">
        <f>IFERROR(VLOOKUP(B253,'Thống kê'!$C$3:$D$970,2, FALSE),VLOOKUP(B253,'Thống kê v2 CC'!$A$3:$D$1005,3, FALSE))</f>
        <v>Thiệp</v>
      </c>
      <c r="E253" s="1">
        <v>4</v>
      </c>
      <c r="F253" s="56">
        <v>4500</v>
      </c>
      <c r="G253" s="36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</row>
    <row r="254" spans="1:23">
      <c r="A254" s="49"/>
      <c r="B254" s="1" t="s">
        <v>117</v>
      </c>
      <c r="C254" s="1" t="s">
        <v>167</v>
      </c>
      <c r="D254" s="49">
        <f>IFERROR(VLOOKUP(B254,'Thống kê'!$C$3:$D$970,2, FALSE),VLOOKUP(B254,'Thống kê v2 CC'!$A$3:$D$1005,3, FALSE))</f>
        <v>0</v>
      </c>
      <c r="E254" s="1">
        <v>1</v>
      </c>
      <c r="F254" s="56">
        <v>68500</v>
      </c>
      <c r="G254" s="36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</row>
    <row r="255" spans="1:23">
      <c r="A255" s="49"/>
      <c r="B255" s="1" t="s">
        <v>208</v>
      </c>
      <c r="C255" s="49"/>
      <c r="D255" s="49" t="e">
        <f>IFERROR(VLOOKUP(B255,'Thống kê'!$C$3:$D$970,2, FALSE),VLOOKUP(B255,'Thống kê v2 CC'!$A$3:$D$1005,3, FALSE))</f>
        <v>#N/A</v>
      </c>
      <c r="E255" s="1">
        <v>1</v>
      </c>
      <c r="F255" s="56">
        <v>4500</v>
      </c>
      <c r="G255" s="36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</row>
    <row r="256" spans="1:23">
      <c r="A256" s="49"/>
      <c r="B256" s="1" t="s">
        <v>209</v>
      </c>
      <c r="C256" s="49"/>
      <c r="D256" s="49">
        <f>IFERROR(VLOOKUP(B256,'Thống kê'!$C$3:$D$970,2, FALSE),VLOOKUP(B256,'Thống kê v2 CC'!$A$3:$D$1005,3, FALSE))</f>
        <v>0</v>
      </c>
      <c r="E256" s="1">
        <v>1</v>
      </c>
      <c r="F256" s="56">
        <v>4500</v>
      </c>
      <c r="G256" s="36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</row>
    <row r="257" spans="1:23">
      <c r="A257" s="49"/>
      <c r="B257" s="1" t="s">
        <v>210</v>
      </c>
      <c r="C257" s="49"/>
      <c r="D257" s="49">
        <f>IFERROR(VLOOKUP(B257,'Thống kê'!$C$3:$D$970,2, FALSE),VLOOKUP(B257,'Thống kê v2 CC'!$A$3:$D$1005,3, FALSE))</f>
        <v>0</v>
      </c>
      <c r="E257" s="1">
        <v>1</v>
      </c>
      <c r="F257" s="56">
        <v>4500</v>
      </c>
      <c r="G257" s="36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</row>
    <row r="258" spans="1:23">
      <c r="A258" s="49"/>
      <c r="B258" s="1" t="s">
        <v>102</v>
      </c>
      <c r="C258" s="1" t="s">
        <v>167</v>
      </c>
      <c r="D258" s="49" t="e">
        <f>IFERROR(VLOOKUP(B258,'Thống kê'!$C$3:$D$970,2, FALSE),VLOOKUP(B258,'Thống kê v2 CC'!$A$3:$D$1005,3, FALSE))</f>
        <v>#N/A</v>
      </c>
      <c r="E258" s="1">
        <v>1</v>
      </c>
      <c r="F258" s="56">
        <v>68500</v>
      </c>
      <c r="G258" s="36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</row>
    <row r="259" spans="1:23">
      <c r="A259" s="49"/>
      <c r="B259" s="1" t="s">
        <v>97</v>
      </c>
      <c r="C259" s="1" t="s">
        <v>167</v>
      </c>
      <c r="D259" s="49">
        <f>IFERROR(VLOOKUP(B259,'Thống kê'!$C$3:$D$970,2, FALSE),VLOOKUP(B259,'Thống kê v2 CC'!$A$3:$D$1005,3, FALSE))</f>
        <v>0</v>
      </c>
      <c r="E259" s="1">
        <v>1</v>
      </c>
      <c r="F259" s="56">
        <v>68500</v>
      </c>
      <c r="G259" s="36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</row>
    <row r="260" spans="1:23">
      <c r="A260" s="49"/>
      <c r="B260" s="1" t="s">
        <v>88</v>
      </c>
      <c r="C260" s="1" t="s">
        <v>167</v>
      </c>
      <c r="D260" s="49">
        <f>IFERROR(VLOOKUP(B260,'Thống kê'!$C$3:$D$970,2, FALSE),VLOOKUP(B260,'Thống kê v2 CC'!$A$3:$D$1005,3, FALSE))</f>
        <v>0</v>
      </c>
      <c r="E260" s="1">
        <v>1</v>
      </c>
      <c r="F260" s="56">
        <v>68500</v>
      </c>
      <c r="G260" s="36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</row>
    <row r="261" spans="1:23">
      <c r="A261" s="49"/>
      <c r="B261" s="1" t="s">
        <v>145</v>
      </c>
      <c r="C261" s="1" t="s">
        <v>146</v>
      </c>
      <c r="D261" s="49" t="str">
        <f>IFERROR(VLOOKUP(B261,'Thống kê'!$C$3:$D$970,2, FALSE),VLOOKUP(B261,'Thống kê v2 CC'!$A$3:$D$1005,3, FALSE))</f>
        <v>Thỏ đi vịt gắn xe</v>
      </c>
      <c r="E261" s="1">
        <v>1</v>
      </c>
      <c r="F261" s="56">
        <v>39000</v>
      </c>
      <c r="G261" s="56">
        <v>28524</v>
      </c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</row>
    <row r="262" spans="1:23">
      <c r="A262" s="49"/>
      <c r="B262" s="1" t="s">
        <v>195</v>
      </c>
      <c r="C262" s="49"/>
      <c r="D262" s="49" t="str">
        <f>IFERROR(VLOOKUP(B262,'Thống kê'!$C$3:$D$970,2, FALSE),VLOOKUP(B262,'Thống kê v2 CC'!$A$3:$D$1005,3, FALSE))</f>
        <v>POP BEAN Pajama Party</v>
      </c>
      <c r="E262" s="1">
        <v>1</v>
      </c>
      <c r="F262" s="56">
        <v>120000</v>
      </c>
      <c r="G262" s="382">
        <v>169454</v>
      </c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</row>
    <row r="263" spans="1:23">
      <c r="A263" s="49"/>
      <c r="B263" s="1" t="s">
        <v>156</v>
      </c>
      <c r="C263" s="49"/>
      <c r="D263" s="49" t="e">
        <f>IFERROR(VLOOKUP(B263,'Thống kê'!$C$3:$D$970,2, FALSE),VLOOKUP(B263,'Thống kê v2 CC'!$A$3:$D$1005,3, FALSE))</f>
        <v>#N/A</v>
      </c>
      <c r="E263" s="1">
        <v>1</v>
      </c>
      <c r="F263" s="56">
        <v>120000</v>
      </c>
      <c r="G263" s="36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</row>
    <row r="264" spans="1:23">
      <c r="A264" s="64">
        <v>45866</v>
      </c>
      <c r="B264" s="1" t="s">
        <v>96</v>
      </c>
      <c r="C264" s="1" t="s">
        <v>167</v>
      </c>
      <c r="D264" s="49">
        <f>IFERROR(VLOOKUP(B264,'Thống kê'!$C$3:$D$970,2, FALSE),VLOOKUP(B264,'Thống kê v2 CC'!$A$3:$D$1005,3, FALSE))</f>
        <v>0</v>
      </c>
      <c r="E264" s="1">
        <v>1</v>
      </c>
      <c r="F264" s="56">
        <v>68500</v>
      </c>
      <c r="G264" s="56">
        <v>47316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</row>
    <row r="265" spans="1:23">
      <c r="A265" s="49"/>
      <c r="B265" s="1" t="s">
        <v>171</v>
      </c>
      <c r="C265" s="1" t="s">
        <v>167</v>
      </c>
      <c r="D265" s="49">
        <f>IFERROR(VLOOKUP(B265,'Thống kê'!$C$3:$D$970,2, FALSE),VLOOKUP(B265,'Thống kê v2 CC'!$A$3:$D$1005,3, FALSE))</f>
        <v>0</v>
      </c>
      <c r="E265" s="1">
        <v>1</v>
      </c>
      <c r="F265" s="56">
        <v>68500</v>
      </c>
      <c r="G265" s="382">
        <v>99024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</row>
    <row r="266" spans="1:23">
      <c r="A266" s="49"/>
      <c r="B266" s="1" t="s">
        <v>142</v>
      </c>
      <c r="C266" s="1" t="s">
        <v>167</v>
      </c>
      <c r="D266" s="49">
        <f>IFERROR(VLOOKUP(B266,'Thống kê'!$C$3:$D$970,2, FALSE),VLOOKUP(B266,'Thống kê v2 CC'!$A$3:$D$1005,3, FALSE))</f>
        <v>0</v>
      </c>
      <c r="E266" s="1">
        <v>1</v>
      </c>
      <c r="F266" s="56">
        <v>68500</v>
      </c>
      <c r="G266" s="36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</row>
    <row r="267" spans="1:23">
      <c r="A267" s="65">
        <v>45867</v>
      </c>
      <c r="B267" s="61" t="s">
        <v>82</v>
      </c>
      <c r="C267" s="61" t="s">
        <v>81</v>
      </c>
      <c r="D267" s="49">
        <f>IFERROR(VLOOKUP(B267,'Thống kê'!$C$3:$D$970,2, FALSE),VLOOKUP(B267,'Thống kê v2 CC'!$A$3:$D$1005,3, FALSE))</f>
        <v>0</v>
      </c>
      <c r="E267" s="61">
        <v>1</v>
      </c>
      <c r="F267" s="59">
        <v>68500</v>
      </c>
      <c r="G267" s="381">
        <v>99653</v>
      </c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</row>
    <row r="268" spans="1:23">
      <c r="A268" s="60"/>
      <c r="B268" s="61" t="s">
        <v>102</v>
      </c>
      <c r="C268" s="61" t="s">
        <v>81</v>
      </c>
      <c r="D268" s="49" t="e">
        <f>IFERROR(VLOOKUP(B268,'Thống kê'!$C$3:$D$970,2, FALSE),VLOOKUP(B268,'Thống kê v2 CC'!$A$3:$D$1005,3, FALSE))</f>
        <v>#N/A</v>
      </c>
      <c r="E268" s="61">
        <v>1</v>
      </c>
      <c r="F268" s="59">
        <v>68500</v>
      </c>
      <c r="G268" s="36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</row>
    <row r="269" spans="1:23">
      <c r="A269" s="60"/>
      <c r="B269" s="61" t="s">
        <v>211</v>
      </c>
      <c r="C269" s="61" t="s">
        <v>81</v>
      </c>
      <c r="D269" s="49" t="e">
        <f>IFERROR(VLOOKUP(B269,'Thống kê'!$C$3:$D$970,2, FALSE),VLOOKUP(B269,'Thống kê v2 CC'!$A$3:$D$1005,3, FALSE))</f>
        <v>#N/A</v>
      </c>
      <c r="E269" s="61">
        <v>2</v>
      </c>
      <c r="F269" s="59">
        <v>115000</v>
      </c>
      <c r="G269" s="381">
        <v>446955</v>
      </c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</row>
    <row r="270" spans="1:23">
      <c r="A270" s="60"/>
      <c r="B270" s="61" t="s">
        <v>212</v>
      </c>
      <c r="C270" s="61" t="s">
        <v>81</v>
      </c>
      <c r="D270" s="49" t="e">
        <f>IFERROR(VLOOKUP(B270,'Thống kê'!$C$3:$D$970,2, FALSE),VLOOKUP(B270,'Thống kê v2 CC'!$A$3:$D$1005,3, FALSE))</f>
        <v>#N/A</v>
      </c>
      <c r="E270" s="61">
        <v>1</v>
      </c>
      <c r="F270" s="59">
        <v>115000</v>
      </c>
      <c r="G270" s="36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</row>
    <row r="271" spans="1:23">
      <c r="A271" s="60"/>
      <c r="B271" s="61" t="s">
        <v>213</v>
      </c>
      <c r="C271" s="61" t="s">
        <v>81</v>
      </c>
      <c r="D271" s="49" t="e">
        <f>IFERROR(VLOOKUP(B271,'Thống kê'!$C$3:$D$970,2, FALSE),VLOOKUP(B271,'Thống kê v2 CC'!$A$3:$D$1005,3, FALSE))</f>
        <v>#N/A</v>
      </c>
      <c r="E271" s="61">
        <v>2</v>
      </c>
      <c r="F271" s="59">
        <v>115000</v>
      </c>
      <c r="G271" s="36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</row>
    <row r="272" spans="1:23">
      <c r="A272" s="60"/>
      <c r="B272" s="61" t="s">
        <v>82</v>
      </c>
      <c r="C272" s="61" t="s">
        <v>81</v>
      </c>
      <c r="D272" s="49">
        <f>IFERROR(VLOOKUP(B272,'Thống kê'!$C$3:$D$970,2, FALSE),VLOOKUP(B272,'Thống kê v2 CC'!$A$3:$D$1005,3, FALSE))</f>
        <v>0</v>
      </c>
      <c r="E272" s="61">
        <v>1</v>
      </c>
      <c r="F272" s="59">
        <v>68500</v>
      </c>
      <c r="G272" s="381">
        <v>99653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</row>
    <row r="273" spans="1:23">
      <c r="A273" s="60"/>
      <c r="B273" s="61" t="s">
        <v>154</v>
      </c>
      <c r="C273" s="61" t="s">
        <v>81</v>
      </c>
      <c r="D273" s="49">
        <f>IFERROR(VLOOKUP(B273,'Thống kê'!$C$3:$D$970,2, FALSE),VLOOKUP(B273,'Thống kê v2 CC'!$A$3:$D$1005,3, FALSE))</f>
        <v>0</v>
      </c>
      <c r="E273" s="61">
        <v>1</v>
      </c>
      <c r="F273" s="59">
        <v>68500</v>
      </c>
      <c r="G273" s="36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</row>
    <row r="274" spans="1:23">
      <c r="A274" s="60"/>
      <c r="B274" s="61" t="s">
        <v>96</v>
      </c>
      <c r="C274" s="61" t="s">
        <v>81</v>
      </c>
      <c r="D274" s="49">
        <f>IFERROR(VLOOKUP(B274,'Thống kê'!$C$3:$D$970,2, FALSE),VLOOKUP(B274,'Thống kê v2 CC'!$A$3:$D$1005,3, FALSE))</f>
        <v>0</v>
      </c>
      <c r="E274" s="61">
        <v>1</v>
      </c>
      <c r="F274" s="59">
        <v>68500</v>
      </c>
      <c r="G274" s="59">
        <v>47940</v>
      </c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</row>
    <row r="275" spans="1:23">
      <c r="A275" s="60"/>
      <c r="B275" s="61" t="s">
        <v>86</v>
      </c>
      <c r="C275" s="61" t="s">
        <v>81</v>
      </c>
      <c r="D275" s="49">
        <f>IFERROR(VLOOKUP(B275,'Thống kê'!$C$3:$D$970,2, FALSE),VLOOKUP(B275,'Thống kê v2 CC'!$A$3:$D$1005,3, FALSE))</f>
        <v>0</v>
      </c>
      <c r="E275" s="61">
        <v>1</v>
      </c>
      <c r="F275" s="59">
        <v>68500</v>
      </c>
      <c r="G275" s="381">
        <v>99653</v>
      </c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</row>
    <row r="276" spans="1:23">
      <c r="A276" s="60"/>
      <c r="B276" s="61" t="s">
        <v>88</v>
      </c>
      <c r="C276" s="61" t="s">
        <v>81</v>
      </c>
      <c r="D276" s="49">
        <f>IFERROR(VLOOKUP(B276,'Thống kê'!$C$3:$D$970,2, FALSE),VLOOKUP(B276,'Thống kê v2 CC'!$A$3:$D$1005,3, FALSE))</f>
        <v>0</v>
      </c>
      <c r="E276" s="61">
        <v>1</v>
      </c>
      <c r="F276" s="59">
        <v>68500</v>
      </c>
      <c r="G276" s="36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</row>
    <row r="277" spans="1:23">
      <c r="A277" s="60"/>
      <c r="B277" s="61" t="s">
        <v>214</v>
      </c>
      <c r="C277" s="61" t="s">
        <v>81</v>
      </c>
      <c r="D277" s="49">
        <f>IFERROR(VLOOKUP(B277,'Thống kê'!$C$3:$D$970,2, FALSE),VLOOKUP(B277,'Thống kê v2 CC'!$A$3:$D$1005,3, FALSE))</f>
        <v>0</v>
      </c>
      <c r="E277" s="61">
        <v>1</v>
      </c>
      <c r="F277" s="59">
        <v>68500</v>
      </c>
      <c r="G277" s="381">
        <v>98395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</row>
    <row r="278" spans="1:23">
      <c r="A278" s="60"/>
      <c r="B278" s="61" t="s">
        <v>142</v>
      </c>
      <c r="C278" s="61" t="s">
        <v>81</v>
      </c>
      <c r="D278" s="49">
        <f>IFERROR(VLOOKUP(B278,'Thống kê'!$C$3:$D$970,2, FALSE),VLOOKUP(B278,'Thống kê v2 CC'!$A$3:$D$1005,3, FALSE))</f>
        <v>0</v>
      </c>
      <c r="E278" s="61">
        <v>1</v>
      </c>
      <c r="F278" s="59">
        <v>68500</v>
      </c>
      <c r="G278" s="36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</row>
    <row r="279" spans="1:23">
      <c r="A279" s="60"/>
      <c r="B279" s="61" t="s">
        <v>102</v>
      </c>
      <c r="C279" s="61" t="s">
        <v>81</v>
      </c>
      <c r="D279" s="49" t="e">
        <f>IFERROR(VLOOKUP(B279,'Thống kê'!$C$3:$D$970,2, FALSE),VLOOKUP(B279,'Thống kê v2 CC'!$A$3:$D$1005,3, FALSE))</f>
        <v>#N/A</v>
      </c>
      <c r="E279" s="61">
        <v>1</v>
      </c>
      <c r="F279" s="59">
        <v>68500</v>
      </c>
      <c r="G279" s="59">
        <v>47940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</row>
    <row r="280" spans="1:23">
      <c r="A280" s="60"/>
      <c r="B280" s="60"/>
      <c r="C280" s="61" t="s">
        <v>81</v>
      </c>
      <c r="D280" s="49" t="e">
        <f>IFERROR(VLOOKUP(B280,'Thống kê'!$C$3:$D$970,2, FALSE),VLOOKUP(B280,'Thống kê v2 CC'!$A$3:$D$1005,3, FALSE))</f>
        <v>#N/A</v>
      </c>
      <c r="E280" s="61">
        <v>1</v>
      </c>
      <c r="F280" s="59">
        <v>6000</v>
      </c>
      <c r="G280" s="381">
        <v>52456</v>
      </c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</row>
    <row r="281" spans="1:23">
      <c r="A281" s="60"/>
      <c r="B281" s="61" t="s">
        <v>111</v>
      </c>
      <c r="C281" s="61" t="s">
        <v>81</v>
      </c>
      <c r="D281" s="49">
        <f>IFERROR(VLOOKUP(B281,'Thống kê'!$C$3:$D$970,2, FALSE),VLOOKUP(B281,'Thống kê v2 CC'!$A$3:$D$1005,3, FALSE))</f>
        <v>0</v>
      </c>
      <c r="E281" s="61">
        <v>1</v>
      </c>
      <c r="F281" s="59">
        <v>68500</v>
      </c>
      <c r="G281" s="36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</row>
    <row r="282" spans="1:23">
      <c r="A282" s="60"/>
      <c r="B282" s="61" t="s">
        <v>94</v>
      </c>
      <c r="C282" s="61" t="s">
        <v>81</v>
      </c>
      <c r="D282" s="49" t="str">
        <f>IFERROR(VLOOKUP(B282,'Thống kê'!$C$3:$D$970,2, FALSE),VLOOKUP(B282,'Thống kê v2 CC'!$A$3:$D$1005,3, FALSE))</f>
        <v>thỏ</v>
      </c>
      <c r="E282" s="61">
        <v>1</v>
      </c>
      <c r="F282" s="59">
        <v>32200</v>
      </c>
      <c r="G282" s="59">
        <v>22634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</row>
    <row r="283" spans="1:23">
      <c r="A283" s="60"/>
      <c r="B283" s="61" t="s">
        <v>215</v>
      </c>
      <c r="C283" s="61" t="s">
        <v>81</v>
      </c>
      <c r="D283" s="49" t="e">
        <f>IFERROR(VLOOKUP(B283,'Thống kê'!$C$3:$D$970,2, FALSE),VLOOKUP(B283,'Thống kê v2 CC'!$A$3:$D$1005,3, FALSE))</f>
        <v>#N/A</v>
      </c>
      <c r="E283" s="61">
        <v>1</v>
      </c>
      <c r="F283" s="59">
        <v>199500</v>
      </c>
      <c r="G283" s="59">
        <v>143889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</row>
    <row r="284" spans="1:23">
      <c r="A284" s="60"/>
      <c r="B284" s="61" t="s">
        <v>188</v>
      </c>
      <c r="C284" s="61" t="s">
        <v>81</v>
      </c>
      <c r="D284" s="49">
        <f>IFERROR(VLOOKUP(B284,'Thống kê'!$C$3:$D$970,2, FALSE),VLOOKUP(B284,'Thống kê v2 CC'!$A$3:$D$1005,3, FALSE))</f>
        <v>0</v>
      </c>
      <c r="E284" s="61">
        <v>1</v>
      </c>
      <c r="F284" s="59">
        <v>68500</v>
      </c>
      <c r="G284" s="59">
        <v>47316</v>
      </c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 spans="1:23">
      <c r="A285" s="60"/>
      <c r="B285" s="61" t="s">
        <v>216</v>
      </c>
      <c r="C285" s="61" t="s">
        <v>81</v>
      </c>
      <c r="D285" s="49" t="e">
        <f>IFERROR(VLOOKUP(B285,'Thống kê'!$C$3:$D$970,2, FALSE),VLOOKUP(B285,'Thống kê v2 CC'!$A$3:$D$1005,3, FALSE))</f>
        <v>#N/A</v>
      </c>
      <c r="E285" s="61">
        <v>1</v>
      </c>
      <c r="F285" s="59">
        <v>114000</v>
      </c>
      <c r="G285" s="59">
        <v>80736</v>
      </c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 spans="1:23">
      <c r="A286" s="60"/>
      <c r="B286" s="61" t="s">
        <v>217</v>
      </c>
      <c r="C286" s="61" t="s">
        <v>81</v>
      </c>
      <c r="D286" s="49" t="e">
        <f>IFERROR(VLOOKUP(B286,'Thống kê'!$C$3:$D$970,2, FALSE),VLOOKUP(B286,'Thống kê v2 CC'!$A$3:$D$1005,3, FALSE))</f>
        <v>#N/A</v>
      </c>
      <c r="E286" s="61">
        <v>1</v>
      </c>
      <c r="F286" s="59">
        <v>150000</v>
      </c>
      <c r="G286" s="381">
        <v>157275</v>
      </c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 spans="1:23">
      <c r="A287" s="60"/>
      <c r="B287" s="61" t="s">
        <v>86</v>
      </c>
      <c r="C287" s="61" t="s">
        <v>81</v>
      </c>
      <c r="D287" s="49">
        <f>IFERROR(VLOOKUP(B287,'Thống kê'!$C$3:$D$970,2, FALSE),VLOOKUP(B287,'Thống kê v2 CC'!$A$3:$D$1005,3, FALSE))</f>
        <v>0</v>
      </c>
      <c r="E287" s="61">
        <v>1</v>
      </c>
      <c r="F287" s="59">
        <v>68500</v>
      </c>
      <c r="G287" s="36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1:23">
      <c r="A288" s="65">
        <v>45869</v>
      </c>
      <c r="B288" s="61" t="s">
        <v>152</v>
      </c>
      <c r="C288" s="61" t="s">
        <v>81</v>
      </c>
      <c r="D288" s="49" t="e">
        <f>IFERROR(VLOOKUP(B288,'Thống kê'!$C$3:$D$970,2, FALSE),VLOOKUP(B288,'Thống kê v2 CC'!$A$3:$D$1005,3, FALSE))</f>
        <v>#N/A</v>
      </c>
      <c r="E288" s="61">
        <v>1</v>
      </c>
      <c r="F288" s="59">
        <v>120000</v>
      </c>
      <c r="G288" s="59">
        <v>86236</v>
      </c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 spans="1:23">
      <c r="A289" s="60"/>
      <c r="B289" s="61" t="s">
        <v>218</v>
      </c>
      <c r="C289" s="61" t="s">
        <v>81</v>
      </c>
      <c r="D289" s="49" t="e">
        <f>IFERROR(VLOOKUP(B289,'Thống kê'!$C$3:$D$970,2, FALSE),VLOOKUP(B289,'Thống kê v2 CC'!$A$3:$D$1005,3, FALSE))</f>
        <v>#N/A</v>
      </c>
      <c r="E289" s="61">
        <v>1</v>
      </c>
      <c r="F289" s="59">
        <v>115000</v>
      </c>
      <c r="G289" s="59">
        <v>83554</v>
      </c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 spans="1:23">
      <c r="A290" s="60"/>
      <c r="B290" s="61" t="s">
        <v>219</v>
      </c>
      <c r="C290" s="61" t="s">
        <v>81</v>
      </c>
      <c r="D290" s="49">
        <f>IFERROR(VLOOKUP(B290,'Thống kê'!$C$3:$D$970,2, FALSE),VLOOKUP(B290,'Thống kê v2 CC'!$A$3:$D$1005,3, FALSE))</f>
        <v>0</v>
      </c>
      <c r="E290" s="61">
        <v>1</v>
      </c>
      <c r="F290" s="59">
        <v>68500</v>
      </c>
      <c r="G290" s="381">
        <v>163075</v>
      </c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 spans="1:23">
      <c r="A291" s="60"/>
      <c r="B291" s="61" t="s">
        <v>220</v>
      </c>
      <c r="C291" s="61" t="s">
        <v>81</v>
      </c>
      <c r="D291" s="49">
        <f>IFERROR(VLOOKUP(B291,'Thống kê'!$C$3:$D$970,2, FALSE),VLOOKUP(B291,'Thống kê v2 CC'!$A$3:$D$1005,3, FALSE))</f>
        <v>0</v>
      </c>
      <c r="E291" s="61">
        <v>1</v>
      </c>
      <c r="F291" s="59">
        <v>68500</v>
      </c>
      <c r="G291" s="36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 spans="1:23">
      <c r="A292" s="60"/>
      <c r="B292" s="61" t="s">
        <v>221</v>
      </c>
      <c r="C292" s="61" t="s">
        <v>81</v>
      </c>
      <c r="D292" s="49">
        <f>IFERROR(VLOOKUP(B292,'Thống kê'!$C$3:$D$970,2, FALSE),VLOOKUP(B292,'Thống kê v2 CC'!$A$3:$D$1005,3, FALSE))</f>
        <v>0</v>
      </c>
      <c r="E292" s="61">
        <v>1</v>
      </c>
      <c r="F292" s="59">
        <v>95000</v>
      </c>
      <c r="G292" s="36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 spans="1:23">
      <c r="A293" s="60"/>
      <c r="B293" s="61" t="s">
        <v>199</v>
      </c>
      <c r="C293" s="61" t="s">
        <v>81</v>
      </c>
      <c r="D293" s="49">
        <f>IFERROR(VLOOKUP(B293,'Thống kê'!$C$3:$D$970,2, FALSE),VLOOKUP(B293,'Thống kê v2 CC'!$A$3:$D$1005,3, FALSE))</f>
        <v>0</v>
      </c>
      <c r="E293" s="61">
        <v>1</v>
      </c>
      <c r="F293" s="59">
        <v>69000</v>
      </c>
      <c r="G293" s="59">
        <v>48311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 spans="1:23">
      <c r="A294" s="60"/>
      <c r="B294" s="61" t="s">
        <v>100</v>
      </c>
      <c r="C294" s="61" t="s">
        <v>81</v>
      </c>
      <c r="D294" s="49" t="e">
        <f>IFERROR(VLOOKUP(B294,'Thống kê'!$C$3:$D$970,2, FALSE),VLOOKUP(B294,'Thống kê v2 CC'!$A$3:$D$1005,3, FALSE))</f>
        <v>#N/A</v>
      </c>
      <c r="E294" s="61">
        <v>1</v>
      </c>
      <c r="F294" s="59">
        <v>68500</v>
      </c>
      <c r="G294" s="381">
        <v>98395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 spans="1:23">
      <c r="A295" s="60"/>
      <c r="B295" s="61" t="s">
        <v>158</v>
      </c>
      <c r="C295" s="61" t="s">
        <v>81</v>
      </c>
      <c r="D295" s="49" t="e">
        <f>IFERROR(VLOOKUP(B295,'Thống kê'!$C$3:$D$970,2, FALSE),VLOOKUP(B295,'Thống kê v2 CC'!$A$3:$D$1005,3, FALSE))</f>
        <v>#N/A</v>
      </c>
      <c r="E295" s="61">
        <v>1</v>
      </c>
      <c r="F295" s="59">
        <v>68500</v>
      </c>
      <c r="G295" s="36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 spans="1:23">
      <c r="A296" s="60"/>
      <c r="B296" s="61" t="s">
        <v>95</v>
      </c>
      <c r="C296" s="61" t="s">
        <v>81</v>
      </c>
      <c r="D296" s="49">
        <f>IFERROR(VLOOKUP(B296,'Thống kê'!$C$3:$D$970,2, FALSE),VLOOKUP(B296,'Thống kê v2 CC'!$A$3:$D$1005,3, FALSE))</f>
        <v>0</v>
      </c>
      <c r="E296" s="61">
        <v>1</v>
      </c>
      <c r="F296" s="59">
        <v>68500</v>
      </c>
      <c r="G296" s="59">
        <v>47940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 spans="1:23">
      <c r="A297" s="60"/>
      <c r="B297" s="61" t="s">
        <v>199</v>
      </c>
      <c r="C297" s="61" t="s">
        <v>81</v>
      </c>
      <c r="D297" s="49">
        <f>IFERROR(VLOOKUP(B297,'Thống kê'!$C$3:$D$970,2, FALSE),VLOOKUP(B297,'Thống kê v2 CC'!$A$3:$D$1005,3, FALSE))</f>
        <v>0</v>
      </c>
      <c r="E297" s="61">
        <v>1</v>
      </c>
      <c r="F297" s="59">
        <v>69000</v>
      </c>
      <c r="G297" s="59">
        <v>48311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 spans="1:23">
      <c r="A298" s="60"/>
      <c r="B298" s="61" t="s">
        <v>117</v>
      </c>
      <c r="C298" s="61" t="s">
        <v>81</v>
      </c>
      <c r="D298" s="49">
        <f>IFERROR(VLOOKUP(B298,'Thống kê'!$C$3:$D$970,2, FALSE),VLOOKUP(B298,'Thống kê v2 CC'!$A$3:$D$1005,3, FALSE))</f>
        <v>0</v>
      </c>
      <c r="E298" s="61">
        <v>1</v>
      </c>
      <c r="F298" s="59">
        <v>68500</v>
      </c>
      <c r="G298" s="59">
        <v>47940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 spans="1:23">
      <c r="A299" s="60"/>
      <c r="B299" s="61" t="s">
        <v>189</v>
      </c>
      <c r="C299" s="61" t="s">
        <v>81</v>
      </c>
      <c r="D299" s="49" t="str">
        <f>IFERROR(VLOOKUP(B299,'Thống kê'!$C$3:$D$970,2, FALSE),VLOOKUP(B299,'Thống kê v2 CC'!$A$3:$D$1005,3, FALSE))</f>
        <v>Gấu nâu gắn xe</v>
      </c>
      <c r="E299" s="61">
        <v>1</v>
      </c>
      <c r="F299" s="59">
        <v>39000</v>
      </c>
      <c r="G299" s="59">
        <v>28377</v>
      </c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 spans="1:23">
      <c r="A300" s="60"/>
      <c r="B300" s="61" t="s">
        <v>111</v>
      </c>
      <c r="C300" s="61" t="s">
        <v>81</v>
      </c>
      <c r="D300" s="49">
        <f>IFERROR(VLOOKUP(B300,'Thống kê'!$C$3:$D$970,2, FALSE),VLOOKUP(B300,'Thống kê v2 CC'!$A$3:$D$1005,3, FALSE))</f>
        <v>0</v>
      </c>
      <c r="E300" s="61">
        <v>1</v>
      </c>
      <c r="F300" s="59">
        <v>68500</v>
      </c>
      <c r="G300" s="381">
        <v>146494</v>
      </c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 spans="1:23">
      <c r="A301" s="60"/>
      <c r="B301" s="61" t="s">
        <v>134</v>
      </c>
      <c r="C301" s="61" t="s">
        <v>81</v>
      </c>
      <c r="D301" s="49">
        <f>IFERROR(VLOOKUP(B301,'Thống kê'!$C$3:$D$970,2, FALSE),VLOOKUP(B301,'Thống kê v2 CC'!$A$3:$D$1005,3, FALSE))</f>
        <v>0</v>
      </c>
      <c r="E301" s="61">
        <v>1</v>
      </c>
      <c r="F301" s="59">
        <v>68500</v>
      </c>
      <c r="G301" s="36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 spans="1:23">
      <c r="A302" s="60"/>
      <c r="B302" s="61" t="s">
        <v>158</v>
      </c>
      <c r="C302" s="61" t="s">
        <v>81</v>
      </c>
      <c r="D302" s="49" t="e">
        <f>IFERROR(VLOOKUP(B302,'Thống kê'!$C$3:$D$970,2, FALSE),VLOOKUP(B302,'Thống kê v2 CC'!$A$3:$D$1005,3, FALSE))</f>
        <v>#N/A</v>
      </c>
      <c r="E302" s="61">
        <v>1</v>
      </c>
      <c r="F302" s="59">
        <v>68500</v>
      </c>
      <c r="G302" s="36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 spans="1:23">
      <c r="A303" s="60"/>
      <c r="B303" s="61" t="s">
        <v>202</v>
      </c>
      <c r="C303" s="61" t="s">
        <v>81</v>
      </c>
      <c r="D303" s="49" t="e">
        <f>IFERROR(VLOOKUP(B303,'Thống kê'!$C$3:$D$970,2, FALSE),VLOOKUP(B303,'Thống kê v2 CC'!$A$3:$D$1005,3, FALSE))</f>
        <v>#N/A</v>
      </c>
      <c r="E303" s="61">
        <v>1</v>
      </c>
      <c r="F303" s="59">
        <v>68500</v>
      </c>
      <c r="G303" s="381">
        <v>99653</v>
      </c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 spans="1:23">
      <c r="A304" s="60"/>
      <c r="B304" s="61" t="s">
        <v>203</v>
      </c>
      <c r="C304" s="61" t="s">
        <v>81</v>
      </c>
      <c r="D304" s="49" t="e">
        <f>IFERROR(VLOOKUP(B304,'Thống kê'!$C$3:$D$970,2, FALSE),VLOOKUP(B304,'Thống kê v2 CC'!$A$3:$D$1005,3, FALSE))</f>
        <v>#N/A</v>
      </c>
      <c r="E304" s="61">
        <v>1</v>
      </c>
      <c r="F304" s="59">
        <v>68500</v>
      </c>
      <c r="G304" s="36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  <row r="305" spans="1:23">
      <c r="A305" s="65">
        <v>45868</v>
      </c>
      <c r="B305" s="61" t="s">
        <v>82</v>
      </c>
      <c r="C305" s="61" t="s">
        <v>81</v>
      </c>
      <c r="D305" s="49">
        <f>IFERROR(VLOOKUP(B305,'Thống kê'!$C$3:$D$970,2, FALSE),VLOOKUP(B305,'Thống kê v2 CC'!$A$3:$D$1005,3, FALSE))</f>
        <v>0</v>
      </c>
      <c r="E305" s="61">
        <v>1</v>
      </c>
      <c r="F305" s="59">
        <v>68500</v>
      </c>
      <c r="G305" s="59">
        <v>47940</v>
      </c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</row>
    <row r="306" spans="1:23">
      <c r="A306" s="60"/>
      <c r="B306" s="61" t="s">
        <v>84</v>
      </c>
      <c r="C306" s="61" t="s">
        <v>81</v>
      </c>
      <c r="D306" s="49">
        <f>IFERROR(VLOOKUP(B306,'Thống kê'!$C$3:$D$970,2, FALSE),VLOOKUP(B306,'Thống kê v2 CC'!$A$3:$D$1005,3, FALSE))</f>
        <v>0</v>
      </c>
      <c r="E306" s="61">
        <v>1</v>
      </c>
      <c r="F306" s="59">
        <v>69000</v>
      </c>
      <c r="G306" s="59">
        <v>47682</v>
      </c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</row>
    <row r="307" spans="1:23">
      <c r="A307" s="60"/>
      <c r="B307" s="61" t="s">
        <v>217</v>
      </c>
      <c r="C307" s="61" t="s">
        <v>81</v>
      </c>
      <c r="D307" s="49" t="e">
        <f>IFERROR(VLOOKUP(B307,'Thống kê'!$C$3:$D$970,2, FALSE),VLOOKUP(B307,'Thống kê v2 CC'!$A$3:$D$1005,3, FALSE))</f>
        <v>#N/A</v>
      </c>
      <c r="E307" s="61">
        <v>1</v>
      </c>
      <c r="F307" s="59">
        <v>150000</v>
      </c>
      <c r="G307" s="59">
        <v>107443</v>
      </c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</row>
    <row r="308" spans="1:23">
      <c r="A308" s="60"/>
      <c r="B308" s="61" t="s">
        <v>222</v>
      </c>
      <c r="C308" s="61" t="s">
        <v>81</v>
      </c>
      <c r="D308" s="49" t="e">
        <f>IFERROR(VLOOKUP(B308,'Thống kê'!$C$3:$D$970,2, FALSE),VLOOKUP(B308,'Thống kê v2 CC'!$A$3:$D$1005,3, FALSE))</f>
        <v>#N/A</v>
      </c>
      <c r="E308" s="61">
        <v>1</v>
      </c>
      <c r="F308" s="59">
        <v>131000</v>
      </c>
      <c r="G308" s="59">
        <v>94792</v>
      </c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</row>
    <row r="309" spans="1:23">
      <c r="A309" s="60"/>
      <c r="B309" s="61" t="s">
        <v>111</v>
      </c>
      <c r="C309" s="61" t="s">
        <v>81</v>
      </c>
      <c r="D309" s="49">
        <f>IFERROR(VLOOKUP(B309,'Thống kê'!$C$3:$D$970,2, FALSE),VLOOKUP(B309,'Thống kê v2 CC'!$A$3:$D$1005,3, FALSE))</f>
        <v>0</v>
      </c>
      <c r="E309" s="61">
        <v>1</v>
      </c>
      <c r="F309" s="59">
        <v>68500</v>
      </c>
      <c r="G309" s="381">
        <v>99653</v>
      </c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</row>
    <row r="310" spans="1:23">
      <c r="A310" s="60"/>
      <c r="B310" s="61" t="s">
        <v>82</v>
      </c>
      <c r="C310" s="61" t="s">
        <v>81</v>
      </c>
      <c r="D310" s="49">
        <f>IFERROR(VLOOKUP(B310,'Thống kê'!$C$3:$D$970,2, FALSE),VLOOKUP(B310,'Thống kê v2 CC'!$A$3:$D$1005,3, FALSE))</f>
        <v>0</v>
      </c>
      <c r="E310" s="61">
        <v>1</v>
      </c>
      <c r="F310" s="59">
        <v>68500</v>
      </c>
      <c r="G310" s="36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</row>
    <row r="311" spans="1:23">
      <c r="A311" s="60"/>
      <c r="B311" s="61" t="s">
        <v>211</v>
      </c>
      <c r="C311" s="61" t="s">
        <v>81</v>
      </c>
      <c r="D311" s="49" t="e">
        <f>IFERROR(VLOOKUP(B311,'Thống kê'!$C$3:$D$970,2, FALSE),VLOOKUP(B311,'Thống kê v2 CC'!$A$3:$D$1005,3, FALSE))</f>
        <v>#N/A</v>
      </c>
      <c r="E311" s="61">
        <v>1</v>
      </c>
      <c r="F311" s="59">
        <v>115000</v>
      </c>
      <c r="G311" s="59">
        <v>83554</v>
      </c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</row>
    <row r="312" spans="1:23">
      <c r="A312" s="60"/>
      <c r="B312" s="61" t="s">
        <v>223</v>
      </c>
      <c r="C312" s="61" t="s">
        <v>81</v>
      </c>
      <c r="D312" s="49">
        <f>IFERROR(VLOOKUP(B312,'Thống kê'!$C$3:$D$970,2, FALSE),VLOOKUP(B312,'Thống kê v2 CC'!$A$3:$D$1005,3, FALSE))</f>
        <v>0</v>
      </c>
      <c r="E312" s="61">
        <v>1</v>
      </c>
      <c r="F312" s="59">
        <v>90000</v>
      </c>
      <c r="G312" s="381">
        <v>224132</v>
      </c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</row>
    <row r="313" spans="1:23">
      <c r="A313" s="60"/>
      <c r="B313" s="61" t="s">
        <v>113</v>
      </c>
      <c r="C313" s="61" t="s">
        <v>81</v>
      </c>
      <c r="D313" s="49" t="str">
        <f>IFERROR(VLOOKUP(B313,'Thống kê'!$C$3:$D$970,2, FALSE),VLOOKUP(B313,'Thống kê v2 CC'!$A$3:$D$1005,3, FALSE))</f>
        <v>Móc khoá Dimoo size mini (hàng remake)</v>
      </c>
      <c r="E313" s="61">
        <v>1</v>
      </c>
      <c r="F313" s="59">
        <v>79000</v>
      </c>
      <c r="G313" s="36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</row>
    <row r="314" spans="1:23">
      <c r="A314" s="60"/>
      <c r="B314" s="61" t="s">
        <v>95</v>
      </c>
      <c r="C314" s="61" t="s">
        <v>81</v>
      </c>
      <c r="D314" s="49">
        <f>IFERROR(VLOOKUP(B314,'Thống kê'!$C$3:$D$970,2, FALSE),VLOOKUP(B314,'Thống kê v2 CC'!$A$3:$D$1005,3, FALSE))</f>
        <v>0</v>
      </c>
      <c r="E314" s="61">
        <v>1</v>
      </c>
      <c r="F314" s="59">
        <v>68500</v>
      </c>
      <c r="G314" s="36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</row>
    <row r="315" spans="1:23">
      <c r="A315" s="60"/>
      <c r="B315" s="61" t="s">
        <v>154</v>
      </c>
      <c r="C315" s="61" t="s">
        <v>81</v>
      </c>
      <c r="D315" s="49">
        <f>IFERROR(VLOOKUP(B315,'Thống kê'!$C$3:$D$970,2, FALSE),VLOOKUP(B315,'Thống kê v2 CC'!$A$3:$D$1005,3, FALSE))</f>
        <v>0</v>
      </c>
      <c r="E315" s="61">
        <v>1</v>
      </c>
      <c r="F315" s="59">
        <v>68500</v>
      </c>
      <c r="G315" s="36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</row>
    <row r="316" spans="1:23">
      <c r="A316" s="60"/>
      <c r="B316" s="61">
        <v>1</v>
      </c>
      <c r="C316" s="61" t="s">
        <v>81</v>
      </c>
      <c r="D316" s="49" t="e">
        <f>IFERROR(VLOOKUP(B316,'Thống kê'!$C$3:$D$970,2, FALSE),VLOOKUP(B316,'Thống kê v2 CC'!$A$3:$D$1005,3, FALSE))</f>
        <v>#N/A</v>
      </c>
      <c r="E316" s="61">
        <v>1</v>
      </c>
      <c r="F316" s="59">
        <v>55250</v>
      </c>
      <c r="G316" s="381">
        <v>177823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</row>
    <row r="317" spans="1:23">
      <c r="A317" s="60"/>
      <c r="B317" s="61" t="s">
        <v>224</v>
      </c>
      <c r="C317" s="61" t="s">
        <v>81</v>
      </c>
      <c r="D317" s="49" t="str">
        <f>IFERROR(VLOOKUP(B317,'Thống kê'!$C$3:$D$970,2, FALSE),VLOOKUP(B317,'Thống kê v2 CC'!$A$3:$D$1005,3, FALSE))</f>
        <v xml:space="preserve">Pop Bean Popmart </v>
      </c>
      <c r="E317" s="61">
        <v>1</v>
      </c>
      <c r="F317" s="59">
        <v>191000</v>
      </c>
      <c r="G317" s="36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</row>
    <row r="318" spans="1:23">
      <c r="A318" s="60"/>
      <c r="B318" s="61" t="s">
        <v>143</v>
      </c>
      <c r="C318" s="61" t="s">
        <v>81</v>
      </c>
      <c r="D318" s="49" t="str">
        <f>IFERROR(VLOOKUP(B318,'Thống kê'!$C$3:$D$970,2, FALSE),VLOOKUP(B318,'Thống kê v2 CC'!$A$3:$D$1005,3, FALSE))</f>
        <v>Mèo ú</v>
      </c>
      <c r="E318" s="61">
        <v>1</v>
      </c>
      <c r="F318" s="59">
        <v>69000</v>
      </c>
      <c r="G318" s="59">
        <v>47682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</row>
    <row r="319" spans="1:23">
      <c r="A319" s="60"/>
      <c r="B319" s="61" t="s">
        <v>95</v>
      </c>
      <c r="C319" s="61" t="s">
        <v>81</v>
      </c>
      <c r="D319" s="49">
        <f>IFERROR(VLOOKUP(B319,'Thống kê'!$C$3:$D$970,2, FALSE),VLOOKUP(B319,'Thống kê v2 CC'!$A$3:$D$1005,3, FALSE))</f>
        <v>0</v>
      </c>
      <c r="E319" s="61">
        <v>1</v>
      </c>
      <c r="F319" s="59">
        <v>68500</v>
      </c>
      <c r="G319" s="59">
        <v>47316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</row>
    <row r="320" spans="1:23">
      <c r="A320" s="60"/>
      <c r="B320" s="61" t="s">
        <v>98</v>
      </c>
      <c r="C320" s="61" t="s">
        <v>81</v>
      </c>
      <c r="D320" s="49">
        <f>IFERROR(VLOOKUP(B320,'Thống kê'!$C$3:$D$970,2, FALSE),VLOOKUP(B320,'Thống kê v2 CC'!$A$3:$D$1005,3, FALSE))</f>
        <v>0</v>
      </c>
      <c r="E320" s="61">
        <v>1</v>
      </c>
      <c r="F320" s="59">
        <v>68500</v>
      </c>
      <c r="G320" s="59">
        <v>47940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</row>
    <row r="321" spans="1:23">
      <c r="A321" s="60"/>
      <c r="B321" s="61" t="s">
        <v>157</v>
      </c>
      <c r="C321" s="61" t="s">
        <v>81</v>
      </c>
      <c r="D321" s="49" t="e">
        <f>IFERROR(VLOOKUP(B321,'Thống kê'!$C$3:$D$970,2, FALSE),VLOOKUP(B321,'Thống kê v2 CC'!$A$3:$D$1005,3, FALSE))</f>
        <v>#N/A</v>
      </c>
      <c r="E321" s="61">
        <v>1</v>
      </c>
      <c r="F321" s="59">
        <v>120000</v>
      </c>
      <c r="G321" s="59">
        <v>86239</v>
      </c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</row>
    <row r="322" spans="1:23">
      <c r="A322" s="60"/>
      <c r="B322" s="61" t="s">
        <v>140</v>
      </c>
      <c r="C322" s="61" t="s">
        <v>81</v>
      </c>
      <c r="D322" s="49">
        <f>IFERROR(VLOOKUP(B322,'Thống kê'!$C$3:$D$970,2, FALSE),VLOOKUP(B322,'Thống kê v2 CC'!$A$3:$D$1005,3, FALSE))</f>
        <v>0</v>
      </c>
      <c r="E322" s="61">
        <v>1</v>
      </c>
      <c r="F322" s="59">
        <v>69000</v>
      </c>
      <c r="G322" s="59">
        <v>48311</v>
      </c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</row>
    <row r="323" spans="1:23">
      <c r="A323" s="60"/>
      <c r="B323" s="61" t="s">
        <v>152</v>
      </c>
      <c r="C323" s="61" t="s">
        <v>81</v>
      </c>
      <c r="D323" s="49" t="e">
        <f>IFERROR(VLOOKUP(B323,'Thống kê'!$C$3:$D$970,2, FALSE),VLOOKUP(B323,'Thống kê v2 CC'!$A$3:$D$1005,3, FALSE))</f>
        <v>#N/A</v>
      </c>
      <c r="E323" s="61">
        <v>1</v>
      </c>
      <c r="F323" s="59">
        <v>120000</v>
      </c>
      <c r="G323" s="59">
        <v>86236</v>
      </c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</row>
    <row r="324" spans="1:23">
      <c r="A324" s="60"/>
      <c r="B324" s="61" t="s">
        <v>214</v>
      </c>
      <c r="C324" s="61" t="s">
        <v>81</v>
      </c>
      <c r="D324" s="49">
        <f>IFERROR(VLOOKUP(B324,'Thống kê'!$C$3:$D$970,2, FALSE),VLOOKUP(B324,'Thống kê v2 CC'!$A$3:$D$1005,3, FALSE))</f>
        <v>0</v>
      </c>
      <c r="E324" s="61">
        <v>1</v>
      </c>
      <c r="F324" s="59">
        <v>68500</v>
      </c>
      <c r="G324" s="59">
        <v>47940</v>
      </c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</row>
    <row r="325" spans="1:23">
      <c r="A325" s="60"/>
      <c r="B325" s="61" t="s">
        <v>225</v>
      </c>
      <c r="C325" s="61" t="s">
        <v>81</v>
      </c>
      <c r="D325" s="49" t="e">
        <f>IFERROR(VLOOKUP(B325,'Thống kê'!$C$3:$D$970,2, FALSE),VLOOKUP(B325,'Thống kê v2 CC'!$A$3:$D$1005,3, FALSE))</f>
        <v>#N/A</v>
      </c>
      <c r="E325" s="61">
        <v>1</v>
      </c>
      <c r="F325" s="59">
        <v>189000</v>
      </c>
      <c r="G325" s="59">
        <v>134474</v>
      </c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</row>
    <row r="326" spans="1:23">
      <c r="A326" s="60"/>
      <c r="B326" s="61" t="s">
        <v>86</v>
      </c>
      <c r="C326" s="61" t="s">
        <v>81</v>
      </c>
      <c r="D326" s="49">
        <f>IFERROR(VLOOKUP(B326,'Thống kê'!$C$3:$D$970,2, FALSE),VLOOKUP(B326,'Thống kê v2 CC'!$A$3:$D$1005,3, FALSE))</f>
        <v>0</v>
      </c>
      <c r="E326" s="61">
        <v>1</v>
      </c>
      <c r="F326" s="59">
        <v>68500</v>
      </c>
      <c r="G326" s="381">
        <v>146494</v>
      </c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</row>
    <row r="327" spans="1:23">
      <c r="A327" s="60"/>
      <c r="B327" s="61" t="s">
        <v>102</v>
      </c>
      <c r="C327" s="61" t="s">
        <v>81</v>
      </c>
      <c r="D327" s="49" t="e">
        <f>IFERROR(VLOOKUP(B327,'Thống kê'!$C$3:$D$970,2, FALSE),VLOOKUP(B327,'Thống kê v2 CC'!$A$3:$D$1005,3, FALSE))</f>
        <v>#N/A</v>
      </c>
      <c r="E327" s="61">
        <v>1</v>
      </c>
      <c r="F327" s="59">
        <v>68500</v>
      </c>
      <c r="G327" s="36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</row>
    <row r="328" spans="1:23">
      <c r="A328" s="60"/>
      <c r="B328" s="61" t="s">
        <v>154</v>
      </c>
      <c r="C328" s="61" t="s">
        <v>81</v>
      </c>
      <c r="D328" s="49">
        <f>IFERROR(VLOOKUP(B328,'Thống kê'!$C$3:$D$970,2, FALSE),VLOOKUP(B328,'Thống kê v2 CC'!$A$3:$D$1005,3, FALSE))</f>
        <v>0</v>
      </c>
      <c r="E328" s="61">
        <v>1</v>
      </c>
      <c r="F328" s="59">
        <v>68500</v>
      </c>
      <c r="G328" s="36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</row>
    <row r="329" spans="1:23">
      <c r="A329" s="60"/>
      <c r="B329" s="61" t="s">
        <v>188</v>
      </c>
      <c r="C329" s="61" t="s">
        <v>81</v>
      </c>
      <c r="D329" s="49">
        <f>IFERROR(VLOOKUP(B329,'Thống kê'!$C$3:$D$970,2, FALSE),VLOOKUP(B329,'Thống kê v2 CC'!$A$3:$D$1005,3, FALSE))</f>
        <v>0</v>
      </c>
      <c r="E329" s="61">
        <v>1</v>
      </c>
      <c r="F329" s="59">
        <v>68500</v>
      </c>
      <c r="G329" s="381">
        <v>99653</v>
      </c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</row>
    <row r="330" spans="1:23">
      <c r="A330" s="60"/>
      <c r="B330" s="61" t="s">
        <v>134</v>
      </c>
      <c r="C330" s="61" t="s">
        <v>81</v>
      </c>
      <c r="D330" s="49">
        <f>IFERROR(VLOOKUP(B330,'Thống kê'!$C$3:$D$970,2, FALSE),VLOOKUP(B330,'Thống kê v2 CC'!$A$3:$D$1005,3, FALSE))</f>
        <v>0</v>
      </c>
      <c r="E330" s="61">
        <v>1</v>
      </c>
      <c r="F330" s="59">
        <v>68500</v>
      </c>
      <c r="G330" s="36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</row>
    <row r="331" spans="1:23">
      <c r="A331" s="60"/>
      <c r="B331" s="61" t="s">
        <v>131</v>
      </c>
      <c r="C331" s="61" t="s">
        <v>81</v>
      </c>
      <c r="D331" s="49" t="e">
        <f>IFERROR(VLOOKUP(B331,'Thống kê'!$C$3:$D$970,2, FALSE),VLOOKUP(B331,'Thống kê v2 CC'!$A$3:$D$1005,3, FALSE))</f>
        <v>#N/A</v>
      </c>
      <c r="E331" s="61">
        <v>1</v>
      </c>
      <c r="F331" s="59">
        <v>209000</v>
      </c>
      <c r="G331" s="59">
        <v>150884</v>
      </c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</row>
    <row r="332" spans="1:23">
      <c r="A332" s="60"/>
      <c r="B332" s="61" t="s">
        <v>134</v>
      </c>
      <c r="C332" s="61" t="s">
        <v>81</v>
      </c>
      <c r="D332" s="49">
        <f>IFERROR(VLOOKUP(B332,'Thống kê'!$C$3:$D$970,2, FALSE),VLOOKUP(B332,'Thống kê v2 CC'!$A$3:$D$1005,3, FALSE))</f>
        <v>0</v>
      </c>
      <c r="E332" s="61">
        <v>1</v>
      </c>
      <c r="F332" s="59">
        <v>68500</v>
      </c>
      <c r="G332" s="59">
        <v>47940</v>
      </c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</row>
    <row r="333" spans="1:23">
      <c r="A333" s="60"/>
      <c r="B333" s="61" t="s">
        <v>150</v>
      </c>
      <c r="C333" s="61" t="s">
        <v>81</v>
      </c>
      <c r="D333" s="49" t="str">
        <f>IFERROR(VLOOKUP(B333,'Thống kê'!$C$3:$D$970,2, FALSE),VLOOKUP(B333,'Thống kê v2 CC'!$A$3:$D$1005,3, FALSE))</f>
        <v>Móc khóa có chuông</v>
      </c>
      <c r="E333" s="61">
        <v>1</v>
      </c>
      <c r="F333" s="59">
        <v>65000</v>
      </c>
      <c r="G333" s="381">
        <v>48683</v>
      </c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</row>
    <row r="334" spans="1:23">
      <c r="A334" s="60"/>
      <c r="B334" s="61" t="s">
        <v>207</v>
      </c>
      <c r="C334" s="61" t="s">
        <v>81</v>
      </c>
      <c r="D334" s="49" t="str">
        <f>IFERROR(VLOOKUP(B334,'Thống kê'!$C$3:$D$970,2, FALSE),VLOOKUP(B334,'Thống kê v2 CC'!$A$3:$D$1005,3, FALSE))</f>
        <v>Thiệp</v>
      </c>
      <c r="E334" s="61">
        <v>1</v>
      </c>
      <c r="F334" s="59">
        <v>4500</v>
      </c>
      <c r="G334" s="36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</row>
    <row r="335" spans="1:23">
      <c r="A335" s="60"/>
      <c r="B335" s="61" t="s">
        <v>226</v>
      </c>
      <c r="C335" s="61" t="s">
        <v>81</v>
      </c>
      <c r="D335" s="49" t="e">
        <f>IFERROR(VLOOKUP(B335,'Thống kê'!$C$3:$D$970,2, FALSE),VLOOKUP(B335,'Thống kê v2 CC'!$A$3:$D$1005,3, FALSE))</f>
        <v>#N/A</v>
      </c>
      <c r="E335" s="61">
        <v>1</v>
      </c>
      <c r="F335" s="59">
        <v>168000</v>
      </c>
      <c r="G335" s="381">
        <v>209583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</row>
    <row r="336" spans="1:23">
      <c r="A336" s="60"/>
      <c r="B336" s="61" t="s">
        <v>195</v>
      </c>
      <c r="C336" s="61" t="s">
        <v>81</v>
      </c>
      <c r="D336" s="49" t="str">
        <f>IFERROR(VLOOKUP(B336,'Thống kê'!$C$3:$D$970,2, FALSE),VLOOKUP(B336,'Thống kê v2 CC'!$A$3:$D$1005,3, FALSE))</f>
        <v>POP BEAN Pajama Party</v>
      </c>
      <c r="E336" s="61">
        <v>1</v>
      </c>
      <c r="F336" s="59">
        <v>120000</v>
      </c>
      <c r="G336" s="36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</row>
    <row r="337" spans="1:23">
      <c r="A337" s="60"/>
      <c r="B337" s="61" t="s">
        <v>121</v>
      </c>
      <c r="C337" s="61" t="s">
        <v>81</v>
      </c>
      <c r="D337" s="49" t="e">
        <f>IFERROR(VLOOKUP(B337,'Thống kê'!$C$3:$D$970,2, FALSE),VLOOKUP(B337,'Thống kê v2 CC'!$A$3:$D$1005,3, FALSE))</f>
        <v>#N/A</v>
      </c>
      <c r="E337" s="61">
        <v>1</v>
      </c>
      <c r="F337" s="59">
        <v>131000</v>
      </c>
      <c r="G337" s="59">
        <v>95990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</row>
    <row r="338" spans="1:23">
      <c r="A338" s="60"/>
      <c r="B338" s="61" t="s">
        <v>95</v>
      </c>
      <c r="C338" s="61" t="s">
        <v>81</v>
      </c>
      <c r="D338" s="49">
        <f>IFERROR(VLOOKUP(B338,'Thống kê'!$C$3:$D$970,2, FALSE),VLOOKUP(B338,'Thống kê v2 CC'!$A$3:$D$1005,3, FALSE))</f>
        <v>0</v>
      </c>
      <c r="E338" s="61">
        <v>1</v>
      </c>
      <c r="F338" s="59">
        <v>68500</v>
      </c>
      <c r="G338" s="381">
        <v>98395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</row>
    <row r="339" spans="1:23">
      <c r="A339" s="60"/>
      <c r="B339" s="61" t="s">
        <v>97</v>
      </c>
      <c r="C339" s="61" t="s">
        <v>81</v>
      </c>
      <c r="D339" s="49">
        <f>IFERROR(VLOOKUP(B339,'Thống kê'!$C$3:$D$970,2, FALSE),VLOOKUP(B339,'Thống kê v2 CC'!$A$3:$D$1005,3, FALSE))</f>
        <v>0</v>
      </c>
      <c r="E339" s="61">
        <v>1</v>
      </c>
      <c r="F339" s="59">
        <v>68500</v>
      </c>
      <c r="G339" s="36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</row>
    <row r="340" spans="1:23">
      <c r="A340" s="60"/>
      <c r="B340" s="61" t="s">
        <v>227</v>
      </c>
      <c r="C340" s="61" t="s">
        <v>81</v>
      </c>
      <c r="D340" s="49" t="str">
        <f>IFERROR(VLOOKUP(B340,'Thống kê'!$C$3:$D$970,2, FALSE),VLOOKUP(B340,'Thống kê v2 CC'!$A$3:$D$1005,3, FALSE))</f>
        <v>Móc khóa đôi corgy</v>
      </c>
      <c r="E340" s="61">
        <v>1</v>
      </c>
      <c r="F340" s="59">
        <v>61500</v>
      </c>
      <c r="G340" s="59">
        <v>42173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</row>
    <row r="341" spans="1:23">
      <c r="A341" s="60"/>
      <c r="B341" s="61" t="s">
        <v>156</v>
      </c>
      <c r="C341" s="61" t="s">
        <v>81</v>
      </c>
      <c r="D341" s="49" t="e">
        <f>IFERROR(VLOOKUP(B341,'Thống kê'!$C$3:$D$970,2, FALSE),VLOOKUP(B341,'Thống kê v2 CC'!$A$3:$D$1005,3, FALSE))</f>
        <v>#N/A</v>
      </c>
      <c r="E341" s="61">
        <v>1</v>
      </c>
      <c r="F341" s="59">
        <v>120000</v>
      </c>
      <c r="G341" s="59">
        <v>85143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</row>
    <row r="342" spans="1:23">
      <c r="A342" s="65">
        <v>45869</v>
      </c>
      <c r="B342" s="61" t="s">
        <v>101</v>
      </c>
      <c r="C342" s="61" t="s">
        <v>81</v>
      </c>
      <c r="D342" s="49">
        <f>IFERROR(VLOOKUP(B342,'Thống kê'!$C$3:$D$970,2, FALSE),VLOOKUP(B342,'Thống kê v2 CC'!$A$3:$D$1005,3, FALSE))</f>
        <v>0</v>
      </c>
      <c r="E342" s="61">
        <v>1</v>
      </c>
      <c r="F342" s="59">
        <v>68500</v>
      </c>
      <c r="G342" s="59">
        <v>47316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</row>
    <row r="343" spans="1:23">
      <c r="A343" s="60"/>
      <c r="B343" s="61" t="s">
        <v>176</v>
      </c>
      <c r="C343" s="61" t="s">
        <v>81</v>
      </c>
      <c r="D343" s="49">
        <f>IFERROR(VLOOKUP(B343,'Thống kê'!$C$3:$D$970,2, FALSE),VLOOKUP(B343,'Thống kê v2 CC'!$A$3:$D$1005,3, FALSE))</f>
        <v>0</v>
      </c>
      <c r="E343" s="61">
        <v>1</v>
      </c>
      <c r="F343" s="59">
        <v>79000</v>
      </c>
      <c r="G343" s="59">
        <v>56459</v>
      </c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</row>
    <row r="344" spans="1:23">
      <c r="A344" s="60"/>
      <c r="B344" s="61" t="s">
        <v>224</v>
      </c>
      <c r="C344" s="61" t="s">
        <v>81</v>
      </c>
      <c r="D344" s="49" t="str">
        <f>IFERROR(VLOOKUP(B344,'Thống kê'!$C$3:$D$970,2, FALSE),VLOOKUP(B344,'Thống kê v2 CC'!$A$3:$D$1005,3, FALSE))</f>
        <v xml:space="preserve">Pop Bean Popmart </v>
      </c>
      <c r="E344" s="61">
        <v>1</v>
      </c>
      <c r="F344" s="59">
        <v>191000</v>
      </c>
      <c r="G344" s="381">
        <v>188641</v>
      </c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</row>
    <row r="345" spans="1:23">
      <c r="A345" s="60"/>
      <c r="B345" s="61" t="s">
        <v>108</v>
      </c>
      <c r="C345" s="61" t="s">
        <v>81</v>
      </c>
      <c r="D345" s="49">
        <f>IFERROR(VLOOKUP(B345,'Thống kê'!$C$3:$D$970,2, FALSE),VLOOKUP(B345,'Thống kê v2 CC'!$A$3:$D$1005,3, FALSE))</f>
        <v>0</v>
      </c>
      <c r="E345" s="61">
        <v>1</v>
      </c>
      <c r="F345" s="59">
        <v>69000</v>
      </c>
      <c r="G345" s="36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</row>
    <row r="346" spans="1:23">
      <c r="A346" s="60"/>
      <c r="B346" s="61" t="s">
        <v>119</v>
      </c>
      <c r="C346" s="61" t="s">
        <v>81</v>
      </c>
      <c r="D346" s="49" t="str">
        <f>IFERROR(VLOOKUP(B346,'Thống kê'!$C$3:$D$970,2, FALSE),VLOOKUP(B346,'Thống kê v2 CC'!$A$3:$D$1005,3, FALSE))</f>
        <v>Thỏ chạy xe gắn xe</v>
      </c>
      <c r="E346" s="61">
        <v>1</v>
      </c>
      <c r="F346" s="59">
        <v>39000</v>
      </c>
      <c r="G346" s="381">
        <v>248382</v>
      </c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</row>
    <row r="347" spans="1:23">
      <c r="A347" s="60"/>
      <c r="B347" s="61" t="s">
        <v>228</v>
      </c>
      <c r="C347" s="61" t="s">
        <v>81</v>
      </c>
      <c r="D347" s="49">
        <f>IFERROR(VLOOKUP(B347,'Thống kê'!$C$3:$D$970,2, FALSE),VLOOKUP(B347,'Thống kê v2 CC'!$A$3:$D$1005,3, FALSE))</f>
        <v>0</v>
      </c>
      <c r="E347" s="61">
        <v>1</v>
      </c>
      <c r="F347" s="59">
        <v>80000</v>
      </c>
      <c r="G347" s="36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</row>
    <row r="348" spans="1:23">
      <c r="A348" s="60"/>
      <c r="B348" s="61" t="s">
        <v>229</v>
      </c>
      <c r="C348" s="61" t="s">
        <v>81</v>
      </c>
      <c r="D348" s="49">
        <f>IFERROR(VLOOKUP(B348,'Thống kê'!$C$3:$D$970,2, FALSE),VLOOKUP(B348,'Thống kê v2 CC'!$A$3:$D$1005,3, FALSE))</f>
        <v>0</v>
      </c>
      <c r="E348" s="61">
        <v>1</v>
      </c>
      <c r="F348" s="59">
        <v>80000</v>
      </c>
      <c r="G348" s="36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</row>
    <row r="349" spans="1:23">
      <c r="A349" s="60"/>
      <c r="B349" s="61" t="s">
        <v>86</v>
      </c>
      <c r="C349" s="61" t="s">
        <v>81</v>
      </c>
      <c r="D349" s="49">
        <f>IFERROR(VLOOKUP(B349,'Thống kê'!$C$3:$D$970,2, FALSE),VLOOKUP(B349,'Thống kê v2 CC'!$A$3:$D$1005,3, FALSE))</f>
        <v>0</v>
      </c>
      <c r="E349" s="61">
        <v>1</v>
      </c>
      <c r="F349" s="59">
        <v>68500</v>
      </c>
      <c r="G349" s="36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</row>
    <row r="350" spans="1:23">
      <c r="A350" s="60"/>
      <c r="B350" s="61" t="s">
        <v>99</v>
      </c>
      <c r="C350" s="61" t="s">
        <v>81</v>
      </c>
      <c r="D350" s="49" t="e">
        <f>IFERROR(VLOOKUP(B350,'Thống kê'!$C$3:$D$970,2, FALSE),VLOOKUP(B350,'Thống kê v2 CC'!$A$3:$D$1005,3, FALSE))</f>
        <v>#N/A</v>
      </c>
      <c r="E350" s="61">
        <v>1</v>
      </c>
      <c r="F350" s="59">
        <v>100500</v>
      </c>
      <c r="G350" s="36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 spans="1:23">
      <c r="A351" s="60"/>
      <c r="B351" s="61" t="s">
        <v>230</v>
      </c>
      <c r="C351" s="61" t="s">
        <v>81</v>
      </c>
      <c r="D351" s="49" t="str">
        <f>IFERROR(VLOOKUP(B351,'Thống kê'!$C$3:$D$970,2, FALSE),VLOOKUP(B351,'Thống kê v2 CC'!$A$3:$D$1005,3, FALSE))</f>
        <v>Móc khoá Crybaby mini Popmart</v>
      </c>
      <c r="E351" s="61">
        <v>1</v>
      </c>
      <c r="F351" s="59">
        <v>99000</v>
      </c>
      <c r="G351" s="59">
        <v>70620</v>
      </c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 spans="1:23">
      <c r="A352" s="60"/>
      <c r="B352" s="61" t="s">
        <v>82</v>
      </c>
      <c r="C352" s="61" t="s">
        <v>81</v>
      </c>
      <c r="D352" s="49">
        <f>IFERROR(VLOOKUP(B352,'Thống kê'!$C$3:$D$970,2, FALSE),VLOOKUP(B352,'Thống kê v2 CC'!$A$3:$D$1005,3, FALSE))</f>
        <v>0</v>
      </c>
      <c r="E352" s="61">
        <v>1</v>
      </c>
      <c r="F352" s="59">
        <v>68500</v>
      </c>
      <c r="G352" s="59">
        <v>47940</v>
      </c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</row>
    <row r="353" spans="1:23">
      <c r="A353" s="60"/>
      <c r="B353" s="61" t="s">
        <v>82</v>
      </c>
      <c r="C353" s="61" t="s">
        <v>81</v>
      </c>
      <c r="D353" s="49">
        <f>IFERROR(VLOOKUP(B353,'Thống kê'!$C$3:$D$970,2, FALSE),VLOOKUP(B353,'Thống kê v2 CC'!$A$3:$D$1005,3, FALSE))</f>
        <v>0</v>
      </c>
      <c r="E353" s="61">
        <v>1</v>
      </c>
      <c r="F353" s="59">
        <v>68500</v>
      </c>
      <c r="G353" s="59">
        <v>47940</v>
      </c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</row>
    <row r="354" spans="1:23">
      <c r="A354" s="60"/>
      <c r="B354" s="61" t="s">
        <v>188</v>
      </c>
      <c r="C354" s="61" t="s">
        <v>81</v>
      </c>
      <c r="D354" s="49">
        <f>IFERROR(VLOOKUP(B354,'Thống kê'!$C$3:$D$970,2, FALSE),VLOOKUP(B354,'Thống kê v2 CC'!$A$3:$D$1005,3, FALSE))</f>
        <v>0</v>
      </c>
      <c r="E354" s="61">
        <v>1</v>
      </c>
      <c r="F354" s="59">
        <v>68500</v>
      </c>
      <c r="G354" s="59">
        <v>47940</v>
      </c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</row>
    <row r="355" spans="1:23">
      <c r="A355" s="60"/>
      <c r="B355" s="61" t="s">
        <v>195</v>
      </c>
      <c r="C355" s="61" t="s">
        <v>81</v>
      </c>
      <c r="D355" s="49" t="str">
        <f>IFERROR(VLOOKUP(B355,'Thống kê'!$C$3:$D$970,2, FALSE),VLOOKUP(B355,'Thống kê v2 CC'!$A$3:$D$1005,3, FALSE))</f>
        <v>POP BEAN Pajama Party</v>
      </c>
      <c r="E355" s="61">
        <v>1</v>
      </c>
      <c r="F355" s="59">
        <v>120000</v>
      </c>
      <c r="G355" s="59">
        <v>86236</v>
      </c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</row>
    <row r="356" spans="1:23">
      <c r="A356" s="60"/>
      <c r="B356" s="61" t="s">
        <v>199</v>
      </c>
      <c r="C356" s="61" t="s">
        <v>81</v>
      </c>
      <c r="D356" s="49">
        <f>IFERROR(VLOOKUP(B356,'Thống kê'!$C$3:$D$970,2, FALSE),VLOOKUP(B356,'Thống kê v2 CC'!$A$3:$D$1005,3, FALSE))</f>
        <v>0</v>
      </c>
      <c r="E356" s="61">
        <v>1</v>
      </c>
      <c r="F356" s="59">
        <v>69000</v>
      </c>
      <c r="G356" s="59">
        <v>48311</v>
      </c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</row>
    <row r="357" spans="1:23">
      <c r="A357" s="60"/>
      <c r="B357" s="61" t="s">
        <v>199</v>
      </c>
      <c r="C357" s="61" t="s">
        <v>81</v>
      </c>
      <c r="D357" s="49">
        <f>IFERROR(VLOOKUP(B357,'Thống kê'!$C$3:$D$970,2, FALSE),VLOOKUP(B357,'Thống kê v2 CC'!$A$3:$D$1005,3, FALSE))</f>
        <v>0</v>
      </c>
      <c r="E357" s="61">
        <v>1</v>
      </c>
      <c r="F357" s="59">
        <v>69000</v>
      </c>
      <c r="G357" s="59">
        <v>48311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</row>
    <row r="358" spans="1:23">
      <c r="A358" s="60"/>
      <c r="B358" s="61" t="s">
        <v>230</v>
      </c>
      <c r="C358" s="61" t="s">
        <v>81</v>
      </c>
      <c r="D358" s="49" t="str">
        <f>IFERROR(VLOOKUP(B358,'Thống kê'!$C$3:$D$970,2, FALSE),VLOOKUP(B358,'Thống kê v2 CC'!$A$3:$D$1005,3, FALSE))</f>
        <v>Móc khoá Crybaby mini Popmart</v>
      </c>
      <c r="E358" s="61">
        <v>1</v>
      </c>
      <c r="F358" s="59">
        <v>99000</v>
      </c>
      <c r="G358" s="59">
        <v>70620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</row>
    <row r="359" spans="1:23">
      <c r="A359" s="60"/>
      <c r="B359" s="61" t="s">
        <v>82</v>
      </c>
      <c r="C359" s="61" t="s">
        <v>81</v>
      </c>
      <c r="D359" s="49">
        <f>IFERROR(VLOOKUP(B359,'Thống kê'!$C$3:$D$970,2, FALSE),VLOOKUP(B359,'Thống kê v2 CC'!$A$3:$D$1005,3, FALSE))</f>
        <v>0</v>
      </c>
      <c r="E359" s="61">
        <v>1</v>
      </c>
      <c r="F359" s="59">
        <v>68500</v>
      </c>
      <c r="G359" s="59">
        <v>47940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</row>
    <row r="360" spans="1:23">
      <c r="A360" s="60"/>
      <c r="B360" s="61" t="s">
        <v>188</v>
      </c>
      <c r="C360" s="61" t="s">
        <v>81</v>
      </c>
      <c r="D360" s="49">
        <f>IFERROR(VLOOKUP(B360,'Thống kê'!$C$3:$D$970,2, FALSE),VLOOKUP(B360,'Thống kê v2 CC'!$A$3:$D$1005,3, FALSE))</f>
        <v>0</v>
      </c>
      <c r="E360" s="61">
        <v>1</v>
      </c>
      <c r="F360" s="59">
        <v>68500</v>
      </c>
      <c r="G360" s="59">
        <v>47940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</row>
    <row r="361" spans="1:23">
      <c r="A361" s="49"/>
      <c r="B361" s="1" t="s">
        <v>231</v>
      </c>
      <c r="C361" s="49"/>
      <c r="D361" s="49" t="str">
        <f>IFERROR(VLOOKUP(B361,'Thống kê'!$C$3:$D$970,2, FALSE),VLOOKUP(B361,'Thống kê v2 CC'!$A$3:$D$1005,3, FALSE))</f>
        <v>Móc khóa đôi gấu trúc</v>
      </c>
      <c r="E361" s="1">
        <v>-1</v>
      </c>
      <c r="F361" s="56">
        <v>48658</v>
      </c>
      <c r="G361" s="56">
        <v>-48658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</row>
    <row r="362" spans="1:23">
      <c r="A362" s="49"/>
      <c r="B362" s="1" t="s">
        <v>217</v>
      </c>
      <c r="C362" s="49"/>
      <c r="D362" s="49" t="e">
        <f>IFERROR(VLOOKUP(B362,'Thống kê'!$C$3:$D$970,2, FALSE),VLOOKUP(B362,'Thống kê v2 CC'!$A$3:$D$1005,3, FALSE))</f>
        <v>#N/A</v>
      </c>
      <c r="E362" s="1">
        <v>-1</v>
      </c>
      <c r="F362" s="56">
        <v>90250</v>
      </c>
      <c r="G362" s="56">
        <v>-173052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</row>
    <row r="363" spans="1:23">
      <c r="A363" s="49"/>
      <c r="B363" s="1" t="s">
        <v>159</v>
      </c>
      <c r="C363" s="49"/>
      <c r="D363" s="49">
        <f>IFERROR(VLOOKUP(B363,'Thống kê'!$C$3:$D$970,2, FALSE),VLOOKUP(B363,'Thống kê v2 CC'!$A$3:$D$1005,3, FALSE))</f>
        <v>0</v>
      </c>
      <c r="E363" s="1">
        <v>-1</v>
      </c>
      <c r="F363" s="56">
        <v>90250</v>
      </c>
      <c r="G363" s="56">
        <v>-90250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</row>
    <row r="364" spans="1:23">
      <c r="A364" s="49"/>
      <c r="B364" s="1" t="s">
        <v>141</v>
      </c>
      <c r="C364" s="49"/>
      <c r="D364" s="49">
        <f>IFERROR(VLOOKUP(B364,'Thống kê'!$C$3:$D$970,2, FALSE),VLOOKUP(B364,'Thống kê v2 CC'!$A$3:$D$1005,3, FALSE))</f>
        <v>0</v>
      </c>
      <c r="E364" s="1">
        <v>-1</v>
      </c>
      <c r="F364" s="56">
        <v>68500</v>
      </c>
      <c r="G364" s="56">
        <v>-102000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</row>
    <row r="365" spans="1:23">
      <c r="A365" s="49"/>
      <c r="B365" s="1" t="s">
        <v>142</v>
      </c>
      <c r="C365" s="49"/>
      <c r="D365" s="49">
        <f>IFERROR(VLOOKUP(B365,'Thống kê'!$C$3:$D$970,2, FALSE),VLOOKUP(B365,'Thống kê v2 CC'!$A$3:$D$1005,3, FALSE))</f>
        <v>0</v>
      </c>
      <c r="E365" s="1">
        <v>-1</v>
      </c>
      <c r="F365" s="56">
        <v>68500</v>
      </c>
      <c r="G365" s="55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</row>
    <row r="366" spans="1:23">
      <c r="A366" s="49"/>
      <c r="B366" s="1" t="s">
        <v>82</v>
      </c>
      <c r="C366" s="49"/>
      <c r="D366" s="49">
        <f>IFERROR(VLOOKUP(B366,'Thống kê'!$C$3:$D$970,2, FALSE),VLOOKUP(B366,'Thống kê v2 CC'!$A$3:$D$1005,3, FALSE))</f>
        <v>0</v>
      </c>
      <c r="E366" s="1">
        <v>-1</v>
      </c>
      <c r="F366" s="56">
        <v>68500</v>
      </c>
      <c r="G366" s="56">
        <v>-114000</v>
      </c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</row>
    <row r="367" spans="1:23">
      <c r="A367" s="49"/>
      <c r="B367" s="1" t="s">
        <v>121</v>
      </c>
      <c r="C367" s="49"/>
      <c r="D367" s="49" t="e">
        <f>IFERROR(VLOOKUP(B367,'Thống kê'!$C$3:$D$970,2, FALSE),VLOOKUP(B367,'Thống kê v2 CC'!$A$3:$D$1005,3, FALSE))</f>
        <v>#N/A</v>
      </c>
      <c r="E367" s="1">
        <v>-1</v>
      </c>
      <c r="F367" s="56">
        <v>68500</v>
      </c>
      <c r="G367" s="55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</row>
    <row r="368" spans="1:23">
      <c r="A368" s="49"/>
      <c r="B368" s="1" t="s">
        <v>98</v>
      </c>
      <c r="C368" s="49"/>
      <c r="D368" s="49">
        <f>IFERROR(VLOOKUP(B368,'Thống kê'!$C$3:$D$970,2, FALSE),VLOOKUP(B368,'Thống kê v2 CC'!$A$3:$D$1005,3, FALSE))</f>
        <v>0</v>
      </c>
      <c r="E368" s="1">
        <v>-1</v>
      </c>
      <c r="F368" s="56">
        <v>68400</v>
      </c>
      <c r="G368" s="56">
        <v>0</v>
      </c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</row>
    <row r="369" spans="1:23">
      <c r="A369" s="49"/>
      <c r="B369" s="1" t="s">
        <v>159</v>
      </c>
      <c r="C369" s="49"/>
      <c r="D369" s="49">
        <f>IFERROR(VLOOKUP(B369,'Thống kê'!$C$3:$D$970,2, FALSE),VLOOKUP(B369,'Thống kê v2 CC'!$A$3:$D$1005,3, FALSE))</f>
        <v>0</v>
      </c>
      <c r="E369" s="1">
        <v>-1</v>
      </c>
      <c r="F369" s="56">
        <v>134640</v>
      </c>
      <c r="G369" s="56">
        <v>-134640</v>
      </c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</row>
    <row r="370" spans="1:23">
      <c r="A370" s="49"/>
      <c r="B370" s="1" t="s">
        <v>100</v>
      </c>
      <c r="C370" s="49"/>
      <c r="D370" s="49" t="e">
        <f>IFERROR(VLOOKUP(B370,'Thống kê'!$C$3:$D$970,2, FALSE),VLOOKUP(B370,'Thống kê v2 CC'!$A$3:$D$1005,3, FALSE))</f>
        <v>#N/A</v>
      </c>
      <c r="E370" s="1">
        <v>-2</v>
      </c>
      <c r="F370" s="56">
        <v>69311</v>
      </c>
      <c r="G370" s="56">
        <v>-199483</v>
      </c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</row>
    <row r="371" spans="1:23">
      <c r="A371" s="49"/>
      <c r="B371" s="1" t="s">
        <v>92</v>
      </c>
      <c r="C371" s="49"/>
      <c r="D371" s="49" t="e">
        <f>IFERROR(VLOOKUP(B371,'Thống kê'!$C$3:$D$970,2, FALSE),VLOOKUP(B371,'Thống kê v2 CC'!$A$3:$D$1005,3, FALSE))</f>
        <v>#N/A</v>
      </c>
      <c r="E371" s="1">
        <v>-1</v>
      </c>
      <c r="F371" s="56">
        <v>60861</v>
      </c>
      <c r="G371" s="55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</row>
    <row r="372" spans="1:23">
      <c r="A372" s="49"/>
      <c r="B372" s="1" t="s">
        <v>211</v>
      </c>
      <c r="C372" s="49"/>
      <c r="D372" s="49" t="e">
        <f>IFERROR(VLOOKUP(B372,'Thống kê'!$C$3:$D$970,2, FALSE),VLOOKUP(B372,'Thống kê v2 CC'!$A$3:$D$1005,3, FALSE))</f>
        <v>#N/A</v>
      </c>
      <c r="E372" s="1">
        <v>-1</v>
      </c>
      <c r="F372" s="56">
        <v>91080</v>
      </c>
      <c r="G372" s="56">
        <v>-91079</v>
      </c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</row>
    <row r="373" spans="1:23">
      <c r="A373" s="49"/>
      <c r="B373" s="1" t="s">
        <v>98</v>
      </c>
      <c r="C373" s="49"/>
      <c r="D373" s="49">
        <f>IFERROR(VLOOKUP(B373,'Thống kê'!$C$3:$D$970,2, FALSE),VLOOKUP(B373,'Thống kê v2 CC'!$A$3:$D$1005,3, FALSE))</f>
        <v>0</v>
      </c>
      <c r="E373" s="1">
        <v>1</v>
      </c>
      <c r="F373" s="56">
        <v>63470</v>
      </c>
      <c r="G373" s="56">
        <v>91047</v>
      </c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</row>
    <row r="374" spans="1:23">
      <c r="A374" s="49"/>
      <c r="B374" s="1" t="s">
        <v>102</v>
      </c>
      <c r="C374" s="49"/>
      <c r="D374" s="49" t="e">
        <f>IFERROR(VLOOKUP(B374,'Thống kê'!$C$3:$D$970,2, FALSE),VLOOKUP(B374,'Thống kê v2 CC'!$A$3:$D$1005,3, FALSE))</f>
        <v>#N/A</v>
      </c>
      <c r="E374" s="1">
        <v>1</v>
      </c>
      <c r="F374" s="56">
        <v>63470</v>
      </c>
      <c r="G374" s="55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</row>
    <row r="375" spans="1:23">
      <c r="A375" s="49"/>
      <c r="B375" s="1" t="s">
        <v>200</v>
      </c>
      <c r="C375" s="49"/>
      <c r="D375" s="49">
        <f>IFERROR(VLOOKUP(B375,'Thống kê'!$C$3:$D$970,2, FALSE),VLOOKUP(B375,'Thống kê v2 CC'!$A$3:$D$1005,3, FALSE))</f>
        <v>0</v>
      </c>
      <c r="E375" s="1">
        <v>1</v>
      </c>
      <c r="F375" s="56">
        <v>71100</v>
      </c>
      <c r="G375" s="56">
        <v>58657</v>
      </c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</row>
    <row r="376" spans="1:23">
      <c r="A376" s="49"/>
      <c r="B376" s="1" t="s">
        <v>141</v>
      </c>
      <c r="C376" s="49"/>
      <c r="D376" s="49">
        <f>IFERROR(VLOOKUP(B376,'Thống kê'!$C$3:$D$970,2, FALSE),VLOOKUP(B376,'Thống kê v2 CC'!$A$3:$D$1005,3, FALSE))</f>
        <v>0</v>
      </c>
      <c r="E376" s="1">
        <v>1</v>
      </c>
      <c r="F376" s="56">
        <v>66420</v>
      </c>
      <c r="G376" s="56">
        <v>56457</v>
      </c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</row>
    <row r="377" spans="1:23">
      <c r="A377" s="49"/>
      <c r="B377" s="1" t="s">
        <v>189</v>
      </c>
      <c r="C377" s="49"/>
      <c r="D377" s="49" t="str">
        <f>IFERROR(VLOOKUP(B377,'Thống kê'!$C$3:$D$970,2, FALSE),VLOOKUP(B377,'Thống kê v2 CC'!$A$3:$D$1005,3, FALSE))</f>
        <v>Gấu nâu gắn xe</v>
      </c>
      <c r="E377" s="1">
        <v>1</v>
      </c>
      <c r="F377" s="56">
        <v>33500</v>
      </c>
      <c r="G377" s="56">
        <v>95300</v>
      </c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</row>
    <row r="378" spans="1:23">
      <c r="A378" s="49"/>
      <c r="B378" s="1" t="s">
        <v>232</v>
      </c>
      <c r="C378" s="49"/>
      <c r="D378" s="49" t="str">
        <f>IFERROR(VLOOKUP(B378,'Thống kê'!$C$3:$D$970,2, FALSE),VLOOKUP(B378,'Thống kê v2 CC'!$A$3:$D$1005,3, FALSE))</f>
        <v>Cáo gắn xe</v>
      </c>
      <c r="E378" s="1">
        <v>1</v>
      </c>
      <c r="F378" s="56">
        <v>33500</v>
      </c>
      <c r="G378" s="55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</row>
    <row r="379" spans="1:23">
      <c r="A379" s="49"/>
      <c r="B379" s="1" t="s">
        <v>181</v>
      </c>
      <c r="C379" s="49"/>
      <c r="D379" s="49" t="str">
        <f>IFERROR(VLOOKUP(B379,'Thống kê'!$C$3:$D$970,2, FALSE),VLOOKUP(B379,'Thống kê v2 CC'!$A$3:$D$1005,3, FALSE))</f>
        <v>Thỏ mặt trăng gắn xe</v>
      </c>
      <c r="E379" s="1">
        <v>1</v>
      </c>
      <c r="F379" s="56">
        <v>33500</v>
      </c>
      <c r="G379" s="55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</row>
    <row r="380" spans="1:23">
      <c r="A380" s="49"/>
      <c r="B380" s="1" t="s">
        <v>193</v>
      </c>
      <c r="C380" s="49"/>
      <c r="D380" s="49" t="str">
        <f>IFERROR(VLOOKUP(B380,'Thống kê'!$C$3:$D$970,2, FALSE),VLOOKUP(B380,'Thống kê v2 CC'!$A$3:$D$1005,3, FALSE))</f>
        <v>POP BEAN Pajama Party</v>
      </c>
      <c r="E380" s="1">
        <v>1</v>
      </c>
      <c r="F380" s="56">
        <v>95400</v>
      </c>
      <c r="G380" s="56">
        <v>77751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</row>
    <row r="381" spans="1:23">
      <c r="A381" s="49"/>
      <c r="B381" s="1" t="s">
        <v>118</v>
      </c>
      <c r="C381" s="49"/>
      <c r="D381" s="49">
        <f>IFERROR(VLOOKUP(B381,'Thống kê'!$C$3:$D$970,2, FALSE),VLOOKUP(B381,'Thống kê v2 CC'!$A$3:$D$1005,3, FALSE))</f>
        <v>0</v>
      </c>
      <c r="E381" s="1">
        <v>1</v>
      </c>
      <c r="F381" s="56">
        <v>54280</v>
      </c>
      <c r="G381" s="56">
        <v>38810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</row>
    <row r="382" spans="1:23">
      <c r="A382" s="49"/>
      <c r="B382" s="1" t="s">
        <v>135</v>
      </c>
      <c r="C382" s="1" t="s">
        <v>175</v>
      </c>
      <c r="D382" s="49">
        <f>IFERROR(VLOOKUP(B382,'Thống kê'!$C$3:$D$970,2, FALSE),VLOOKUP(B382,'Thống kê v2 CC'!$A$3:$D$1005,3, FALSE))</f>
        <v>0</v>
      </c>
      <c r="E382" s="1">
        <v>1</v>
      </c>
      <c r="F382" s="56">
        <v>74000</v>
      </c>
      <c r="G382" s="56">
        <v>60310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</row>
    <row r="383" spans="1:23">
      <c r="A383" s="49"/>
      <c r="B383" s="1" t="s">
        <v>171</v>
      </c>
      <c r="C383" s="1" t="s">
        <v>175</v>
      </c>
      <c r="D383" s="49">
        <f>IFERROR(VLOOKUP(B383,'Thống kê'!$C$3:$D$970,2, FALSE),VLOOKUP(B383,'Thống kê v2 CC'!$A$3:$D$1005,3, FALSE))</f>
        <v>0</v>
      </c>
      <c r="E383" s="1">
        <v>1</v>
      </c>
      <c r="F383" s="56">
        <v>74000</v>
      </c>
      <c r="G383" s="56">
        <v>61050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</row>
    <row r="384" spans="1:23">
      <c r="A384" s="49"/>
      <c r="B384" s="1" t="s">
        <v>141</v>
      </c>
      <c r="C384" s="1" t="s">
        <v>167</v>
      </c>
      <c r="D384" s="49">
        <f>IFERROR(VLOOKUP(B384,'Thống kê'!$C$3:$D$970,2, FALSE),VLOOKUP(B384,'Thống kê v2 CC'!$A$3:$D$1005,3, FALSE))</f>
        <v>0</v>
      </c>
      <c r="E384" s="1">
        <v>1</v>
      </c>
      <c r="F384" s="56">
        <v>81640</v>
      </c>
      <c r="G384" s="56">
        <v>56849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</row>
    <row r="385" spans="1:23">
      <c r="A385" s="49"/>
      <c r="B385" s="1" t="s">
        <v>233</v>
      </c>
      <c r="C385" s="1" t="s">
        <v>198</v>
      </c>
      <c r="D385" s="49">
        <f>IFERROR(VLOOKUP(B385,'Thống kê'!$C$3:$D$970,2, FALSE),VLOOKUP(B385,'Thống kê v2 CC'!$A$3:$D$1005,3, FALSE))</f>
        <v>0</v>
      </c>
      <c r="E385" s="1">
        <v>1</v>
      </c>
      <c r="F385" s="56">
        <v>105196</v>
      </c>
      <c r="G385" s="56">
        <v>177045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</row>
    <row r="386" spans="1:23">
      <c r="A386" s="49"/>
      <c r="B386" s="1" t="s">
        <v>196</v>
      </c>
      <c r="C386" s="1" t="s">
        <v>198</v>
      </c>
      <c r="D386" s="49">
        <f>IFERROR(VLOOKUP(B386,'Thống kê'!$C$3:$D$970,2, FALSE),VLOOKUP(B386,'Thống kê v2 CC'!$A$3:$D$1005,3, FALSE))</f>
        <v>0</v>
      </c>
      <c r="E386" s="1">
        <v>1</v>
      </c>
      <c r="F386" s="56">
        <v>109404</v>
      </c>
      <c r="G386" s="55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</row>
    <row r="387" spans="1:23">
      <c r="A387" s="49"/>
      <c r="B387" s="1" t="s">
        <v>176</v>
      </c>
      <c r="C387" s="1" t="s">
        <v>175</v>
      </c>
      <c r="D387" s="49">
        <f>IFERROR(VLOOKUP(B387,'Thống kê'!$C$3:$D$970,2, FALSE),VLOOKUP(B387,'Thống kê v2 CC'!$A$3:$D$1005,3, FALSE))</f>
        <v>0</v>
      </c>
      <c r="E387" s="1">
        <v>1</v>
      </c>
      <c r="F387" s="56">
        <v>74000</v>
      </c>
      <c r="G387" s="56">
        <v>61050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</row>
    <row r="388" spans="1:23">
      <c r="A388" s="49"/>
      <c r="B388" s="1" t="s">
        <v>108</v>
      </c>
      <c r="C388" s="1" t="s">
        <v>167</v>
      </c>
      <c r="D388" s="49">
        <f>IFERROR(VLOOKUP(B388,'Thống kê'!$C$3:$D$970,2, FALSE),VLOOKUP(B388,'Thống kê v2 CC'!$A$3:$D$1005,3, FALSE))</f>
        <v>0</v>
      </c>
      <c r="E388" s="1">
        <v>1</v>
      </c>
      <c r="F388" s="56">
        <v>12480</v>
      </c>
      <c r="G388" s="56">
        <v>49961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</row>
    <row r="389" spans="1:23">
      <c r="A389" s="49"/>
      <c r="B389" s="1" t="s">
        <v>85</v>
      </c>
      <c r="C389" s="1" t="s">
        <v>175</v>
      </c>
      <c r="D389" s="49">
        <f>IFERROR(VLOOKUP(B389,'Thống kê'!$C$3:$D$970,2, FALSE),VLOOKUP(B389,'Thống kê v2 CC'!$A$3:$D$1005,3, FALSE))</f>
        <v>0</v>
      </c>
      <c r="E389" s="1">
        <v>1</v>
      </c>
      <c r="F389" s="56">
        <v>90200</v>
      </c>
      <c r="G389" s="56">
        <v>60240</v>
      </c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</row>
    <row r="390" spans="1:23">
      <c r="A390" s="64">
        <v>45870</v>
      </c>
      <c r="B390" s="1" t="s">
        <v>95</v>
      </c>
      <c r="C390" s="49"/>
      <c r="D390" s="49">
        <f>IFERROR(VLOOKUP(B390,'Thống kê'!$C$3:$D$970,2, FALSE),VLOOKUP(B390,'Thống kê v2 CC'!$A$3:$D$1005,3, FALSE))</f>
        <v>0</v>
      </c>
      <c r="E390" s="1">
        <v>1</v>
      </c>
      <c r="F390" s="56">
        <v>68500</v>
      </c>
      <c r="G390" s="56">
        <v>98332</v>
      </c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</row>
    <row r="391" spans="1:23">
      <c r="A391" s="49"/>
      <c r="B391" s="1" t="s">
        <v>82</v>
      </c>
      <c r="C391" s="49"/>
      <c r="D391" s="49">
        <f>IFERROR(VLOOKUP(B391,'Thống kê'!$C$3:$D$970,2, FALSE),VLOOKUP(B391,'Thống kê v2 CC'!$A$3:$D$1005,3, FALSE))</f>
        <v>0</v>
      </c>
      <c r="E391" s="1">
        <v>1</v>
      </c>
      <c r="F391" s="56">
        <v>68500</v>
      </c>
      <c r="G391" s="55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</row>
    <row r="392" spans="1:23">
      <c r="A392" s="49"/>
      <c r="B392" s="1" t="s">
        <v>86</v>
      </c>
      <c r="C392" s="49"/>
      <c r="D392" s="49">
        <f>IFERROR(VLOOKUP(B392,'Thống kê'!$C$3:$D$970,2, FALSE),VLOOKUP(B392,'Thống kê v2 CC'!$A$3:$D$1005,3, FALSE))</f>
        <v>0</v>
      </c>
      <c r="E392" s="1">
        <v>1</v>
      </c>
      <c r="F392" s="56">
        <v>168000</v>
      </c>
      <c r="G392" s="56">
        <v>117642</v>
      </c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</row>
    <row r="393" spans="1:23">
      <c r="A393" s="49"/>
      <c r="B393" s="1" t="s">
        <v>141</v>
      </c>
      <c r="C393" s="49"/>
      <c r="D393" s="49">
        <f>IFERROR(VLOOKUP(B393,'Thống kê'!$C$3:$D$970,2, FALSE),VLOOKUP(B393,'Thống kê v2 CC'!$A$3:$D$1005,3, FALSE))</f>
        <v>0</v>
      </c>
      <c r="E393" s="1">
        <v>1</v>
      </c>
      <c r="F393" s="56">
        <v>68500</v>
      </c>
      <c r="G393" s="56">
        <v>98332</v>
      </c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</row>
    <row r="394" spans="1:23">
      <c r="A394" s="49"/>
      <c r="B394" s="1" t="s">
        <v>142</v>
      </c>
      <c r="C394" s="49"/>
      <c r="D394" s="49">
        <f>IFERROR(VLOOKUP(B394,'Thống kê'!$C$3:$D$970,2, FALSE),VLOOKUP(B394,'Thống kê v2 CC'!$A$3:$D$1005,3, FALSE))</f>
        <v>0</v>
      </c>
      <c r="E394" s="1">
        <v>1</v>
      </c>
      <c r="F394" s="56">
        <v>68500</v>
      </c>
      <c r="G394" s="55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</row>
    <row r="395" spans="1:23">
      <c r="A395" s="49"/>
      <c r="B395" s="1" t="s">
        <v>96</v>
      </c>
      <c r="C395" s="49"/>
      <c r="D395" s="49">
        <f>IFERROR(VLOOKUP(B395,'Thống kê'!$C$3:$D$970,2, FALSE),VLOOKUP(B395,'Thống kê v2 CC'!$A$3:$D$1005,3, FALSE))</f>
        <v>0</v>
      </c>
      <c r="E395" s="1">
        <v>1</v>
      </c>
      <c r="F395" s="56">
        <v>68500</v>
      </c>
      <c r="G395" s="56">
        <v>47316</v>
      </c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</row>
    <row r="396" spans="1:23">
      <c r="A396" s="49"/>
      <c r="B396" s="1" t="s">
        <v>193</v>
      </c>
      <c r="C396" s="1" t="s">
        <v>194</v>
      </c>
      <c r="D396" s="49" t="str">
        <f>IFERROR(VLOOKUP(B396,'Thống kê'!$C$3:$D$970,2, FALSE),VLOOKUP(B396,'Thống kê v2 CC'!$A$3:$D$1005,3, FALSE))</f>
        <v>POP BEAN Pajama Party</v>
      </c>
      <c r="E396" s="1">
        <v>1</v>
      </c>
      <c r="F396" s="56">
        <v>209000</v>
      </c>
      <c r="G396" s="56">
        <v>148928</v>
      </c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</row>
    <row r="397" spans="1:23">
      <c r="A397" s="49"/>
      <c r="B397" s="1" t="s">
        <v>234</v>
      </c>
      <c r="C397" s="49"/>
      <c r="D397" s="49" t="str">
        <f>IFERROR(VLOOKUP(B397,'Thống kê'!$C$3:$D$970,2, FALSE),VLOOKUP(B397,'Thống kê v2 CC'!$A$3:$D$1005,3, FALSE))</f>
        <v>Móc khoá skullpanda phiên bản mini</v>
      </c>
      <c r="E397" s="1">
        <v>1</v>
      </c>
      <c r="F397" s="56">
        <v>95000</v>
      </c>
      <c r="G397" s="56">
        <v>151393</v>
      </c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</row>
    <row r="398" spans="1:23">
      <c r="A398" s="49"/>
      <c r="B398" s="1" t="s">
        <v>235</v>
      </c>
      <c r="C398" s="1" t="s">
        <v>236</v>
      </c>
      <c r="D398" s="49" t="e">
        <f>IFERROR(VLOOKUP(B398,'Thống kê'!$C$3:$D$970,2, FALSE),VLOOKUP(B398,'Thống kê v2 CC'!$A$3:$D$1005,3, FALSE))</f>
        <v>#N/A</v>
      </c>
      <c r="E398" s="1">
        <v>1</v>
      </c>
      <c r="F398" s="56">
        <v>120000</v>
      </c>
      <c r="G398" s="55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</row>
    <row r="399" spans="1:23">
      <c r="A399" s="49"/>
      <c r="B399" s="1" t="s">
        <v>237</v>
      </c>
      <c r="C399" s="1" t="s">
        <v>167</v>
      </c>
      <c r="D399" s="49" t="e">
        <f>IFERROR(VLOOKUP(B399,'Thống kê'!$C$3:$D$970,2, FALSE),VLOOKUP(B399,'Thống kê v2 CC'!$A$3:$D$1005,3, FALSE))</f>
        <v>#N/A</v>
      </c>
      <c r="E399" s="1">
        <v>1</v>
      </c>
      <c r="F399" s="56">
        <v>68500</v>
      </c>
      <c r="G399" s="56">
        <v>47316</v>
      </c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</row>
    <row r="400" spans="1:23">
      <c r="A400" s="49"/>
      <c r="B400" s="1" t="s">
        <v>95</v>
      </c>
      <c r="C400" s="1" t="s">
        <v>173</v>
      </c>
      <c r="D400" s="49">
        <f>IFERROR(VLOOKUP(B400,'Thống kê'!$C$3:$D$970,2, FALSE),VLOOKUP(B400,'Thống kê v2 CC'!$A$3:$D$1005,3, FALSE))</f>
        <v>0</v>
      </c>
      <c r="E400" s="1">
        <v>1</v>
      </c>
      <c r="F400" s="56">
        <v>131000</v>
      </c>
      <c r="G400" s="56">
        <v>95990</v>
      </c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</row>
    <row r="401" spans="1:23">
      <c r="A401" s="49"/>
      <c r="B401" s="1" t="s">
        <v>100</v>
      </c>
      <c r="C401" s="1" t="s">
        <v>167</v>
      </c>
      <c r="D401" s="49" t="e">
        <f>IFERROR(VLOOKUP(B401,'Thống kê'!$C$3:$D$970,2, FALSE),VLOOKUP(B401,'Thống kê v2 CC'!$A$3:$D$1005,3, FALSE))</f>
        <v>#N/A</v>
      </c>
      <c r="E401" s="1">
        <v>1</v>
      </c>
      <c r="F401" s="56">
        <v>68500</v>
      </c>
      <c r="G401" s="56">
        <v>47940</v>
      </c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</row>
    <row r="402" spans="1:23">
      <c r="A402" s="49"/>
      <c r="B402" s="1" t="s">
        <v>95</v>
      </c>
      <c r="C402" s="1" t="s">
        <v>167</v>
      </c>
      <c r="D402" s="49">
        <f>IFERROR(VLOOKUP(B402,'Thống kê'!$C$3:$D$970,2, FALSE),VLOOKUP(B402,'Thống kê v2 CC'!$A$3:$D$1005,3, FALSE))</f>
        <v>0</v>
      </c>
      <c r="E402" s="1">
        <v>1</v>
      </c>
      <c r="F402" s="56">
        <v>68500</v>
      </c>
      <c r="G402" s="56">
        <v>47940</v>
      </c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</row>
    <row r="403" spans="1:23">
      <c r="A403" s="49"/>
      <c r="B403" s="1" t="s">
        <v>195</v>
      </c>
      <c r="C403" s="49"/>
      <c r="D403" s="49" t="str">
        <f>IFERROR(VLOOKUP(B403,'Thống kê'!$C$3:$D$970,2, FALSE),VLOOKUP(B403,'Thống kê v2 CC'!$A$3:$D$1005,3, FALSE))</f>
        <v>POP BEAN Pajama Party</v>
      </c>
      <c r="E403" s="1">
        <v>1</v>
      </c>
      <c r="F403" s="56">
        <v>120000</v>
      </c>
      <c r="G403" s="56">
        <v>86236</v>
      </c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</row>
    <row r="404" spans="1:23">
      <c r="A404" s="49"/>
      <c r="B404" s="1" t="s">
        <v>238</v>
      </c>
      <c r="C404" s="49"/>
      <c r="D404" s="49">
        <f>IFERROR(VLOOKUP(B404,'Thống kê'!$C$3:$D$970,2, FALSE),VLOOKUP(B404,'Thống kê v2 CC'!$A$3:$D$1005,3, FALSE))</f>
        <v>0</v>
      </c>
      <c r="E404" s="1">
        <v>1</v>
      </c>
      <c r="F404" s="56">
        <v>101150</v>
      </c>
      <c r="G404" s="56">
        <v>119186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</row>
    <row r="405" spans="1:23">
      <c r="A405" s="49"/>
      <c r="B405" s="1" t="s">
        <v>140</v>
      </c>
      <c r="C405" s="49"/>
      <c r="D405" s="49">
        <f>IFERROR(VLOOKUP(B405,'Thống kê'!$C$3:$D$970,2, FALSE),VLOOKUP(B405,'Thống kê v2 CC'!$A$3:$D$1005,3, FALSE))</f>
        <v>0</v>
      </c>
      <c r="E405" s="1">
        <v>1</v>
      </c>
      <c r="F405" s="56">
        <v>69000</v>
      </c>
      <c r="G405" s="382">
        <v>146494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</row>
    <row r="406" spans="1:23">
      <c r="A406" s="49"/>
      <c r="B406" s="1" t="s">
        <v>95</v>
      </c>
      <c r="C406" s="49"/>
      <c r="D406" s="49">
        <f>IFERROR(VLOOKUP(B406,'Thống kê'!$C$3:$D$970,2, FALSE),VLOOKUP(B406,'Thống kê v2 CC'!$A$3:$D$1005,3, FALSE))</f>
        <v>0</v>
      </c>
      <c r="E406" s="1">
        <v>1</v>
      </c>
      <c r="F406" s="56">
        <v>68500</v>
      </c>
      <c r="G406" s="36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</row>
    <row r="407" spans="1:23">
      <c r="A407" s="49"/>
      <c r="B407" s="1" t="s">
        <v>188</v>
      </c>
      <c r="C407" s="49"/>
      <c r="D407" s="49">
        <f>IFERROR(VLOOKUP(B407,'Thống kê'!$C$3:$D$970,2, FALSE),VLOOKUP(B407,'Thống kê v2 CC'!$A$3:$D$1005,3, FALSE))</f>
        <v>0</v>
      </c>
      <c r="E407" s="1">
        <v>1</v>
      </c>
      <c r="F407" s="56">
        <v>68500</v>
      </c>
      <c r="G407" s="36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</row>
    <row r="408" spans="1:23">
      <c r="A408" s="49"/>
      <c r="B408" s="1" t="s">
        <v>102</v>
      </c>
      <c r="C408" s="49"/>
      <c r="D408" s="49" t="e">
        <f>IFERROR(VLOOKUP(B408,'Thống kê'!$C$3:$D$970,2, FALSE),VLOOKUP(B408,'Thống kê v2 CC'!$A$3:$D$1005,3, FALSE))</f>
        <v>#N/A</v>
      </c>
      <c r="E408" s="1">
        <v>1</v>
      </c>
      <c r="F408" s="56">
        <v>68500</v>
      </c>
      <c r="G408" s="36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</row>
    <row r="409" spans="1:23">
      <c r="A409" s="49"/>
      <c r="B409" s="1" t="s">
        <v>82</v>
      </c>
      <c r="C409" s="49"/>
      <c r="D409" s="49">
        <f>IFERROR(VLOOKUP(B409,'Thống kê'!$C$3:$D$970,2, FALSE),VLOOKUP(B409,'Thống kê v2 CC'!$A$3:$D$1005,3, FALSE))</f>
        <v>0</v>
      </c>
      <c r="E409" s="1">
        <v>1</v>
      </c>
      <c r="F409" s="56">
        <v>68500</v>
      </c>
      <c r="G409" s="56">
        <v>47940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</row>
    <row r="410" spans="1:23">
      <c r="A410" s="49"/>
      <c r="B410" s="1" t="s">
        <v>157</v>
      </c>
      <c r="C410" s="49"/>
      <c r="D410" s="49" t="e">
        <f>IFERROR(VLOOKUP(B410,'Thống kê'!$C$3:$D$970,2, FALSE),VLOOKUP(B410,'Thống kê v2 CC'!$A$3:$D$1005,3, FALSE))</f>
        <v>#N/A</v>
      </c>
      <c r="E410" s="1">
        <v>1</v>
      </c>
      <c r="F410" s="56">
        <v>120000</v>
      </c>
      <c r="G410" s="56">
        <v>86236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</row>
    <row r="411" spans="1:23">
      <c r="A411" s="63" t="s">
        <v>239</v>
      </c>
      <c r="B411" s="1" t="s">
        <v>95</v>
      </c>
      <c r="C411" s="1" t="s">
        <v>167</v>
      </c>
      <c r="D411" s="49">
        <f>IFERROR(VLOOKUP(B411,'Thống kê'!$C$3:$D$970,2, FALSE),VLOOKUP(B411,'Thống kê v2 CC'!$A$3:$D$1005,3, FALSE))</f>
        <v>0</v>
      </c>
      <c r="E411" s="1">
        <v>1</v>
      </c>
      <c r="F411" s="56">
        <v>68500</v>
      </c>
      <c r="G411" s="56">
        <v>47316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</row>
    <row r="412" spans="1:23">
      <c r="A412" s="49"/>
      <c r="B412" s="1" t="s">
        <v>96</v>
      </c>
      <c r="C412" s="49"/>
      <c r="D412" s="49">
        <f>IFERROR(VLOOKUP(B412,'Thống kê'!$C$3:$D$970,2, FALSE),VLOOKUP(B412,'Thống kê v2 CC'!$A$3:$D$1005,3, FALSE))</f>
        <v>0</v>
      </c>
      <c r="E412" s="1">
        <v>1</v>
      </c>
      <c r="F412" s="56">
        <v>68500</v>
      </c>
      <c r="G412" s="56">
        <v>47284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</row>
    <row r="413" spans="1:23">
      <c r="A413" s="49"/>
      <c r="B413" s="1" t="s">
        <v>86</v>
      </c>
      <c r="C413" s="49"/>
      <c r="D413" s="49">
        <f>IFERROR(VLOOKUP(B413,'Thống kê'!$C$3:$D$970,2, FALSE),VLOOKUP(B413,'Thống kê v2 CC'!$A$3:$D$1005,3, FALSE))</f>
        <v>0</v>
      </c>
      <c r="E413" s="1">
        <v>1</v>
      </c>
      <c r="F413" s="56">
        <v>68500</v>
      </c>
      <c r="G413" s="56">
        <v>47284</v>
      </c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</row>
    <row r="414" spans="1:23">
      <c r="A414" s="49"/>
      <c r="B414" s="1" t="s">
        <v>240</v>
      </c>
      <c r="C414" s="49"/>
      <c r="D414" s="49" t="e">
        <f>IFERROR(VLOOKUP(B414,'Thống kê'!$C$3:$D$970,2, FALSE),VLOOKUP(B414,'Thống kê v2 CC'!$A$3:$D$1005,3, FALSE))</f>
        <v>#N/A</v>
      </c>
      <c r="E414" s="1">
        <v>1</v>
      </c>
      <c r="F414" s="56">
        <v>150000</v>
      </c>
      <c r="G414" s="56">
        <v>219116</v>
      </c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</row>
    <row r="415" spans="1:23">
      <c r="A415" s="49"/>
      <c r="B415" s="1" t="s">
        <v>136</v>
      </c>
      <c r="C415" s="49"/>
      <c r="D415" s="49" t="e">
        <f>IFERROR(VLOOKUP(B415,'Thống kê'!$C$3:$D$970,2, FALSE),VLOOKUP(B415,'Thống kê v2 CC'!$A$3:$D$1005,3, FALSE))</f>
        <v>#N/A</v>
      </c>
      <c r="E415" s="1">
        <v>1</v>
      </c>
      <c r="F415" s="56">
        <v>150000</v>
      </c>
      <c r="G415" s="55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</row>
    <row r="416" spans="1:23">
      <c r="A416" s="49"/>
      <c r="B416" s="1" t="s">
        <v>214</v>
      </c>
      <c r="C416" s="49"/>
      <c r="D416" s="49">
        <f>IFERROR(VLOOKUP(B416,'Thống kê'!$C$3:$D$970,2, FALSE),VLOOKUP(B416,'Thống kê v2 CC'!$A$3:$D$1005,3, FALSE))</f>
        <v>0</v>
      </c>
      <c r="E416" s="1">
        <v>1</v>
      </c>
      <c r="F416" s="56">
        <v>68500</v>
      </c>
      <c r="G416" s="56">
        <v>98364</v>
      </c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</row>
    <row r="417" spans="1:23">
      <c r="A417" s="49"/>
      <c r="B417" s="1" t="s">
        <v>154</v>
      </c>
      <c r="C417" s="49"/>
      <c r="D417" s="49">
        <f>IFERROR(VLOOKUP(B417,'Thống kê'!$C$3:$D$970,2, FALSE),VLOOKUP(B417,'Thống kê v2 CC'!$A$3:$D$1005,3, FALSE))</f>
        <v>0</v>
      </c>
      <c r="E417" s="1">
        <v>1</v>
      </c>
      <c r="F417" s="56">
        <v>68500</v>
      </c>
      <c r="G417" s="55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</row>
    <row r="418" spans="1:23">
      <c r="A418" s="49"/>
      <c r="B418" s="1" t="s">
        <v>95</v>
      </c>
      <c r="C418" s="49"/>
      <c r="D418" s="49">
        <f>IFERROR(VLOOKUP(B418,'Thống kê'!$C$3:$D$970,2, FALSE),VLOOKUP(B418,'Thống kê v2 CC'!$A$3:$D$1005,3, FALSE))</f>
        <v>0</v>
      </c>
      <c r="E418" s="1">
        <v>1</v>
      </c>
      <c r="F418" s="56">
        <v>68500</v>
      </c>
      <c r="G418" s="56">
        <v>47316</v>
      </c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</row>
    <row r="419" spans="1:23">
      <c r="A419" s="49"/>
      <c r="B419" s="1" t="s">
        <v>183</v>
      </c>
      <c r="C419" s="49"/>
      <c r="D419" s="49" t="str">
        <f>IFERROR(VLOOKUP(B419,'Thống kê'!$C$3:$D$970,2, FALSE),VLOOKUP(B419,'Thống kê v2 CC'!$A$3:$D$1005,3, FALSE))</f>
        <v>Thỏ máy bay gắn xe</v>
      </c>
      <c r="E419" s="1">
        <v>1</v>
      </c>
      <c r="F419" s="56">
        <v>39000</v>
      </c>
      <c r="G419" s="56">
        <v>28118</v>
      </c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</row>
    <row r="420" spans="1:23">
      <c r="A420" s="49"/>
      <c r="B420" s="1" t="s">
        <v>241</v>
      </c>
      <c r="C420" s="49"/>
      <c r="D420" s="49">
        <f>IFERROR(VLOOKUP(B420,'Thống kê'!$C$3:$D$970,2, FALSE),VLOOKUP(B420,'Thống kê v2 CC'!$A$3:$D$1005,3, FALSE))</f>
        <v>0</v>
      </c>
      <c r="E420" s="1">
        <v>1</v>
      </c>
      <c r="F420" s="56">
        <v>90000</v>
      </c>
      <c r="G420" s="56">
        <v>151793</v>
      </c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 spans="1:23">
      <c r="A421" s="49"/>
      <c r="B421" s="1" t="s">
        <v>141</v>
      </c>
      <c r="C421" s="1" t="s">
        <v>236</v>
      </c>
      <c r="D421" s="49">
        <f>IFERROR(VLOOKUP(B421,'Thống kê'!$C$3:$D$970,2, FALSE),VLOOKUP(B421,'Thống kê v2 CC'!$A$3:$D$1005,3, FALSE))</f>
        <v>0</v>
      </c>
      <c r="E421" s="1">
        <v>1</v>
      </c>
      <c r="F421" s="56">
        <v>114000</v>
      </c>
      <c r="G421" s="55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</row>
    <row r="422" spans="1:23">
      <c r="A422" s="49"/>
      <c r="B422" s="1" t="s">
        <v>242</v>
      </c>
      <c r="C422" s="49"/>
      <c r="D422" s="49">
        <f>IFERROR(VLOOKUP(B422,'Thống kê'!$C$3:$D$970,2, FALSE),VLOOKUP(B422,'Thống kê v2 CC'!$A$3:$D$1005,3, FALSE))</f>
        <v>0</v>
      </c>
      <c r="E422" s="1">
        <v>1</v>
      </c>
      <c r="F422" s="56">
        <v>129000</v>
      </c>
      <c r="G422" s="382">
        <v>203818</v>
      </c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</row>
    <row r="423" spans="1:23">
      <c r="A423" s="49"/>
      <c r="B423" s="1" t="s">
        <v>202</v>
      </c>
      <c r="C423" s="49"/>
      <c r="D423" s="49" t="e">
        <f>IFERROR(VLOOKUP(B423,'Thống kê'!$C$3:$D$970,2, FALSE),VLOOKUP(B423,'Thống kê v2 CC'!$A$3:$D$1005,3, FALSE))</f>
        <v>#N/A</v>
      </c>
      <c r="E423" s="1">
        <v>1</v>
      </c>
      <c r="F423" s="56">
        <v>68500</v>
      </c>
      <c r="G423" s="36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</row>
    <row r="424" spans="1:23">
      <c r="A424" s="49"/>
      <c r="B424" s="1" t="s">
        <v>203</v>
      </c>
      <c r="C424" s="49"/>
      <c r="D424" s="49" t="e">
        <f>IFERROR(VLOOKUP(B424,'Thống kê'!$C$3:$D$970,2, FALSE),VLOOKUP(B424,'Thống kê v2 CC'!$A$3:$D$1005,3, FALSE))</f>
        <v>#N/A</v>
      </c>
      <c r="E424" s="1">
        <v>1</v>
      </c>
      <c r="F424" s="56">
        <v>68500</v>
      </c>
      <c r="G424" s="36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</row>
    <row r="425" spans="1:23">
      <c r="A425" s="49"/>
      <c r="B425" s="1" t="s">
        <v>101</v>
      </c>
      <c r="C425" s="49"/>
      <c r="D425" s="49">
        <f>IFERROR(VLOOKUP(B425,'Thống kê'!$C$3:$D$970,2, FALSE),VLOOKUP(B425,'Thống kê v2 CC'!$A$3:$D$1005,3, FALSE))</f>
        <v>0</v>
      </c>
      <c r="E425" s="1">
        <v>1</v>
      </c>
      <c r="F425" s="56">
        <v>68500</v>
      </c>
      <c r="G425" s="56">
        <v>47316</v>
      </c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</row>
    <row r="426" spans="1:23">
      <c r="A426" s="49"/>
      <c r="B426" s="1" t="s">
        <v>82</v>
      </c>
      <c r="C426" s="49"/>
      <c r="D426" s="49">
        <f>IFERROR(VLOOKUP(B426,'Thống kê'!$C$3:$D$970,2, FALSE),VLOOKUP(B426,'Thống kê v2 CC'!$A$3:$D$1005,3, FALSE))</f>
        <v>0</v>
      </c>
      <c r="E426" s="1">
        <v>1</v>
      </c>
      <c r="F426" s="56">
        <v>68500</v>
      </c>
      <c r="G426" s="56">
        <v>47284</v>
      </c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</row>
    <row r="427" spans="1:23">
      <c r="A427" s="49"/>
      <c r="B427" s="1" t="s">
        <v>82</v>
      </c>
      <c r="C427" s="49"/>
      <c r="D427" s="49">
        <f>IFERROR(VLOOKUP(B427,'Thống kê'!$C$3:$D$970,2, FALSE),VLOOKUP(B427,'Thống kê v2 CC'!$A$3:$D$1005,3, FALSE))</f>
        <v>0</v>
      </c>
      <c r="E427" s="1">
        <v>1</v>
      </c>
      <c r="F427" s="56">
        <v>68500</v>
      </c>
      <c r="G427" s="56">
        <v>98364</v>
      </c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</row>
    <row r="428" spans="1:23">
      <c r="A428" s="49"/>
      <c r="B428" s="1" t="s">
        <v>102</v>
      </c>
      <c r="C428" s="49"/>
      <c r="D428" s="49" t="e">
        <f>IFERROR(VLOOKUP(B428,'Thống kê'!$C$3:$D$970,2, FALSE),VLOOKUP(B428,'Thống kê v2 CC'!$A$3:$D$1005,3, FALSE))</f>
        <v>#N/A</v>
      </c>
      <c r="E428" s="1">
        <v>1</v>
      </c>
      <c r="F428" s="56">
        <v>68500</v>
      </c>
      <c r="G428" s="55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</row>
    <row r="429" spans="1:23">
      <c r="A429" s="49"/>
      <c r="B429" s="1" t="s">
        <v>134</v>
      </c>
      <c r="C429" s="49"/>
      <c r="D429" s="49">
        <f>IFERROR(VLOOKUP(B429,'Thống kê'!$C$3:$D$970,2, FALSE),VLOOKUP(B429,'Thống kê v2 CC'!$A$3:$D$1005,3, FALSE))</f>
        <v>0</v>
      </c>
      <c r="E429" s="1">
        <v>1</v>
      </c>
      <c r="F429" s="56">
        <v>68500</v>
      </c>
      <c r="G429" s="56">
        <v>98332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</row>
    <row r="430" spans="1:23">
      <c r="A430" s="49"/>
      <c r="B430" s="1" t="s">
        <v>102</v>
      </c>
      <c r="C430" s="49"/>
      <c r="D430" s="49" t="e">
        <f>IFERROR(VLOOKUP(B430,'Thống kê'!$C$3:$D$970,2, FALSE),VLOOKUP(B430,'Thống kê v2 CC'!$A$3:$D$1005,3, FALSE))</f>
        <v>#N/A</v>
      </c>
      <c r="E430" s="1">
        <v>1</v>
      </c>
      <c r="F430" s="56">
        <v>68500</v>
      </c>
      <c r="G430" s="55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</row>
    <row r="431" spans="1:23">
      <c r="A431" s="49"/>
      <c r="B431" s="1" t="s">
        <v>102</v>
      </c>
      <c r="C431" s="49"/>
      <c r="D431" s="49" t="e">
        <f>IFERROR(VLOOKUP(B431,'Thống kê'!$C$3:$D$970,2, FALSE),VLOOKUP(B431,'Thống kê v2 CC'!$A$3:$D$1005,3, FALSE))</f>
        <v>#N/A</v>
      </c>
      <c r="E431" s="1">
        <v>1</v>
      </c>
      <c r="F431" s="56">
        <v>68500</v>
      </c>
      <c r="G431" s="56">
        <v>98364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</row>
    <row r="432" spans="1:23">
      <c r="A432" s="49"/>
      <c r="B432" s="1" t="s">
        <v>97</v>
      </c>
      <c r="C432" s="49"/>
      <c r="D432" s="49">
        <f>IFERROR(VLOOKUP(B432,'Thống kê'!$C$3:$D$970,2, FALSE),VLOOKUP(B432,'Thống kê v2 CC'!$A$3:$D$1005,3, FALSE))</f>
        <v>0</v>
      </c>
      <c r="E432" s="1">
        <v>1</v>
      </c>
      <c r="F432" s="56">
        <v>68500</v>
      </c>
      <c r="G432" s="55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</row>
    <row r="433" spans="1:23">
      <c r="A433" s="49"/>
      <c r="B433" s="1" t="s">
        <v>183</v>
      </c>
      <c r="C433" s="49"/>
      <c r="D433" s="49" t="str">
        <f>IFERROR(VLOOKUP(B433,'Thống kê'!$C$3:$D$970,2, FALSE),VLOOKUP(B433,'Thống kê v2 CC'!$A$3:$D$1005,3, FALSE))</f>
        <v>Thỏ máy bay gắn xe</v>
      </c>
      <c r="E433" s="1">
        <v>2</v>
      </c>
      <c r="F433" s="56">
        <v>39000</v>
      </c>
      <c r="G433" s="56">
        <v>82886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</row>
    <row r="434" spans="1:23">
      <c r="A434" s="49"/>
      <c r="B434" s="1" t="s">
        <v>232</v>
      </c>
      <c r="C434" s="49"/>
      <c r="D434" s="49" t="str">
        <f>IFERROR(VLOOKUP(B434,'Thống kê'!$C$3:$D$970,2, FALSE),VLOOKUP(B434,'Thống kê v2 CC'!$A$3:$D$1005,3, FALSE))</f>
        <v>Cáo gắn xe</v>
      </c>
      <c r="E434" s="1">
        <v>1</v>
      </c>
      <c r="F434" s="56">
        <v>39000</v>
      </c>
      <c r="G434" s="55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</row>
    <row r="435" spans="1:23">
      <c r="A435" s="49"/>
      <c r="B435" s="1" t="s">
        <v>204</v>
      </c>
      <c r="C435" s="49"/>
      <c r="D435" s="49">
        <f>IFERROR(VLOOKUP(B435,'Thống kê'!$C$3:$D$970,2, FALSE),VLOOKUP(B435,'Thống kê v2 CC'!$A$3:$D$1005,3, FALSE))</f>
        <v>0</v>
      </c>
      <c r="E435" s="1">
        <v>1</v>
      </c>
      <c r="F435" s="56">
        <v>68500</v>
      </c>
      <c r="G435" s="382">
        <v>103175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</row>
    <row r="436" spans="1:23">
      <c r="A436" s="49"/>
      <c r="B436" s="1" t="s">
        <v>97</v>
      </c>
      <c r="C436" s="49"/>
      <c r="D436" s="49">
        <f>IFERROR(VLOOKUP(B436,'Thống kê'!$C$3:$D$970,2, FALSE),VLOOKUP(B436,'Thống kê v2 CC'!$A$3:$D$1005,3, FALSE))</f>
        <v>0</v>
      </c>
      <c r="E436" s="1">
        <v>1</v>
      </c>
      <c r="F436" s="56">
        <v>68500</v>
      </c>
      <c r="G436" s="36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</row>
    <row r="437" spans="1:23">
      <c r="A437" s="63" t="s">
        <v>243</v>
      </c>
      <c r="B437" s="1" t="s">
        <v>195</v>
      </c>
      <c r="C437" s="49"/>
      <c r="D437" s="49" t="str">
        <f>IFERROR(VLOOKUP(B437,'Thống kê'!$C$3:$D$970,2, FALSE),VLOOKUP(B437,'Thống kê v2 CC'!$A$3:$D$1005,3, FALSE))</f>
        <v>POP BEAN Pajama Party</v>
      </c>
      <c r="E437" s="1">
        <v>1</v>
      </c>
      <c r="F437" s="56">
        <v>120000</v>
      </c>
      <c r="G437" s="56">
        <v>85088</v>
      </c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</row>
    <row r="438" spans="1:23">
      <c r="A438" s="49"/>
      <c r="B438" s="1" t="s">
        <v>244</v>
      </c>
      <c r="C438" s="49"/>
      <c r="D438" s="49" t="str">
        <f>IFERROR(VLOOKUP(B438,'Thống kê'!$C$3:$D$970,2, FALSE),VLOOKUP(B438,'Thống kê v2 CC'!$A$3:$D$1005,3, FALSE))</f>
        <v>Móc khóa chuối</v>
      </c>
      <c r="E438" s="1">
        <v>1</v>
      </c>
      <c r="F438" s="56">
        <v>85000</v>
      </c>
      <c r="G438" s="382">
        <v>172577</v>
      </c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</row>
    <row r="439" spans="1:23">
      <c r="A439" s="49"/>
      <c r="B439" s="1" t="s">
        <v>245</v>
      </c>
      <c r="C439" s="49"/>
      <c r="D439" s="49" t="str">
        <f>IFERROR(VLOOKUP(B439,'Thống kê'!$C$3:$D$970,2, FALSE),VLOOKUP(B439,'Thống kê v2 CC'!$A$3:$D$1005,3, FALSE))</f>
        <v>Móc khóa Popbean</v>
      </c>
      <c r="E439" s="1">
        <v>1</v>
      </c>
      <c r="F439" s="56">
        <v>159500</v>
      </c>
      <c r="G439" s="36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</row>
    <row r="440" spans="1:23">
      <c r="A440" s="49"/>
      <c r="B440" s="1" t="s">
        <v>95</v>
      </c>
      <c r="C440" s="49"/>
      <c r="D440" s="49">
        <f>IFERROR(VLOOKUP(B440,'Thống kê'!$C$3:$D$970,2, FALSE),VLOOKUP(B440,'Thống kê v2 CC'!$A$3:$D$1005,3, FALSE))</f>
        <v>0</v>
      </c>
      <c r="E440" s="1">
        <v>1</v>
      </c>
      <c r="F440" s="56">
        <v>68500</v>
      </c>
      <c r="G440" s="56">
        <v>47316</v>
      </c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</row>
    <row r="441" spans="1:23">
      <c r="A441" s="49"/>
      <c r="B441" s="1" t="s">
        <v>158</v>
      </c>
      <c r="C441" s="49"/>
      <c r="D441" s="49" t="e">
        <f>IFERROR(VLOOKUP(B441,'Thống kê'!$C$3:$D$970,2, FALSE),VLOOKUP(B441,'Thống kê v2 CC'!$A$3:$D$1005,3, FALSE))</f>
        <v>#N/A</v>
      </c>
      <c r="E441" s="1">
        <v>1</v>
      </c>
      <c r="F441" s="56">
        <v>68500</v>
      </c>
      <c r="G441" s="56">
        <v>47284</v>
      </c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</row>
    <row r="442" spans="1:23">
      <c r="A442" s="49"/>
      <c r="B442" s="1" t="s">
        <v>188</v>
      </c>
      <c r="C442" s="49"/>
      <c r="D442" s="49">
        <f>IFERROR(VLOOKUP(B442,'Thống kê'!$C$3:$D$970,2, FALSE),VLOOKUP(B442,'Thống kê v2 CC'!$A$3:$D$1005,3, FALSE))</f>
        <v>0</v>
      </c>
      <c r="E442" s="1">
        <v>1</v>
      </c>
      <c r="F442" s="56">
        <v>68500</v>
      </c>
      <c r="G442" s="56">
        <v>47316</v>
      </c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</row>
    <row r="443" spans="1:23">
      <c r="A443" s="49"/>
      <c r="B443" s="1" t="s">
        <v>102</v>
      </c>
      <c r="C443" s="49"/>
      <c r="D443" s="49" t="e">
        <f>IFERROR(VLOOKUP(B443,'Thống kê'!$C$3:$D$970,2, FALSE),VLOOKUP(B443,'Thống kê v2 CC'!$A$3:$D$1005,3, FALSE))</f>
        <v>#N/A</v>
      </c>
      <c r="E443" s="1">
        <v>1</v>
      </c>
      <c r="F443" s="56">
        <v>68500</v>
      </c>
      <c r="G443" s="56">
        <v>47316</v>
      </c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</row>
    <row r="444" spans="1:23">
      <c r="A444" s="49"/>
      <c r="B444" s="1" t="s">
        <v>156</v>
      </c>
      <c r="C444" s="49"/>
      <c r="D444" s="49" t="e">
        <f>IFERROR(VLOOKUP(B444,'Thống kê'!$C$3:$D$970,2, FALSE),VLOOKUP(B444,'Thống kê v2 CC'!$A$3:$D$1005,3, FALSE))</f>
        <v>#N/A</v>
      </c>
      <c r="E444" s="1">
        <v>1</v>
      </c>
      <c r="F444" s="56">
        <v>120000</v>
      </c>
      <c r="G444" s="56">
        <v>85143</v>
      </c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</row>
    <row r="445" spans="1:23">
      <c r="A445" s="49"/>
      <c r="B445" s="1" t="s">
        <v>195</v>
      </c>
      <c r="C445" s="49"/>
      <c r="D445" s="49" t="str">
        <f>IFERROR(VLOOKUP(B445,'Thống kê'!$C$3:$D$970,2, FALSE),VLOOKUP(B445,'Thống kê v2 CC'!$A$3:$D$1005,3, FALSE))</f>
        <v>POP BEAN Pajama Party</v>
      </c>
      <c r="E445" s="1">
        <v>1</v>
      </c>
      <c r="F445" s="56">
        <v>120000</v>
      </c>
      <c r="G445" s="56">
        <v>85088</v>
      </c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</row>
    <row r="446" spans="1:23">
      <c r="A446" s="49"/>
      <c r="B446" s="1" t="s">
        <v>141</v>
      </c>
      <c r="C446" s="49"/>
      <c r="D446" s="49">
        <f>IFERROR(VLOOKUP(B446,'Thống kê'!$C$3:$D$970,2, FALSE),VLOOKUP(B446,'Thống kê v2 CC'!$A$3:$D$1005,3, FALSE))</f>
        <v>0</v>
      </c>
      <c r="E446" s="1">
        <v>1</v>
      </c>
      <c r="F446" s="56">
        <v>68500</v>
      </c>
      <c r="G446" s="382">
        <v>98364</v>
      </c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</row>
    <row r="447" spans="1:23">
      <c r="A447" s="49"/>
      <c r="B447" s="1" t="s">
        <v>204</v>
      </c>
      <c r="C447" s="49"/>
      <c r="D447" s="49">
        <f>IFERROR(VLOOKUP(B447,'Thống kê'!$C$3:$D$970,2, FALSE),VLOOKUP(B447,'Thống kê v2 CC'!$A$3:$D$1005,3, FALSE))</f>
        <v>0</v>
      </c>
      <c r="E447" s="1">
        <v>1</v>
      </c>
      <c r="F447" s="56">
        <v>68500</v>
      </c>
      <c r="G447" s="36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</row>
    <row r="448" spans="1:23">
      <c r="A448" s="49"/>
      <c r="B448" s="1" t="s">
        <v>188</v>
      </c>
      <c r="C448" s="49"/>
      <c r="D448" s="49">
        <f>IFERROR(VLOOKUP(B448,'Thống kê'!$C$3:$D$970,2, FALSE),VLOOKUP(B448,'Thống kê v2 CC'!$A$3:$D$1005,3, FALSE))</f>
        <v>0</v>
      </c>
      <c r="E448" s="1">
        <v>1</v>
      </c>
      <c r="F448" s="56">
        <v>68500</v>
      </c>
      <c r="G448" s="56">
        <v>98248</v>
      </c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</row>
    <row r="449" spans="1:23">
      <c r="A449" s="49"/>
      <c r="B449" s="1" t="s">
        <v>111</v>
      </c>
      <c r="C449" s="49"/>
      <c r="D449" s="49">
        <f>IFERROR(VLOOKUP(B449,'Thống kê'!$C$3:$D$970,2, FALSE),VLOOKUP(B449,'Thống kê v2 CC'!$A$3:$D$1005,3, FALSE))</f>
        <v>0</v>
      </c>
      <c r="E449" s="1">
        <v>1</v>
      </c>
      <c r="F449" s="56">
        <v>68500</v>
      </c>
      <c r="G449" s="55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</row>
    <row r="450" spans="1:23">
      <c r="A450" s="49"/>
      <c r="B450" s="1" t="s">
        <v>119</v>
      </c>
      <c r="C450" s="49"/>
      <c r="D450" s="49" t="str">
        <f>IFERROR(VLOOKUP(B450,'Thống kê'!$C$3:$D$970,2, FALSE),VLOOKUP(B450,'Thống kê v2 CC'!$A$3:$D$1005,3, FALSE))</f>
        <v>Thỏ chạy xe gắn xe</v>
      </c>
      <c r="E450" s="1">
        <v>1</v>
      </c>
      <c r="F450" s="56">
        <v>39000</v>
      </c>
      <c r="G450" s="56">
        <v>28137</v>
      </c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</row>
    <row r="451" spans="1:23">
      <c r="A451" s="49"/>
      <c r="B451" s="1" t="s">
        <v>197</v>
      </c>
      <c r="C451" s="1" t="s">
        <v>198</v>
      </c>
      <c r="D451" s="49" t="e">
        <f>IFERROR(VLOOKUP(B451,'Thống kê'!$C$3:$D$970,2, FALSE),VLOOKUP(B451,'Thống kê v2 CC'!$A$3:$D$1005,3, FALSE))</f>
        <v>#N/A</v>
      </c>
      <c r="E451" s="1">
        <v>1</v>
      </c>
      <c r="F451" s="56">
        <v>170000</v>
      </c>
      <c r="G451" s="56">
        <v>282705</v>
      </c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</row>
    <row r="452" spans="1:23">
      <c r="A452" s="49"/>
      <c r="B452" s="1" t="s">
        <v>193</v>
      </c>
      <c r="C452" s="1" t="s">
        <v>194</v>
      </c>
      <c r="D452" s="49"/>
      <c r="E452" s="1">
        <v>1</v>
      </c>
      <c r="F452" s="56">
        <v>209000</v>
      </c>
      <c r="G452" s="55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</row>
    <row r="453" spans="1:23">
      <c r="A453" s="49"/>
      <c r="B453" s="1" t="s">
        <v>95</v>
      </c>
      <c r="C453" s="49"/>
      <c r="D453" s="49"/>
      <c r="E453" s="1">
        <v>1</v>
      </c>
      <c r="F453" s="56">
        <v>68500</v>
      </c>
      <c r="G453" s="56">
        <v>47284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</row>
    <row r="454" spans="1:23">
      <c r="A454" s="49"/>
      <c r="B454" s="1" t="s">
        <v>102</v>
      </c>
      <c r="C454" s="49"/>
      <c r="D454" s="49"/>
      <c r="E454" s="1">
        <v>1</v>
      </c>
      <c r="F454" s="56">
        <v>68500</v>
      </c>
      <c r="G454" s="56">
        <v>47316</v>
      </c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</row>
    <row r="455" spans="1:23">
      <c r="A455" s="49"/>
      <c r="B455" s="1" t="s">
        <v>217</v>
      </c>
      <c r="C455" s="49"/>
      <c r="D455" s="49"/>
      <c r="E455" s="1">
        <v>1</v>
      </c>
      <c r="F455" s="56">
        <v>150000</v>
      </c>
      <c r="G455" s="56">
        <v>106106</v>
      </c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</row>
    <row r="456" spans="1:23">
      <c r="A456" s="49"/>
      <c r="B456" s="1" t="s">
        <v>232</v>
      </c>
      <c r="C456" s="49"/>
      <c r="D456" s="49"/>
      <c r="E456" s="1">
        <v>1</v>
      </c>
      <c r="F456" s="56">
        <v>39000</v>
      </c>
      <c r="G456" s="56">
        <v>28118</v>
      </c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</row>
    <row r="457" spans="1:23">
      <c r="A457" s="49"/>
      <c r="B457" s="1" t="s">
        <v>156</v>
      </c>
      <c r="C457" s="49"/>
      <c r="D457" s="49"/>
      <c r="E457" s="1">
        <v>1</v>
      </c>
      <c r="F457" s="56">
        <v>120000</v>
      </c>
      <c r="G457" s="56">
        <v>85088</v>
      </c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</row>
    <row r="458" spans="1:23">
      <c r="A458" s="49"/>
      <c r="B458" s="1" t="s">
        <v>82</v>
      </c>
      <c r="C458" s="49"/>
      <c r="D458" s="49"/>
      <c r="E458" s="1">
        <v>1</v>
      </c>
      <c r="F458" s="56">
        <v>68500</v>
      </c>
      <c r="G458" s="56">
        <v>144570</v>
      </c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</row>
    <row r="459" spans="1:23">
      <c r="A459" s="49"/>
      <c r="B459" s="1" t="s">
        <v>134</v>
      </c>
      <c r="C459" s="49"/>
      <c r="D459" s="49"/>
      <c r="E459" s="1">
        <v>1</v>
      </c>
      <c r="F459" s="56">
        <v>68500</v>
      </c>
      <c r="G459" s="55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</row>
    <row r="460" spans="1:23">
      <c r="A460" s="49"/>
      <c r="B460" s="1" t="s">
        <v>154</v>
      </c>
      <c r="C460" s="49"/>
      <c r="D460" s="49"/>
      <c r="E460" s="1">
        <v>1</v>
      </c>
      <c r="F460" s="56">
        <v>68500</v>
      </c>
      <c r="G460" s="55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</row>
    <row r="461" spans="1:23">
      <c r="A461" s="49"/>
      <c r="B461" s="1" t="s">
        <v>132</v>
      </c>
      <c r="C461" s="49"/>
      <c r="D461" s="49"/>
      <c r="E461" s="1">
        <v>1</v>
      </c>
      <c r="F461" s="56">
        <v>68500</v>
      </c>
      <c r="G461" s="56">
        <v>47284</v>
      </c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</row>
    <row r="462" spans="1:23">
      <c r="A462" s="49"/>
      <c r="B462" s="1" t="s">
        <v>100</v>
      </c>
      <c r="C462" s="49"/>
      <c r="D462" s="49"/>
      <c r="E462" s="1">
        <v>1</v>
      </c>
      <c r="F462" s="56">
        <v>68500</v>
      </c>
      <c r="G462" s="56">
        <v>47284</v>
      </c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</row>
    <row r="463" spans="1:23">
      <c r="A463" s="49"/>
      <c r="B463" s="1" t="s">
        <v>116</v>
      </c>
      <c r="C463" s="49"/>
      <c r="D463" s="49"/>
      <c r="E463" s="1">
        <v>1</v>
      </c>
      <c r="F463" s="56">
        <v>82000</v>
      </c>
      <c r="G463" s="56">
        <v>57194</v>
      </c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</row>
    <row r="464" spans="1:23">
      <c r="A464" s="49"/>
      <c r="B464" s="1" t="s">
        <v>82</v>
      </c>
      <c r="C464" s="49"/>
      <c r="D464" s="49"/>
      <c r="E464" s="1">
        <v>1</v>
      </c>
      <c r="F464" s="56">
        <v>68500</v>
      </c>
      <c r="G464" s="56">
        <v>98332</v>
      </c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</row>
    <row r="465" spans="1:23">
      <c r="A465" s="49"/>
      <c r="B465" s="1" t="s">
        <v>154</v>
      </c>
      <c r="C465" s="49"/>
      <c r="D465" s="49"/>
      <c r="E465" s="1">
        <v>1</v>
      </c>
      <c r="F465" s="56">
        <v>68500</v>
      </c>
      <c r="G465" s="55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</row>
    <row r="466" spans="1:23">
      <c r="A466" s="49"/>
      <c r="B466" s="1" t="s">
        <v>214</v>
      </c>
      <c r="C466" s="49"/>
      <c r="D466" s="49"/>
      <c r="E466" s="1">
        <v>1</v>
      </c>
      <c r="F466" s="56">
        <v>68500</v>
      </c>
      <c r="G466" s="56">
        <v>47284</v>
      </c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</row>
    <row r="467" spans="1:23">
      <c r="A467" s="49"/>
      <c r="B467" s="1" t="s">
        <v>96</v>
      </c>
      <c r="C467" s="49"/>
      <c r="D467" s="49"/>
      <c r="E467" s="1">
        <v>1</v>
      </c>
      <c r="F467" s="56">
        <v>79000</v>
      </c>
      <c r="G467" s="56">
        <v>55704</v>
      </c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</row>
    <row r="468" spans="1:23">
      <c r="A468" s="49"/>
      <c r="B468" s="1" t="s">
        <v>170</v>
      </c>
      <c r="C468" s="49"/>
      <c r="D468" s="49"/>
      <c r="E468" s="1">
        <v>1</v>
      </c>
      <c r="F468" s="56">
        <v>85000</v>
      </c>
      <c r="G468" s="56">
        <v>126340</v>
      </c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</row>
    <row r="469" spans="1:23">
      <c r="A469" s="49"/>
      <c r="B469" s="1" t="s">
        <v>246</v>
      </c>
      <c r="C469" s="49"/>
      <c r="D469" s="49"/>
      <c r="E469" s="1">
        <v>1</v>
      </c>
      <c r="F469" s="56">
        <v>95000</v>
      </c>
      <c r="G469" s="55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</row>
    <row r="470" spans="1:23">
      <c r="A470" s="49"/>
      <c r="B470" s="1" t="s">
        <v>162</v>
      </c>
      <c r="C470" s="49"/>
      <c r="D470" s="49"/>
      <c r="E470" s="1">
        <v>1</v>
      </c>
      <c r="F470" s="56">
        <v>34960</v>
      </c>
      <c r="G470" s="56">
        <v>24893</v>
      </c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</row>
    <row r="471" spans="1:23">
      <c r="A471" s="49"/>
      <c r="B471" s="1" t="s">
        <v>97</v>
      </c>
      <c r="C471" s="49"/>
      <c r="D471" s="49"/>
      <c r="E471" s="1">
        <v>1</v>
      </c>
      <c r="F471" s="56">
        <v>68500</v>
      </c>
      <c r="G471" s="56">
        <v>98332</v>
      </c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</row>
    <row r="472" spans="1:23">
      <c r="A472" s="49"/>
      <c r="B472" s="1" t="s">
        <v>154</v>
      </c>
      <c r="C472" s="49"/>
      <c r="D472" s="49"/>
      <c r="E472" s="1">
        <v>1</v>
      </c>
      <c r="F472" s="56">
        <v>68500</v>
      </c>
      <c r="G472" s="55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</row>
    <row r="473" spans="1:23">
      <c r="A473" s="49"/>
      <c r="B473" s="1" t="s">
        <v>247</v>
      </c>
      <c r="C473" s="49"/>
      <c r="D473" s="49"/>
      <c r="E473" s="1">
        <v>1</v>
      </c>
      <c r="F473" s="56">
        <v>95000</v>
      </c>
      <c r="G473" s="56">
        <v>66737</v>
      </c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</row>
    <row r="474" spans="1:23">
      <c r="A474" s="49"/>
      <c r="B474" s="1" t="s">
        <v>80</v>
      </c>
      <c r="C474" s="49"/>
      <c r="D474" s="49"/>
      <c r="E474" s="1">
        <v>1</v>
      </c>
      <c r="F474" s="56">
        <v>68500</v>
      </c>
      <c r="G474" s="56">
        <v>47316</v>
      </c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</row>
    <row r="475" spans="1:23">
      <c r="A475" s="49"/>
      <c r="B475" s="1" t="s">
        <v>195</v>
      </c>
      <c r="C475" s="49"/>
      <c r="D475" s="49"/>
      <c r="E475" s="1">
        <v>1</v>
      </c>
      <c r="F475" s="56">
        <v>120000</v>
      </c>
      <c r="G475" s="56">
        <v>85088</v>
      </c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</row>
    <row r="476" spans="1:23">
      <c r="A476" s="49"/>
      <c r="B476" s="1" t="s">
        <v>141</v>
      </c>
      <c r="C476" s="49"/>
      <c r="D476" s="49"/>
      <c r="E476" s="1">
        <v>1</v>
      </c>
      <c r="F476" s="56">
        <v>68500</v>
      </c>
      <c r="G476" s="56">
        <v>47284</v>
      </c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</row>
    <row r="477" spans="1:23">
      <c r="A477" s="49"/>
      <c r="B477" s="1" t="s">
        <v>88</v>
      </c>
      <c r="C477" s="49"/>
      <c r="D477" s="49"/>
      <c r="E477" s="1">
        <v>1</v>
      </c>
      <c r="F477" s="56">
        <v>68500</v>
      </c>
      <c r="G477" s="56">
        <v>47284</v>
      </c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</row>
    <row r="478" spans="1:23">
      <c r="A478" s="49"/>
      <c r="B478" s="1" t="s">
        <v>142</v>
      </c>
      <c r="C478" s="49"/>
      <c r="D478" s="49"/>
      <c r="E478" s="1">
        <v>1</v>
      </c>
      <c r="F478" s="56">
        <v>68500</v>
      </c>
      <c r="G478" s="56">
        <v>98332</v>
      </c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</row>
    <row r="479" spans="1:23">
      <c r="A479" s="49"/>
      <c r="B479" s="1" t="s">
        <v>96</v>
      </c>
      <c r="C479" s="49"/>
      <c r="D479" s="49"/>
      <c r="E479" s="1">
        <v>1</v>
      </c>
      <c r="F479" s="56">
        <v>68500</v>
      </c>
      <c r="G479" s="55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</row>
    <row r="480" spans="1:23">
      <c r="A480" s="49"/>
      <c r="B480" s="1" t="s">
        <v>145</v>
      </c>
      <c r="C480" s="49"/>
      <c r="D480" s="49"/>
      <c r="E480" s="1">
        <v>1</v>
      </c>
      <c r="F480" s="56">
        <v>39000</v>
      </c>
      <c r="G480" s="56">
        <v>54258</v>
      </c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</row>
    <row r="481" spans="1:23">
      <c r="A481" s="49"/>
      <c r="B481" s="1" t="s">
        <v>119</v>
      </c>
      <c r="C481" s="49"/>
      <c r="D481" s="49"/>
      <c r="E481" s="1">
        <v>1</v>
      </c>
      <c r="F481" s="56">
        <v>39000</v>
      </c>
      <c r="G481" s="55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</row>
    <row r="482" spans="1:23">
      <c r="A482" s="49"/>
      <c r="B482" s="1" t="s">
        <v>248</v>
      </c>
      <c r="C482" s="49"/>
      <c r="D482" s="49"/>
      <c r="E482" s="1">
        <v>1</v>
      </c>
      <c r="F482" s="56">
        <v>125000</v>
      </c>
      <c r="G482" s="56">
        <v>246579</v>
      </c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</row>
    <row r="483" spans="1:23">
      <c r="A483" s="49"/>
      <c r="B483" s="1" t="s">
        <v>193</v>
      </c>
      <c r="C483" s="1" t="s">
        <v>194</v>
      </c>
      <c r="D483" s="49"/>
      <c r="E483" s="1">
        <v>1</v>
      </c>
      <c r="F483" s="56">
        <v>209000</v>
      </c>
      <c r="G483" s="55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</row>
    <row r="484" spans="1:23">
      <c r="A484" s="49"/>
      <c r="B484" s="1" t="s">
        <v>95</v>
      </c>
      <c r="C484" s="49"/>
      <c r="D484" s="49"/>
      <c r="E484" s="1">
        <v>1</v>
      </c>
      <c r="F484" s="56">
        <v>68500</v>
      </c>
      <c r="G484" s="56">
        <v>47316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</row>
    <row r="485" spans="1:23">
      <c r="A485" s="49"/>
      <c r="B485" s="1" t="s">
        <v>86</v>
      </c>
      <c r="C485" s="49"/>
      <c r="D485" s="49"/>
      <c r="E485" s="1">
        <v>1</v>
      </c>
      <c r="F485" s="56">
        <v>68500</v>
      </c>
      <c r="G485" s="56">
        <v>144374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</row>
    <row r="486" spans="1:23">
      <c r="A486" s="49"/>
      <c r="B486" s="1" t="s">
        <v>102</v>
      </c>
      <c r="C486" s="49"/>
      <c r="D486" s="49"/>
      <c r="E486" s="1">
        <v>1</v>
      </c>
      <c r="F486" s="56">
        <v>68500</v>
      </c>
      <c r="G486" s="55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</row>
    <row r="487" spans="1:23">
      <c r="A487" s="49"/>
      <c r="B487" s="1" t="s">
        <v>88</v>
      </c>
      <c r="C487" s="49"/>
      <c r="D487" s="49"/>
      <c r="E487" s="1">
        <v>1</v>
      </c>
      <c r="F487" s="56">
        <v>68500</v>
      </c>
      <c r="G487" s="55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</row>
    <row r="488" spans="1:23">
      <c r="A488" s="49"/>
      <c r="B488" s="1" t="s">
        <v>84</v>
      </c>
      <c r="C488" s="49"/>
      <c r="D488" s="49"/>
      <c r="E488" s="1">
        <v>1</v>
      </c>
      <c r="F488" s="56">
        <v>69000</v>
      </c>
      <c r="G488" s="56">
        <v>47682</v>
      </c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</row>
    <row r="489" spans="1:23">
      <c r="A489" s="49"/>
      <c r="B489" s="1" t="s">
        <v>202</v>
      </c>
      <c r="C489" s="49"/>
      <c r="D489" s="49"/>
      <c r="E489" s="1">
        <v>1</v>
      </c>
      <c r="F489" s="56">
        <v>68500</v>
      </c>
      <c r="G489" s="56">
        <v>98332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</row>
    <row r="490" spans="1:23">
      <c r="A490" s="49"/>
      <c r="B490" s="1" t="s">
        <v>203</v>
      </c>
      <c r="C490" s="49"/>
      <c r="D490" s="49"/>
      <c r="E490" s="1">
        <v>1</v>
      </c>
      <c r="F490" s="56">
        <v>68500</v>
      </c>
      <c r="G490" s="55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</row>
    <row r="491" spans="1:23">
      <c r="A491" s="49"/>
      <c r="B491" s="1" t="s">
        <v>186</v>
      </c>
      <c r="C491" s="49"/>
      <c r="D491" s="49"/>
      <c r="E491" s="1">
        <v>1</v>
      </c>
      <c r="F491" s="56">
        <v>82000</v>
      </c>
      <c r="G491" s="56">
        <v>57194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</row>
    <row r="492" spans="1:23">
      <c r="A492" s="49"/>
      <c r="B492" s="1" t="s">
        <v>135</v>
      </c>
      <c r="C492" s="49"/>
      <c r="D492" s="49"/>
      <c r="E492" s="1">
        <v>1</v>
      </c>
      <c r="F492" s="56">
        <v>68500</v>
      </c>
      <c r="G492" s="56">
        <v>257116</v>
      </c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</row>
    <row r="493" spans="1:23">
      <c r="A493" s="49"/>
      <c r="B493" s="1" t="s">
        <v>108</v>
      </c>
      <c r="C493" s="49"/>
      <c r="D493" s="49"/>
      <c r="E493" s="1">
        <v>1</v>
      </c>
      <c r="F493" s="56">
        <v>69000</v>
      </c>
      <c r="G493" s="55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</row>
    <row r="494" spans="1:23">
      <c r="A494" s="49"/>
      <c r="B494" s="1" t="s">
        <v>158</v>
      </c>
      <c r="C494" s="49"/>
      <c r="D494" s="49"/>
      <c r="E494" s="1">
        <v>1</v>
      </c>
      <c r="F494" s="56">
        <v>68500</v>
      </c>
      <c r="G494" s="55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</row>
    <row r="495" spans="1:23">
      <c r="A495" s="49"/>
      <c r="B495" s="1" t="s">
        <v>249</v>
      </c>
      <c r="C495" s="49"/>
      <c r="D495" s="49"/>
      <c r="E495" s="1">
        <v>1</v>
      </c>
      <c r="F495" s="56">
        <v>145000</v>
      </c>
      <c r="G495" s="55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</row>
    <row r="496" spans="1:23">
      <c r="A496" s="49"/>
      <c r="B496" s="1" t="s">
        <v>157</v>
      </c>
      <c r="C496" s="49"/>
      <c r="D496" s="49"/>
      <c r="E496" s="1">
        <v>1</v>
      </c>
      <c r="F496" s="56">
        <v>120000</v>
      </c>
      <c r="G496" s="56">
        <v>178481</v>
      </c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</row>
    <row r="497" spans="1:23">
      <c r="A497" s="49"/>
      <c r="B497" s="1" t="s">
        <v>154</v>
      </c>
      <c r="C497" s="1" t="s">
        <v>173</v>
      </c>
      <c r="D497" s="49"/>
      <c r="E497" s="1">
        <v>1</v>
      </c>
      <c r="F497" s="56">
        <v>131000</v>
      </c>
      <c r="G497" s="55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</row>
    <row r="498" spans="1:23">
      <c r="A498" s="49"/>
      <c r="B498" s="1" t="s">
        <v>250</v>
      </c>
      <c r="C498" s="49"/>
      <c r="D498" s="49"/>
      <c r="E498" s="1">
        <v>1</v>
      </c>
      <c r="F498" s="56">
        <v>195000</v>
      </c>
      <c r="G498" s="56">
        <v>138751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</row>
    <row r="499" spans="1:23">
      <c r="A499" s="49"/>
      <c r="B499" s="1" t="s">
        <v>134</v>
      </c>
      <c r="C499" s="49"/>
      <c r="D499" s="49"/>
      <c r="E499" s="1">
        <v>1</v>
      </c>
      <c r="F499" s="56">
        <v>68500</v>
      </c>
      <c r="G499" s="56">
        <v>47316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</row>
    <row r="500" spans="1:23">
      <c r="A500" s="49"/>
      <c r="B500" s="1" t="s">
        <v>251</v>
      </c>
      <c r="C500" s="49"/>
      <c r="D500" s="49"/>
      <c r="E500" s="1">
        <v>1</v>
      </c>
      <c r="F500" s="56">
        <v>79000</v>
      </c>
      <c r="G500" s="56">
        <v>111854</v>
      </c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</row>
    <row r="501" spans="1:23">
      <c r="A501" s="49"/>
      <c r="B501" s="1" t="s">
        <v>214</v>
      </c>
      <c r="C501" s="49"/>
      <c r="D501" s="49"/>
      <c r="E501" s="1">
        <v>1</v>
      </c>
      <c r="F501" s="56">
        <v>79000</v>
      </c>
      <c r="G501" s="55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</row>
    <row r="502" spans="1:23">
      <c r="A502" s="49"/>
      <c r="B502" s="1" t="s">
        <v>204</v>
      </c>
      <c r="C502" s="49"/>
      <c r="D502" s="49"/>
      <c r="E502" s="1">
        <v>1</v>
      </c>
      <c r="F502" s="56">
        <v>68500</v>
      </c>
      <c r="G502" s="56">
        <v>47316</v>
      </c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</row>
    <row r="503" spans="1:23">
      <c r="A503" s="49"/>
      <c r="B503" s="1" t="s">
        <v>193</v>
      </c>
      <c r="C503" s="1" t="s">
        <v>194</v>
      </c>
      <c r="D503" s="49"/>
      <c r="E503" s="1">
        <v>1</v>
      </c>
      <c r="F503" s="56">
        <v>209000</v>
      </c>
      <c r="G503" s="56">
        <v>148928</v>
      </c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</row>
    <row r="504" spans="1:23">
      <c r="A504" s="49"/>
      <c r="B504" s="1" t="s">
        <v>252</v>
      </c>
      <c r="C504" s="49"/>
      <c r="D504" s="49"/>
      <c r="E504" s="1">
        <v>1</v>
      </c>
      <c r="F504" s="56">
        <v>170000</v>
      </c>
      <c r="G504" s="56">
        <v>271709</v>
      </c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</row>
    <row r="505" spans="1:23">
      <c r="A505" s="49"/>
      <c r="B505" s="1" t="s">
        <v>201</v>
      </c>
      <c r="C505" s="49"/>
      <c r="D505" s="49"/>
      <c r="E505" s="1">
        <v>1</v>
      </c>
      <c r="F505" s="56">
        <v>195000</v>
      </c>
      <c r="G505" s="55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</row>
    <row r="506" spans="1:23">
      <c r="A506" s="49"/>
      <c r="B506" s="1" t="s">
        <v>134</v>
      </c>
      <c r="C506" s="49"/>
      <c r="D506" s="49"/>
      <c r="E506" s="1">
        <v>1</v>
      </c>
      <c r="F506" s="56">
        <v>68500</v>
      </c>
      <c r="G506" s="56">
        <v>144349</v>
      </c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</row>
    <row r="507" spans="1:23">
      <c r="A507" s="49"/>
      <c r="B507" s="66" t="s">
        <v>100</v>
      </c>
      <c r="C507" s="49"/>
      <c r="D507" s="49"/>
      <c r="E507" s="1">
        <v>1</v>
      </c>
      <c r="F507" s="56">
        <v>68500</v>
      </c>
      <c r="G507" s="55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</row>
    <row r="508" spans="1:23">
      <c r="A508" s="49"/>
      <c r="B508" s="1" t="s">
        <v>193</v>
      </c>
      <c r="C508" s="1" t="s">
        <v>253</v>
      </c>
      <c r="D508" s="49"/>
      <c r="E508" s="1">
        <v>2</v>
      </c>
      <c r="F508" s="56">
        <v>175000</v>
      </c>
      <c r="G508" s="56">
        <v>1319216</v>
      </c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</row>
    <row r="509" spans="1:23">
      <c r="A509" s="49"/>
      <c r="B509" s="1" t="s">
        <v>254</v>
      </c>
      <c r="C509" s="1" t="s">
        <v>173</v>
      </c>
      <c r="D509" s="49"/>
      <c r="E509" s="1">
        <v>2</v>
      </c>
      <c r="F509" s="56">
        <v>175000</v>
      </c>
      <c r="G509" s="55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</row>
    <row r="510" spans="1:23">
      <c r="A510" s="49"/>
      <c r="B510" s="1" t="s">
        <v>197</v>
      </c>
      <c r="C510" s="1" t="s">
        <v>173</v>
      </c>
      <c r="D510" s="49"/>
      <c r="E510" s="1">
        <v>1</v>
      </c>
      <c r="F510" s="56">
        <v>175000</v>
      </c>
      <c r="G510" s="55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</row>
    <row r="511" spans="1:23">
      <c r="A511" s="49"/>
      <c r="B511" s="1" t="s">
        <v>111</v>
      </c>
      <c r="C511" s="1" t="s">
        <v>173</v>
      </c>
      <c r="D511" s="49"/>
      <c r="E511" s="1">
        <v>2</v>
      </c>
      <c r="F511" s="56">
        <v>131000</v>
      </c>
      <c r="G511" s="55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</row>
    <row r="512" spans="1:23">
      <c r="A512" s="49"/>
      <c r="B512" s="1" t="s">
        <v>255</v>
      </c>
      <c r="C512" s="1" t="s">
        <v>173</v>
      </c>
      <c r="D512" s="49"/>
      <c r="E512" s="1">
        <v>1</v>
      </c>
      <c r="F512" s="56">
        <v>131000</v>
      </c>
      <c r="G512" s="55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</row>
    <row r="513" spans="1:23">
      <c r="A513" s="49"/>
      <c r="B513" s="1" t="s">
        <v>95</v>
      </c>
      <c r="C513" s="1" t="s">
        <v>173</v>
      </c>
      <c r="D513" s="49"/>
      <c r="E513" s="1">
        <v>1</v>
      </c>
      <c r="F513" s="56">
        <v>131000</v>
      </c>
      <c r="G513" s="55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</row>
    <row r="514" spans="1:23">
      <c r="A514" s="49"/>
      <c r="B514" s="1" t="s">
        <v>100</v>
      </c>
      <c r="C514" s="1" t="s">
        <v>173</v>
      </c>
      <c r="D514" s="49"/>
      <c r="E514" s="1">
        <v>1</v>
      </c>
      <c r="F514" s="56">
        <v>131000</v>
      </c>
      <c r="G514" s="55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</row>
    <row r="515" spans="1:23">
      <c r="A515" s="49"/>
      <c r="B515" s="1" t="s">
        <v>154</v>
      </c>
      <c r="C515" s="1" t="s">
        <v>173</v>
      </c>
      <c r="D515" s="49"/>
      <c r="E515" s="1">
        <v>1</v>
      </c>
      <c r="F515" s="56">
        <v>131000</v>
      </c>
      <c r="G515" s="55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</row>
    <row r="516" spans="1:23">
      <c r="A516" s="49"/>
      <c r="B516" s="1" t="s">
        <v>242</v>
      </c>
      <c r="C516" s="49"/>
      <c r="D516" s="49"/>
      <c r="E516" s="1">
        <v>1</v>
      </c>
      <c r="F516" s="56">
        <v>125000</v>
      </c>
      <c r="G516" s="56">
        <v>89885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</row>
    <row r="517" spans="1:23">
      <c r="A517" s="49"/>
      <c r="B517" s="1" t="s">
        <v>111</v>
      </c>
      <c r="C517" s="49"/>
      <c r="D517" s="49"/>
      <c r="E517" s="1">
        <v>1</v>
      </c>
      <c r="F517" s="56">
        <v>79000</v>
      </c>
      <c r="G517" s="56">
        <v>54231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</row>
    <row r="518" spans="1:23">
      <c r="A518" s="49"/>
      <c r="B518" s="1" t="s">
        <v>202</v>
      </c>
      <c r="C518" s="49"/>
      <c r="D518" s="49"/>
      <c r="E518" s="1">
        <v>1</v>
      </c>
      <c r="F518" s="56">
        <v>68500</v>
      </c>
      <c r="G518" s="56">
        <v>404725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</row>
    <row r="519" spans="1:23">
      <c r="A519" s="49"/>
      <c r="B519" s="1" t="s">
        <v>203</v>
      </c>
      <c r="C519" s="49"/>
      <c r="D519" s="49"/>
      <c r="E519" s="1">
        <v>1</v>
      </c>
      <c r="F519" s="56">
        <v>68500</v>
      </c>
      <c r="G519" s="55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</row>
    <row r="520" spans="1:23">
      <c r="A520" s="49"/>
      <c r="B520" s="1" t="s">
        <v>256</v>
      </c>
      <c r="C520" s="49"/>
      <c r="D520" s="49"/>
      <c r="E520" s="1">
        <v>1</v>
      </c>
      <c r="F520" s="56">
        <v>125000</v>
      </c>
      <c r="G520" s="55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</row>
    <row r="521" spans="1:23">
      <c r="A521" s="49"/>
      <c r="B521" s="1" t="s">
        <v>188</v>
      </c>
      <c r="C521" s="49"/>
      <c r="D521" s="49"/>
      <c r="E521" s="1">
        <v>1</v>
      </c>
      <c r="F521" s="56">
        <v>68500</v>
      </c>
      <c r="G521" s="55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</row>
    <row r="522" spans="1:23">
      <c r="A522" s="49"/>
      <c r="B522" s="1" t="s">
        <v>255</v>
      </c>
      <c r="C522" s="49"/>
      <c r="D522" s="49"/>
      <c r="E522" s="1">
        <v>3</v>
      </c>
      <c r="F522" s="56">
        <v>68500</v>
      </c>
      <c r="G522" s="55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</row>
    <row r="523" spans="1:23">
      <c r="A523" s="49"/>
      <c r="B523" s="1" t="s">
        <v>257</v>
      </c>
      <c r="C523" s="1" t="s">
        <v>179</v>
      </c>
      <c r="D523" s="49"/>
      <c r="E523" s="1">
        <v>1</v>
      </c>
      <c r="F523" s="56">
        <v>168000</v>
      </c>
      <c r="G523" s="56">
        <v>862913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</row>
    <row r="524" spans="1:23">
      <c r="A524" s="49"/>
      <c r="B524" s="1" t="s">
        <v>233</v>
      </c>
      <c r="C524" s="49"/>
      <c r="D524" s="49"/>
      <c r="E524" s="1">
        <v>1</v>
      </c>
      <c r="F524" s="56">
        <v>119000</v>
      </c>
      <c r="G524" s="55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</row>
    <row r="525" spans="1:23">
      <c r="A525" s="49"/>
      <c r="B525" s="1" t="s">
        <v>258</v>
      </c>
      <c r="C525" s="49"/>
      <c r="D525" s="49"/>
      <c r="E525" s="1">
        <v>1</v>
      </c>
      <c r="F525" s="56">
        <v>99000</v>
      </c>
      <c r="G525" s="55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</row>
    <row r="526" spans="1:23">
      <c r="A526" s="49"/>
      <c r="B526" s="1" t="s">
        <v>230</v>
      </c>
      <c r="C526" s="49"/>
      <c r="D526" s="49"/>
      <c r="E526" s="1">
        <v>1</v>
      </c>
      <c r="F526" s="56">
        <v>99000</v>
      </c>
      <c r="G526" s="55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</row>
    <row r="527" spans="1:23">
      <c r="A527" s="49"/>
      <c r="B527" s="1" t="s">
        <v>259</v>
      </c>
      <c r="C527" s="49"/>
      <c r="D527" s="49"/>
      <c r="E527" s="1">
        <v>1</v>
      </c>
      <c r="F527" s="56">
        <v>99000</v>
      </c>
      <c r="G527" s="55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</row>
    <row r="528" spans="1:23">
      <c r="A528" s="49"/>
      <c r="B528" s="1" t="s">
        <v>254</v>
      </c>
      <c r="C528" s="1" t="s">
        <v>173</v>
      </c>
      <c r="D528" s="49"/>
      <c r="E528" s="1">
        <v>1</v>
      </c>
      <c r="F528" s="56">
        <v>175000</v>
      </c>
      <c r="G528" s="55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</row>
    <row r="529" spans="1:23">
      <c r="A529" s="49"/>
      <c r="B529" s="1" t="s">
        <v>211</v>
      </c>
      <c r="C529" s="49"/>
      <c r="D529" s="49"/>
      <c r="E529" s="1">
        <v>1</v>
      </c>
      <c r="F529" s="56">
        <v>115000</v>
      </c>
      <c r="G529" s="55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</row>
    <row r="530" spans="1:23">
      <c r="A530" s="49"/>
      <c r="B530" s="1" t="s">
        <v>212</v>
      </c>
      <c r="C530" s="49"/>
      <c r="D530" s="49"/>
      <c r="E530" s="1">
        <v>1</v>
      </c>
      <c r="F530" s="56">
        <v>115000</v>
      </c>
      <c r="G530" s="55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</row>
    <row r="531" spans="1:23">
      <c r="A531" s="49"/>
      <c r="B531" s="1" t="s">
        <v>260</v>
      </c>
      <c r="C531" s="49"/>
      <c r="D531" s="49"/>
      <c r="E531" s="1">
        <v>1</v>
      </c>
      <c r="F531" s="56">
        <v>115000</v>
      </c>
      <c r="G531" s="55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</row>
    <row r="532" spans="1:23">
      <c r="A532" s="49"/>
      <c r="B532" s="1" t="s">
        <v>135</v>
      </c>
      <c r="C532" s="49"/>
      <c r="D532" s="49"/>
      <c r="E532" s="1">
        <v>1</v>
      </c>
      <c r="F532" s="56">
        <v>79000</v>
      </c>
      <c r="G532" s="56">
        <v>55704</v>
      </c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</row>
    <row r="533" spans="1:23">
      <c r="A533" s="49"/>
      <c r="B533" s="1" t="s">
        <v>82</v>
      </c>
      <c r="C533" s="49"/>
      <c r="D533" s="49"/>
      <c r="E533" s="1">
        <v>1</v>
      </c>
      <c r="F533" s="56">
        <v>68500</v>
      </c>
      <c r="G533" s="56">
        <v>47284</v>
      </c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</row>
    <row r="534" spans="1:23">
      <c r="A534" s="49"/>
      <c r="B534" s="1" t="s">
        <v>261</v>
      </c>
      <c r="C534" s="49"/>
      <c r="D534" s="49"/>
      <c r="E534" s="1">
        <v>1</v>
      </c>
      <c r="F534" s="56">
        <v>59000</v>
      </c>
      <c r="G534" s="56">
        <v>44076</v>
      </c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</row>
    <row r="535" spans="1:23">
      <c r="A535" s="49"/>
      <c r="B535" s="1" t="s">
        <v>262</v>
      </c>
      <c r="C535" s="49"/>
      <c r="D535" s="49"/>
      <c r="E535" s="1">
        <v>1</v>
      </c>
      <c r="F535" s="56">
        <v>157250</v>
      </c>
      <c r="G535" s="56">
        <v>111309</v>
      </c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</row>
    <row r="536" spans="1:23">
      <c r="A536" s="49"/>
      <c r="B536" s="1" t="s">
        <v>223</v>
      </c>
      <c r="C536" s="49"/>
      <c r="D536" s="49"/>
      <c r="E536" s="1">
        <v>1</v>
      </c>
      <c r="F536" s="56">
        <v>90000</v>
      </c>
      <c r="G536" s="56">
        <v>63067</v>
      </c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</row>
    <row r="537" spans="1:23">
      <c r="A537" s="49"/>
      <c r="B537" s="1" t="s">
        <v>255</v>
      </c>
      <c r="C537" s="49"/>
      <c r="D537" s="49"/>
      <c r="E537" s="1">
        <v>1</v>
      </c>
      <c r="F537" s="56">
        <v>68500</v>
      </c>
      <c r="G537" s="56">
        <v>47316</v>
      </c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</row>
    <row r="538" spans="1:23">
      <c r="A538" s="49"/>
      <c r="B538" s="1" t="s">
        <v>102</v>
      </c>
      <c r="C538" s="49"/>
      <c r="D538" s="49"/>
      <c r="E538" s="1">
        <v>1</v>
      </c>
      <c r="F538" s="56">
        <v>68500</v>
      </c>
      <c r="G538" s="56">
        <v>47316</v>
      </c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</row>
    <row r="539" spans="1:23">
      <c r="A539" s="49"/>
      <c r="B539" s="1" t="s">
        <v>86</v>
      </c>
      <c r="C539" s="49"/>
      <c r="D539" s="49"/>
      <c r="E539" s="1">
        <v>1</v>
      </c>
      <c r="F539" s="56">
        <v>68500</v>
      </c>
      <c r="G539" s="56">
        <v>98332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</row>
    <row r="540" spans="1:23">
      <c r="A540" s="49"/>
      <c r="B540" s="1" t="s">
        <v>154</v>
      </c>
      <c r="C540" s="49"/>
      <c r="D540" s="49"/>
      <c r="E540" s="1">
        <v>1</v>
      </c>
      <c r="F540" s="56">
        <v>68500</v>
      </c>
      <c r="G540" s="55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</row>
    <row r="541" spans="1:23">
      <c r="A541" s="49"/>
      <c r="B541" s="1" t="s">
        <v>145</v>
      </c>
      <c r="C541" s="49"/>
      <c r="D541" s="49"/>
      <c r="E541" s="1">
        <v>1</v>
      </c>
      <c r="F541" s="56">
        <v>39000</v>
      </c>
      <c r="G541" s="56">
        <v>28118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</row>
    <row r="542" spans="1:23">
      <c r="A542" s="49"/>
      <c r="B542" s="1" t="s">
        <v>202</v>
      </c>
      <c r="C542" s="49"/>
      <c r="D542" s="49"/>
      <c r="E542" s="1">
        <v>1</v>
      </c>
      <c r="F542" s="56">
        <v>68500</v>
      </c>
      <c r="G542" s="56">
        <v>98332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</row>
    <row r="543" spans="1:23">
      <c r="A543" s="49"/>
      <c r="B543" s="1" t="s">
        <v>203</v>
      </c>
      <c r="C543" s="49"/>
      <c r="D543" s="49"/>
      <c r="E543" s="1">
        <v>1</v>
      </c>
      <c r="F543" s="56">
        <v>68500</v>
      </c>
      <c r="G543" s="55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</row>
    <row r="544" spans="1:23">
      <c r="A544" s="49"/>
      <c r="B544" s="1" t="s">
        <v>242</v>
      </c>
      <c r="C544" s="49"/>
      <c r="D544" s="49"/>
      <c r="E544" s="1">
        <v>1</v>
      </c>
      <c r="F544" s="56">
        <v>125000</v>
      </c>
      <c r="G544" s="56">
        <v>329873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</row>
    <row r="545" spans="1:23">
      <c r="A545" s="49"/>
      <c r="B545" s="1" t="s">
        <v>263</v>
      </c>
      <c r="C545" s="49"/>
      <c r="D545" s="49"/>
      <c r="E545" s="1">
        <v>1</v>
      </c>
      <c r="F545" s="56">
        <v>95000</v>
      </c>
      <c r="G545" s="55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</row>
    <row r="546" spans="1:23">
      <c r="A546" s="49"/>
      <c r="B546" s="1" t="s">
        <v>264</v>
      </c>
      <c r="C546" s="49"/>
      <c r="D546" s="49"/>
      <c r="E546" s="1">
        <v>1</v>
      </c>
      <c r="F546" s="56">
        <v>69000</v>
      </c>
      <c r="G546" s="55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</row>
    <row r="547" spans="1:23">
      <c r="A547" s="49"/>
      <c r="B547" s="1" t="s">
        <v>136</v>
      </c>
      <c r="C547" s="49"/>
      <c r="D547" s="49"/>
      <c r="E547" s="1">
        <v>1</v>
      </c>
      <c r="F547" s="56">
        <v>150000</v>
      </c>
      <c r="G547" s="55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</row>
    <row r="548" spans="1:23">
      <c r="A548" s="49"/>
      <c r="B548" s="1" t="s">
        <v>265</v>
      </c>
      <c r="C548" s="49"/>
      <c r="D548" s="49"/>
      <c r="E548" s="1">
        <v>1</v>
      </c>
      <c r="F548" s="56">
        <v>115000</v>
      </c>
      <c r="G548" s="56">
        <v>82454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</row>
    <row r="549" spans="1:23">
      <c r="A549" s="49"/>
      <c r="B549" s="1" t="s">
        <v>154</v>
      </c>
      <c r="C549" s="49"/>
      <c r="D549" s="49"/>
      <c r="E549" s="1">
        <v>1</v>
      </c>
      <c r="F549" s="56">
        <v>68500</v>
      </c>
      <c r="G549" s="56">
        <v>47284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</row>
    <row r="550" spans="1:23">
      <c r="A550" s="49"/>
      <c r="B550" s="1" t="s">
        <v>113</v>
      </c>
      <c r="C550" s="49"/>
      <c r="D550" s="49"/>
      <c r="E550" s="1">
        <v>1</v>
      </c>
      <c r="F550" s="56">
        <v>79000</v>
      </c>
      <c r="G550" s="56">
        <v>55028</v>
      </c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</row>
    <row r="551" spans="1:23">
      <c r="A551" s="49"/>
      <c r="B551" s="1" t="s">
        <v>140</v>
      </c>
      <c r="C551" s="49"/>
      <c r="D551" s="49"/>
      <c r="E551" s="1">
        <v>1</v>
      </c>
      <c r="F551" s="56">
        <v>69000</v>
      </c>
      <c r="G551" s="56">
        <v>99131</v>
      </c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</row>
    <row r="552" spans="1:23">
      <c r="A552" s="49"/>
      <c r="B552" s="1" t="s">
        <v>199</v>
      </c>
      <c r="C552" s="49"/>
      <c r="D552" s="49"/>
      <c r="E552" s="1">
        <v>1</v>
      </c>
      <c r="F552" s="56">
        <v>69000</v>
      </c>
      <c r="G552" s="55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</row>
    <row r="553" spans="1:23">
      <c r="A553" s="49"/>
      <c r="B553" s="1" t="s">
        <v>199</v>
      </c>
      <c r="C553" s="49"/>
      <c r="D553" s="49"/>
      <c r="E553" s="1">
        <v>1</v>
      </c>
      <c r="F553" s="56">
        <v>69000</v>
      </c>
      <c r="G553" s="56">
        <v>52140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</row>
    <row r="554" spans="1:23">
      <c r="A554" s="49"/>
      <c r="B554" s="1" t="s">
        <v>199</v>
      </c>
      <c r="C554" s="49"/>
      <c r="D554" s="49"/>
      <c r="E554" s="1">
        <v>1</v>
      </c>
      <c r="F554" s="56">
        <v>68500</v>
      </c>
      <c r="G554" s="56">
        <v>153653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</row>
    <row r="555" spans="1:23">
      <c r="A555" s="49"/>
      <c r="B555" s="1" t="s">
        <v>202</v>
      </c>
      <c r="C555" s="49"/>
      <c r="D555" s="49"/>
      <c r="E555" s="1">
        <v>1</v>
      </c>
      <c r="F555" s="56">
        <v>68500</v>
      </c>
      <c r="G555" s="55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</row>
    <row r="556" spans="1:23">
      <c r="A556" s="49"/>
      <c r="B556" s="1" t="s">
        <v>203</v>
      </c>
      <c r="C556" s="49"/>
      <c r="D556" s="49"/>
      <c r="E556" s="1">
        <v>1</v>
      </c>
      <c r="F556" s="56">
        <v>68500</v>
      </c>
      <c r="G556" s="55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</row>
    <row r="557" spans="1:23">
      <c r="A557" s="49"/>
      <c r="B557" s="1" t="s">
        <v>214</v>
      </c>
      <c r="C557" s="49"/>
      <c r="D557" s="49"/>
      <c r="E557" s="1">
        <v>1</v>
      </c>
      <c r="F557" s="56">
        <v>68500</v>
      </c>
      <c r="G557" s="56">
        <v>47284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</row>
    <row r="558" spans="1:23">
      <c r="A558" s="49"/>
      <c r="B558" s="1" t="s">
        <v>266</v>
      </c>
      <c r="C558" s="49"/>
      <c r="D558" s="49"/>
      <c r="E558" s="1">
        <v>1</v>
      </c>
      <c r="F558" s="56">
        <v>12000</v>
      </c>
      <c r="G558" s="56">
        <v>6575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</row>
    <row r="559" spans="1:23">
      <c r="A559" s="49"/>
      <c r="B559" s="1" t="s">
        <v>267</v>
      </c>
      <c r="C559" s="49"/>
      <c r="D559" s="49"/>
      <c r="E559" s="1">
        <v>1</v>
      </c>
      <c r="F559" s="56">
        <v>170000</v>
      </c>
      <c r="G559" s="56">
        <v>120578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</row>
    <row r="560" spans="1:23">
      <c r="A560" s="49"/>
      <c r="B560" s="1" t="s">
        <v>188</v>
      </c>
      <c r="C560" s="49"/>
      <c r="D560" s="49"/>
      <c r="E560" s="1">
        <v>1</v>
      </c>
      <c r="F560" s="56">
        <v>68500</v>
      </c>
      <c r="G560" s="56">
        <v>144570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</row>
    <row r="561" spans="1:23">
      <c r="A561" s="49"/>
      <c r="B561" s="1" t="s">
        <v>86</v>
      </c>
      <c r="C561" s="49"/>
      <c r="D561" s="49"/>
      <c r="E561" s="1">
        <v>1</v>
      </c>
      <c r="F561" s="56">
        <v>68500</v>
      </c>
      <c r="G561" s="55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</row>
    <row r="562" spans="1:23">
      <c r="A562" s="49"/>
      <c r="B562" s="1" t="s">
        <v>158</v>
      </c>
      <c r="C562" s="49"/>
      <c r="D562" s="49"/>
      <c r="E562" s="1">
        <v>1</v>
      </c>
      <c r="F562" s="56">
        <v>68500</v>
      </c>
      <c r="G562" s="55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</row>
    <row r="563" spans="1:23">
      <c r="A563" s="49"/>
      <c r="B563" s="1" t="s">
        <v>111</v>
      </c>
      <c r="C563" s="49"/>
      <c r="D563" s="49"/>
      <c r="E563" s="1">
        <v>1</v>
      </c>
      <c r="F563" s="56">
        <v>68500</v>
      </c>
      <c r="G563" s="56">
        <v>47316</v>
      </c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</row>
    <row r="564" spans="1:23">
      <c r="A564" s="49"/>
      <c r="B564" s="1" t="s">
        <v>202</v>
      </c>
      <c r="C564" s="49"/>
      <c r="D564" s="49"/>
      <c r="E564" s="1">
        <v>1</v>
      </c>
      <c r="F564" s="56">
        <v>68500</v>
      </c>
      <c r="G564" s="56">
        <v>98332</v>
      </c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</row>
    <row r="565" spans="1:23">
      <c r="A565" s="49"/>
      <c r="B565" s="1" t="s">
        <v>203</v>
      </c>
      <c r="C565" s="49"/>
      <c r="D565" s="49"/>
      <c r="E565" s="1">
        <v>1</v>
      </c>
      <c r="F565" s="56">
        <v>68500</v>
      </c>
      <c r="G565" s="55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</row>
    <row r="566" spans="1:23">
      <c r="A566" s="49"/>
      <c r="B566" s="1" t="s">
        <v>202</v>
      </c>
      <c r="C566" s="49"/>
      <c r="D566" s="49"/>
      <c r="E566" s="1">
        <v>1</v>
      </c>
      <c r="F566" s="56">
        <v>68500</v>
      </c>
      <c r="G566" s="56">
        <v>98332</v>
      </c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</row>
    <row r="567" spans="1:23">
      <c r="A567" s="49"/>
      <c r="B567" s="1" t="s">
        <v>203</v>
      </c>
      <c r="C567" s="49"/>
      <c r="D567" s="49"/>
      <c r="E567" s="1">
        <v>1</v>
      </c>
      <c r="F567" s="56">
        <v>68500</v>
      </c>
      <c r="G567" s="55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</row>
    <row r="568" spans="1:23">
      <c r="A568" s="49"/>
      <c r="B568" s="1" t="s">
        <v>268</v>
      </c>
      <c r="C568" s="49"/>
      <c r="D568" s="49"/>
      <c r="E568" s="1">
        <v>1</v>
      </c>
      <c r="F568" s="56">
        <v>95000</v>
      </c>
      <c r="G568" s="56">
        <v>157855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</row>
    <row r="569" spans="1:23">
      <c r="A569" s="49"/>
      <c r="B569" s="1" t="s">
        <v>178</v>
      </c>
      <c r="C569" s="49"/>
      <c r="D569" s="49"/>
      <c r="E569" s="1">
        <v>1</v>
      </c>
      <c r="F569" s="56">
        <v>129000</v>
      </c>
      <c r="G569" s="55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</row>
    <row r="570" spans="1:23">
      <c r="A570" s="49"/>
      <c r="B570" s="1" t="s">
        <v>86</v>
      </c>
      <c r="C570" s="49"/>
      <c r="D570" s="49"/>
      <c r="E570" s="1">
        <v>1</v>
      </c>
      <c r="F570" s="56">
        <v>68500</v>
      </c>
      <c r="G570" s="56">
        <v>47284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</row>
    <row r="571" spans="1:23">
      <c r="A571" s="49"/>
      <c r="B571" s="1" t="s">
        <v>254</v>
      </c>
      <c r="C571" s="1" t="s">
        <v>173</v>
      </c>
      <c r="D571" s="49"/>
      <c r="E571" s="1">
        <v>1</v>
      </c>
      <c r="F571" s="56">
        <v>175000</v>
      </c>
      <c r="G571" s="56">
        <v>128574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</row>
    <row r="572" spans="1:23">
      <c r="A572" s="49"/>
      <c r="B572" s="1" t="s">
        <v>269</v>
      </c>
      <c r="C572" s="49"/>
      <c r="D572" s="49"/>
      <c r="E572" s="49"/>
      <c r="F572" s="56">
        <v>11040</v>
      </c>
      <c r="G572" s="56">
        <v>109811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</row>
    <row r="573" spans="1:23">
      <c r="A573" s="49"/>
      <c r="B573" s="1" t="s">
        <v>270</v>
      </c>
      <c r="C573" s="49"/>
      <c r="D573" s="49"/>
      <c r="E573" s="49"/>
      <c r="F573" s="56">
        <v>9000</v>
      </c>
      <c r="G573" s="55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</row>
    <row r="574" spans="1:23">
      <c r="A574" s="49"/>
      <c r="B574" s="1" t="s">
        <v>204</v>
      </c>
      <c r="C574" s="49"/>
      <c r="D574" s="49"/>
      <c r="E574" s="49"/>
      <c r="F574" s="56">
        <v>68500</v>
      </c>
      <c r="G574" s="55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</row>
    <row r="575" spans="1:23">
      <c r="A575" s="49"/>
      <c r="B575" s="1" t="s">
        <v>88</v>
      </c>
      <c r="C575" s="49"/>
      <c r="D575" s="49"/>
      <c r="E575" s="49"/>
      <c r="F575" s="56">
        <v>68500</v>
      </c>
      <c r="G575" s="55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</row>
    <row r="576" spans="1:23">
      <c r="A576" s="49"/>
      <c r="B576" s="1" t="s">
        <v>154</v>
      </c>
      <c r="C576" s="49"/>
      <c r="D576" s="49"/>
      <c r="E576" s="49"/>
      <c r="F576" s="56">
        <v>68500</v>
      </c>
      <c r="G576" s="56">
        <v>47284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</row>
    <row r="577" spans="1:23">
      <c r="A577" s="49"/>
      <c r="B577" s="1" t="s">
        <v>132</v>
      </c>
      <c r="C577" s="49"/>
      <c r="D577" s="49"/>
      <c r="E577" s="49"/>
      <c r="F577" s="56">
        <v>68500</v>
      </c>
      <c r="G577" s="56">
        <v>51743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</row>
    <row r="578" spans="1:23">
      <c r="A578" s="49"/>
      <c r="B578" s="1" t="s">
        <v>119</v>
      </c>
      <c r="C578" s="49"/>
      <c r="D578" s="49"/>
      <c r="E578" s="49"/>
      <c r="F578" s="55"/>
      <c r="G578" s="56">
        <v>28137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</row>
    <row r="579" spans="1:23">
      <c r="A579" s="49"/>
      <c r="B579" s="49"/>
      <c r="C579" s="49"/>
      <c r="D579" s="49"/>
      <c r="E579" s="49"/>
      <c r="F579" s="55"/>
      <c r="G579" s="56">
        <f>98332+98332+91140+188424+47651+47651+47284+47316</f>
        <v>666130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</row>
    <row r="580" spans="1:23">
      <c r="A580" s="49"/>
      <c r="B580" s="49"/>
      <c r="C580" s="49"/>
      <c r="D580" s="49"/>
      <c r="E580" s="49"/>
      <c r="F580" s="55"/>
      <c r="G580" s="55">
        <f>85088+146365+195707+301952+144570+98364+94732+22692+102202+85143+47316+98332+47284+55704+47284+144663+578273+47284+47284</f>
        <v>2390239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</row>
    <row r="581" spans="1:23">
      <c r="A581" s="49"/>
      <c r="B581" s="49"/>
      <c r="C581" s="49"/>
      <c r="D581" s="49"/>
      <c r="E581" s="49"/>
      <c r="F581" s="55"/>
      <c r="G581" s="55">
        <f>182097+55704+47284+47651+98332+144663+104716+100328+78756+47316+98395+73024</f>
        <v>1078266</v>
      </c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</row>
    <row r="582" spans="1:23">
      <c r="A582" s="49"/>
      <c r="B582" s="49"/>
      <c r="C582" s="49"/>
      <c r="D582" s="49"/>
      <c r="E582" s="49"/>
      <c r="F582" s="55"/>
      <c r="G582" s="55">
        <f>98332+144663+98332+98332+47316+94732+47284+47316+98332+85088+98332+47284+47284+47284+102630+98332+98333+98332+44076+382736+497976+47284+98332+55704+98395</f>
        <v>2722041</v>
      </c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</row>
    <row r="583" spans="1:23">
      <c r="A583" s="49"/>
      <c r="B583" s="49"/>
      <c r="C583" s="49"/>
      <c r="D583" s="49"/>
      <c r="E583" s="49"/>
      <c r="F583" s="55"/>
      <c r="G583" s="55">
        <f>98395+47284+98332+98395+98395+58664+115671+55704+186900+41083+98332+47284+47284+46474+47284+145045+47316+47316+47284+94718+289687+98332+47284</f>
        <v>2002463</v>
      </c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</row>
    <row r="584" spans="1:23">
      <c r="A584" s="49"/>
      <c r="B584" s="49"/>
      <c r="C584" s="49"/>
      <c r="D584" s="49"/>
      <c r="E584" s="49"/>
      <c r="F584" s="55"/>
      <c r="G584" s="55">
        <f>123466+98332+47316+47284+98332+105487+155229+98332+94732+47284+63067+199466+117358+59395+144570+98332+340484+326739+85143+107979+47316+47284+98364+94732+47316+98332+98332+290412+148928+98332+47284+144930+122647</f>
        <v>3842536</v>
      </c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</row>
    <row r="585" spans="1:23">
      <c r="A585" s="49"/>
      <c r="B585" s="49"/>
      <c r="C585" s="49"/>
      <c r="D585" s="49"/>
      <c r="E585" s="49"/>
      <c r="F585" s="55"/>
      <c r="G585" s="55">
        <f>98332+106106+47284+68335+47651+47284+86365+47316+47316+138751+85088+162939+28118+47284+47284+349632+106106+47316+85878+98332+195676+47284+47284+55704</f>
        <v>2138665</v>
      </c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</row>
    <row r="586" spans="1:23">
      <c r="A586" s="49"/>
      <c r="B586" s="49"/>
      <c r="C586" s="49"/>
      <c r="D586" s="49"/>
      <c r="E586" s="49"/>
      <c r="F586" s="55"/>
      <c r="G586" s="55">
        <f>47316+98332+106039+98332+110401+47284+144570+69821+155328+106039+47682+98332+98395+47682+132363</f>
        <v>1407916</v>
      </c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</row>
    <row r="587" spans="1:23">
      <c r="A587" s="49"/>
      <c r="B587" s="49"/>
      <c r="C587" s="49"/>
      <c r="D587" s="49"/>
      <c r="E587" s="49"/>
      <c r="F587" s="55"/>
      <c r="G587" s="55">
        <f>47284+98332+69673+116943+98332+47316+98332+275656+47284+139184+52055+85143</f>
        <v>1175534</v>
      </c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</row>
    <row r="588" spans="1:23">
      <c r="A588" s="49"/>
      <c r="B588" s="49"/>
      <c r="C588" s="49"/>
      <c r="D588" s="49"/>
      <c r="E588" s="49"/>
      <c r="F588" s="55"/>
      <c r="G588" s="55">
        <f>47284+28118+252328+120578+47284+89885+47316+47651+28137+47284+98332+47284+47284+47316+47316+98395+59122+178481+47284+47316</f>
        <v>1473995</v>
      </c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</row>
    <row r="589" spans="1:23">
      <c r="A589" s="49"/>
      <c r="B589" s="49"/>
      <c r="C589" s="49"/>
      <c r="D589" s="49"/>
      <c r="E589" s="49"/>
      <c r="F589" s="55"/>
      <c r="G589" s="55">
        <f>28118</f>
        <v>28118</v>
      </c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</row>
    <row r="590" spans="1:23">
      <c r="A590" s="49"/>
      <c r="B590" s="49"/>
      <c r="C590" s="49"/>
      <c r="D590" s="49"/>
      <c r="E590" s="49"/>
      <c r="F590" s="55"/>
      <c r="G590" s="55">
        <f>85088+82454+82454+117358+47284+28118+120578</f>
        <v>563334</v>
      </c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</row>
    <row r="591" spans="1:23">
      <c r="A591" s="49"/>
      <c r="B591" s="49"/>
      <c r="C591" s="49"/>
      <c r="D591" s="49"/>
      <c r="E591" s="49"/>
      <c r="F591" s="55"/>
      <c r="G591" s="55">
        <f>84355+88758+144570+47284+106039+47284+47284+47316+98395+85143+85143+139184</f>
        <v>1020755</v>
      </c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</row>
    <row r="592" spans="1:23">
      <c r="A592" s="49"/>
      <c r="B592" s="49"/>
      <c r="C592" s="49"/>
      <c r="D592" s="49"/>
      <c r="E592" s="49"/>
      <c r="F592" s="55"/>
      <c r="G592" s="55">
        <f>250490+98395+98332+83002+98332+154017+123402+110401+106039+47316+98553+98333+85143+55028+47284+47284</f>
        <v>1601351</v>
      </c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</row>
    <row r="593" spans="1:23">
      <c r="A593" s="49"/>
      <c r="B593" s="49"/>
      <c r="C593" s="49"/>
      <c r="D593" s="49"/>
      <c r="E593" s="49"/>
      <c r="F593" s="55"/>
      <c r="G593" s="55">
        <f>-42500</f>
        <v>-42500</v>
      </c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</row>
    <row r="594" spans="1:23">
      <c r="A594" s="49"/>
      <c r="B594" s="49"/>
      <c r="C594" s="49"/>
      <c r="D594" s="49"/>
      <c r="E594" s="49"/>
      <c r="F594" s="55"/>
      <c r="G594" s="55">
        <f>-28700</f>
        <v>-28700</v>
      </c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</row>
    <row r="595" spans="1:23">
      <c r="A595" s="49"/>
      <c r="B595" s="49"/>
      <c r="C595" s="49"/>
      <c r="D595" s="49"/>
      <c r="E595" s="49"/>
      <c r="F595" s="55"/>
      <c r="G595" s="55">
        <f>-38000</f>
        <v>-38000</v>
      </c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</row>
    <row r="596" spans="1:23">
      <c r="A596" s="49"/>
      <c r="B596" s="49"/>
      <c r="C596" s="49"/>
      <c r="D596" s="49"/>
      <c r="E596" s="49"/>
      <c r="F596" s="55"/>
      <c r="G596" s="55">
        <f>127753+47316+106039+47682+47682+66737+47284+47284+54077+47316+47316+85088+47284+110820+94732+54258+47284+144663+114770+207646+195676+47284+98332+47284+47284+120578+98395+80844</f>
        <v>2328708</v>
      </c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</row>
    <row r="597" spans="1:23">
      <c r="A597" s="49"/>
      <c r="B597" s="49"/>
      <c r="C597" s="49"/>
      <c r="D597" s="49"/>
      <c r="E597" s="49"/>
      <c r="F597" s="55"/>
      <c r="G597" s="55">
        <f>85088+98332+47284+98395+144570+304989+42145+98395+144663+47168+47284+47284+98364+47316+94732+47284</f>
        <v>1493293</v>
      </c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</row>
    <row r="598" spans="1:23">
      <c r="A598" s="49"/>
      <c r="B598" s="49"/>
      <c r="C598" s="49"/>
      <c r="D598" s="49"/>
      <c r="E598" s="49"/>
      <c r="F598" s="55"/>
      <c r="G598" s="55">
        <f>98332+98332+117282+188424+124212+230786+100328+47284+98770+47316</f>
        <v>1151066</v>
      </c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</row>
    <row r="599" spans="1:23">
      <c r="A599" s="49"/>
      <c r="B599" s="49"/>
      <c r="C599" s="49"/>
      <c r="D599" s="49"/>
      <c r="E599" s="49"/>
      <c r="F599" s="55"/>
      <c r="G599" s="55">
        <f>106039+106106+116943+359645+236832+221209+98332+82454+98332+82454+47316+85088+94792+47284+132722+47284+47284+47682</f>
        <v>2057798</v>
      </c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</row>
    <row r="600" spans="1:23">
      <c r="A600" s="49"/>
      <c r="B600" s="49"/>
      <c r="C600" s="49"/>
      <c r="D600" s="49"/>
      <c r="E600" s="49"/>
      <c r="F600" s="55"/>
      <c r="G600" s="55">
        <f>47284+47284+98364+98395+47284+22692</f>
        <v>361303</v>
      </c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</row>
    <row r="601" spans="1:23">
      <c r="A601" s="49"/>
      <c r="B601" s="49"/>
      <c r="C601" s="49"/>
      <c r="D601" s="49"/>
      <c r="E601" s="49"/>
      <c r="F601" s="55"/>
      <c r="G601" s="55">
        <f>45286+98901+111643+47316+98395+82454+47284+47284+94732+98395+33346+98332+94732+47284+47284+98332+112389+99131+47284+16385</f>
        <v>1466189</v>
      </c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</row>
    <row r="602" spans="1:23">
      <c r="A602" s="49"/>
      <c r="B602" s="49"/>
      <c r="C602" s="49"/>
      <c r="D602" s="49"/>
      <c r="E602" s="49"/>
      <c r="F602" s="55"/>
      <c r="G602" s="55">
        <f>98332+98332+117642+144570+99578+98395+103919+47284+41044+85088+94732+148928+98332</f>
        <v>1276176</v>
      </c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</row>
    <row r="603" spans="1:23">
      <c r="A603" s="49"/>
      <c r="B603" s="49"/>
      <c r="C603" s="49"/>
      <c r="D603" s="49"/>
      <c r="E603" s="49"/>
      <c r="F603" s="55"/>
      <c r="G603" s="67">
        <f>47316+144663+47316+46940+357125+98333+97971+94732+46923+123683+98364+47651+144663</f>
        <v>1395680</v>
      </c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</row>
    <row r="604" spans="1:23">
      <c r="A604" s="49"/>
      <c r="B604" s="49"/>
      <c r="C604" s="49"/>
      <c r="D604" s="49"/>
      <c r="E604" s="49"/>
      <c r="F604" s="55"/>
      <c r="G604" s="55">
        <f>98584+105229+47316+55725+44275+28118+47284+52089+98332+28118+85088+98395+132363</f>
        <v>920916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</row>
    <row r="605" spans="1:23">
      <c r="A605" s="49"/>
      <c r="B605" s="49"/>
      <c r="C605" s="49"/>
      <c r="D605" s="49"/>
      <c r="E605" s="49"/>
      <c r="F605" s="55"/>
      <c r="G605" s="55">
        <f>80684+47284+98395+57232+47284+107626+138839+47316+47316+195676+66737+98395+47284+47284+85088+98332+117642+98396+165395+47284+47316+195676+98395+98364+47316+106039</f>
        <v>2332595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</row>
    <row r="606" spans="1:23">
      <c r="A606" s="49"/>
      <c r="B606" s="49"/>
      <c r="C606" s="49"/>
      <c r="D606" s="49"/>
      <c r="E606" s="49"/>
      <c r="F606" s="55"/>
      <c r="G606" s="55">
        <f>400042+98332+59434+47284+98332+47529+106106+47316+340272+160412+47284+55028+47284+47284+185723+69673+69673+144601+47316+117017+137147</f>
        <v>2373089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</row>
    <row r="607" spans="1:23">
      <c r="A607" s="49"/>
      <c r="B607" s="49"/>
      <c r="C607" s="49"/>
      <c r="D607" s="49"/>
      <c r="E607" s="49"/>
      <c r="F607" s="55"/>
      <c r="G607" s="55">
        <f>47284+149239+47316+47316+195800+195800+98332+57194+47284+127929+190092+47529+98395+47284+182911+47284+47284+47284+47284+63067+70921+47316+106039+82454+98332+98332+244349+72947+47316+76777+106106+94732+242754+194778+98332+47651</f>
        <v>3561044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</row>
    <row r="608" spans="1:23">
      <c r="A608" s="49"/>
      <c r="B608" s="49"/>
      <c r="C608" s="49"/>
      <c r="D608" s="49"/>
      <c r="E608" s="49"/>
      <c r="F608" s="55"/>
      <c r="G608" s="55">
        <f>132448+47284+94732+47284+250491+47316+135117+219977+55418+47316+85088+47284+47316+17490+144663+144570+195676+47284+98332+200541+47316+47316+85088+47284+106039</f>
        <v>2438670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</row>
    <row r="609" spans="1:23">
      <c r="A609" s="49"/>
      <c r="B609" s="49"/>
      <c r="C609" s="49"/>
      <c r="D609" s="49"/>
      <c r="E609" s="49"/>
      <c r="F609" s="55"/>
      <c r="G609" s="55">
        <f>47560+94732+72976+85088+144570+144663+108017+94792+98395+144601+47284+47284+294233+182176+301806+259663+47316</f>
        <v>2215156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</row>
    <row r="610" spans="1:23">
      <c r="A610" s="49"/>
      <c r="B610" s="49"/>
      <c r="C610" s="49"/>
      <c r="D610" s="49"/>
      <c r="E610" s="49"/>
      <c r="F610" s="55"/>
      <c r="G610" s="55">
        <f>66737+47284+148928+47284+182114+93146+47529+42513+127848+98332+98395+47284+148928+47284+111610+245568+47284+98553+47284+47284+98332</f>
        <v>1939521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</row>
    <row r="611" spans="1:23">
      <c r="A611" s="49"/>
      <c r="B611" s="49"/>
      <c r="C611" s="49"/>
      <c r="D611" s="49"/>
      <c r="E611" s="49"/>
      <c r="F611" s="55"/>
      <c r="G611" s="55">
        <f>47284+113351+250867+47316+42513+195800+98641</f>
        <v>795772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</row>
    <row r="612" spans="1:23">
      <c r="A612" s="49"/>
      <c r="B612" s="49"/>
      <c r="C612" s="49"/>
      <c r="D612" s="49"/>
      <c r="E612" s="49"/>
      <c r="F612" s="55"/>
      <c r="G612" s="55">
        <f>115874+93206+148928+47284+47284+32238+42541+124212+47316</f>
        <v>698883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</row>
    <row r="613" spans="1:23">
      <c r="A613" s="49"/>
      <c r="B613" s="49"/>
      <c r="C613" s="49"/>
      <c r="D613" s="49"/>
      <c r="E613" s="49"/>
      <c r="F613" s="55"/>
      <c r="G613" s="55">
        <f>41044+97631+147803+97568</f>
        <v>384046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</row>
    <row r="614" spans="1:23">
      <c r="A614" s="49"/>
      <c r="B614" s="49"/>
      <c r="C614" s="49"/>
      <c r="D614" s="49"/>
      <c r="E614" s="49"/>
      <c r="F614" s="55"/>
      <c r="G614" s="55">
        <f>42513+111538+98058+82454+94343+47316+47284+41044+97568+97568+203705+66737+94343</f>
        <v>1124471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</row>
    <row r="615" spans="1:23">
      <c r="A615" s="49"/>
      <c r="B615" s="49"/>
      <c r="C615" s="49"/>
      <c r="D615" s="49"/>
      <c r="E615" s="49"/>
      <c r="F615" s="55"/>
      <c r="G615" s="55">
        <f>118033+194086+84917+216341+132458+219606</f>
        <v>965441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</row>
    <row r="616" spans="1:23">
      <c r="A616" s="49"/>
      <c r="B616" s="49"/>
      <c r="C616" s="49"/>
      <c r="D616" s="49"/>
      <c r="E616" s="49"/>
      <c r="F616" s="55"/>
      <c r="G616" s="55">
        <f>278945+86993+66737+94343+127750+42541+97568+85088</f>
        <v>879965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</row>
    <row r="617" spans="1:23">
      <c r="A617" s="49"/>
      <c r="B617" s="49"/>
      <c r="C617" s="49"/>
      <c r="D617" s="49"/>
      <c r="E617" s="49"/>
      <c r="F617" s="55"/>
      <c r="G617" s="55">
        <f>47284+47316+42513+47284+97568+287442+47316+183325+92797</f>
        <v>892845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</row>
    <row r="618" spans="1:23">
      <c r="A618" s="49"/>
      <c r="B618" s="49"/>
      <c r="C618" s="49"/>
      <c r="D618" s="49"/>
      <c r="E618" s="49"/>
      <c r="F618" s="55"/>
      <c r="G618" s="55">
        <f>47901+98058+97568+47284+47651+144570+144570</f>
        <v>627602</v>
      </c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</row>
    <row r="619" spans="1:23">
      <c r="A619" s="49"/>
      <c r="B619" s="49"/>
      <c r="C619" s="49"/>
      <c r="D619" s="49"/>
      <c r="E619" s="49"/>
      <c r="F619" s="55"/>
      <c r="G619" s="55">
        <f>47284+47284+74811+47316+47651+85088+217502+97568+97568+47316+54992+47284+47316+53931+117429+47316+94343+192174+215762+47316+82454+120578+47316+47284+27308+203705+85143+94343+233445+47284+97814+42513+57232+92857+47284+106106+122082+182114+47284+86912+47529+47284+85088+47284+126151+97568+47284+97568+359645+47284+47284</f>
        <v>4648278</v>
      </c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</row>
    <row r="620" spans="1:23">
      <c r="A620" s="49"/>
      <c r="B620" s="49"/>
      <c r="C620" s="49"/>
      <c r="D620" s="49"/>
      <c r="E620" s="49"/>
      <c r="F620" s="55"/>
      <c r="G620" s="55">
        <f>47316+42541+79270+120578+185911+97568+27990+97568+47316+97568+47316+47729+47284+47284+47284+259909+104716+82454+85088+85088+42513+162165+97568+97599+97568+97568</f>
        <v>2292759</v>
      </c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</row>
    <row r="621" spans="1:23">
      <c r="A621" s="49"/>
      <c r="B621" s="49"/>
      <c r="C621" s="49"/>
      <c r="D621" s="49"/>
      <c r="E621" s="49"/>
      <c r="F621" s="55"/>
      <c r="G621" s="55">
        <f>85088+94343+132722+47284+82454+33346+190848+97568+47284+195769+47901+97631+47529+45775</f>
        <v>1245542</v>
      </c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</row>
    <row r="622" spans="1:23">
      <c r="A622" s="49"/>
      <c r="B622" s="49"/>
      <c r="C622" s="49"/>
      <c r="D622" s="49"/>
      <c r="E622" s="49"/>
      <c r="F622" s="55"/>
      <c r="G622" s="55">
        <f>45775+54258+47316+94549+283010+45775+47316+47284+45775+45775+94549+85088+132363+47284+205753+47284+94343+97568+85088+42513+47316+47284+47284+47316</f>
        <v>1877866</v>
      </c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</row>
    <row r="623" spans="1:23">
      <c r="A623" s="49"/>
      <c r="B623" s="49"/>
      <c r="C623" s="49"/>
      <c r="D623" s="49"/>
      <c r="E623" s="49"/>
      <c r="F623" s="55"/>
      <c r="G623" s="55">
        <f>144570+131805+47284+82454+47284+47316+55028+46999+82454+82454+47284+47284+195676+144570+82454+51743+47284+47284+47284+106106+97568+47284+47284+47284+279695+77747+153906+47316+47316+47284+47284+47284+54294+69673+47316+97568+88083+47284+42541</f>
        <v>3018628</v>
      </c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</row>
    <row r="624" spans="1:23">
      <c r="A624" s="49"/>
      <c r="B624" s="49"/>
      <c r="C624" s="49"/>
      <c r="D624" s="49"/>
      <c r="E624" s="49"/>
      <c r="F624" s="55"/>
      <c r="G624" s="55">
        <f>28118+108855+121644+47284+47284+44715+155833+97568+82454+47316+69673+42541+47284+97568+97568+47316+97568+474499+97568</f>
        <v>1852656</v>
      </c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</row>
    <row r="625" spans="1:23">
      <c r="A625" s="49"/>
      <c r="B625" s="49"/>
      <c r="C625" s="49"/>
      <c r="D625" s="49"/>
      <c r="E625" s="49"/>
      <c r="F625" s="55"/>
      <c r="G625" s="55">
        <f>47316+47316+97568+97631</f>
        <v>289831</v>
      </c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</row>
    <row r="626" spans="1:23">
      <c r="A626" s="49"/>
      <c r="B626" s="49"/>
      <c r="C626" s="49"/>
      <c r="D626" s="49"/>
      <c r="E626" s="49"/>
      <c r="F626" s="55"/>
      <c r="G626" s="55">
        <f>94343+97599+97631+144570+42513+147803+47284+47901+107701+47284+42513+27971+47284+632929+174259+47284+106039+106106+47753+93787+52812+45393+45393+45393+26948+93787+327522+52812+45393</f>
        <v>2936007</v>
      </c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</row>
    <row r="627" spans="1:23">
      <c r="A627" s="49"/>
      <c r="B627" s="49"/>
      <c r="C627" s="49"/>
      <c r="D627" s="49"/>
      <c r="E627" s="49"/>
      <c r="F627" s="55"/>
      <c r="G627" s="55">
        <f>144570+47284+91696+106039+47284+47284+47529+82454+333150+47284+188424+93787+97738</f>
        <v>1374523</v>
      </c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</row>
    <row r="628" spans="1:23">
      <c r="A628" s="49"/>
      <c r="B628" s="49"/>
      <c r="C628" s="49"/>
      <c r="D628" s="49"/>
      <c r="E628" s="49"/>
      <c r="F628" s="55"/>
      <c r="G628" s="55">
        <f>94343+47284+47284+47284+97568+43278+97568+41778+98802+55387+139184</f>
        <v>809760</v>
      </c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</row>
    <row r="629" spans="1:23">
      <c r="A629" s="49"/>
      <c r="B629" s="49"/>
      <c r="C629" s="49"/>
      <c r="D629" s="49"/>
      <c r="E629" s="49"/>
      <c r="F629" s="55"/>
      <c r="G629" s="55">
        <f>57194+237566+54992+144570+47284+124212+17858+537842+474942+138751</f>
        <v>1835211</v>
      </c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</row>
    <row r="630" spans="1:23">
      <c r="A630" s="49"/>
      <c r="B630" s="49"/>
      <c r="C630" s="49"/>
      <c r="D630" s="49"/>
      <c r="E630" s="49"/>
      <c r="F630" s="55"/>
      <c r="G630" s="55">
        <f>47284+47284+51743+47284+47284+120578+97729+428311+104716+94343+118155+47284+65126+195676+97568+124212+47284</f>
        <v>1781861</v>
      </c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</row>
    <row r="631" spans="1:23">
      <c r="A631" s="49"/>
      <c r="B631" s="49"/>
      <c r="C631" s="49"/>
      <c r="D631" s="49"/>
      <c r="E631" s="49"/>
      <c r="F631" s="55"/>
      <c r="G631" s="55">
        <f>65126+43278+47284+144570+94343+97568+47284+127848+47284+47284+69673+42513+69673+196896+227194</f>
        <v>1367818</v>
      </c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</row>
    <row r="632" spans="1:23">
      <c r="A632" s="49"/>
      <c r="B632" s="49"/>
      <c r="C632" s="49"/>
      <c r="D632" s="49"/>
      <c r="E632" s="49"/>
      <c r="F632" s="55"/>
      <c r="G632" s="55">
        <f>148928+82454+54258+139903+67224+85088+94343+192453+206848+144570+47284+182114+104716+88026+116943+77014+47284+89885+57194+42513+149138</f>
        <v>2218180</v>
      </c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</row>
    <row r="633" spans="1:23">
      <c r="A633" s="49"/>
      <c r="B633" s="49"/>
      <c r="C633" s="49"/>
      <c r="D633" s="49"/>
      <c r="E633" s="49"/>
      <c r="F633" s="55"/>
      <c r="G633" s="55">
        <f>132722+97568+141417+259502+42513+47901+47284+128574+127848+47284+47284+106039+47284+88026+47284+92797+85088+69673+124212+47284+47284+41778+98803+207392+47284+85088+47284+42513+97568+97568+188424+28118+47901+47284+197679+47284+175809+47284+98301+98185+47284</f>
        <v>3663699</v>
      </c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</row>
    <row r="634" spans="1:23">
      <c r="A634" s="49"/>
      <c r="B634" s="49"/>
      <c r="C634" s="49"/>
      <c r="D634" s="49"/>
      <c r="E634" s="49"/>
      <c r="F634" s="55"/>
      <c r="G634" s="55">
        <f>88026+47284+110401+77014+77014+97568+360826+42513+97568</f>
        <v>998214</v>
      </c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</row>
    <row r="635" spans="1:23">
      <c r="A635" s="49"/>
      <c r="B635" s="49"/>
      <c r="C635" s="49"/>
      <c r="D635" s="49"/>
      <c r="E635" s="49"/>
      <c r="F635" s="55"/>
      <c r="G635" s="55">
        <f>94343+42513+137031+44076+113334+77212+84355+47284+47284+47284+82454+47284+97568+42513+42513+97568+97568+97568+106039+98185+104716+28118+121951+124212+106039</f>
        <v>2029012</v>
      </c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</row>
    <row r="636" spans="1:23">
      <c r="A636" s="49"/>
      <c r="B636" s="49"/>
      <c r="C636" s="49"/>
      <c r="D636" s="49"/>
      <c r="E636" s="49"/>
      <c r="F636" s="55"/>
      <c r="G636" s="55">
        <f>77014</f>
        <v>77014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</row>
    <row r="637" spans="1:23">
      <c r="A637" s="49"/>
      <c r="B637" s="49"/>
      <c r="C637" s="49"/>
      <c r="D637" s="49"/>
      <c r="E637" s="49"/>
      <c r="F637" s="55"/>
      <c r="G637" s="55">
        <f>318165+85088+47284+47284+94343+47284+94343+146365+85088+124212</f>
        <v>1089456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</row>
    <row r="638" spans="1:23">
      <c r="A638" s="49"/>
      <c r="B638" s="49"/>
      <c r="C638" s="49"/>
      <c r="D638" s="49"/>
      <c r="E638" s="49"/>
      <c r="F638" s="55"/>
      <c r="G638" s="55">
        <f>85088+120514+4040231+47284+77014+51321+50587+97568+42513+97568+201269+54992+94343+98185+47284+69673+77014+33346+542528</f>
        <v>5928322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</row>
    <row r="639" spans="1:23">
      <c r="A639" s="49"/>
      <c r="B639" s="49"/>
      <c r="C639" s="49"/>
      <c r="D639" s="49"/>
      <c r="E639" s="49"/>
      <c r="F639" s="55"/>
      <c r="G639" s="55">
        <f>273792+258232+47284+97568+48924+48924+48924+48924+43278+173256+106039+77014+148920+94343+48924+48924+48924+143734+94343+118074+98803+152590+97568</f>
        <v>2367306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</row>
    <row r="640" spans="1:23">
      <c r="A640" s="49"/>
      <c r="B640" s="49"/>
      <c r="C640" s="49"/>
      <c r="D640" s="49"/>
      <c r="E640" s="49"/>
      <c r="F640" s="55"/>
      <c r="G640" s="55">
        <f>97568+47284+48924+48924+48924+88026+97568+97568+587081+196420+569813+148920+48924</f>
        <v>2125944</v>
      </c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</row>
    <row r="641" spans="1:23">
      <c r="A641" s="49"/>
      <c r="B641" s="49"/>
      <c r="C641" s="49"/>
      <c r="D641" s="49"/>
      <c r="E641" s="49"/>
      <c r="F641" s="55"/>
      <c r="G641" s="55">
        <f>48924+97568+48924+44076+48924+143734+48924+44076+56124+143734+169676+94343+43278+56882+170550+97568+106039+140542+94343+48924+97568+224321+170574</f>
        <v>2239616</v>
      </c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</row>
    <row r="642" spans="1:23">
      <c r="A642" s="49"/>
      <c r="B642" s="49"/>
      <c r="C642" s="49"/>
      <c r="D642" s="49"/>
      <c r="E642" s="49"/>
      <c r="F642" s="55"/>
      <c r="G642" s="55">
        <f>48924+97568+48924+180266+48924+48924+97568+97568+233521+48924+48924+222327+148920+77014+28118+85088+48924+97568+48924+94343+48924+122112</f>
        <v>2022297</v>
      </c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</row>
    <row r="643" spans="1:23">
      <c r="A643" s="49"/>
      <c r="B643" s="49"/>
      <c r="C643" s="49"/>
      <c r="D643" s="49"/>
      <c r="E643" s="49"/>
      <c r="F643" s="55"/>
      <c r="G643" s="55">
        <f>-28700-16500-37700-32700-28700-40000-32700-16500-16500-32700</f>
        <v>-282700</v>
      </c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</row>
    <row r="644" spans="1:23">
      <c r="A644" s="49"/>
      <c r="B644" s="49"/>
      <c r="C644" s="49"/>
      <c r="D644" s="49"/>
      <c r="E644" s="49"/>
      <c r="F644" s="55"/>
      <c r="G644" s="55">
        <f>120594+91696+48924+48924+44076+94343+118600+43617+43996+48924+101218+118600+85088+97814+82454+92797+97568+48924+48924+94343+48924+130997+43996+97568+97568+97568+320111</f>
        <v>2408156</v>
      </c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</row>
    <row r="645" spans="1:23">
      <c r="A645" s="49"/>
      <c r="B645" s="49"/>
      <c r="C645" s="49"/>
      <c r="D645" s="49"/>
      <c r="E645" s="49"/>
      <c r="F645" s="55"/>
      <c r="G645" s="55">
        <f>48924+122112+48924+48924+130189+145320+97568+48924+153613+52334+97568+185225+48924+104716+48924+48924+200003+48924+48924+150163+43996+97568+48924+97568+48924+48924+48924+351233</f>
        <v>2665188</v>
      </c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</row>
    <row r="646" spans="1:23">
      <c r="A646" s="49"/>
      <c r="B646" s="49"/>
      <c r="C646" s="49"/>
      <c r="D646" s="49"/>
      <c r="E646" s="49"/>
      <c r="F646" s="55"/>
      <c r="G646" s="55">
        <f>43617+48924+48924+51656+82454+97568+70566+98058+43996+28118+203576+28118+43996+48924+97568+48924+48924+48924+97568</f>
        <v>1280403</v>
      </c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</row>
    <row r="647" spans="1:23">
      <c r="A647" s="49"/>
      <c r="B647" s="49"/>
      <c r="C647" s="49"/>
      <c r="D647" s="49"/>
      <c r="E647" s="49"/>
      <c r="F647" s="55"/>
      <c r="G647" s="55">
        <f>53527+135755+48924+104716+126960+88026+148920+153613+122112+48924+83387+106039+143439+97568+48924+48924+97568+86556</f>
        <v>1743882</v>
      </c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</row>
    <row r="648" spans="1:23">
      <c r="A648" s="49"/>
      <c r="B648" s="49"/>
      <c r="C648" s="49"/>
      <c r="D648" s="49"/>
      <c r="E648" s="49"/>
      <c r="F648" s="55"/>
      <c r="G648" s="55">
        <f>148920+170066+48924+70566+200003+48924+48924+229471+57292+48924+48924+48924+97568+97568+48924+97568+27504+97568+43996+28118</f>
        <v>1708676</v>
      </c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</row>
    <row r="649" spans="1:23">
      <c r="A649" s="49"/>
      <c r="B649" s="49"/>
      <c r="C649" s="49"/>
      <c r="D649" s="49"/>
      <c r="E649" s="49"/>
      <c r="F649" s="55"/>
      <c r="G649" s="55">
        <f>49177+106039+94343+167672+48924+97568+97568+153613+48924+70566+111603+48777+135356+97568+126151+203576+98185+82454+43996+176814+97568+94343+46269+27504+48924</f>
        <v>2373482</v>
      </c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</row>
    <row r="650" spans="1:23">
      <c r="A650" s="49"/>
      <c r="B650" s="49"/>
      <c r="C650" s="49"/>
      <c r="D650" s="49"/>
      <c r="E650" s="49"/>
      <c r="F650" s="55"/>
      <c r="G650" s="55">
        <f>130189+43996+291255+153613+148920+94343+48924+48924+322904+49562+48924+145320+48924+48924</f>
        <v>1624722</v>
      </c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</row>
    <row r="651" spans="1:23">
      <c r="A651" s="49"/>
      <c r="B651" s="49"/>
      <c r="C651" s="49"/>
      <c r="D651" s="49"/>
      <c r="E651" s="49"/>
      <c r="F651" s="55"/>
      <c r="G651" s="55">
        <f>130189+196420+48924+48924+94343+1285331+94343+44076+57292+26077+56882+75913+106039+48924+97568+48924+216613+56882+44076+48924+92797+48924+170574</f>
        <v>3138959</v>
      </c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</row>
    <row r="652" spans="1:23">
      <c r="A652" s="1" t="s">
        <v>271</v>
      </c>
      <c r="B652" s="49"/>
      <c r="C652" s="49"/>
      <c r="D652" s="49"/>
      <c r="E652" s="49"/>
      <c r="F652" s="55"/>
      <c r="G652" s="55">
        <f>148920+95016+143734+196420+66737+436586+48924+130189+99403+48924+162497+77014+148920+130189+106039+104716+49177+106039+94343+136755+48924+108462+48924+48924+69673+105671+94343+46269</f>
        <v>3101732</v>
      </c>
      <c r="H652" s="49">
        <f>57971+83172+99022+258375+30600+48870+98712+57931</f>
        <v>734653</v>
      </c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</row>
    <row r="653" spans="1:23">
      <c r="A653" s="1" t="s">
        <v>272</v>
      </c>
      <c r="B653" s="49"/>
      <c r="C653" s="49"/>
      <c r="D653" s="49"/>
      <c r="E653" s="49"/>
      <c r="F653" s="55"/>
      <c r="G653" s="381">
        <v>163121</v>
      </c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</row>
    <row r="654" spans="1:23">
      <c r="A654" s="49"/>
      <c r="B654" s="49"/>
      <c r="C654" s="49"/>
      <c r="D654" s="49"/>
      <c r="E654" s="49"/>
      <c r="F654" s="55"/>
      <c r="G654" s="36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</row>
    <row r="655" spans="1:23">
      <c r="A655" s="49"/>
      <c r="B655" s="49"/>
      <c r="C655" s="49"/>
      <c r="D655" s="49"/>
      <c r="E655" s="49"/>
      <c r="F655" s="55"/>
      <c r="G655" s="36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</row>
    <row r="656" spans="1:23">
      <c r="A656" s="49"/>
      <c r="B656" s="49"/>
      <c r="C656" s="49"/>
      <c r="D656" s="49"/>
      <c r="E656" s="49"/>
      <c r="F656" s="55"/>
      <c r="G656" s="381">
        <v>171648</v>
      </c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</row>
    <row r="657" spans="1:23">
      <c r="A657" s="49"/>
      <c r="B657" s="49"/>
      <c r="C657" s="49"/>
      <c r="D657" s="49"/>
      <c r="E657" s="49"/>
      <c r="F657" s="55"/>
      <c r="G657" s="36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</row>
    <row r="658" spans="1:23">
      <c r="A658" s="49"/>
      <c r="B658" s="49"/>
      <c r="C658" s="49"/>
      <c r="D658" s="49"/>
      <c r="E658" s="49"/>
      <c r="F658" s="55"/>
      <c r="G658" s="59">
        <v>16385</v>
      </c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</row>
    <row r="659" spans="1:23">
      <c r="A659" s="49"/>
      <c r="B659" s="49"/>
      <c r="C659" s="49"/>
      <c r="D659" s="49"/>
      <c r="E659" s="49"/>
      <c r="F659" s="55"/>
      <c r="G659" s="381">
        <v>148920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</row>
    <row r="660" spans="1:23">
      <c r="A660" s="49"/>
      <c r="B660" s="49"/>
      <c r="C660" s="49"/>
      <c r="D660" s="49"/>
      <c r="E660" s="49"/>
      <c r="F660" s="55"/>
      <c r="G660" s="36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</row>
    <row r="661" spans="1:23">
      <c r="A661" s="49"/>
      <c r="B661" s="49"/>
      <c r="C661" s="49"/>
      <c r="D661" s="49"/>
      <c r="E661" s="49"/>
      <c r="F661" s="55"/>
      <c r="G661" s="36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</row>
    <row r="662" spans="1:23">
      <c r="A662" s="49"/>
      <c r="B662" s="49"/>
      <c r="C662" s="49"/>
      <c r="D662" s="49"/>
      <c r="E662" s="49"/>
      <c r="F662" s="55"/>
      <c r="G662" s="59">
        <v>48924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</row>
    <row r="663" spans="1:23">
      <c r="A663" s="49"/>
      <c r="B663" s="49"/>
      <c r="C663" s="49"/>
      <c r="D663" s="49"/>
      <c r="E663" s="49"/>
      <c r="F663" s="55"/>
      <c r="G663" s="59">
        <v>49249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</row>
    <row r="664" spans="1:23">
      <c r="A664" s="49"/>
      <c r="B664" s="49"/>
      <c r="C664" s="49"/>
      <c r="D664" s="49"/>
      <c r="E664" s="49"/>
      <c r="F664" s="55"/>
      <c r="G664" s="59">
        <v>49249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</row>
    <row r="665" spans="1:23">
      <c r="A665" s="49"/>
      <c r="B665" s="49"/>
      <c r="C665" s="49"/>
      <c r="D665" s="49"/>
      <c r="E665" s="49"/>
      <c r="F665" s="55"/>
      <c r="G665" s="59">
        <v>85088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</row>
    <row r="666" spans="1:23">
      <c r="A666" s="49"/>
      <c r="B666" s="49"/>
      <c r="C666" s="49"/>
      <c r="D666" s="49"/>
      <c r="E666" s="49"/>
      <c r="F666" s="55"/>
      <c r="G666" s="381">
        <v>96070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</row>
    <row r="667" spans="1:23">
      <c r="A667" s="49"/>
      <c r="B667" s="49"/>
      <c r="C667" s="49"/>
      <c r="D667" s="49"/>
      <c r="E667" s="49"/>
      <c r="F667" s="55"/>
      <c r="G667" s="36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</row>
    <row r="668" spans="1:23">
      <c r="A668" s="49"/>
      <c r="B668" s="49"/>
      <c r="C668" s="49"/>
      <c r="D668" s="49"/>
      <c r="E668" s="49"/>
      <c r="F668" s="55"/>
      <c r="G668" s="36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</row>
    <row r="669" spans="1:23">
      <c r="A669" s="49"/>
      <c r="B669" s="49"/>
      <c r="C669" s="49"/>
      <c r="D669" s="49"/>
      <c r="E669" s="49"/>
      <c r="F669" s="55"/>
      <c r="G669" s="59">
        <v>43996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</row>
    <row r="670" spans="1:23">
      <c r="A670" s="49"/>
      <c r="B670" s="49"/>
      <c r="C670" s="49"/>
      <c r="D670" s="49"/>
      <c r="E670" s="49"/>
      <c r="F670" s="55"/>
      <c r="G670" s="59">
        <v>28313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</row>
    <row r="671" spans="1:23">
      <c r="A671" s="49"/>
      <c r="B671" s="49"/>
      <c r="C671" s="49"/>
      <c r="D671" s="49"/>
      <c r="E671" s="49"/>
      <c r="F671" s="55"/>
      <c r="G671" s="59">
        <v>71021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</row>
    <row r="672" spans="1:23">
      <c r="A672" s="49"/>
      <c r="B672" s="49"/>
      <c r="C672" s="49"/>
      <c r="D672" s="49"/>
      <c r="E672" s="49"/>
      <c r="F672" s="55"/>
      <c r="G672" s="59">
        <v>71021</v>
      </c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</row>
    <row r="673" spans="1:23">
      <c r="A673" s="49"/>
      <c r="B673" s="49"/>
      <c r="C673" s="49"/>
      <c r="D673" s="49"/>
      <c r="E673" s="49"/>
      <c r="F673" s="55"/>
      <c r="G673" s="381">
        <v>105671</v>
      </c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</row>
    <row r="674" spans="1:23">
      <c r="A674" s="49"/>
      <c r="B674" s="49"/>
      <c r="C674" s="49"/>
      <c r="D674" s="49"/>
      <c r="E674" s="49"/>
      <c r="F674" s="55"/>
      <c r="G674" s="36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</row>
    <row r="675" spans="1:23">
      <c r="A675" s="49"/>
      <c r="B675" s="49"/>
      <c r="C675" s="49"/>
      <c r="D675" s="49"/>
      <c r="E675" s="49"/>
      <c r="F675" s="55"/>
      <c r="G675" s="36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</row>
    <row r="676" spans="1:23">
      <c r="A676" s="49"/>
      <c r="B676" s="49"/>
      <c r="C676" s="49"/>
      <c r="D676" s="49"/>
      <c r="E676" s="49"/>
      <c r="F676" s="55"/>
      <c r="G676" s="59">
        <v>49249</v>
      </c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</row>
    <row r="677" spans="1:23">
      <c r="A677" s="49"/>
      <c r="B677" s="49"/>
      <c r="C677" s="49"/>
      <c r="D677" s="49"/>
      <c r="E677" s="49"/>
      <c r="F677" s="55"/>
      <c r="G677" s="59">
        <v>48924</v>
      </c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</row>
    <row r="678" spans="1:23">
      <c r="A678" s="49"/>
      <c r="B678" s="49"/>
      <c r="C678" s="49"/>
      <c r="D678" s="49"/>
      <c r="E678" s="49"/>
      <c r="F678" s="55"/>
      <c r="G678" s="381">
        <v>97568</v>
      </c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</row>
    <row r="679" spans="1:23">
      <c r="A679" s="49"/>
      <c r="B679" s="49"/>
      <c r="C679" s="49"/>
      <c r="D679" s="49"/>
      <c r="E679" s="49"/>
      <c r="F679" s="55"/>
      <c r="G679" s="36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</row>
    <row r="680" spans="1:23">
      <c r="A680" s="49"/>
      <c r="B680" s="49"/>
      <c r="C680" s="49"/>
      <c r="D680" s="49"/>
      <c r="E680" s="49"/>
      <c r="F680" s="55"/>
      <c r="G680" s="59">
        <v>49249</v>
      </c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</row>
    <row r="681" spans="1:23">
      <c r="A681" s="49"/>
      <c r="B681" s="49"/>
      <c r="C681" s="49"/>
      <c r="D681" s="49"/>
      <c r="E681" s="49"/>
      <c r="F681" s="55"/>
      <c r="G681" s="59">
        <v>44371</v>
      </c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</row>
    <row r="682" spans="1:23">
      <c r="A682" s="49"/>
      <c r="B682" s="49"/>
      <c r="C682" s="49"/>
      <c r="D682" s="49"/>
      <c r="E682" s="49"/>
      <c r="F682" s="55"/>
      <c r="G682" s="59">
        <v>71021</v>
      </c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</row>
    <row r="683" spans="1:23">
      <c r="A683" s="49"/>
      <c r="B683" s="49"/>
      <c r="C683" s="49"/>
      <c r="D683" s="49"/>
      <c r="E683" s="49"/>
      <c r="F683" s="55"/>
      <c r="G683" s="59">
        <v>48924</v>
      </c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</row>
    <row r="684" spans="1:23">
      <c r="A684" s="49"/>
      <c r="B684" s="49"/>
      <c r="C684" s="49"/>
      <c r="D684" s="49"/>
      <c r="E684" s="49"/>
      <c r="F684" s="55"/>
      <c r="G684" s="381">
        <v>258234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</row>
    <row r="685" spans="1:23">
      <c r="A685" s="49"/>
      <c r="B685" s="49"/>
      <c r="C685" s="49"/>
      <c r="D685" s="49"/>
      <c r="E685" s="49"/>
      <c r="F685" s="55"/>
      <c r="G685" s="36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</row>
    <row r="686" spans="1:23">
      <c r="A686" s="49"/>
      <c r="B686" s="49"/>
      <c r="C686" s="49"/>
      <c r="D686" s="49"/>
      <c r="E686" s="49"/>
      <c r="F686" s="55"/>
      <c r="G686" s="36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</row>
    <row r="687" spans="1:23">
      <c r="A687" s="49"/>
      <c r="B687" s="49"/>
      <c r="C687" s="49"/>
      <c r="D687" s="49"/>
      <c r="E687" s="49"/>
      <c r="F687" s="55"/>
      <c r="G687" s="36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</row>
    <row r="688" spans="1:23">
      <c r="A688" s="49"/>
      <c r="B688" s="49"/>
      <c r="C688" s="49"/>
      <c r="D688" s="49"/>
      <c r="E688" s="49"/>
      <c r="F688" s="55"/>
      <c r="G688" s="36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</row>
    <row r="689" spans="1:23">
      <c r="A689" s="49"/>
      <c r="B689" s="49"/>
      <c r="C689" s="49"/>
      <c r="D689" s="49"/>
      <c r="E689" s="49"/>
      <c r="F689" s="55"/>
      <c r="G689" s="59">
        <v>49249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</row>
    <row r="690" spans="1:23">
      <c r="A690" s="49"/>
      <c r="B690" s="49"/>
      <c r="C690" s="49"/>
      <c r="D690" s="49"/>
      <c r="E690" s="49"/>
      <c r="F690" s="55"/>
      <c r="G690" s="381">
        <v>534861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</row>
    <row r="691" spans="1:23">
      <c r="A691" s="49"/>
      <c r="B691" s="49"/>
      <c r="C691" s="49"/>
      <c r="D691" s="49"/>
      <c r="E691" s="49"/>
      <c r="F691" s="55"/>
      <c r="G691" s="36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</row>
    <row r="692" spans="1:23">
      <c r="A692" s="49"/>
      <c r="B692" s="49"/>
      <c r="C692" s="49"/>
      <c r="D692" s="49"/>
      <c r="E692" s="49"/>
      <c r="F692" s="55"/>
      <c r="G692" s="36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</row>
    <row r="693" spans="1:23">
      <c r="A693" s="49"/>
      <c r="B693" s="49"/>
      <c r="C693" s="49"/>
      <c r="D693" s="49"/>
      <c r="E693" s="49"/>
      <c r="F693" s="55"/>
      <c r="G693" s="36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</row>
    <row r="694" spans="1:23">
      <c r="A694" s="49"/>
      <c r="B694" s="49"/>
      <c r="C694" s="49"/>
      <c r="D694" s="49"/>
      <c r="E694" s="49"/>
      <c r="F694" s="55"/>
      <c r="G694" s="36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</row>
    <row r="695" spans="1:23">
      <c r="A695" s="49"/>
      <c r="B695" s="49"/>
      <c r="C695" s="49"/>
      <c r="D695" s="49"/>
      <c r="E695" s="49"/>
      <c r="F695" s="55"/>
      <c r="G695" s="59">
        <v>33571</v>
      </c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</row>
    <row r="696" spans="1:23">
      <c r="A696" s="49"/>
      <c r="B696" s="49"/>
      <c r="C696" s="49"/>
      <c r="D696" s="49"/>
      <c r="E696" s="49"/>
      <c r="F696" s="55"/>
      <c r="G696" s="381">
        <v>74697</v>
      </c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</row>
    <row r="697" spans="1:23">
      <c r="A697" s="49"/>
      <c r="B697" s="49"/>
      <c r="C697" s="49"/>
      <c r="D697" s="49"/>
      <c r="E697" s="49"/>
      <c r="F697" s="55"/>
      <c r="G697" s="36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</row>
    <row r="698" spans="1:23">
      <c r="A698" s="49"/>
      <c r="B698" s="49"/>
      <c r="C698" s="49"/>
      <c r="D698" s="49"/>
      <c r="E698" s="49"/>
      <c r="F698" s="55"/>
      <c r="G698" s="59">
        <v>27920</v>
      </c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</row>
    <row r="699" spans="1:23">
      <c r="A699" s="49"/>
      <c r="B699" s="49"/>
      <c r="C699" s="49"/>
      <c r="D699" s="49"/>
      <c r="E699" s="49"/>
      <c r="F699" s="55"/>
      <c r="G699" s="59">
        <v>49249</v>
      </c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</row>
    <row r="700" spans="1:23">
      <c r="A700" s="49"/>
      <c r="B700" s="49"/>
      <c r="C700" s="49"/>
      <c r="D700" s="49"/>
      <c r="E700" s="49"/>
      <c r="F700" s="55"/>
      <c r="G700" s="59">
        <v>134228</v>
      </c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</row>
    <row r="701" spans="1:23">
      <c r="A701" s="49"/>
      <c r="B701" s="49"/>
      <c r="C701" s="49"/>
      <c r="D701" s="49"/>
      <c r="E701" s="49"/>
      <c r="F701" s="55"/>
      <c r="G701" s="381">
        <v>232000</v>
      </c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</row>
    <row r="702" spans="1:23">
      <c r="A702" s="49"/>
      <c r="B702" s="49"/>
      <c r="C702" s="49"/>
      <c r="D702" s="49"/>
      <c r="E702" s="49"/>
      <c r="F702" s="55"/>
      <c r="G702" s="36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</row>
    <row r="703" spans="1:23">
      <c r="A703" s="49"/>
      <c r="B703" s="49"/>
      <c r="C703" s="49"/>
      <c r="D703" s="49"/>
      <c r="E703" s="49"/>
      <c r="F703" s="55"/>
      <c r="G703" s="36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</row>
    <row r="704" spans="1:23">
      <c r="A704" s="49"/>
      <c r="B704" s="49"/>
      <c r="C704" s="49"/>
      <c r="D704" s="49"/>
      <c r="E704" s="49"/>
      <c r="F704" s="55"/>
      <c r="G704" s="59">
        <v>71021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</row>
    <row r="705" spans="1:23">
      <c r="A705" s="49"/>
      <c r="B705" s="49"/>
      <c r="C705" s="49"/>
      <c r="D705" s="49"/>
      <c r="E705" s="49"/>
      <c r="F705" s="55"/>
      <c r="G705" s="59">
        <v>48924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</row>
    <row r="706" spans="1:23">
      <c r="A706" s="49"/>
      <c r="B706" s="49"/>
      <c r="C706" s="49"/>
      <c r="D706" s="49"/>
      <c r="E706" s="49"/>
      <c r="F706" s="55"/>
      <c r="G706" s="59">
        <v>49249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</row>
    <row r="707" spans="1:23">
      <c r="A707" s="49"/>
      <c r="B707" s="49"/>
      <c r="C707" s="49"/>
      <c r="D707" s="49"/>
      <c r="E707" s="49"/>
      <c r="F707" s="55"/>
      <c r="G707" s="381">
        <v>200000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</row>
    <row r="708" spans="1:23">
      <c r="A708" s="49"/>
      <c r="B708" s="49"/>
      <c r="C708" s="49"/>
      <c r="D708" s="49"/>
      <c r="E708" s="49"/>
      <c r="F708" s="55"/>
      <c r="G708" s="36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</row>
    <row r="709" spans="1:23">
      <c r="A709" s="49"/>
      <c r="B709" s="49"/>
      <c r="C709" s="49"/>
      <c r="D709" s="49"/>
      <c r="E709" s="49"/>
      <c r="F709" s="55"/>
      <c r="G709" s="36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</row>
    <row r="710" spans="1:23">
      <c r="A710" s="49"/>
      <c r="B710" s="49"/>
      <c r="C710" s="49"/>
      <c r="D710" s="49"/>
      <c r="E710" s="49"/>
      <c r="F710" s="55"/>
      <c r="G710" s="36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</row>
    <row r="711" spans="1:23">
      <c r="A711" s="49"/>
      <c r="B711" s="49"/>
      <c r="C711" s="49"/>
      <c r="D711" s="49"/>
      <c r="E711" s="49"/>
      <c r="F711" s="55"/>
      <c r="G711" s="36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</row>
    <row r="712" spans="1:23">
      <c r="A712" s="49"/>
      <c r="B712" s="49"/>
      <c r="C712" s="49"/>
      <c r="D712" s="49"/>
      <c r="E712" s="49"/>
      <c r="F712" s="55"/>
      <c r="G712" s="36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</row>
    <row r="713" spans="1:23">
      <c r="A713" s="49"/>
      <c r="B713" s="49"/>
      <c r="C713" s="49"/>
      <c r="D713" s="49"/>
      <c r="E713" s="49"/>
      <c r="F713" s="55"/>
      <c r="G713" s="59">
        <v>49249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</row>
    <row r="714" spans="1:23">
      <c r="A714" s="49"/>
      <c r="B714" s="49"/>
      <c r="C714" s="49"/>
      <c r="D714" s="49"/>
      <c r="E714" s="49"/>
      <c r="F714" s="55"/>
      <c r="G714" s="381">
        <v>145642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</row>
    <row r="715" spans="1:23">
      <c r="A715" s="49"/>
      <c r="B715" s="49"/>
      <c r="C715" s="49"/>
      <c r="D715" s="49"/>
      <c r="E715" s="49"/>
      <c r="F715" s="55"/>
      <c r="G715" s="36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</row>
    <row r="716" spans="1:23">
      <c r="A716" s="49"/>
      <c r="B716" s="49"/>
      <c r="C716" s="49"/>
      <c r="D716" s="49"/>
      <c r="E716" s="49"/>
      <c r="F716" s="55"/>
      <c r="G716" s="59">
        <v>44371</v>
      </c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</row>
    <row r="717" spans="1:23">
      <c r="A717" s="49"/>
      <c r="B717" s="49"/>
      <c r="C717" s="49"/>
      <c r="D717" s="49"/>
      <c r="E717" s="49"/>
      <c r="F717" s="55"/>
      <c r="G717" s="59">
        <v>82983</v>
      </c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</row>
    <row r="718" spans="1:23">
      <c r="A718" s="49"/>
      <c r="B718" s="49"/>
      <c r="C718" s="49"/>
      <c r="D718" s="49"/>
      <c r="E718" s="49"/>
      <c r="F718" s="55"/>
      <c r="G718" s="381">
        <v>97568</v>
      </c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</row>
    <row r="719" spans="1:23">
      <c r="A719" s="49"/>
      <c r="B719" s="49"/>
      <c r="C719" s="49"/>
      <c r="D719" s="49"/>
      <c r="E719" s="49"/>
      <c r="F719" s="55"/>
      <c r="G719" s="36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</row>
    <row r="720" spans="1:23">
      <c r="A720" s="49"/>
      <c r="B720" s="49"/>
      <c r="C720" s="49"/>
      <c r="D720" s="49"/>
      <c r="E720" s="49"/>
      <c r="F720" s="55"/>
      <c r="G720" s="59">
        <v>49249</v>
      </c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</row>
    <row r="721" spans="1:23">
      <c r="A721" s="49"/>
      <c r="B721" s="49"/>
      <c r="C721" s="49"/>
      <c r="D721" s="49"/>
      <c r="E721" s="49"/>
      <c r="F721" s="55"/>
      <c r="G721" s="59">
        <v>28313</v>
      </c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</row>
    <row r="722" spans="1:23">
      <c r="A722" s="49"/>
      <c r="B722" s="49"/>
      <c r="C722" s="49"/>
      <c r="D722" s="49"/>
      <c r="E722" s="49"/>
      <c r="F722" s="55"/>
      <c r="G722" s="59">
        <v>49249</v>
      </c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</row>
    <row r="723" spans="1:23">
      <c r="A723" s="49"/>
      <c r="B723" s="49"/>
      <c r="C723" s="49"/>
      <c r="D723" s="49"/>
      <c r="E723" s="49"/>
      <c r="F723" s="55"/>
      <c r="G723" s="59">
        <v>49249</v>
      </c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</row>
    <row r="724" spans="1:23">
      <c r="A724" s="49"/>
      <c r="B724" s="49"/>
      <c r="C724" s="49"/>
      <c r="D724" s="49"/>
      <c r="E724" s="49"/>
      <c r="F724" s="55"/>
      <c r="G724" s="59">
        <v>131013</v>
      </c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</row>
    <row r="725" spans="1:23">
      <c r="A725" s="49"/>
      <c r="B725" s="49"/>
      <c r="C725" s="49"/>
      <c r="D725" s="49"/>
      <c r="E725" s="49"/>
      <c r="F725" s="55"/>
      <c r="G725" s="59">
        <v>71021</v>
      </c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</row>
    <row r="726" spans="1:23">
      <c r="A726" s="49"/>
      <c r="B726" s="49"/>
      <c r="C726" s="49"/>
      <c r="D726" s="49"/>
      <c r="E726" s="49"/>
      <c r="F726" s="55"/>
      <c r="G726" s="59">
        <v>49249</v>
      </c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</row>
    <row r="727" spans="1:23">
      <c r="A727" s="49"/>
      <c r="B727" s="49"/>
      <c r="C727" s="49"/>
      <c r="D727" s="49"/>
      <c r="E727" s="49"/>
      <c r="F727" s="55"/>
      <c r="G727" s="381">
        <v>146242</v>
      </c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</row>
    <row r="728" spans="1:23">
      <c r="A728" s="49"/>
      <c r="B728" s="49"/>
      <c r="C728" s="49"/>
      <c r="D728" s="49"/>
      <c r="E728" s="49"/>
      <c r="F728" s="55"/>
      <c r="G728" s="36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</row>
    <row r="729" spans="1:23">
      <c r="A729" s="49"/>
      <c r="B729" s="49"/>
      <c r="C729" s="49"/>
      <c r="D729" s="49"/>
      <c r="E729" s="49"/>
      <c r="F729" s="55"/>
      <c r="G729" s="59">
        <v>49249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</row>
    <row r="730" spans="1:23">
      <c r="A730" s="49"/>
      <c r="B730" s="49"/>
      <c r="C730" s="49"/>
      <c r="D730" s="49"/>
      <c r="E730" s="49"/>
      <c r="F730" s="55"/>
      <c r="G730" s="381">
        <v>98198</v>
      </c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</row>
    <row r="731" spans="1:23">
      <c r="A731" s="49"/>
      <c r="B731" s="49"/>
      <c r="C731" s="49"/>
      <c r="D731" s="49"/>
      <c r="E731" s="49"/>
      <c r="F731" s="55"/>
      <c r="G731" s="36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</row>
    <row r="732" spans="1:23">
      <c r="A732" s="49"/>
      <c r="B732" s="49"/>
      <c r="C732" s="49"/>
      <c r="D732" s="49"/>
      <c r="E732" s="49"/>
      <c r="F732" s="55"/>
      <c r="G732" s="59">
        <v>85640</v>
      </c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</row>
    <row r="733" spans="1:23">
      <c r="A733" s="49"/>
      <c r="B733" s="49"/>
      <c r="C733" s="49"/>
      <c r="D733" s="49"/>
      <c r="E733" s="49"/>
      <c r="F733" s="55"/>
      <c r="G733" s="59">
        <v>118823</v>
      </c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</row>
    <row r="734" spans="1:23">
      <c r="A734" s="49"/>
      <c r="B734" s="49"/>
      <c r="C734" s="49"/>
      <c r="D734" s="49"/>
      <c r="E734" s="49"/>
      <c r="F734" s="55"/>
      <c r="G734" s="59">
        <v>122886</v>
      </c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</row>
    <row r="735" spans="1:23">
      <c r="A735" s="49"/>
      <c r="B735" s="49"/>
      <c r="C735" s="49"/>
      <c r="D735" s="49"/>
      <c r="E735" s="49"/>
      <c r="F735" s="55"/>
      <c r="G735" s="381">
        <v>127244</v>
      </c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</row>
    <row r="736" spans="1:23">
      <c r="A736" s="49"/>
      <c r="B736" s="49"/>
      <c r="C736" s="49"/>
      <c r="D736" s="49"/>
      <c r="E736" s="49"/>
      <c r="F736" s="55"/>
      <c r="G736" s="36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</row>
    <row r="737" spans="1:23">
      <c r="A737" s="49"/>
      <c r="B737" s="49"/>
      <c r="C737" s="49"/>
      <c r="D737" s="49"/>
      <c r="E737" s="49"/>
      <c r="F737" s="55"/>
      <c r="G737" s="59">
        <v>44371</v>
      </c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</row>
    <row r="738" spans="1:23">
      <c r="A738" s="49"/>
      <c r="B738" s="49"/>
      <c r="C738" s="49"/>
      <c r="D738" s="49"/>
      <c r="E738" s="49"/>
      <c r="F738" s="55"/>
      <c r="G738" s="59">
        <v>49249</v>
      </c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</row>
    <row r="739" spans="1:23">
      <c r="A739" s="49"/>
      <c r="B739" s="49"/>
      <c r="C739" s="49"/>
      <c r="D739" s="49"/>
      <c r="E739" s="49"/>
      <c r="F739" s="55"/>
      <c r="G739" s="381">
        <v>98198</v>
      </c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</row>
    <row r="740" spans="1:23">
      <c r="A740" s="49"/>
      <c r="B740" s="49"/>
      <c r="C740" s="49"/>
      <c r="D740" s="49"/>
      <c r="E740" s="49"/>
      <c r="F740" s="55"/>
      <c r="G740" s="36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</row>
    <row r="741" spans="1:23">
      <c r="A741" s="49"/>
      <c r="B741" s="49"/>
      <c r="C741" s="49"/>
      <c r="D741" s="49"/>
      <c r="E741" s="49"/>
      <c r="F741" s="55"/>
      <c r="G741" s="59">
        <v>28313</v>
      </c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</row>
    <row r="742" spans="1:23">
      <c r="A742" s="49"/>
      <c r="B742" s="49"/>
      <c r="C742" s="49"/>
      <c r="D742" s="49"/>
      <c r="E742" s="49"/>
      <c r="F742" s="55"/>
      <c r="G742" s="381">
        <v>98198</v>
      </c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</row>
    <row r="743" spans="1:23">
      <c r="A743" s="49"/>
      <c r="B743" s="49"/>
      <c r="C743" s="49"/>
      <c r="D743" s="49"/>
      <c r="E743" s="49"/>
      <c r="F743" s="55"/>
      <c r="G743" s="36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</row>
    <row r="744" spans="1:23">
      <c r="A744" s="49"/>
      <c r="B744" s="49"/>
      <c r="C744" s="49"/>
      <c r="D744" s="49"/>
      <c r="E744" s="49"/>
      <c r="F744" s="55"/>
      <c r="G744" s="381">
        <v>425113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</row>
    <row r="745" spans="1:23">
      <c r="A745" s="49"/>
      <c r="B745" s="49"/>
      <c r="C745" s="49"/>
      <c r="D745" s="49"/>
      <c r="E745" s="49"/>
      <c r="F745" s="55"/>
      <c r="G745" s="36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</row>
    <row r="746" spans="1:23">
      <c r="A746" s="49"/>
      <c r="B746" s="49"/>
      <c r="C746" s="49"/>
      <c r="D746" s="49"/>
      <c r="E746" s="49"/>
      <c r="F746" s="55"/>
      <c r="G746" s="36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</row>
    <row r="747" spans="1:23">
      <c r="A747" s="49"/>
      <c r="B747" s="49"/>
      <c r="C747" s="49"/>
      <c r="D747" s="49"/>
      <c r="E747" s="49"/>
      <c r="F747" s="55"/>
      <c r="G747" s="36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</row>
    <row r="748" spans="1:23">
      <c r="A748" s="49"/>
      <c r="B748" s="49"/>
      <c r="C748" s="49"/>
      <c r="D748" s="49"/>
      <c r="E748" s="49"/>
      <c r="F748" s="55"/>
      <c r="G748" s="36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</row>
    <row r="749" spans="1:23">
      <c r="A749" s="49"/>
      <c r="B749" s="49"/>
      <c r="C749" s="49"/>
      <c r="D749" s="49"/>
      <c r="E749" s="49"/>
      <c r="F749" s="55"/>
      <c r="G749" s="59">
        <v>44290</v>
      </c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</row>
    <row r="750" spans="1:23">
      <c r="A750" s="49"/>
      <c r="B750" s="49"/>
      <c r="C750" s="49"/>
      <c r="D750" s="49"/>
      <c r="E750" s="49"/>
      <c r="F750" s="55"/>
      <c r="G750" s="59">
        <v>49249</v>
      </c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</row>
    <row r="751" spans="1:23">
      <c r="A751" s="49"/>
      <c r="B751" s="49"/>
      <c r="C751" s="49"/>
      <c r="D751" s="49"/>
      <c r="E751" s="49"/>
      <c r="F751" s="55"/>
      <c r="G751" s="381">
        <f>SUM(F751:F756)*80%</f>
        <v>0</v>
      </c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</row>
    <row r="752" spans="1:23">
      <c r="A752" s="49"/>
      <c r="B752" s="49"/>
      <c r="C752" s="49"/>
      <c r="D752" s="49"/>
      <c r="E752" s="49"/>
      <c r="F752" s="55"/>
      <c r="G752" s="36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</row>
    <row r="753" spans="1:23">
      <c r="A753" s="49"/>
      <c r="B753" s="49"/>
      <c r="C753" s="49"/>
      <c r="D753" s="49"/>
      <c r="E753" s="49"/>
      <c r="F753" s="55"/>
      <c r="G753" s="36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</row>
    <row r="754" spans="1:23">
      <c r="A754" s="49"/>
      <c r="B754" s="49"/>
      <c r="C754" s="49"/>
      <c r="D754" s="49"/>
      <c r="E754" s="49"/>
      <c r="F754" s="55"/>
      <c r="G754" s="36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</row>
    <row r="755" spans="1:23">
      <c r="A755" s="49"/>
      <c r="B755" s="49"/>
      <c r="C755" s="49"/>
      <c r="D755" s="49"/>
      <c r="E755" s="49"/>
      <c r="F755" s="55"/>
      <c r="G755" s="36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</row>
    <row r="756" spans="1:23">
      <c r="A756" s="49"/>
      <c r="B756" s="49"/>
      <c r="C756" s="49"/>
      <c r="D756" s="49"/>
      <c r="E756" s="49"/>
      <c r="F756" s="55"/>
      <c r="G756" s="36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</row>
    <row r="757" spans="1:23">
      <c r="A757" s="49"/>
      <c r="B757" s="49"/>
      <c r="C757" s="49"/>
      <c r="D757" s="49"/>
      <c r="E757" s="49"/>
      <c r="F757" s="55"/>
      <c r="G757" s="381">
        <v>88596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</row>
    <row r="758" spans="1:23">
      <c r="A758" s="49"/>
      <c r="B758" s="49"/>
      <c r="C758" s="49"/>
      <c r="D758" s="49"/>
      <c r="E758" s="49"/>
      <c r="F758" s="55"/>
      <c r="G758" s="36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</row>
    <row r="759" spans="1:23">
      <c r="A759" s="49"/>
      <c r="B759" s="49"/>
      <c r="C759" s="49"/>
      <c r="D759" s="49"/>
      <c r="E759" s="49"/>
      <c r="F759" s="55"/>
      <c r="G759" s="59">
        <v>49249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</row>
    <row r="760" spans="1:23">
      <c r="A760" s="49"/>
      <c r="B760" s="49"/>
      <c r="C760" s="49"/>
      <c r="D760" s="49"/>
      <c r="E760" s="49"/>
      <c r="F760" s="55"/>
      <c r="G760" s="381">
        <v>98684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</row>
    <row r="761" spans="1:23">
      <c r="A761" s="49"/>
      <c r="B761" s="49"/>
      <c r="C761" s="49"/>
      <c r="D761" s="49"/>
      <c r="E761" s="49"/>
      <c r="F761" s="55"/>
      <c r="G761" s="36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</row>
    <row r="762" spans="1:23">
      <c r="A762" s="49"/>
      <c r="B762" s="49"/>
      <c r="C762" s="49"/>
      <c r="D762" s="49"/>
      <c r="E762" s="49"/>
      <c r="F762" s="55"/>
      <c r="G762" s="59">
        <v>94946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</row>
    <row r="763" spans="1:23">
      <c r="A763" s="49"/>
      <c r="B763" s="49"/>
      <c r="C763" s="49"/>
      <c r="D763" s="49"/>
      <c r="E763" s="49"/>
      <c r="F763" s="55"/>
      <c r="G763" s="59">
        <v>82983</v>
      </c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</row>
    <row r="764" spans="1:23">
      <c r="A764" s="49"/>
      <c r="B764" s="49"/>
      <c r="C764" s="49"/>
      <c r="D764" s="49"/>
      <c r="E764" s="49"/>
      <c r="F764" s="55"/>
      <c r="G764" s="381">
        <f>547500</f>
        <v>547500</v>
      </c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</row>
    <row r="765" spans="1:23">
      <c r="A765" s="49"/>
      <c r="B765" s="49"/>
      <c r="C765" s="49"/>
      <c r="D765" s="49"/>
      <c r="E765" s="49"/>
      <c r="F765" s="55"/>
      <c r="G765" s="36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</row>
    <row r="766" spans="1:23">
      <c r="A766" s="49"/>
      <c r="B766" s="49"/>
      <c r="C766" s="49"/>
      <c r="D766" s="49"/>
      <c r="E766" s="49"/>
      <c r="F766" s="55"/>
      <c r="G766" s="36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</row>
    <row r="767" spans="1:23">
      <c r="A767" s="49"/>
      <c r="B767" s="49"/>
      <c r="C767" s="49"/>
      <c r="D767" s="49"/>
      <c r="E767" s="49"/>
      <c r="F767" s="55"/>
      <c r="G767" s="36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</row>
    <row r="768" spans="1:23">
      <c r="A768" s="49"/>
      <c r="B768" s="49"/>
      <c r="C768" s="49"/>
      <c r="D768" s="49"/>
      <c r="E768" s="49"/>
      <c r="F768" s="55"/>
      <c r="G768" s="36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</row>
    <row r="769" spans="1:23">
      <c r="A769" s="49"/>
      <c r="B769" s="49"/>
      <c r="C769" s="49"/>
      <c r="D769" s="49"/>
      <c r="E769" s="49"/>
      <c r="F769" s="55"/>
      <c r="G769" s="36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</row>
    <row r="770" spans="1:23">
      <c r="A770" s="49"/>
      <c r="B770" s="49"/>
      <c r="C770" s="49"/>
      <c r="D770" s="49"/>
      <c r="E770" s="49"/>
      <c r="F770" s="55"/>
      <c r="G770" s="381">
        <v>98198</v>
      </c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</row>
    <row r="771" spans="1:23">
      <c r="A771" s="49"/>
      <c r="B771" s="49"/>
      <c r="C771" s="49"/>
      <c r="D771" s="49"/>
      <c r="E771" s="49"/>
      <c r="F771" s="55"/>
      <c r="G771" s="36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</row>
    <row r="772" spans="1:23">
      <c r="A772" s="49"/>
      <c r="B772" s="49"/>
      <c r="C772" s="49"/>
      <c r="D772" s="49"/>
      <c r="E772" s="49"/>
      <c r="F772" s="55"/>
      <c r="G772" s="381">
        <v>93397</v>
      </c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</row>
    <row r="773" spans="1:23">
      <c r="A773" s="49"/>
      <c r="B773" s="49"/>
      <c r="C773" s="49"/>
      <c r="D773" s="49"/>
      <c r="E773" s="49"/>
      <c r="F773" s="55"/>
      <c r="G773" s="36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</row>
    <row r="774" spans="1:23">
      <c r="A774" s="49"/>
      <c r="B774" s="49"/>
      <c r="C774" s="49"/>
      <c r="D774" s="49"/>
      <c r="E774" s="49"/>
      <c r="F774" s="55"/>
      <c r="G774" s="381">
        <v>98198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</row>
    <row r="775" spans="1:23">
      <c r="A775" s="49"/>
      <c r="B775" s="49"/>
      <c r="C775" s="49"/>
      <c r="D775" s="49"/>
      <c r="E775" s="49"/>
      <c r="F775" s="55"/>
      <c r="G775" s="36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</row>
    <row r="776" spans="1:23">
      <c r="A776" s="49"/>
      <c r="B776" s="49"/>
      <c r="C776" s="49"/>
      <c r="D776" s="49"/>
      <c r="E776" s="49"/>
      <c r="F776" s="55"/>
      <c r="G776" s="381">
        <v>353649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</row>
    <row r="777" spans="1:23">
      <c r="A777" s="49"/>
      <c r="B777" s="49"/>
      <c r="C777" s="49"/>
      <c r="D777" s="49"/>
      <c r="E777" s="49"/>
      <c r="F777" s="55"/>
      <c r="G777" s="36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</row>
    <row r="778" spans="1:23">
      <c r="A778" s="49"/>
      <c r="B778" s="49"/>
      <c r="C778" s="49"/>
      <c r="D778" s="49"/>
      <c r="E778" s="49"/>
      <c r="F778" s="55"/>
      <c r="G778" s="36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</row>
    <row r="779" spans="1:23">
      <c r="A779" s="49"/>
      <c r="B779" s="49"/>
      <c r="C779" s="49"/>
      <c r="D779" s="49"/>
      <c r="E779" s="49"/>
      <c r="F779" s="55"/>
      <c r="G779" s="36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</row>
    <row r="780" spans="1:23">
      <c r="A780" s="49"/>
      <c r="B780" s="49"/>
      <c r="C780" s="49"/>
      <c r="D780" s="49"/>
      <c r="E780" s="49"/>
      <c r="F780" s="55"/>
      <c r="G780" s="36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</row>
    <row r="781" spans="1:23">
      <c r="A781" s="49"/>
      <c r="B781" s="49"/>
      <c r="C781" s="49"/>
      <c r="D781" s="49"/>
      <c r="E781" s="49"/>
      <c r="F781" s="55"/>
      <c r="G781" s="381">
        <v>200952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</row>
    <row r="782" spans="1:23">
      <c r="A782" s="49"/>
      <c r="B782" s="49"/>
      <c r="C782" s="49"/>
      <c r="D782" s="49"/>
      <c r="E782" s="49"/>
      <c r="F782" s="55"/>
      <c r="G782" s="36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</row>
    <row r="783" spans="1:23">
      <c r="A783" s="49"/>
      <c r="B783" s="49"/>
      <c r="C783" s="49"/>
      <c r="D783" s="49"/>
      <c r="E783" s="49"/>
      <c r="F783" s="55"/>
      <c r="G783" s="381">
        <v>186053</v>
      </c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</row>
    <row r="784" spans="1:23">
      <c r="A784" s="49"/>
      <c r="B784" s="49"/>
      <c r="C784" s="49"/>
      <c r="D784" s="49"/>
      <c r="E784" s="49"/>
      <c r="F784" s="55"/>
      <c r="G784" s="36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</row>
    <row r="785" spans="1:23">
      <c r="A785" s="49"/>
      <c r="B785" s="49"/>
      <c r="C785" s="49"/>
      <c r="D785" s="49"/>
      <c r="E785" s="49"/>
      <c r="F785" s="55"/>
      <c r="G785" s="381">
        <v>98815</v>
      </c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</row>
    <row r="786" spans="1:23">
      <c r="A786" s="49"/>
      <c r="B786" s="49"/>
      <c r="C786" s="49"/>
      <c r="D786" s="49"/>
      <c r="E786" s="49"/>
      <c r="F786" s="55"/>
      <c r="G786" s="36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</row>
    <row r="787" spans="1:23">
      <c r="A787" s="49"/>
      <c r="B787" s="49"/>
      <c r="C787" s="49"/>
      <c r="D787" s="49"/>
      <c r="E787" s="49"/>
      <c r="F787" s="55"/>
      <c r="G787" s="381">
        <v>542679</v>
      </c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</row>
    <row r="788" spans="1:23">
      <c r="A788" s="49"/>
      <c r="B788" s="49"/>
      <c r="C788" s="49"/>
      <c r="D788" s="49"/>
      <c r="E788" s="49"/>
      <c r="F788" s="55"/>
      <c r="G788" s="36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</row>
    <row r="789" spans="1:23">
      <c r="A789" s="49"/>
      <c r="B789" s="49"/>
      <c r="C789" s="49"/>
      <c r="D789" s="49"/>
      <c r="E789" s="49"/>
      <c r="F789" s="55"/>
      <c r="G789" s="36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</row>
    <row r="790" spans="1:23">
      <c r="A790" s="49"/>
      <c r="B790" s="49"/>
      <c r="C790" s="49"/>
      <c r="D790" s="49"/>
      <c r="E790" s="49"/>
      <c r="F790" s="55"/>
      <c r="G790" s="36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</row>
    <row r="791" spans="1:23">
      <c r="A791" s="49"/>
      <c r="B791" s="49"/>
      <c r="C791" s="49"/>
      <c r="D791" s="49"/>
      <c r="E791" s="49"/>
      <c r="F791" s="55"/>
      <c r="G791" s="36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</row>
    <row r="792" spans="1:23">
      <c r="A792" s="49"/>
      <c r="B792" s="49"/>
      <c r="C792" s="49"/>
      <c r="D792" s="49"/>
      <c r="E792" s="49"/>
      <c r="F792" s="55"/>
      <c r="G792" s="36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</row>
    <row r="793" spans="1:23">
      <c r="A793" s="49"/>
      <c r="B793" s="49"/>
      <c r="C793" s="49"/>
      <c r="D793" s="49"/>
      <c r="E793" s="49"/>
      <c r="F793" s="55"/>
      <c r="G793" s="381">
        <v>227420</v>
      </c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</row>
    <row r="794" spans="1:23">
      <c r="A794" s="49"/>
      <c r="B794" s="49"/>
      <c r="C794" s="49"/>
      <c r="D794" s="49"/>
      <c r="E794" s="49"/>
      <c r="F794" s="55"/>
      <c r="G794" s="36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</row>
    <row r="795" spans="1:23">
      <c r="A795" s="49"/>
      <c r="B795" s="49"/>
      <c r="C795" s="49"/>
      <c r="D795" s="49"/>
      <c r="E795" s="49"/>
      <c r="F795" s="55"/>
      <c r="G795" s="59">
        <v>85640</v>
      </c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</row>
    <row r="796" spans="1:23">
      <c r="A796" s="49"/>
      <c r="B796" s="49"/>
      <c r="C796" s="49"/>
      <c r="D796" s="49"/>
      <c r="E796" s="49"/>
      <c r="F796" s="55"/>
      <c r="G796" s="59">
        <v>46578</v>
      </c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</row>
    <row r="797" spans="1:23">
      <c r="A797" s="49"/>
      <c r="B797" s="49"/>
      <c r="C797" s="49"/>
      <c r="D797" s="49"/>
      <c r="E797" s="49"/>
      <c r="F797" s="55"/>
      <c r="G797" s="59">
        <v>85640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</row>
    <row r="798" spans="1:23">
      <c r="A798" s="49"/>
      <c r="B798" s="49"/>
      <c r="C798" s="49"/>
      <c r="D798" s="49"/>
      <c r="E798" s="49"/>
      <c r="F798" s="55"/>
      <c r="G798" s="59">
        <v>49887</v>
      </c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</row>
    <row r="799" spans="1:23">
      <c r="A799" s="49"/>
      <c r="B799" s="49"/>
      <c r="C799" s="49"/>
      <c r="D799" s="49"/>
      <c r="E799" s="49"/>
      <c r="F799" s="55"/>
      <c r="G799" s="381">
        <v>88596</v>
      </c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</row>
    <row r="800" spans="1:23">
      <c r="A800" s="49"/>
      <c r="B800" s="49"/>
      <c r="C800" s="49"/>
      <c r="D800" s="49"/>
      <c r="E800" s="49"/>
      <c r="F800" s="55"/>
      <c r="G800" s="36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</row>
    <row r="801" spans="1:23">
      <c r="A801" s="49"/>
      <c r="B801" s="49"/>
      <c r="C801" s="49"/>
      <c r="D801" s="49"/>
      <c r="E801" s="49"/>
      <c r="F801" s="55"/>
      <c r="G801" s="59">
        <v>44290</v>
      </c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</row>
    <row r="802" spans="1:23">
      <c r="A802" s="49"/>
      <c r="B802" s="49"/>
      <c r="C802" s="49"/>
      <c r="D802" s="49"/>
      <c r="E802" s="49"/>
      <c r="F802" s="55"/>
      <c r="G802" s="59">
        <v>70128</v>
      </c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</row>
    <row r="803" spans="1:23">
      <c r="A803" s="49"/>
      <c r="B803" s="49"/>
      <c r="C803" s="49"/>
      <c r="D803" s="49"/>
      <c r="E803" s="49"/>
      <c r="F803" s="55"/>
      <c r="G803" s="381">
        <v>534861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</row>
    <row r="804" spans="1:23">
      <c r="A804" s="49"/>
      <c r="B804" s="49"/>
      <c r="C804" s="49"/>
      <c r="D804" s="49"/>
      <c r="E804" s="49"/>
      <c r="F804" s="55"/>
      <c r="G804" s="36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</row>
    <row r="805" spans="1:23">
      <c r="A805" s="49"/>
      <c r="B805" s="49"/>
      <c r="C805" s="49"/>
      <c r="D805" s="49"/>
      <c r="E805" s="49"/>
      <c r="F805" s="55"/>
      <c r="G805" s="36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</row>
    <row r="806" spans="1:23">
      <c r="A806" s="49"/>
      <c r="B806" s="49"/>
      <c r="C806" s="49"/>
      <c r="D806" s="49"/>
      <c r="E806" s="49"/>
      <c r="F806" s="55"/>
      <c r="G806" s="36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</row>
    <row r="807" spans="1:23">
      <c r="A807" s="49"/>
      <c r="B807" s="49"/>
      <c r="C807" s="49"/>
      <c r="D807" s="49"/>
      <c r="E807" s="49"/>
      <c r="F807" s="55"/>
      <c r="G807" s="36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</row>
    <row r="808" spans="1:23">
      <c r="A808" s="49"/>
      <c r="B808" s="49"/>
      <c r="C808" s="49"/>
      <c r="D808" s="49"/>
      <c r="E808" s="49"/>
      <c r="F808" s="55"/>
      <c r="G808" s="381">
        <v>370269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</row>
    <row r="809" spans="1:23">
      <c r="A809" s="49"/>
      <c r="B809" s="49"/>
      <c r="C809" s="49"/>
      <c r="D809" s="49"/>
      <c r="E809" s="49"/>
      <c r="F809" s="55"/>
      <c r="G809" s="36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</row>
    <row r="810" spans="1:23">
      <c r="A810" s="49"/>
      <c r="B810" s="49"/>
      <c r="C810" s="49"/>
      <c r="D810" s="49"/>
      <c r="E810" s="49"/>
      <c r="F810" s="55"/>
      <c r="G810" s="36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</row>
    <row r="811" spans="1:23">
      <c r="A811" s="49"/>
      <c r="B811" s="49"/>
      <c r="C811" s="49"/>
      <c r="D811" s="49"/>
      <c r="E811" s="49"/>
      <c r="F811" s="55"/>
      <c r="G811" s="36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</row>
    <row r="812" spans="1:23">
      <c r="A812" s="49"/>
      <c r="B812" s="49"/>
      <c r="C812" s="49"/>
      <c r="D812" s="49"/>
      <c r="E812" s="49"/>
      <c r="F812" s="55"/>
      <c r="G812" s="59">
        <v>48439</v>
      </c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</row>
    <row r="813" spans="1:23">
      <c r="A813" s="49"/>
      <c r="B813" s="49"/>
      <c r="C813" s="49"/>
      <c r="D813" s="49"/>
      <c r="E813" s="49"/>
      <c r="F813" s="55"/>
      <c r="G813" s="381">
        <v>120245</v>
      </c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</row>
    <row r="814" spans="1:23">
      <c r="A814" s="49"/>
      <c r="B814" s="49"/>
      <c r="C814" s="49"/>
      <c r="D814" s="49"/>
      <c r="E814" s="49"/>
      <c r="F814" s="55"/>
      <c r="G814" s="36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</row>
    <row r="815" spans="1:23">
      <c r="A815" s="49"/>
      <c r="B815" s="49"/>
      <c r="C815" s="49"/>
      <c r="D815" s="49"/>
      <c r="E815" s="49"/>
      <c r="F815" s="55"/>
      <c r="G815" s="381">
        <v>120245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</row>
    <row r="816" spans="1:23">
      <c r="A816" s="49"/>
      <c r="B816" s="49"/>
      <c r="C816" s="49"/>
      <c r="D816" s="49"/>
      <c r="E816" s="49"/>
      <c r="F816" s="55"/>
      <c r="G816" s="36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</row>
    <row r="817" spans="1:23">
      <c r="A817" s="49"/>
      <c r="B817" s="49"/>
      <c r="C817" s="49"/>
      <c r="D817" s="49"/>
      <c r="E817" s="49"/>
      <c r="F817" s="55"/>
      <c r="G817" s="59">
        <v>49249</v>
      </c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</row>
    <row r="818" spans="1:23">
      <c r="A818" s="49"/>
      <c r="B818" s="49"/>
      <c r="C818" s="49"/>
      <c r="D818" s="49"/>
      <c r="E818" s="49"/>
      <c r="F818" s="55"/>
      <c r="G818" s="59">
        <v>82983</v>
      </c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</row>
    <row r="819" spans="1:23">
      <c r="A819" s="49"/>
      <c r="B819" s="49"/>
      <c r="C819" s="49"/>
      <c r="D819" s="49"/>
      <c r="E819" s="49"/>
      <c r="F819" s="55"/>
      <c r="G819" s="381">
        <v>548000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</row>
    <row r="820" spans="1:23">
      <c r="A820" s="49"/>
      <c r="B820" s="49"/>
      <c r="C820" s="49"/>
      <c r="D820" s="49"/>
      <c r="E820" s="49"/>
      <c r="F820" s="55"/>
      <c r="G820" s="36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</row>
    <row r="821" spans="1:23">
      <c r="A821" s="49"/>
      <c r="B821" s="49"/>
      <c r="C821" s="49"/>
      <c r="D821" s="49"/>
      <c r="E821" s="49"/>
      <c r="F821" s="55"/>
      <c r="G821" s="36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</row>
    <row r="822" spans="1:23">
      <c r="A822" s="49"/>
      <c r="B822" s="49"/>
      <c r="C822" s="49"/>
      <c r="D822" s="49"/>
      <c r="E822" s="49"/>
      <c r="F822" s="55"/>
      <c r="G822" s="36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</row>
    <row r="823" spans="1:23">
      <c r="A823" s="49"/>
      <c r="B823" s="49"/>
      <c r="C823" s="49"/>
      <c r="D823" s="49"/>
      <c r="E823" s="49"/>
      <c r="F823" s="55"/>
      <c r="G823" s="36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</row>
    <row r="824" spans="1:23">
      <c r="A824" s="49"/>
      <c r="B824" s="49"/>
      <c r="C824" s="49"/>
      <c r="D824" s="49"/>
      <c r="E824" s="49"/>
      <c r="F824" s="55"/>
      <c r="G824" s="36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</row>
    <row r="825" spans="1:23">
      <c r="A825" s="49"/>
      <c r="B825" s="49"/>
      <c r="C825" s="49"/>
      <c r="D825" s="49"/>
      <c r="E825" s="49"/>
      <c r="F825" s="55"/>
      <c r="G825" s="59">
        <v>49249</v>
      </c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</row>
    <row r="826" spans="1:23">
      <c r="A826" s="49"/>
      <c r="B826" s="49"/>
      <c r="C826" s="49"/>
      <c r="D826" s="49"/>
      <c r="E826" s="49"/>
      <c r="F826" s="55"/>
      <c r="G826" s="59">
        <v>44290</v>
      </c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</row>
    <row r="827" spans="1:23">
      <c r="A827" s="49"/>
      <c r="B827" s="49"/>
      <c r="C827" s="49"/>
      <c r="D827" s="49"/>
      <c r="E827" s="49"/>
      <c r="F827" s="55"/>
      <c r="G827" s="59">
        <v>104716</v>
      </c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</row>
    <row r="828" spans="1:23">
      <c r="A828" s="49"/>
      <c r="B828" s="49"/>
      <c r="C828" s="49"/>
      <c r="D828" s="49"/>
      <c r="E828" s="49"/>
      <c r="F828" s="55"/>
      <c r="G828" s="59">
        <v>49500</v>
      </c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</row>
    <row r="829" spans="1:23">
      <c r="A829" s="49"/>
      <c r="B829" s="49"/>
      <c r="C829" s="49"/>
      <c r="D829" s="49"/>
      <c r="E829" s="49"/>
      <c r="F829" s="55"/>
      <c r="G829" s="59">
        <v>106714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</row>
    <row r="830" spans="1:23">
      <c r="A830" s="49"/>
      <c r="B830" s="49"/>
      <c r="C830" s="49"/>
      <c r="D830" s="49"/>
      <c r="E830" s="49"/>
      <c r="F830" s="55"/>
      <c r="G830" s="59">
        <v>49887</v>
      </c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</row>
    <row r="831" spans="1:23">
      <c r="A831" s="49"/>
      <c r="B831" s="49"/>
      <c r="C831" s="49"/>
      <c r="D831" s="49"/>
      <c r="E831" s="49"/>
      <c r="F831" s="55"/>
      <c r="G831" s="59">
        <v>49249</v>
      </c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</row>
    <row r="832" spans="1:23">
      <c r="A832" s="49"/>
      <c r="B832" s="49"/>
      <c r="C832" s="49"/>
      <c r="D832" s="49"/>
      <c r="E832" s="49"/>
      <c r="F832" s="55"/>
      <c r="G832" s="59">
        <v>49500</v>
      </c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</row>
    <row r="833" spans="1:23">
      <c r="A833" s="49"/>
      <c r="B833" s="49"/>
      <c r="C833" s="49"/>
      <c r="D833" s="49"/>
      <c r="E833" s="49"/>
      <c r="F833" s="55"/>
      <c r="G833" s="59">
        <v>88595</v>
      </c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</row>
    <row r="834" spans="1:23">
      <c r="A834" s="49"/>
      <c r="B834" s="49"/>
      <c r="C834" s="49"/>
      <c r="D834" s="49"/>
      <c r="E834" s="49"/>
      <c r="F834" s="55"/>
      <c r="G834" s="59">
        <v>44290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</row>
    <row r="835" spans="1:23">
      <c r="A835" s="49"/>
      <c r="B835" s="49"/>
      <c r="C835" s="49"/>
      <c r="D835" s="49"/>
      <c r="E835" s="49"/>
      <c r="F835" s="55"/>
      <c r="G835" s="381">
        <v>98198</v>
      </c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</row>
    <row r="836" spans="1:23">
      <c r="A836" s="49"/>
      <c r="B836" s="49"/>
      <c r="C836" s="49"/>
      <c r="D836" s="49"/>
      <c r="E836" s="49"/>
      <c r="F836" s="55"/>
      <c r="G836" s="36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</row>
    <row r="837" spans="1:23">
      <c r="A837" s="49"/>
      <c r="B837" s="49"/>
      <c r="C837" s="49"/>
      <c r="D837" s="49"/>
      <c r="E837" s="49"/>
      <c r="F837" s="55"/>
      <c r="G837" s="59">
        <v>49249</v>
      </c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</row>
    <row r="838" spans="1:23">
      <c r="A838" s="49"/>
      <c r="B838" s="49"/>
      <c r="C838" s="49"/>
      <c r="D838" s="49"/>
      <c r="E838" s="49"/>
      <c r="F838" s="55"/>
      <c r="G838" s="381">
        <v>499599</v>
      </c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</row>
    <row r="839" spans="1:23">
      <c r="A839" s="49"/>
      <c r="B839" s="49"/>
      <c r="C839" s="49"/>
      <c r="D839" s="49"/>
      <c r="E839" s="49"/>
      <c r="F839" s="55"/>
      <c r="G839" s="36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</row>
    <row r="840" spans="1:23">
      <c r="A840" s="49"/>
      <c r="B840" s="49"/>
      <c r="C840" s="49"/>
      <c r="D840" s="49"/>
      <c r="E840" s="49"/>
      <c r="F840" s="55"/>
      <c r="G840" s="36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</row>
    <row r="841" spans="1:23">
      <c r="A841" s="49"/>
      <c r="B841" s="49"/>
      <c r="C841" s="49"/>
      <c r="D841" s="49"/>
      <c r="E841" s="49"/>
      <c r="F841" s="55"/>
      <c r="G841" s="36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</row>
    <row r="842" spans="1:23">
      <c r="A842" s="49"/>
      <c r="B842" s="49"/>
      <c r="C842" s="49"/>
      <c r="D842" s="49"/>
      <c r="E842" s="49"/>
      <c r="F842" s="55"/>
      <c r="G842" s="381">
        <v>98198</v>
      </c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</row>
    <row r="843" spans="1:23">
      <c r="A843" s="49"/>
      <c r="B843" s="49"/>
      <c r="C843" s="49"/>
      <c r="D843" s="49"/>
      <c r="E843" s="49"/>
      <c r="F843" s="55"/>
      <c r="G843" s="36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</row>
    <row r="844" spans="1:23">
      <c r="A844" s="49"/>
      <c r="B844" s="49"/>
      <c r="C844" s="49"/>
      <c r="D844" s="49"/>
      <c r="E844" s="49"/>
      <c r="F844" s="55"/>
      <c r="G844" s="59">
        <v>104716</v>
      </c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</row>
    <row r="845" spans="1:23">
      <c r="A845" s="49"/>
      <c r="B845" s="49"/>
      <c r="C845" s="49"/>
      <c r="D845" s="49"/>
      <c r="E845" s="49"/>
      <c r="F845" s="55"/>
      <c r="G845" s="381">
        <v>224474</v>
      </c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</row>
    <row r="846" spans="1:23">
      <c r="A846" s="49"/>
      <c r="B846" s="49"/>
      <c r="C846" s="49"/>
      <c r="D846" s="49"/>
      <c r="E846" s="49"/>
      <c r="F846" s="55"/>
      <c r="G846" s="36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</row>
    <row r="847" spans="1:23">
      <c r="A847" s="49"/>
      <c r="B847" s="49"/>
      <c r="C847" s="49"/>
      <c r="D847" s="49"/>
      <c r="E847" s="49"/>
      <c r="F847" s="55"/>
      <c r="G847" s="381">
        <v>204870</v>
      </c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</row>
    <row r="848" spans="1:23">
      <c r="A848" s="49"/>
      <c r="B848" s="49"/>
      <c r="C848" s="49"/>
      <c r="D848" s="49"/>
      <c r="E848" s="49"/>
      <c r="F848" s="55"/>
      <c r="G848" s="36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</row>
    <row r="849" spans="1:23">
      <c r="A849" s="49"/>
      <c r="B849" s="49"/>
      <c r="C849" s="49"/>
      <c r="D849" s="49"/>
      <c r="E849" s="49"/>
      <c r="F849" s="55"/>
      <c r="G849" s="36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</row>
    <row r="850" spans="1:23">
      <c r="A850" s="49"/>
      <c r="B850" s="49"/>
      <c r="C850" s="49"/>
      <c r="D850" s="49"/>
      <c r="E850" s="49"/>
      <c r="F850" s="55"/>
      <c r="G850" s="36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</row>
    <row r="851" spans="1:23">
      <c r="A851" s="49"/>
      <c r="B851" s="49"/>
      <c r="C851" s="49"/>
      <c r="D851" s="49"/>
      <c r="E851" s="49"/>
      <c r="F851" s="55"/>
      <c r="G851" s="59">
        <v>71021</v>
      </c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</row>
    <row r="852" spans="1:23">
      <c r="A852" s="49"/>
      <c r="B852" s="49"/>
      <c r="C852" s="49"/>
      <c r="D852" s="49"/>
      <c r="E852" s="49"/>
      <c r="F852" s="55"/>
      <c r="G852" s="59">
        <v>46578</v>
      </c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</row>
    <row r="853" spans="1:23">
      <c r="A853" s="49"/>
      <c r="B853" s="49"/>
      <c r="C853" s="49"/>
      <c r="D853" s="49"/>
      <c r="E853" s="49"/>
      <c r="F853" s="55"/>
      <c r="G853" s="59">
        <v>44290</v>
      </c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</row>
    <row r="854" spans="1:23">
      <c r="A854" s="49"/>
      <c r="B854" s="49"/>
      <c r="C854" s="49"/>
      <c r="D854" s="49"/>
      <c r="E854" s="49"/>
      <c r="F854" s="55"/>
      <c r="G854" s="59">
        <v>49249</v>
      </c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</row>
    <row r="855" spans="1:23">
      <c r="A855" s="49"/>
      <c r="B855" s="49"/>
      <c r="C855" s="49"/>
      <c r="D855" s="49"/>
      <c r="E855" s="49"/>
      <c r="F855" s="55"/>
      <c r="G855" s="59">
        <v>44371</v>
      </c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</row>
    <row r="856" spans="1:23">
      <c r="A856" s="49"/>
      <c r="B856" s="49"/>
      <c r="C856" s="49"/>
      <c r="D856" s="49"/>
      <c r="E856" s="49"/>
      <c r="F856" s="55"/>
      <c r="G856" s="381">
        <v>88596</v>
      </c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</row>
    <row r="857" spans="1:23">
      <c r="A857" s="49"/>
      <c r="B857" s="49"/>
      <c r="C857" s="49"/>
      <c r="D857" s="49"/>
      <c r="E857" s="49"/>
      <c r="F857" s="55"/>
      <c r="G857" s="36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</row>
    <row r="858" spans="1:23">
      <c r="A858" s="49"/>
      <c r="B858" s="49"/>
      <c r="C858" s="49"/>
      <c r="D858" s="49"/>
      <c r="E858" s="49"/>
      <c r="F858" s="55"/>
      <c r="G858" s="59">
        <v>49249</v>
      </c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</row>
    <row r="859" spans="1:23">
      <c r="A859" s="49"/>
      <c r="B859" s="49"/>
      <c r="C859" s="49"/>
      <c r="D859" s="49"/>
      <c r="E859" s="49"/>
      <c r="F859" s="55"/>
      <c r="G859" s="381">
        <v>205180</v>
      </c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</row>
    <row r="860" spans="1:23">
      <c r="A860" s="49"/>
      <c r="B860" s="49"/>
      <c r="C860" s="49"/>
      <c r="D860" s="49"/>
      <c r="E860" s="49"/>
      <c r="F860" s="55"/>
      <c r="G860" s="36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</row>
    <row r="861" spans="1:23">
      <c r="A861" s="49"/>
      <c r="B861" s="49"/>
      <c r="C861" s="49"/>
      <c r="D861" s="49"/>
      <c r="E861" s="49"/>
      <c r="F861" s="55"/>
      <c r="G861" s="36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</row>
    <row r="862" spans="1:23">
      <c r="A862" s="49"/>
      <c r="B862" s="49"/>
      <c r="C862" s="49"/>
      <c r="D862" s="49"/>
      <c r="E862" s="49"/>
      <c r="F862" s="55"/>
      <c r="G862" s="59">
        <v>44290</v>
      </c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</row>
    <row r="863" spans="1:23">
      <c r="A863" s="49"/>
      <c r="B863" s="49"/>
      <c r="C863" s="49"/>
      <c r="D863" s="49"/>
      <c r="E863" s="49"/>
      <c r="F863" s="55"/>
      <c r="G863" s="59">
        <v>71021</v>
      </c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</row>
    <row r="864" spans="1:23">
      <c r="A864" s="49"/>
      <c r="B864" s="49"/>
      <c r="C864" s="49"/>
      <c r="D864" s="49"/>
      <c r="E864" s="49"/>
      <c r="F864" s="55"/>
      <c r="G864" s="59">
        <v>71021</v>
      </c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</row>
    <row r="865" spans="1:23">
      <c r="A865" s="49"/>
      <c r="B865" s="49"/>
      <c r="C865" s="49"/>
      <c r="D865" s="49"/>
      <c r="E865" s="49"/>
      <c r="F865" s="55"/>
      <c r="G865" s="381">
        <v>231367</v>
      </c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</row>
    <row r="866" spans="1:23">
      <c r="A866" s="49"/>
      <c r="B866" s="49"/>
      <c r="C866" s="49"/>
      <c r="D866" s="49"/>
      <c r="E866" s="49"/>
      <c r="F866" s="55"/>
      <c r="G866" s="36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</row>
    <row r="867" spans="1:23">
      <c r="A867" s="49"/>
      <c r="B867" s="49"/>
      <c r="C867" s="49"/>
      <c r="D867" s="49"/>
      <c r="E867" s="49"/>
      <c r="F867" s="55"/>
      <c r="G867" s="36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</row>
    <row r="868" spans="1:23">
      <c r="A868" s="49"/>
      <c r="B868" s="49"/>
      <c r="C868" s="49"/>
      <c r="D868" s="49"/>
      <c r="E868" s="49"/>
      <c r="F868" s="55"/>
      <c r="G868" s="59">
        <v>82983</v>
      </c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</row>
    <row r="869" spans="1:23">
      <c r="A869" s="49"/>
      <c r="B869" s="49"/>
      <c r="C869" s="49"/>
      <c r="D869" s="49"/>
      <c r="E869" s="49"/>
      <c r="F869" s="55"/>
      <c r="G869" s="59">
        <v>49249</v>
      </c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</row>
    <row r="870" spans="1:23">
      <c r="A870" s="49"/>
      <c r="B870" s="49"/>
      <c r="C870" s="49"/>
      <c r="D870" s="49"/>
      <c r="E870" s="49"/>
      <c r="F870" s="55"/>
      <c r="G870" s="59">
        <v>104716</v>
      </c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</row>
    <row r="871" spans="1:23">
      <c r="A871" s="49"/>
      <c r="B871" s="49"/>
      <c r="C871" s="49"/>
      <c r="D871" s="49"/>
      <c r="E871" s="49"/>
      <c r="F871" s="55"/>
      <c r="G871" s="59">
        <v>106714</v>
      </c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</row>
    <row r="872" spans="1:23">
      <c r="A872" s="49"/>
      <c r="B872" s="49"/>
      <c r="C872" s="49"/>
      <c r="D872" s="49"/>
      <c r="E872" s="49"/>
      <c r="F872" s="55"/>
      <c r="G872" s="381">
        <v>135409</v>
      </c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</row>
    <row r="873" spans="1:23">
      <c r="A873" s="49"/>
      <c r="B873" s="49"/>
      <c r="C873" s="49"/>
      <c r="D873" s="49"/>
      <c r="E873" s="49"/>
      <c r="F873" s="55"/>
      <c r="G873" s="36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</row>
    <row r="874" spans="1:23">
      <c r="A874" s="49"/>
      <c r="B874" s="49"/>
      <c r="C874" s="49"/>
      <c r="D874" s="49"/>
      <c r="E874" s="49"/>
      <c r="F874" s="55"/>
      <c r="G874" s="59">
        <v>49249</v>
      </c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</row>
    <row r="875" spans="1:23">
      <c r="A875" s="49"/>
      <c r="B875" s="49"/>
      <c r="C875" s="49"/>
      <c r="D875" s="49"/>
      <c r="E875" s="49"/>
      <c r="F875" s="55"/>
      <c r="G875" s="59">
        <v>49249</v>
      </c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</row>
    <row r="876" spans="1:23">
      <c r="A876" s="49"/>
      <c r="B876" s="49"/>
      <c r="C876" s="49"/>
      <c r="D876" s="49"/>
      <c r="E876" s="49"/>
      <c r="F876" s="55"/>
      <c r="G876" s="381">
        <v>197654</v>
      </c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</row>
    <row r="877" spans="1:23">
      <c r="A877" s="49"/>
      <c r="B877" s="49"/>
      <c r="C877" s="49"/>
      <c r="D877" s="49"/>
      <c r="E877" s="49"/>
      <c r="F877" s="55"/>
      <c r="G877" s="36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</row>
    <row r="878" spans="1:23">
      <c r="A878" s="49"/>
      <c r="B878" s="49"/>
      <c r="C878" s="49"/>
      <c r="D878" s="49"/>
      <c r="E878" s="49"/>
      <c r="F878" s="55"/>
      <c r="G878" s="59">
        <v>77515</v>
      </c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</row>
    <row r="879" spans="1:23">
      <c r="A879" s="49"/>
      <c r="B879" s="49"/>
      <c r="C879" s="49"/>
      <c r="D879" s="49"/>
      <c r="E879" s="49"/>
      <c r="F879" s="55"/>
      <c r="G879" s="59">
        <v>112939</v>
      </c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</row>
    <row r="880" spans="1:23">
      <c r="A880" s="49"/>
      <c r="B880" s="49"/>
      <c r="C880" s="49"/>
      <c r="D880" s="49"/>
      <c r="E880" s="49"/>
      <c r="F880" s="55"/>
      <c r="G880" s="59">
        <v>49249</v>
      </c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</row>
    <row r="881" spans="1:23">
      <c r="A881" s="49"/>
      <c r="B881" s="49"/>
      <c r="C881" s="49"/>
      <c r="D881" s="49"/>
      <c r="E881" s="49"/>
      <c r="F881" s="55"/>
      <c r="G881" s="381">
        <v>98684</v>
      </c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</row>
    <row r="882" spans="1:23">
      <c r="A882" s="49"/>
      <c r="B882" s="49"/>
      <c r="C882" s="49"/>
      <c r="D882" s="49"/>
      <c r="E882" s="49"/>
      <c r="F882" s="55"/>
      <c r="G882" s="36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</row>
    <row r="883" spans="1:23">
      <c r="A883" s="49"/>
      <c r="B883" s="49"/>
      <c r="C883" s="49"/>
      <c r="D883" s="49"/>
      <c r="E883" s="49"/>
      <c r="F883" s="55"/>
      <c r="G883" s="59">
        <v>49249</v>
      </c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</row>
    <row r="884" spans="1:23">
      <c r="A884" s="49"/>
      <c r="B884" s="49"/>
      <c r="C884" s="49"/>
      <c r="D884" s="49"/>
      <c r="E884" s="49"/>
      <c r="F884" s="55"/>
      <c r="G884" s="381">
        <v>98198</v>
      </c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</row>
    <row r="885" spans="1:23">
      <c r="A885" s="49"/>
      <c r="B885" s="49"/>
      <c r="C885" s="49"/>
      <c r="D885" s="49"/>
      <c r="E885" s="49"/>
      <c r="F885" s="55"/>
      <c r="G885" s="36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</row>
    <row r="886" spans="1:23">
      <c r="A886" s="49"/>
      <c r="B886" s="49"/>
      <c r="C886" s="49"/>
      <c r="D886" s="49"/>
      <c r="E886" s="49"/>
      <c r="F886" s="55"/>
      <c r="G886" s="59">
        <v>106714</v>
      </c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</row>
    <row r="887" spans="1:23">
      <c r="A887" s="49"/>
      <c r="B887" s="49"/>
      <c r="C887" s="49"/>
      <c r="D887" s="49"/>
      <c r="E887" s="49"/>
      <c r="F887" s="55"/>
      <c r="G887" s="59">
        <v>112939</v>
      </c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</row>
    <row r="888" spans="1:23">
      <c r="A888" s="49"/>
      <c r="B888" s="49"/>
      <c r="C888" s="49"/>
      <c r="D888" s="49"/>
      <c r="E888" s="49"/>
      <c r="F888" s="55"/>
      <c r="G888" s="59">
        <v>49249</v>
      </c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</row>
    <row r="889" spans="1:23">
      <c r="A889" s="49"/>
      <c r="B889" s="49"/>
      <c r="C889" s="49"/>
      <c r="D889" s="49"/>
      <c r="E889" s="49"/>
      <c r="F889" s="55"/>
      <c r="G889" s="59">
        <v>49249</v>
      </c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</row>
    <row r="890" spans="1:23">
      <c r="A890" s="49"/>
      <c r="B890" s="49"/>
      <c r="C890" s="49"/>
      <c r="D890" s="49"/>
      <c r="E890" s="49"/>
      <c r="F890" s="55"/>
      <c r="G890" s="381">
        <v>97569</v>
      </c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</row>
    <row r="891" spans="1:23">
      <c r="A891" s="49"/>
      <c r="B891" s="49"/>
      <c r="C891" s="49"/>
      <c r="D891" s="49"/>
      <c r="E891" s="49"/>
      <c r="F891" s="55"/>
      <c r="G891" s="36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</row>
    <row r="892" spans="1:23">
      <c r="A892" s="49"/>
      <c r="B892" s="49"/>
      <c r="C892" s="49"/>
      <c r="D892" s="49"/>
      <c r="E892" s="49"/>
      <c r="F892" s="55"/>
      <c r="G892" s="36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</row>
    <row r="893" spans="1:23">
      <c r="A893" s="49"/>
      <c r="B893" s="49"/>
      <c r="C893" s="49"/>
      <c r="D893" s="49"/>
      <c r="E893" s="49"/>
      <c r="F893" s="55"/>
      <c r="G893" s="59">
        <v>49249</v>
      </c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</row>
    <row r="894" spans="1:23">
      <c r="A894" s="49"/>
      <c r="B894" s="49"/>
      <c r="C894" s="49"/>
      <c r="D894" s="49"/>
      <c r="E894" s="49"/>
      <c r="F894" s="55"/>
      <c r="G894" s="59">
        <v>49249</v>
      </c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</row>
    <row r="895" spans="1:23">
      <c r="A895" s="49"/>
      <c r="B895" s="49"/>
      <c r="C895" s="49"/>
      <c r="D895" s="49"/>
      <c r="E895" s="49"/>
      <c r="F895" s="55"/>
      <c r="G895" s="381">
        <v>149872</v>
      </c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</row>
    <row r="896" spans="1:23">
      <c r="A896" s="49"/>
      <c r="B896" s="49"/>
      <c r="C896" s="49"/>
      <c r="D896" s="49"/>
      <c r="E896" s="49"/>
      <c r="F896" s="55"/>
      <c r="G896" s="36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</row>
    <row r="897" spans="1:23">
      <c r="A897" s="49"/>
      <c r="B897" s="49"/>
      <c r="C897" s="49"/>
      <c r="D897" s="49"/>
      <c r="E897" s="49"/>
      <c r="F897" s="55"/>
      <c r="G897" s="36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</row>
    <row r="898" spans="1:23">
      <c r="A898" s="49"/>
      <c r="B898" s="49"/>
      <c r="C898" s="49"/>
      <c r="D898" s="49"/>
      <c r="E898" s="49"/>
      <c r="F898" s="55"/>
      <c r="G898" s="381">
        <v>114759</v>
      </c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</row>
    <row r="899" spans="1:23">
      <c r="A899" s="49"/>
      <c r="B899" s="49"/>
      <c r="C899" s="49"/>
      <c r="D899" s="49"/>
      <c r="E899" s="49"/>
      <c r="F899" s="55"/>
      <c r="G899" s="36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</row>
    <row r="900" spans="1:23">
      <c r="A900" s="49"/>
      <c r="B900" s="49"/>
      <c r="C900" s="49"/>
      <c r="D900" s="49"/>
      <c r="E900" s="49"/>
      <c r="F900" s="55"/>
      <c r="G900" s="59">
        <v>110400</v>
      </c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</row>
    <row r="901" spans="1:23">
      <c r="A901" s="49"/>
      <c r="B901" s="49"/>
      <c r="C901" s="49"/>
      <c r="D901" s="49"/>
      <c r="E901" s="49"/>
      <c r="F901" s="55"/>
      <c r="G901" s="59">
        <v>49249</v>
      </c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</row>
    <row r="902" spans="1:23">
      <c r="A902" s="49"/>
      <c r="B902" s="49"/>
      <c r="C902" s="49"/>
      <c r="D902" s="49"/>
      <c r="E902" s="49"/>
      <c r="F902" s="55"/>
      <c r="G902" s="381">
        <v>113436</v>
      </c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</row>
    <row r="903" spans="1:23">
      <c r="A903" s="49"/>
      <c r="B903" s="49"/>
      <c r="C903" s="49"/>
      <c r="D903" s="49"/>
      <c r="E903" s="49"/>
      <c r="F903" s="55"/>
      <c r="G903" s="36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</row>
    <row r="904" spans="1:23">
      <c r="A904" s="49"/>
      <c r="B904" s="49"/>
      <c r="C904" s="49"/>
      <c r="D904" s="49"/>
      <c r="E904" s="49"/>
      <c r="F904" s="55"/>
      <c r="G904" s="59">
        <v>49249</v>
      </c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</row>
    <row r="905" spans="1:23">
      <c r="A905" s="49"/>
      <c r="B905" s="49"/>
      <c r="C905" s="49"/>
      <c r="D905" s="49"/>
      <c r="E905" s="49"/>
      <c r="F905" s="55"/>
      <c r="G905" s="59">
        <v>126950</v>
      </c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</row>
    <row r="906" spans="1:23">
      <c r="A906" s="49"/>
      <c r="B906" s="49"/>
      <c r="C906" s="49"/>
      <c r="D906" s="49"/>
      <c r="E906" s="49"/>
      <c r="F906" s="55"/>
      <c r="G906" s="381">
        <v>98198</v>
      </c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</row>
    <row r="907" spans="1:23">
      <c r="A907" s="49"/>
      <c r="B907" s="49"/>
      <c r="C907" s="49"/>
      <c r="D907" s="49"/>
      <c r="E907" s="49"/>
      <c r="F907" s="55"/>
      <c r="G907" s="36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</row>
    <row r="908" spans="1:23">
      <c r="A908" s="49"/>
      <c r="B908" s="49"/>
      <c r="C908" s="49"/>
      <c r="D908" s="49"/>
      <c r="E908" s="49"/>
      <c r="F908" s="55"/>
      <c r="G908" s="381">
        <v>98198</v>
      </c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</row>
    <row r="909" spans="1:23">
      <c r="A909" s="49"/>
      <c r="B909" s="49"/>
      <c r="C909" s="49"/>
      <c r="D909" s="49"/>
      <c r="E909" s="49"/>
      <c r="F909" s="55"/>
      <c r="G909" s="36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</row>
    <row r="910" spans="1:23">
      <c r="A910" s="49"/>
      <c r="B910" s="49"/>
      <c r="C910" s="49"/>
      <c r="D910" s="49"/>
      <c r="E910" s="49"/>
      <c r="F910" s="55"/>
      <c r="G910" s="59">
        <v>70128</v>
      </c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</row>
    <row r="911" spans="1:23">
      <c r="A911" s="49"/>
      <c r="B911" s="49"/>
      <c r="C911" s="49"/>
      <c r="D911" s="49"/>
      <c r="E911" s="49"/>
      <c r="F911" s="55"/>
      <c r="G911" s="59">
        <v>49249</v>
      </c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</row>
    <row r="912" spans="1:23">
      <c r="A912" s="49"/>
      <c r="B912" s="49"/>
      <c r="C912" s="49"/>
      <c r="D912" s="49"/>
      <c r="E912" s="49"/>
      <c r="F912" s="55"/>
      <c r="G912" s="59">
        <v>75440</v>
      </c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</row>
    <row r="913" spans="1:23">
      <c r="A913" s="49"/>
      <c r="B913" s="49"/>
      <c r="C913" s="49"/>
      <c r="D913" s="49"/>
      <c r="E913" s="49"/>
      <c r="F913" s="55"/>
      <c r="G913" s="59">
        <v>49249</v>
      </c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</row>
    <row r="914" spans="1:23">
      <c r="A914" s="49"/>
      <c r="B914" s="49"/>
      <c r="C914" s="49"/>
      <c r="D914" s="49"/>
      <c r="E914" s="49"/>
      <c r="F914" s="55"/>
      <c r="G914" s="381">
        <v>141920</v>
      </c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</row>
    <row r="915" spans="1:23">
      <c r="A915" s="49"/>
      <c r="B915" s="49"/>
      <c r="C915" s="49"/>
      <c r="D915" s="49"/>
      <c r="E915" s="49"/>
      <c r="F915" s="55"/>
      <c r="G915" s="36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</row>
    <row r="916" spans="1:23">
      <c r="A916" s="49"/>
      <c r="B916" s="49"/>
      <c r="C916" s="49"/>
      <c r="D916" s="49"/>
      <c r="E916" s="49"/>
      <c r="F916" s="55"/>
      <c r="G916" s="36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</row>
    <row r="917" spans="1:23">
      <c r="A917" s="49"/>
      <c r="B917" s="49"/>
      <c r="C917" s="49"/>
      <c r="D917" s="49"/>
      <c r="E917" s="49"/>
      <c r="F917" s="55"/>
      <c r="G917" s="381">
        <v>98198</v>
      </c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</row>
    <row r="918" spans="1:23">
      <c r="A918" s="49"/>
      <c r="B918" s="49"/>
      <c r="C918" s="49"/>
      <c r="D918" s="49"/>
      <c r="E918" s="49"/>
      <c r="F918" s="55"/>
      <c r="G918" s="36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</row>
    <row r="919" spans="1:23">
      <c r="A919" s="49"/>
      <c r="B919" s="49"/>
      <c r="C919" s="49"/>
      <c r="D919" s="49"/>
      <c r="E919" s="49"/>
      <c r="F919" s="55"/>
      <c r="G919" s="381">
        <v>239396</v>
      </c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</row>
    <row r="920" spans="1:23">
      <c r="A920" s="49"/>
      <c r="B920" s="49"/>
      <c r="C920" s="49"/>
      <c r="D920" s="49"/>
      <c r="E920" s="49"/>
      <c r="F920" s="55"/>
      <c r="G920" s="36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</row>
    <row r="921" spans="1:23">
      <c r="A921" s="49"/>
      <c r="B921" s="49"/>
      <c r="C921" s="49"/>
      <c r="D921" s="49"/>
      <c r="E921" s="49"/>
      <c r="F921" s="55"/>
      <c r="G921" s="59">
        <v>49249</v>
      </c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</row>
    <row r="922" spans="1:23">
      <c r="A922" s="49"/>
      <c r="B922" s="49"/>
      <c r="C922" s="49"/>
      <c r="D922" s="49"/>
      <c r="E922" s="49"/>
      <c r="F922" s="55"/>
      <c r="G922" s="55">
        <f>131003+146455+114142+88596+49249+174360+43324+49249+145642+98198+197654+104716+49500+105752+98198+122074+59841+135077+49249+49249+49249+146455+122074+145642+44290+94946+314866+317923+106714+260186</f>
        <v>3613873</v>
      </c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</row>
    <row r="923" spans="1:23">
      <c r="A923" s="49"/>
      <c r="B923" s="49"/>
      <c r="C923" s="49"/>
      <c r="D923" s="49"/>
      <c r="E923" s="49"/>
      <c r="F923" s="55"/>
      <c r="G923" s="55">
        <f>149950+44371+135131+92289+107110+70128+98198+49249+49249+49249+98684+44290+98198+754944+149950+109152+297715+150385+49249+49500+44290+49249+57571+134394+279007+49249+372757+93027+49249+49249+98198+165009+22853+98198</f>
        <v>4209291</v>
      </c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</row>
    <row r="924" spans="1:23">
      <c r="A924" s="49"/>
      <c r="B924" s="49"/>
      <c r="C924" s="49"/>
      <c r="D924" s="49"/>
      <c r="E924" s="49"/>
      <c r="F924" s="55"/>
      <c r="G924" s="55">
        <f>98684+49249+49249+49249+94946+127845+98198+98198+49249+44371+49249+245728+44371+49249+49249+98441+46578+49249+98198+49249+109152+49500+44371+145724+204948+120368+49249+98198+49249+49249+98198+49249</f>
        <v>2606254</v>
      </c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</row>
    <row r="925" spans="1:23">
      <c r="A925" s="49"/>
      <c r="B925" s="49"/>
      <c r="C925" s="49"/>
      <c r="D925" s="49"/>
      <c r="E925" s="49"/>
      <c r="F925" s="55"/>
      <c r="G925" s="55">
        <f>71021+98198+70128+306638+49249+192178+149950+28313+98198+49249+43527+49249+94946+49249+49249+259947+269131+64950+109152+479942+44371+153565+450130+106300+150600+98198+107110</f>
        <v>3692738</v>
      </c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</row>
    <row r="926" spans="1:23">
      <c r="A926" s="49"/>
      <c r="B926" s="49"/>
      <c r="C926" s="49"/>
      <c r="D926" s="49"/>
      <c r="E926" s="49"/>
      <c r="F926" s="55"/>
      <c r="G926" s="55">
        <f>82983+88596+98198+49249+240810+49249+70128+98198+228618+49249+100044+121950+49249+118143+98684+49249+49249+204948+126239+49249+33571+150600</f>
        <v>2206453</v>
      </c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</row>
    <row r="927" spans="1:23">
      <c r="A927" s="49"/>
      <c r="B927" s="49"/>
      <c r="C927" s="49"/>
      <c r="D927" s="49"/>
      <c r="E927" s="49"/>
      <c r="F927" s="55"/>
      <c r="G927" s="55">
        <f>135835+98198+205180+109152+49249+49249+127845+101052+49249+259947+149582+94946+161758+49249+49249+98198+140622+145724+539071+28313+88225+301301+49249+57571</f>
        <v>3138014</v>
      </c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</row>
    <row r="928" spans="1:23">
      <c r="A928" s="49"/>
      <c r="B928" s="49"/>
      <c r="C928" s="49"/>
      <c r="D928" s="49"/>
      <c r="E928" s="49"/>
      <c r="F928" s="55"/>
      <c r="G928" s="55">
        <f>85640+149950+98198+49249+98198+49249+49249+49249+85088+49249+49249+49249+49249+49249+49249+49249+70128+49249+49249+49249</f>
        <v>1276688</v>
      </c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</row>
    <row r="929" spans="1:23">
      <c r="A929" s="49"/>
      <c r="B929" s="49"/>
      <c r="C929" s="49"/>
      <c r="D929" s="49"/>
      <c r="E929" s="49"/>
      <c r="F929" s="55"/>
      <c r="G929" s="55">
        <f>98198+49249+49249+52681+49500+534943+49249+361777+127845+49249+122237+57258+98198+49249+51998</f>
        <v>1800880</v>
      </c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</row>
    <row r="930" spans="1:23">
      <c r="A930" s="49"/>
      <c r="B930" s="49"/>
      <c r="C930" s="49"/>
      <c r="D930" s="49"/>
      <c r="E930" s="49"/>
      <c r="F930" s="55"/>
      <c r="G930" s="55">
        <f>149950+92289+49249+49249+98198+91181+98441+49249+94946+44371+98198+146320+28313+49249+422029+94946+146537+329801+49249+82983</f>
        <v>2264748</v>
      </c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</row>
    <row r="931" spans="1:23">
      <c r="A931" s="49"/>
      <c r="B931" s="49"/>
      <c r="C931" s="49"/>
      <c r="D931" s="49"/>
      <c r="E931" s="49"/>
      <c r="F931" s="55"/>
      <c r="G931" s="55">
        <f>-32700-16500-32700-32700-37300-32700-32800</f>
        <v>-217400</v>
      </c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</row>
    <row r="932" spans="1:23">
      <c r="A932" s="49"/>
      <c r="B932" s="49"/>
      <c r="C932" s="49"/>
      <c r="D932" s="49"/>
      <c r="E932" s="49"/>
      <c r="F932" s="55"/>
      <c r="G932" s="55">
        <f>249510+109152+107110+369942+204948+49249+49249+44290+49249+98198+67174+411296+98198+98198+49249+43568</f>
        <v>2098580</v>
      </c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</row>
    <row r="933" spans="1:23">
      <c r="A933" s="49"/>
      <c r="B933" s="49"/>
      <c r="C933" s="49"/>
      <c r="D933" s="49"/>
      <c r="E933" s="49"/>
      <c r="F933" s="55"/>
      <c r="G933" s="55">
        <f>49249+49249+49249+91138+85088+49249+49249+44290+49887+49249+46578+49249+49249+71021</f>
        <v>781994</v>
      </c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</row>
    <row r="934" spans="1:23">
      <c r="A934" s="49"/>
      <c r="B934" s="49"/>
      <c r="C934" s="49"/>
      <c r="D934" s="49"/>
      <c r="E934" s="49"/>
      <c r="F934" s="55"/>
      <c r="G934" s="55">
        <f>171902+149950+910915+70128+49249+67174+49249+109152+82983+194513+85088+63481+70128+109152</f>
        <v>2183064</v>
      </c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</row>
    <row r="935" spans="1:23">
      <c r="A935" s="49"/>
      <c r="B935" s="49"/>
      <c r="C935" s="49"/>
      <c r="D935" s="49"/>
      <c r="E935" s="49"/>
      <c r="F935" s="55"/>
      <c r="G935" s="55">
        <f>98198+81822+49249+49500+70128+44290+177651+85640+122237+102983+89672+98198+98198+261058+49887+88596+145724+70272+98198+49249+49249+49249</f>
        <v>2029248</v>
      </c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</row>
    <row r="936" spans="1:23">
      <c r="A936" s="49"/>
      <c r="B936" s="49"/>
      <c r="C936" s="49"/>
      <c r="D936" s="49"/>
      <c r="E936" s="49"/>
      <c r="F936" s="55"/>
      <c r="G936" s="55">
        <f>177195+94946+88596+82983+49249+98198+98198+70128+177651+49249+44371+150572+49249+49249+123359+49249+49249+49249+123359+232276+85640+28166+49249+49249+49249+107110+49249+44371+44290+71021</f>
        <v>2484169</v>
      </c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</row>
    <row r="937" spans="1:23">
      <c r="A937" s="49"/>
      <c r="B937" s="49"/>
      <c r="C937" s="49"/>
      <c r="D937" s="49"/>
      <c r="E937" s="49"/>
      <c r="F937" s="55"/>
      <c r="G937" s="55">
        <f>85640+49249+49249+94946+49249+231848+43909+49249+98198+98198+49249+146537+49249+44290+127845+94946+85640</f>
        <v>1447491</v>
      </c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</row>
    <row r="938" spans="1:23">
      <c r="A938" s="49"/>
      <c r="B938" s="49"/>
      <c r="C938" s="49"/>
      <c r="D938" s="49"/>
      <c r="E938" s="49"/>
      <c r="F938" s="55"/>
      <c r="G938" s="55">
        <f>109152+71021+44290+44290+85640+44290+49249+85640+94946+138410+107110+49249+230361+98815</f>
        <v>1252463</v>
      </c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</row>
    <row r="939" spans="1:23">
      <c r="A939" s="49"/>
      <c r="B939" s="49"/>
      <c r="C939" s="49"/>
      <c r="D939" s="49"/>
      <c r="E939" s="49"/>
      <c r="F939" s="55"/>
      <c r="G939" s="55">
        <f>107110+49249+120727+94946+77515+145723+50392+49249+49249+49249+101863+49500+49249+98198+85640+49249+49249+44290+49249+49249+49249+45435+149950+91138+107110+204948+49249+85640+161758+227808+49249+94946+44290+204948+49249+49249+49249</f>
        <v>3132610</v>
      </c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</row>
    <row r="940" spans="1:23">
      <c r="A940" s="49"/>
      <c r="B940" s="49"/>
      <c r="C940" s="49"/>
      <c r="D940" s="49"/>
      <c r="E940" s="49"/>
      <c r="F940" s="55"/>
      <c r="G940" s="55">
        <f>71021+49249+123359+28313+84163+49249+49249+135750+182295+49249+71021+49249+127845+77515+88596+49249+107110+49887+88596+49249+49249+49887+98198+146537+49249+70128+49887+67174+49500+44290+168821</f>
        <v>2423134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</row>
    <row r="941" spans="1:23">
      <c r="A941" s="49"/>
      <c r="B941" s="49"/>
      <c r="C941" s="49"/>
      <c r="D941" s="49"/>
      <c r="E941" s="49"/>
      <c r="F941" s="55"/>
      <c r="G941" s="55">
        <f>49249+49249+107110+149950+71021+98198+149950+71021+123359+98198+123065+49249+170195+149950+77515+98198+109152+136302+98198+98198+123359+44371+49500+49249+57571+44290+71021+157982+98198+70128+49249+204948+44290+49249+49249</f>
        <v>3239981</v>
      </c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</row>
    <row r="942" spans="1:23">
      <c r="A942" s="49"/>
      <c r="B942" s="49"/>
      <c r="C942" s="49"/>
      <c r="D942" s="49"/>
      <c r="E942" s="49"/>
      <c r="F942" s="55"/>
      <c r="G942" s="55">
        <f>85640+49249+82983+135835+44290+71021+77515+98198+98198+44290</f>
        <v>787219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</row>
    <row r="943" spans="1:23">
      <c r="A943" s="49"/>
      <c r="B943" s="49"/>
      <c r="C943" s="49"/>
      <c r="D943" s="49"/>
      <c r="E943" s="49"/>
      <c r="F943" s="55"/>
      <c r="G943" s="55">
        <f>107110+49249+48439+49249+109152+80839+49249+70128+110385+204948+98198+109152+49249+98198</f>
        <v>1233545</v>
      </c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</row>
    <row r="944" spans="1:23">
      <c r="A944" s="49"/>
      <c r="B944" s="49"/>
      <c r="C944" s="49"/>
      <c r="D944" s="49"/>
      <c r="E944" s="49"/>
      <c r="F944" s="55"/>
      <c r="G944" s="55">
        <f>49249+224400+91181+44290+49249+94946+49249+71021+49102+109152+49249+184075+168120+112972+77515+123359+71021+49249+49249+98198+123359</f>
        <v>1938205</v>
      </c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</row>
    <row r="945" spans="1:23">
      <c r="A945" s="49"/>
      <c r="B945" s="49"/>
      <c r="C945" s="49"/>
      <c r="D945" s="49"/>
      <c r="E945" s="49"/>
      <c r="F945" s="55"/>
      <c r="G945" s="55">
        <f>49249+49249+84164+44290+28313+49249+49249+49249+98198+71021+94810</f>
        <v>667041</v>
      </c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</row>
    <row r="946" spans="1:23">
      <c r="A946" s="49"/>
      <c r="B946" s="49"/>
      <c r="C946" s="49"/>
      <c r="D946" s="49"/>
      <c r="E946" s="49"/>
      <c r="F946" s="55"/>
      <c r="G946" s="55">
        <f>120727+153565+49249+49249+49249+49249+49249+49249+93397+98198+127845+98198+49249+49249+77515+121489+88596+149950</f>
        <v>1523472</v>
      </c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</row>
    <row r="947" spans="1:23">
      <c r="A947" s="49"/>
      <c r="B947" s="49"/>
      <c r="C947" s="49"/>
      <c r="D947" s="49"/>
      <c r="E947" s="49"/>
      <c r="F947" s="55"/>
      <c r="G947" s="55">
        <f>49500+49887+42765+228618+49249+98198+424949+85088+94946+123359+44290+98198</f>
        <v>1389047</v>
      </c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</row>
    <row r="948" spans="1:23">
      <c r="A948" s="49"/>
      <c r="B948" s="49"/>
      <c r="C948" s="49"/>
      <c r="D948" s="49"/>
      <c r="E948" s="49"/>
      <c r="F948" s="55"/>
      <c r="G948" s="55">
        <f>44290+49249+94014+109152+109152+94946+85640+49249+146537+91798+71021+49249+49249+56494</f>
        <v>1100040</v>
      </c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</row>
    <row r="949" spans="1:23">
      <c r="A949" s="49"/>
      <c r="B949" s="49"/>
      <c r="C949" s="49"/>
      <c r="D949" s="49"/>
      <c r="E949" s="49"/>
      <c r="F949" s="55"/>
      <c r="G949" s="55">
        <f>49249+49249+49249+49500+44371+49249+49500+98198+48635+145724+144331+56494+49249+49249</f>
        <v>932247</v>
      </c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</row>
    <row r="950" spans="1:23">
      <c r="A950" s="49"/>
      <c r="B950" s="49"/>
      <c r="C950" s="49"/>
      <c r="D950" s="49"/>
      <c r="E950" s="49"/>
      <c r="F950" s="55"/>
      <c r="G950" s="55">
        <f>49249+44224+44290+98198+70126+49249+146537+81083+49249+49249+127845+44290+71021+77515+204948+49249+49249+98198+49249+98198</f>
        <v>1551216</v>
      </c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</row>
    <row r="951" spans="1:23">
      <c r="A951" s="49"/>
      <c r="B951" s="49"/>
      <c r="C951" s="49"/>
      <c r="D951" s="49"/>
      <c r="E951" s="49"/>
      <c r="F951" s="55"/>
      <c r="G951" s="55">
        <f>-16500-40000-16500-37700-32800-22200-28700-32700-32800</f>
        <v>-259900</v>
      </c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</row>
    <row r="952" spans="1:23">
      <c r="A952" s="68">
        <v>45962</v>
      </c>
      <c r="B952" s="69" t="s">
        <v>273</v>
      </c>
      <c r="C952" s="69" t="s">
        <v>81</v>
      </c>
      <c r="D952" s="70">
        <f>IFERROR(VLOOKUP(B952,'Thống kê'!$C$3:$D$970,2, FALSE),VLOOKUP(B952,'Thống kê v2 CC'!$A$3:$D$1005,3, FALSE))</f>
        <v>0</v>
      </c>
      <c r="E952" s="69">
        <v>1</v>
      </c>
      <c r="F952" s="71">
        <v>169000</v>
      </c>
      <c r="G952" s="71">
        <v>123359</v>
      </c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</row>
    <row r="953" spans="1:23">
      <c r="A953" s="49"/>
      <c r="B953" s="69" t="s">
        <v>255</v>
      </c>
      <c r="C953" s="69" t="s">
        <v>81</v>
      </c>
      <c r="D953" s="69" t="e">
        <f>IFERROR(VLOOKUP(B953,'Thống kê'!$C$3:$D$970,2, FALSE),VLOOKUP(B953,'Thống kê v2 CC'!$A$3:$D$1005,3, FALSE))</f>
        <v>#N/A</v>
      </c>
      <c r="E953" s="69">
        <v>1</v>
      </c>
      <c r="F953" s="71">
        <v>68500</v>
      </c>
      <c r="G953" s="383">
        <v>98198</v>
      </c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</row>
    <row r="954" spans="1:23">
      <c r="A954" s="49"/>
      <c r="B954" s="69" t="s">
        <v>274</v>
      </c>
      <c r="C954" s="69" t="s">
        <v>81</v>
      </c>
      <c r="D954" s="69" t="e">
        <f>IFERROR(VLOOKUP(B954,'Thống kê'!$C$3:$D$970,2, FALSE),VLOOKUP(B954,'Thống kê v2 CC'!$A$3:$D$1005,3, FALSE))</f>
        <v>#N/A</v>
      </c>
      <c r="E954" s="69">
        <v>1</v>
      </c>
      <c r="F954" s="71">
        <v>68500</v>
      </c>
      <c r="G954" s="373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</row>
    <row r="955" spans="1:23">
      <c r="A955" s="49"/>
      <c r="B955" s="69" t="s">
        <v>275</v>
      </c>
      <c r="C955" s="69" t="s">
        <v>81</v>
      </c>
      <c r="D955" s="69" t="e">
        <f>IFERROR(VLOOKUP(B955,'Thống kê'!$C$3:$D$970,2, FALSE),VLOOKUP(B955,'Thống kê v2 CC'!$A$3:$D$1005,3, FALSE))</f>
        <v>#N/A</v>
      </c>
      <c r="E955" s="69">
        <v>1</v>
      </c>
      <c r="F955" s="71">
        <v>68500</v>
      </c>
      <c r="G955" s="71">
        <v>49249</v>
      </c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</row>
    <row r="956" spans="1:23">
      <c r="A956" s="49"/>
      <c r="B956" s="69" t="s">
        <v>191</v>
      </c>
      <c r="C956" s="69" t="s">
        <v>81</v>
      </c>
      <c r="D956" s="70">
        <f>IFERROR(VLOOKUP(B956,'Thống kê'!$C$3:$D$970,2, FALSE),VLOOKUP(B956,'Thống kê v2 CC'!$A$3:$D$1005,3, FALSE))</f>
        <v>0</v>
      </c>
      <c r="E956" s="69">
        <v>1</v>
      </c>
      <c r="F956" s="71">
        <v>68500</v>
      </c>
      <c r="G956" s="71">
        <v>49249</v>
      </c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</row>
    <row r="957" spans="1:23">
      <c r="A957" s="49"/>
      <c r="B957" s="69" t="s">
        <v>95</v>
      </c>
      <c r="C957" s="69" t="s">
        <v>81</v>
      </c>
      <c r="D957" s="70">
        <f>IFERROR(VLOOKUP(B957,'Thống kê'!$C$3:$D$970,2, FALSE),VLOOKUP(B957,'Thống kê v2 CC'!$A$3:$D$1005,3, FALSE))</f>
        <v>0</v>
      </c>
      <c r="E957" s="69">
        <v>1</v>
      </c>
      <c r="F957" s="71">
        <v>68500</v>
      </c>
      <c r="G957" s="383">
        <v>98198</v>
      </c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</row>
    <row r="958" spans="1:23">
      <c r="A958" s="49"/>
      <c r="B958" s="69" t="s">
        <v>134</v>
      </c>
      <c r="C958" s="69" t="s">
        <v>81</v>
      </c>
      <c r="D958" s="70">
        <f>IFERROR(VLOOKUP(B958,'Thống kê'!$C$3:$D$970,2, FALSE),VLOOKUP(B958,'Thống kê v2 CC'!$A$3:$D$1005,3, FALSE))</f>
        <v>0</v>
      </c>
      <c r="E958" s="69">
        <v>1</v>
      </c>
      <c r="F958" s="71">
        <v>68500</v>
      </c>
      <c r="G958" s="373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</row>
    <row r="959" spans="1:23">
      <c r="A959" s="49"/>
      <c r="B959" s="69" t="s">
        <v>102</v>
      </c>
      <c r="C959" s="69" t="s">
        <v>81</v>
      </c>
      <c r="D959" s="69" t="e">
        <f>IFERROR(VLOOKUP(B959,'Thống kê'!$C$3:$D$970,2, FALSE),VLOOKUP(B959,'Thống kê v2 CC'!$A$3:$D$1005,3, FALSE))</f>
        <v>#N/A</v>
      </c>
      <c r="E959" s="69">
        <v>1</v>
      </c>
      <c r="F959" s="71">
        <v>68500</v>
      </c>
      <c r="G959" s="71">
        <v>49249</v>
      </c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</row>
    <row r="960" spans="1:23">
      <c r="A960" s="49"/>
      <c r="B960" s="69" t="s">
        <v>101</v>
      </c>
      <c r="C960" s="69" t="s">
        <v>81</v>
      </c>
      <c r="D960" s="70">
        <f>IFERROR(VLOOKUP(B960,'Thống kê'!$C$3:$D$970,2, FALSE),VLOOKUP(B960,'Thống kê v2 CC'!$A$3:$D$1005,3, FALSE))</f>
        <v>0</v>
      </c>
      <c r="E960" s="69">
        <v>1</v>
      </c>
      <c r="F960" s="71">
        <v>68500</v>
      </c>
      <c r="G960" s="383">
        <v>98198</v>
      </c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</row>
    <row r="961" spans="1:23">
      <c r="A961" s="49"/>
      <c r="B961" s="69" t="s">
        <v>275</v>
      </c>
      <c r="C961" s="69" t="s">
        <v>81</v>
      </c>
      <c r="D961" s="69" t="e">
        <f>IFERROR(VLOOKUP(B961,'Thống kê'!$C$3:$D$970,2, FALSE),VLOOKUP(B961,'Thống kê v2 CC'!$A$3:$D$1005,3, FALSE))</f>
        <v>#N/A</v>
      </c>
      <c r="E961" s="69">
        <v>1</v>
      </c>
      <c r="F961" s="71">
        <v>68500</v>
      </c>
      <c r="G961" s="373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</row>
    <row r="962" spans="1:23">
      <c r="A962" s="49"/>
      <c r="B962" s="69" t="s">
        <v>126</v>
      </c>
      <c r="C962" s="69" t="s">
        <v>81</v>
      </c>
      <c r="D962" s="70">
        <f>IFERROR(VLOOKUP(B962,'Thống kê'!$C$3:$D$970,2, FALSE),VLOOKUP(B962,'Thống kê v2 CC'!$A$3:$D$1005,3, FALSE))</f>
        <v>0</v>
      </c>
      <c r="E962" s="69">
        <v>1</v>
      </c>
      <c r="F962" s="71">
        <v>68500</v>
      </c>
      <c r="G962" s="71">
        <v>49249</v>
      </c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</row>
    <row r="963" spans="1:23">
      <c r="A963" s="49"/>
      <c r="B963" s="69" t="s">
        <v>141</v>
      </c>
      <c r="C963" s="69" t="s">
        <v>81</v>
      </c>
      <c r="D963" s="70">
        <f>IFERROR(VLOOKUP(B963,'Thống kê'!$C$3:$D$970,2, FALSE),VLOOKUP(B963,'Thống kê v2 CC'!$A$3:$D$1005,3, FALSE))</f>
        <v>0</v>
      </c>
      <c r="E963" s="69">
        <v>1</v>
      </c>
      <c r="F963" s="71">
        <v>68500</v>
      </c>
      <c r="G963" s="71">
        <v>49249</v>
      </c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</row>
    <row r="964" spans="1:23">
      <c r="A964" s="49"/>
      <c r="B964" s="69" t="s">
        <v>261</v>
      </c>
      <c r="C964" s="69" t="s">
        <v>81</v>
      </c>
      <c r="D964" s="69" t="e">
        <f>IFERROR(VLOOKUP(B964,'Thống kê'!$C$3:$D$970,2, FALSE),VLOOKUP(B964,'Thống kê v2 CC'!$A$3:$D$1005,3, FALSE))</f>
        <v>#N/A</v>
      </c>
      <c r="E964" s="69">
        <v>1</v>
      </c>
      <c r="F964" s="71">
        <v>39000</v>
      </c>
      <c r="G964" s="383">
        <v>83424</v>
      </c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</row>
    <row r="965" spans="1:23">
      <c r="A965" s="49"/>
      <c r="B965" s="69" t="s">
        <v>276</v>
      </c>
      <c r="C965" s="69" t="s">
        <v>81</v>
      </c>
      <c r="D965" s="69" t="e">
        <f>IFERROR(VLOOKUP(B965,'Thống kê'!$C$3:$D$970,2, FALSE),VLOOKUP(B965,'Thống kê v2 CC'!$A$3:$D$1005,3, FALSE))</f>
        <v>#N/A</v>
      </c>
      <c r="E965" s="69">
        <v>1</v>
      </c>
      <c r="F965" s="71">
        <v>39000</v>
      </c>
      <c r="G965" s="373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</row>
    <row r="966" spans="1:23">
      <c r="A966" s="49"/>
      <c r="B966" s="69" t="s">
        <v>277</v>
      </c>
      <c r="C966" s="69" t="s">
        <v>81</v>
      </c>
      <c r="D966" s="69" t="e">
        <f>IFERROR(VLOOKUP(B966,'Thống kê'!$C$3:$D$970,2, FALSE),VLOOKUP(B966,'Thống kê v2 CC'!$A$3:$D$1005,3, FALSE))</f>
        <v>#N/A</v>
      </c>
      <c r="E966" s="69">
        <v>1</v>
      </c>
      <c r="F966" s="71">
        <v>49000</v>
      </c>
      <c r="G966" s="71">
        <v>36342</v>
      </c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</row>
    <row r="967" spans="1:23">
      <c r="A967" s="49"/>
      <c r="B967" s="69" t="s">
        <v>211</v>
      </c>
      <c r="C967" s="69" t="s">
        <v>81</v>
      </c>
      <c r="D967" s="69" t="e">
        <f>IFERROR(VLOOKUP(B967,'Thống kê'!$C$3:$D$970,2, FALSE),VLOOKUP(B967,'Thống kê v2 CC'!$A$3:$D$1005,3, FALSE))</f>
        <v>#N/A</v>
      </c>
      <c r="E967" s="69">
        <v>1</v>
      </c>
      <c r="F967" s="71">
        <v>115000</v>
      </c>
      <c r="G967" s="71">
        <v>82983</v>
      </c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</row>
    <row r="968" spans="1:23">
      <c r="A968" s="49"/>
      <c r="B968" s="69" t="s">
        <v>202</v>
      </c>
      <c r="C968" s="69" t="s">
        <v>81</v>
      </c>
      <c r="D968" s="69" t="e">
        <f>IFERROR(VLOOKUP(B968,'Thống kê'!$C$3:$D$970,2, FALSE),VLOOKUP(B968,'Thống kê v2 CC'!$A$3:$D$1005,3, FALSE))</f>
        <v>#N/A</v>
      </c>
      <c r="E968" s="69">
        <v>1</v>
      </c>
      <c r="F968" s="71">
        <v>68500</v>
      </c>
      <c r="G968" s="71">
        <v>49249</v>
      </c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</row>
    <row r="969" spans="1:23">
      <c r="A969" s="49"/>
      <c r="B969" s="69" t="s">
        <v>278</v>
      </c>
      <c r="C969" s="69" t="s">
        <v>81</v>
      </c>
      <c r="D969" s="69" t="str">
        <f>IFERROR(VLOOKUP(B969,'Thống kê'!$C$3:$D$970,2, FALSE),VLOOKUP(B969,'Thống kê v2 CC'!$A$3:$D$1005,3, FALSE))</f>
        <v>Dao rọc giấy 09</v>
      </c>
      <c r="E969" s="69">
        <v>1</v>
      </c>
      <c r="F969" s="71">
        <v>11040</v>
      </c>
      <c r="G969" s="383">
        <v>106352</v>
      </c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</row>
    <row r="970" spans="1:23">
      <c r="A970" s="49"/>
      <c r="B970" s="69" t="s">
        <v>79</v>
      </c>
      <c r="C970" s="69" t="s">
        <v>81</v>
      </c>
      <c r="D970" s="69" t="str">
        <f>IFERROR(VLOOKUP(B970,'Thống kê'!$C$3:$D$970,2, FALSE),VLOOKUP(B970,'Thống kê v2 CC'!$A$3:$D$1005,3, FALSE))</f>
        <v>Móc khóa mô hình Twinkle Mini</v>
      </c>
      <c r="E970" s="69">
        <v>1</v>
      </c>
      <c r="F970" s="71">
        <v>68500</v>
      </c>
      <c r="G970" s="372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</row>
    <row r="971" spans="1:23">
      <c r="A971" s="49"/>
      <c r="B971" s="69" t="s">
        <v>97</v>
      </c>
      <c r="C971" s="69" t="s">
        <v>81</v>
      </c>
      <c r="D971" s="70">
        <f>IFERROR(VLOOKUP(B971,'Thống kê'!$C$3:$D$970,2, FALSE),VLOOKUP(B971,'Thống kê v2 CC'!$A$3:$D$1005,3, FALSE))</f>
        <v>0</v>
      </c>
      <c r="E971" s="69">
        <v>1</v>
      </c>
      <c r="F971" s="71">
        <v>68500</v>
      </c>
      <c r="G971" s="373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</row>
    <row r="972" spans="1:23">
      <c r="A972" s="49"/>
      <c r="B972" s="69" t="s">
        <v>111</v>
      </c>
      <c r="C972" s="69" t="s">
        <v>81</v>
      </c>
      <c r="D972" s="70">
        <f>IFERROR(VLOOKUP(B972,'Thống kê'!$C$3:$D$970,2, FALSE),VLOOKUP(B972,'Thống kê v2 CC'!$A$3:$D$1005,3, FALSE))</f>
        <v>0</v>
      </c>
      <c r="E972" s="69">
        <v>1</v>
      </c>
      <c r="F972" s="71">
        <v>68500</v>
      </c>
      <c r="G972" s="383">
        <v>98198</v>
      </c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</row>
    <row r="973" spans="1:23">
      <c r="A973" s="49"/>
      <c r="B973" s="69" t="s">
        <v>274</v>
      </c>
      <c r="C973" s="69" t="s">
        <v>81</v>
      </c>
      <c r="D973" s="69" t="e">
        <f>IFERROR(VLOOKUP(B973,'Thống kê'!$C$3:$D$970,2, FALSE),VLOOKUP(B973,'Thống kê v2 CC'!$A$3:$D$1005,3, FALSE))</f>
        <v>#N/A</v>
      </c>
      <c r="E973" s="69">
        <v>1</v>
      </c>
      <c r="F973" s="71">
        <v>68500</v>
      </c>
      <c r="G973" s="373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</row>
    <row r="974" spans="1:23">
      <c r="A974" s="49"/>
      <c r="B974" s="69" t="s">
        <v>279</v>
      </c>
      <c r="C974" s="69" t="s">
        <v>81</v>
      </c>
      <c r="D974" s="70">
        <f>IFERROR(VLOOKUP(B974,'Thống kê'!$C$3:$D$970,2, FALSE),VLOOKUP(B974,'Thống kê v2 CC'!$A$3:$D$1005,3, FALSE))</f>
        <v>0</v>
      </c>
      <c r="E974" s="69">
        <v>1</v>
      </c>
      <c r="F974" s="71">
        <v>68500</v>
      </c>
      <c r="G974" s="71">
        <v>49249</v>
      </c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</row>
    <row r="975" spans="1:23">
      <c r="A975" s="49"/>
      <c r="B975" s="69" t="s">
        <v>280</v>
      </c>
      <c r="C975" s="69" t="s">
        <v>81</v>
      </c>
      <c r="D975" s="69" t="e">
        <f>IFERROR(VLOOKUP(B975,'Thống kê'!$C$3:$D$970,2, FALSE),VLOOKUP(B975,'Thống kê v2 CC'!$A$3:$D$1005,3, FALSE))</f>
        <v>#N/A</v>
      </c>
      <c r="E975" s="69">
        <v>1</v>
      </c>
      <c r="F975" s="71">
        <v>59000</v>
      </c>
      <c r="G975" s="71">
        <v>44371</v>
      </c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</row>
    <row r="976" spans="1:23">
      <c r="A976" s="49"/>
      <c r="B976" s="69" t="s">
        <v>82</v>
      </c>
      <c r="C976" s="69" t="s">
        <v>81</v>
      </c>
      <c r="D976" s="70">
        <f>IFERROR(VLOOKUP(B976,'Thống kê'!$C$3:$D$970,2, FALSE),VLOOKUP(B976,'Thống kê v2 CC'!$A$3:$D$1005,3, FALSE))</f>
        <v>0</v>
      </c>
      <c r="E976" s="69">
        <v>1</v>
      </c>
      <c r="F976" s="71">
        <v>68500</v>
      </c>
      <c r="G976" s="71">
        <v>49249</v>
      </c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</row>
    <row r="977" spans="1:23">
      <c r="A977" s="49"/>
      <c r="B977" s="69" t="s">
        <v>273</v>
      </c>
      <c r="C977" s="69" t="s">
        <v>81</v>
      </c>
      <c r="D977" s="70">
        <f>IFERROR(VLOOKUP(B977,'Thống kê'!$C$3:$D$970,2, FALSE),VLOOKUP(B977,'Thống kê v2 CC'!$A$3:$D$1005,3, FALSE))</f>
        <v>0</v>
      </c>
      <c r="E977" s="69">
        <v>1</v>
      </c>
      <c r="F977" s="71">
        <v>169000</v>
      </c>
      <c r="G977" s="71">
        <v>123359</v>
      </c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</row>
    <row r="978" spans="1:23">
      <c r="A978" s="49"/>
      <c r="B978" s="69" t="s">
        <v>188</v>
      </c>
      <c r="C978" s="69" t="s">
        <v>81</v>
      </c>
      <c r="D978" s="70">
        <f>IFERROR(VLOOKUP(B978,'Thống kê'!$C$3:$D$970,2, FALSE),VLOOKUP(B978,'Thống kê v2 CC'!$A$3:$D$1005,3, FALSE))</f>
        <v>0</v>
      </c>
      <c r="E978" s="69">
        <v>1</v>
      </c>
      <c r="F978" s="71">
        <v>68500</v>
      </c>
      <c r="G978" s="383">
        <v>149950</v>
      </c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</row>
    <row r="979" spans="1:23">
      <c r="A979" s="49"/>
      <c r="B979" s="69" t="s">
        <v>86</v>
      </c>
      <c r="C979" s="69" t="s">
        <v>81</v>
      </c>
      <c r="D979" s="70">
        <f>IFERROR(VLOOKUP(B979,'Thống kê'!$C$3:$D$970,2, FALSE),VLOOKUP(B979,'Thống kê v2 CC'!$A$3:$D$1005,3, FALSE))</f>
        <v>0</v>
      </c>
      <c r="E979" s="69">
        <v>1</v>
      </c>
      <c r="F979" s="71">
        <v>68500</v>
      </c>
      <c r="G979" s="372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</row>
    <row r="980" spans="1:23">
      <c r="A980" s="49"/>
      <c r="B980" s="69" t="s">
        <v>97</v>
      </c>
      <c r="C980" s="69" t="s">
        <v>81</v>
      </c>
      <c r="D980" s="70">
        <f>IFERROR(VLOOKUP(B980,'Thống kê'!$C$3:$D$970,2, FALSE),VLOOKUP(B980,'Thống kê v2 CC'!$A$3:$D$1005,3, FALSE))</f>
        <v>0</v>
      </c>
      <c r="E980" s="69">
        <v>1</v>
      </c>
      <c r="F980" s="71">
        <v>68500</v>
      </c>
      <c r="G980" s="373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</row>
    <row r="981" spans="1:23">
      <c r="A981" s="49"/>
      <c r="B981" s="69" t="s">
        <v>96</v>
      </c>
      <c r="C981" s="69" t="s">
        <v>81</v>
      </c>
      <c r="D981" s="70">
        <f>IFERROR(VLOOKUP(B981,'Thống kê'!$C$3:$D$970,2, FALSE),VLOOKUP(B981,'Thống kê v2 CC'!$A$3:$D$1005,3, FALSE))</f>
        <v>0</v>
      </c>
      <c r="E981" s="69">
        <v>1</v>
      </c>
      <c r="F981" s="71">
        <v>68500</v>
      </c>
      <c r="G981" s="71">
        <v>49249</v>
      </c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</row>
    <row r="982" spans="1:23">
      <c r="A982" s="49"/>
      <c r="B982" s="69" t="s">
        <v>77</v>
      </c>
      <c r="C982" s="69" t="s">
        <v>81</v>
      </c>
      <c r="D982" s="70">
        <f>IFERROR(VLOOKUP(B982,'Thống kê'!$C$3:$D$970,2, FALSE),VLOOKUP(B982,'Thống kê v2 CC'!$A$3:$D$1005,3, FALSE))</f>
        <v>0</v>
      </c>
      <c r="E982" s="69">
        <v>1</v>
      </c>
      <c r="F982" s="71">
        <v>62000</v>
      </c>
      <c r="G982" s="71">
        <v>44290</v>
      </c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</row>
    <row r="983" spans="1:23">
      <c r="A983" s="49"/>
      <c r="B983" s="69" t="s">
        <v>281</v>
      </c>
      <c r="C983" s="69" t="s">
        <v>81</v>
      </c>
      <c r="D983" s="70">
        <f>IFERROR(VLOOKUP(B983,'Thống kê'!$C$3:$D$970,2, FALSE),VLOOKUP(B983,'Thống kê v2 CC'!$A$3:$D$1005,3, FALSE))</f>
        <v>0</v>
      </c>
      <c r="E983" s="69">
        <v>1</v>
      </c>
      <c r="F983" s="71">
        <v>99000</v>
      </c>
      <c r="G983" s="71">
        <v>70128</v>
      </c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</row>
    <row r="984" spans="1:23">
      <c r="A984" s="49"/>
      <c r="B984" s="69" t="s">
        <v>282</v>
      </c>
      <c r="C984" s="69" t="s">
        <v>81</v>
      </c>
      <c r="D984" s="69" t="e">
        <f>IFERROR(VLOOKUP(B984,'Thống kê'!$C$3:$D$970,2, FALSE),VLOOKUP(B984,'Thống kê v2 CC'!$A$3:$D$1005,3, FALSE))</f>
        <v>#N/A</v>
      </c>
      <c r="E984" s="69">
        <v>1</v>
      </c>
      <c r="F984" s="71">
        <v>99000</v>
      </c>
      <c r="G984" s="71">
        <v>71021</v>
      </c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</row>
    <row r="985" spans="1:23">
      <c r="A985" s="49"/>
      <c r="B985" s="69" t="s">
        <v>283</v>
      </c>
      <c r="C985" s="69" t="s">
        <v>81</v>
      </c>
      <c r="D985" s="69" t="e">
        <f>IFERROR(VLOOKUP(B985,'Thống kê'!$C$3:$D$970,2, FALSE),VLOOKUP(B985,'Thống kê v2 CC'!$A$3:$D$1005,3, FALSE))</f>
        <v>#N/A</v>
      </c>
      <c r="E985" s="69">
        <v>1</v>
      </c>
      <c r="F985" s="71">
        <v>120000</v>
      </c>
      <c r="G985" s="383">
        <v>134145</v>
      </c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</row>
    <row r="986" spans="1:23">
      <c r="A986" s="49"/>
      <c r="B986" s="69" t="s">
        <v>188</v>
      </c>
      <c r="C986" s="69" t="s">
        <v>81</v>
      </c>
      <c r="D986" s="70">
        <f>IFERROR(VLOOKUP(B986,'Thống kê'!$C$3:$D$970,2, FALSE),VLOOKUP(B986,'Thống kê v2 CC'!$A$3:$D$1005,3, FALSE))</f>
        <v>0</v>
      </c>
      <c r="E986" s="69">
        <v>1</v>
      </c>
      <c r="F986" s="71">
        <v>68500</v>
      </c>
      <c r="G986" s="373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</row>
    <row r="987" spans="1:23">
      <c r="A987" s="49"/>
      <c r="B987" s="69" t="s">
        <v>104</v>
      </c>
      <c r="C987" s="69" t="s">
        <v>81</v>
      </c>
      <c r="D987" s="70">
        <f>IFERROR(VLOOKUP(B987,'Thống kê'!$C$3:$D$970,2, FALSE),VLOOKUP(B987,'Thống kê v2 CC'!$A$3:$D$1005,3, FALSE))</f>
        <v>0</v>
      </c>
      <c r="E987" s="69">
        <v>1</v>
      </c>
      <c r="F987" s="71">
        <v>68500</v>
      </c>
      <c r="G987" s="383">
        <v>146320</v>
      </c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</row>
    <row r="988" spans="1:23">
      <c r="A988" s="49"/>
      <c r="B988" s="69" t="s">
        <v>284</v>
      </c>
      <c r="C988" s="69" t="s">
        <v>81</v>
      </c>
      <c r="D988" s="69" t="e">
        <f>IFERROR(VLOOKUP(B988,'Thống kê'!$C$3:$D$970,2, FALSE),VLOOKUP(B988,'Thống kê v2 CC'!$A$3:$D$1005,3, FALSE))</f>
        <v>#N/A</v>
      </c>
      <c r="E988" s="69">
        <v>1</v>
      </c>
      <c r="F988" s="71">
        <v>131000</v>
      </c>
      <c r="G988" s="373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</row>
    <row r="989" spans="1:23">
      <c r="A989" s="49"/>
      <c r="B989" s="69" t="s">
        <v>142</v>
      </c>
      <c r="C989" s="69" t="s">
        <v>81</v>
      </c>
      <c r="D989" s="70">
        <f>IFERROR(VLOOKUP(B989,'Thống kê'!$C$3:$D$970,2, FALSE),VLOOKUP(B989,'Thống kê v2 CC'!$A$3:$D$1005,3, FALSE))</f>
        <v>0</v>
      </c>
      <c r="E989" s="69">
        <v>1</v>
      </c>
      <c r="F989" s="71">
        <v>68500</v>
      </c>
      <c r="G989" s="71">
        <v>49249</v>
      </c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</row>
    <row r="990" spans="1:23">
      <c r="A990" s="49"/>
      <c r="B990" s="69" t="s">
        <v>224</v>
      </c>
      <c r="C990" s="69" t="s">
        <v>81</v>
      </c>
      <c r="D990" s="69" t="str">
        <f>IFERROR(VLOOKUP(B990,'Thống kê'!$C$3:$D$970,2, FALSE),VLOOKUP(B990,'Thống kê v2 CC'!$A$3:$D$1005,3, FALSE))</f>
        <v xml:space="preserve">Pop Bean Popmart </v>
      </c>
      <c r="E990" s="69">
        <v>1</v>
      </c>
      <c r="F990" s="71">
        <v>169000</v>
      </c>
      <c r="G990" s="71">
        <v>123359</v>
      </c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</row>
    <row r="991" spans="1:23">
      <c r="A991" s="49"/>
      <c r="B991" s="69" t="s">
        <v>285</v>
      </c>
      <c r="C991" s="69" t="s">
        <v>81</v>
      </c>
      <c r="D991" s="69" t="str">
        <f>IFERROR(VLOOKUP(B991,'Thống kê'!$C$3:$D$970,2, FALSE),VLOOKUP(B991,'Thống kê v2 CC'!$A$3:$D$1005,3, FALSE))</f>
        <v>Móc khoá Labubu mini Popmart</v>
      </c>
      <c r="E991" s="69">
        <v>1</v>
      </c>
      <c r="F991" s="71">
        <v>60000</v>
      </c>
      <c r="G991" s="71">
        <v>42765</v>
      </c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</row>
    <row r="992" spans="1:23">
      <c r="A992" s="49"/>
      <c r="B992" s="69" t="s">
        <v>286</v>
      </c>
      <c r="C992" s="69" t="s">
        <v>81</v>
      </c>
      <c r="D992" s="69" t="e">
        <f>IFERROR(VLOOKUP(B992,'Thống kê'!$C$3:$D$970,2, FALSE),VLOOKUP(B992,'Thống kê v2 CC'!$A$3:$D$1005,3, FALSE))</f>
        <v>#N/A</v>
      </c>
      <c r="E992" s="69">
        <v>1</v>
      </c>
      <c r="F992" s="71">
        <v>68500</v>
      </c>
      <c r="G992" s="383">
        <v>150572</v>
      </c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</row>
    <row r="993" spans="1:23">
      <c r="A993" s="49"/>
      <c r="B993" s="69" t="s">
        <v>97</v>
      </c>
      <c r="C993" s="69" t="s">
        <v>81</v>
      </c>
      <c r="D993" s="70">
        <f>IFERROR(VLOOKUP(B993,'Thống kê'!$C$3:$D$970,2, FALSE),VLOOKUP(B993,'Thống kê v2 CC'!$A$3:$D$1005,3, FALSE))</f>
        <v>0</v>
      </c>
      <c r="E993" s="69">
        <v>1</v>
      </c>
      <c r="F993" s="71">
        <v>68500</v>
      </c>
      <c r="G993" s="372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</row>
    <row r="994" spans="1:23">
      <c r="A994" s="49"/>
      <c r="B994" s="69" t="s">
        <v>275</v>
      </c>
      <c r="C994" s="69" t="s">
        <v>81</v>
      </c>
      <c r="D994" s="69" t="e">
        <f>IFERROR(VLOOKUP(B994,'Thống kê'!$C$3:$D$970,2, FALSE),VLOOKUP(B994,'Thống kê v2 CC'!$A$3:$D$1005,3, FALSE))</f>
        <v>#N/A</v>
      </c>
      <c r="E994" s="69">
        <v>1</v>
      </c>
      <c r="F994" s="71">
        <v>68500</v>
      </c>
      <c r="G994" s="373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</row>
    <row r="995" spans="1:23">
      <c r="A995" s="49"/>
      <c r="B995" s="69" t="s">
        <v>126</v>
      </c>
      <c r="C995" s="69" t="s">
        <v>81</v>
      </c>
      <c r="D995" s="70">
        <f>IFERROR(VLOOKUP(B995,'Thống kê'!$C$3:$D$970,2, FALSE),VLOOKUP(B995,'Thống kê v2 CC'!$A$3:$D$1005,3, FALSE))</f>
        <v>0</v>
      </c>
      <c r="E995" s="69">
        <v>1</v>
      </c>
      <c r="F995" s="71">
        <v>68500</v>
      </c>
      <c r="G995" s="383">
        <v>157981</v>
      </c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</row>
    <row r="996" spans="1:23">
      <c r="A996" s="49"/>
      <c r="B996" s="69" t="s">
        <v>96</v>
      </c>
      <c r="C996" s="69" t="s">
        <v>81</v>
      </c>
      <c r="D996" s="70">
        <f>IFERROR(VLOOKUP(B996,'Thống kê'!$C$3:$D$970,2, FALSE),VLOOKUP(B996,'Thống kê v2 CC'!$A$3:$D$1005,3, FALSE))</f>
        <v>0</v>
      </c>
      <c r="E996" s="69">
        <v>1</v>
      </c>
      <c r="F996" s="71">
        <v>68500</v>
      </c>
      <c r="G996" s="373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</row>
    <row r="997" spans="1:23">
      <c r="A997" s="49"/>
      <c r="B997" s="69" t="s">
        <v>287</v>
      </c>
      <c r="C997" s="69" t="s">
        <v>81</v>
      </c>
      <c r="D997" s="69" t="e">
        <f>IFERROR(VLOOKUP(B997,'Thống kê'!$C$3:$D$970,2, FALSE),VLOOKUP(B997,'Thống kê v2 CC'!$A$3:$D$1005,3, FALSE))</f>
        <v>#N/A</v>
      </c>
      <c r="E997" s="69">
        <v>1</v>
      </c>
      <c r="F997" s="71">
        <v>99000</v>
      </c>
      <c r="G997" s="383">
        <v>226182</v>
      </c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</row>
    <row r="998" spans="1:23">
      <c r="A998" s="49"/>
      <c r="B998" s="69" t="s">
        <v>288</v>
      </c>
      <c r="C998" s="69" t="s">
        <v>81</v>
      </c>
      <c r="D998" s="69" t="e">
        <f>IFERROR(VLOOKUP(B998,'Thống kê'!$C$3:$D$970,2, FALSE),VLOOKUP(B998,'Thống kê v2 CC'!$A$3:$D$1005,3, FALSE))</f>
        <v>#N/A</v>
      </c>
      <c r="E998" s="69">
        <v>1</v>
      </c>
      <c r="F998" s="71">
        <v>198000</v>
      </c>
      <c r="G998" s="373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</row>
    <row r="999" spans="1:23">
      <c r="A999" s="49"/>
      <c r="B999" s="69" t="s">
        <v>96</v>
      </c>
      <c r="C999" s="69" t="s">
        <v>81</v>
      </c>
      <c r="D999" s="70">
        <f>IFERROR(VLOOKUP(B999,'Thống kê'!$C$3:$D$970,2, FALSE),VLOOKUP(B999,'Thống kê v2 CC'!$A$3:$D$1005,3, FALSE))</f>
        <v>0</v>
      </c>
      <c r="E999" s="69">
        <v>1</v>
      </c>
      <c r="F999" s="71">
        <v>68500</v>
      </c>
      <c r="G999" s="71">
        <v>49249</v>
      </c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</row>
    <row r="1000" spans="1:23">
      <c r="A1000" s="49"/>
      <c r="B1000" s="69" t="s">
        <v>289</v>
      </c>
      <c r="C1000" s="69" t="s">
        <v>81</v>
      </c>
      <c r="D1000" s="69" t="e">
        <f>IFERROR(VLOOKUP(B1000,'Thống kê'!$C$3:$D$970,2, FALSE),VLOOKUP(B1000,'Thống kê v2 CC'!$A$3:$D$1005,3, FALSE))</f>
        <v>#N/A</v>
      </c>
      <c r="E1000" s="69">
        <v>1</v>
      </c>
      <c r="F1000" s="71">
        <v>68500</v>
      </c>
      <c r="G1000" s="71">
        <v>49887</v>
      </c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</row>
    <row r="1001" spans="1:23">
      <c r="A1001" s="49"/>
      <c r="B1001" s="69" t="s">
        <v>290</v>
      </c>
      <c r="C1001" s="69" t="s">
        <v>81</v>
      </c>
      <c r="D1001" s="69" t="e">
        <f>IFERROR(VLOOKUP(B1001,'Thống kê'!$C$3:$D$970,2, FALSE),VLOOKUP(B1001,'Thống kê v2 CC'!$A$3:$D$1005,3, FALSE))</f>
        <v>#N/A</v>
      </c>
      <c r="E1001" s="69">
        <v>1</v>
      </c>
      <c r="F1001" s="71">
        <v>199000</v>
      </c>
      <c r="G1001" s="71">
        <v>146537</v>
      </c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</row>
    <row r="1002" spans="1:23">
      <c r="A1002" s="49"/>
      <c r="B1002" s="69" t="s">
        <v>275</v>
      </c>
      <c r="C1002" s="69" t="s">
        <v>81</v>
      </c>
      <c r="D1002" s="69" t="e">
        <f>IFERROR(VLOOKUP(B1002,'Thống kê'!$C$3:$D$970,2, FALSE),VLOOKUP(B1002,'Thống kê v2 CC'!$A$3:$D$1005,3, FALSE))</f>
        <v>#N/A</v>
      </c>
      <c r="E1002" s="69">
        <v>1</v>
      </c>
      <c r="F1002" s="71">
        <v>68500</v>
      </c>
      <c r="G1002" s="71">
        <v>49249</v>
      </c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</row>
    <row r="1003" spans="1:23">
      <c r="A1003" s="49"/>
      <c r="B1003" s="69" t="s">
        <v>291</v>
      </c>
      <c r="C1003" s="69" t="s">
        <v>81</v>
      </c>
      <c r="D1003" s="69" t="e">
        <f>IFERROR(VLOOKUP(B1003,'Thống kê'!$C$3:$D$970,2, FALSE),VLOOKUP(B1003,'Thống kê v2 CC'!$A$3:$D$1005,3, FALSE))</f>
        <v>#N/A</v>
      </c>
      <c r="E1003" s="69">
        <v>1</v>
      </c>
      <c r="F1003" s="71">
        <v>68500</v>
      </c>
      <c r="G1003" s="71">
        <v>49249</v>
      </c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</row>
    <row r="1004" spans="1:23">
      <c r="A1004" s="49"/>
      <c r="B1004" s="69" t="s">
        <v>136</v>
      </c>
      <c r="C1004" s="69" t="s">
        <v>81</v>
      </c>
      <c r="D1004" s="69" t="e">
        <f>IFERROR(VLOOKUP(B1004,'Thống kê'!$C$3:$D$970,2, FALSE),VLOOKUP(B1004,'Thống kê v2 CC'!$A$3:$D$1005,3, FALSE))</f>
        <v>#N/A</v>
      </c>
      <c r="E1004" s="69">
        <v>1</v>
      </c>
      <c r="F1004" s="71">
        <v>150000</v>
      </c>
      <c r="G1004" s="383">
        <v>161758</v>
      </c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</row>
    <row r="1005" spans="1:23">
      <c r="A1005" s="49"/>
      <c r="B1005" s="69" t="s">
        <v>86</v>
      </c>
      <c r="C1005" s="69" t="s">
        <v>81</v>
      </c>
      <c r="D1005" s="70">
        <f>IFERROR(VLOOKUP(B1005,'Thống kê'!$C$3:$D$970,2, FALSE),VLOOKUP(B1005,'Thống kê v2 CC'!$A$3:$D$1005,3, FALSE))</f>
        <v>0</v>
      </c>
      <c r="E1005" s="69">
        <v>1</v>
      </c>
      <c r="F1005" s="71">
        <v>68500</v>
      </c>
      <c r="G1005" s="373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</row>
    <row r="1006" spans="1:23">
      <c r="A1006" s="49"/>
      <c r="B1006" s="69" t="s">
        <v>214</v>
      </c>
      <c r="C1006" s="69" t="s">
        <v>81</v>
      </c>
      <c r="D1006" s="70">
        <f>IFERROR(VLOOKUP(B1006,'Thống kê'!$C$3:$D$970,2, FALSE),VLOOKUP(B1006,'Thống kê v2 CC'!$A$3:$D$1005,3, FALSE))</f>
        <v>0</v>
      </c>
      <c r="E1006" s="69">
        <v>1</v>
      </c>
      <c r="F1006" s="71">
        <v>68500</v>
      </c>
      <c r="G1006" s="383">
        <v>205408</v>
      </c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</row>
    <row r="1007" spans="1:23">
      <c r="A1007" s="49"/>
      <c r="B1007" s="69" t="s">
        <v>101</v>
      </c>
      <c r="C1007" s="69" t="s">
        <v>81</v>
      </c>
      <c r="D1007" s="70">
        <f>IFERROR(VLOOKUP(B1007,'Thống kê'!$C$3:$D$970,2, FALSE),VLOOKUP(B1007,'Thống kê v2 CC'!$A$3:$D$1005,3, FALSE))</f>
        <v>0</v>
      </c>
      <c r="E1007" s="69">
        <v>1</v>
      </c>
      <c r="F1007" s="71">
        <v>68500</v>
      </c>
      <c r="G1007" s="372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</row>
    <row r="1008" spans="1:23">
      <c r="A1008" s="49"/>
      <c r="B1008" s="69" t="s">
        <v>171</v>
      </c>
      <c r="C1008" s="69" t="s">
        <v>81</v>
      </c>
      <c r="D1008" s="70">
        <f>IFERROR(VLOOKUP(B1008,'Thống kê'!$C$3:$D$970,2, FALSE),VLOOKUP(B1008,'Thống kê v2 CC'!$A$3:$D$1005,3, FALSE))</f>
        <v>0</v>
      </c>
      <c r="E1008" s="69">
        <v>1</v>
      </c>
      <c r="F1008" s="71">
        <v>68500</v>
      </c>
      <c r="G1008" s="372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</row>
    <row r="1009" spans="1:23">
      <c r="A1009" s="49"/>
      <c r="B1009" s="69" t="s">
        <v>117</v>
      </c>
      <c r="C1009" s="69" t="s">
        <v>81</v>
      </c>
      <c r="D1009" s="70">
        <f>IFERROR(VLOOKUP(B1009,'Thống kê'!$C$3:$D$970,2, FALSE),VLOOKUP(B1009,'Thống kê v2 CC'!$A$3:$D$1005,3, FALSE))</f>
        <v>0</v>
      </c>
      <c r="E1009" s="69">
        <v>1</v>
      </c>
      <c r="F1009" s="71">
        <v>68500</v>
      </c>
      <c r="G1009" s="373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</row>
    <row r="1010" spans="1:23">
      <c r="A1010" s="49"/>
      <c r="B1010" s="69" t="s">
        <v>132</v>
      </c>
      <c r="C1010" s="69" t="s">
        <v>81</v>
      </c>
      <c r="D1010" s="70">
        <f>IFERROR(VLOOKUP(B1010,'Thống kê'!$C$3:$D$970,2, FALSE),VLOOKUP(B1010,'Thống kê v2 CC'!$A$3:$D$1005,3, FALSE))</f>
        <v>0</v>
      </c>
      <c r="E1010" s="69">
        <v>1</v>
      </c>
      <c r="F1010" s="71">
        <v>68500</v>
      </c>
      <c r="G1010" s="71">
        <v>49249</v>
      </c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</row>
    <row r="1011" spans="1:23">
      <c r="A1011" s="49"/>
      <c r="B1011" s="69" t="s">
        <v>290</v>
      </c>
      <c r="C1011" s="69" t="s">
        <v>81</v>
      </c>
      <c r="D1011" s="69" t="e">
        <f>IFERROR(VLOOKUP(B1011,'Thống kê'!$C$3:$D$970,2, FALSE),VLOOKUP(B1011,'Thống kê v2 CC'!$A$3:$D$1005,3, FALSE))</f>
        <v>#N/A</v>
      </c>
      <c r="E1011" s="69">
        <v>1</v>
      </c>
      <c r="F1011" s="71">
        <v>199000</v>
      </c>
      <c r="G1011" s="71">
        <v>146537</v>
      </c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</row>
    <row r="1012" spans="1:23">
      <c r="A1012" s="49"/>
      <c r="B1012" s="69" t="s">
        <v>280</v>
      </c>
      <c r="C1012" s="69" t="s">
        <v>81</v>
      </c>
      <c r="D1012" s="69" t="e">
        <f>IFERROR(VLOOKUP(B1012,'Thống kê'!$C$3:$D$970,2, FALSE),VLOOKUP(B1012,'Thống kê v2 CC'!$A$3:$D$1005,3, FALSE))</f>
        <v>#N/A</v>
      </c>
      <c r="E1012" s="69">
        <v>1</v>
      </c>
      <c r="F1012" s="71">
        <v>59000</v>
      </c>
      <c r="G1012" s="71">
        <v>44371</v>
      </c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</row>
    <row r="1013" spans="1:23">
      <c r="A1013" s="49"/>
      <c r="B1013" s="69" t="s">
        <v>134</v>
      </c>
      <c r="C1013" s="69" t="s">
        <v>81</v>
      </c>
      <c r="D1013" s="70">
        <f>IFERROR(VLOOKUP(B1013,'Thống kê'!$C$3:$D$970,2, FALSE),VLOOKUP(B1013,'Thống kê v2 CC'!$A$3:$D$1005,3, FALSE))</f>
        <v>0</v>
      </c>
      <c r="E1013" s="69">
        <v>1</v>
      </c>
      <c r="F1013" s="71">
        <v>68500</v>
      </c>
      <c r="G1013" s="71">
        <v>49249</v>
      </c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</row>
    <row r="1014" spans="1:23">
      <c r="A1014" s="49"/>
      <c r="B1014" s="69" t="s">
        <v>79</v>
      </c>
      <c r="C1014" s="69" t="s">
        <v>81</v>
      </c>
      <c r="D1014" s="69" t="str">
        <f>IFERROR(VLOOKUP(B1014,'Thống kê'!$C$3:$D$970,2, FALSE),VLOOKUP(B1014,'Thống kê v2 CC'!$A$3:$D$1005,3, FALSE))</f>
        <v>Móc khóa mô hình Twinkle Mini</v>
      </c>
      <c r="E1014" s="69">
        <v>1</v>
      </c>
      <c r="F1014" s="71">
        <v>68500</v>
      </c>
      <c r="G1014" s="383">
        <v>98198</v>
      </c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</row>
    <row r="1015" spans="1:23">
      <c r="A1015" s="49"/>
      <c r="B1015" s="69" t="s">
        <v>289</v>
      </c>
      <c r="C1015" s="69" t="s">
        <v>81</v>
      </c>
      <c r="D1015" s="69" t="e">
        <f>IFERROR(VLOOKUP(B1015,'Thống kê'!$C$3:$D$970,2, FALSE),VLOOKUP(B1015,'Thống kê v2 CC'!$A$3:$D$1005,3, FALSE))</f>
        <v>#N/A</v>
      </c>
      <c r="E1015" s="69">
        <v>1</v>
      </c>
      <c r="F1015" s="71">
        <v>68500</v>
      </c>
      <c r="G1015" s="373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</row>
    <row r="1016" spans="1:23">
      <c r="A1016" s="49"/>
      <c r="B1016" s="69" t="s">
        <v>292</v>
      </c>
      <c r="C1016" s="69" t="s">
        <v>81</v>
      </c>
      <c r="D1016" s="69" t="e">
        <f>IFERROR(VLOOKUP(B1016,'Thống kê'!$C$3:$D$970,2, FALSE),VLOOKUP(B1016,'Thống kê v2 CC'!$A$3:$D$1005,3, FALSE))</f>
        <v>#N/A</v>
      </c>
      <c r="E1016" s="69">
        <v>1</v>
      </c>
      <c r="F1016" s="71">
        <v>68500</v>
      </c>
      <c r="G1016" s="71">
        <v>49249</v>
      </c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</row>
    <row r="1017" spans="1:23">
      <c r="A1017" s="49"/>
      <c r="B1017" s="69" t="s">
        <v>134</v>
      </c>
      <c r="C1017" s="69" t="s">
        <v>81</v>
      </c>
      <c r="D1017" s="70">
        <f>IFERROR(VLOOKUP(B1017,'Thống kê'!$C$3:$D$970,2, FALSE),VLOOKUP(B1017,'Thống kê v2 CC'!$A$3:$D$1005,3, FALSE))</f>
        <v>0</v>
      </c>
      <c r="E1017" s="69">
        <v>1</v>
      </c>
      <c r="F1017" s="71">
        <v>68500</v>
      </c>
      <c r="G1017" s="383">
        <v>98198</v>
      </c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</row>
    <row r="1018" spans="1:23">
      <c r="A1018" s="49"/>
      <c r="B1018" s="69" t="s">
        <v>154</v>
      </c>
      <c r="C1018" s="69" t="s">
        <v>81</v>
      </c>
      <c r="D1018" s="70">
        <f>IFERROR(VLOOKUP(B1018,'Thống kê'!$C$3:$D$970,2, FALSE),VLOOKUP(B1018,'Thống kê v2 CC'!$A$3:$D$1005,3, FALSE))</f>
        <v>0</v>
      </c>
      <c r="E1018" s="69">
        <v>1</v>
      </c>
      <c r="F1018" s="71">
        <v>68500</v>
      </c>
      <c r="G1018" s="373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</row>
    <row r="1019" spans="1:23">
      <c r="A1019" s="49"/>
      <c r="B1019" s="69" t="s">
        <v>135</v>
      </c>
      <c r="C1019" s="69" t="s">
        <v>81</v>
      </c>
      <c r="D1019" s="70">
        <f>IFERROR(VLOOKUP(B1019,'Thống kê'!$C$3:$D$970,2, FALSE),VLOOKUP(B1019,'Thống kê v2 CC'!$A$3:$D$1005,3, FALSE))</f>
        <v>0</v>
      </c>
      <c r="E1019" s="69">
        <v>1</v>
      </c>
      <c r="F1019" s="71">
        <v>68500</v>
      </c>
      <c r="G1019" s="71">
        <v>49249</v>
      </c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</row>
    <row r="1020" spans="1:23">
      <c r="A1020" s="49"/>
      <c r="B1020" s="69" t="s">
        <v>293</v>
      </c>
      <c r="C1020" s="69" t="s">
        <v>81</v>
      </c>
      <c r="D1020" s="69" t="e">
        <f>IFERROR(VLOOKUP(B1020,'Thống kê'!$C$3:$D$970,2, FALSE),VLOOKUP(B1020,'Thống kê v2 CC'!$A$3:$D$1005,3, FALSE))</f>
        <v>#N/A</v>
      </c>
      <c r="E1020" s="69">
        <v>1</v>
      </c>
      <c r="F1020" s="71">
        <v>49000</v>
      </c>
      <c r="G1020" s="383">
        <v>105584</v>
      </c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</row>
    <row r="1021" spans="1:23">
      <c r="A1021" s="49"/>
      <c r="B1021" s="69" t="s">
        <v>277</v>
      </c>
      <c r="C1021" s="69" t="s">
        <v>81</v>
      </c>
      <c r="D1021" s="69" t="e">
        <f>IFERROR(VLOOKUP(B1021,'Thống kê'!$C$3:$D$970,2, FALSE),VLOOKUP(B1021,'Thống kê v2 CC'!$A$3:$D$1005,3, FALSE))</f>
        <v>#N/A</v>
      </c>
      <c r="E1021" s="69">
        <v>1</v>
      </c>
      <c r="F1021" s="71">
        <v>49000</v>
      </c>
      <c r="G1021" s="373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</row>
    <row r="1022" spans="1:23">
      <c r="A1022" s="49"/>
      <c r="B1022" s="69" t="s">
        <v>96</v>
      </c>
      <c r="C1022" s="69" t="s">
        <v>81</v>
      </c>
      <c r="D1022" s="70">
        <f>IFERROR(VLOOKUP(B1022,'Thống kê'!$C$3:$D$970,2, FALSE),VLOOKUP(B1022,'Thống kê v2 CC'!$A$3:$D$1005,3, FALSE))</f>
        <v>0</v>
      </c>
      <c r="E1022" s="69">
        <v>1</v>
      </c>
      <c r="F1022" s="71">
        <v>68500</v>
      </c>
      <c r="G1022" s="383">
        <v>98441</v>
      </c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</row>
    <row r="1023" spans="1:23">
      <c r="A1023" s="49"/>
      <c r="B1023" s="69" t="s">
        <v>96</v>
      </c>
      <c r="C1023" s="69" t="s">
        <v>81</v>
      </c>
      <c r="D1023" s="70">
        <f>IFERROR(VLOOKUP(B1023,'Thống kê'!$C$3:$D$970,2, FALSE),VLOOKUP(B1023,'Thống kê v2 CC'!$A$3:$D$1005,3, FALSE))</f>
        <v>0</v>
      </c>
      <c r="E1023" s="69">
        <v>1</v>
      </c>
      <c r="F1023" s="71">
        <v>68000</v>
      </c>
      <c r="G1023" s="373"/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</row>
    <row r="1024" spans="1:23">
      <c r="A1024" s="49"/>
      <c r="B1024" s="69" t="s">
        <v>294</v>
      </c>
      <c r="C1024" s="69" t="s">
        <v>81</v>
      </c>
      <c r="D1024" s="69" t="e">
        <f>IFERROR(VLOOKUP(B1024,'Thống kê'!$C$3:$D$970,2, FALSE),VLOOKUP(B1024,'Thống kê v2 CC'!$A$3:$D$1005,3, FALSE))</f>
        <v>#N/A</v>
      </c>
      <c r="E1024" s="69">
        <v>1</v>
      </c>
      <c r="F1024" s="71">
        <v>150000</v>
      </c>
      <c r="G1024" s="383">
        <v>167686</v>
      </c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</row>
    <row r="1025" spans="1:23">
      <c r="A1025" s="49"/>
      <c r="B1025" s="69" t="s">
        <v>295</v>
      </c>
      <c r="C1025" s="69" t="s">
        <v>81</v>
      </c>
      <c r="D1025" s="69" t="e">
        <f>IFERROR(VLOOKUP(B1025,'Thống kê'!$C$3:$D$970,2, FALSE),VLOOKUP(B1025,'Thống kê v2 CC'!$A$3:$D$1005,3, FALSE))</f>
        <v>#N/A</v>
      </c>
      <c r="E1025" s="69">
        <v>1</v>
      </c>
      <c r="F1025" s="71">
        <v>68500</v>
      </c>
      <c r="G1025" s="373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</row>
    <row r="1026" spans="1:23">
      <c r="A1026" s="49"/>
      <c r="B1026" s="69" t="s">
        <v>196</v>
      </c>
      <c r="C1026" s="69" t="s">
        <v>81</v>
      </c>
      <c r="D1026" s="70">
        <f>IFERROR(VLOOKUP(B1026,'Thống kê'!$C$3:$D$970,2, FALSE),VLOOKUP(B1026,'Thống kê v2 CC'!$A$3:$D$1005,3, FALSE))</f>
        <v>0</v>
      </c>
      <c r="E1026" s="69">
        <v>1</v>
      </c>
      <c r="F1026" s="71">
        <v>62000</v>
      </c>
      <c r="G1026" s="383">
        <v>88596</v>
      </c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</row>
    <row r="1027" spans="1:23">
      <c r="A1027" s="49"/>
      <c r="B1027" s="69" t="s">
        <v>103</v>
      </c>
      <c r="C1027" s="69" t="s">
        <v>81</v>
      </c>
      <c r="D1027" s="70">
        <f>IFERROR(VLOOKUP(B1027,'Thống kê'!$C$3:$D$970,2, FALSE),VLOOKUP(B1027,'Thống kê v2 CC'!$A$3:$D$1005,3, FALSE))</f>
        <v>0</v>
      </c>
      <c r="E1027" s="69">
        <v>1</v>
      </c>
      <c r="F1027" s="71">
        <v>62000</v>
      </c>
      <c r="G1027" s="373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</row>
    <row r="1028" spans="1:23">
      <c r="A1028" s="49"/>
      <c r="B1028" s="69" t="s">
        <v>296</v>
      </c>
      <c r="C1028" s="69" t="s">
        <v>81</v>
      </c>
      <c r="D1028" s="69" t="e">
        <f>IFERROR(VLOOKUP(B1028,'Thống kê'!$C$3:$D$970,2, FALSE),VLOOKUP(B1028,'Thống kê v2 CC'!$A$3:$D$1005,3, FALSE))</f>
        <v>#N/A</v>
      </c>
      <c r="E1028" s="69">
        <v>1</v>
      </c>
      <c r="F1028" s="71">
        <v>109000</v>
      </c>
      <c r="G1028" s="71">
        <v>77515</v>
      </c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</row>
    <row r="1029" spans="1:23">
      <c r="A1029" s="49"/>
      <c r="B1029" s="69" t="s">
        <v>127</v>
      </c>
      <c r="C1029" s="69" t="s">
        <v>81</v>
      </c>
      <c r="D1029" s="70">
        <f>IFERROR(VLOOKUP(B1029,'Thống kê'!$C$3:$D$970,2, FALSE),VLOOKUP(B1029,'Thống kê v2 CC'!$A$3:$D$1005,3, FALSE))</f>
        <v>0</v>
      </c>
      <c r="E1029" s="69">
        <v>1</v>
      </c>
      <c r="F1029" s="71">
        <v>68500</v>
      </c>
      <c r="G1029" s="71">
        <v>49249</v>
      </c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</row>
    <row r="1030" spans="1:23">
      <c r="A1030" s="49"/>
      <c r="B1030" s="69" t="s">
        <v>251</v>
      </c>
      <c r="C1030" s="69" t="s">
        <v>81</v>
      </c>
      <c r="D1030" s="70">
        <f>IFERROR(VLOOKUP(B1030,'Thống kê'!$C$3:$D$970,2, FALSE),VLOOKUP(B1030,'Thống kê v2 CC'!$A$3:$D$1005,3, FALSE))</f>
        <v>0</v>
      </c>
      <c r="E1030" s="69">
        <v>1</v>
      </c>
      <c r="F1030" s="71">
        <v>68500</v>
      </c>
      <c r="G1030" s="71">
        <v>49249</v>
      </c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</row>
    <row r="1031" spans="1:23">
      <c r="A1031" s="49"/>
      <c r="B1031" s="69" t="s">
        <v>297</v>
      </c>
      <c r="C1031" s="69" t="s">
        <v>81</v>
      </c>
      <c r="D1031" s="69" t="e">
        <f>IFERROR(VLOOKUP(B1031,'Thống kê'!$C$3:$D$970,2, FALSE),VLOOKUP(B1031,'Thống kê v2 CC'!$A$3:$D$1005,3, FALSE))</f>
        <v>#N/A</v>
      </c>
      <c r="E1031" s="69">
        <v>1</v>
      </c>
      <c r="F1031" s="71">
        <v>99000</v>
      </c>
      <c r="G1031" s="71">
        <v>71021</v>
      </c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</row>
    <row r="1032" spans="1:23">
      <c r="A1032" s="49"/>
      <c r="B1032" s="69" t="s">
        <v>298</v>
      </c>
      <c r="C1032" s="69" t="s">
        <v>81</v>
      </c>
      <c r="D1032" s="69" t="e">
        <f>IFERROR(VLOOKUP(B1032,'Thống kê'!$C$3:$D$970,2, FALSE),VLOOKUP(B1032,'Thống kê v2 CC'!$A$3:$D$1005,3, FALSE))</f>
        <v>#N/A</v>
      </c>
      <c r="E1032" s="69">
        <v>1</v>
      </c>
      <c r="F1032" s="71">
        <v>99000</v>
      </c>
      <c r="G1032" s="383">
        <v>120727</v>
      </c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</row>
    <row r="1033" spans="1:23">
      <c r="A1033" s="49"/>
      <c r="B1033" s="69" t="s">
        <v>79</v>
      </c>
      <c r="C1033" s="69" t="s">
        <v>81</v>
      </c>
      <c r="D1033" s="69" t="str">
        <f>IFERROR(VLOOKUP(B1033,'Thống kê'!$C$3:$D$970,2, FALSE),VLOOKUP(B1033,'Thống kê v2 CC'!$A$3:$D$1005,3, FALSE))</f>
        <v>Móc khóa mô hình Twinkle Mini</v>
      </c>
      <c r="E1033" s="69">
        <v>1</v>
      </c>
      <c r="F1033" s="71">
        <v>68500</v>
      </c>
      <c r="G1033" s="373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</row>
    <row r="1034" spans="1:23">
      <c r="A1034" s="49"/>
      <c r="B1034" s="69" t="s">
        <v>136</v>
      </c>
      <c r="C1034" s="69" t="s">
        <v>81</v>
      </c>
      <c r="D1034" s="69" t="e">
        <f>IFERROR(VLOOKUP(B1034,'Thống kê'!$C$3:$D$970,2, FALSE),VLOOKUP(B1034,'Thống kê v2 CC'!$A$3:$D$1005,3, FALSE))</f>
        <v>#N/A</v>
      </c>
      <c r="E1034" s="69">
        <v>1</v>
      </c>
      <c r="F1034" s="71">
        <v>150000</v>
      </c>
      <c r="G1034" s="71">
        <v>109152</v>
      </c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</row>
    <row r="1035" spans="1:23">
      <c r="A1035" s="49"/>
      <c r="B1035" s="69" t="s">
        <v>135</v>
      </c>
      <c r="C1035" s="69" t="s">
        <v>81</v>
      </c>
      <c r="D1035" s="70">
        <f>IFERROR(VLOOKUP(B1035,'Thống kê'!$C$3:$D$970,2, FALSE),VLOOKUP(B1035,'Thống kê v2 CC'!$A$3:$D$1005,3, FALSE))</f>
        <v>0</v>
      </c>
      <c r="E1035" s="69">
        <v>1</v>
      </c>
      <c r="F1035" s="71">
        <v>68000</v>
      </c>
      <c r="G1035" s="71">
        <v>49500</v>
      </c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</row>
    <row r="1036" spans="1:23">
      <c r="A1036" s="49"/>
      <c r="B1036" s="69" t="s">
        <v>254</v>
      </c>
      <c r="C1036" s="69" t="s">
        <v>81</v>
      </c>
      <c r="D1036" s="69" t="e">
        <f>IFERROR(VLOOKUP(B1036,'Thống kê'!$C$3:$D$970,2, FALSE),VLOOKUP(B1036,'Thống kê v2 CC'!$A$3:$D$1005,3, FALSE))</f>
        <v>#N/A</v>
      </c>
      <c r="E1036" s="69">
        <v>2</v>
      </c>
      <c r="F1036" s="71">
        <v>109000</v>
      </c>
      <c r="G1036" s="71">
        <v>159989</v>
      </c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</row>
    <row r="1037" spans="1:23">
      <c r="A1037" s="49"/>
      <c r="B1037" s="69" t="s">
        <v>299</v>
      </c>
      <c r="C1037" s="69" t="s">
        <v>81</v>
      </c>
      <c r="D1037" s="70">
        <f>IFERROR(VLOOKUP(B1037,'Thống kê'!$C$3:$D$970,2, FALSE),VLOOKUP(B1037,'Thống kê v2 CC'!$A$3:$D$1005,3, FALSE))</f>
        <v>0</v>
      </c>
      <c r="E1037" s="69">
        <v>1</v>
      </c>
      <c r="F1037" s="71">
        <v>62000</v>
      </c>
      <c r="G1037" s="71">
        <v>44290</v>
      </c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</row>
    <row r="1038" spans="1:23">
      <c r="A1038" s="49"/>
      <c r="B1038" s="69" t="s">
        <v>275</v>
      </c>
      <c r="C1038" s="69" t="s">
        <v>81</v>
      </c>
      <c r="D1038" s="69" t="e">
        <f>IFERROR(VLOOKUP(B1038,'Thống kê'!$C$3:$D$970,2, FALSE),VLOOKUP(B1038,'Thống kê v2 CC'!$A$3:$D$1005,3, FALSE))</f>
        <v>#N/A</v>
      </c>
      <c r="E1038" s="69">
        <v>1</v>
      </c>
      <c r="F1038" s="71">
        <v>68500</v>
      </c>
      <c r="G1038" s="71">
        <v>49249</v>
      </c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</row>
    <row r="1039" spans="1:23">
      <c r="A1039" s="49"/>
      <c r="B1039" s="69" t="s">
        <v>126</v>
      </c>
      <c r="C1039" s="69" t="s">
        <v>81</v>
      </c>
      <c r="D1039" s="70">
        <f>IFERROR(VLOOKUP(B1039,'Thống kê'!$C$3:$D$970,2, FALSE),VLOOKUP(B1039,'Thống kê v2 CC'!$A$3:$D$1005,3, FALSE))</f>
        <v>0</v>
      </c>
      <c r="E1039" s="69">
        <v>1</v>
      </c>
      <c r="F1039" s="71">
        <v>68500</v>
      </c>
      <c r="G1039" s="71">
        <v>49249</v>
      </c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</row>
    <row r="1040" spans="1:23">
      <c r="A1040" s="49"/>
      <c r="B1040" s="69" t="s">
        <v>95</v>
      </c>
      <c r="C1040" s="69" t="s">
        <v>81</v>
      </c>
      <c r="D1040" s="70">
        <f>IFERROR(VLOOKUP(B1040,'Thống kê'!$C$3:$D$970,2, FALSE),VLOOKUP(B1040,'Thống kê v2 CC'!$A$3:$D$1005,3, FALSE))</f>
        <v>0</v>
      </c>
      <c r="E1040" s="69">
        <v>1</v>
      </c>
      <c r="F1040" s="71">
        <v>68500</v>
      </c>
      <c r="G1040" s="71">
        <v>49249</v>
      </c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</row>
    <row r="1041" spans="1:23">
      <c r="A1041" s="49"/>
      <c r="B1041" s="69" t="s">
        <v>200</v>
      </c>
      <c r="C1041" s="69" t="s">
        <v>81</v>
      </c>
      <c r="D1041" s="70">
        <f>IFERROR(VLOOKUP(B1041,'Thống kê'!$C$3:$D$970,2, FALSE),VLOOKUP(B1041,'Thống kê v2 CC'!$A$3:$D$1005,3, FALSE))</f>
        <v>0</v>
      </c>
      <c r="E1041" s="69">
        <v>1</v>
      </c>
      <c r="F1041" s="71">
        <v>68500</v>
      </c>
      <c r="G1041" s="383">
        <v>98198</v>
      </c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</row>
    <row r="1042" spans="1:23">
      <c r="A1042" s="49"/>
      <c r="B1042" s="69" t="s">
        <v>96</v>
      </c>
      <c r="C1042" s="69" t="s">
        <v>81</v>
      </c>
      <c r="D1042" s="70">
        <f>IFERROR(VLOOKUP(B1042,'Thống kê'!$C$3:$D$970,2, FALSE),VLOOKUP(B1042,'Thống kê v2 CC'!$A$3:$D$1005,3, FALSE))</f>
        <v>0</v>
      </c>
      <c r="E1042" s="69">
        <v>1</v>
      </c>
      <c r="F1042" s="71">
        <v>68500</v>
      </c>
      <c r="G1042" s="373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</row>
    <row r="1043" spans="1:23">
      <c r="A1043" s="49"/>
      <c r="B1043" s="69" t="s">
        <v>300</v>
      </c>
      <c r="C1043" s="69" t="s">
        <v>81</v>
      </c>
      <c r="D1043" s="69" t="e">
        <f>IFERROR(VLOOKUP(B1043,'Thống kê'!$C$3:$D$970,2, FALSE),VLOOKUP(B1043,'Thống kê v2 CC'!$A$3:$D$1005,3, FALSE))</f>
        <v>#N/A</v>
      </c>
      <c r="E1043" s="69">
        <v>1</v>
      </c>
      <c r="F1043" s="71">
        <v>59000</v>
      </c>
      <c r="G1043" s="71">
        <v>44371</v>
      </c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</row>
    <row r="1044" spans="1:23">
      <c r="A1044" s="49"/>
      <c r="B1044" s="69" t="s">
        <v>301</v>
      </c>
      <c r="C1044" s="69" t="s">
        <v>81</v>
      </c>
      <c r="D1044" s="69" t="e">
        <f>IFERROR(VLOOKUP(B1044,'Thống kê'!$C$3:$D$970,2, FALSE),VLOOKUP(B1044,'Thống kê v2 CC'!$A$3:$D$1005,3, FALSE))</f>
        <v>#N/A</v>
      </c>
      <c r="E1044" s="69">
        <v>1</v>
      </c>
      <c r="F1044" s="71">
        <v>150000</v>
      </c>
      <c r="G1044" s="71">
        <v>107110</v>
      </c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</row>
    <row r="1045" spans="1:23">
      <c r="A1045" s="72">
        <v>45965</v>
      </c>
      <c r="B1045" s="69" t="s">
        <v>213</v>
      </c>
      <c r="C1045" s="69" t="s">
        <v>81</v>
      </c>
      <c r="D1045" s="69" t="e">
        <f>IFERROR(VLOOKUP(B1045,'Thống kê'!$C$3:$D$970,2, FALSE),VLOOKUP(B1045,'Thống kê v2 CC'!$A$3:$D$1005,3, FALSE))</f>
        <v>#N/A</v>
      </c>
      <c r="E1045" s="69">
        <v>1</v>
      </c>
      <c r="F1045" s="71">
        <v>115000</v>
      </c>
      <c r="G1045" s="383">
        <v>171729</v>
      </c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</row>
    <row r="1046" spans="1:23">
      <c r="A1046" s="70"/>
      <c r="B1046" s="69" t="s">
        <v>218</v>
      </c>
      <c r="C1046" s="69" t="s">
        <v>81</v>
      </c>
      <c r="D1046" s="69" t="e">
        <f>IFERROR(VLOOKUP(B1046,'Thống kê'!$C$3:$D$970,2, FALSE),VLOOKUP(B1046,'Thống kê v2 CC'!$A$3:$D$1005,3, FALSE))</f>
        <v>#N/A</v>
      </c>
      <c r="E1046" s="69">
        <v>1</v>
      </c>
      <c r="F1046" s="71">
        <v>115000</v>
      </c>
      <c r="G1046" s="373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</row>
    <row r="1047" spans="1:23">
      <c r="A1047" s="70"/>
      <c r="B1047" s="69" t="s">
        <v>294</v>
      </c>
      <c r="C1047" s="69" t="s">
        <v>81</v>
      </c>
      <c r="D1047" s="69" t="e">
        <f>IFERROR(VLOOKUP(B1047,'Thống kê'!$C$3:$D$970,2, FALSE),VLOOKUP(B1047,'Thống kê v2 CC'!$A$3:$D$1005,3, FALSE))</f>
        <v>#N/A</v>
      </c>
      <c r="E1047" s="69">
        <v>1</v>
      </c>
      <c r="F1047" s="71">
        <v>150000</v>
      </c>
      <c r="G1047" s="71">
        <v>107110</v>
      </c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</row>
    <row r="1048" spans="1:23">
      <c r="A1048" s="70"/>
      <c r="B1048" s="69" t="s">
        <v>302</v>
      </c>
      <c r="C1048" s="69" t="s">
        <v>81</v>
      </c>
      <c r="D1048" s="69" t="e">
        <f>IFERROR(VLOOKUP(B1048,'Thống kê'!$C$3:$D$970,2, FALSE),VLOOKUP(B1048,'Thống kê v2 CC'!$A$3:$D$1005,3, FALSE))</f>
        <v>#N/A</v>
      </c>
      <c r="E1048" s="69">
        <v>1</v>
      </c>
      <c r="F1048" s="71">
        <v>59000</v>
      </c>
      <c r="G1048" s="71">
        <v>44371</v>
      </c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</row>
    <row r="1049" spans="1:23">
      <c r="A1049" s="70"/>
      <c r="B1049" s="69" t="s">
        <v>303</v>
      </c>
      <c r="C1049" s="69" t="s">
        <v>81</v>
      </c>
      <c r="D1049" s="69" t="e">
        <f>IFERROR(VLOOKUP(B1049,'Thống kê'!$C$3:$D$970,2, FALSE),VLOOKUP(B1049,'Thống kê v2 CC'!$A$3:$D$1005,3, FALSE))</f>
        <v>#N/A</v>
      </c>
      <c r="E1049" s="69">
        <v>1</v>
      </c>
      <c r="F1049" s="71">
        <v>150000</v>
      </c>
      <c r="G1049" s="71">
        <v>109152</v>
      </c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</row>
    <row r="1050" spans="1:23">
      <c r="A1050" s="70"/>
      <c r="B1050" s="69" t="s">
        <v>148</v>
      </c>
      <c r="C1050" s="69" t="s">
        <v>81</v>
      </c>
      <c r="D1050" s="69" t="e">
        <f>IFERROR(VLOOKUP(B1050,'Thống kê'!$C$3:$D$970,2, FALSE),VLOOKUP(B1050,'Thống kê v2 CC'!$A$3:$D$1005,3, FALSE))</f>
        <v>#N/A</v>
      </c>
      <c r="E1050" s="69">
        <v>1</v>
      </c>
      <c r="F1050" s="71">
        <v>150000</v>
      </c>
      <c r="G1050" s="383">
        <v>218054</v>
      </c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</row>
    <row r="1051" spans="1:23">
      <c r="A1051" s="70"/>
      <c r="B1051" s="69" t="s">
        <v>289</v>
      </c>
      <c r="C1051" s="69" t="s">
        <v>81</v>
      </c>
      <c r="D1051" s="69" t="e">
        <f>IFERROR(VLOOKUP(B1051,'Thống kê'!$C$3:$D$970,2, FALSE),VLOOKUP(B1051,'Thống kê v2 CC'!$A$3:$D$1005,3, FALSE))</f>
        <v>#N/A</v>
      </c>
      <c r="E1051" s="69">
        <v>1</v>
      </c>
      <c r="F1051" s="71">
        <v>68500</v>
      </c>
      <c r="G1051" s="372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</row>
    <row r="1052" spans="1:23">
      <c r="A1052" s="70"/>
      <c r="B1052" s="69" t="s">
        <v>304</v>
      </c>
      <c r="C1052" s="69" t="s">
        <v>81</v>
      </c>
      <c r="D1052" s="69" t="e">
        <f>IFERROR(VLOOKUP(B1052,'Thống kê'!$C$3:$D$970,2, FALSE),VLOOKUP(B1052,'Thống kê v2 CC'!$A$3:$D$1005,3, FALSE))</f>
        <v>#N/A</v>
      </c>
      <c r="E1052" s="69">
        <v>1</v>
      </c>
      <c r="F1052" s="71">
        <v>68500</v>
      </c>
      <c r="G1052" s="373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</row>
    <row r="1053" spans="1:23">
      <c r="A1053" s="70"/>
      <c r="B1053" s="69" t="s">
        <v>251</v>
      </c>
      <c r="C1053" s="69" t="s">
        <v>81</v>
      </c>
      <c r="D1053" s="70">
        <f>IFERROR(VLOOKUP(B1053,'Thống kê'!$C$3:$D$970,2, FALSE),VLOOKUP(B1053,'Thống kê v2 CC'!$A$3:$D$1005,3, FALSE))</f>
        <v>0</v>
      </c>
      <c r="E1053" s="69">
        <v>1</v>
      </c>
      <c r="F1053" s="71">
        <v>68000</v>
      </c>
      <c r="G1053" s="71">
        <v>49500</v>
      </c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</row>
    <row r="1054" spans="1:23">
      <c r="A1054" s="72">
        <v>45964</v>
      </c>
      <c r="B1054" s="69">
        <v>1</v>
      </c>
      <c r="C1054" s="69" t="s">
        <v>81</v>
      </c>
      <c r="D1054" s="69" t="e">
        <f>IFERROR(VLOOKUP(B1054,'Thống kê'!$C$3:$D$970,2, FALSE),VLOOKUP(B1054,'Thống kê v2 CC'!$A$3:$D$1005,3, FALSE))</f>
        <v>#N/A</v>
      </c>
      <c r="E1054" s="69">
        <v>1</v>
      </c>
      <c r="F1054" s="71">
        <v>55250</v>
      </c>
      <c r="G1054" s="383">
        <v>88411</v>
      </c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</row>
    <row r="1055" spans="1:23">
      <c r="A1055" s="70"/>
      <c r="B1055" s="69" t="s">
        <v>97</v>
      </c>
      <c r="C1055" s="69" t="s">
        <v>81</v>
      </c>
      <c r="D1055" s="70">
        <f>IFERROR(VLOOKUP(B1055,'Thống kê'!$C$3:$D$970,2, FALSE),VLOOKUP(B1055,'Thống kê v2 CC'!$A$3:$D$1005,3, FALSE))</f>
        <v>0</v>
      </c>
      <c r="E1055" s="69">
        <v>1</v>
      </c>
      <c r="F1055" s="71">
        <v>68500</v>
      </c>
      <c r="G1055" s="373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</row>
    <row r="1056" spans="1:23">
      <c r="A1056" s="70"/>
      <c r="B1056" s="69" t="s">
        <v>305</v>
      </c>
      <c r="C1056" s="69" t="s">
        <v>81</v>
      </c>
      <c r="D1056" s="69" t="e">
        <f>IFERROR(VLOOKUP(B1056,'Thống kê'!$C$3:$D$970,2, FALSE),VLOOKUP(B1056,'Thống kê v2 CC'!$A$3:$D$1005,3, FALSE))</f>
        <v>#N/A</v>
      </c>
      <c r="E1056" s="69">
        <v>1</v>
      </c>
      <c r="F1056" s="71">
        <v>99000</v>
      </c>
      <c r="G1056" s="71">
        <v>70128</v>
      </c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</row>
    <row r="1057" spans="1:23">
      <c r="A1057" s="70"/>
      <c r="B1057" s="69" t="s">
        <v>306</v>
      </c>
      <c r="C1057" s="69" t="s">
        <v>81</v>
      </c>
      <c r="D1057" s="69" t="e">
        <f>IFERROR(VLOOKUP(B1057,'Thống kê'!$C$3:$D$970,2, FALSE),VLOOKUP(B1057,'Thống kê v2 CC'!$A$3:$D$1005,3, FALSE))</f>
        <v>#N/A</v>
      </c>
      <c r="E1057" s="69">
        <v>1</v>
      </c>
      <c r="F1057" s="71">
        <v>150000</v>
      </c>
      <c r="G1057" s="71">
        <v>109152</v>
      </c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</row>
    <row r="1058" spans="1:23">
      <c r="A1058" s="70"/>
      <c r="B1058" s="69" t="s">
        <v>280</v>
      </c>
      <c r="C1058" s="69" t="s">
        <v>81</v>
      </c>
      <c r="D1058" s="69" t="e">
        <f>IFERROR(VLOOKUP(B1058,'Thống kê'!$C$3:$D$970,2, FALSE),VLOOKUP(B1058,'Thống kê v2 CC'!$A$3:$D$1005,3, FALSE))</f>
        <v>#N/A</v>
      </c>
      <c r="E1058" s="69">
        <v>1</v>
      </c>
      <c r="F1058" s="71">
        <v>59000</v>
      </c>
      <c r="G1058" s="71">
        <v>44371</v>
      </c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</row>
    <row r="1059" spans="1:23">
      <c r="A1059" s="70"/>
      <c r="B1059" s="69" t="s">
        <v>281</v>
      </c>
      <c r="C1059" s="69" t="s">
        <v>81</v>
      </c>
      <c r="D1059" s="70">
        <f>IFERROR(VLOOKUP(B1059,'Thống kê'!$C$3:$D$970,2, FALSE),VLOOKUP(B1059,'Thống kê v2 CC'!$A$3:$D$1005,3, FALSE))</f>
        <v>0</v>
      </c>
      <c r="E1059" s="69">
        <v>1</v>
      </c>
      <c r="F1059" s="71">
        <v>99000</v>
      </c>
      <c r="G1059" s="71">
        <v>70128</v>
      </c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</row>
    <row r="1060" spans="1:23">
      <c r="A1060" s="70"/>
      <c r="B1060" s="69" t="s">
        <v>303</v>
      </c>
      <c r="C1060" s="69" t="s">
        <v>81</v>
      </c>
      <c r="D1060" s="69" t="e">
        <f>IFERROR(VLOOKUP(B1060,'Thống kê'!$C$3:$D$970,2, FALSE),VLOOKUP(B1060,'Thống kê v2 CC'!$A$3:$D$1005,3, FALSE))</f>
        <v>#N/A</v>
      </c>
      <c r="E1060" s="69">
        <v>1</v>
      </c>
      <c r="F1060" s="71">
        <v>150000</v>
      </c>
      <c r="G1060" s="71">
        <v>109152</v>
      </c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</row>
    <row r="1061" spans="1:23">
      <c r="A1061" s="70"/>
      <c r="B1061" s="69" t="s">
        <v>307</v>
      </c>
      <c r="C1061" s="69" t="s">
        <v>81</v>
      </c>
      <c r="D1061" s="70">
        <f>IFERROR(VLOOKUP(B1061,'Thống kê'!$C$3:$D$970,2, FALSE),VLOOKUP(B1061,'Thống kê v2 CC'!$A$3:$D$1005,3, FALSE))</f>
        <v>0</v>
      </c>
      <c r="E1061" s="69">
        <v>1</v>
      </c>
      <c r="F1061" s="71">
        <v>39000</v>
      </c>
      <c r="G1061" s="383">
        <v>106661</v>
      </c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</row>
    <row r="1062" spans="1:23">
      <c r="A1062" s="70"/>
      <c r="B1062" s="69" t="s">
        <v>308</v>
      </c>
      <c r="C1062" s="69" t="s">
        <v>81</v>
      </c>
      <c r="D1062" s="70">
        <f>IFERROR(VLOOKUP(B1062,'Thống kê'!$C$3:$D$970,2, FALSE),VLOOKUP(B1062,'Thống kê v2 CC'!$A$3:$D$1005,3, FALSE))</f>
        <v>0</v>
      </c>
      <c r="E1062" s="69">
        <v>1</v>
      </c>
      <c r="F1062" s="71">
        <v>39000</v>
      </c>
      <c r="G1062" s="372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</row>
    <row r="1063" spans="1:23">
      <c r="A1063" s="70"/>
      <c r="B1063" s="69" t="s">
        <v>309</v>
      </c>
      <c r="C1063" s="69" t="s">
        <v>81</v>
      </c>
      <c r="D1063" s="70">
        <f>IFERROR(VLOOKUP(B1063,'Thống kê'!$C$3:$D$970,2, FALSE),VLOOKUP(B1063,'Thống kê v2 CC'!$A$3:$D$1005,3, FALSE))</f>
        <v>0</v>
      </c>
      <c r="E1063" s="69">
        <v>1</v>
      </c>
      <c r="F1063" s="71">
        <v>39000</v>
      </c>
      <c r="G1063" s="372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</row>
    <row r="1064" spans="1:23">
      <c r="A1064" s="70"/>
      <c r="B1064" s="69" t="s">
        <v>310</v>
      </c>
      <c r="C1064" s="69" t="s">
        <v>81</v>
      </c>
      <c r="D1064" s="69" t="str">
        <f>IFERROR(VLOOKUP(B1064,'Thống kê'!$C$3:$D$970,2, FALSE),VLOOKUP(B1064,'Thống kê v2 CC'!$A$3:$D$1005,3, FALSE))</f>
        <v>Trang trí mô hình Heo</v>
      </c>
      <c r="E1064" s="69">
        <v>1</v>
      </c>
      <c r="F1064" s="71">
        <v>31458</v>
      </c>
      <c r="G1064" s="373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</row>
    <row r="1065" spans="1:23">
      <c r="A1065" s="70"/>
      <c r="B1065" s="69" t="s">
        <v>281</v>
      </c>
      <c r="C1065" s="69" t="s">
        <v>81</v>
      </c>
      <c r="D1065" s="70">
        <f>IFERROR(VLOOKUP(B1065,'Thống kê'!$C$3:$D$970,2, FALSE),VLOOKUP(B1065,'Thống kê v2 CC'!$A$3:$D$1005,3, FALSE))</f>
        <v>0</v>
      </c>
      <c r="E1065" s="69">
        <v>1</v>
      </c>
      <c r="F1065" s="71">
        <v>99000</v>
      </c>
      <c r="G1065" s="71">
        <v>70128</v>
      </c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</row>
    <row r="1066" spans="1:23">
      <c r="A1066" s="70"/>
      <c r="B1066" s="69" t="s">
        <v>140</v>
      </c>
      <c r="C1066" s="69" t="s">
        <v>81</v>
      </c>
      <c r="D1066" s="70">
        <f>IFERROR(VLOOKUP(B1066,'Thống kê'!$C$3:$D$970,2, FALSE),VLOOKUP(B1066,'Thống kê v2 CC'!$A$3:$D$1005,3, FALSE))</f>
        <v>0</v>
      </c>
      <c r="E1066" s="69">
        <v>1</v>
      </c>
      <c r="F1066" s="71">
        <v>62000</v>
      </c>
      <c r="G1066" s="71">
        <v>44143</v>
      </c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</row>
    <row r="1067" spans="1:23">
      <c r="A1067" s="70"/>
      <c r="B1067" s="69" t="s">
        <v>311</v>
      </c>
      <c r="C1067" s="69" t="s">
        <v>81</v>
      </c>
      <c r="D1067" s="69" t="e">
        <f>IFERROR(VLOOKUP(B1067,'Thống kê'!$C$3:$D$970,2, FALSE),VLOOKUP(B1067,'Thống kê v2 CC'!$A$3:$D$1005,3, FALSE))</f>
        <v>#N/A</v>
      </c>
      <c r="E1067" s="69">
        <v>1</v>
      </c>
      <c r="F1067" s="71">
        <v>150000</v>
      </c>
      <c r="G1067" s="71">
        <v>109152</v>
      </c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</row>
    <row r="1068" spans="1:23">
      <c r="A1068" s="70"/>
      <c r="B1068" s="69" t="s">
        <v>279</v>
      </c>
      <c r="C1068" s="69" t="s">
        <v>81</v>
      </c>
      <c r="D1068" s="70">
        <f>IFERROR(VLOOKUP(B1068,'Thống kê'!$C$3:$D$970,2, FALSE),VLOOKUP(B1068,'Thống kê v2 CC'!$A$3:$D$1005,3, FALSE))</f>
        <v>0</v>
      </c>
      <c r="E1068" s="69">
        <v>1</v>
      </c>
      <c r="F1068" s="71">
        <v>68500</v>
      </c>
      <c r="G1068" s="71">
        <v>49249</v>
      </c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</row>
    <row r="1069" spans="1:23">
      <c r="A1069" s="70"/>
      <c r="B1069" s="69" t="s">
        <v>312</v>
      </c>
      <c r="C1069" s="69" t="s">
        <v>81</v>
      </c>
      <c r="D1069" s="69" t="e">
        <f>IFERROR(VLOOKUP(B1069,'Thống kê'!$C$3:$D$970,2, FALSE),VLOOKUP(B1069,'Thống kê v2 CC'!$A$3:$D$1005,3, FALSE))</f>
        <v>#N/A</v>
      </c>
      <c r="E1069" s="69">
        <v>1</v>
      </c>
      <c r="F1069" s="71">
        <v>150000</v>
      </c>
      <c r="G1069" s="383">
        <v>228618</v>
      </c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</row>
    <row r="1070" spans="1:23">
      <c r="A1070" s="70"/>
      <c r="B1070" s="69" t="s">
        <v>303</v>
      </c>
      <c r="C1070" s="69" t="s">
        <v>81</v>
      </c>
      <c r="D1070" s="69" t="e">
        <f>IFERROR(VLOOKUP(B1070,'Thống kê'!$C$3:$D$970,2, FALSE),VLOOKUP(B1070,'Thống kê v2 CC'!$A$3:$D$1005,3, FALSE))</f>
        <v>#N/A</v>
      </c>
      <c r="E1070" s="69">
        <v>1</v>
      </c>
      <c r="F1070" s="71">
        <v>150000</v>
      </c>
      <c r="G1070" s="373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</row>
    <row r="1071" spans="1:23">
      <c r="A1071" s="70"/>
      <c r="B1071" s="69" t="s">
        <v>302</v>
      </c>
      <c r="C1071" s="69" t="s">
        <v>81</v>
      </c>
      <c r="D1071" s="69" t="e">
        <f>IFERROR(VLOOKUP(B1071,'Thống kê'!$C$3:$D$970,2, FALSE),VLOOKUP(B1071,'Thống kê v2 CC'!$A$3:$D$1005,3, FALSE))</f>
        <v>#N/A</v>
      </c>
      <c r="E1071" s="69">
        <v>1</v>
      </c>
      <c r="F1071" s="71">
        <v>59000</v>
      </c>
      <c r="G1071" s="71">
        <v>44371</v>
      </c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</row>
    <row r="1072" spans="1:23">
      <c r="A1072" s="70"/>
      <c r="B1072" s="69" t="s">
        <v>313</v>
      </c>
      <c r="C1072" s="69" t="s">
        <v>81</v>
      </c>
      <c r="D1072" s="69" t="e">
        <f>IFERROR(VLOOKUP(B1072,'Thống kê'!$C$3:$D$970,2, FALSE),VLOOKUP(B1072,'Thống kê v2 CC'!$A$3:$D$1005,3, FALSE))</f>
        <v>#N/A</v>
      </c>
      <c r="E1072" s="69">
        <v>1</v>
      </c>
      <c r="F1072" s="71">
        <v>198000</v>
      </c>
      <c r="G1072" s="71">
        <v>145724</v>
      </c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</row>
    <row r="1073" spans="1:23">
      <c r="A1073" s="70"/>
      <c r="B1073" s="69" t="s">
        <v>79</v>
      </c>
      <c r="C1073" s="69" t="s">
        <v>81</v>
      </c>
      <c r="D1073" s="69" t="str">
        <f>IFERROR(VLOOKUP(B1073,'Thống kê'!$C$3:$D$970,2, FALSE),VLOOKUP(B1073,'Thống kê v2 CC'!$A$3:$D$1005,3, FALSE))</f>
        <v>Móc khóa mô hình Twinkle Mini</v>
      </c>
      <c r="E1073" s="69">
        <v>1</v>
      </c>
      <c r="F1073" s="71">
        <v>68500</v>
      </c>
      <c r="G1073" s="383">
        <v>98198</v>
      </c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</row>
    <row r="1074" spans="1:23">
      <c r="A1074" s="70"/>
      <c r="B1074" s="69" t="s">
        <v>274</v>
      </c>
      <c r="C1074" s="69" t="s">
        <v>81</v>
      </c>
      <c r="D1074" s="69" t="e">
        <f>IFERROR(VLOOKUP(B1074,'Thống kê'!$C$3:$D$970,2, FALSE),VLOOKUP(B1074,'Thống kê v2 CC'!$A$3:$D$1005,3, FALSE))</f>
        <v>#N/A</v>
      </c>
      <c r="E1074" s="69">
        <v>1</v>
      </c>
      <c r="F1074" s="71">
        <v>68500</v>
      </c>
      <c r="G1074" s="373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</row>
    <row r="1075" spans="1:23">
      <c r="A1075" s="72">
        <v>45966</v>
      </c>
      <c r="B1075" s="69" t="s">
        <v>188</v>
      </c>
      <c r="C1075" s="69" t="s">
        <v>81</v>
      </c>
      <c r="D1075" s="70">
        <f>IFERROR(VLOOKUP(B1075,'Thống kê'!$C$3:$D$970,2, FALSE),VLOOKUP(B1075,'Thống kê v2 CC'!$A$3:$D$1005,3, FALSE))</f>
        <v>0</v>
      </c>
      <c r="E1075" s="69">
        <v>1</v>
      </c>
      <c r="F1075" s="71">
        <v>68500</v>
      </c>
      <c r="G1075" s="383">
        <v>438400</v>
      </c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</row>
    <row r="1076" spans="1:23">
      <c r="A1076" s="70"/>
      <c r="B1076" s="69" t="s">
        <v>111</v>
      </c>
      <c r="C1076" s="69" t="s">
        <v>81</v>
      </c>
      <c r="D1076" s="70">
        <f>IFERROR(VLOOKUP(B1076,'Thống kê'!$C$3:$D$970,2, FALSE),VLOOKUP(B1076,'Thống kê v2 CC'!$A$3:$D$1005,3, FALSE))</f>
        <v>0</v>
      </c>
      <c r="E1076" s="69">
        <v>2</v>
      </c>
      <c r="F1076" s="71">
        <v>68500</v>
      </c>
      <c r="G1076" s="372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</row>
    <row r="1077" spans="1:23">
      <c r="A1077" s="70"/>
      <c r="B1077" s="69" t="s">
        <v>82</v>
      </c>
      <c r="C1077" s="69" t="s">
        <v>81</v>
      </c>
      <c r="D1077" s="70">
        <f>IFERROR(VLOOKUP(B1077,'Thống kê'!$C$3:$D$970,2, FALSE),VLOOKUP(B1077,'Thống kê v2 CC'!$A$3:$D$1005,3, FALSE))</f>
        <v>0</v>
      </c>
      <c r="E1077" s="69">
        <v>2</v>
      </c>
      <c r="F1077" s="71">
        <v>68500</v>
      </c>
      <c r="G1077" s="372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</row>
    <row r="1078" spans="1:23">
      <c r="A1078" s="70"/>
      <c r="B1078" s="69" t="s">
        <v>314</v>
      </c>
      <c r="C1078" s="69" t="s">
        <v>81</v>
      </c>
      <c r="D1078" s="69" t="e">
        <f>IFERROR(VLOOKUP(B1078,'Thống kê'!$C$3:$D$970,2, FALSE),VLOOKUP(B1078,'Thống kê v2 CC'!$A$3:$D$1005,3, FALSE))</f>
        <v>#N/A</v>
      </c>
      <c r="E1078" s="69">
        <v>1</v>
      </c>
      <c r="F1078" s="71">
        <v>68500</v>
      </c>
      <c r="G1078" s="372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</row>
    <row r="1079" spans="1:23">
      <c r="A1079" s="70"/>
      <c r="B1079" s="69" t="s">
        <v>154</v>
      </c>
      <c r="C1079" s="69" t="s">
        <v>81</v>
      </c>
      <c r="D1079" s="70">
        <f>IFERROR(VLOOKUP(B1079,'Thống kê'!$C$3:$D$970,2, FALSE),VLOOKUP(B1079,'Thống kê v2 CC'!$A$3:$D$1005,3, FALSE))</f>
        <v>0</v>
      </c>
      <c r="E1079" s="69">
        <v>1</v>
      </c>
      <c r="F1079" s="71">
        <v>68500</v>
      </c>
      <c r="G1079" s="372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</row>
    <row r="1080" spans="1:23">
      <c r="A1080" s="70"/>
      <c r="B1080" s="69" t="s">
        <v>315</v>
      </c>
      <c r="C1080" s="69" t="s">
        <v>81</v>
      </c>
      <c r="D1080" s="69" t="e">
        <f>IFERROR(VLOOKUP(B1080,'Thống kê'!$C$3:$D$970,2, FALSE),VLOOKUP(B1080,'Thống kê v2 CC'!$A$3:$D$1005,3, FALSE))</f>
        <v>#N/A</v>
      </c>
      <c r="E1080" s="69">
        <v>1</v>
      </c>
      <c r="F1080" s="71">
        <v>68500</v>
      </c>
      <c r="G1080" s="373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</row>
    <row r="1081" spans="1:23">
      <c r="A1081" s="70"/>
      <c r="B1081" s="69" t="s">
        <v>188</v>
      </c>
      <c r="C1081" s="69" t="s">
        <v>81</v>
      </c>
      <c r="D1081" s="70">
        <f>IFERROR(VLOOKUP(B1081,'Thống kê'!$C$3:$D$970,2, FALSE),VLOOKUP(B1081,'Thống kê v2 CC'!$A$3:$D$1005,3, FALSE))</f>
        <v>0</v>
      </c>
      <c r="E1081" s="69">
        <v>1</v>
      </c>
      <c r="F1081" s="71">
        <v>68500</v>
      </c>
      <c r="G1081" s="71">
        <v>49249</v>
      </c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</row>
    <row r="1082" spans="1:23">
      <c r="A1082" s="70"/>
      <c r="B1082" s="69" t="s">
        <v>316</v>
      </c>
      <c r="C1082" s="69" t="s">
        <v>81</v>
      </c>
      <c r="D1082" s="69" t="e">
        <f>IFERROR(VLOOKUP(B1082,'Thống kê'!$C$3:$D$970,2, FALSE),VLOOKUP(B1082,'Thống kê v2 CC'!$A$3:$D$1005,3, FALSE))</f>
        <v>#N/A</v>
      </c>
      <c r="E1082" s="69">
        <v>1</v>
      </c>
      <c r="F1082" s="71">
        <v>68500</v>
      </c>
      <c r="G1082" s="71">
        <v>49887</v>
      </c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</row>
    <row r="1083" spans="1:23">
      <c r="A1083" s="70"/>
      <c r="B1083" s="69" t="s">
        <v>215</v>
      </c>
      <c r="C1083" s="69" t="s">
        <v>81</v>
      </c>
      <c r="D1083" s="69" t="e">
        <f>IFERROR(VLOOKUP(B1083,'Thống kê'!$C$3:$D$970,2, FALSE),VLOOKUP(B1083,'Thống kê v2 CC'!$A$3:$D$1005,3, FALSE))</f>
        <v>#N/A</v>
      </c>
      <c r="E1083" s="69">
        <v>1</v>
      </c>
      <c r="F1083" s="71">
        <v>198000</v>
      </c>
      <c r="G1083" s="71">
        <v>145724</v>
      </c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</row>
    <row r="1084" spans="1:23">
      <c r="A1084" s="70"/>
      <c r="B1084" s="69" t="s">
        <v>317</v>
      </c>
      <c r="C1084" s="69" t="s">
        <v>81</v>
      </c>
      <c r="D1084" s="69" t="str">
        <f>IFERROR(VLOOKUP(B1084,'Thống kê'!$C$3:$D$970,2, FALSE),VLOOKUP(B1084,'Thống kê v2 CC'!$A$3:$D$1005,3, FALSE))</f>
        <v>Dao rọc giấy 10</v>
      </c>
      <c r="E1084" s="69">
        <v>1</v>
      </c>
      <c r="F1084" s="71">
        <v>11040</v>
      </c>
      <c r="G1084" s="383">
        <v>222048</v>
      </c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</row>
    <row r="1085" spans="1:23">
      <c r="A1085" s="70"/>
      <c r="B1085" s="69" t="s">
        <v>148</v>
      </c>
      <c r="C1085" s="69" t="s">
        <v>81</v>
      </c>
      <c r="D1085" s="69" t="e">
        <f>IFERROR(VLOOKUP(B1085,'Thống kê'!$C$3:$D$970,2, FALSE),VLOOKUP(B1085,'Thống kê v2 CC'!$A$3:$D$1005,3, FALSE))</f>
        <v>#N/A</v>
      </c>
      <c r="E1085" s="69">
        <v>1</v>
      </c>
      <c r="F1085" s="71">
        <v>150000</v>
      </c>
      <c r="G1085" s="372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</row>
    <row r="1086" spans="1:23">
      <c r="A1086" s="70"/>
      <c r="B1086" s="69" t="s">
        <v>318</v>
      </c>
      <c r="C1086" s="69" t="s">
        <v>81</v>
      </c>
      <c r="D1086" s="69" t="e">
        <f>IFERROR(VLOOKUP(B1086,'Thống kê'!$C$3:$D$970,2, FALSE),VLOOKUP(B1086,'Thống kê v2 CC'!$A$3:$D$1005,3, FALSE))</f>
        <v>#N/A</v>
      </c>
      <c r="E1086" s="69">
        <v>1</v>
      </c>
      <c r="F1086" s="71">
        <v>131000</v>
      </c>
      <c r="G1086" s="373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</row>
    <row r="1087" spans="1:23">
      <c r="A1087" s="70"/>
      <c r="B1087" s="69" t="s">
        <v>303</v>
      </c>
      <c r="C1087" s="69" t="s">
        <v>81</v>
      </c>
      <c r="D1087" s="69" t="e">
        <f>IFERROR(VLOOKUP(B1087,'Thống kê'!$C$3:$D$970,2, FALSE),VLOOKUP(B1087,'Thống kê v2 CC'!$A$3:$D$1005,3, FALSE))</f>
        <v>#N/A</v>
      </c>
      <c r="E1087" s="69">
        <v>1</v>
      </c>
      <c r="F1087" s="71">
        <v>150000</v>
      </c>
      <c r="G1087" s="71">
        <v>108784</v>
      </c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</row>
    <row r="1088" spans="1:23">
      <c r="A1088" s="70"/>
      <c r="B1088" s="69" t="s">
        <v>101</v>
      </c>
      <c r="C1088" s="69" t="s">
        <v>81</v>
      </c>
      <c r="D1088" s="70">
        <f>IFERROR(VLOOKUP(B1088,'Thống kê'!$C$3:$D$970,2, FALSE),VLOOKUP(B1088,'Thống kê v2 CC'!$A$3:$D$1005,3, FALSE))</f>
        <v>0</v>
      </c>
      <c r="E1088" s="69">
        <v>1</v>
      </c>
      <c r="F1088" s="71">
        <v>68500</v>
      </c>
      <c r="G1088" s="71">
        <v>49249</v>
      </c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</row>
    <row r="1089" spans="1:23">
      <c r="A1089" s="70"/>
      <c r="B1089" s="69" t="s">
        <v>300</v>
      </c>
      <c r="C1089" s="69" t="s">
        <v>81</v>
      </c>
      <c r="D1089" s="69" t="e">
        <f>IFERROR(VLOOKUP(B1089,'Thống kê'!$C$3:$D$970,2, FALSE),VLOOKUP(B1089,'Thống kê v2 CC'!$A$3:$D$1005,3, FALSE))</f>
        <v>#N/A</v>
      </c>
      <c r="E1089" s="69">
        <v>1</v>
      </c>
      <c r="F1089" s="71">
        <v>59000</v>
      </c>
      <c r="G1089" s="71">
        <v>44371</v>
      </c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</row>
    <row r="1090" spans="1:23">
      <c r="A1090" s="70"/>
      <c r="B1090" s="69" t="s">
        <v>312</v>
      </c>
      <c r="C1090" s="69" t="s">
        <v>81</v>
      </c>
      <c r="D1090" s="69" t="e">
        <f>IFERROR(VLOOKUP(B1090,'Thống kê'!$C$3:$D$970,2, FALSE),VLOOKUP(B1090,'Thống kê v2 CC'!$A$3:$D$1005,3, FALSE))</f>
        <v>#N/A</v>
      </c>
      <c r="E1090" s="69">
        <v>1</v>
      </c>
      <c r="F1090" s="71">
        <v>150000</v>
      </c>
      <c r="G1090" s="71">
        <v>109152</v>
      </c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</row>
    <row r="1091" spans="1:23">
      <c r="A1091" s="70"/>
      <c r="B1091" s="69" t="s">
        <v>281</v>
      </c>
      <c r="C1091" s="69" t="s">
        <v>81</v>
      </c>
      <c r="D1091" s="70">
        <f>IFERROR(VLOOKUP(B1091,'Thống kê'!$C$3:$D$970,2, FALSE),VLOOKUP(B1091,'Thống kê v2 CC'!$A$3:$D$1005,3, FALSE))</f>
        <v>0</v>
      </c>
      <c r="E1091" s="69">
        <v>1</v>
      </c>
      <c r="F1091" s="71">
        <v>99000</v>
      </c>
      <c r="G1091" s="71">
        <v>69981</v>
      </c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</row>
    <row r="1092" spans="1:23">
      <c r="A1092" s="70"/>
      <c r="B1092" s="69" t="s">
        <v>279</v>
      </c>
      <c r="C1092" s="69" t="s">
        <v>81</v>
      </c>
      <c r="D1092" s="70">
        <f>IFERROR(VLOOKUP(B1092,'Thống kê'!$C$3:$D$970,2, FALSE),VLOOKUP(B1092,'Thống kê v2 CC'!$A$3:$D$1005,3, FALSE))</f>
        <v>0</v>
      </c>
      <c r="E1092" s="69">
        <v>1</v>
      </c>
      <c r="F1092" s="71">
        <v>68500</v>
      </c>
      <c r="G1092" s="383">
        <v>98198</v>
      </c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</row>
    <row r="1093" spans="1:23">
      <c r="A1093" s="70"/>
      <c r="B1093" s="69" t="s">
        <v>79</v>
      </c>
      <c r="C1093" s="69" t="s">
        <v>81</v>
      </c>
      <c r="D1093" s="69" t="str">
        <f>IFERROR(VLOOKUP(B1093,'Thống kê'!$C$3:$D$970,2, FALSE),VLOOKUP(B1093,'Thống kê v2 CC'!$A$3:$D$1005,3, FALSE))</f>
        <v>Móc khóa mô hình Twinkle Mini</v>
      </c>
      <c r="E1093" s="69">
        <v>1</v>
      </c>
      <c r="F1093" s="71">
        <v>68500</v>
      </c>
      <c r="G1093" s="373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</row>
    <row r="1094" spans="1:23">
      <c r="A1094" s="70"/>
      <c r="B1094" s="69" t="s">
        <v>288</v>
      </c>
      <c r="C1094" s="69" t="s">
        <v>81</v>
      </c>
      <c r="D1094" s="69" t="e">
        <f>IFERROR(VLOOKUP(B1094,'Thống kê'!$C$3:$D$970,2, FALSE),VLOOKUP(B1094,'Thống kê v2 CC'!$A$3:$D$1005,3, FALSE))</f>
        <v>#N/A</v>
      </c>
      <c r="E1094" s="69">
        <v>1</v>
      </c>
      <c r="F1094" s="71">
        <v>198000</v>
      </c>
      <c r="G1094" s="71">
        <v>145724</v>
      </c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</row>
    <row r="1095" spans="1:23">
      <c r="A1095" s="70"/>
      <c r="B1095" s="69" t="s">
        <v>319</v>
      </c>
      <c r="C1095" s="69" t="s">
        <v>81</v>
      </c>
      <c r="D1095" s="69" t="e">
        <f>IFERROR(VLOOKUP(B1095,'Thống kê'!$C$3:$D$970,2, FALSE),VLOOKUP(B1095,'Thống kê v2 CC'!$A$3:$D$1005,3, FALSE))</f>
        <v>#N/A</v>
      </c>
      <c r="E1095" s="69">
        <v>2</v>
      </c>
      <c r="F1095" s="71">
        <v>68500</v>
      </c>
      <c r="G1095" s="71">
        <v>98198</v>
      </c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</row>
    <row r="1096" spans="1:23">
      <c r="A1096" s="70"/>
      <c r="B1096" s="69" t="s">
        <v>320</v>
      </c>
      <c r="C1096" s="69" t="s">
        <v>81</v>
      </c>
      <c r="D1096" s="69" t="e">
        <f>IFERROR(VLOOKUP(B1096,'Thống kê'!$C$3:$D$970,2, FALSE),VLOOKUP(B1096,'Thống kê v2 CC'!$A$3:$D$1005,3, FALSE))</f>
        <v>#N/A</v>
      </c>
      <c r="E1096" s="69">
        <v>1</v>
      </c>
      <c r="F1096" s="71">
        <v>99000</v>
      </c>
      <c r="G1096" s="71">
        <v>69673</v>
      </c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</row>
    <row r="1097" spans="1:23">
      <c r="A1097" s="70"/>
      <c r="B1097" s="69" t="s">
        <v>281</v>
      </c>
      <c r="C1097" s="69" t="s">
        <v>81</v>
      </c>
      <c r="D1097" s="70">
        <f>IFERROR(VLOOKUP(B1097,'Thống kê'!$C$3:$D$970,2, FALSE),VLOOKUP(B1097,'Thống kê v2 CC'!$A$3:$D$1005,3, FALSE))</f>
        <v>0</v>
      </c>
      <c r="E1097" s="69">
        <v>1</v>
      </c>
      <c r="F1097" s="71">
        <v>99000</v>
      </c>
      <c r="G1097" s="383">
        <v>143930</v>
      </c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</row>
    <row r="1098" spans="1:23">
      <c r="A1098" s="70"/>
      <c r="B1098" s="69" t="s">
        <v>258</v>
      </c>
      <c r="C1098" s="69" t="s">
        <v>81</v>
      </c>
      <c r="D1098" s="69" t="str">
        <f>IFERROR(VLOOKUP(B1098,'Thống kê'!$C$3:$D$970,2, FALSE),VLOOKUP(B1098,'Thống kê v2 CC'!$A$3:$D$1005,3, FALSE))</f>
        <v>Móc khoá Crybaby mini Popmart</v>
      </c>
      <c r="E1098" s="69">
        <v>1</v>
      </c>
      <c r="F1098" s="71">
        <v>99000</v>
      </c>
      <c r="G1098" s="373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</row>
    <row r="1099" spans="1:23">
      <c r="A1099" s="70"/>
      <c r="B1099" s="69" t="s">
        <v>294</v>
      </c>
      <c r="C1099" s="69" t="s">
        <v>81</v>
      </c>
      <c r="D1099" s="69" t="e">
        <f>IFERROR(VLOOKUP(B1099,'Thống kê'!$C$3:$D$970,2, FALSE),VLOOKUP(B1099,'Thống kê v2 CC'!$A$3:$D$1005,3, FALSE))</f>
        <v>#N/A</v>
      </c>
      <c r="E1099" s="69">
        <v>1</v>
      </c>
      <c r="F1099" s="71">
        <v>150000</v>
      </c>
      <c r="G1099" s="71">
        <v>107110</v>
      </c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</row>
    <row r="1100" spans="1:23">
      <c r="A1100" s="70"/>
      <c r="B1100" s="69" t="s">
        <v>102</v>
      </c>
      <c r="C1100" s="69" t="s">
        <v>81</v>
      </c>
      <c r="D1100" s="69" t="e">
        <f>IFERROR(VLOOKUP(B1100,'Thống kê'!$C$3:$D$970,2, FALSE),VLOOKUP(B1100,'Thống kê v2 CC'!$A$3:$D$1005,3, FALSE))</f>
        <v>#N/A</v>
      </c>
      <c r="E1100" s="69">
        <v>1</v>
      </c>
      <c r="F1100" s="71">
        <v>68500</v>
      </c>
      <c r="G1100" s="71">
        <v>49249</v>
      </c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</row>
    <row r="1101" spans="1:23">
      <c r="A1101" s="70"/>
      <c r="B1101" s="69" t="s">
        <v>127</v>
      </c>
      <c r="C1101" s="69" t="s">
        <v>81</v>
      </c>
      <c r="D1101" s="70">
        <f>IFERROR(VLOOKUP(B1101,'Thống kê'!$C$3:$D$970,2, FALSE),VLOOKUP(B1101,'Thống kê v2 CC'!$A$3:$D$1005,3, FALSE))</f>
        <v>0</v>
      </c>
      <c r="E1101" s="69">
        <v>1</v>
      </c>
      <c r="F1101" s="71">
        <v>68500</v>
      </c>
      <c r="G1101" s="383">
        <v>98198</v>
      </c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</row>
    <row r="1102" spans="1:23">
      <c r="A1102" s="70"/>
      <c r="B1102" s="69" t="s">
        <v>134</v>
      </c>
      <c r="C1102" s="69" t="s">
        <v>81</v>
      </c>
      <c r="D1102" s="70">
        <f>IFERROR(VLOOKUP(B1102,'Thống kê'!$C$3:$D$970,2, FALSE),VLOOKUP(B1102,'Thống kê v2 CC'!$A$3:$D$1005,3, FALSE))</f>
        <v>0</v>
      </c>
      <c r="E1102" s="69">
        <v>1</v>
      </c>
      <c r="F1102" s="71">
        <v>68500</v>
      </c>
      <c r="G1102" s="373"/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</row>
    <row r="1103" spans="1:23">
      <c r="A1103" s="70"/>
      <c r="B1103" s="69" t="s">
        <v>140</v>
      </c>
      <c r="C1103" s="69" t="s">
        <v>81</v>
      </c>
      <c r="D1103" s="70">
        <f>IFERROR(VLOOKUP(B1103,'Thống kê'!$C$3:$D$970,2, FALSE),VLOOKUP(B1103,'Thống kê v2 CC'!$A$3:$D$1005,3, FALSE))</f>
        <v>0</v>
      </c>
      <c r="E1103" s="69">
        <v>1</v>
      </c>
      <c r="F1103" s="71">
        <v>62000</v>
      </c>
      <c r="G1103" s="71">
        <v>44290</v>
      </c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</row>
    <row r="1104" spans="1:23">
      <c r="A1104" s="70"/>
      <c r="B1104" s="69" t="s">
        <v>79</v>
      </c>
      <c r="C1104" s="69" t="s">
        <v>81</v>
      </c>
      <c r="D1104" s="69" t="str">
        <f>IFERROR(VLOOKUP(B1104,'Thống kê'!$C$3:$D$970,2, FALSE),VLOOKUP(B1104,'Thống kê v2 CC'!$A$3:$D$1005,3, FALSE))</f>
        <v>Móc khóa mô hình Twinkle Mini</v>
      </c>
      <c r="E1104" s="69">
        <v>1</v>
      </c>
      <c r="F1104" s="71">
        <v>68500</v>
      </c>
      <c r="G1104" s="71">
        <v>49249</v>
      </c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</row>
    <row r="1105" spans="1:23">
      <c r="A1105" s="70"/>
      <c r="B1105" s="69" t="s">
        <v>188</v>
      </c>
      <c r="C1105" s="69" t="s">
        <v>81</v>
      </c>
      <c r="D1105" s="70">
        <f>IFERROR(VLOOKUP(B1105,'Thống kê'!$C$3:$D$970,2, FALSE),VLOOKUP(B1105,'Thống kê v2 CC'!$A$3:$D$1005,3, FALSE))</f>
        <v>0</v>
      </c>
      <c r="E1105" s="69">
        <v>1</v>
      </c>
      <c r="F1105" s="71">
        <v>68500</v>
      </c>
      <c r="G1105" s="383">
        <v>424947</v>
      </c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</row>
    <row r="1106" spans="1:23">
      <c r="A1106" s="70"/>
      <c r="B1106" s="69" t="s">
        <v>111</v>
      </c>
      <c r="C1106" s="69" t="s">
        <v>81</v>
      </c>
      <c r="D1106" s="70">
        <f>IFERROR(VLOOKUP(B1106,'Thống kê'!$C$3:$D$970,2, FALSE),VLOOKUP(B1106,'Thống kê v2 CC'!$A$3:$D$1005,3, FALSE))</f>
        <v>0</v>
      </c>
      <c r="E1106" s="69">
        <v>2</v>
      </c>
      <c r="F1106" s="71">
        <v>68500</v>
      </c>
      <c r="G1106" s="372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</row>
    <row r="1107" spans="1:23">
      <c r="A1107" s="70"/>
      <c r="B1107" s="69" t="s">
        <v>82</v>
      </c>
      <c r="C1107" s="69" t="s">
        <v>81</v>
      </c>
      <c r="D1107" s="70">
        <f>IFERROR(VLOOKUP(B1107,'Thống kê'!$C$3:$D$970,2, FALSE),VLOOKUP(B1107,'Thống kê v2 CC'!$A$3:$D$1005,3, FALSE))</f>
        <v>0</v>
      </c>
      <c r="E1107" s="69">
        <v>2</v>
      </c>
      <c r="F1107" s="71">
        <v>68500</v>
      </c>
      <c r="G1107" s="372"/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</row>
    <row r="1108" spans="1:23">
      <c r="A1108" s="70"/>
      <c r="B1108" s="69" t="s">
        <v>314</v>
      </c>
      <c r="C1108" s="69" t="s">
        <v>81</v>
      </c>
      <c r="D1108" s="69" t="e">
        <f>IFERROR(VLOOKUP(B1108,'Thống kê'!$C$3:$D$970,2, FALSE),VLOOKUP(B1108,'Thống kê v2 CC'!$A$3:$D$1005,3, FALSE))</f>
        <v>#N/A</v>
      </c>
      <c r="E1108" s="69">
        <v>1</v>
      </c>
      <c r="F1108" s="71">
        <v>68500</v>
      </c>
      <c r="G1108" s="372"/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</row>
    <row r="1109" spans="1:23">
      <c r="A1109" s="70"/>
      <c r="B1109" s="69" t="s">
        <v>154</v>
      </c>
      <c r="C1109" s="69" t="s">
        <v>81</v>
      </c>
      <c r="D1109" s="70">
        <f>IFERROR(VLOOKUP(B1109,'Thống kê'!$C$3:$D$970,2, FALSE),VLOOKUP(B1109,'Thống kê v2 CC'!$A$3:$D$1005,3, FALSE))</f>
        <v>0</v>
      </c>
      <c r="E1109" s="69">
        <v>1</v>
      </c>
      <c r="F1109" s="71">
        <v>68500</v>
      </c>
      <c r="G1109" s="373"/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</row>
    <row r="1110" spans="1:23">
      <c r="A1110" s="70"/>
      <c r="B1110" s="69" t="s">
        <v>306</v>
      </c>
      <c r="C1110" s="69" t="s">
        <v>81</v>
      </c>
      <c r="D1110" s="69" t="e">
        <f>IFERROR(VLOOKUP(B1110,'Thống kê'!$C$3:$D$970,2, FALSE),VLOOKUP(B1110,'Thống kê v2 CC'!$A$3:$D$1005,3, FALSE))</f>
        <v>#N/A</v>
      </c>
      <c r="E1110" s="69">
        <v>1</v>
      </c>
      <c r="F1110" s="71">
        <v>150000</v>
      </c>
      <c r="G1110" s="383">
        <v>228299</v>
      </c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</row>
    <row r="1111" spans="1:23">
      <c r="A1111" s="70"/>
      <c r="B1111" s="69" t="s">
        <v>321</v>
      </c>
      <c r="C1111" s="69" t="s">
        <v>81</v>
      </c>
      <c r="D1111" s="69" t="e">
        <f>IFERROR(VLOOKUP(B1111,'Thống kê'!$C$3:$D$970,2, FALSE),VLOOKUP(B1111,'Thống kê v2 CC'!$A$3:$D$1005,3, FALSE))</f>
        <v>#N/A</v>
      </c>
      <c r="E1111" s="69">
        <v>1</v>
      </c>
      <c r="F1111" s="71">
        <v>150000</v>
      </c>
      <c r="G1111" s="373"/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</row>
    <row r="1112" spans="1:23">
      <c r="A1112" s="70"/>
      <c r="B1112" s="69" t="s">
        <v>126</v>
      </c>
      <c r="C1112" s="69" t="s">
        <v>81</v>
      </c>
      <c r="D1112" s="70">
        <f>IFERROR(VLOOKUP(B1112,'Thống kê'!$C$3:$D$970,2, FALSE),VLOOKUP(B1112,'Thống kê v2 CC'!$A$3:$D$1005,3, FALSE))</f>
        <v>0</v>
      </c>
      <c r="E1112" s="69">
        <v>1</v>
      </c>
      <c r="F1112" s="71">
        <v>68500</v>
      </c>
      <c r="G1112" s="383">
        <v>322977</v>
      </c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</row>
    <row r="1113" spans="1:23">
      <c r="A1113" s="70"/>
      <c r="B1113" s="69" t="s">
        <v>191</v>
      </c>
      <c r="C1113" s="69" t="s">
        <v>81</v>
      </c>
      <c r="D1113" s="70">
        <f>IFERROR(VLOOKUP(B1113,'Thống kê'!$C$3:$D$970,2, FALSE),VLOOKUP(B1113,'Thống kê v2 CC'!$A$3:$D$1005,3, FALSE))</f>
        <v>0</v>
      </c>
      <c r="E1113" s="69">
        <v>1</v>
      </c>
      <c r="F1113" s="71">
        <v>68500</v>
      </c>
      <c r="G1113" s="372"/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</row>
    <row r="1114" spans="1:23">
      <c r="A1114" s="70"/>
      <c r="B1114" s="69" t="s">
        <v>96</v>
      </c>
      <c r="C1114" s="69" t="s">
        <v>81</v>
      </c>
      <c r="D1114" s="70">
        <f>IFERROR(VLOOKUP(B1114,'Thống kê'!$C$3:$D$970,2, FALSE),VLOOKUP(B1114,'Thống kê v2 CC'!$A$3:$D$1005,3, FALSE))</f>
        <v>0</v>
      </c>
      <c r="E1114" s="69">
        <v>1</v>
      </c>
      <c r="F1114" s="71">
        <v>68500</v>
      </c>
      <c r="G1114" s="373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</row>
    <row r="1115" spans="1:23">
      <c r="A1115" s="70"/>
      <c r="B1115" s="69" t="s">
        <v>79</v>
      </c>
      <c r="C1115" s="69" t="s">
        <v>81</v>
      </c>
      <c r="D1115" s="69" t="str">
        <f>IFERROR(VLOOKUP(B1115,'Thống kê'!$C$3:$D$970,2, FALSE),VLOOKUP(B1115,'Thống kê v2 CC'!$A$3:$D$1005,3, FALSE))</f>
        <v>Móc khóa mô hình Twinkle Mini</v>
      </c>
      <c r="E1115" s="69">
        <v>1</v>
      </c>
      <c r="F1115" s="71">
        <v>68500</v>
      </c>
      <c r="G1115" s="383">
        <v>98198</v>
      </c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</row>
    <row r="1116" spans="1:23">
      <c r="A1116" s="70"/>
      <c r="B1116" s="69" t="s">
        <v>154</v>
      </c>
      <c r="C1116" s="69" t="s">
        <v>81</v>
      </c>
      <c r="D1116" s="70">
        <f>IFERROR(VLOOKUP(B1116,'Thống kê'!$C$3:$D$970,2, FALSE),VLOOKUP(B1116,'Thống kê v2 CC'!$A$3:$D$1005,3, FALSE))</f>
        <v>0</v>
      </c>
      <c r="E1116" s="69">
        <v>1</v>
      </c>
      <c r="F1116" s="71">
        <v>68500</v>
      </c>
      <c r="G1116" s="373"/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</row>
    <row r="1117" spans="1:23">
      <c r="A1117" s="70"/>
      <c r="B1117" s="69" t="s">
        <v>303</v>
      </c>
      <c r="C1117" s="69" t="s">
        <v>81</v>
      </c>
      <c r="D1117" s="69" t="e">
        <f>IFERROR(VLOOKUP(B1117,'Thống kê'!$C$3:$D$970,2, FALSE),VLOOKUP(B1117,'Thống kê v2 CC'!$A$3:$D$1005,3, FALSE))</f>
        <v>#N/A</v>
      </c>
      <c r="E1117" s="69">
        <v>1</v>
      </c>
      <c r="F1117" s="71">
        <v>150000</v>
      </c>
      <c r="G1117" s="383">
        <v>213176</v>
      </c>
      <c r="H1117" s="49"/>
      <c r="I1117" s="49"/>
      <c r="J1117" s="49"/>
      <c r="K1117" s="49"/>
      <c r="L1117" s="49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</row>
    <row r="1118" spans="1:23">
      <c r="A1118" s="70"/>
      <c r="B1118" s="69" t="s">
        <v>322</v>
      </c>
      <c r="C1118" s="69" t="s">
        <v>81</v>
      </c>
      <c r="D1118" s="69" t="e">
        <f>IFERROR(VLOOKUP(B1118,'Thống kê'!$C$3:$D$970,2, FALSE),VLOOKUP(B1118,'Thống kê v2 CC'!$A$3:$D$1005,3, FALSE))</f>
        <v>#N/A</v>
      </c>
      <c r="E1118" s="69">
        <v>1</v>
      </c>
      <c r="F1118" s="71">
        <v>131000</v>
      </c>
      <c r="G1118" s="373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</row>
    <row r="1119" spans="1:23">
      <c r="A1119" s="70"/>
      <c r="B1119" s="69" t="s">
        <v>126</v>
      </c>
      <c r="C1119" s="69" t="s">
        <v>81</v>
      </c>
      <c r="D1119" s="70">
        <f>IFERROR(VLOOKUP(B1119,'Thống kê'!$C$3:$D$970,2, FALSE),VLOOKUP(B1119,'Thống kê v2 CC'!$A$3:$D$1005,3, FALSE))</f>
        <v>0</v>
      </c>
      <c r="E1119" s="69">
        <v>1</v>
      </c>
      <c r="F1119" s="71">
        <v>68500</v>
      </c>
      <c r="G1119" s="383">
        <v>97928</v>
      </c>
      <c r="H1119" s="49"/>
      <c r="I1119" s="49"/>
      <c r="J1119" s="49"/>
      <c r="K1119" s="49"/>
      <c r="L1119" s="49"/>
      <c r="M1119" s="49"/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</row>
    <row r="1120" spans="1:23">
      <c r="A1120" s="70"/>
      <c r="B1120" s="69" t="s">
        <v>191</v>
      </c>
      <c r="C1120" s="69" t="s">
        <v>81</v>
      </c>
      <c r="D1120" s="70">
        <f>IFERROR(VLOOKUP(B1120,'Thống kê'!$C$3:$D$970,2, FALSE),VLOOKUP(B1120,'Thống kê v2 CC'!$A$3:$D$1005,3, FALSE))</f>
        <v>0</v>
      </c>
      <c r="E1120" s="69">
        <v>1</v>
      </c>
      <c r="F1120" s="71">
        <v>68500</v>
      </c>
      <c r="G1120" s="373"/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</row>
    <row r="1121" spans="1:23">
      <c r="A1121" s="70"/>
      <c r="B1121" s="69" t="s">
        <v>279</v>
      </c>
      <c r="C1121" s="69" t="s">
        <v>81</v>
      </c>
      <c r="D1121" s="70">
        <f>IFERROR(VLOOKUP(B1121,'Thống kê'!$C$3:$D$970,2, FALSE),VLOOKUP(B1121,'Thống kê v2 CC'!$A$3:$D$1005,3, FALSE))</f>
        <v>0</v>
      </c>
      <c r="E1121" s="69">
        <v>1</v>
      </c>
      <c r="F1121" s="71">
        <v>68500</v>
      </c>
      <c r="G1121" s="383">
        <v>98815</v>
      </c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</row>
    <row r="1122" spans="1:23">
      <c r="A1122" s="70"/>
      <c r="B1122" s="69" t="s">
        <v>316</v>
      </c>
      <c r="C1122" s="69" t="s">
        <v>81</v>
      </c>
      <c r="D1122" s="69" t="e">
        <f>IFERROR(VLOOKUP(B1122,'Thống kê'!$C$3:$D$970,2, FALSE),VLOOKUP(B1122,'Thống kê v2 CC'!$A$3:$D$1005,3, FALSE))</f>
        <v>#N/A</v>
      </c>
      <c r="E1122" s="69">
        <v>1</v>
      </c>
      <c r="F1122" s="71">
        <v>68500</v>
      </c>
      <c r="G1122" s="373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</row>
    <row r="1123" spans="1:23">
      <c r="A1123" s="70"/>
      <c r="B1123" s="69" t="s">
        <v>306</v>
      </c>
      <c r="C1123" s="69" t="s">
        <v>81</v>
      </c>
      <c r="D1123" s="69" t="e">
        <f>IFERROR(VLOOKUP(B1123,'Thống kê'!$C$3:$D$970,2, FALSE),VLOOKUP(B1123,'Thống kê v2 CC'!$A$3:$D$1005,3, FALSE))</f>
        <v>#N/A</v>
      </c>
      <c r="E1123" s="69">
        <v>1</v>
      </c>
      <c r="F1123" s="71">
        <v>150000</v>
      </c>
      <c r="G1123" s="71">
        <v>109152</v>
      </c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</row>
    <row r="1124" spans="1:23">
      <c r="A1124" s="70"/>
      <c r="B1124" s="69" t="s">
        <v>323</v>
      </c>
      <c r="C1124" s="69" t="s">
        <v>81</v>
      </c>
      <c r="D1124" s="70">
        <f>IFERROR(VLOOKUP(B1124,'Thống kê'!$C$3:$D$970,2, FALSE),VLOOKUP(B1124,'Thống kê v2 CC'!$A$3:$D$1005,3, FALSE))</f>
        <v>0</v>
      </c>
      <c r="E1124" s="69">
        <v>1</v>
      </c>
      <c r="F1124" s="71">
        <v>62000</v>
      </c>
      <c r="G1124" s="71">
        <v>44290</v>
      </c>
      <c r="H1124" s="49"/>
      <c r="I1124" s="49"/>
      <c r="J1124" s="49"/>
      <c r="K1124" s="49"/>
      <c r="L1124" s="49"/>
      <c r="M1124" s="49"/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</row>
    <row r="1125" spans="1:23">
      <c r="A1125" s="70"/>
      <c r="B1125" s="69" t="s">
        <v>97</v>
      </c>
      <c r="C1125" s="69" t="s">
        <v>81</v>
      </c>
      <c r="D1125" s="70">
        <f>IFERROR(VLOOKUP(B1125,'Thống kê'!$C$3:$D$970,2, FALSE),VLOOKUP(B1125,'Thống kê v2 CC'!$A$3:$D$1005,3, FALSE))</f>
        <v>0</v>
      </c>
      <c r="E1125" s="69">
        <v>1</v>
      </c>
      <c r="F1125" s="71">
        <v>68500</v>
      </c>
      <c r="G1125" s="71">
        <v>49249</v>
      </c>
      <c r="H1125" s="49"/>
      <c r="I1125" s="49"/>
      <c r="J1125" s="49"/>
      <c r="K1125" s="49"/>
      <c r="L1125" s="49"/>
      <c r="M1125" s="49"/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</row>
    <row r="1126" spans="1:23">
      <c r="A1126" s="70"/>
      <c r="B1126" s="69" t="s">
        <v>79</v>
      </c>
      <c r="C1126" s="69" t="s">
        <v>81</v>
      </c>
      <c r="D1126" s="69" t="str">
        <f>IFERROR(VLOOKUP(B1126,'Thống kê'!$C$3:$D$970,2, FALSE),VLOOKUP(B1126,'Thống kê v2 CC'!$A$3:$D$1005,3, FALSE))</f>
        <v>Móc khóa mô hình Twinkle Mini</v>
      </c>
      <c r="E1126" s="69">
        <v>1</v>
      </c>
      <c r="F1126" s="71">
        <v>68500</v>
      </c>
      <c r="G1126" s="383">
        <v>98198</v>
      </c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</row>
    <row r="1127" spans="1:23">
      <c r="A1127" s="70"/>
      <c r="B1127" s="69" t="s">
        <v>154</v>
      </c>
      <c r="C1127" s="69" t="s">
        <v>81</v>
      </c>
      <c r="D1127" s="70">
        <f>IFERROR(VLOOKUP(B1127,'Thống kê'!$C$3:$D$970,2, FALSE),VLOOKUP(B1127,'Thống kê v2 CC'!$A$3:$D$1005,3, FALSE))</f>
        <v>0</v>
      </c>
      <c r="E1127" s="69">
        <v>1</v>
      </c>
      <c r="F1127" s="71">
        <v>68500</v>
      </c>
      <c r="G1127" s="373"/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</row>
    <row r="1128" spans="1:23">
      <c r="A1128" s="70"/>
      <c r="B1128" s="69" t="s">
        <v>154</v>
      </c>
      <c r="C1128" s="69" t="s">
        <v>81</v>
      </c>
      <c r="D1128" s="70">
        <f>IFERROR(VLOOKUP(B1128,'Thống kê'!$C$3:$D$970,2, FALSE),VLOOKUP(B1128,'Thống kê v2 CC'!$A$3:$D$1005,3, FALSE))</f>
        <v>0</v>
      </c>
      <c r="E1128" s="69">
        <v>1</v>
      </c>
      <c r="F1128" s="71">
        <v>68500</v>
      </c>
      <c r="G1128" s="71">
        <v>49249</v>
      </c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</row>
    <row r="1129" spans="1:23">
      <c r="A1129" s="49"/>
      <c r="B1129" s="49"/>
      <c r="C1129" s="49"/>
      <c r="D1129" s="49"/>
      <c r="E1129" s="49"/>
      <c r="F1129" s="55"/>
      <c r="G1129" s="55">
        <f>98198+98198+70128+49249+44290+197736+49249+83425+49249+49249+106997+49249+219922+107110+94946+49249+127845+226994+98198+21381+318433+49500+115926+49249+49249</f>
        <v>2473219</v>
      </c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</row>
    <row r="1130" spans="1:23">
      <c r="A1130" s="49"/>
      <c r="B1130" s="49"/>
      <c r="C1130" s="49"/>
      <c r="D1130" s="49"/>
      <c r="E1130" s="49"/>
      <c r="F1130" s="55"/>
      <c r="G1130" s="55">
        <f>49249+70128+252765+70128+94946+44371+98815+49500+43527+49500+98198+49249+44371+145724+114573+49249+71021+960748+49249+267555+44290+49887+98198</f>
        <v>2865241</v>
      </c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</row>
    <row r="1131" spans="1:23">
      <c r="A1131" s="49"/>
      <c r="B1131" s="49"/>
      <c r="C1131" s="49"/>
      <c r="D1131" s="49"/>
      <c r="E1131" s="49"/>
      <c r="F1131" s="55"/>
      <c r="G1131" s="55">
        <f>49500+49249+49249+143930+85088+135835+186087+49249+683477+49887+49887+49249+145127+201346+22853+70128+70128+49887+49102+48635+110780</f>
        <v>2348673</v>
      </c>
      <c r="H1131" s="49"/>
      <c r="I1131" s="49"/>
      <c r="J1131" s="49"/>
      <c r="K1131" s="49"/>
      <c r="L1131" s="49"/>
      <c r="M1131" s="49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</row>
    <row r="1132" spans="1:23">
      <c r="A1132" s="49"/>
      <c r="B1132" s="49"/>
      <c r="C1132" s="49"/>
      <c r="D1132" s="49"/>
      <c r="E1132" s="49"/>
      <c r="F1132" s="55"/>
      <c r="G1132" s="55">
        <f>143930+70128+49249+96750+96750+216994+98441+206217+98198+98198+82762+325662</f>
        <v>1583279</v>
      </c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</row>
    <row r="1133" spans="1:23">
      <c r="A1133" s="49"/>
      <c r="B1133" s="49"/>
      <c r="C1133" s="49"/>
      <c r="D1133" s="49"/>
      <c r="E1133" s="49"/>
      <c r="F1133" s="55"/>
      <c r="G1133" s="55">
        <f>49249+49249+49249+49249+49102+44371+49249+98198+98198+49249+218970+56761+204948+70128+146537+44371+69390+136795+94946+98198+70128+143930+350524+36342</f>
        <v>2327331</v>
      </c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</row>
    <row r="1134" spans="1:23">
      <c r="A1134" s="49"/>
      <c r="B1134" s="49"/>
      <c r="C1134" s="49"/>
      <c r="D1134" s="49"/>
      <c r="E1134" s="49"/>
      <c r="F1134" s="55"/>
      <c r="G1134" s="55">
        <f>161758+199731+123359+83425+49249+94946+57571+259948+49249+145724+106324+98198+76407+71021+283883+98198+98198+109152+149950+149950+110780+49249</f>
        <v>2626270</v>
      </c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</row>
    <row r="1135" spans="1:23">
      <c r="A1135" s="49"/>
      <c r="B1135" s="49"/>
      <c r="C1135" s="49"/>
      <c r="D1135" s="49"/>
      <c r="E1135" s="49"/>
      <c r="F1135" s="55"/>
      <c r="G1135" s="55">
        <f>44371+49249+54966+49249+49249+89333+44290+177195+49249+114817+244722+49249+93397+84164+70128+77515+85088+70128+218528+98198+49249</f>
        <v>1862334</v>
      </c>
      <c r="H1135" s="49"/>
      <c r="I1135" s="49"/>
      <c r="J1135" s="49"/>
      <c r="K1135" s="49"/>
      <c r="L1135" s="49"/>
      <c r="M1135" s="49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</row>
    <row r="1136" spans="1:23">
      <c r="A1136" s="49"/>
      <c r="B1136" s="49"/>
      <c r="C1136" s="49"/>
      <c r="D1136" s="49"/>
      <c r="E1136" s="49"/>
      <c r="F1136" s="55"/>
      <c r="G1136" s="55">
        <f>49249+98198+49249+145724+49249+123359+70128+123359+134394+49249+98198+98198+123359+120727+69390+49249+303930</f>
        <v>1755209</v>
      </c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</row>
    <row r="1137" spans="1:23">
      <c r="A1137" s="49"/>
      <c r="B1137" s="49"/>
      <c r="C1137" s="49"/>
      <c r="D1137" s="49"/>
      <c r="E1137" s="49"/>
      <c r="F1137" s="55"/>
      <c r="G1137" s="55">
        <f>123138+97879+98198+185596+105953+98198+44290+82983+49249+204950+49249+157982+283632+44290+109152+82615+49102+70128+47599+49249+49249+204948+143931+85088+143930+135835+80100+204948+49249+49249+84164+49500+85272+224069</f>
        <v>3622964</v>
      </c>
      <c r="H1137" s="49"/>
      <c r="I1137" s="49"/>
      <c r="J1137" s="49"/>
      <c r="K1137" s="49"/>
      <c r="L1137" s="49"/>
      <c r="M1137" s="49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</row>
    <row r="1138" spans="1:23">
      <c r="A1138" s="49"/>
      <c r="B1138" s="49"/>
      <c r="C1138" s="49"/>
      <c r="D1138" s="49"/>
      <c r="E1138" s="49"/>
      <c r="F1138" s="55"/>
      <c r="G1138" s="55">
        <f>70128+109152+28313+109152+49887+49249+70128+156376+70128+127845+44371+49249+70128+70128+68655+212908+120481+98076+123138</f>
        <v>1697492</v>
      </c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</row>
    <row r="1139" spans="1:23">
      <c r="A1139" s="49"/>
      <c r="B1139" s="49"/>
      <c r="C1139" s="49"/>
      <c r="D1139" s="49"/>
      <c r="E1139" s="49"/>
      <c r="F1139" s="55"/>
      <c r="G1139" s="55">
        <f>49249+82983+85640+102374+296636+94946+228618+70128+49249+49249+47840+49249+197736+70128+146537+94946+49249+49249+146537+197736+110780+109152+69318+49249+93397</f>
        <v>2590175</v>
      </c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</row>
    <row r="1140" spans="1:23">
      <c r="A1140" s="49"/>
      <c r="B1140" s="49"/>
      <c r="C1140" s="49"/>
      <c r="D1140" s="49"/>
      <c r="E1140" s="49"/>
      <c r="F1140" s="55"/>
      <c r="G1140" s="55">
        <f>49249+93397+49500+49249+69672+109152+70128+109152+35949+44290+49249+49249+70128+226182</f>
        <v>1074546</v>
      </c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</row>
    <row r="1141" spans="1:23">
      <c r="A1141" s="49"/>
      <c r="B1141" s="49"/>
      <c r="C1141" s="49"/>
      <c r="D1141" s="49"/>
      <c r="E1141" s="49"/>
      <c r="F1141" s="55"/>
      <c r="G1141" s="55">
        <f>83425+20988+49249+143930+70128+57571+98198+216994+48439+56494+49500+149950+98198+49249+14582</f>
        <v>1206895</v>
      </c>
      <c r="H1141" s="49"/>
      <c r="I1141" s="49"/>
      <c r="J1141" s="49"/>
      <c r="K1141" s="49"/>
      <c r="L1141" s="49"/>
      <c r="M1141" s="49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</row>
    <row r="1142" spans="1:23">
      <c r="A1142" s="49"/>
      <c r="B1142" s="49"/>
      <c r="C1142" s="49"/>
      <c r="D1142" s="49"/>
      <c r="E1142" s="49"/>
      <c r="F1142" s="55"/>
      <c r="G1142" s="55">
        <f>306639+109152+109152+49249+28313+70128+48856+115926+98815+70128+98198+88596+146320+49249</f>
        <v>1388721</v>
      </c>
      <c r="H1142" s="49"/>
      <c r="I1142" s="49"/>
      <c r="J1142" s="49"/>
      <c r="K1142" s="49"/>
      <c r="L1142" s="49"/>
      <c r="M1142" s="49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</row>
    <row r="1143" spans="1:23">
      <c r="A1143" s="49"/>
      <c r="B1143" s="49"/>
      <c r="C1143" s="49"/>
      <c r="D1143" s="49"/>
      <c r="E1143" s="49"/>
      <c r="F1143" s="55"/>
      <c r="G1143" s="55">
        <f>268813+98198+109152+151960+149950+98198+49249+149950+369942+49249+104107+39954+70211+28313+49249+140622+70128+123359</f>
        <v>2120604</v>
      </c>
      <c r="H1143" s="49"/>
      <c r="I1143" s="49"/>
      <c r="J1143" s="49"/>
      <c r="K1143" s="49"/>
      <c r="L1143" s="49"/>
      <c r="M1143" s="49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</row>
    <row r="1144" spans="1:23">
      <c r="A1144" s="49"/>
      <c r="B1144" s="49"/>
      <c r="C1144" s="49"/>
      <c r="D1144" s="49"/>
      <c r="E1144" s="49"/>
      <c r="F1144" s="55"/>
      <c r="G1144" s="55">
        <f>109152+98198+49249+49249+49249+28313+49249+49500+49249+98198+70128+44290+98198</f>
        <v>842222</v>
      </c>
      <c r="H1144" s="49"/>
      <c r="I1144" s="49"/>
      <c r="J1144" s="49"/>
      <c r="K1144" s="49"/>
      <c r="L1144" s="49"/>
      <c r="M1144" s="49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</row>
    <row r="1145" spans="1:23">
      <c r="A1145" s="49"/>
      <c r="B1145" s="49"/>
      <c r="C1145" s="49"/>
      <c r="D1145" s="49"/>
      <c r="E1145" s="49"/>
      <c r="F1145" s="55"/>
      <c r="G1145" s="55">
        <f>49249+71021+256358+143128+70128+228618+70128+49249+140622+94946+94946+109152+56494+129222+94946+49249+145724+109152+49249</f>
        <v>2011581</v>
      </c>
      <c r="H1145" s="49"/>
      <c r="I1145" s="49"/>
      <c r="J1145" s="49"/>
      <c r="K1145" s="49"/>
      <c r="L1145" s="49"/>
      <c r="M1145" s="49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</row>
    <row r="1146" spans="1:23">
      <c r="A1146" s="49"/>
      <c r="B1146" s="49"/>
      <c r="C1146" s="49"/>
      <c r="D1146" s="49"/>
      <c r="E1146" s="49"/>
      <c r="F1146" s="55"/>
      <c r="G1146" s="55">
        <f>109152+98198+110780+49500+44290+36342+146320+28313+98198+44290+44371+149950+204949+143930</f>
        <v>1308583</v>
      </c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</row>
    <row r="1147" spans="1:23">
      <c r="A1147" s="49"/>
      <c r="B1147" s="49"/>
      <c r="C1147" s="49"/>
      <c r="D1147" s="49"/>
      <c r="E1147" s="49"/>
      <c r="F1147" s="55"/>
      <c r="G1147" s="55">
        <f>98198+108071+94946+70128+149950+123359+116657+42798+47599+47032+22853+145918+47599</f>
        <v>1115108</v>
      </c>
      <c r="H1147" s="49"/>
      <c r="I1147" s="49"/>
      <c r="J1147" s="49"/>
      <c r="K1147" s="49"/>
      <c r="L1147" s="49"/>
      <c r="M1147" s="49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</row>
    <row r="1148" spans="1:23">
      <c r="A1148" s="49"/>
      <c r="B1148" s="49"/>
      <c r="C1148" s="49"/>
      <c r="D1148" s="49"/>
      <c r="E1148" s="49"/>
      <c r="F1148" s="55"/>
      <c r="G1148" s="55">
        <f>177651</f>
        <v>177651</v>
      </c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</row>
    <row r="1149" spans="1:23">
      <c r="A1149" s="49"/>
      <c r="B1149" s="49"/>
      <c r="C1149" s="49"/>
      <c r="D1149" s="49"/>
      <c r="E1149" s="49"/>
      <c r="F1149" s="55"/>
      <c r="G1149" s="55">
        <f>98198+54809+143528+47599+149765+36342+47842+228212+63481+47599+149551+70128+105953+70128+42798+70128+47599+105414+94946+70128</f>
        <v>1744148</v>
      </c>
      <c r="H1149" s="49"/>
      <c r="I1149" s="49"/>
      <c r="J1149" s="49"/>
      <c r="K1149" s="49"/>
      <c r="L1149" s="49"/>
      <c r="M1149" s="49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</row>
    <row r="1150" spans="1:23">
      <c r="A1150" s="49"/>
      <c r="B1150" s="49"/>
      <c r="C1150" s="49"/>
      <c r="D1150" s="49"/>
      <c r="E1150" s="49"/>
      <c r="F1150" s="55"/>
      <c r="G1150" s="55">
        <f>99335+228212+77515+104107+47599+228212+93397+47599+98198+303795+350119+70128+135435+70128+126625+126625+47599+47842</f>
        <v>2302470</v>
      </c>
      <c r="H1150" s="49"/>
      <c r="I1150" s="49"/>
      <c r="J1150" s="49"/>
      <c r="K1150" s="49"/>
      <c r="L1150" s="49"/>
      <c r="M1150" s="49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</row>
    <row r="1151" spans="1:23">
      <c r="A1151" s="49"/>
      <c r="B1151" s="49"/>
      <c r="C1151" s="49"/>
      <c r="D1151" s="49"/>
      <c r="E1151" s="49"/>
      <c r="F1151" s="55"/>
      <c r="G1151" s="55">
        <f>149158+47599+135435+36342+47599+47599+77515+51998+77515+98198+77515+46190+259548+47599+47599+77515+105585+47599+70128</f>
        <v>1548236</v>
      </c>
      <c r="H1151" s="49"/>
      <c r="I1151" s="49"/>
      <c r="J1151" s="49"/>
      <c r="K1151" s="49"/>
      <c r="L1151" s="49"/>
      <c r="M1151" s="49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</row>
    <row r="1152" spans="1:23">
      <c r="A1152" s="49"/>
      <c r="B1152" s="49"/>
      <c r="C1152" s="49"/>
      <c r="D1152" s="49"/>
      <c r="E1152" s="49"/>
      <c r="F1152" s="55"/>
      <c r="G1152" s="55">
        <f>36342+47599+47599+574174+47599+98198+47599+228212+47599+47599+28313+47599+126625+47599+47599+286238+98198+111412+106113+47599+47599+434241+36342+140223+422798+98198+69390</f>
        <v>3418606</v>
      </c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</row>
    <row r="1153" spans="1:23">
      <c r="A1153" s="49"/>
      <c r="B1153" s="49"/>
      <c r="C1153" s="49"/>
      <c r="D1153" s="49"/>
      <c r="E1153" s="49"/>
      <c r="F1153" s="55"/>
      <c r="G1153" s="55">
        <f>36342+47599+145918+36342+36342+198529+127070+77515+228212+98198+88596+77515+42798+77515+47599+70128+106714+42798+151557+77515+42798+36342+77515</f>
        <v>1971457</v>
      </c>
      <c r="H1153" s="49"/>
      <c r="I1153" s="49"/>
      <c r="J1153" s="49"/>
      <c r="K1153" s="49"/>
      <c r="L1153" s="49"/>
      <c r="M1153" s="49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</row>
    <row r="1154" spans="1:23">
      <c r="A1154" s="49"/>
      <c r="B1154" s="49"/>
      <c r="C1154" s="49"/>
      <c r="D1154" s="49"/>
      <c r="E1154" s="49"/>
      <c r="F1154" s="55"/>
      <c r="G1154" s="55">
        <f>161355+47599+47599+245533+106714+77515+157276+83055+77515+28313+47599+47599+77515+127070+98198+44371+228212+70128+106714+369547+106714+70128+197330+77515+259094</f>
        <v>2960208</v>
      </c>
      <c r="H1154" s="49"/>
      <c r="I1154" s="49"/>
      <c r="J1154" s="49"/>
      <c r="K1154" s="49"/>
      <c r="L1154" s="49"/>
      <c r="M1154" s="49"/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</row>
    <row r="1155" spans="1:23">
      <c r="A1155" s="49"/>
      <c r="B1155" s="49"/>
      <c r="C1155" s="49"/>
      <c r="D1155" s="49"/>
      <c r="E1155" s="49"/>
      <c r="F1155" s="55"/>
      <c r="G1155" s="55">
        <f>51166+54809+145316+36342+220609+231045+104107+418928+42798+98198+47599+45589+42798</f>
        <v>1539304</v>
      </c>
      <c r="H1155" s="49"/>
      <c r="I1155" s="49"/>
      <c r="J1155" s="49"/>
      <c r="K1155" s="49"/>
      <c r="L1155" s="49"/>
      <c r="M1155" s="49"/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</row>
    <row r="1156" spans="1:23">
      <c r="A1156" s="49"/>
      <c r="B1156" s="49"/>
      <c r="C1156" s="49"/>
      <c r="D1156" s="49"/>
      <c r="E1156" s="49"/>
      <c r="F1156" s="55"/>
      <c r="G1156" s="55">
        <f>54809+47599+77515+145316+36342+98198+227028+105391+36342+204551+42798+88596+204778+145316</f>
        <v>1514579</v>
      </c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</row>
    <row r="1157" spans="1:23">
      <c r="A1157" s="72">
        <v>45992</v>
      </c>
      <c r="B1157" s="69" t="s">
        <v>95</v>
      </c>
      <c r="C1157" s="69" t="s">
        <v>81</v>
      </c>
      <c r="D1157" s="70">
        <f>IFERROR(VLOOKUP(B1157,'Thống kê'!$C$3:$D$970,2, FALSE),VLOOKUP(B1157,'Thống kê v2 CC'!$A$3:$D$1005,3, FALSE))</f>
        <v>0</v>
      </c>
      <c r="E1157" s="69">
        <v>1</v>
      </c>
      <c r="F1157" s="71">
        <v>68500</v>
      </c>
      <c r="G1157" s="383">
        <v>145918</v>
      </c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</row>
    <row r="1158" spans="1:23">
      <c r="A1158" s="70"/>
      <c r="B1158" s="69" t="s">
        <v>324</v>
      </c>
      <c r="C1158" s="69" t="s">
        <v>81</v>
      </c>
      <c r="D1158" s="69" t="e">
        <f>IFERROR(VLOOKUP(B1158,'Thống kê'!$C$3:$D$970,2, FALSE),VLOOKUP(B1158,'Thống kê v2 CC'!$A$3:$D$1005,3, FALSE))</f>
        <v>#N/A</v>
      </c>
      <c r="E1158" s="69">
        <v>1</v>
      </c>
      <c r="F1158" s="71">
        <v>131000</v>
      </c>
      <c r="G1158" s="373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</row>
    <row r="1159" spans="1:23">
      <c r="A1159" s="70"/>
      <c r="B1159" s="69" t="s">
        <v>281</v>
      </c>
      <c r="C1159" s="69" t="s">
        <v>81</v>
      </c>
      <c r="D1159" s="70">
        <f>IFERROR(VLOOKUP(B1159,'Thống kê'!$C$3:$D$970,2, FALSE),VLOOKUP(B1159,'Thống kê v2 CC'!$A$3:$D$1005,3, FALSE))</f>
        <v>0</v>
      </c>
      <c r="E1159" s="69">
        <v>1</v>
      </c>
      <c r="F1159" s="71">
        <v>108999</v>
      </c>
      <c r="G1159" s="71">
        <v>79698</v>
      </c>
      <c r="H1159" s="49"/>
      <c r="I1159" s="49"/>
      <c r="J1159" s="49"/>
      <c r="K1159" s="49"/>
      <c r="L1159" s="49"/>
      <c r="M1159" s="49"/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</row>
    <row r="1160" spans="1:23">
      <c r="A1160" s="72">
        <v>45993</v>
      </c>
      <c r="B1160" s="69" t="s">
        <v>115</v>
      </c>
      <c r="C1160" s="69" t="s">
        <v>81</v>
      </c>
      <c r="D1160" s="69" t="str">
        <f>IFERROR(VLOOKUP(B1160,'Thống kê'!$C$3:$D$970,2, FALSE),VLOOKUP(B1160,'Thống kê v2 CC'!$A$3:$D$1005,3, FALSE))</f>
        <v>Heo ú</v>
      </c>
      <c r="E1160" s="69">
        <v>1</v>
      </c>
      <c r="F1160" s="71">
        <v>69000</v>
      </c>
      <c r="G1160" s="383">
        <v>103786</v>
      </c>
      <c r="H1160" s="49"/>
      <c r="I1160" s="49"/>
      <c r="J1160" s="49"/>
      <c r="K1160" s="49"/>
      <c r="L1160" s="49"/>
      <c r="M1160" s="49"/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</row>
    <row r="1161" spans="1:23">
      <c r="A1161" s="70"/>
      <c r="B1161" s="69" t="s">
        <v>325</v>
      </c>
      <c r="C1161" s="69" t="s">
        <v>81</v>
      </c>
      <c r="D1161" s="69" t="str">
        <f>IFERROR(VLOOKUP(B1161,'Thống kê'!$C$3:$D$970,2, FALSE),VLOOKUP(B1161,'Thống kê v2 CC'!$A$3:$D$1005,3, FALSE))</f>
        <v>Gấu ú</v>
      </c>
      <c r="E1161" s="69">
        <v>1</v>
      </c>
      <c r="F1161" s="71">
        <v>70000</v>
      </c>
      <c r="G1161" s="373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</row>
    <row r="1162" spans="1:23">
      <c r="A1162" s="70"/>
      <c r="B1162" s="69" t="s">
        <v>281</v>
      </c>
      <c r="C1162" s="69" t="s">
        <v>81</v>
      </c>
      <c r="D1162" s="70">
        <f>IFERROR(VLOOKUP(B1162,'Thống kê'!$C$3:$D$970,2, FALSE),VLOOKUP(B1162,'Thống kê v2 CC'!$A$3:$D$1005,3, FALSE))</f>
        <v>0</v>
      </c>
      <c r="E1162" s="69">
        <v>1</v>
      </c>
      <c r="F1162" s="71">
        <v>108999</v>
      </c>
      <c r="G1162" s="71">
        <v>79698</v>
      </c>
      <c r="H1162" s="49"/>
      <c r="I1162" s="49"/>
      <c r="J1162" s="49"/>
      <c r="K1162" s="49"/>
      <c r="L1162" s="49"/>
      <c r="M1162" s="49"/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</row>
    <row r="1163" spans="1:23">
      <c r="A1163" s="70"/>
      <c r="B1163" s="69" t="s">
        <v>148</v>
      </c>
      <c r="C1163" s="69" t="s">
        <v>81</v>
      </c>
      <c r="D1163" s="69" t="e">
        <f>IFERROR(VLOOKUP(B1163,'Thống kê'!$C$3:$D$970,2, FALSE),VLOOKUP(B1163,'Thống kê v2 CC'!$A$3:$D$1005,3, FALSE))</f>
        <v>#N/A</v>
      </c>
      <c r="E1163" s="69">
        <v>1</v>
      </c>
      <c r="F1163" s="71">
        <v>150000</v>
      </c>
      <c r="G1163" s="383">
        <v>350119</v>
      </c>
      <c r="H1163" s="49"/>
      <c r="I1163" s="49"/>
      <c r="J1163" s="49"/>
      <c r="K1163" s="49"/>
      <c r="L1163" s="49"/>
      <c r="M1163" s="49"/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</row>
    <row r="1164" spans="1:23">
      <c r="A1164" s="70"/>
      <c r="B1164" s="69" t="s">
        <v>217</v>
      </c>
      <c r="C1164" s="69" t="s">
        <v>81</v>
      </c>
      <c r="D1164" s="69" t="e">
        <f>IFERROR(VLOOKUP(B1164,'Thống kê'!$C$3:$D$970,2, FALSE),VLOOKUP(B1164,'Thống kê v2 CC'!$A$3:$D$1005,3, FALSE))</f>
        <v>#N/A</v>
      </c>
      <c r="E1164" s="69">
        <v>1</v>
      </c>
      <c r="F1164" s="71">
        <v>150000</v>
      </c>
      <c r="G1164" s="372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</row>
    <row r="1165" spans="1:23">
      <c r="A1165" s="70"/>
      <c r="B1165" s="69" t="s">
        <v>303</v>
      </c>
      <c r="C1165" s="69" t="s">
        <v>81</v>
      </c>
      <c r="D1165" s="69" t="e">
        <f>IFERROR(VLOOKUP(B1165,'Thống kê'!$C$3:$D$970,2, FALSE),VLOOKUP(B1165,'Thống kê v2 CC'!$A$3:$D$1005,3, FALSE))</f>
        <v>#N/A</v>
      </c>
      <c r="E1165" s="69">
        <v>1</v>
      </c>
      <c r="F1165" s="71">
        <v>150000</v>
      </c>
      <c r="G1165" s="373"/>
      <c r="H1165" s="49"/>
      <c r="I1165" s="49"/>
      <c r="J1165" s="49"/>
      <c r="K1165" s="49"/>
      <c r="L1165" s="49"/>
      <c r="M1165" s="49"/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</row>
    <row r="1166" spans="1:23">
      <c r="A1166" s="70"/>
      <c r="B1166" s="69" t="s">
        <v>281</v>
      </c>
      <c r="C1166" s="69" t="s">
        <v>81</v>
      </c>
      <c r="D1166" s="70">
        <f>IFERROR(VLOOKUP(B1166,'Thống kê'!$C$3:$D$970,2, FALSE),VLOOKUP(B1166,'Thống kê v2 CC'!$A$3:$D$1005,3, FALSE))</f>
        <v>0</v>
      </c>
      <c r="E1166" s="69">
        <v>1</v>
      </c>
      <c r="F1166" s="71">
        <v>108999</v>
      </c>
      <c r="G1166" s="71">
        <v>84515</v>
      </c>
      <c r="H1166" s="49"/>
      <c r="I1166" s="49"/>
      <c r="J1166" s="49"/>
      <c r="K1166" s="49"/>
      <c r="L1166" s="49"/>
      <c r="M1166" s="49"/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</row>
    <row r="1167" spans="1:23">
      <c r="A1167" s="70"/>
      <c r="B1167" s="69" t="s">
        <v>276</v>
      </c>
      <c r="C1167" s="69" t="s">
        <v>81</v>
      </c>
      <c r="D1167" s="69" t="e">
        <f>IFERROR(VLOOKUP(B1167,'Thống kê'!$C$3:$D$970,2, FALSE),VLOOKUP(B1167,'Thống kê v2 CC'!$A$3:$D$1005,3, FALSE))</f>
        <v>#N/A</v>
      </c>
      <c r="E1167" s="69">
        <v>1</v>
      </c>
      <c r="F1167" s="71">
        <v>39000</v>
      </c>
      <c r="G1167" s="71">
        <v>28313</v>
      </c>
      <c r="H1167" s="49"/>
      <c r="I1167" s="49"/>
      <c r="J1167" s="49"/>
      <c r="K1167" s="49"/>
      <c r="L1167" s="49"/>
      <c r="M1167" s="49"/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</row>
    <row r="1168" spans="1:23">
      <c r="A1168" s="70"/>
      <c r="B1168" s="69" t="s">
        <v>95</v>
      </c>
      <c r="C1168" s="69" t="s">
        <v>81</v>
      </c>
      <c r="D1168" s="70">
        <f>IFERROR(VLOOKUP(B1168,'Thống kê'!$C$3:$D$970,2, FALSE),VLOOKUP(B1168,'Thống kê v2 CC'!$A$3:$D$1005,3, FALSE))</f>
        <v>0</v>
      </c>
      <c r="E1168" s="69">
        <v>1</v>
      </c>
      <c r="F1168" s="71">
        <v>68500</v>
      </c>
      <c r="G1168" s="383">
        <v>204551</v>
      </c>
      <c r="H1168" s="49"/>
      <c r="I1168" s="49"/>
      <c r="J1168" s="49"/>
      <c r="K1168" s="49"/>
      <c r="L1168" s="49"/>
      <c r="M1168" s="49"/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</row>
    <row r="1169" spans="1:23">
      <c r="A1169" s="70"/>
      <c r="B1169" s="69" t="s">
        <v>188</v>
      </c>
      <c r="C1169" s="69" t="s">
        <v>81</v>
      </c>
      <c r="D1169" s="70">
        <f>IFERROR(VLOOKUP(B1169,'Thống kê'!$C$3:$D$970,2, FALSE),VLOOKUP(B1169,'Thống kê v2 CC'!$A$3:$D$1005,3, FALSE))</f>
        <v>0</v>
      </c>
      <c r="E1169" s="69">
        <v>1</v>
      </c>
      <c r="F1169" s="71">
        <v>68500</v>
      </c>
      <c r="G1169" s="372"/>
      <c r="H1169" s="49"/>
      <c r="I1169" s="49"/>
      <c r="J1169" s="49"/>
      <c r="K1169" s="49"/>
      <c r="L1169" s="49"/>
      <c r="M1169" s="49"/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</row>
    <row r="1170" spans="1:23">
      <c r="A1170" s="70"/>
      <c r="B1170" s="69" t="s">
        <v>82</v>
      </c>
      <c r="C1170" s="69" t="s">
        <v>81</v>
      </c>
      <c r="D1170" s="70">
        <f>IFERROR(VLOOKUP(B1170,'Thống kê'!$C$3:$D$970,2, FALSE),VLOOKUP(B1170,'Thống kê v2 CC'!$A$3:$D$1005,3, FALSE))</f>
        <v>0</v>
      </c>
      <c r="E1170" s="69">
        <v>1</v>
      </c>
      <c r="F1170" s="71">
        <v>68500</v>
      </c>
      <c r="G1170" s="372"/>
      <c r="H1170" s="49"/>
      <c r="I1170" s="49"/>
      <c r="J1170" s="49"/>
      <c r="K1170" s="49"/>
      <c r="L1170" s="49"/>
      <c r="M1170" s="49"/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</row>
    <row r="1171" spans="1:23">
      <c r="A1171" s="70"/>
      <c r="B1171" s="69" t="s">
        <v>97</v>
      </c>
      <c r="C1171" s="69" t="s">
        <v>81</v>
      </c>
      <c r="D1171" s="70">
        <f>IFERROR(VLOOKUP(B1171,'Thống kê'!$C$3:$D$970,2, FALSE),VLOOKUP(B1171,'Thống kê v2 CC'!$A$3:$D$1005,3, FALSE))</f>
        <v>0</v>
      </c>
      <c r="E1171" s="69">
        <v>1</v>
      </c>
      <c r="F1171" s="71">
        <v>68500</v>
      </c>
      <c r="G1171" s="373"/>
      <c r="H1171" s="49"/>
      <c r="I1171" s="49"/>
      <c r="J1171" s="49"/>
      <c r="K1171" s="49"/>
      <c r="L1171" s="49"/>
      <c r="M1171" s="49"/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</row>
    <row r="1172" spans="1:23">
      <c r="A1172" s="70"/>
      <c r="B1172" s="69" t="s">
        <v>82</v>
      </c>
      <c r="C1172" s="69" t="s">
        <v>81</v>
      </c>
      <c r="D1172" s="70">
        <f>IFERROR(VLOOKUP(B1172,'Thống kê'!$C$3:$D$970,2, FALSE),VLOOKUP(B1172,'Thống kê v2 CC'!$A$3:$D$1005,3, FALSE))</f>
        <v>0</v>
      </c>
      <c r="E1172" s="69">
        <v>1</v>
      </c>
      <c r="F1172" s="71">
        <v>68500</v>
      </c>
      <c r="G1172" s="71">
        <v>47599</v>
      </c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</row>
    <row r="1173" spans="1:23">
      <c r="A1173" s="70"/>
      <c r="B1173" s="69" t="s">
        <v>326</v>
      </c>
      <c r="C1173" s="69" t="s">
        <v>81</v>
      </c>
      <c r="D1173" s="69" t="e">
        <f>IFERROR(VLOOKUP(B1173,'Thống kê'!$C$3:$D$970,2, FALSE),VLOOKUP(B1173,'Thống kê v2 CC'!$A$3:$D$1005,3, FALSE))</f>
        <v>#N/A</v>
      </c>
      <c r="E1173" s="69">
        <v>1</v>
      </c>
      <c r="F1173" s="71">
        <v>68500</v>
      </c>
      <c r="G1173" s="71">
        <v>47599</v>
      </c>
      <c r="H1173" s="49"/>
      <c r="I1173" s="49"/>
      <c r="J1173" s="49"/>
      <c r="K1173" s="49"/>
      <c r="L1173" s="49"/>
      <c r="M1173" s="49"/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</row>
    <row r="1174" spans="1:23">
      <c r="A1174" s="70"/>
      <c r="B1174" s="69" t="s">
        <v>108</v>
      </c>
      <c r="C1174" s="69" t="s">
        <v>81</v>
      </c>
      <c r="D1174" s="70">
        <f>IFERROR(VLOOKUP(B1174,'Thống kê'!$C$3:$D$970,2, FALSE),VLOOKUP(B1174,'Thống kê v2 CC'!$A$3:$D$1005,3, FALSE))</f>
        <v>0</v>
      </c>
      <c r="E1174" s="69">
        <v>1</v>
      </c>
      <c r="F1174" s="71">
        <v>62000</v>
      </c>
      <c r="G1174" s="71">
        <v>42798</v>
      </c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</row>
    <row r="1175" spans="1:23">
      <c r="A1175" s="70"/>
      <c r="B1175" s="69" t="s">
        <v>327</v>
      </c>
      <c r="C1175" s="69" t="s">
        <v>81</v>
      </c>
      <c r="D1175" s="69" t="e">
        <f>IFERROR(VLOOKUP(B1175,'Thống kê'!$C$3:$D$970,2, FALSE),VLOOKUP(B1175,'Thống kê v2 CC'!$A$3:$D$1005,3, FALSE))</f>
        <v>#N/A</v>
      </c>
      <c r="E1175" s="69">
        <v>1</v>
      </c>
      <c r="F1175" s="71">
        <v>99000</v>
      </c>
      <c r="G1175" s="383">
        <v>192105</v>
      </c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</row>
    <row r="1176" spans="1:23">
      <c r="A1176" s="70"/>
      <c r="B1176" s="69" t="s">
        <v>245</v>
      </c>
      <c r="C1176" s="69" t="s">
        <v>81</v>
      </c>
      <c r="D1176" s="69" t="str">
        <f>IFERROR(VLOOKUP(B1176,'Thống kê'!$C$3:$D$970,2, FALSE),VLOOKUP(B1176,'Thống kê v2 CC'!$A$3:$D$1005,3, FALSE))</f>
        <v>Móc khóa Popbean</v>
      </c>
      <c r="E1176" s="69">
        <v>1</v>
      </c>
      <c r="F1176" s="71">
        <v>159500</v>
      </c>
      <c r="G1176" s="373"/>
      <c r="H1176" s="49"/>
      <c r="I1176" s="49"/>
      <c r="J1176" s="49"/>
      <c r="K1176" s="49"/>
      <c r="L1176" s="49"/>
      <c r="M1176" s="49"/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</row>
    <row r="1177" spans="1:23">
      <c r="A1177" s="70"/>
      <c r="B1177" s="69" t="s">
        <v>149</v>
      </c>
      <c r="C1177" s="69" t="s">
        <v>81</v>
      </c>
      <c r="D1177" s="69" t="str">
        <f>IFERROR(VLOOKUP(B1177,'Thống kê'!$C$3:$D$970,2, FALSE),VLOOKUP(B1177,'Thống kê v2 CC'!$A$3:$D$1005,3, FALSE))</f>
        <v>ếch</v>
      </c>
      <c r="E1177" s="69">
        <v>1</v>
      </c>
      <c r="F1177" s="71">
        <v>32200</v>
      </c>
      <c r="G1177" s="383">
        <v>128432</v>
      </c>
      <c r="H1177" s="49"/>
      <c r="I1177" s="49"/>
      <c r="J1177" s="49"/>
      <c r="K1177" s="49"/>
      <c r="L1177" s="49"/>
      <c r="M1177" s="49"/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</row>
    <row r="1178" spans="1:23">
      <c r="A1178" s="70"/>
      <c r="B1178" s="69" t="s">
        <v>293</v>
      </c>
      <c r="C1178" s="69" t="s">
        <v>81</v>
      </c>
      <c r="D1178" s="69" t="e">
        <f>IFERROR(VLOOKUP(B1178,'Thống kê'!$C$3:$D$970,2, FALSE),VLOOKUP(B1178,'Thống kê v2 CC'!$A$3:$D$1005,3, FALSE))</f>
        <v>#N/A</v>
      </c>
      <c r="E1178" s="69">
        <v>1</v>
      </c>
      <c r="F1178" s="71">
        <v>49000</v>
      </c>
      <c r="G1178" s="372"/>
      <c r="H1178" s="49"/>
      <c r="I1178" s="49"/>
      <c r="J1178" s="49"/>
      <c r="K1178" s="49"/>
      <c r="L1178" s="49"/>
      <c r="M1178" s="49"/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</row>
    <row r="1179" spans="1:23">
      <c r="A1179" s="70"/>
      <c r="B1179" s="69" t="s">
        <v>277</v>
      </c>
      <c r="C1179" s="69" t="s">
        <v>81</v>
      </c>
      <c r="D1179" s="69" t="e">
        <f>IFERROR(VLOOKUP(B1179,'Thống kê'!$C$3:$D$970,2, FALSE),VLOOKUP(B1179,'Thống kê v2 CC'!$A$3:$D$1005,3, FALSE))</f>
        <v>#N/A</v>
      </c>
      <c r="E1179" s="69">
        <v>1</v>
      </c>
      <c r="F1179" s="71">
        <v>49000</v>
      </c>
      <c r="G1179" s="372"/>
      <c r="H1179" s="49"/>
      <c r="I1179" s="49"/>
      <c r="J1179" s="49"/>
      <c r="K1179" s="49"/>
      <c r="L1179" s="49"/>
      <c r="M1179" s="49"/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</row>
    <row r="1180" spans="1:23">
      <c r="A1180" s="70"/>
      <c r="B1180" s="69" t="s">
        <v>328</v>
      </c>
      <c r="C1180" s="69" t="s">
        <v>81</v>
      </c>
      <c r="D1180" s="69" t="e">
        <f>IFERROR(VLOOKUP(B1180,'Thống kê'!$C$3:$D$970,2, FALSE),VLOOKUP(B1180,'Thống kê v2 CC'!$A$3:$D$1005,3, FALSE))</f>
        <v>#N/A</v>
      </c>
      <c r="E1180" s="69">
        <v>1</v>
      </c>
      <c r="F1180" s="71">
        <v>49000</v>
      </c>
      <c r="G1180" s="373"/>
      <c r="H1180" s="49"/>
      <c r="I1180" s="49"/>
      <c r="J1180" s="49"/>
      <c r="K1180" s="49"/>
      <c r="L1180" s="49"/>
      <c r="M1180" s="49"/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</row>
    <row r="1181" spans="1:23">
      <c r="A1181" s="70"/>
      <c r="B1181" s="69" t="s">
        <v>148</v>
      </c>
      <c r="C1181" s="69" t="s">
        <v>81</v>
      </c>
      <c r="D1181" s="69" t="e">
        <f>IFERROR(VLOOKUP(B1181,'Thống kê'!$C$3:$D$970,2, FALSE),VLOOKUP(B1181,'Thống kê v2 CC'!$A$3:$D$1005,3, FALSE))</f>
        <v>#N/A</v>
      </c>
      <c r="E1181" s="69">
        <v>1</v>
      </c>
      <c r="F1181" s="71">
        <v>150000</v>
      </c>
      <c r="G1181" s="71">
        <v>106714</v>
      </c>
      <c r="H1181" s="49"/>
      <c r="I1181" s="49"/>
      <c r="J1181" s="49"/>
      <c r="K1181" s="49"/>
      <c r="L1181" s="49"/>
      <c r="M1181" s="49"/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</row>
    <row r="1182" spans="1:23">
      <c r="A1182" s="70"/>
      <c r="B1182" s="69" t="s">
        <v>188</v>
      </c>
      <c r="C1182" s="69" t="s">
        <v>81</v>
      </c>
      <c r="D1182" s="70">
        <f>IFERROR(VLOOKUP(B1182,'Thống kê'!$C$3:$D$970,2, FALSE),VLOOKUP(B1182,'Thống kê v2 CC'!$A$3:$D$1005,3, FALSE))</f>
        <v>0</v>
      </c>
      <c r="E1182" s="69">
        <v>1</v>
      </c>
      <c r="F1182" s="71">
        <v>68500</v>
      </c>
      <c r="G1182" s="383">
        <v>149551</v>
      </c>
      <c r="H1182" s="49"/>
      <c r="I1182" s="49"/>
      <c r="J1182" s="49"/>
      <c r="K1182" s="49"/>
      <c r="L1182" s="49"/>
      <c r="M1182" s="49"/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</row>
    <row r="1183" spans="1:23">
      <c r="A1183" s="70"/>
      <c r="B1183" s="69" t="s">
        <v>318</v>
      </c>
      <c r="C1183" s="69" t="s">
        <v>81</v>
      </c>
      <c r="D1183" s="69" t="e">
        <f>IFERROR(VLOOKUP(B1183,'Thống kê'!$C$3:$D$970,2, FALSE),VLOOKUP(B1183,'Thống kê v2 CC'!$A$3:$D$1005,3, FALSE))</f>
        <v>#N/A</v>
      </c>
      <c r="E1183" s="69">
        <v>1</v>
      </c>
      <c r="F1183" s="71">
        <v>68500</v>
      </c>
      <c r="G1183" s="372"/>
      <c r="H1183" s="49"/>
      <c r="I1183" s="49"/>
      <c r="J1183" s="49"/>
      <c r="K1183" s="49"/>
      <c r="L1183" s="49"/>
      <c r="M1183" s="49"/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</row>
    <row r="1184" spans="1:23">
      <c r="A1184" s="70"/>
      <c r="B1184" s="69" t="s">
        <v>100</v>
      </c>
      <c r="C1184" s="69" t="s">
        <v>81</v>
      </c>
      <c r="D1184" s="69" t="e">
        <f>IFERROR(VLOOKUP(B1184,'Thống kê'!$C$3:$D$970,2, FALSE),VLOOKUP(B1184,'Thống kê v2 CC'!$A$3:$D$1005,3, FALSE))</f>
        <v>#N/A</v>
      </c>
      <c r="E1184" s="69">
        <v>1</v>
      </c>
      <c r="F1184" s="71">
        <v>68500</v>
      </c>
      <c r="G1184" s="373"/>
      <c r="H1184" s="49"/>
      <c r="I1184" s="49"/>
      <c r="J1184" s="49"/>
      <c r="K1184" s="49"/>
      <c r="L1184" s="49"/>
      <c r="M1184" s="49"/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</row>
    <row r="1185" spans="1:23">
      <c r="A1185" s="70"/>
      <c r="B1185" s="69" t="s">
        <v>329</v>
      </c>
      <c r="C1185" s="69" t="s">
        <v>81</v>
      </c>
      <c r="D1185" s="69" t="str">
        <f>IFERROR(VLOOKUP(B1185,'Thống kê'!$C$3:$D$970,2, FALSE),VLOOKUP(B1185,'Thống kê v2 CC'!$A$3:$D$1005,3, FALSE))</f>
        <v>Pop Bean Baked Bread</v>
      </c>
      <c r="E1185" s="69">
        <v>1</v>
      </c>
      <c r="F1185" s="71">
        <v>165000</v>
      </c>
      <c r="G1185" s="71">
        <v>118498</v>
      </c>
      <c r="H1185" s="49"/>
      <c r="I1185" s="49"/>
      <c r="J1185" s="49"/>
      <c r="K1185" s="49"/>
      <c r="L1185" s="49"/>
      <c r="M1185" s="49"/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</row>
    <row r="1186" spans="1:23">
      <c r="A1186" s="70"/>
      <c r="B1186" s="69" t="s">
        <v>293</v>
      </c>
      <c r="C1186" s="69" t="s">
        <v>81</v>
      </c>
      <c r="D1186" s="69" t="e">
        <f>IFERROR(VLOOKUP(B1186,'Thống kê'!$C$3:$D$970,2, FALSE),VLOOKUP(B1186,'Thống kê v2 CC'!$A$3:$D$1005,3, FALSE))</f>
        <v>#N/A</v>
      </c>
      <c r="E1186" s="69">
        <v>1</v>
      </c>
      <c r="F1186" s="71">
        <v>49000</v>
      </c>
      <c r="G1186" s="71">
        <v>36342</v>
      </c>
      <c r="H1186" s="49"/>
      <c r="I1186" s="49"/>
      <c r="J1186" s="49"/>
      <c r="K1186" s="49"/>
      <c r="L1186" s="49"/>
      <c r="M1186" s="49"/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</row>
    <row r="1187" spans="1:23">
      <c r="A1187" s="70"/>
      <c r="B1187" s="69" t="s">
        <v>293</v>
      </c>
      <c r="C1187" s="69" t="s">
        <v>81</v>
      </c>
      <c r="D1187" s="69" t="e">
        <f>IFERROR(VLOOKUP(B1187,'Thống kê'!$C$3:$D$970,2, FALSE),VLOOKUP(B1187,'Thống kê v2 CC'!$A$3:$D$1005,3, FALSE))</f>
        <v>#N/A</v>
      </c>
      <c r="E1187" s="69">
        <v>5</v>
      </c>
      <c r="F1187" s="71">
        <v>49000</v>
      </c>
      <c r="G1187" s="383">
        <v>574688</v>
      </c>
      <c r="H1187" s="49"/>
      <c r="I1187" s="49"/>
      <c r="J1187" s="49"/>
      <c r="K1187" s="49"/>
      <c r="L1187" s="49"/>
      <c r="M1187" s="49"/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</row>
    <row r="1188" spans="1:23">
      <c r="A1188" s="70"/>
      <c r="B1188" s="69" t="s">
        <v>277</v>
      </c>
      <c r="C1188" s="69" t="s">
        <v>81</v>
      </c>
      <c r="D1188" s="69" t="e">
        <f>IFERROR(VLOOKUP(B1188,'Thống kê'!$C$3:$D$970,2, FALSE),VLOOKUP(B1188,'Thống kê v2 CC'!$A$3:$D$1005,3, FALSE))</f>
        <v>#N/A</v>
      </c>
      <c r="E1188" s="69">
        <v>5</v>
      </c>
      <c r="F1188" s="71">
        <v>49000</v>
      </c>
      <c r="G1188" s="372"/>
      <c r="H1188" s="49"/>
      <c r="I1188" s="49"/>
      <c r="J1188" s="49"/>
      <c r="K1188" s="49"/>
      <c r="L1188" s="49"/>
      <c r="M1188" s="49"/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</row>
    <row r="1189" spans="1:23">
      <c r="A1189" s="70"/>
      <c r="B1189" s="69" t="s">
        <v>328</v>
      </c>
      <c r="C1189" s="69" t="s">
        <v>81</v>
      </c>
      <c r="D1189" s="69" t="e">
        <f>IFERROR(VLOOKUP(B1189,'Thống kê'!$C$3:$D$970,2, FALSE),VLOOKUP(B1189,'Thống kê v2 CC'!$A$3:$D$1005,3, FALSE))</f>
        <v>#N/A</v>
      </c>
      <c r="E1189" s="69">
        <v>5</v>
      </c>
      <c r="F1189" s="71">
        <v>49000</v>
      </c>
      <c r="G1189" s="373"/>
      <c r="H1189" s="49"/>
      <c r="I1189" s="49"/>
      <c r="J1189" s="49"/>
      <c r="K1189" s="49"/>
      <c r="L1189" s="49"/>
      <c r="M1189" s="49"/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</row>
    <row r="1190" spans="1:23">
      <c r="A1190" s="70"/>
      <c r="B1190" s="69" t="s">
        <v>330</v>
      </c>
      <c r="C1190" s="69" t="s">
        <v>81</v>
      </c>
      <c r="D1190" s="69" t="str">
        <f>IFERROR(VLOOKUP(B1190,'Thống kê'!$C$3:$D$970,2, FALSE),VLOOKUP(B1190,'Thống kê v2 CC'!$A$3:$D$1005,3, FALSE))</f>
        <v>Túi chườm bụng thỏ xám  500ml</v>
      </c>
      <c r="E1190" s="69">
        <v>1</v>
      </c>
      <c r="F1190" s="71">
        <v>74520</v>
      </c>
      <c r="G1190" s="383">
        <v>131903</v>
      </c>
      <c r="H1190" s="49"/>
      <c r="I1190" s="49"/>
      <c r="J1190" s="49"/>
      <c r="K1190" s="49"/>
      <c r="L1190" s="49"/>
      <c r="M1190" s="49"/>
      <c r="N1190" s="49"/>
      <c r="O1190" s="49"/>
      <c r="P1190" s="49"/>
      <c r="Q1190" s="49"/>
      <c r="R1190" s="49"/>
      <c r="S1190" s="49"/>
      <c r="T1190" s="49"/>
      <c r="U1190" s="49"/>
      <c r="V1190" s="49"/>
      <c r="W1190" s="49"/>
    </row>
    <row r="1191" spans="1:23">
      <c r="A1191" s="70"/>
      <c r="B1191" s="69" t="s">
        <v>281</v>
      </c>
      <c r="C1191" s="69" t="s">
        <v>81</v>
      </c>
      <c r="D1191" s="70">
        <f>IFERROR(VLOOKUP(B1191,'Thống kê'!$C$3:$D$970,2, FALSE),VLOOKUP(B1191,'Thống kê v2 CC'!$A$3:$D$1005,3, FALSE))</f>
        <v>0</v>
      </c>
      <c r="E1191" s="69">
        <v>1</v>
      </c>
      <c r="F1191" s="71">
        <v>108999</v>
      </c>
      <c r="G1191" s="373"/>
      <c r="H1191" s="49"/>
      <c r="I1191" s="49"/>
      <c r="J1191" s="49"/>
      <c r="K1191" s="49"/>
      <c r="L1191" s="49"/>
      <c r="M1191" s="49"/>
      <c r="N1191" s="49"/>
      <c r="O1191" s="49"/>
      <c r="P1191" s="49"/>
      <c r="Q1191" s="49"/>
      <c r="R1191" s="49"/>
      <c r="S1191" s="49"/>
      <c r="T1191" s="49"/>
      <c r="U1191" s="49"/>
      <c r="V1191" s="49"/>
      <c r="W1191" s="49"/>
    </row>
    <row r="1192" spans="1:23">
      <c r="A1192" s="70"/>
      <c r="B1192" s="69" t="s">
        <v>119</v>
      </c>
      <c r="C1192" s="69" t="s">
        <v>81</v>
      </c>
      <c r="D1192" s="69" t="str">
        <f>IFERROR(VLOOKUP(B1192,'Thống kê'!$C$3:$D$970,2, FALSE),VLOOKUP(B1192,'Thống kê v2 CC'!$A$3:$D$1005,3, FALSE))</f>
        <v>Thỏ chạy xe gắn xe</v>
      </c>
      <c r="E1192" s="69">
        <v>1</v>
      </c>
      <c r="F1192" s="71">
        <v>39000</v>
      </c>
      <c r="G1192" s="71">
        <v>28313</v>
      </c>
      <c r="H1192" s="49"/>
      <c r="I1192" s="49"/>
      <c r="J1192" s="49"/>
      <c r="K1192" s="49"/>
      <c r="L1192" s="49"/>
      <c r="M1192" s="49"/>
      <c r="N1192" s="49"/>
      <c r="O1192" s="49"/>
      <c r="P1192" s="49"/>
      <c r="Q1192" s="49"/>
      <c r="R1192" s="49"/>
      <c r="S1192" s="49"/>
      <c r="T1192" s="49"/>
      <c r="U1192" s="49"/>
      <c r="V1192" s="49"/>
      <c r="W1192" s="49"/>
    </row>
    <row r="1193" spans="1:23">
      <c r="A1193" s="70"/>
      <c r="B1193" s="69" t="s">
        <v>313</v>
      </c>
      <c r="C1193" s="69" t="s">
        <v>81</v>
      </c>
      <c r="D1193" s="69" t="e">
        <f>IFERROR(VLOOKUP(B1193,'Thống kê'!$C$3:$D$970,2, FALSE),VLOOKUP(B1193,'Thống kê v2 CC'!$A$3:$D$1005,3, FALSE))</f>
        <v>#N/A</v>
      </c>
      <c r="E1193" s="69">
        <v>1</v>
      </c>
      <c r="F1193" s="71">
        <v>198000</v>
      </c>
      <c r="G1193" s="71">
        <v>145316</v>
      </c>
      <c r="H1193" s="49"/>
      <c r="I1193" s="49"/>
      <c r="J1193" s="49"/>
      <c r="K1193" s="49"/>
      <c r="L1193" s="49"/>
      <c r="M1193" s="49"/>
      <c r="N1193" s="49"/>
      <c r="O1193" s="49"/>
      <c r="P1193" s="49"/>
      <c r="Q1193" s="49"/>
      <c r="R1193" s="49"/>
      <c r="S1193" s="49"/>
      <c r="T1193" s="49"/>
      <c r="U1193" s="49"/>
      <c r="V1193" s="49"/>
      <c r="W1193" s="49"/>
    </row>
    <row r="1194" spans="1:23">
      <c r="A1194" s="70"/>
      <c r="B1194" s="69" t="s">
        <v>200</v>
      </c>
      <c r="C1194" s="69" t="s">
        <v>81</v>
      </c>
      <c r="D1194" s="70">
        <f>IFERROR(VLOOKUP(B1194,'Thống kê'!$C$3:$D$970,2, FALSE),VLOOKUP(B1194,'Thống kê v2 CC'!$A$3:$D$1005,3, FALSE))</f>
        <v>0</v>
      </c>
      <c r="E1194" s="69">
        <v>1</v>
      </c>
      <c r="F1194" s="71">
        <v>68500</v>
      </c>
      <c r="G1194" s="383">
        <v>102179</v>
      </c>
      <c r="H1194" s="49"/>
      <c r="I1194" s="49"/>
      <c r="J1194" s="49"/>
      <c r="K1194" s="49"/>
      <c r="L1194" s="49"/>
      <c r="M1194" s="49"/>
      <c r="N1194" s="49"/>
      <c r="O1194" s="49"/>
      <c r="P1194" s="49"/>
      <c r="Q1194" s="49"/>
      <c r="R1194" s="49"/>
      <c r="S1194" s="49"/>
      <c r="T1194" s="49"/>
      <c r="U1194" s="49"/>
      <c r="V1194" s="49"/>
      <c r="W1194" s="49"/>
    </row>
    <row r="1195" spans="1:23">
      <c r="A1195" s="70"/>
      <c r="B1195" s="69" t="s">
        <v>191</v>
      </c>
      <c r="C1195" s="69" t="s">
        <v>81</v>
      </c>
      <c r="D1195" s="70">
        <f>IFERROR(VLOOKUP(B1195,'Thống kê'!$C$3:$D$970,2, FALSE),VLOOKUP(B1195,'Thống kê v2 CC'!$A$3:$D$1005,3, FALSE))</f>
        <v>0</v>
      </c>
      <c r="E1195" s="69">
        <v>1</v>
      </c>
      <c r="F1195" s="71">
        <v>68500</v>
      </c>
      <c r="G1195" s="373"/>
      <c r="H1195" s="49"/>
      <c r="I1195" s="49"/>
      <c r="J1195" s="49"/>
      <c r="K1195" s="49"/>
      <c r="L1195" s="49"/>
      <c r="M1195" s="49"/>
      <c r="N1195" s="49"/>
      <c r="O1195" s="49"/>
      <c r="P1195" s="49"/>
      <c r="Q1195" s="49"/>
      <c r="R1195" s="49"/>
      <c r="S1195" s="49"/>
      <c r="T1195" s="49"/>
      <c r="U1195" s="49"/>
      <c r="V1195" s="49"/>
      <c r="W1195" s="49"/>
    </row>
    <row r="1196" spans="1:23">
      <c r="A1196" s="70"/>
      <c r="B1196" s="69" t="s">
        <v>96</v>
      </c>
      <c r="C1196" s="69" t="s">
        <v>81</v>
      </c>
      <c r="D1196" s="70">
        <f>IFERROR(VLOOKUP(B1196,'Thống kê'!$C$3:$D$970,2, FALSE),VLOOKUP(B1196,'Thống kê v2 CC'!$A$3:$D$1005,3, FALSE))</f>
        <v>0</v>
      </c>
      <c r="E1196" s="69">
        <v>1</v>
      </c>
      <c r="F1196" s="71">
        <v>68500</v>
      </c>
      <c r="G1196" s="383">
        <v>102179</v>
      </c>
      <c r="H1196" s="49"/>
      <c r="I1196" s="49"/>
      <c r="J1196" s="49"/>
      <c r="K1196" s="49"/>
      <c r="L1196" s="49"/>
      <c r="M1196" s="49"/>
      <c r="N1196" s="49"/>
      <c r="O1196" s="49"/>
      <c r="P1196" s="49"/>
      <c r="Q1196" s="49"/>
      <c r="R1196" s="49"/>
      <c r="S1196" s="49"/>
      <c r="T1196" s="49"/>
      <c r="U1196" s="49"/>
      <c r="V1196" s="49"/>
      <c r="W1196" s="49"/>
    </row>
    <row r="1197" spans="1:23">
      <c r="A1197" s="70"/>
      <c r="B1197" s="69" t="s">
        <v>154</v>
      </c>
      <c r="C1197" s="69" t="s">
        <v>81</v>
      </c>
      <c r="D1197" s="70">
        <f>IFERROR(VLOOKUP(B1197,'Thống kê'!$C$3:$D$970,2, FALSE),VLOOKUP(B1197,'Thống kê v2 CC'!$A$3:$D$1005,3, FALSE))</f>
        <v>0</v>
      </c>
      <c r="E1197" s="69">
        <v>1</v>
      </c>
      <c r="F1197" s="71">
        <v>68500</v>
      </c>
      <c r="G1197" s="373"/>
      <c r="H1197" s="49"/>
      <c r="I1197" s="49"/>
      <c r="J1197" s="49"/>
      <c r="K1197" s="49"/>
      <c r="L1197" s="49"/>
      <c r="M1197" s="49"/>
      <c r="N1197" s="49"/>
      <c r="O1197" s="49"/>
      <c r="P1197" s="49"/>
      <c r="Q1197" s="49"/>
      <c r="R1197" s="49"/>
      <c r="S1197" s="49"/>
      <c r="T1197" s="49"/>
      <c r="U1197" s="49"/>
      <c r="V1197" s="49"/>
      <c r="W1197" s="49"/>
    </row>
    <row r="1198" spans="1:23">
      <c r="A1198" s="70"/>
      <c r="B1198" s="69" t="s">
        <v>279</v>
      </c>
      <c r="C1198" s="69" t="s">
        <v>81</v>
      </c>
      <c r="D1198" s="70">
        <f>IFERROR(VLOOKUP(B1198,'Thống kê'!$C$3:$D$970,2, FALSE),VLOOKUP(B1198,'Thống kê v2 CC'!$A$3:$D$1005,3, FALSE))</f>
        <v>0</v>
      </c>
      <c r="E1198" s="69">
        <v>1</v>
      </c>
      <c r="F1198" s="71">
        <v>68500</v>
      </c>
      <c r="G1198" s="71">
        <v>47599</v>
      </c>
      <c r="H1198" s="49"/>
      <c r="I1198" s="49"/>
      <c r="J1198" s="49"/>
      <c r="K1198" s="49"/>
      <c r="L1198" s="49"/>
      <c r="M1198" s="49"/>
      <c r="N1198" s="49"/>
      <c r="O1198" s="49"/>
      <c r="P1198" s="49"/>
      <c r="Q1198" s="49"/>
      <c r="R1198" s="49"/>
      <c r="S1198" s="49"/>
      <c r="T1198" s="49"/>
      <c r="U1198" s="49"/>
      <c r="V1198" s="49"/>
      <c r="W1198" s="49"/>
    </row>
    <row r="1199" spans="1:23">
      <c r="A1199" s="49"/>
      <c r="B1199" s="49"/>
      <c r="C1199" s="49"/>
      <c r="D1199" s="49"/>
      <c r="E1199" s="49"/>
      <c r="F1199" s="55"/>
      <c r="G1199" s="55">
        <f>351136+47599+36342+127069+71670+366918+79698+47842+309730+159586+47599+47599</f>
        <v>1692788</v>
      </c>
      <c r="H1199" s="49"/>
      <c r="I1199" s="49"/>
      <c r="J1199" s="49"/>
      <c r="K1199" s="49"/>
      <c r="L1199" s="49"/>
      <c r="M1199" s="49"/>
      <c r="N1199" s="49"/>
      <c r="O1199" s="49"/>
      <c r="P1199" s="49"/>
      <c r="Q1199" s="49"/>
      <c r="R1199" s="49"/>
      <c r="S1199" s="49"/>
      <c r="T1199" s="49"/>
      <c r="U1199" s="49"/>
      <c r="V1199" s="49"/>
      <c r="W1199" s="49"/>
    </row>
    <row r="1200" spans="1:23">
      <c r="A1200" s="49"/>
      <c r="B1200" s="49"/>
      <c r="C1200" s="49"/>
      <c r="D1200" s="49"/>
      <c r="E1200" s="49"/>
      <c r="F1200" s="55"/>
      <c r="G1200" s="55">
        <f>102179+106714+145918+106714+106714+47599+106714+47599+102179+47599+79698+47599+47968+106714+43906+102179+79698+100573+110209+105391+47599+78895+47842+71670+228212+102651+145316+79698+79698</f>
        <v>2625445</v>
      </c>
      <c r="H1200" s="49"/>
      <c r="I1200" s="49"/>
      <c r="J1200" s="49"/>
      <c r="K1200" s="49"/>
      <c r="L1200" s="49"/>
      <c r="M1200" s="49"/>
      <c r="N1200" s="49"/>
      <c r="O1200" s="49"/>
      <c r="P1200" s="49"/>
      <c r="Q1200" s="49"/>
      <c r="R1200" s="49"/>
      <c r="S1200" s="49"/>
      <c r="T1200" s="49"/>
      <c r="U1200" s="49"/>
      <c r="V1200" s="49"/>
      <c r="W1200" s="49"/>
    </row>
    <row r="1201" spans="1:23">
      <c r="A1201" s="49"/>
      <c r="B1201" s="49"/>
      <c r="C1201" s="49"/>
      <c r="D1201" s="49"/>
      <c r="E1201" s="49"/>
      <c r="F1201" s="55"/>
      <c r="G1201" s="55">
        <f>56045+159587+149765+79698+28313+106714+390017+47599+118498+121748+47599+145918+47599+145316+36342+127070+98587+79698+106714+79698+79698</f>
        <v>2252223</v>
      </c>
      <c r="H1201" s="49"/>
      <c r="I1201" s="49"/>
      <c r="J1201" s="49"/>
      <c r="K1201" s="49"/>
      <c r="L1201" s="49"/>
      <c r="M1201" s="49"/>
      <c r="N1201" s="49"/>
      <c r="O1201" s="49"/>
      <c r="P1201" s="49"/>
      <c r="Q1201" s="49"/>
      <c r="R1201" s="49"/>
      <c r="S1201" s="49"/>
      <c r="T1201" s="49"/>
      <c r="U1201" s="49"/>
      <c r="V1201" s="49"/>
      <c r="W1201" s="49"/>
    </row>
    <row r="1202" spans="1:23">
      <c r="A1202" s="49"/>
      <c r="B1202" s="49"/>
      <c r="C1202" s="49"/>
      <c r="D1202" s="49"/>
      <c r="E1202" s="49"/>
      <c r="F1202" s="55"/>
      <c r="G1202" s="55">
        <f>36342+151558+36342+78494+36342+121748+456661+121748+120531+47599+79698+98587+47599+48216+149551+47905+47599+47599+106714+79698+47599+98587+28313+102179+42798+79698+146944+48216+47842</f>
        <v>2602707</v>
      </c>
      <c r="H1202" s="49"/>
      <c r="I1202" s="49"/>
      <c r="J1202" s="49"/>
      <c r="K1202" s="49"/>
      <c r="L1202" s="49"/>
      <c r="M1202" s="49"/>
      <c r="N1202" s="49"/>
      <c r="O1202" s="49"/>
      <c r="P1202" s="49"/>
      <c r="Q1202" s="49"/>
      <c r="R1202" s="49"/>
      <c r="S1202" s="49"/>
      <c r="T1202" s="49"/>
      <c r="U1202" s="49"/>
      <c r="V1202" s="49"/>
      <c r="W1202" s="49"/>
    </row>
    <row r="1203" spans="1:23">
      <c r="A1203" s="49"/>
      <c r="B1203" s="49"/>
      <c r="C1203" s="49"/>
      <c r="D1203" s="49"/>
      <c r="E1203" s="49"/>
      <c r="F1203" s="55"/>
      <c r="G1203" s="55">
        <f>85584+36342+119041+204551+47599+142541+96959+47599+47599+79699+216378+70860+181265+159586+96959+126625+47599+79699+98587+47599+106714+135435+126625+79699+195792+102415</f>
        <v>2779351</v>
      </c>
      <c r="H1203" s="49"/>
      <c r="I1203" s="49"/>
      <c r="J1203" s="49"/>
      <c r="K1203" s="49"/>
      <c r="L1203" s="49"/>
      <c r="M1203" s="49"/>
      <c r="N1203" s="49"/>
      <c r="O1203" s="49"/>
      <c r="P1203" s="49"/>
      <c r="Q1203" s="49"/>
      <c r="R1203" s="49"/>
      <c r="S1203" s="49"/>
      <c r="T1203" s="49"/>
      <c r="U1203" s="49"/>
      <c r="V1203" s="49"/>
      <c r="W1203" s="49"/>
    </row>
    <row r="1204" spans="1:23">
      <c r="A1204" s="49"/>
      <c r="B1204" s="49"/>
      <c r="C1204" s="49"/>
      <c r="D1204" s="49"/>
      <c r="E1204" s="49"/>
      <c r="F1204" s="55"/>
      <c r="G1204" s="55">
        <f>47599+47599+314545+151646+71670+102179+141922+47599+36342+36342+102179+150172+105751+150754+145316+102415+197324+102179+47599+98587+373685+47599+79699+88531+79699+36342+47599+79699+70867+108307+70867+114029+71670+36342+79699+47842+47599+71670</f>
        <v>3751464</v>
      </c>
      <c r="H1204" s="49"/>
      <c r="I1204" s="49"/>
      <c r="J1204" s="49"/>
      <c r="K1204" s="49"/>
      <c r="L1204" s="49"/>
      <c r="M1204" s="49"/>
      <c r="N1204" s="49"/>
      <c r="O1204" s="49"/>
      <c r="P1204" s="49"/>
      <c r="Q1204" s="49"/>
      <c r="R1204" s="49"/>
      <c r="S1204" s="49"/>
      <c r="T1204" s="49"/>
      <c r="U1204" s="49"/>
      <c r="V1204" s="49"/>
      <c r="W1204" s="49"/>
    </row>
    <row r="1205" spans="1:23">
      <c r="A1205" s="49"/>
      <c r="B1205" s="49"/>
      <c r="C1205" s="49"/>
      <c r="D1205" s="49"/>
      <c r="E1205" s="49"/>
      <c r="F1205" s="55"/>
      <c r="G1205" s="55">
        <f>47599+98587+121748+143528+98587+70860+22853+110209+106714+106714+183673+47599+110209+103464+36342+36342+45589+47599+149551</f>
        <v>1687767</v>
      </c>
      <c r="H1205" s="49"/>
      <c r="I1205" s="49"/>
      <c r="J1205" s="49"/>
      <c r="K1205" s="49"/>
      <c r="L1205" s="49"/>
      <c r="M1205" s="49"/>
      <c r="N1205" s="49"/>
      <c r="O1205" s="49"/>
      <c r="P1205" s="49"/>
      <c r="Q1205" s="49"/>
      <c r="R1205" s="49"/>
      <c r="S1205" s="49"/>
      <c r="T1205" s="49"/>
      <c r="U1205" s="49"/>
      <c r="V1205" s="49"/>
      <c r="W1205" s="49"/>
    </row>
    <row r="1206" spans="1:23">
      <c r="A1206" s="49"/>
      <c r="B1206" s="49"/>
      <c r="C1206" s="49"/>
      <c r="D1206" s="49"/>
      <c r="E1206" s="49"/>
      <c r="F1206" s="55"/>
      <c r="G1206" s="55">
        <f>47599+96959+98587+71670+42798+71670+149551+102179+79699+257905+42798+36342+47599+1249526+105391+257906+143528</f>
        <v>2901707</v>
      </c>
      <c r="H1206" s="49"/>
      <c r="I1206" s="49"/>
      <c r="J1206" s="49"/>
      <c r="K1206" s="49"/>
      <c r="L1206" s="49"/>
      <c r="M1206" s="49"/>
      <c r="N1206" s="49"/>
      <c r="O1206" s="49"/>
      <c r="P1206" s="49"/>
      <c r="Q1206" s="49"/>
      <c r="R1206" s="49"/>
      <c r="S1206" s="49"/>
      <c r="T1206" s="49"/>
      <c r="U1206" s="49"/>
      <c r="V1206" s="49"/>
      <c r="W1206" s="49"/>
    </row>
    <row r="1207" spans="1:23">
      <c r="A1207" s="49"/>
      <c r="B1207" s="49"/>
      <c r="C1207" s="49"/>
      <c r="D1207" s="49"/>
      <c r="E1207" s="49"/>
      <c r="F1207" s="55"/>
      <c r="G1207" s="55">
        <f>102179+47599+348267+47599+71670+76487+47599+102651+36342+47599+71670+47599+68823+137835+161355+176155+98587+314545+47968+77688+36342+102179+36342+110209+47599+71670+47842+104883+47599+98587+96959+69843+11102+71670+71670</f>
        <v>3154713</v>
      </c>
      <c r="H1207" s="49"/>
      <c r="I1207" s="49"/>
      <c r="J1207" s="49"/>
      <c r="K1207" s="49"/>
      <c r="L1207" s="49"/>
      <c r="M1207" s="49"/>
      <c r="N1207" s="49"/>
      <c r="O1207" s="49"/>
      <c r="P1207" s="49"/>
      <c r="Q1207" s="49"/>
      <c r="R1207" s="49"/>
      <c r="S1207" s="49"/>
      <c r="T1207" s="49"/>
      <c r="U1207" s="49"/>
      <c r="V1207" s="49"/>
      <c r="W1207" s="49"/>
    </row>
    <row r="1208" spans="1:23">
      <c r="A1208" s="49"/>
      <c r="B1208" s="49"/>
      <c r="C1208" s="49"/>
      <c r="D1208" s="49"/>
      <c r="E1208" s="49"/>
      <c r="F1208" s="55"/>
      <c r="G1208" s="55">
        <f>47968+36342+204778+47599+47599+36342+71670+47599+47599+35320+36342+149551+71670+35320+72581+160792+98587+36342+36342+204551+47599+36195+181265+69843+47842+42651+36342+68823+69843+108603+178198+80535+47599+69843+70867</f>
        <v>2680942</v>
      </c>
      <c r="H1208" s="49"/>
      <c r="I1208" s="49"/>
      <c r="J1208" s="49"/>
      <c r="K1208" s="49"/>
      <c r="L1208" s="49"/>
      <c r="M1208" s="49"/>
      <c r="N1208" s="49"/>
      <c r="O1208" s="49"/>
      <c r="P1208" s="49"/>
      <c r="Q1208" s="49"/>
      <c r="R1208" s="49"/>
      <c r="S1208" s="49"/>
      <c r="T1208" s="49"/>
      <c r="U1208" s="49"/>
      <c r="V1208" s="49"/>
      <c r="W1208" s="49"/>
    </row>
    <row r="1209" spans="1:23">
      <c r="A1209" s="49"/>
      <c r="B1209" s="49"/>
      <c r="C1209" s="49"/>
      <c r="D1209" s="49"/>
      <c r="E1209" s="49"/>
      <c r="F1209" s="55"/>
      <c r="G1209" s="55">
        <f>70867+145316+106714+260752+36195+36342+44371+143528+28313+93477+109965+36342+47599+42798+199668+71670+47599+71670+186765</f>
        <v>1779951</v>
      </c>
      <c r="H1209" s="49"/>
      <c r="I1209" s="49"/>
      <c r="J1209" s="49"/>
      <c r="K1209" s="49"/>
      <c r="L1209" s="49"/>
      <c r="M1209" s="49"/>
      <c r="N1209" s="49"/>
      <c r="O1209" s="49"/>
      <c r="P1209" s="49"/>
      <c r="Q1209" s="49"/>
      <c r="R1209" s="49"/>
      <c r="S1209" s="49"/>
      <c r="T1209" s="49"/>
      <c r="U1209" s="49"/>
      <c r="V1209" s="49"/>
      <c r="W1209" s="49"/>
    </row>
    <row r="1210" spans="1:23">
      <c r="A1210" s="49"/>
      <c r="B1210" s="49"/>
      <c r="C1210" s="49"/>
      <c r="D1210" s="49"/>
      <c r="E1210" s="49"/>
      <c r="F1210" s="55"/>
      <c r="G1210" s="55">
        <f>149551+46985+47230+143528+47599+46789+522843+47599+98587+108603+42798+54809+47599+47599+145316+153039+47599+47599+42798+107920+200942+106714+47599</f>
        <v>2351645</v>
      </c>
      <c r="H1210" s="49"/>
      <c r="I1210" s="49"/>
      <c r="J1210" s="49"/>
      <c r="K1210" s="49"/>
      <c r="L1210" s="49"/>
      <c r="M1210" s="49"/>
      <c r="N1210" s="49"/>
      <c r="O1210" s="49"/>
      <c r="P1210" s="49"/>
      <c r="Q1210" s="49"/>
      <c r="R1210" s="49"/>
      <c r="S1210" s="49"/>
      <c r="T1210" s="49"/>
      <c r="U1210" s="49"/>
      <c r="V1210" s="49"/>
      <c r="W1210" s="49"/>
    </row>
    <row r="1211" spans="1:23">
      <c r="A1211" s="49"/>
      <c r="B1211" s="49"/>
      <c r="C1211" s="49"/>
      <c r="D1211" s="49"/>
      <c r="E1211" s="49"/>
      <c r="F1211" s="55"/>
      <c r="G1211" s="55">
        <f>47599+149551+86925+102179+149765+98587+125864+102179+106714+204551+621257+41159+91742+263971+98587+47599</f>
        <v>2338229</v>
      </c>
      <c r="H1211" s="49"/>
      <c r="I1211" s="49"/>
      <c r="J1211" s="49"/>
      <c r="K1211" s="49"/>
      <c r="L1211" s="49"/>
      <c r="M1211" s="49"/>
      <c r="N1211" s="49"/>
      <c r="O1211" s="49"/>
      <c r="P1211" s="49"/>
      <c r="Q1211" s="49"/>
      <c r="R1211" s="49"/>
      <c r="S1211" s="49"/>
      <c r="T1211" s="49"/>
      <c r="U1211" s="49"/>
      <c r="V1211" s="49"/>
      <c r="W1211" s="49"/>
    </row>
    <row r="1212" spans="1:23">
      <c r="A1212" s="49"/>
      <c r="B1212" s="49"/>
      <c r="C1212" s="49"/>
      <c r="D1212" s="49"/>
      <c r="E1212" s="49"/>
      <c r="F1212" s="55"/>
      <c r="G1212" s="55">
        <f>47599+28313+36342+25068+71670+98587+111444+72581+47599+204551+150195+382265+48216+102415+47451+47599+78494+135435+185196+102179+47599+41320+173965+106714+102415+88531+47599+140223+47599</f>
        <v>2819164</v>
      </c>
      <c r="H1212" s="49"/>
      <c r="I1212" s="49"/>
      <c r="J1212" s="49"/>
      <c r="K1212" s="49"/>
      <c r="L1212" s="49"/>
      <c r="M1212" s="49"/>
      <c r="N1212" s="49"/>
      <c r="O1212" s="49"/>
      <c r="P1212" s="49"/>
      <c r="Q1212" s="49"/>
      <c r="R1212" s="49"/>
      <c r="S1212" s="49"/>
      <c r="T1212" s="49"/>
      <c r="U1212" s="49"/>
      <c r="V1212" s="49"/>
      <c r="W1212" s="49"/>
    </row>
    <row r="1213" spans="1:23">
      <c r="A1213" s="49"/>
      <c r="B1213" s="49"/>
      <c r="C1213" s="49"/>
      <c r="D1213" s="49"/>
      <c r="E1213" s="49"/>
      <c r="F1213" s="55"/>
      <c r="G1213" s="55">
        <f>283235+108603+47599+102180+47842+163280+71670+149551+102179+55612+47599+28166+36342+36342+102179+98587+47599+47599+47599+71670+149551+47599+42798+47599+256713</f>
        <v>2239693</v>
      </c>
      <c r="H1213" s="49"/>
      <c r="I1213" s="49"/>
      <c r="J1213" s="49"/>
      <c r="K1213" s="49"/>
      <c r="L1213" s="49"/>
      <c r="M1213" s="49"/>
      <c r="N1213" s="49"/>
      <c r="O1213" s="49"/>
      <c r="P1213" s="49"/>
      <c r="Q1213" s="49"/>
      <c r="R1213" s="49"/>
      <c r="S1213" s="49"/>
      <c r="T1213" s="49"/>
      <c r="U1213" s="49"/>
      <c r="V1213" s="49"/>
      <c r="W1213" s="49"/>
    </row>
    <row r="1214" spans="1:23">
      <c r="A1214" s="49"/>
      <c r="B1214" s="49"/>
      <c r="C1214" s="49"/>
      <c r="D1214" s="49"/>
      <c r="E1214" s="49"/>
      <c r="F1214" s="55"/>
      <c r="G1214" s="55">
        <f>102179+47599+139546+98587+47599+106714+42798+98587+283241+36342+204551+108603+98587+209324+106714+106714+47599+79699+149551+102179+71670+201338+102179+204551+47842+47599+47599</f>
        <v>2939491</v>
      </c>
      <c r="H1214" s="49"/>
      <c r="I1214" s="49"/>
      <c r="J1214" s="49"/>
      <c r="K1214" s="49"/>
      <c r="L1214" s="49"/>
      <c r="M1214" s="49"/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</row>
    <row r="1215" spans="1:23">
      <c r="A1215" s="49"/>
      <c r="B1215" s="49"/>
      <c r="C1215" s="49"/>
      <c r="D1215" s="49"/>
      <c r="E1215" s="49"/>
      <c r="F1215" s="55"/>
      <c r="G1215" s="55">
        <f>47842+47599+47599+48216+126879+54405+42798+145316+109806+85584+249513+55247+204551+102179+149765+151558+47599+163602+1378742+47842+47599+106714+98587+42798+47599+47599+47599+42798+36342+28313</f>
        <v>3852590</v>
      </c>
      <c r="H1215" s="49"/>
      <c r="I1215" s="49"/>
      <c r="J1215" s="49"/>
      <c r="K1215" s="49"/>
      <c r="L1215" s="49"/>
      <c r="M1215" s="49"/>
      <c r="N1215" s="49"/>
      <c r="O1215" s="49"/>
      <c r="P1215" s="49"/>
      <c r="Q1215" s="49"/>
      <c r="R1215" s="49"/>
      <c r="S1215" s="49"/>
      <c r="T1215" s="49"/>
      <c r="U1215" s="49"/>
      <c r="V1215" s="49"/>
      <c r="W1215" s="49"/>
    </row>
    <row r="1216" spans="1:23">
      <c r="A1216" s="49"/>
      <c r="B1216" s="49"/>
      <c r="C1216" s="49"/>
      <c r="D1216" s="49"/>
      <c r="E1216" s="49"/>
      <c r="F1216" s="55"/>
      <c r="G1216" s="55">
        <f>47599+149551+106714+47599+47599+284036+135435+36342+109965+102179+133893+239591+47599+144757+106714+119041</f>
        <v>1858614</v>
      </c>
      <c r="H1216" s="49"/>
      <c r="I1216" s="49"/>
      <c r="J1216" s="49"/>
      <c r="K1216" s="49"/>
      <c r="L1216" s="49"/>
      <c r="M1216" s="49"/>
      <c r="N1216" s="49"/>
      <c r="O1216" s="49"/>
      <c r="P1216" s="49"/>
      <c r="Q1216" s="49"/>
      <c r="R1216" s="49"/>
      <c r="S1216" s="49"/>
      <c r="T1216" s="49"/>
      <c r="U1216" s="49"/>
      <c r="V1216" s="49"/>
      <c r="W1216" s="49"/>
    </row>
    <row r="1217" spans="1:23">
      <c r="A1217" s="49"/>
      <c r="B1217" s="49"/>
      <c r="C1217" s="49"/>
      <c r="D1217" s="49"/>
      <c r="E1217" s="49"/>
      <c r="F1217" s="55"/>
      <c r="G1217" s="55">
        <f>87728+47599+199331+105391+42798+88531+47599+86523+47599+47599+47599</f>
        <v>848297</v>
      </c>
      <c r="H1217" s="49"/>
      <c r="I1217" s="49"/>
      <c r="J1217" s="49"/>
      <c r="K1217" s="49"/>
      <c r="L1217" s="49"/>
      <c r="M1217" s="49"/>
      <c r="N1217" s="49"/>
      <c r="O1217" s="49"/>
      <c r="P1217" s="49"/>
      <c r="Q1217" s="49"/>
      <c r="R1217" s="49"/>
      <c r="S1217" s="49"/>
      <c r="T1217" s="49"/>
      <c r="U1217" s="49"/>
      <c r="V1217" s="49"/>
      <c r="W1217" s="49"/>
    </row>
    <row r="1218" spans="1:23">
      <c r="A1218" s="49"/>
      <c r="B1218" s="49"/>
      <c r="C1218" s="49"/>
      <c r="D1218" s="49"/>
      <c r="E1218" s="49"/>
      <c r="F1218" s="55"/>
      <c r="G1218" s="55">
        <f>307188+93987+101746+45267+101746+104850+97332+45267+260150+167412+87376+43153+93987+43153</f>
        <v>1592614</v>
      </c>
      <c r="H1218" s="49"/>
      <c r="I1218" s="49"/>
      <c r="J1218" s="49"/>
      <c r="K1218" s="49"/>
      <c r="L1218" s="49"/>
      <c r="M1218" s="49"/>
      <c r="N1218" s="49"/>
      <c r="O1218" s="49"/>
      <c r="P1218" s="49"/>
      <c r="Q1218" s="49"/>
      <c r="R1218" s="49"/>
      <c r="S1218" s="49"/>
      <c r="T1218" s="49"/>
      <c r="U1218" s="49"/>
      <c r="V1218" s="49"/>
      <c r="W1218" s="49"/>
    </row>
    <row r="1219" spans="1:23">
      <c r="A1219" s="49"/>
      <c r="B1219" s="49"/>
      <c r="C1219" s="49"/>
      <c r="D1219" s="49"/>
      <c r="E1219" s="49"/>
      <c r="F1219" s="55"/>
      <c r="G1219" s="55">
        <f>217743+66623+43153</f>
        <v>327519</v>
      </c>
      <c r="H1219" s="49"/>
      <c r="I1219" s="49"/>
      <c r="J1219" s="49"/>
      <c r="K1219" s="49"/>
      <c r="L1219" s="49"/>
      <c r="M1219" s="49"/>
      <c r="N1219" s="49"/>
      <c r="O1219" s="49"/>
      <c r="P1219" s="49"/>
      <c r="Q1219" s="49"/>
      <c r="R1219" s="49"/>
      <c r="S1219" s="49"/>
      <c r="T1219" s="49"/>
      <c r="U1219" s="49"/>
      <c r="V1219" s="49"/>
      <c r="W1219" s="49"/>
    </row>
    <row r="1220" spans="1:23">
      <c r="A1220" s="49"/>
      <c r="B1220" s="49"/>
      <c r="C1220" s="49"/>
      <c r="D1220" s="49"/>
      <c r="E1220" s="49"/>
      <c r="F1220" s="55"/>
      <c r="G1220" s="55">
        <f>43153+92736+34529+97332+92736+93987+45267+43153</f>
        <v>542893</v>
      </c>
      <c r="H1220" s="49"/>
      <c r="I1220" s="49"/>
      <c r="J1220" s="49"/>
      <c r="K1220" s="49"/>
      <c r="L1220" s="49"/>
      <c r="M1220" s="49"/>
      <c r="N1220" s="49"/>
      <c r="O1220" s="49"/>
      <c r="P1220" s="49"/>
      <c r="Q1220" s="49"/>
      <c r="R1220" s="49"/>
      <c r="S1220" s="49"/>
      <c r="T1220" s="49"/>
      <c r="U1220" s="49"/>
      <c r="V1220" s="49"/>
      <c r="W1220" s="49"/>
    </row>
    <row r="1221" spans="1:23">
      <c r="A1221" s="73">
        <v>46023</v>
      </c>
      <c r="B1221" s="49"/>
      <c r="C1221" s="49"/>
      <c r="D1221" s="49"/>
      <c r="E1221" s="49"/>
      <c r="F1221" s="55"/>
      <c r="G1221" s="55">
        <f>43153+45267+45898+61306+43153+45267+45267+43153+42188+92736+92736+43153+101746+93987+127587+151572+97332+97332+40687+116100+150579</f>
        <v>1620199</v>
      </c>
      <c r="H1221" s="49"/>
      <c r="I1221" s="49"/>
      <c r="J1221" s="49"/>
      <c r="K1221" s="49"/>
      <c r="L1221" s="49"/>
      <c r="M1221" s="49"/>
      <c r="N1221" s="49"/>
      <c r="O1221" s="49"/>
      <c r="P1221" s="49"/>
      <c r="Q1221" s="49"/>
      <c r="R1221" s="49"/>
      <c r="S1221" s="49"/>
      <c r="T1221" s="49"/>
      <c r="U1221" s="49"/>
      <c r="V1221" s="49"/>
      <c r="W1221" s="49"/>
    </row>
    <row r="1222" spans="1:23">
      <c r="A1222" s="49"/>
      <c r="B1222" s="49"/>
      <c r="C1222" s="49"/>
      <c r="D1222" s="49"/>
      <c r="E1222" s="49"/>
      <c r="F1222" s="55"/>
      <c r="G1222" s="55">
        <f>43153+101746+93987+43153+45267+195760+40687+203001+83547+45267</f>
        <v>895568</v>
      </c>
      <c r="H1222" s="49"/>
      <c r="I1222" s="49"/>
      <c r="J1222" s="49"/>
      <c r="K1222" s="49"/>
      <c r="L1222" s="49"/>
      <c r="M1222" s="49"/>
      <c r="N1222" s="49"/>
      <c r="O1222" s="49"/>
      <c r="P1222" s="49"/>
      <c r="Q1222" s="49"/>
      <c r="R1222" s="49"/>
      <c r="S1222" s="49"/>
      <c r="T1222" s="49"/>
      <c r="U1222" s="49"/>
      <c r="V1222" s="49"/>
      <c r="W1222" s="49"/>
    </row>
    <row r="1223" spans="1:23">
      <c r="A1223" s="49"/>
      <c r="B1223" s="49"/>
      <c r="C1223" s="49"/>
      <c r="D1223" s="49"/>
      <c r="E1223" s="49"/>
      <c r="F1223" s="55"/>
      <c r="G1223" s="55">
        <f>-40000-32700-32700-32800-32800-16500-32800-16500-16500-16500-16500-37300-32800-37700-16500-32700</f>
        <v>-443300</v>
      </c>
      <c r="H1223" s="49"/>
      <c r="I1223" s="49"/>
      <c r="J1223" s="49"/>
      <c r="K1223" s="49"/>
      <c r="L1223" s="49"/>
      <c r="M1223" s="49"/>
      <c r="N1223" s="49"/>
      <c r="O1223" s="49"/>
      <c r="P1223" s="49"/>
      <c r="Q1223" s="49"/>
      <c r="R1223" s="49"/>
      <c r="S1223" s="49"/>
      <c r="T1223" s="49"/>
      <c r="U1223" s="49"/>
      <c r="V1223" s="49"/>
      <c r="W1223" s="49"/>
    </row>
    <row r="1224" spans="1:23">
      <c r="A1224" s="49"/>
      <c r="B1224" s="49"/>
      <c r="C1224" s="49"/>
      <c r="D1224" s="49"/>
      <c r="E1224" s="49"/>
      <c r="F1224" s="55"/>
      <c r="G1224" s="55">
        <f>92736+101746+45267+101599+129524</f>
        <v>470872</v>
      </c>
      <c r="H1224" s="49"/>
      <c r="I1224" s="49"/>
      <c r="J1224" s="49"/>
      <c r="K1224" s="49"/>
      <c r="L1224" s="49"/>
      <c r="M1224" s="49"/>
      <c r="N1224" s="49"/>
      <c r="O1224" s="49"/>
      <c r="P1224" s="49"/>
      <c r="Q1224" s="49"/>
      <c r="R1224" s="49"/>
      <c r="S1224" s="49"/>
      <c r="T1224" s="49"/>
      <c r="U1224" s="49"/>
      <c r="V1224" s="49"/>
      <c r="W1224" s="49"/>
    </row>
    <row r="1225" spans="1:23">
      <c r="A1225" s="49"/>
      <c r="B1225" s="49"/>
      <c r="C1225" s="49"/>
      <c r="D1225" s="49"/>
      <c r="E1225" s="49"/>
      <c r="F1225" s="55"/>
      <c r="G1225" s="55">
        <f>92982+101746+80483+101746+185795+97600+92736+97332+43153+135628+92736+45267+101746+92737+135628+92736+45267+43153</f>
        <v>1678471</v>
      </c>
      <c r="H1225" s="49"/>
      <c r="I1225" s="49"/>
      <c r="J1225" s="49"/>
      <c r="K1225" s="49"/>
      <c r="L1225" s="49"/>
      <c r="M1225" s="49"/>
      <c r="N1225" s="49"/>
      <c r="O1225" s="49"/>
      <c r="P1225" s="49"/>
      <c r="Q1225" s="49"/>
      <c r="R1225" s="49"/>
      <c r="S1225" s="49"/>
      <c r="T1225" s="49"/>
      <c r="U1225" s="49"/>
      <c r="V1225" s="49"/>
      <c r="W1225" s="49"/>
    </row>
    <row r="1226" spans="1:23">
      <c r="A1226" s="49"/>
      <c r="B1226" s="49"/>
      <c r="C1226" s="49"/>
      <c r="D1226" s="49"/>
      <c r="E1226" s="49"/>
      <c r="F1226" s="55"/>
      <c r="G1226" s="55">
        <f>93987+83547+87376+45267+83547+93987+45267+92736+43153+90057+34529+45267+42188</f>
        <v>880908</v>
      </c>
      <c r="H1226" s="49"/>
      <c r="I1226" s="49"/>
      <c r="J1226" s="49"/>
      <c r="K1226" s="49"/>
      <c r="L1226" s="49"/>
      <c r="M1226" s="49"/>
      <c r="N1226" s="49"/>
      <c r="O1226" s="49"/>
      <c r="P1226" s="49"/>
      <c r="Q1226" s="49"/>
      <c r="R1226" s="49"/>
      <c r="S1226" s="49"/>
      <c r="T1226" s="49"/>
      <c r="U1226" s="49"/>
      <c r="V1226" s="49"/>
      <c r="W1226" s="49"/>
    </row>
    <row r="1227" spans="1:23">
      <c r="A1227" s="49"/>
      <c r="B1227" s="49"/>
      <c r="C1227" s="49"/>
      <c r="D1227" s="49"/>
      <c r="E1227" s="49"/>
      <c r="F1227" s="55"/>
      <c r="G1227" s="55">
        <f>167795+46841+104074+41098+42111+44659+104074+92317+44659+41718+92317</f>
        <v>821663</v>
      </c>
      <c r="H1227" s="49"/>
      <c r="I1227" s="49"/>
      <c r="J1227" s="49"/>
      <c r="K1227" s="49"/>
      <c r="L1227" s="49"/>
      <c r="M1227" s="49"/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</row>
    <row r="1228" spans="1:23">
      <c r="A1228" s="49"/>
      <c r="B1228" s="49"/>
      <c r="C1228" s="49"/>
      <c r="D1228" s="49"/>
      <c r="E1228" s="49"/>
      <c r="F1228" s="55"/>
      <c r="G1228" s="55">
        <f>46841+47166+237529+123788+139766+44659+42111+54105+92317+446032+274257+44659+44659+47166+44659+114782+44266+121920+104074+42111+128062+168000</f>
        <v>2452929</v>
      </c>
      <c r="H1228" s="49"/>
      <c r="I1228" s="49"/>
      <c r="J1228" s="49"/>
      <c r="K1228" s="49"/>
      <c r="L1228" s="49"/>
      <c r="M1228" s="49"/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</row>
    <row r="1229" spans="1:23">
      <c r="A1229" s="49"/>
      <c r="B1229" s="49"/>
      <c r="C1229" s="49"/>
      <c r="D1229" s="49"/>
      <c r="E1229" s="49"/>
      <c r="F1229" s="55"/>
      <c r="G1229" s="55">
        <f>104074+142902+104074+47123+102501+92169+44659+46841+42111+186174+44659+44659+172391+46841+44266+92317+46841+42111+44659+91506+157470+46841+93561</f>
        <v>1880750</v>
      </c>
      <c r="H1229" s="49"/>
      <c r="I1229" s="49"/>
      <c r="J1229" s="49"/>
      <c r="K1229" s="49"/>
      <c r="L1229" s="49"/>
      <c r="M1229" s="49"/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</row>
    <row r="1230" spans="1:23">
      <c r="A1230" s="49"/>
      <c r="B1230" s="49"/>
      <c r="C1230" s="49"/>
      <c r="D1230" s="49"/>
      <c r="E1230" s="49"/>
      <c r="F1230" s="55"/>
      <c r="G1230" s="55">
        <f>186175+44659+127004+137220+47492+46841+105504+46841+46841+47166+44659+44486+44486+46841+291358+182040+133962+47492+41422+136009</f>
        <v>1848498</v>
      </c>
      <c r="H1230" s="49"/>
      <c r="I1230" s="49"/>
      <c r="J1230" s="49"/>
      <c r="K1230" s="49"/>
      <c r="L1230" s="49"/>
      <c r="M1230" s="49"/>
      <c r="N1230" s="49"/>
      <c r="O1230" s="49"/>
      <c r="P1230" s="49"/>
      <c r="Q1230" s="49"/>
      <c r="R1230" s="49"/>
      <c r="S1230" s="49"/>
      <c r="T1230" s="49"/>
      <c r="U1230" s="49"/>
      <c r="V1230" s="49"/>
      <c r="W1230" s="49"/>
    </row>
    <row r="1231" spans="1:23">
      <c r="A1231" s="49"/>
      <c r="B1231" s="49"/>
      <c r="C1231" s="49"/>
      <c r="D1231" s="49"/>
      <c r="E1231" s="49"/>
      <c r="F1231" s="55"/>
      <c r="G1231" s="55">
        <f>794113+80674+35601+290097+42111+143152+44659+47492+104074+42111+97332+97332</f>
        <v>1818748</v>
      </c>
      <c r="H1231" s="49"/>
      <c r="I1231" s="49"/>
      <c r="J1231" s="49"/>
      <c r="K1231" s="49"/>
      <c r="L1231" s="49"/>
      <c r="M1231" s="49"/>
      <c r="N1231" s="49"/>
      <c r="O1231" s="49"/>
      <c r="P1231" s="49"/>
      <c r="Q1231" s="49"/>
      <c r="R1231" s="49"/>
      <c r="S1231" s="49"/>
      <c r="T1231" s="49"/>
      <c r="U1231" s="49"/>
      <c r="V1231" s="49"/>
      <c r="W1231" s="49"/>
    </row>
    <row r="1232" spans="1:23">
      <c r="A1232" s="49"/>
      <c r="B1232" s="49"/>
      <c r="C1232" s="49"/>
      <c r="D1232" s="49"/>
      <c r="E1232" s="49"/>
      <c r="F1232" s="55"/>
      <c r="G1232" s="55">
        <f>47203+93561+186174+96682+42111+136009+77036+135199+42111+92317+47492+46841+136010</f>
        <v>1178746</v>
      </c>
      <c r="H1232" s="49"/>
      <c r="I1232" s="49"/>
      <c r="J1232" s="49"/>
      <c r="K1232" s="49"/>
      <c r="L1232" s="49"/>
      <c r="M1232" s="49"/>
      <c r="N1232" s="49"/>
      <c r="O1232" s="49"/>
      <c r="P1232" s="49"/>
      <c r="Q1232" s="49"/>
      <c r="R1232" s="49"/>
      <c r="S1232" s="49"/>
      <c r="T1232" s="49"/>
      <c r="U1232" s="49"/>
      <c r="V1232" s="49"/>
      <c r="W1232" s="49"/>
    </row>
    <row r="1233" spans="1:23">
      <c r="A1233" s="49"/>
      <c r="B1233" s="49"/>
      <c r="C1233" s="49"/>
      <c r="D1233" s="49"/>
      <c r="E1233" s="49"/>
      <c r="F1233" s="55"/>
      <c r="G1233" s="55">
        <f>47166+117637+46841+46841+92317+44659+151792+47166+44659+44486+46841+92317+42111+169977</f>
        <v>1034810</v>
      </c>
      <c r="H1233" s="49"/>
      <c r="I1233" s="49"/>
      <c r="J1233" s="49"/>
      <c r="K1233" s="49"/>
      <c r="L1233" s="49"/>
      <c r="M1233" s="49"/>
      <c r="N1233" s="49"/>
      <c r="O1233" s="49"/>
      <c r="P1233" s="49"/>
      <c r="Q1233" s="49"/>
      <c r="R1233" s="49"/>
      <c r="S1233" s="49"/>
      <c r="T1233" s="49"/>
      <c r="U1233" s="49"/>
      <c r="V1233" s="49"/>
      <c r="W1233" s="49"/>
    </row>
    <row r="1234" spans="1:23">
      <c r="A1234" s="49"/>
      <c r="B1234" s="49"/>
      <c r="C1234" s="49"/>
      <c r="D1234" s="49"/>
      <c r="E1234" s="49"/>
      <c r="F1234" s="55"/>
      <c r="G1234" s="55">
        <f>46841+76308+46841+46841+44659+104074+196134+32678+186174+46841+334516+93561+47492+101884+68305+69032+46841+44486</f>
        <v>1633508</v>
      </c>
      <c r="H1234" s="49"/>
      <c r="I1234" s="49"/>
      <c r="J1234" s="49"/>
      <c r="K1234" s="49"/>
      <c r="L1234" s="49"/>
      <c r="M1234" s="49"/>
      <c r="N1234" s="49"/>
      <c r="O1234" s="49"/>
      <c r="P1234" s="49"/>
      <c r="Q1234" s="49"/>
      <c r="R1234" s="49"/>
      <c r="S1234" s="49"/>
      <c r="T1234" s="49"/>
      <c r="U1234" s="49"/>
      <c r="V1234" s="49"/>
      <c r="W1234" s="49"/>
    </row>
    <row r="1235" spans="1:23">
      <c r="A1235" s="49"/>
      <c r="B1235" s="49"/>
      <c r="C1235" s="49"/>
      <c r="D1235" s="49"/>
      <c r="E1235" s="49"/>
      <c r="F1235" s="55"/>
      <c r="G1235" s="55">
        <f>50612+101927+175454+175454+47123+87222+44659+93561+46841+44659+69032+44659+252811+23631+46976+46841+104074+121920+44659+46841+406364</f>
        <v>2075320</v>
      </c>
      <c r="H1235" s="49"/>
      <c r="I1235" s="49"/>
      <c r="J1235" s="49"/>
      <c r="K1235" s="49"/>
      <c r="L1235" s="49"/>
      <c r="M1235" s="49"/>
      <c r="N1235" s="49"/>
      <c r="O1235" s="49"/>
      <c r="P1235" s="49"/>
      <c r="Q1235" s="49"/>
      <c r="R1235" s="49"/>
      <c r="S1235" s="49"/>
      <c r="T1235" s="49"/>
      <c r="U1235" s="49"/>
      <c r="V1235" s="49"/>
      <c r="W1235" s="49"/>
    </row>
    <row r="1236" spans="1:23">
      <c r="A1236" s="49"/>
      <c r="B1236" s="49"/>
      <c r="C1236" s="49"/>
      <c r="D1236" s="49"/>
      <c r="E1236" s="49"/>
      <c r="F1236" s="55"/>
      <c r="G1236" s="55">
        <f>83584+54105+138990+47492+144053+251901+44659+340670+46841+44659+173922+46841+47166+34529+322506+55953+44659+55208+94500+105504+392709+189450+186059+44659+46841</f>
        <v>3037460</v>
      </c>
      <c r="H1236" s="49"/>
      <c r="I1236" s="49"/>
      <c r="J1236" s="49"/>
      <c r="K1236" s="49"/>
      <c r="L1236" s="49"/>
      <c r="M1236" s="49"/>
      <c r="N1236" s="49"/>
      <c r="O1236" s="49"/>
      <c r="P1236" s="49"/>
      <c r="Q1236" s="49"/>
      <c r="R1236" s="49"/>
      <c r="S1236" s="49"/>
      <c r="T1236" s="49"/>
      <c r="U1236" s="49"/>
      <c r="V1236" s="49"/>
      <c r="W1236" s="49"/>
    </row>
    <row r="1237" spans="1:23">
      <c r="A1237" s="49"/>
      <c r="B1237" s="49"/>
      <c r="C1237" s="49"/>
      <c r="D1237" s="49"/>
      <c r="E1237" s="49"/>
      <c r="F1237" s="55"/>
      <c r="G1237" s="55">
        <f>44659+104074+44659+83584+92317+46841+44659+42111+25333+47714+44659+102694+47123+44659+73035+44659+47123+222940+46841</f>
        <v>1249684</v>
      </c>
      <c r="H1237" s="49"/>
      <c r="I1237" s="49"/>
      <c r="J1237" s="49"/>
      <c r="K1237" s="49"/>
      <c r="L1237" s="49"/>
      <c r="M1237" s="49"/>
      <c r="N1237" s="49"/>
      <c r="O1237" s="49"/>
      <c r="P1237" s="49"/>
      <c r="Q1237" s="49"/>
      <c r="R1237" s="49"/>
      <c r="S1237" s="49"/>
      <c r="T1237" s="49"/>
      <c r="U1237" s="49"/>
      <c r="V1237" s="49"/>
      <c r="W1237" s="49"/>
    </row>
    <row r="1238" spans="1:23">
      <c r="A1238" s="49"/>
      <c r="B1238" s="49"/>
      <c r="C1238" s="49"/>
      <c r="D1238" s="49"/>
      <c r="E1238" s="49"/>
      <c r="F1238" s="55"/>
      <c r="G1238" s="55">
        <f>1424845+46841+44659+44659+44659+32678+46841+44659+83584+44659+44659+42111+44659+42111+17386+47492+83584+96681+92317+42111+42188+92317+113821</f>
        <v>2659521</v>
      </c>
      <c r="H1238" s="49"/>
      <c r="I1238" s="49"/>
      <c r="J1238" s="49"/>
      <c r="K1238" s="49"/>
      <c r="L1238" s="49"/>
      <c r="M1238" s="49"/>
      <c r="N1238" s="49"/>
      <c r="O1238" s="49"/>
      <c r="P1238" s="49"/>
      <c r="Q1238" s="49"/>
      <c r="R1238" s="49"/>
      <c r="S1238" s="49"/>
      <c r="T1238" s="49"/>
      <c r="U1238" s="49"/>
      <c r="V1238" s="49"/>
      <c r="W1238" s="49"/>
    </row>
    <row r="1239" spans="1:23">
      <c r="A1239" s="49"/>
      <c r="B1239" s="49"/>
      <c r="C1239" s="49"/>
      <c r="D1239" s="49"/>
      <c r="E1239" s="49"/>
      <c r="F1239" s="55"/>
      <c r="G1239" s="55">
        <f>46841+46841+46841+47123+92317+99889+92317+117637+44659+339835+46841+44486+92317+77762+42188+141241+46841</f>
        <v>1465976</v>
      </c>
      <c r="H1239" s="49"/>
      <c r="I1239" s="49"/>
      <c r="J1239" s="49"/>
      <c r="K1239" s="49"/>
      <c r="L1239" s="49"/>
      <c r="M1239" s="49"/>
      <c r="N1239" s="49"/>
      <c r="O1239" s="49"/>
      <c r="P1239" s="49"/>
      <c r="Q1239" s="49"/>
      <c r="R1239" s="49"/>
      <c r="S1239" s="49"/>
      <c r="T1239" s="49"/>
      <c r="U1239" s="49"/>
      <c r="V1239" s="49"/>
      <c r="W1239" s="49"/>
    </row>
    <row r="1240" spans="1:23">
      <c r="A1240" s="49"/>
      <c r="B1240" s="49"/>
      <c r="C1240" s="49"/>
      <c r="D1240" s="49"/>
      <c r="E1240" s="49"/>
      <c r="F1240" s="55"/>
      <c r="G1240" s="55">
        <f>44659+46841+121920+44659+46841+46841+104074+104074+44659+5787+42188+46841+46841+46841+92317+117637+692127+46841+93561</f>
        <v>1835549</v>
      </c>
      <c r="H1240" s="49"/>
      <c r="I1240" s="49"/>
      <c r="J1240" s="49"/>
      <c r="K1240" s="49"/>
      <c r="L1240" s="49"/>
      <c r="M1240" s="49"/>
      <c r="N1240" s="49"/>
      <c r="O1240" s="49"/>
      <c r="P1240" s="49"/>
      <c r="Q1240" s="49"/>
      <c r="R1240" s="49"/>
      <c r="S1240" s="49"/>
      <c r="T1240" s="49"/>
      <c r="U1240" s="49"/>
      <c r="V1240" s="49"/>
      <c r="W1240" s="49"/>
    </row>
    <row r="1241" spans="1:23">
      <c r="A1241" s="49"/>
      <c r="B1241" s="49"/>
      <c r="C1241" s="49"/>
      <c r="D1241" s="49"/>
      <c r="E1241" s="49"/>
      <c r="F1241" s="55"/>
      <c r="G1241" s="55">
        <f>46841+23215+286510+93561+42188+46841+51570+44659+93561+47123+92317+104074+24392+103879+46841+761777+47123+80674+107604+114782</f>
        <v>2259532</v>
      </c>
      <c r="H1241" s="49"/>
      <c r="I1241" s="49"/>
      <c r="J1241" s="49"/>
      <c r="K1241" s="49"/>
      <c r="L1241" s="49"/>
      <c r="M1241" s="49"/>
      <c r="N1241" s="49"/>
      <c r="O1241" s="49"/>
      <c r="P1241" s="49"/>
      <c r="Q1241" s="49"/>
      <c r="R1241" s="49"/>
      <c r="S1241" s="49"/>
      <c r="T1241" s="49"/>
      <c r="U1241" s="49"/>
      <c r="V1241" s="49"/>
      <c r="W1241" s="49"/>
    </row>
    <row r="1242" spans="1:23">
      <c r="A1242" s="49"/>
      <c r="B1242" s="49"/>
      <c r="C1242" s="49"/>
      <c r="D1242" s="49"/>
      <c r="E1242" s="49"/>
      <c r="F1242" s="55"/>
      <c r="G1242" s="55">
        <f>46841+446559+47123+46841+47123+46841+34529+96682+133962+104074+117637+47123+42111</f>
        <v>1257446</v>
      </c>
      <c r="H1242" s="49"/>
      <c r="I1242" s="49"/>
      <c r="J1242" s="49"/>
      <c r="K1242" s="49"/>
      <c r="L1242" s="49"/>
      <c r="M1242" s="49"/>
      <c r="N1242" s="49"/>
      <c r="O1242" s="49"/>
      <c r="P1242" s="49"/>
      <c r="Q1242" s="49"/>
      <c r="R1242" s="49"/>
      <c r="S1242" s="49"/>
      <c r="T1242" s="49"/>
      <c r="U1242" s="49"/>
      <c r="V1242" s="49"/>
      <c r="W1242" s="49"/>
    </row>
    <row r="1243" spans="1:23">
      <c r="A1243" s="49"/>
      <c r="B1243" s="49"/>
      <c r="C1243" s="49"/>
      <c r="D1243" s="49"/>
      <c r="E1243" s="49"/>
      <c r="F1243" s="55"/>
      <c r="G1243" s="55">
        <f>221464+96657+251901+104964+42111+95151+92317+42111+47123+46841+89770+42111+44659+42188+42111+46841+44659+163818+103534+186174</f>
        <v>1846505</v>
      </c>
      <c r="H1243" s="49"/>
      <c r="I1243" s="49"/>
      <c r="J1243" s="49"/>
      <c r="K1243" s="49"/>
      <c r="L1243" s="49"/>
      <c r="M1243" s="49"/>
      <c r="N1243" s="49"/>
      <c r="O1243" s="49"/>
      <c r="P1243" s="49"/>
      <c r="Q1243" s="49"/>
      <c r="R1243" s="49"/>
      <c r="S1243" s="49"/>
      <c r="T1243" s="49"/>
      <c r="U1243" s="49"/>
      <c r="V1243" s="49"/>
      <c r="W1243" s="49"/>
    </row>
    <row r="1244" spans="1:23">
      <c r="A1244" s="49"/>
      <c r="B1244" s="49"/>
      <c r="C1244" s="49"/>
      <c r="D1244" s="49"/>
      <c r="E1244" s="49"/>
      <c r="F1244" s="55"/>
      <c r="G1244" s="55">
        <f>120662</f>
        <v>120662</v>
      </c>
      <c r="H1244" s="49"/>
      <c r="I1244" s="49"/>
      <c r="J1244" s="49"/>
      <c r="K1244" s="49"/>
      <c r="L1244" s="49"/>
      <c r="M1244" s="49"/>
      <c r="N1244" s="49"/>
      <c r="O1244" s="49"/>
      <c r="P1244" s="49"/>
      <c r="Q1244" s="49"/>
      <c r="R1244" s="49"/>
      <c r="S1244" s="49"/>
      <c r="T1244" s="49"/>
      <c r="U1244" s="49"/>
      <c r="V1244" s="49"/>
      <c r="W1244" s="49"/>
    </row>
    <row r="1245" spans="1:23">
      <c r="A1245" s="49"/>
      <c r="B1245" s="49"/>
      <c r="C1245" s="49"/>
      <c r="D1245" s="49"/>
      <c r="E1245" s="49"/>
      <c r="F1245" s="55"/>
      <c r="G1245" s="55">
        <f>835435+156459+136009</f>
        <v>1127903</v>
      </c>
      <c r="H1245" s="49"/>
      <c r="I1245" s="49"/>
      <c r="J1245" s="49"/>
      <c r="K1245" s="49"/>
      <c r="L1245" s="49"/>
      <c r="M1245" s="49"/>
      <c r="N1245" s="49"/>
      <c r="O1245" s="49"/>
      <c r="P1245" s="49"/>
      <c r="Q1245" s="49"/>
      <c r="R1245" s="49"/>
      <c r="S1245" s="49"/>
      <c r="T1245" s="49"/>
      <c r="U1245" s="49"/>
      <c r="V1245" s="49"/>
      <c r="W1245" s="49"/>
    </row>
    <row r="1246" spans="1:23">
      <c r="A1246" s="49"/>
      <c r="B1246" s="49"/>
      <c r="C1246" s="49"/>
      <c r="D1246" s="49"/>
      <c r="E1246" s="49"/>
      <c r="F1246" s="55"/>
      <c r="G1246" s="55">
        <f>42111+92317+44659+44659+47123+92317+41855+44217+41855+174380+41855+91979+41855+92317+41855+41855+80674+83905+86713+41855+104074+41855+41855+41855+41855+39737+194636+4800</f>
        <v>1821023</v>
      </c>
      <c r="H1246" s="49"/>
      <c r="I1246" s="49"/>
      <c r="J1246" s="49"/>
      <c r="K1246" s="49"/>
      <c r="L1246" s="49"/>
      <c r="M1246" s="49"/>
      <c r="N1246" s="49"/>
      <c r="O1246" s="49"/>
      <c r="P1246" s="49"/>
      <c r="Q1246" s="49"/>
      <c r="R1246" s="49"/>
      <c r="S1246" s="49"/>
      <c r="T1246" s="49"/>
      <c r="U1246" s="49"/>
      <c r="V1246" s="49"/>
      <c r="W1246" s="49"/>
    </row>
    <row r="1247" spans="1:23">
      <c r="A1247" s="49"/>
      <c r="B1247" s="49"/>
      <c r="C1247" s="49"/>
      <c r="D1247" s="49"/>
      <c r="E1247" s="49"/>
      <c r="F1247" s="55"/>
      <c r="G1247" s="55">
        <f>83905+41487+41855+127320+41855+41855+49464+69032+124185+47123+114939+46841+203389+44659+47123+46841+104074+44659+104074</f>
        <v>1424680</v>
      </c>
      <c r="H1247" s="49"/>
      <c r="I1247" s="49"/>
      <c r="J1247" s="49"/>
      <c r="K1247" s="49"/>
      <c r="L1247" s="49"/>
      <c r="M1247" s="49"/>
      <c r="N1247" s="49"/>
      <c r="O1247" s="49"/>
      <c r="P1247" s="49"/>
      <c r="Q1247" s="49"/>
      <c r="R1247" s="49"/>
      <c r="S1247" s="49"/>
      <c r="T1247" s="49"/>
      <c r="U1247" s="49"/>
      <c r="V1247" s="49"/>
      <c r="W1247" s="49"/>
    </row>
    <row r="1248" spans="1:23">
      <c r="A1248" s="49"/>
      <c r="B1248" s="49"/>
      <c r="C1248" s="49"/>
      <c r="D1248" s="49"/>
      <c r="E1248" s="49"/>
      <c r="F1248" s="55"/>
      <c r="G1248" s="55">
        <f>104074+46841+41964+102504+44659+44659+988825+1226545+47492+80674+87222+55188+44659+46841+42923</f>
        <v>3005070</v>
      </c>
      <c r="H1248" s="49"/>
      <c r="I1248" s="49"/>
      <c r="J1248" s="49"/>
      <c r="K1248" s="49"/>
      <c r="L1248" s="49"/>
      <c r="M1248" s="49"/>
      <c r="N1248" s="49"/>
      <c r="O1248" s="49"/>
      <c r="P1248" s="49"/>
      <c r="Q1248" s="49"/>
      <c r="R1248" s="49"/>
      <c r="S1248" s="49"/>
      <c r="T1248" s="49"/>
      <c r="U1248" s="49"/>
      <c r="V1248" s="49"/>
      <c r="W1248" s="49"/>
    </row>
    <row r="1249" spans="1:23">
      <c r="A1249" s="49"/>
      <c r="B1249" s="49"/>
      <c r="C1249" s="49"/>
      <c r="D1249" s="49"/>
      <c r="E1249" s="49"/>
      <c r="F1249" s="55"/>
      <c r="G1249" s="55">
        <f>46841+93561+188475+136009+46841+44659+221464+238641+138308+34529+114782+56279+83584+121920+80674+46841+46841</f>
        <v>1740249</v>
      </c>
      <c r="H1249" s="49"/>
      <c r="I1249" s="49"/>
      <c r="J1249" s="49"/>
      <c r="K1249" s="49"/>
      <c r="L1249" s="49"/>
      <c r="M1249" s="49"/>
      <c r="N1249" s="49"/>
      <c r="O1249" s="49"/>
      <c r="P1249" s="49"/>
      <c r="Q1249" s="49"/>
      <c r="R1249" s="49"/>
      <c r="S1249" s="49"/>
      <c r="T1249" s="49"/>
      <c r="U1249" s="49"/>
      <c r="V1249" s="49"/>
      <c r="W1249" s="49"/>
    </row>
    <row r="1250" spans="1:23">
      <c r="A1250" s="49"/>
      <c r="B1250" s="49"/>
      <c r="C1250" s="49"/>
      <c r="D1250" s="49"/>
      <c r="E1250" s="49"/>
      <c r="F1250" s="55"/>
      <c r="G1250" s="55">
        <f>439312+326337+94782+96682+83743+44659+96682+44659+142903+46841+46841+92169+53753+92317+104074+47123+96682+44659+136009</f>
        <v>2130227</v>
      </c>
      <c r="H1250" s="49"/>
      <c r="I1250" s="49"/>
      <c r="J1250" s="49"/>
      <c r="K1250" s="49"/>
      <c r="L1250" s="49"/>
      <c r="M1250" s="49"/>
      <c r="N1250" s="49"/>
      <c r="O1250" s="49"/>
      <c r="P1250" s="49"/>
      <c r="Q1250" s="49"/>
      <c r="R1250" s="49"/>
      <c r="S1250" s="49"/>
      <c r="T1250" s="49"/>
      <c r="U1250" s="49"/>
      <c r="V1250" s="49"/>
      <c r="W1250" s="49"/>
    </row>
    <row r="1251" spans="1:23">
      <c r="A1251" s="49"/>
      <c r="B1251" s="49"/>
      <c r="C1251" s="49"/>
      <c r="D1251" s="49"/>
      <c r="E1251" s="49"/>
      <c r="F1251" s="55"/>
      <c r="G1251" s="55">
        <f>46841+44659+215095+47123+44659+46976+46976+92317+121920+102501+44659+93561+462452+138308+166697+355442</f>
        <v>2070186</v>
      </c>
      <c r="H1251" s="49"/>
      <c r="I1251" s="49"/>
      <c r="J1251" s="49"/>
      <c r="K1251" s="49"/>
      <c r="L1251" s="49"/>
      <c r="M1251" s="49"/>
      <c r="N1251" s="49"/>
      <c r="O1251" s="49"/>
      <c r="P1251" s="49"/>
      <c r="Q1251" s="49"/>
      <c r="R1251" s="49"/>
      <c r="S1251" s="49"/>
      <c r="T1251" s="49"/>
      <c r="U1251" s="49"/>
      <c r="V1251" s="49"/>
      <c r="W1251" s="49"/>
    </row>
    <row r="1252" spans="1:23">
      <c r="A1252" s="68">
        <v>46054</v>
      </c>
      <c r="B1252" s="49"/>
      <c r="C1252" s="49"/>
      <c r="D1252" s="49"/>
      <c r="E1252" s="49"/>
      <c r="F1252" s="55"/>
      <c r="G1252" s="55">
        <f>98865+95921+93561+42111+80674+104074+44659+188475+42188+46841+311367+42188+102501+93561+40694+138990</f>
        <v>1566670</v>
      </c>
      <c r="H1252" s="49"/>
      <c r="I1252" s="49"/>
      <c r="J1252" s="49"/>
      <c r="K1252" s="49"/>
      <c r="L1252" s="49"/>
      <c r="M1252" s="49"/>
      <c r="N1252" s="49"/>
      <c r="O1252" s="49"/>
      <c r="P1252" s="49"/>
      <c r="Q1252" s="49"/>
      <c r="R1252" s="49"/>
      <c r="S1252" s="49"/>
      <c r="T1252" s="49"/>
      <c r="U1252" s="49"/>
      <c r="V1252" s="49"/>
      <c r="W1252" s="49"/>
    </row>
    <row r="1253" spans="1:23">
      <c r="A1253" s="49"/>
      <c r="B1253" s="49"/>
      <c r="C1253" s="49"/>
      <c r="D1253" s="49"/>
      <c r="E1253" s="49"/>
      <c r="F1253" s="55"/>
      <c r="G1253" s="55">
        <f>136009+46694+46730+28199+77036+96682+44659+44659+44659+93561+138990+92317+44659+44659+83584+129397+115377+46841+42111+44659+11564</f>
        <v>1453046</v>
      </c>
      <c r="H1253" s="49"/>
      <c r="I1253" s="49"/>
      <c r="J1253" s="49"/>
      <c r="K1253" s="49"/>
      <c r="L1253" s="49"/>
      <c r="M1253" s="49"/>
      <c r="N1253" s="49"/>
      <c r="O1253" s="49"/>
      <c r="P1253" s="49"/>
      <c r="Q1253" s="49"/>
      <c r="R1253" s="49"/>
      <c r="S1253" s="49"/>
      <c r="T1253" s="49"/>
      <c r="U1253" s="49"/>
      <c r="V1253" s="49"/>
      <c r="W1253" s="49"/>
    </row>
    <row r="1254" spans="1:23">
      <c r="A1254" s="49"/>
      <c r="B1254" s="49"/>
      <c r="C1254" s="49"/>
      <c r="D1254" s="49"/>
      <c r="E1254" s="49"/>
      <c r="F1254" s="55"/>
      <c r="G1254" s="55">
        <f>-37700-145000-16500-65500-1000-198000-37700-65500-32700-150000-32700-62000-16500-49000-9000-37700-65500-65500-37700-68500-40000-68500-16500-131000-37300-61650-16500-68500-28700-150000</f>
        <v>-1812350</v>
      </c>
      <c r="H1254" s="49"/>
      <c r="I1254" s="49"/>
      <c r="J1254" s="49"/>
      <c r="K1254" s="49"/>
      <c r="L1254" s="49"/>
      <c r="M1254" s="49"/>
      <c r="N1254" s="49"/>
      <c r="O1254" s="49"/>
      <c r="P1254" s="49"/>
      <c r="Q1254" s="49"/>
      <c r="R1254" s="49"/>
      <c r="S1254" s="49"/>
      <c r="T1254" s="49"/>
      <c r="U1254" s="49"/>
      <c r="V1254" s="49"/>
      <c r="W1254" s="49"/>
    </row>
    <row r="1255" spans="1:23">
      <c r="A1255" s="49"/>
      <c r="B1255" s="49"/>
      <c r="C1255" s="49"/>
      <c r="D1255" s="49"/>
      <c r="E1255" s="49"/>
      <c r="F1255" s="55"/>
      <c r="G1255" s="55">
        <f>41383+95151+47123+34529+96682+44659+94500+188475+105514+93561+46841+18828+102694+104074+105504+46841+33930</f>
        <v>1300289</v>
      </c>
      <c r="H1255" s="49"/>
      <c r="I1255" s="49"/>
      <c r="J1255" s="49"/>
      <c r="K1255" s="49"/>
      <c r="L1255" s="49"/>
      <c r="M1255" s="49"/>
      <c r="N1255" s="49"/>
      <c r="O1255" s="49"/>
      <c r="P1255" s="49"/>
      <c r="Q1255" s="49"/>
      <c r="R1255" s="49"/>
      <c r="S1255" s="49"/>
      <c r="T1255" s="49"/>
      <c r="U1255" s="49"/>
      <c r="V1255" s="49"/>
      <c r="W1255" s="49"/>
    </row>
    <row r="1256" spans="1:23">
      <c r="A1256" s="49"/>
      <c r="B1256" s="49"/>
      <c r="C1256" s="49"/>
      <c r="D1256" s="49"/>
      <c r="E1256" s="49"/>
      <c r="F1256" s="55"/>
      <c r="G1256" s="55">
        <f>126299+94500+4800+44659+551715+44659+34529+46841+46841+94500+104074+104074+46841</f>
        <v>1344332</v>
      </c>
      <c r="H1256" s="49"/>
      <c r="I1256" s="49"/>
      <c r="J1256" s="49"/>
      <c r="K1256" s="49"/>
      <c r="L1256" s="49"/>
      <c r="M1256" s="49"/>
      <c r="N1256" s="49"/>
      <c r="O1256" s="49"/>
      <c r="P1256" s="49"/>
      <c r="Q1256" s="49"/>
      <c r="R1256" s="49"/>
      <c r="S1256" s="49"/>
      <c r="T1256" s="49"/>
      <c r="U1256" s="49"/>
      <c r="V1256" s="49"/>
      <c r="W1256" s="49"/>
    </row>
    <row r="1257" spans="1:23">
      <c r="A1257" s="49"/>
      <c r="B1257" s="49"/>
      <c r="C1257" s="49"/>
      <c r="D1257" s="49"/>
      <c r="E1257" s="49"/>
      <c r="F1257" s="55"/>
      <c r="G1257" s="55">
        <f>46841+80674+42111+46448+92317+46841+238255+80674+104074+92317+96681+98865+42111</f>
        <v>1108209</v>
      </c>
      <c r="H1257" s="49"/>
      <c r="I1257" s="49"/>
      <c r="J1257" s="49"/>
      <c r="K1257" s="49"/>
      <c r="L1257" s="49"/>
      <c r="M1257" s="49"/>
      <c r="N1257" s="49"/>
      <c r="O1257" s="49"/>
      <c r="P1257" s="49"/>
      <c r="Q1257" s="49"/>
      <c r="R1257" s="49"/>
      <c r="S1257" s="49"/>
      <c r="T1257" s="49"/>
      <c r="U1257" s="49"/>
      <c r="V1257" s="49"/>
      <c r="W1257" s="49"/>
    </row>
    <row r="1258" spans="1:23">
      <c r="A1258" s="49"/>
      <c r="B1258" s="49"/>
      <c r="C1258" s="49"/>
      <c r="D1258" s="49"/>
      <c r="E1258" s="49"/>
      <c r="F1258" s="55"/>
      <c r="G1258" s="55">
        <f>138527+92660+34529+44659+44659+44659+34529+42853+88707+43452+42853+98720+98720+42853+42853+35755+84021+43114+42853+98720+42853+88707+42853+42853+46841+92317+245425+140529+127761+42853+51927+42853+42853+43188+42853+88707+42853+88707+42853+42853+54480+72344+42853+88707+278219+41748+88707+42853+88707+88707+88967+45267+42853+43452+42853+424513+88707+217337+121464+419911+42853+124742+42853+122586+89306+42853+42853</f>
        <v>5613030</v>
      </c>
      <c r="H1258" s="49"/>
      <c r="I1258" s="49"/>
      <c r="J1258" s="49"/>
      <c r="K1258" s="49"/>
      <c r="L1258" s="49"/>
      <c r="M1258" s="49"/>
      <c r="N1258" s="49"/>
      <c r="O1258" s="49"/>
      <c r="P1258" s="49"/>
      <c r="Q1258" s="49"/>
      <c r="R1258" s="49"/>
      <c r="S1258" s="49"/>
      <c r="T1258" s="49"/>
      <c r="U1258" s="49"/>
      <c r="V1258" s="49"/>
      <c r="W1258" s="49"/>
    </row>
    <row r="1259" spans="1:23">
      <c r="A1259" s="49"/>
      <c r="B1259" s="49"/>
      <c r="C1259" s="49"/>
      <c r="D1259" s="49"/>
      <c r="E1259" s="49"/>
      <c r="F1259" s="55"/>
      <c r="G1259" s="55">
        <f>42853+43452+43114+85836+116205+41748+42853+227090+88707+42853+42853+42853+89704+42853+42853+42853+43114+42853+262976+35755+42853+42853+110726+47932+89704+42853+286588+42853+89704+89704+42706+119405+42853+114161+42853+114937+133558+42853+42853+207672+42853+42853+42853+86632</f>
        <v>3468190</v>
      </c>
      <c r="H1259" s="49"/>
      <c r="I1259" s="49"/>
      <c r="J1259" s="49"/>
      <c r="K1259" s="49"/>
      <c r="L1259" s="49"/>
      <c r="M1259" s="49"/>
      <c r="N1259" s="49"/>
      <c r="O1259" s="49"/>
      <c r="P1259" s="49"/>
      <c r="Q1259" s="49"/>
      <c r="R1259" s="49"/>
      <c r="S1259" s="49"/>
      <c r="T1259" s="49"/>
      <c r="U1259" s="49"/>
      <c r="V1259" s="49"/>
      <c r="W1259" s="49"/>
    </row>
    <row r="1260" spans="1:23">
      <c r="A1260" s="49"/>
      <c r="B1260" s="49"/>
      <c r="C1260" s="49"/>
      <c r="D1260" s="49"/>
      <c r="E1260" s="49"/>
      <c r="F1260" s="55"/>
      <c r="G1260" s="55">
        <f>44293+86632+89704+42853+42853+42853+42853+42853+42853+76654+42853+86632+231443+114161+42853+134909+42853+86632+74203+42853+89561+35755+114197+96950+42853+42853+42853+41748+183175</f>
        <v>2143738</v>
      </c>
      <c r="H1260" s="49"/>
      <c r="I1260" s="49"/>
      <c r="J1260" s="49"/>
      <c r="K1260" s="49"/>
      <c r="L1260" s="49"/>
      <c r="M1260" s="49"/>
      <c r="N1260" s="49"/>
      <c r="O1260" s="49"/>
      <c r="P1260" s="49"/>
      <c r="Q1260" s="49"/>
      <c r="R1260" s="49"/>
      <c r="S1260" s="49"/>
      <c r="T1260" s="49"/>
      <c r="U1260" s="49"/>
      <c r="V1260" s="49"/>
      <c r="W1260" s="49"/>
    </row>
    <row r="1261" spans="1:23">
      <c r="A1261" s="49"/>
      <c r="B1261" s="49"/>
      <c r="C1261" s="49"/>
      <c r="D1261" s="49"/>
      <c r="E1261" s="49"/>
      <c r="F1261" s="55"/>
      <c r="G1261" s="55">
        <f>89704+89704+42853+42853+89704+225580+42853+43452+41577+225325+43114+134909+41748+45173+42853+183174+119405+134909+42853+89704+134909+89704</f>
        <v>2036060</v>
      </c>
      <c r="H1261" s="49"/>
      <c r="I1261" s="49"/>
      <c r="J1261" s="49"/>
      <c r="K1261" s="49"/>
      <c r="L1261" s="49"/>
      <c r="M1261" s="49"/>
      <c r="N1261" s="49"/>
      <c r="O1261" s="49"/>
      <c r="P1261" s="49"/>
      <c r="Q1261" s="49"/>
      <c r="R1261" s="49"/>
      <c r="S1261" s="49"/>
      <c r="T1261" s="49"/>
      <c r="U1261" s="49"/>
      <c r="V1261" s="49"/>
      <c r="W1261" s="49"/>
    </row>
    <row r="1262" spans="1:23">
      <c r="A1262" s="49"/>
      <c r="B1262" s="49"/>
      <c r="C1262" s="49"/>
      <c r="D1262" s="49"/>
      <c r="E1262" s="49"/>
      <c r="F1262" s="55"/>
      <c r="G1262" s="55">
        <f>128903+42853+133558+42853+42853+91574+42853+42853+42853+42853+42853+74203+42853+74203+119505</f>
        <v>1007623</v>
      </c>
      <c r="H1262" s="49"/>
      <c r="I1262" s="49"/>
      <c r="J1262" s="49"/>
      <c r="K1262" s="49"/>
      <c r="L1262" s="49"/>
      <c r="M1262" s="49"/>
      <c r="N1262" s="49"/>
      <c r="O1262" s="49"/>
      <c r="P1262" s="49"/>
      <c r="Q1262" s="49"/>
      <c r="R1262" s="49"/>
      <c r="S1262" s="49"/>
      <c r="T1262" s="49"/>
      <c r="U1262" s="49"/>
      <c r="V1262" s="49"/>
      <c r="W1262" s="49"/>
    </row>
    <row r="1263" spans="1:23">
      <c r="A1263" s="49"/>
      <c r="B1263" s="49"/>
      <c r="C1263" s="49"/>
      <c r="D1263" s="49"/>
      <c r="E1263" s="49"/>
      <c r="F1263" s="55"/>
      <c r="G1263" s="55">
        <f>42853+373343+89704+327976+54480+132069+89704+42853+74203+42853+86485</f>
        <v>1356523</v>
      </c>
      <c r="H1263" s="49"/>
      <c r="I1263" s="49"/>
      <c r="J1263" s="49"/>
      <c r="K1263" s="49"/>
      <c r="L1263" s="49"/>
      <c r="M1263" s="49"/>
      <c r="N1263" s="49"/>
      <c r="O1263" s="49"/>
      <c r="P1263" s="49"/>
      <c r="Q1263" s="49"/>
      <c r="R1263" s="49"/>
      <c r="S1263" s="49"/>
      <c r="T1263" s="49"/>
      <c r="U1263" s="49"/>
      <c r="V1263" s="49"/>
      <c r="W1263" s="49"/>
    </row>
    <row r="1264" spans="1:23">
      <c r="A1264" s="49"/>
      <c r="B1264" s="49"/>
      <c r="C1264" s="49"/>
      <c r="D1264" s="49"/>
      <c r="E1264" s="49"/>
      <c r="F1264" s="55"/>
      <c r="G1264" s="55">
        <f>89704+89704+42853+385059+42853+44293+86632+42853+90056+97720+129712+43188+42853+42853+42853+42853+131826+42853+42853+47932+42706+74203+278726+47785+42706+42706+42853+810647+42452+183176</f>
        <v>3229463</v>
      </c>
      <c r="H1264" s="49"/>
      <c r="I1264" s="49"/>
      <c r="J1264" s="49"/>
      <c r="K1264" s="49"/>
      <c r="L1264" s="49"/>
      <c r="M1264" s="49"/>
      <c r="N1264" s="49"/>
      <c r="O1264" s="49"/>
      <c r="P1264" s="49"/>
      <c r="Q1264" s="49"/>
      <c r="R1264" s="49"/>
      <c r="S1264" s="49"/>
      <c r="T1264" s="49"/>
      <c r="U1264" s="49"/>
      <c r="V1264" s="49"/>
      <c r="W1264" s="49"/>
    </row>
    <row r="1265" spans="1:23">
      <c r="A1265" s="49"/>
      <c r="B1265" s="49"/>
      <c r="C1265" s="49"/>
      <c r="D1265" s="49"/>
      <c r="E1265" s="49"/>
      <c r="F1265" s="55"/>
      <c r="G1265" s="55">
        <f>134664+117414</f>
        <v>252078</v>
      </c>
      <c r="H1265" s="49"/>
      <c r="I1265" s="49"/>
      <c r="J1265" s="49"/>
      <c r="K1265" s="49"/>
      <c r="L1265" s="49"/>
      <c r="M1265" s="49"/>
      <c r="N1265" s="49"/>
      <c r="O1265" s="49"/>
      <c r="P1265" s="49"/>
      <c r="Q1265" s="49"/>
      <c r="R1265" s="49"/>
      <c r="S1265" s="49"/>
      <c r="T1265" s="49"/>
      <c r="U1265" s="49"/>
      <c r="V1265" s="49"/>
      <c r="W1265" s="49"/>
    </row>
    <row r="1266" spans="1:23">
      <c r="A1266" s="73">
        <v>46082</v>
      </c>
      <c r="B1266" s="49"/>
      <c r="C1266" s="49"/>
      <c r="D1266" s="49"/>
      <c r="E1266" s="49"/>
      <c r="F1266" s="55"/>
      <c r="G1266" s="55">
        <f>42853+42706+123044+42746+114161+42853+42853</f>
        <v>451216</v>
      </c>
      <c r="H1266" s="49"/>
      <c r="I1266" s="49"/>
      <c r="J1266" s="49"/>
      <c r="K1266" s="49"/>
      <c r="L1266" s="49"/>
      <c r="M1266" s="49"/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</row>
    <row r="1267" spans="1:23">
      <c r="A1267" s="49"/>
      <c r="B1267" s="49"/>
      <c r="C1267" s="49"/>
      <c r="D1267" s="49"/>
      <c r="E1267" s="49"/>
      <c r="F1267" s="55"/>
      <c r="G1267" s="55">
        <f>119405+89704+135260+167673+42853+43114+114161+99241+190801+89704+43114+134909+43188+42853+74203+86632+670782+1249978</f>
        <v>3437575</v>
      </c>
      <c r="H1267" s="49"/>
      <c r="I1267" s="49"/>
      <c r="J1267" s="49"/>
      <c r="K1267" s="49"/>
      <c r="L1267" s="49"/>
      <c r="M1267" s="49"/>
      <c r="N1267" s="49"/>
      <c r="O1267" s="49"/>
      <c r="P1267" s="49"/>
      <c r="Q1267" s="49"/>
      <c r="R1267" s="49"/>
      <c r="S1267" s="49"/>
      <c r="T1267" s="49"/>
      <c r="U1267" s="49"/>
      <c r="V1267" s="49"/>
      <c r="W1267" s="49"/>
    </row>
    <row r="1268" spans="1:23">
      <c r="A1268" s="49"/>
      <c r="B1268" s="49"/>
      <c r="C1268" s="49"/>
      <c r="D1268" s="49"/>
      <c r="E1268" s="49"/>
      <c r="F1268" s="55"/>
      <c r="G1268" s="55">
        <f>43188+43114+133558+80192+89704+328593+114014+89704+42853+42853+183174+42853+74203+42853+110654+74203+42853+42853+54480+42853+42853+74203+91220+112945+43188+89704</f>
        <v>2172865</v>
      </c>
      <c r="H1268" s="49"/>
      <c r="I1268" s="49"/>
      <c r="J1268" s="49"/>
      <c r="K1268" s="49"/>
      <c r="L1268" s="49"/>
      <c r="M1268" s="49"/>
      <c r="N1268" s="49"/>
      <c r="O1268" s="49"/>
      <c r="P1268" s="49"/>
      <c r="Q1268" s="49"/>
      <c r="R1268" s="49"/>
      <c r="S1268" s="49"/>
      <c r="T1268" s="49"/>
      <c r="U1268" s="49"/>
      <c r="V1268" s="49"/>
      <c r="W1268" s="49"/>
    </row>
    <row r="1269" spans="1:23">
      <c r="A1269" s="49"/>
      <c r="B1269" s="49"/>
      <c r="C1269" s="49"/>
      <c r="D1269" s="49"/>
      <c r="E1269" s="49"/>
      <c r="F1269" s="55"/>
      <c r="G1269" s="55">
        <f>43114+42853+136424+42853+70679+42853+177040+114161+42853+42853+89704+42853+89704+167673+134909</f>
        <v>1280526</v>
      </c>
      <c r="H1269" s="49"/>
      <c r="I1269" s="49"/>
      <c r="J1269" s="49"/>
      <c r="K1269" s="49"/>
      <c r="L1269" s="49"/>
      <c r="M1269" s="49"/>
      <c r="N1269" s="49"/>
      <c r="O1269" s="49"/>
      <c r="P1269" s="49"/>
      <c r="Q1269" s="49"/>
      <c r="R1269" s="49"/>
      <c r="S1269" s="49"/>
      <c r="T1269" s="49"/>
      <c r="U1269" s="49"/>
      <c r="V1269" s="49"/>
      <c r="W1269" s="49"/>
    </row>
    <row r="1270" spans="1:23">
      <c r="A1270" s="49"/>
      <c r="B1270" s="49"/>
      <c r="C1270" s="49"/>
      <c r="D1270" s="49"/>
      <c r="E1270" s="49"/>
      <c r="F1270" s="55"/>
      <c r="G1270" s="55">
        <f>89704+100396+42853+114937+74203+74203+35755+114161+89704+74203+114014+89704+43114+42853+43452+74203+42853+42853</f>
        <v>1303165</v>
      </c>
      <c r="H1270" s="49"/>
      <c r="I1270" s="49"/>
      <c r="J1270" s="49"/>
      <c r="K1270" s="49"/>
      <c r="L1270" s="49"/>
      <c r="M1270" s="49"/>
      <c r="N1270" s="49"/>
      <c r="O1270" s="49"/>
      <c r="P1270" s="49"/>
      <c r="Q1270" s="49"/>
      <c r="R1270" s="49"/>
      <c r="S1270" s="49"/>
      <c r="T1270" s="49"/>
      <c r="U1270" s="49"/>
      <c r="V1270" s="49"/>
      <c r="W1270" s="49"/>
    </row>
    <row r="1271" spans="1:23">
      <c r="A1271" s="49"/>
      <c r="B1271" s="49"/>
      <c r="C1271" s="49"/>
      <c r="D1271" s="49"/>
      <c r="E1271" s="49"/>
      <c r="F1271" s="55"/>
      <c r="G1271" s="55">
        <f>89385+100396+73982</f>
        <v>263763</v>
      </c>
      <c r="H1271" s="49"/>
      <c r="I1271" s="49"/>
      <c r="J1271" s="49"/>
      <c r="K1271" s="49"/>
      <c r="L1271" s="49"/>
      <c r="M1271" s="49"/>
      <c r="N1271" s="49"/>
      <c r="O1271" s="49"/>
      <c r="P1271" s="49"/>
      <c r="Q1271" s="49"/>
      <c r="R1271" s="49"/>
      <c r="S1271" s="49"/>
      <c r="T1271" s="49"/>
      <c r="U1271" s="49"/>
      <c r="V1271" s="49"/>
      <c r="W1271" s="49"/>
    </row>
    <row r="1272" spans="1:23">
      <c r="A1272" s="49"/>
      <c r="B1272" s="49"/>
      <c r="C1272" s="49"/>
      <c r="D1272" s="49"/>
      <c r="E1272" s="49"/>
      <c r="F1272" s="55"/>
      <c r="G1272" s="55">
        <f>42853+43114+35755+43188+42853+42853+42461+86632+675977</f>
        <v>1055686</v>
      </c>
      <c r="H1272" s="49"/>
      <c r="I1272" s="49"/>
      <c r="J1272" s="49"/>
      <c r="K1272" s="49"/>
      <c r="L1272" s="49"/>
      <c r="M1272" s="49"/>
      <c r="N1272" s="49"/>
      <c r="O1272" s="49"/>
      <c r="P1272" s="49"/>
      <c r="Q1272" s="49"/>
      <c r="R1272" s="49"/>
      <c r="S1272" s="49"/>
      <c r="T1272" s="49"/>
      <c r="U1272" s="49"/>
      <c r="V1272" s="49"/>
      <c r="W1272" s="49"/>
    </row>
    <row r="1273" spans="1:23">
      <c r="A1273" s="49"/>
      <c r="B1273" s="49"/>
      <c r="C1273" s="49"/>
      <c r="D1273" s="49"/>
      <c r="E1273" s="49"/>
      <c r="F1273" s="55"/>
      <c r="G1273" s="55">
        <f>91972+42853+89704+42853+100396+134909+338806+100396+42853+70679+100396+810651</f>
        <v>1966468</v>
      </c>
      <c r="H1273" s="49"/>
      <c r="I1273" s="49"/>
      <c r="J1273" s="49"/>
      <c r="K1273" s="49"/>
      <c r="L1273" s="49"/>
      <c r="M1273" s="49"/>
      <c r="N1273" s="49"/>
      <c r="O1273" s="49"/>
      <c r="P1273" s="49"/>
      <c r="Q1273" s="49"/>
      <c r="R1273" s="49"/>
      <c r="S1273" s="49"/>
      <c r="T1273" s="49"/>
      <c r="U1273" s="49"/>
      <c r="V1273" s="49"/>
      <c r="W1273" s="49"/>
    </row>
    <row r="1274" spans="1:23">
      <c r="A1274" s="49"/>
      <c r="B1274" s="49"/>
      <c r="C1274" s="49"/>
      <c r="D1274" s="49"/>
      <c r="E1274" s="49"/>
      <c r="F1274" s="55"/>
      <c r="G1274" s="55">
        <f>120002+84503+42853+43114+114161+89704+89704+158948+43452+42853+42853+162454+69032+89704+42853+90915+42853+86632+43188+42853+42853+110654+42853+51570+89557+86632</f>
        <v>1966750</v>
      </c>
      <c r="H1274" s="49"/>
      <c r="I1274" s="49"/>
      <c r="J1274" s="49"/>
      <c r="K1274" s="49"/>
      <c r="L1274" s="49"/>
      <c r="M1274" s="49"/>
      <c r="N1274" s="49"/>
      <c r="O1274" s="49"/>
      <c r="P1274" s="49"/>
      <c r="Q1274" s="49"/>
      <c r="R1274" s="49"/>
      <c r="S1274" s="49"/>
      <c r="T1274" s="49"/>
      <c r="U1274" s="49"/>
      <c r="V1274" s="49"/>
      <c r="W1274" s="49"/>
    </row>
    <row r="1275" spans="1:23">
      <c r="A1275" s="49"/>
      <c r="B1275" s="49"/>
      <c r="C1275" s="49"/>
      <c r="D1275" s="49"/>
      <c r="E1275" s="49"/>
      <c r="F1275" s="55"/>
      <c r="G1275" s="55">
        <f>376246+1456000</f>
        <v>1832246</v>
      </c>
      <c r="H1275" s="49"/>
      <c r="I1275" s="49"/>
      <c r="J1275" s="49"/>
      <c r="K1275" s="49"/>
      <c r="L1275" s="49"/>
      <c r="M1275" s="49"/>
      <c r="N1275" s="49"/>
      <c r="O1275" s="49"/>
      <c r="P1275" s="49"/>
      <c r="Q1275" s="49"/>
      <c r="R1275" s="49"/>
      <c r="S1275" s="49"/>
      <c r="T1275" s="49"/>
      <c r="U1275" s="49"/>
      <c r="V1275" s="49"/>
      <c r="W1275" s="49"/>
    </row>
    <row r="1276" spans="1:23">
      <c r="A1276" s="49"/>
      <c r="B1276" s="49"/>
      <c r="C1276" s="49"/>
      <c r="D1276" s="49"/>
      <c r="E1276" s="49"/>
      <c r="F1276" s="55"/>
      <c r="G1276" s="55">
        <f>89704+42853+69973+86632+89704+41422+54480+78469+44293+178365+89421+279708+234264+89581</f>
        <v>1468869</v>
      </c>
      <c r="H1276" s="49"/>
      <c r="I1276" s="49"/>
      <c r="J1276" s="49"/>
      <c r="K1276" s="49"/>
      <c r="L1276" s="49"/>
      <c r="M1276" s="49"/>
      <c r="N1276" s="49"/>
      <c r="O1276" s="49"/>
      <c r="P1276" s="49"/>
      <c r="Q1276" s="49"/>
      <c r="R1276" s="49"/>
      <c r="S1276" s="49"/>
      <c r="T1276" s="49"/>
      <c r="U1276" s="49"/>
      <c r="V1276" s="49"/>
      <c r="W1276" s="49"/>
    </row>
    <row r="1277" spans="1:23">
      <c r="A1277" s="49"/>
      <c r="B1277" s="49"/>
      <c r="C1277" s="49"/>
      <c r="D1277" s="49"/>
      <c r="E1277" s="49"/>
      <c r="F1277" s="55"/>
      <c r="G1277" s="55">
        <f>183174+89704+42853+89704+46841+69032+42853+69973+524926+43114+131826+42853+187373+89704+336098</f>
        <v>1990028</v>
      </c>
      <c r="H1277" s="49"/>
      <c r="I1277" s="49"/>
      <c r="J1277" s="49"/>
      <c r="K1277" s="49"/>
      <c r="L1277" s="49"/>
      <c r="M1277" s="49"/>
      <c r="N1277" s="49"/>
      <c r="O1277" s="49"/>
      <c r="P1277" s="49"/>
      <c r="Q1277" s="49"/>
      <c r="R1277" s="49"/>
      <c r="S1277" s="49"/>
      <c r="T1277" s="49"/>
      <c r="U1277" s="49"/>
      <c r="V1277" s="49"/>
      <c r="W1277" s="49"/>
    </row>
    <row r="1278" spans="1:23">
      <c r="A1278" s="49"/>
      <c r="B1278" s="49"/>
      <c r="C1278" s="49"/>
      <c r="D1278" s="49"/>
      <c r="E1278" s="49"/>
      <c r="F1278" s="55"/>
      <c r="G1278" s="55">
        <f>100396+43114+114161+26870+42853+42853+134909+42461+93902+42461+121857+114161+42853+43188+42853+42853+89704+43188+42853+42853+245948+41422+42853+114161+141754+248230+193683+89705</f>
        <v>2428099</v>
      </c>
      <c r="H1278" s="49"/>
      <c r="I1278" s="49"/>
      <c r="J1278" s="49"/>
      <c r="K1278" s="49"/>
      <c r="L1278" s="49"/>
      <c r="M1278" s="49"/>
      <c r="N1278" s="49"/>
      <c r="O1278" s="49"/>
      <c r="P1278" s="49"/>
      <c r="Q1278" s="49"/>
      <c r="R1278" s="49"/>
      <c r="S1278" s="49"/>
      <c r="T1278" s="49"/>
      <c r="U1278" s="49"/>
      <c r="V1278" s="49"/>
      <c r="W1278" s="49"/>
    </row>
    <row r="1279" spans="1:23">
      <c r="A1279" s="49"/>
      <c r="B1279" s="49"/>
      <c r="C1279" s="49"/>
      <c r="D1279" s="49"/>
      <c r="E1279" s="49"/>
      <c r="F1279" s="55"/>
      <c r="G1279" s="55">
        <f>114937+46546+89704+42853+42853+76654+42853+42853+119981</f>
        <v>619234</v>
      </c>
      <c r="H1279" s="49"/>
      <c r="I1279" s="49"/>
      <c r="J1279" s="49"/>
      <c r="K1279" s="49"/>
      <c r="L1279" s="49"/>
      <c r="M1279" s="49"/>
      <c r="N1279" s="49"/>
      <c r="O1279" s="49"/>
      <c r="P1279" s="49"/>
      <c r="Q1279" s="49"/>
      <c r="R1279" s="49"/>
      <c r="S1279" s="49"/>
      <c r="T1279" s="49"/>
      <c r="U1279" s="49"/>
      <c r="V1279" s="49"/>
      <c r="W1279" s="49"/>
    </row>
    <row r="1280" spans="1:23">
      <c r="A1280" s="49"/>
      <c r="B1280" s="49"/>
      <c r="C1280" s="49"/>
      <c r="D1280" s="49"/>
      <c r="E1280" s="49"/>
      <c r="F1280" s="55"/>
      <c r="G1280" s="55">
        <f>43114+42853+42853+134909+279707+134909+84203+42853+42853+114161+114161+94810+42853+79952+42853+134909+133558+34912+74203+89704+93902+43188</f>
        <v>1941420</v>
      </c>
      <c r="H1280" s="49"/>
      <c r="I1280" s="49"/>
      <c r="J1280" s="49"/>
      <c r="K1280" s="49"/>
      <c r="L1280" s="49"/>
      <c r="M1280" s="49"/>
      <c r="N1280" s="49"/>
      <c r="O1280" s="49"/>
      <c r="P1280" s="49"/>
      <c r="Q1280" s="49"/>
      <c r="R1280" s="49"/>
      <c r="S1280" s="49"/>
      <c r="T1280" s="49"/>
      <c r="U1280" s="49"/>
      <c r="V1280" s="49"/>
      <c r="W1280" s="49"/>
    </row>
    <row r="1281" spans="1:23">
      <c r="A1281" s="49"/>
      <c r="B1281" s="49"/>
      <c r="C1281" s="49"/>
      <c r="D1281" s="49"/>
      <c r="E1281" s="49"/>
      <c r="F1281" s="55"/>
      <c r="G1281" s="55">
        <f>100396+95342+43188+172823+112651+42853+135260+74203+232056+74203+89704+202902+89704+134909+89704+42853+42853+89704+42853+43114+42853+89704+89659+89704+93902+327976+139104+89704+89704+42853+146203+89704+114161</f>
        <v>3396506</v>
      </c>
      <c r="H1281" s="49"/>
      <c r="I1281" s="49"/>
      <c r="J1281" s="49"/>
      <c r="K1281" s="49"/>
      <c r="L1281" s="49"/>
      <c r="M1281" s="49"/>
      <c r="N1281" s="49"/>
      <c r="O1281" s="49"/>
      <c r="P1281" s="49"/>
      <c r="Q1281" s="49"/>
      <c r="R1281" s="49"/>
      <c r="S1281" s="49"/>
      <c r="T1281" s="49"/>
      <c r="U1281" s="49"/>
      <c r="V1281" s="49"/>
      <c r="W1281" s="49"/>
    </row>
    <row r="1282" spans="1:23">
      <c r="A1282" s="49"/>
      <c r="B1282" s="49"/>
      <c r="C1282" s="49"/>
      <c r="D1282" s="49"/>
      <c r="E1282" s="49"/>
      <c r="F1282" s="55"/>
      <c r="G1282" s="55">
        <f>43114+231443+110654+89704+163070+42853+52974+86632+122207+89704+73589+34912+43114+89704+89704+42853</f>
        <v>1406231</v>
      </c>
      <c r="H1282" s="49"/>
      <c r="I1282" s="49"/>
      <c r="J1282" s="49"/>
      <c r="K1282" s="49"/>
      <c r="L1282" s="49"/>
      <c r="M1282" s="49"/>
      <c r="N1282" s="49"/>
      <c r="O1282" s="49"/>
      <c r="P1282" s="49"/>
      <c r="Q1282" s="49"/>
      <c r="R1282" s="49"/>
      <c r="S1282" s="49"/>
      <c r="T1282" s="49"/>
      <c r="U1282" s="49"/>
      <c r="V1282" s="49"/>
      <c r="W1282" s="49"/>
    </row>
    <row r="1283" spans="1:23">
      <c r="A1283" s="49"/>
      <c r="B1283" s="49"/>
      <c r="C1283" s="49"/>
      <c r="D1283" s="49"/>
      <c r="E1283" s="49"/>
      <c r="F1283" s="55"/>
      <c r="G1283" s="55">
        <f>149551+42853+141754+89704+42853+34912+42853+93902+89704+43452+90201+44293+90915+42853+42853+42853+79349+114161+42500+42853+46841+54480+43114+35755+34912+186207+43114+42853+135289</f>
        <v>2026934</v>
      </c>
      <c r="H1283" s="49"/>
      <c r="I1283" s="49"/>
      <c r="J1283" s="49"/>
      <c r="K1283" s="49"/>
      <c r="L1283" s="49"/>
      <c r="M1283" s="49"/>
      <c r="N1283" s="49"/>
      <c r="O1283" s="49"/>
      <c r="P1283" s="49"/>
      <c r="Q1283" s="49"/>
      <c r="R1283" s="49"/>
      <c r="S1283" s="49"/>
      <c r="T1283" s="49"/>
      <c r="U1283" s="49"/>
      <c r="V1283" s="49"/>
      <c r="W1283" s="49"/>
    </row>
    <row r="1284" spans="1:23">
      <c r="A1284" s="49"/>
      <c r="B1284" s="49"/>
      <c r="C1284" s="49"/>
      <c r="D1284" s="49"/>
      <c r="E1284" s="49"/>
      <c r="F1284" s="55"/>
      <c r="G1284" s="55">
        <f>42853+34912+112651+114161+34912+43114+34912+54480+42853+34912+124905+114161+135965+86632+42853+100396+42853+42853+42853+45540+90409+42853+238304+86632+42853</f>
        <v>1829822</v>
      </c>
      <c r="H1284" s="49"/>
      <c r="I1284" s="49"/>
      <c r="J1284" s="49"/>
      <c r="K1284" s="49"/>
      <c r="L1284" s="49"/>
      <c r="M1284" s="49"/>
      <c r="N1284" s="49"/>
      <c r="O1284" s="49"/>
      <c r="P1284" s="49"/>
      <c r="Q1284" s="49"/>
      <c r="R1284" s="49"/>
      <c r="S1284" s="49"/>
      <c r="T1284" s="49"/>
      <c r="U1284" s="49"/>
      <c r="V1284" s="49"/>
      <c r="W1284" s="49"/>
    </row>
    <row r="1285" spans="1:23">
      <c r="A1285" s="49"/>
      <c r="B1285" s="49"/>
      <c r="C1285" s="49"/>
      <c r="D1285" s="49"/>
      <c r="E1285" s="49"/>
      <c r="F1285" s="55"/>
      <c r="G1285" s="55">
        <f>74203+34912+42853+34912+42853+34912+89704+43114+34912+114161+46841+34912+42853+46841+69838+42853+34912+81249+43452+42853+44293+42853+43041+42853+42853+141799+42853+141754+93902+89704+42853+89704</f>
        <v>1891602</v>
      </c>
      <c r="H1285" s="49"/>
      <c r="I1285" s="49"/>
      <c r="J1285" s="49"/>
      <c r="K1285" s="49"/>
      <c r="L1285" s="49"/>
      <c r="M1285" s="49"/>
      <c r="N1285" s="49"/>
      <c r="O1285" s="49"/>
      <c r="P1285" s="49"/>
      <c r="Q1285" s="49"/>
      <c r="R1285" s="49"/>
      <c r="S1285" s="49"/>
      <c r="T1285" s="49"/>
      <c r="U1285" s="49"/>
      <c r="V1285" s="49"/>
      <c r="W1285" s="49"/>
    </row>
    <row r="1286" spans="1:23">
      <c r="A1286" s="49"/>
      <c r="B1286" s="49"/>
      <c r="C1286" s="49"/>
      <c r="D1286" s="49"/>
      <c r="E1286" s="49"/>
      <c r="F1286" s="55"/>
      <c r="G1286" s="55">
        <f>34912+98099+43452+42853+89704+42853+34912+119505+74203+42853+34912+86632+42853+42780+134909</f>
        <v>965432</v>
      </c>
      <c r="H1286" s="49"/>
      <c r="I1286" s="49"/>
      <c r="J1286" s="49"/>
      <c r="K1286" s="49"/>
      <c r="L1286" s="49"/>
      <c r="M1286" s="49"/>
      <c r="N1286" s="49"/>
      <c r="O1286" s="49"/>
      <c r="P1286" s="49"/>
      <c r="Q1286" s="49"/>
      <c r="R1286" s="49"/>
      <c r="S1286" s="49"/>
      <c r="T1286" s="49"/>
      <c r="U1286" s="49"/>
      <c r="V1286" s="49"/>
      <c r="W1286" s="49"/>
    </row>
    <row r="1287" spans="1:23">
      <c r="A1287" s="49"/>
      <c r="B1287" s="49"/>
      <c r="C1287" s="49"/>
      <c r="D1287" s="49"/>
      <c r="E1287" s="49"/>
      <c r="F1287" s="55"/>
      <c r="G1287" s="55">
        <f>34912+42853+90201+42853+43114+69033+42853+74203+34912+42853+43114+46841+166263+43114+42853+43114+200986+81249+34912</f>
        <v>1220233</v>
      </c>
      <c r="H1287" s="49"/>
      <c r="I1287" s="49"/>
      <c r="J1287" s="49"/>
      <c r="K1287" s="49"/>
      <c r="L1287" s="49"/>
      <c r="M1287" s="49"/>
      <c r="N1287" s="49"/>
      <c r="O1287" s="49"/>
      <c r="P1287" s="49"/>
      <c r="Q1287" s="49"/>
      <c r="R1287" s="49"/>
      <c r="S1287" s="49"/>
      <c r="T1287" s="49"/>
      <c r="U1287" s="49"/>
      <c r="V1287" s="49"/>
      <c r="W1287" s="49"/>
    </row>
    <row r="1288" spans="1:23">
      <c r="A1288" s="49"/>
      <c r="B1288" s="49"/>
      <c r="C1288" s="49"/>
      <c r="D1288" s="49"/>
      <c r="E1288" s="49"/>
      <c r="F1288" s="55"/>
      <c r="G1288" s="55">
        <f>89704+114161+86632+93902+42853+42853+235897+42853+89704+46546+46841+79349+143302+34912+43452+134909+34912+42853+89311+42853+42853+45267+81249+34912+46841+34912+45267+34912+106908+976430</f>
        <v>3027350</v>
      </c>
      <c r="H1288" s="49"/>
      <c r="I1288" s="49"/>
      <c r="J1288" s="49"/>
      <c r="K1288" s="49"/>
      <c r="L1288" s="49"/>
      <c r="M1288" s="49"/>
      <c r="N1288" s="49"/>
      <c r="O1288" s="49"/>
      <c r="P1288" s="49"/>
      <c r="Q1288" s="49"/>
      <c r="R1288" s="49"/>
      <c r="S1288" s="49"/>
      <c r="T1288" s="49"/>
      <c r="U1288" s="49"/>
      <c r="V1288" s="49"/>
      <c r="W1288" s="49"/>
    </row>
    <row r="1289" spans="1:23">
      <c r="A1289" s="49"/>
      <c r="B1289" s="49"/>
      <c r="C1289" s="49"/>
      <c r="D1289" s="49"/>
      <c r="E1289" s="49"/>
      <c r="F1289" s="55"/>
      <c r="G1289" s="55">
        <f>131529+34912+137542+42853+114161+106906+43998+45620+34912+42853+204577+34912+46841+43114+34912+42853+34617+131300+43188</f>
        <v>1351600</v>
      </c>
      <c r="H1289" s="49"/>
      <c r="I1289" s="49"/>
      <c r="J1289" s="49"/>
      <c r="K1289" s="49"/>
      <c r="L1289" s="49"/>
      <c r="M1289" s="49"/>
      <c r="N1289" s="49"/>
      <c r="O1289" s="49"/>
      <c r="P1289" s="49"/>
      <c r="Q1289" s="49"/>
      <c r="R1289" s="49"/>
      <c r="S1289" s="49"/>
      <c r="T1289" s="49"/>
      <c r="U1289" s="49"/>
      <c r="V1289" s="49"/>
      <c r="W1289" s="49"/>
    </row>
    <row r="1290" spans="1:23">
      <c r="A1290" s="49"/>
      <c r="B1290" s="49"/>
      <c r="C1290" s="49"/>
      <c r="D1290" s="49"/>
      <c r="E1290" s="49"/>
      <c r="F1290" s="55"/>
      <c r="G1290" s="55">
        <f>42853+34912+122457+34912+45267+42853+80439+42853+42706+34912+33831+166264+79780</f>
        <v>804039</v>
      </c>
      <c r="H1290" s="49"/>
      <c r="I1290" s="49"/>
      <c r="J1290" s="49"/>
      <c r="K1290" s="49"/>
      <c r="L1290" s="49"/>
      <c r="M1290" s="49"/>
      <c r="N1290" s="49"/>
      <c r="O1290" s="49"/>
      <c r="P1290" s="49"/>
      <c r="Q1290" s="49"/>
      <c r="R1290" s="49"/>
      <c r="S1290" s="49"/>
      <c r="T1290" s="49"/>
      <c r="U1290" s="49"/>
      <c r="V1290" s="49"/>
      <c r="W1290" s="49"/>
    </row>
    <row r="1291" spans="1:23">
      <c r="A1291" s="49"/>
      <c r="B1291" s="49"/>
      <c r="C1291" s="49"/>
      <c r="D1291" s="49"/>
      <c r="E1291" s="49"/>
      <c r="F1291" s="55"/>
      <c r="G1291" s="55">
        <f>46149+42853+106371+34912+110654+42853+34912+89705+85078+89704+100396+43452+43188</f>
        <v>870227</v>
      </c>
      <c r="H1291" s="49"/>
      <c r="I1291" s="49"/>
      <c r="J1291" s="49"/>
      <c r="K1291" s="49"/>
      <c r="L1291" s="49"/>
      <c r="M1291" s="49"/>
      <c r="N1291" s="49"/>
      <c r="O1291" s="49"/>
      <c r="P1291" s="49"/>
      <c r="Q1291" s="49"/>
      <c r="R1291" s="49"/>
      <c r="S1291" s="49"/>
      <c r="T1291" s="49"/>
      <c r="U1291" s="49"/>
      <c r="V1291" s="49"/>
      <c r="W1291" s="49"/>
    </row>
    <row r="1292" spans="1:23">
      <c r="A1292" s="49"/>
      <c r="B1292" s="49"/>
      <c r="C1292" s="49"/>
      <c r="D1292" s="49"/>
      <c r="E1292" s="49"/>
      <c r="F1292" s="55"/>
      <c r="G1292" s="55">
        <f>130428+187373+45267+34912+34912+42853+34912+42893+42853+81249+42853+34764+43452+141754+42853+162233</f>
        <v>1145561</v>
      </c>
      <c r="H1292" s="49"/>
      <c r="I1292" s="49"/>
      <c r="J1292" s="49"/>
      <c r="K1292" s="49"/>
      <c r="L1292" s="49"/>
      <c r="M1292" s="49"/>
      <c r="N1292" s="49"/>
      <c r="O1292" s="49"/>
      <c r="P1292" s="49"/>
      <c r="Q1292" s="49"/>
      <c r="R1292" s="49"/>
      <c r="S1292" s="49"/>
      <c r="T1292" s="49"/>
      <c r="U1292" s="49"/>
      <c r="V1292" s="49"/>
      <c r="W1292" s="49"/>
    </row>
    <row r="1293" spans="1:23">
      <c r="A1293" s="49"/>
      <c r="B1293" s="49"/>
      <c r="C1293" s="49"/>
      <c r="D1293" s="49"/>
      <c r="E1293" s="49"/>
      <c r="F1293" s="55"/>
      <c r="G1293" s="55">
        <f>134099+81249+42853+42853+89704+42853+70910+42853+89704+43114+172823+34912+42853+89695+69033+42853+154852+89704+177018</f>
        <v>1553935</v>
      </c>
      <c r="H1293" s="49"/>
      <c r="I1293" s="49"/>
      <c r="J1293" s="49"/>
      <c r="K1293" s="49"/>
      <c r="L1293" s="49"/>
      <c r="M1293" s="49"/>
      <c r="N1293" s="49"/>
      <c r="O1293" s="49"/>
      <c r="P1293" s="49"/>
      <c r="Q1293" s="49"/>
      <c r="R1293" s="49"/>
      <c r="S1293" s="49"/>
      <c r="T1293" s="49"/>
      <c r="U1293" s="49"/>
      <c r="V1293" s="49"/>
      <c r="W1293" s="49"/>
    </row>
    <row r="1294" spans="1:23">
      <c r="A1294" s="49"/>
      <c r="B1294" s="49"/>
      <c r="C1294" s="49"/>
      <c r="D1294" s="49"/>
      <c r="E1294" s="49"/>
      <c r="F1294" s="55"/>
      <c r="G1294" s="55">
        <f>130009+42853+89695+69033+42853+34912+46841+34912+42853+42853+34944+42853+43114+42853+42853+114014+47492+81249+134909</f>
        <v>1161095</v>
      </c>
      <c r="H1294" s="49"/>
      <c r="I1294" s="49"/>
      <c r="J1294" s="49"/>
      <c r="K1294" s="49"/>
      <c r="L1294" s="49"/>
      <c r="M1294" s="49"/>
      <c r="N1294" s="49"/>
      <c r="O1294" s="49"/>
      <c r="P1294" s="49"/>
      <c r="Q1294" s="49"/>
      <c r="R1294" s="49"/>
      <c r="S1294" s="49"/>
      <c r="T1294" s="49"/>
      <c r="U1294" s="49"/>
      <c r="V1294" s="49"/>
      <c r="W1294" s="49"/>
    </row>
    <row r="1295" spans="1:23">
      <c r="A1295" s="49"/>
      <c r="B1295" s="49"/>
      <c r="C1295" s="49"/>
      <c r="D1295" s="49"/>
      <c r="E1295" s="49"/>
      <c r="F1295" s="55"/>
      <c r="G1295" s="55">
        <f>89704+42853+42853+177040+42853+43114+43114+81249+235194+34912+182634+81249+292097+42853+89704+42853+42240+42853+69760+35755+43188+34912+42853+114161+89704+42853+42853</f>
        <v>2165408</v>
      </c>
      <c r="H1295" s="49"/>
      <c r="I1295" s="49"/>
      <c r="J1295" s="49"/>
      <c r="K1295" s="49"/>
      <c r="L1295" s="49"/>
      <c r="M1295" s="49"/>
      <c r="N1295" s="49"/>
      <c r="O1295" s="49"/>
      <c r="P1295" s="49"/>
      <c r="Q1295" s="49"/>
      <c r="R1295" s="49"/>
      <c r="S1295" s="49"/>
      <c r="T1295" s="49"/>
      <c r="U1295" s="49"/>
      <c r="V1295" s="49"/>
      <c r="W1295" s="49"/>
    </row>
    <row r="1296" spans="1:23">
      <c r="A1296" s="49"/>
      <c r="B1296" s="49"/>
      <c r="C1296" s="49"/>
      <c r="D1296" s="49"/>
      <c r="E1296" s="49"/>
      <c r="F1296" s="55"/>
      <c r="G1296" s="55">
        <f>43188+135636+43114+41748+139104+43114+43188+134909+43452+42853+43114+90914+34912+34912+114161+34912+42853+114161+43114+34912+114161+93151+45267+116097+46841+42853+89954+112651+81249</f>
        <v>2040495</v>
      </c>
      <c r="H1296" s="49"/>
      <c r="I1296" s="49"/>
      <c r="J1296" s="49"/>
      <c r="K1296" s="49"/>
      <c r="L1296" s="49"/>
      <c r="M1296" s="49"/>
      <c r="N1296" s="49"/>
      <c r="O1296" s="49"/>
      <c r="P1296" s="49"/>
      <c r="Q1296" s="49"/>
      <c r="R1296" s="49"/>
      <c r="S1296" s="49"/>
      <c r="T1296" s="49"/>
      <c r="U1296" s="49"/>
      <c r="V1296" s="49"/>
      <c r="W1296" s="49"/>
    </row>
    <row r="1297" spans="1:23">
      <c r="A1297" s="49"/>
      <c r="B1297" s="49"/>
      <c r="C1297" s="49"/>
      <c r="D1297" s="49"/>
      <c r="E1297" s="49"/>
      <c r="F1297" s="55"/>
      <c r="G1297" s="55">
        <f>42853+90914+81249+95168+86632+81249+81249+47492+85078+183174+162454+42853+42559+42780+42853</f>
        <v>1208557</v>
      </c>
      <c r="H1297" s="49"/>
      <c r="I1297" s="49"/>
      <c r="J1297" s="49"/>
      <c r="K1297" s="49"/>
      <c r="L1297" s="49"/>
      <c r="M1297" s="49"/>
      <c r="N1297" s="49"/>
      <c r="O1297" s="49"/>
      <c r="P1297" s="49"/>
      <c r="Q1297" s="49"/>
      <c r="R1297" s="49"/>
      <c r="S1297" s="49"/>
      <c r="T1297" s="49"/>
      <c r="U1297" s="49"/>
      <c r="V1297" s="49"/>
      <c r="W1297" s="49"/>
    </row>
    <row r="1298" spans="1:23">
      <c r="A1298" s="49"/>
      <c r="B1298" s="49"/>
      <c r="C1298" s="49"/>
      <c r="D1298" s="49"/>
      <c r="E1298" s="49"/>
      <c r="F1298" s="55"/>
      <c r="G1298" s="55">
        <f>46841+42853+47492+43114+46841+69838+42853+43114+42559+85078</f>
        <v>510583</v>
      </c>
      <c r="H1298" s="49"/>
      <c r="I1298" s="49"/>
      <c r="J1298" s="49"/>
      <c r="K1298" s="49"/>
      <c r="L1298" s="49"/>
      <c r="M1298" s="49"/>
      <c r="N1298" s="49"/>
      <c r="O1298" s="49"/>
      <c r="P1298" s="49"/>
      <c r="Q1298" s="49"/>
      <c r="R1298" s="49"/>
      <c r="S1298" s="49"/>
      <c r="T1298" s="49"/>
      <c r="U1298" s="49"/>
      <c r="V1298" s="49"/>
      <c r="W1298" s="49"/>
    </row>
    <row r="1299" spans="1:23">
      <c r="A1299" s="49"/>
      <c r="B1299" s="49"/>
      <c r="C1299" s="49"/>
      <c r="D1299" s="49"/>
      <c r="E1299" s="49"/>
      <c r="F1299" s="55"/>
      <c r="G1299" s="55">
        <f>46841+42853+47492+43114+34912+46841+69838+42853+43114+42559+331816+85078+34912+34912+34912+231443+34912+34912+42853+106907+134909+42853+45620+69033+34912+195540+49464</f>
        <v>2005405</v>
      </c>
      <c r="H1299" s="49"/>
      <c r="I1299" s="49"/>
      <c r="J1299" s="49"/>
      <c r="K1299" s="49"/>
      <c r="L1299" s="49"/>
      <c r="M1299" s="49"/>
      <c r="N1299" s="49"/>
      <c r="O1299" s="49"/>
      <c r="P1299" s="49"/>
      <c r="Q1299" s="49"/>
      <c r="R1299" s="49"/>
      <c r="S1299" s="49"/>
      <c r="T1299" s="49"/>
      <c r="U1299" s="49"/>
      <c r="V1299" s="49"/>
      <c r="W1299" s="49"/>
    </row>
    <row r="1300" spans="1:23">
      <c r="A1300" s="49"/>
      <c r="B1300" s="49"/>
      <c r="C1300" s="49"/>
      <c r="D1300" s="49"/>
      <c r="E1300" s="49"/>
      <c r="F1300" s="55"/>
      <c r="G1300" s="55">
        <f>34912+34912+46841+62101+42853+34912+34912+42853+81249+89704+34912+42853+191568+86632+81249+69033+424513+42559+93902+42853+42853+42559+42853</f>
        <v>1743588</v>
      </c>
      <c r="H1300" s="49"/>
      <c r="I1300" s="49"/>
      <c r="J1300" s="49"/>
      <c r="K1300" s="49"/>
      <c r="L1300" s="49"/>
      <c r="M1300" s="49"/>
      <c r="N1300" s="49"/>
      <c r="O1300" s="49"/>
      <c r="P1300" s="49"/>
      <c r="Q1300" s="49"/>
      <c r="R1300" s="49"/>
      <c r="S1300" s="49"/>
      <c r="T1300" s="49"/>
      <c r="U1300" s="49"/>
      <c r="V1300" s="49"/>
      <c r="W1300" s="49"/>
    </row>
    <row r="1301" spans="1:23">
      <c r="A1301" s="49"/>
      <c r="B1301" s="49"/>
      <c r="C1301" s="49"/>
      <c r="D1301" s="49"/>
      <c r="E1301" s="49"/>
      <c r="F1301" s="55"/>
      <c r="G1301" s="55">
        <f>47492+42853+43114+86632+81249+34912+81249+42853+47492+212631+183174+42853+42853+135393+114161+100396+81249</f>
        <v>1420556</v>
      </c>
      <c r="H1301" s="49"/>
      <c r="I1301" s="49"/>
      <c r="J1301" s="49"/>
      <c r="K1301" s="49"/>
      <c r="L1301" s="49"/>
      <c r="M1301" s="49"/>
      <c r="N1301" s="49"/>
      <c r="O1301" s="49"/>
      <c r="P1301" s="49"/>
      <c r="Q1301" s="49"/>
      <c r="R1301" s="49"/>
      <c r="S1301" s="49"/>
      <c r="T1301" s="49"/>
      <c r="U1301" s="49"/>
      <c r="V1301" s="49"/>
      <c r="W1301" s="49"/>
    </row>
    <row r="1302" spans="1:23">
      <c r="A1302" s="49"/>
      <c r="B1302" s="49"/>
      <c r="C1302" s="49"/>
      <c r="D1302" s="49"/>
      <c r="E1302" s="49"/>
      <c r="F1302" s="55"/>
      <c r="G1302" s="55">
        <f>54480+42853+69760+90201+42853+162454+43452+93902+42853+43041+43188+42853+238706+46841+42853+42853+42853+43452+89704+45267+54480+220181+572295+42853+106908+42853+42853+42853+42853+134909+425328+34912+135510+123373+43452+100395+46841+42853+42853</f>
        <v>3662974</v>
      </c>
      <c r="H1302" s="49"/>
      <c r="I1302" s="49"/>
      <c r="J1302" s="49"/>
      <c r="K1302" s="49"/>
      <c r="L1302" s="49"/>
      <c r="M1302" s="49"/>
      <c r="N1302" s="49"/>
      <c r="O1302" s="49"/>
      <c r="P1302" s="49"/>
      <c r="Q1302" s="49"/>
      <c r="R1302" s="49"/>
      <c r="S1302" s="49"/>
      <c r="T1302" s="49"/>
      <c r="U1302" s="49"/>
      <c r="V1302" s="49"/>
      <c r="W1302" s="49"/>
    </row>
    <row r="1303" spans="1:23">
      <c r="A1303" s="49"/>
      <c r="B1303" s="49"/>
      <c r="C1303" s="49"/>
      <c r="D1303" s="49"/>
      <c r="E1303" s="49"/>
      <c r="F1303" s="55"/>
      <c r="G1303" s="55">
        <f>625140+89705+46841+106908+34912+89704+89954+34912+114196+91366+34912+90755+90755+43352+34912</f>
        <v>1618324</v>
      </c>
      <c r="H1303" s="49"/>
      <c r="I1303" s="49"/>
      <c r="J1303" s="49"/>
      <c r="K1303" s="49"/>
      <c r="L1303" s="49"/>
      <c r="M1303" s="49"/>
      <c r="N1303" s="49"/>
      <c r="O1303" s="49"/>
      <c r="P1303" s="49"/>
      <c r="Q1303" s="49"/>
      <c r="R1303" s="49"/>
      <c r="S1303" s="49"/>
      <c r="T1303" s="49"/>
      <c r="U1303" s="49"/>
      <c r="V1303" s="49"/>
      <c r="W1303" s="49"/>
    </row>
    <row r="1304" spans="1:23">
      <c r="A1304" s="49"/>
      <c r="B1304" s="49"/>
      <c r="C1304" s="49"/>
      <c r="D1304" s="49"/>
      <c r="E1304" s="49"/>
      <c r="F1304" s="55"/>
      <c r="G1304" s="55">
        <f>43957+234063+90755+43352+171650+89945+43352+90755+90755+36827+86632+34912+133558+79874+91005+271843+105528+112651+85078+34912+171650+34912</f>
        <v>2177966</v>
      </c>
      <c r="H1304" s="49"/>
      <c r="I1304" s="49"/>
      <c r="J1304" s="49"/>
      <c r="K1304" s="49"/>
      <c r="L1304" s="49"/>
      <c r="M1304" s="49"/>
      <c r="N1304" s="49"/>
      <c r="O1304" s="49"/>
      <c r="P1304" s="49"/>
      <c r="Q1304" s="49"/>
      <c r="R1304" s="49"/>
      <c r="S1304" s="49"/>
      <c r="T1304" s="49"/>
      <c r="U1304" s="49"/>
      <c r="V1304" s="49"/>
      <c r="W1304" s="49"/>
    </row>
    <row r="1305" spans="1:23">
      <c r="A1305" s="49"/>
      <c r="B1305" s="49"/>
      <c r="C1305" s="49"/>
      <c r="D1305" s="49"/>
      <c r="E1305" s="49"/>
      <c r="F1305" s="55"/>
      <c r="G1305" s="55">
        <f>43352+141754+43352+84686+90755+81249+86632+43352+90755+43352+43957+90755</f>
        <v>883951</v>
      </c>
      <c r="H1305" s="49"/>
      <c r="I1305" s="49"/>
      <c r="J1305" s="49"/>
      <c r="K1305" s="49"/>
      <c r="L1305" s="49"/>
      <c r="M1305" s="49"/>
      <c r="N1305" s="49"/>
      <c r="O1305" s="49"/>
      <c r="P1305" s="49"/>
      <c r="Q1305" s="49"/>
      <c r="R1305" s="49"/>
      <c r="S1305" s="49"/>
      <c r="T1305" s="49"/>
      <c r="U1305" s="49"/>
      <c r="V1305" s="49"/>
      <c r="W1305" s="49"/>
    </row>
    <row r="1306" spans="1:23">
      <c r="A1306" s="49"/>
      <c r="B1306" s="49"/>
      <c r="C1306" s="49"/>
      <c r="D1306" s="49"/>
      <c r="E1306" s="49"/>
      <c r="F1306" s="55"/>
      <c r="G1306" s="55">
        <f>-37700-39869-37700-106192-40000-395936-35700-168210-28700-44869-28700-44869-16500-102720-16500-49500-22200-49869-35700-43599-37300-121500-16500-59869-40000-628807</f>
        <v>-2249009</v>
      </c>
      <c r="H1306" s="49"/>
      <c r="I1306" s="49"/>
      <c r="J1306" s="49"/>
      <c r="K1306" s="49"/>
      <c r="L1306" s="49"/>
      <c r="M1306" s="49"/>
      <c r="N1306" s="49"/>
      <c r="O1306" s="49"/>
      <c r="P1306" s="49"/>
      <c r="Q1306" s="49"/>
      <c r="R1306" s="49"/>
      <c r="S1306" s="49"/>
      <c r="T1306" s="49"/>
      <c r="U1306" s="49"/>
      <c r="V1306" s="49"/>
      <c r="W1306" s="49"/>
    </row>
    <row r="1307" spans="1:23">
      <c r="A1307" s="49"/>
      <c r="B1307" s="49"/>
      <c r="C1307" s="49"/>
      <c r="D1307" s="49"/>
      <c r="E1307" s="49"/>
      <c r="F1307" s="55"/>
      <c r="G1307" s="55">
        <f>44849+44609+46609+51317+39730+51317+80286+81699+157242+45094+51862</f>
        <v>694614</v>
      </c>
      <c r="H1307" s="49"/>
      <c r="I1307" s="49"/>
      <c r="J1307" s="49"/>
      <c r="K1307" s="49"/>
      <c r="L1307" s="49"/>
      <c r="M1307" s="49"/>
      <c r="N1307" s="49"/>
      <c r="O1307" s="49"/>
      <c r="P1307" s="49"/>
      <c r="Q1307" s="49"/>
      <c r="R1307" s="49"/>
      <c r="S1307" s="49"/>
      <c r="T1307" s="49"/>
      <c r="U1307" s="49"/>
      <c r="V1307" s="49"/>
      <c r="W1307" s="49"/>
    </row>
    <row r="1308" spans="1:23">
      <c r="A1308" s="73">
        <v>46113</v>
      </c>
      <c r="B1308" s="49"/>
      <c r="C1308" s="49"/>
      <c r="D1308" s="49"/>
      <c r="E1308" s="49"/>
      <c r="F1308" s="55"/>
      <c r="G1308" s="55">
        <f>95857+43352+43352+90755+34912+34912+223806+430499+106908+114161+90755+43352+136480+43352+43352+45791+254342+43352+85078+43352+43188+128903</f>
        <v>2219811</v>
      </c>
      <c r="H1308" s="49"/>
      <c r="I1308" s="49"/>
      <c r="J1308" s="49"/>
      <c r="K1308" s="49"/>
      <c r="L1308" s="49"/>
      <c r="M1308" s="49"/>
      <c r="N1308" s="49"/>
      <c r="O1308" s="49"/>
      <c r="P1308" s="49"/>
      <c r="Q1308" s="49"/>
      <c r="R1308" s="49"/>
      <c r="S1308" s="49"/>
      <c r="T1308" s="49"/>
      <c r="U1308" s="49"/>
      <c r="V1308" s="49"/>
      <c r="W1308" s="49"/>
    </row>
    <row r="1309" spans="1:23">
      <c r="A1309" s="49"/>
      <c r="B1309" s="49"/>
      <c r="C1309" s="49"/>
      <c r="D1309" s="49"/>
      <c r="E1309" s="49"/>
      <c r="F1309" s="55"/>
      <c r="G1309" s="55">
        <f>202276+185411+122605+52425+90755+44293+34912+126977+34912+254762+95342+43352+43352+86632+90755+42738+154958+43057+34617+43352+34912+94809+34912+430889+185272+175770+185306+44293+43352</f>
        <v>3056998</v>
      </c>
      <c r="H1309" s="49"/>
      <c r="I1309" s="49"/>
      <c r="J1309" s="49"/>
      <c r="K1309" s="49"/>
      <c r="L1309" s="49"/>
      <c r="M1309" s="49"/>
      <c r="N1309" s="49"/>
      <c r="O1309" s="49"/>
      <c r="P1309" s="49"/>
      <c r="Q1309" s="49"/>
      <c r="R1309" s="49"/>
      <c r="S1309" s="49"/>
      <c r="T1309" s="49"/>
      <c r="U1309" s="49"/>
      <c r="V1309" s="49"/>
      <c r="W1309" s="49"/>
    </row>
    <row r="1310" spans="1:23">
      <c r="A1310" s="49"/>
      <c r="B1310" s="49"/>
      <c r="C1310" s="49"/>
      <c r="D1310" s="49"/>
      <c r="E1310" s="49"/>
      <c r="F1310" s="55"/>
      <c r="G1310" s="55">
        <f>175007+76654+34101+34617+110654+114161+43352+34298+114161+80716+90755+106908+98864+43957+43352+43352+140541+43615+91256+106908+43352+282857+114161+54480+45791+91256</f>
        <v>2259126</v>
      </c>
      <c r="H1310" s="49"/>
      <c r="I1310" s="49"/>
      <c r="J1310" s="49"/>
      <c r="K1310" s="49"/>
      <c r="L1310" s="49"/>
      <c r="M1310" s="49"/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</row>
    <row r="1311" spans="1:23">
      <c r="A1311" s="49"/>
      <c r="B1311" s="49"/>
      <c r="C1311" s="49"/>
      <c r="D1311" s="49"/>
      <c r="E1311" s="49"/>
      <c r="F1311" s="55"/>
      <c r="G1311" s="55">
        <f>90755+46841+81249+90755+136480+43352+185272+90755+43615+43352+43352+34912+126977+43352+81249</f>
        <v>1182268</v>
      </c>
      <c r="H1311" s="49"/>
      <c r="I1311" s="49"/>
      <c r="J1311" s="49"/>
      <c r="K1311" s="49"/>
      <c r="L1311" s="49"/>
      <c r="M1311" s="49"/>
      <c r="N1311" s="49"/>
      <c r="O1311" s="49"/>
      <c r="P1311" s="49"/>
      <c r="Q1311" s="49"/>
      <c r="R1311" s="49"/>
      <c r="S1311" s="49"/>
      <c r="T1311" s="49"/>
      <c r="U1311" s="49"/>
      <c r="V1311" s="49"/>
      <c r="W1311" s="49"/>
    </row>
    <row r="1312" spans="1:23">
      <c r="A1312" s="49"/>
      <c r="B1312" s="49"/>
      <c r="C1312" s="49"/>
      <c r="D1312" s="49"/>
      <c r="E1312" s="49"/>
      <c r="F1312" s="55"/>
      <c r="G1312" s="55">
        <f>43352+86632+43352+81249+43352+43352+533704+36827+45791+90755+34912+43615+69838+43352+43957+69466+81249+41682+43352+43352+45791+43352+43615+43352+43352+81249+81249+143373+43352+43352+81249+43352+43564+43352+132069+43188+69033+90755+81249</f>
        <v>2802989</v>
      </c>
      <c r="H1312" s="49"/>
      <c r="I1312" s="49"/>
      <c r="J1312" s="49"/>
      <c r="K1312" s="49"/>
      <c r="L1312" s="49"/>
      <c r="M1312" s="49"/>
      <c r="N1312" s="49"/>
      <c r="O1312" s="49"/>
      <c r="P1312" s="49"/>
      <c r="Q1312" s="49"/>
      <c r="R1312" s="49"/>
      <c r="S1312" s="49"/>
      <c r="T1312" s="49"/>
      <c r="U1312" s="49"/>
      <c r="V1312" s="49"/>
      <c r="W1312" s="49"/>
    </row>
    <row r="1313" spans="1:23">
      <c r="A1313" s="49"/>
      <c r="B1313" s="49"/>
      <c r="C1313" s="49"/>
      <c r="D1313" s="49"/>
      <c r="E1313" s="49"/>
      <c r="F1313" s="55"/>
      <c r="G1313" s="55">
        <f>43352+81249+43352+43057+85078+43352+34912+43352+157839+90511+85078</f>
        <v>751132</v>
      </c>
      <c r="H1313" s="49"/>
      <c r="I1313" s="49"/>
      <c r="J1313" s="49"/>
      <c r="K1313" s="49"/>
      <c r="L1313" s="49"/>
      <c r="M1313" s="49"/>
      <c r="N1313" s="49"/>
      <c r="O1313" s="49"/>
      <c r="P1313" s="49"/>
      <c r="Q1313" s="49"/>
      <c r="R1313" s="49"/>
      <c r="S1313" s="49"/>
      <c r="T1313" s="49"/>
      <c r="U1313" s="49"/>
      <c r="V1313" s="49"/>
      <c r="W1313" s="49"/>
    </row>
    <row r="1314" spans="1:23">
      <c r="A1314" s="49"/>
      <c r="B1314" s="49"/>
      <c r="C1314" s="49"/>
      <c r="D1314" s="49"/>
      <c r="E1314" s="49"/>
      <c r="F1314" s="55"/>
      <c r="G1314" s="55">
        <f>89410+81249+76152+43352+110654+106907+287280+90755+43352+43957+34912+43352+45791+45791+43352+94809+90755+43352+129458+43222+43352+90755+42959+185272+42959+98864</f>
        <v>2092023</v>
      </c>
      <c r="H1314" s="49"/>
      <c r="I1314" s="49"/>
      <c r="J1314" s="49"/>
      <c r="K1314" s="49"/>
      <c r="L1314" s="49"/>
      <c r="M1314" s="49"/>
      <c r="N1314" s="49"/>
      <c r="O1314" s="49"/>
      <c r="P1314" s="49"/>
      <c r="Q1314" s="49"/>
      <c r="R1314" s="49"/>
      <c r="S1314" s="49"/>
      <c r="T1314" s="49"/>
      <c r="U1314" s="49"/>
      <c r="V1314" s="49"/>
      <c r="W1314" s="49"/>
    </row>
    <row r="1315" spans="1:23">
      <c r="A1315" s="49"/>
      <c r="B1315" s="49"/>
      <c r="C1315" s="49"/>
      <c r="D1315" s="49"/>
      <c r="E1315" s="49"/>
      <c r="F1315" s="55"/>
      <c r="G1315" s="55">
        <f>43352+157550+90755+43615+90755+43352+47203+136682+90755+68664+91005+212305+34764+81249+43352+136480+46626+90755+144010+43352+45791+95497+290385+90755+118778</f>
        <v>2377787</v>
      </c>
      <c r="H1315" s="49"/>
      <c r="I1315" s="49"/>
      <c r="J1315" s="49"/>
      <c r="K1315" s="49"/>
      <c r="L1315" s="49"/>
      <c r="M1315" s="49"/>
      <c r="N1315" s="49"/>
      <c r="O1315" s="49"/>
      <c r="P1315" s="49"/>
      <c r="Q1315" s="49"/>
      <c r="R1315" s="49"/>
      <c r="S1315" s="49"/>
      <c r="T1315" s="49"/>
      <c r="U1315" s="49"/>
      <c r="V1315" s="49"/>
      <c r="W1315" s="49"/>
    </row>
    <row r="1316" spans="1:23">
      <c r="A1316" s="49"/>
      <c r="B1316" s="49"/>
      <c r="C1316" s="49"/>
      <c r="D1316" s="49"/>
      <c r="E1316" s="49"/>
      <c r="F1316" s="55"/>
      <c r="G1316" s="55">
        <f>43957+34912+43352+132351+43352+42468+91617+136480+91979+43352+91256+173157+34912+69033+106908+86632+43352+34101+81249+43957+43615+43352+69033+43352+100396+34912+136456+98864</f>
        <v>2038357</v>
      </c>
      <c r="H1316" s="49"/>
      <c r="I1316" s="49"/>
      <c r="J1316" s="49"/>
      <c r="K1316" s="49"/>
      <c r="L1316" s="49"/>
      <c r="M1316" s="49"/>
      <c r="N1316" s="49"/>
      <c r="O1316" s="49"/>
      <c r="P1316" s="49"/>
      <c r="Q1316" s="49"/>
      <c r="R1316" s="49"/>
      <c r="S1316" s="49"/>
      <c r="T1316" s="49"/>
      <c r="U1316" s="49"/>
      <c r="V1316" s="49"/>
      <c r="W1316" s="49"/>
    </row>
    <row r="1317" spans="1:23">
      <c r="A1317" s="49"/>
      <c r="B1317" s="49"/>
      <c r="C1317" s="49"/>
      <c r="D1317" s="49"/>
      <c r="E1317" s="49"/>
      <c r="F1317" s="55"/>
      <c r="G1317" s="55">
        <f>90755+43957+43957+43352+42402+177040+69032+34912+108055+211783+43352+43352+43352+90755</f>
        <v>1086056</v>
      </c>
      <c r="H1317" s="49"/>
      <c r="I1317" s="49"/>
      <c r="J1317" s="49"/>
      <c r="K1317" s="49"/>
      <c r="L1317" s="49"/>
      <c r="M1317" s="49"/>
      <c r="N1317" s="49"/>
      <c r="O1317" s="49"/>
      <c r="P1317" s="49"/>
      <c r="Q1317" s="49"/>
      <c r="R1317" s="49"/>
      <c r="S1317" s="49"/>
      <c r="T1317" s="49"/>
      <c r="U1317" s="49"/>
      <c r="V1317" s="49"/>
      <c r="W1317" s="49"/>
    </row>
    <row r="1318" spans="1:23">
      <c r="A1318" s="49"/>
      <c r="B1318" s="49"/>
      <c r="C1318" s="49"/>
      <c r="D1318" s="49"/>
      <c r="E1318" s="49"/>
      <c r="F1318" s="55"/>
      <c r="G1318" s="55">
        <f>47203+185411+91366+122986+43352+42566+90755+106908+47203+69033+110654+234063+133558+43352+166263+86632+86632+43615+614894</f>
        <v>2366446</v>
      </c>
      <c r="H1318" s="49"/>
      <c r="I1318" s="49"/>
      <c r="J1318" s="49"/>
      <c r="K1318" s="49"/>
      <c r="L1318" s="49"/>
      <c r="M1318" s="49"/>
      <c r="N1318" s="49"/>
      <c r="O1318" s="49"/>
      <c r="P1318" s="49"/>
      <c r="Q1318" s="49"/>
      <c r="R1318" s="49"/>
      <c r="S1318" s="49"/>
      <c r="T1318" s="49"/>
      <c r="U1318" s="49"/>
      <c r="V1318" s="49"/>
      <c r="W1318" s="49"/>
    </row>
    <row r="1319" spans="1:23">
      <c r="A1319" s="49"/>
      <c r="B1319" s="49"/>
      <c r="C1319" s="49"/>
      <c r="D1319" s="49"/>
      <c r="E1319" s="49"/>
      <c r="F1319" s="55"/>
      <c r="G1319" s="55">
        <f>69795+34912+43352+90755+90755+90755+69033+43352+43352+34912+43352+355435+47203+34912+43352+81249+90755+69089+43352+86632+34912+106908</f>
        <v>1648124</v>
      </c>
      <c r="H1319" s="49"/>
      <c r="I1319" s="49"/>
      <c r="J1319" s="49"/>
      <c r="K1319" s="49"/>
      <c r="L1319" s="49"/>
      <c r="M1319" s="49"/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</row>
    <row r="1320" spans="1:23">
      <c r="A1320" s="49"/>
      <c r="B1320" s="49"/>
      <c r="C1320" s="49"/>
      <c r="D1320" s="49"/>
      <c r="E1320" s="49"/>
      <c r="F1320" s="55"/>
      <c r="G1320" s="55">
        <f>1250000</f>
        <v>1250000</v>
      </c>
      <c r="H1320" s="49"/>
      <c r="I1320" s="49"/>
      <c r="J1320" s="49"/>
      <c r="K1320" s="49"/>
      <c r="L1320" s="49"/>
      <c r="M1320" s="49"/>
      <c r="N1320" s="49"/>
      <c r="O1320" s="49"/>
      <c r="P1320" s="49"/>
      <c r="Q1320" s="49"/>
      <c r="R1320" s="49"/>
      <c r="S1320" s="49"/>
      <c r="T1320" s="49"/>
      <c r="U1320" s="49"/>
      <c r="V1320" s="49"/>
      <c r="W1320" s="49"/>
    </row>
    <row r="1321" spans="1:23">
      <c r="A1321" s="49"/>
      <c r="B1321" s="49"/>
      <c r="C1321" s="49"/>
      <c r="D1321" s="49"/>
      <c r="E1321" s="49"/>
      <c r="F1321" s="55"/>
      <c r="G1321" s="55">
        <f>87376+81249+112295+90755+43352+42910+69973+43352+81249+110654+185272+34912</f>
        <v>983349</v>
      </c>
      <c r="H1321" s="49"/>
      <c r="I1321" s="49"/>
      <c r="J1321" s="49"/>
      <c r="K1321" s="49"/>
      <c r="L1321" s="49"/>
      <c r="M1321" s="49"/>
      <c r="N1321" s="49"/>
      <c r="O1321" s="49"/>
      <c r="P1321" s="49"/>
      <c r="Q1321" s="49"/>
      <c r="R1321" s="49"/>
      <c r="S1321" s="49"/>
      <c r="T1321" s="49"/>
      <c r="U1321" s="49"/>
      <c r="V1321" s="49"/>
      <c r="W1321" s="49"/>
    </row>
    <row r="1322" spans="1:23">
      <c r="A1322" s="49"/>
      <c r="B1322" s="49"/>
      <c r="C1322" s="49"/>
      <c r="D1322" s="49"/>
      <c r="E1322" s="49"/>
      <c r="F1322" s="55"/>
      <c r="G1322" s="55">
        <f>94583+43957+43352+34912+43352+136480+166071+43352+81249+43352+81249+136480+34912+43352+33060+34126+81249+162978+166263+90755+90755+43352+81249+43352+43352</f>
        <v>1897144</v>
      </c>
      <c r="H1322" s="49"/>
      <c r="I1322" s="49"/>
      <c r="J1322" s="49"/>
      <c r="K1322" s="49"/>
      <c r="L1322" s="49"/>
      <c r="M1322" s="49"/>
      <c r="N1322" s="49"/>
      <c r="O1322" s="49"/>
      <c r="P1322" s="49"/>
      <c r="Q1322" s="49"/>
      <c r="R1322" s="49"/>
      <c r="S1322" s="49"/>
      <c r="T1322" s="49"/>
      <c r="U1322" s="49"/>
      <c r="V1322" s="49"/>
      <c r="W1322" s="49"/>
    </row>
    <row r="1323" spans="1:23">
      <c r="A1323" s="49"/>
      <c r="B1323" s="49"/>
      <c r="C1323" s="49"/>
      <c r="D1323" s="49"/>
      <c r="E1323" s="49"/>
      <c r="F1323" s="55"/>
      <c r="G1323" s="55">
        <f>177040+45791+227069+45791+43352+43352+81249+81249+43352+184374+151018+1190552+43352+113375+72823+43352+45791+43352+113385+45791+69319+43352+264685+43352</f>
        <v>3256118</v>
      </c>
      <c r="H1323" s="49"/>
      <c r="I1323" s="49"/>
      <c r="J1323" s="49"/>
      <c r="K1323" s="49"/>
      <c r="L1323" s="49"/>
      <c r="M1323" s="49"/>
      <c r="N1323" s="49"/>
      <c r="O1323" s="49"/>
      <c r="P1323" s="49"/>
      <c r="Q1323" s="49"/>
      <c r="R1323" s="49"/>
      <c r="S1323" s="49"/>
      <c r="T1323" s="49"/>
      <c r="U1323" s="49"/>
      <c r="V1323" s="49"/>
      <c r="W1323" s="49"/>
    </row>
    <row r="1324" spans="1:23">
      <c r="A1324" s="49"/>
      <c r="B1324" s="49"/>
      <c r="C1324" s="49"/>
      <c r="D1324" s="49"/>
      <c r="E1324" s="49"/>
      <c r="F1324" s="55"/>
      <c r="G1324" s="55">
        <f>46068+43352+43188+43352+45791+85078+34912+45791+42910+34912</f>
        <v>465354</v>
      </c>
      <c r="H1324" s="49"/>
      <c r="I1324" s="49"/>
      <c r="J1324" s="49"/>
      <c r="K1324" s="49"/>
      <c r="L1324" s="49"/>
      <c r="M1324" s="49"/>
      <c r="N1324" s="49"/>
      <c r="O1324" s="49"/>
      <c r="P1324" s="49"/>
      <c r="Q1324" s="49"/>
      <c r="R1324" s="49"/>
      <c r="S1324" s="49"/>
      <c r="T1324" s="49"/>
      <c r="U1324" s="49"/>
      <c r="V1324" s="49"/>
      <c r="W1324" s="49"/>
    </row>
    <row r="1325" spans="1:23">
      <c r="A1325" s="49"/>
      <c r="B1325" s="49"/>
      <c r="C1325" s="49"/>
      <c r="D1325" s="49"/>
      <c r="E1325" s="49"/>
      <c r="F1325" s="55"/>
      <c r="G1325" s="55">
        <f>34912+43352+43352+43352+184607+673189</f>
        <v>1022764</v>
      </c>
      <c r="H1325" s="49"/>
      <c r="I1325" s="49"/>
      <c r="J1325" s="49"/>
      <c r="K1325" s="49"/>
      <c r="L1325" s="49"/>
      <c r="M1325" s="49"/>
      <c r="N1325" s="49"/>
      <c r="O1325" s="49"/>
      <c r="P1325" s="49"/>
      <c r="Q1325" s="49"/>
      <c r="R1325" s="49"/>
      <c r="S1325" s="49"/>
      <c r="T1325" s="49"/>
      <c r="U1325" s="49"/>
      <c r="V1325" s="49"/>
      <c r="W1325" s="49"/>
    </row>
    <row r="1326" spans="1:23">
      <c r="A1326" s="49"/>
      <c r="B1326" s="49"/>
      <c r="C1326" s="49"/>
      <c r="D1326" s="49"/>
      <c r="E1326" s="49"/>
      <c r="F1326" s="55"/>
      <c r="G1326" s="55">
        <f>90755+43352+69033+43352+90755+81249+86632+43352+86632+43352+86632+90755+45791+45791+90755</f>
        <v>1038188</v>
      </c>
      <c r="H1326" s="49"/>
      <c r="I1326" s="49"/>
      <c r="J1326" s="49"/>
      <c r="K1326" s="49"/>
      <c r="L1326" s="49"/>
      <c r="M1326" s="49"/>
      <c r="N1326" s="49"/>
      <c r="O1326" s="49"/>
      <c r="P1326" s="49"/>
      <c r="Q1326" s="49"/>
      <c r="R1326" s="49"/>
      <c r="S1326" s="49"/>
      <c r="T1326" s="49"/>
      <c r="U1326" s="49"/>
      <c r="V1326" s="49"/>
      <c r="W1326" s="49"/>
    </row>
    <row r="1327" spans="1:23">
      <c r="A1327" s="49"/>
      <c r="B1327" s="49"/>
      <c r="C1327" s="49"/>
      <c r="D1327" s="49"/>
      <c r="E1327" s="49"/>
      <c r="F1327" s="55"/>
      <c r="G1327" s="55">
        <f>503275+238304</f>
        <v>741579</v>
      </c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  <c r="R1327" s="49"/>
      <c r="S1327" s="49"/>
      <c r="T1327" s="49"/>
      <c r="U1327" s="49"/>
      <c r="V1327" s="49"/>
      <c r="W1327" s="49"/>
    </row>
    <row r="1328" spans="1:23">
      <c r="A1328" s="49"/>
      <c r="B1328" s="49"/>
      <c r="C1328" s="49"/>
      <c r="D1328" s="49"/>
      <c r="E1328" s="49"/>
      <c r="F1328" s="55"/>
      <c r="G1328" s="55">
        <f>89552+166263+43352+43352+43352+98099+91256+110654+130236+43352+81249+43352+527448+43352+43352+527448</f>
        <v>2125669</v>
      </c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R1328" s="49"/>
      <c r="S1328" s="49"/>
      <c r="T1328" s="49"/>
      <c r="U1328" s="49"/>
      <c r="V1328" s="49"/>
      <c r="W1328" s="49"/>
    </row>
    <row r="1329" spans="1:23">
      <c r="A1329" s="49"/>
      <c r="B1329" s="49"/>
      <c r="C1329" s="49"/>
      <c r="D1329" s="49"/>
      <c r="E1329" s="49"/>
      <c r="F1329" s="55"/>
      <c r="G1329" s="55">
        <f>43352+187871+45791+45791+133558+43352+81249+126977+121615+34912+132069+46841+86632+166091</f>
        <v>1296101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  <c r="R1329" s="49"/>
      <c r="S1329" s="49"/>
      <c r="T1329" s="49"/>
      <c r="U1329" s="49"/>
      <c r="V1329" s="49"/>
      <c r="W1329" s="49"/>
    </row>
    <row r="1330" spans="1:23">
      <c r="A1330" s="49"/>
      <c r="B1330" s="49"/>
      <c r="C1330" s="49"/>
      <c r="D1330" s="49"/>
      <c r="E1330" s="49"/>
      <c r="F1330" s="55"/>
      <c r="G1330" s="55">
        <f>201248+43352+34470+76212+43352+234063+81249+43352+43352+43229+43352+91366+43352+138527+90755+46841+126977+179666+117637+130842+45791+34912</f>
        <v>1933897</v>
      </c>
      <c r="H1330" s="49"/>
      <c r="I1330" s="49"/>
      <c r="J1330" s="49"/>
      <c r="K1330" s="49"/>
      <c r="L1330" s="49"/>
      <c r="M1330" s="49"/>
      <c r="N1330" s="49"/>
      <c r="O1330" s="49"/>
      <c r="P1330" s="49"/>
      <c r="Q1330" s="49"/>
      <c r="R1330" s="49"/>
      <c r="S1330" s="49"/>
      <c r="T1330" s="49"/>
      <c r="U1330" s="49"/>
      <c r="V1330" s="49"/>
      <c r="W1330" s="49"/>
    </row>
    <row r="1331" spans="1:23">
      <c r="A1331" s="49"/>
      <c r="B1331" s="49"/>
      <c r="C1331" s="49"/>
      <c r="D1331" s="49"/>
      <c r="E1331" s="49"/>
      <c r="F1331" s="55"/>
      <c r="G1331" s="55">
        <f>91617+90755+43352+379930+135243+86632+42492+43352+90755+43204+90755+43352+90755+114161+45791+220573+45791+43057+34912</f>
        <v>1776479</v>
      </c>
      <c r="H1331" s="49"/>
      <c r="I1331" s="49"/>
      <c r="J1331" s="49"/>
      <c r="K1331" s="49"/>
      <c r="L1331" s="49"/>
      <c r="M1331" s="49"/>
      <c r="N1331" s="49"/>
      <c r="O1331" s="49"/>
      <c r="P1331" s="49"/>
      <c r="Q1331" s="49"/>
      <c r="R1331" s="49"/>
      <c r="S1331" s="49"/>
      <c r="T1331" s="49"/>
      <c r="U1331" s="49"/>
      <c r="V1331" s="49"/>
      <c r="W1331" s="49"/>
    </row>
    <row r="1332" spans="1:23">
      <c r="A1332" s="49"/>
      <c r="B1332" s="49"/>
      <c r="C1332" s="49"/>
      <c r="D1332" s="49"/>
      <c r="E1332" s="49"/>
      <c r="F1332" s="55"/>
      <c r="G1332" s="55">
        <f>88632+136480+43352+90755+65757+90755+90755+34912+43352+90755+431717+45791</f>
        <v>1253013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  <c r="R1332" s="49"/>
      <c r="S1332" s="49"/>
      <c r="T1332" s="49"/>
      <c r="U1332" s="49"/>
      <c r="V1332" s="49"/>
      <c r="W1332" s="49"/>
    </row>
    <row r="1333" spans="1:23">
      <c r="A1333" s="49"/>
      <c r="B1333" s="49"/>
      <c r="C1333" s="49"/>
      <c r="D1333" s="49"/>
      <c r="E1333" s="49"/>
      <c r="F1333" s="55"/>
      <c r="G1333" s="55">
        <f>34912+114161+42910+43957+43352+90755+86632+43352+46841+81249+86632+86632+79874+43352+42468+94583+43352+43352+90755</f>
        <v>1239121</v>
      </c>
      <c r="H1333" s="49"/>
      <c r="I1333" s="49"/>
      <c r="J1333" s="49"/>
      <c r="K1333" s="49"/>
      <c r="L1333" s="49"/>
      <c r="M1333" s="49"/>
      <c r="N1333" s="49"/>
      <c r="O1333" s="49"/>
      <c r="P1333" s="49"/>
      <c r="Q1333" s="49"/>
      <c r="R1333" s="49"/>
      <c r="S1333" s="49"/>
      <c r="T1333" s="49"/>
      <c r="U1333" s="49"/>
      <c r="V1333" s="49"/>
      <c r="W1333" s="49"/>
    </row>
    <row r="1334" spans="1:23">
      <c r="A1334" s="49"/>
      <c r="B1334" s="49"/>
      <c r="C1334" s="49"/>
      <c r="D1334" s="49"/>
      <c r="E1334" s="49"/>
      <c r="F1334" s="55"/>
      <c r="G1334" s="55">
        <f>90755+34912+142597+42910+43352+90755+43352+870892+43957+69033+81249+119505+43352+43352+43352+81249</f>
        <v>1884574</v>
      </c>
      <c r="H1334" s="49"/>
      <c r="I1334" s="49"/>
      <c r="J1334" s="49"/>
      <c r="K1334" s="49"/>
      <c r="L1334" s="49"/>
      <c r="M1334" s="49"/>
      <c r="N1334" s="49"/>
      <c r="O1334" s="49"/>
      <c r="P1334" s="49"/>
      <c r="Q1334" s="49"/>
      <c r="R1334" s="49"/>
      <c r="S1334" s="49"/>
      <c r="T1334" s="49"/>
      <c r="U1334" s="49"/>
      <c r="V1334" s="49"/>
      <c r="W1334" s="49"/>
    </row>
    <row r="1335" spans="1:23">
      <c r="A1335" s="49"/>
      <c r="B1335" s="49"/>
      <c r="C1335" s="49"/>
      <c r="D1335" s="49"/>
      <c r="E1335" s="49"/>
      <c r="F1335" s="55"/>
      <c r="G1335" s="55">
        <f>202045+43352+43352+90755+81249+43352+34912+81249+43352+43352</f>
        <v>706970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  <c r="R1335" s="49"/>
      <c r="S1335" s="49"/>
      <c r="T1335" s="49"/>
      <c r="U1335" s="49"/>
      <c r="V1335" s="49"/>
      <c r="W1335" s="49"/>
    </row>
    <row r="1336" spans="1:23">
      <c r="A1336" s="49"/>
      <c r="B1336" s="49"/>
      <c r="C1336" s="49"/>
      <c r="D1336" s="49"/>
      <c r="E1336" s="49"/>
      <c r="F1336" s="55"/>
      <c r="G1336" s="55">
        <f>51317+46609+46609+46609+52581</f>
        <v>243725</v>
      </c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</row>
    <row r="1337" spans="1:23">
      <c r="A1337" s="49"/>
      <c r="B1337" s="49"/>
      <c r="C1337" s="49"/>
      <c r="D1337" s="49"/>
      <c r="E1337" s="49"/>
      <c r="F1337" s="55"/>
      <c r="G1337" s="55">
        <f>-35700-47204-40000-410820-35700-100000-35700-136160-35700-50737-37700-70049-16500-95379</f>
        <v>-1147349</v>
      </c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/>
      <c r="S1337" s="49"/>
      <c r="T1337" s="49"/>
      <c r="U1337" s="49"/>
      <c r="V1337" s="49"/>
      <c r="W1337" s="49"/>
    </row>
    <row r="1338" spans="1:23">
      <c r="A1338" s="49"/>
      <c r="B1338" s="49"/>
      <c r="C1338" s="49"/>
      <c r="D1338" s="49"/>
      <c r="E1338" s="49"/>
      <c r="F1338" s="55"/>
      <c r="G1338" s="55">
        <f>42960+42332+85373+89675+166874+42692+134700+42512+42531</f>
        <v>689649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/>
      <c r="S1338" s="49"/>
      <c r="T1338" s="49"/>
      <c r="U1338" s="49"/>
      <c r="V1338" s="49"/>
      <c r="W1338" s="49"/>
    </row>
    <row r="1339" spans="1:23">
      <c r="A1339" s="73">
        <v>46143</v>
      </c>
      <c r="B1339" s="49"/>
      <c r="C1339" s="49"/>
      <c r="D1339" s="49"/>
      <c r="E1339" s="49"/>
      <c r="F1339" s="55"/>
      <c r="G1339" s="55">
        <f>90287+42692+45097+93194+244725+48717+42692+93194+137517+42512+80050+43297+137782+45097+42692+89420+42692+42960+43297+42692+42692+257475+80050+42692+45097+44928+89420+42692+42692+89420</f>
        <v>2267764</v>
      </c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  <c r="R1339" s="49"/>
      <c r="S1339" s="49"/>
      <c r="T1339" s="49"/>
      <c r="U1339" s="49"/>
      <c r="V1339" s="49"/>
      <c r="W1339" s="49"/>
    </row>
    <row r="1340" spans="1:23">
      <c r="A1340" s="49"/>
      <c r="B1340" s="49"/>
      <c r="C1340" s="49"/>
      <c r="D1340" s="49"/>
      <c r="E1340" s="49"/>
      <c r="F1340" s="55"/>
      <c r="G1340" s="55">
        <f>173670+42692+89420+80050+42692+42692+112117+42692+42692+89932+42692+42692+90031</f>
        <v>934064</v>
      </c>
      <c r="H1340" s="49"/>
      <c r="I1340" s="49"/>
      <c r="J1340" s="49"/>
      <c r="K1340" s="49"/>
      <c r="L1340" s="49"/>
      <c r="M1340" s="49"/>
      <c r="N1340" s="49"/>
      <c r="O1340" s="49"/>
      <c r="P1340" s="49"/>
      <c r="Q1340" s="49"/>
      <c r="R1340" s="49"/>
      <c r="S1340" s="49"/>
      <c r="T1340" s="49"/>
      <c r="U1340" s="49"/>
      <c r="V1340" s="49"/>
      <c r="W1340" s="49"/>
    </row>
    <row r="1341" spans="1:23">
      <c r="A1341" s="49"/>
      <c r="B1341" s="49"/>
      <c r="C1341" s="49"/>
      <c r="D1341" s="49"/>
      <c r="E1341" s="49"/>
      <c r="F1341" s="55"/>
      <c r="G1341" s="55">
        <f>48717+42960+89420+117045+138311+79870+89420+80050+80050+42692+89420+45097+48717</f>
        <v>991769</v>
      </c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  <c r="R1341" s="49"/>
      <c r="S1341" s="49"/>
      <c r="T1341" s="49"/>
      <c r="U1341" s="49"/>
      <c r="V1341" s="49"/>
      <c r="W1341" s="49"/>
    </row>
    <row r="1342" spans="1:23">
      <c r="A1342" s="49"/>
      <c r="B1342" s="49"/>
      <c r="C1342" s="49"/>
      <c r="D1342" s="49"/>
      <c r="E1342" s="49"/>
      <c r="F1342" s="55"/>
      <c r="G1342" s="55">
        <f>320534+42692+113968+89420+89420+42692+89420+126791+80050+77705+137518+42692+91374+43297+98467+78695+89420+42692+128147+42692+34372+96660+42692+80050+85373+194140</f>
        <v>2400973</v>
      </c>
      <c r="H1342" s="49"/>
      <c r="I1342" s="49"/>
      <c r="J1342" s="49"/>
      <c r="K1342" s="49"/>
      <c r="L1342" s="49"/>
      <c r="M1342" s="49"/>
      <c r="N1342" s="49"/>
      <c r="O1342" s="49"/>
      <c r="P1342" s="49"/>
      <c r="Q1342" s="49"/>
      <c r="R1342" s="49"/>
      <c r="S1342" s="49"/>
      <c r="T1342" s="49"/>
      <c r="U1342" s="49"/>
      <c r="V1342" s="49"/>
      <c r="W1342" s="49"/>
    </row>
    <row r="1343" spans="1:23">
      <c r="A1343" s="49"/>
      <c r="B1343" s="49"/>
      <c r="C1343" s="49"/>
      <c r="D1343" s="49"/>
      <c r="E1343" s="49"/>
      <c r="F1343" s="55"/>
      <c r="G1343" s="55">
        <f>42692+80050+89420+42960+42692+42692+42960+42692+42692+215756+83825+601002+80050+66041+142040</f>
        <v>1657564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  <c r="R1343" s="49"/>
      <c r="S1343" s="49"/>
      <c r="T1343" s="49"/>
      <c r="U1343" s="49"/>
      <c r="V1343" s="49"/>
      <c r="W1343" s="49"/>
    </row>
    <row r="1344" spans="1:23">
      <c r="A1344" s="49"/>
      <c r="B1344" s="49"/>
      <c r="C1344" s="49"/>
      <c r="D1344" s="49"/>
      <c r="E1344" s="49"/>
      <c r="F1344" s="55"/>
      <c r="G1344" s="55">
        <f>233709+42692+48357+89420+42692+42692+137518+115575+89420+42692+263070+42937+80050+80050+42692+380172</f>
        <v>1773738</v>
      </c>
      <c r="H1344" s="49"/>
      <c r="I1344" s="49"/>
      <c r="J1344" s="49"/>
      <c r="K1344" s="49"/>
      <c r="L1344" s="49"/>
      <c r="M1344" s="49"/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</row>
    <row r="1345" spans="1:23">
      <c r="A1345" s="49"/>
      <c r="B1345" s="49"/>
      <c r="C1345" s="49"/>
      <c r="D1345" s="49"/>
      <c r="E1345" s="49"/>
      <c r="F1345" s="55"/>
      <c r="G1345" s="55">
        <f>66041+191324+141137+89420+78695+80050+68008+67648+78695+262005+41111+42960+42960+42512</f>
        <v>1292566</v>
      </c>
      <c r="H1345" s="49"/>
      <c r="I1345" s="49"/>
      <c r="J1345" s="49"/>
      <c r="K1345" s="49"/>
      <c r="L1345" s="49"/>
      <c r="M1345" s="49"/>
      <c r="N1345" s="49"/>
      <c r="O1345" s="49"/>
      <c r="P1345" s="49"/>
      <c r="Q1345" s="49"/>
      <c r="R1345" s="49"/>
      <c r="S1345" s="49"/>
      <c r="T1345" s="49"/>
      <c r="U1345" s="49"/>
      <c r="V1345" s="49"/>
      <c r="W1345" s="49"/>
    </row>
    <row r="1346" spans="1:23">
      <c r="A1346" s="49"/>
      <c r="B1346" s="49"/>
      <c r="C1346" s="49"/>
      <c r="D1346" s="49"/>
      <c r="E1346" s="49"/>
      <c r="F1346" s="55"/>
      <c r="G1346" s="55">
        <f>80050+34372+89420+34372+180085+105344+42332+90031+45771+42692+115575+85373+89675+42692+34012+142714+46131+134700+89420+35270+134700</f>
        <v>1694731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  <c r="R1346" s="49"/>
      <c r="S1346" s="49"/>
      <c r="T1346" s="49"/>
      <c r="U1346" s="49"/>
      <c r="V1346" s="49"/>
      <c r="W1346" s="49"/>
    </row>
    <row r="1347" spans="1:23">
      <c r="A1347" s="49"/>
      <c r="B1347" s="49"/>
      <c r="C1347" s="49"/>
      <c r="D1347" s="49"/>
      <c r="E1347" s="49"/>
      <c r="F1347" s="55"/>
      <c r="G1347" s="55">
        <f>74480+45097+141137+34372+37769+42512+92898+42692+128147+128147+80050+34372+42692+42692+46131+45381+90031+46131</f>
        <v>1194731</v>
      </c>
      <c r="H1347" s="49"/>
      <c r="I1347" s="49"/>
      <c r="J1347" s="49"/>
      <c r="K1347" s="49"/>
      <c r="L1347" s="49"/>
      <c r="M1347" s="49"/>
      <c r="N1347" s="49"/>
      <c r="O1347" s="49"/>
      <c r="P1347" s="49"/>
      <c r="Q1347" s="49"/>
      <c r="R1347" s="49"/>
      <c r="S1347" s="49"/>
      <c r="T1347" s="49"/>
      <c r="U1347" s="49"/>
      <c r="V1347" s="49"/>
      <c r="W1347" s="49"/>
    </row>
    <row r="1348" spans="1:23">
      <c r="A1348" s="49"/>
      <c r="B1348" s="49"/>
      <c r="C1348" s="49"/>
      <c r="D1348" s="49"/>
      <c r="E1348" s="49"/>
      <c r="F1348" s="55"/>
      <c r="G1348" s="55">
        <f>68007+34372+116340+3795+138046+33837+117672+42039+48222+135508+135508+126271+324723+336402+33837+46131+113901+78862+91818+42039+91666+33837+95386+135305+45428+88098+130956+42039+88098+88098+164445+88098+225503+42644+42039</f>
        <v>3468970</v>
      </c>
      <c r="H1348" s="49"/>
      <c r="I1348" s="49"/>
      <c r="J1348" s="49"/>
      <c r="K1348" s="49"/>
      <c r="L1348" s="49"/>
      <c r="M1348" s="49"/>
      <c r="N1348" s="49"/>
      <c r="O1348" s="49"/>
      <c r="P1348" s="49"/>
      <c r="Q1348" s="49"/>
      <c r="R1348" s="49"/>
      <c r="S1348" s="49"/>
      <c r="T1348" s="49"/>
      <c r="U1348" s="49"/>
      <c r="V1348" s="49"/>
      <c r="W1348" s="49"/>
    </row>
    <row r="1349" spans="1:23">
      <c r="A1349" s="49"/>
      <c r="B1349" s="49"/>
      <c r="C1349" s="49"/>
      <c r="D1349" s="49"/>
      <c r="E1349" s="49"/>
      <c r="F1349" s="55"/>
      <c r="G1349" s="55">
        <f>150270+42039+70676+88969+88098+33837+42039+78862+78862+129840+88098+42039+42039+78862+88098+110492+131308+66992+29904+33837+88098+42039+42644+250028+41679+42284+42644+84126+42039+88098+42039+126271+42039+35698+78862+88098+62480+42039+42039+42039</f>
        <v>2880444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  <c r="R1349" s="49"/>
      <c r="S1349" s="49"/>
      <c r="T1349" s="49"/>
      <c r="U1349" s="49"/>
      <c r="V1349" s="49"/>
      <c r="W1349" s="49"/>
    </row>
    <row r="1350" spans="1:23">
      <c r="A1350" s="49"/>
      <c r="B1350" s="49"/>
      <c r="C1350" s="49"/>
      <c r="D1350" s="49"/>
      <c r="E1350" s="49"/>
      <c r="F1350" s="55"/>
      <c r="G1350" s="55">
        <f>44696+88098+44242+42311+134245+88098+42644+45046+320794+84126+33837+42311+42039+42039+42039</f>
        <v>1136565</v>
      </c>
      <c r="H1350" s="49"/>
      <c r="I1350" s="49"/>
      <c r="J1350" s="49"/>
      <c r="K1350" s="49"/>
      <c r="L1350" s="49"/>
      <c r="M1350" s="49"/>
      <c r="N1350" s="49"/>
      <c r="O1350" s="49"/>
      <c r="P1350" s="49"/>
      <c r="Q1350" s="49"/>
      <c r="R1350" s="49"/>
      <c r="S1350" s="49"/>
      <c r="T1350" s="49"/>
      <c r="U1350" s="49"/>
      <c r="V1350" s="49"/>
      <c r="W1350" s="49"/>
    </row>
    <row r="1351" spans="1:23">
      <c r="A1351" s="49"/>
      <c r="B1351" s="49"/>
      <c r="C1351" s="49"/>
      <c r="D1351" s="49"/>
      <c r="E1351" s="49"/>
      <c r="F1351" s="55"/>
      <c r="G1351" s="55">
        <f>42039+42039+45068+221715+78862+42039+45220+42039+42039+65066+65066+95015+78862+41679+45428+45428+41859+42039</f>
        <v>1121502</v>
      </c>
      <c r="H1351" s="49"/>
      <c r="I1351" s="49"/>
      <c r="J1351" s="49"/>
      <c r="K1351" s="49"/>
      <c r="L1351" s="49"/>
      <c r="M1351" s="49"/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</row>
    <row r="1352" spans="1:23">
      <c r="A1352" s="49"/>
      <c r="B1352" s="49"/>
      <c r="C1352" s="49"/>
      <c r="D1352" s="49"/>
      <c r="E1352" s="49"/>
      <c r="F1352" s="55"/>
      <c r="G1352" s="55">
        <f>82583+140626+47977+33837+42039+88098+45428+91666+82583+30264+132756+33837+126271+42039+44409+33477</f>
        <v>1097890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</row>
    <row r="1353" spans="1:23">
      <c r="A1353" s="49"/>
      <c r="B1353" s="49"/>
      <c r="C1353" s="49"/>
      <c r="D1353" s="49"/>
      <c r="E1353" s="49"/>
      <c r="F1353" s="55"/>
      <c r="G1353" s="55">
        <f>91666+78862+42284+78862+42644+44409+33837+51147+42039+45428+95386+302736+77526+48248+62480</f>
        <v>1137554</v>
      </c>
      <c r="H1353" s="49"/>
      <c r="I1353" s="49"/>
      <c r="J1353" s="49"/>
      <c r="K1353" s="49"/>
      <c r="L1353" s="49"/>
      <c r="M1353" s="49"/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</row>
    <row r="1354" spans="1:23">
      <c r="A1354" s="49"/>
      <c r="B1354" s="49"/>
      <c r="C1354" s="49"/>
      <c r="D1354" s="49"/>
      <c r="E1354" s="49"/>
      <c r="F1354" s="55"/>
      <c r="G1354" s="55">
        <f>42039+42039+216101+42039+91666+88709+173681+78862+33837+73817+88098+42039+135507+113901+84126+113901+33837+32847+168398</f>
        <v>1695444</v>
      </c>
      <c r="H1354" s="49"/>
      <c r="I1354" s="49"/>
      <c r="J1354" s="49"/>
      <c r="K1354" s="49"/>
      <c r="L1354" s="49"/>
      <c r="M1354" s="49"/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</row>
    <row r="1355" spans="1:23">
      <c r="A1355" s="49"/>
      <c r="B1355" s="49"/>
      <c r="C1355" s="49"/>
      <c r="D1355" s="49"/>
      <c r="E1355" s="49"/>
      <c r="F1355" s="55"/>
      <c r="G1355" s="55">
        <f>109376+45428+125824+42039+45248+42039+126271+84126+42644+42039+88098+325145+475044+78862+82583+43039+42039+42039+42039+374794+42953+89322</f>
        <v>2430991</v>
      </c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</row>
    <row r="1356" spans="1:23">
      <c r="A1356" s="49"/>
      <c r="B1356" s="49"/>
      <c r="C1356" s="49"/>
      <c r="D1356" s="49"/>
      <c r="E1356" s="49"/>
      <c r="F1356" s="55"/>
      <c r="G1356" s="55">
        <f>41049+132171+88098+78862+162956+88098+45428+42039+35698+42039+67932+78862+88098+88098+78862</f>
        <v>1158290</v>
      </c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49"/>
      <c r="S1356" s="49"/>
      <c r="T1356" s="49"/>
      <c r="U1356" s="49"/>
      <c r="V1356" s="49"/>
      <c r="W1356" s="49"/>
    </row>
    <row r="1357" spans="1:23">
      <c r="A1357" s="49"/>
      <c r="B1357" s="49"/>
      <c r="C1357" s="49"/>
      <c r="D1357" s="49"/>
      <c r="E1357" s="49"/>
      <c r="F1357" s="55"/>
      <c r="G1357" s="55">
        <f>88098+88098+91666+42039+42644+67932+42039+42039+42039+44409+138524+89420+109116+68008+75520+135698+46131+141137+89420+52204</f>
        <v>1536181</v>
      </c>
      <c r="H1357" s="49"/>
      <c r="I1357" s="49"/>
      <c r="J1357" s="49"/>
      <c r="K1357" s="49"/>
      <c r="L1357" s="49"/>
      <c r="M1357" s="49"/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</row>
    <row r="1358" spans="1:23">
      <c r="A1358" s="49"/>
      <c r="B1358" s="49"/>
      <c r="C1358" s="49"/>
      <c r="D1358" s="49"/>
      <c r="E1358" s="49"/>
      <c r="F1358" s="55"/>
      <c r="G1358" s="55">
        <f>135698+91818+43297+189234+93194+45097+143614+42692+42692+137518+42692+42692+233709+41942+136297+126009+42230+32144+63776+31154+376850+43203+32144+45634+174372+44214+63776+39608+87136+237162+39968</f>
        <v>2941566</v>
      </c>
      <c r="H1358" s="49"/>
      <c r="I1358" s="49"/>
      <c r="J1358" s="49"/>
      <c r="K1358" s="49"/>
      <c r="L1358" s="49"/>
      <c r="M1358" s="49"/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</row>
    <row r="1359" spans="1:23">
      <c r="A1359" s="49"/>
      <c r="B1359" s="49"/>
      <c r="C1359" s="49"/>
      <c r="D1359" s="49"/>
      <c r="E1359" s="49"/>
      <c r="F1359" s="55"/>
      <c r="G1359" s="55">
        <f>40256+39968+40256+87316+125218+39968+42230+132545+129144+42534+87316+84399+82588+39315+62760+86084+39315+130627</f>
        <v>1331839</v>
      </c>
      <c r="H1359" s="49"/>
      <c r="I1359" s="49"/>
      <c r="J1359" s="49"/>
      <c r="K1359" s="49"/>
      <c r="L1359" s="49"/>
      <c r="M1359" s="49"/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</row>
    <row r="1360" spans="1:23">
      <c r="A1360" s="49"/>
      <c r="B1360" s="49"/>
      <c r="C1360" s="49"/>
      <c r="D1360" s="49"/>
      <c r="E1360" s="49"/>
      <c r="F1360" s="55"/>
      <c r="G1360" s="55">
        <f>28464+41542+39166+82588+89373+77048+118454+82588+73912+82588+118454+178521+28014+38955+42500+39315+28464+31856+73912+305303+41542+133978+82588+39315+39315+73912+82588+39315+39315+32144</f>
        <v>2205029</v>
      </c>
      <c r="H1360" s="49"/>
      <c r="I1360" s="49"/>
      <c r="J1360" s="49"/>
      <c r="K1360" s="49"/>
      <c r="L1360" s="49"/>
      <c r="M1360" s="49"/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</row>
    <row r="1361" spans="1:23">
      <c r="A1361" s="49"/>
      <c r="B1361" s="49"/>
      <c r="C1361" s="49"/>
      <c r="D1361" s="49"/>
      <c r="E1361" s="49"/>
      <c r="F1361" s="55"/>
      <c r="G1361" s="55">
        <f>171672+39315+575906+82588+128374+128374+39607+219571+82588+42500+31609+82588+39135+73912+106926+91392+82588+39315+42500+31609+31609+73912+897547+531365+39315+97338+113553+91392</f>
        <v>4008100</v>
      </c>
      <c r="H1361" s="49"/>
      <c r="I1361" s="49"/>
      <c r="J1361" s="49"/>
      <c r="K1361" s="49"/>
      <c r="L1361" s="49"/>
      <c r="M1361" s="49"/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</row>
    <row r="1362" spans="1:23">
      <c r="A1362" s="49"/>
      <c r="B1362" s="49"/>
      <c r="C1362" s="49"/>
      <c r="D1362" s="49"/>
      <c r="E1362" s="49"/>
      <c r="F1362" s="55"/>
      <c r="G1362" s="55">
        <f>39920+82588+31609+82272+62760+86556+39315+39315+39315+42500+106926+39166+42500+39315+31609+154320</f>
        <v>959986</v>
      </c>
      <c r="H1362" s="49"/>
      <c r="I1362" s="49"/>
      <c r="J1362" s="49"/>
      <c r="K1362" s="49"/>
      <c r="L1362" s="49"/>
      <c r="M1362" s="49"/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</row>
    <row r="1363" spans="1:23">
      <c r="A1363" s="49"/>
      <c r="B1363" s="49"/>
      <c r="C1363" s="49"/>
      <c r="D1363" s="49"/>
      <c r="E1363" s="49"/>
      <c r="F1363" s="55"/>
      <c r="G1363" s="55">
        <f>73912+39315+39315+42500+117197+78927+39315+39315+39315+39315+78927</f>
        <v>627353</v>
      </c>
      <c r="H1363" s="49"/>
      <c r="I1363" s="49"/>
      <c r="J1363" s="49"/>
      <c r="K1363" s="49"/>
      <c r="L1363" s="49"/>
      <c r="M1363" s="49"/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</row>
    <row r="1364" spans="1:23">
      <c r="A1364" s="49"/>
      <c r="B1364" s="49"/>
      <c r="C1364" s="49"/>
      <c r="D1364" s="49"/>
      <c r="E1364" s="49"/>
      <c r="F1364" s="55"/>
      <c r="G1364" s="55">
        <f>56953+39135+127134+42500+39315+82588+39315+82228+86083+42500+43496+42500+39315+39607+42500+41371+39315+105376+48042+38857</f>
        <v>1118130</v>
      </c>
      <c r="H1364" s="49"/>
      <c r="I1364" s="49"/>
      <c r="J1364" s="49"/>
      <c r="K1364" s="49"/>
      <c r="L1364" s="49"/>
      <c r="M1364" s="49"/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</row>
    <row r="1365" spans="1:23">
      <c r="A1365" s="49"/>
      <c r="B1365" s="49"/>
      <c r="C1365" s="49"/>
      <c r="D1365" s="49"/>
      <c r="E1365" s="49"/>
      <c r="F1365" s="55"/>
      <c r="G1365" s="55">
        <f>41542+41542+85942+121950+42500+155651+171672+41542+39315+77408+82588+31609+78927+124095+85942+41542+31249+39740+39315+41542+82588+82408+39166+82473</f>
        <v>1702248</v>
      </c>
      <c r="H1365" s="49"/>
      <c r="I1365" s="49"/>
      <c r="J1365" s="49"/>
      <c r="K1365" s="49"/>
      <c r="L1365" s="49"/>
      <c r="M1365" s="49"/>
      <c r="N1365" s="49"/>
      <c r="O1365" s="49"/>
      <c r="P1365" s="49"/>
      <c r="Q1365" s="49"/>
      <c r="R1365" s="49"/>
      <c r="S1365" s="49"/>
      <c r="T1365" s="49"/>
      <c r="U1365" s="49"/>
      <c r="V1365" s="49"/>
      <c r="W1365" s="49"/>
    </row>
    <row r="1366" spans="1:23">
      <c r="A1366" s="49"/>
      <c r="B1366" s="49"/>
      <c r="C1366" s="49"/>
      <c r="D1366" s="49"/>
      <c r="E1366" s="49"/>
      <c r="F1366" s="55"/>
      <c r="G1366" s="55">
        <f>82473+39315+82588+31609+86556+39740+73912+104896+39315+80298+62760+77408</f>
        <v>800870</v>
      </c>
      <c r="H1366" s="49"/>
      <c r="I1366" s="49"/>
      <c r="J1366" s="49"/>
      <c r="K1366" s="49"/>
      <c r="L1366" s="49"/>
      <c r="M1366" s="49"/>
      <c r="N1366" s="49"/>
      <c r="O1366" s="49"/>
      <c r="P1366" s="49"/>
      <c r="Q1366" s="49"/>
      <c r="R1366" s="49"/>
      <c r="S1366" s="49"/>
      <c r="T1366" s="49"/>
      <c r="U1366" s="49"/>
      <c r="V1366" s="49"/>
      <c r="W1366" s="49"/>
    </row>
    <row r="1367" spans="1:23">
      <c r="A1367" s="49"/>
      <c r="B1367" s="49"/>
      <c r="C1367" s="49"/>
      <c r="D1367" s="49"/>
      <c r="E1367" s="49"/>
      <c r="F1367" s="55"/>
      <c r="G1367" s="55">
        <f>39315+198866+82588+39315+127134+39315+118454+78927+62759+82588+111543+82588+62759+41542+48042+44894+41542+31609+162996+28464+83812+37851+92161+129807+129807</f>
        <v>1998678</v>
      </c>
      <c r="H1367" s="49"/>
      <c r="I1367" s="49"/>
      <c r="J1367" s="49"/>
      <c r="K1367" s="49"/>
      <c r="L1367" s="49"/>
      <c r="M1367" s="49"/>
      <c r="N1367" s="49"/>
      <c r="O1367" s="49"/>
      <c r="P1367" s="49"/>
      <c r="Q1367" s="49"/>
      <c r="R1367" s="49"/>
      <c r="S1367" s="49"/>
      <c r="T1367" s="49"/>
      <c r="U1367" s="49"/>
      <c r="V1367" s="49"/>
      <c r="W1367" s="49"/>
    </row>
    <row r="1368" spans="1:23">
      <c r="A1368" s="49"/>
      <c r="B1368" s="49"/>
      <c r="C1368" s="49"/>
      <c r="D1368" s="49"/>
      <c r="E1368" s="49"/>
      <c r="F1368" s="55"/>
      <c r="G1368" s="55">
        <f>-37300-115000-37700-49500-35700-68500-35700-63705-63240-37300-68500-37700-68500-16500-63705-1000-63705-16500-63705-40000-63705-63705-63705-63705-35700-63705-35700-68500-32800-63705</f>
        <v>-1538390</v>
      </c>
      <c r="H1368" s="49"/>
      <c r="I1368" s="49"/>
      <c r="J1368" s="49"/>
      <c r="K1368" s="49"/>
      <c r="L1368" s="49"/>
      <c r="M1368" s="49"/>
      <c r="N1368" s="49"/>
      <c r="O1368" s="49"/>
      <c r="P1368" s="49"/>
      <c r="Q1368" s="49"/>
      <c r="R1368" s="49"/>
      <c r="S1368" s="49"/>
      <c r="T1368" s="49"/>
      <c r="U1368" s="49"/>
      <c r="V1368" s="49"/>
      <c r="W1368" s="49"/>
    </row>
    <row r="1369" spans="1:23">
      <c r="A1369" s="74" t="s">
        <v>331</v>
      </c>
      <c r="G1369" s="2">
        <f>39315+62759+48042+83154+31609+82588+42500+39315+66219+86990+39166+31609+41542</f>
        <v>694808</v>
      </c>
    </row>
    <row r="1370" spans="1:23">
      <c r="A1370" s="49"/>
      <c r="B1370" s="49"/>
      <c r="C1370" s="49"/>
      <c r="D1370" s="49"/>
      <c r="E1370" s="49"/>
      <c r="F1370" s="55"/>
      <c r="G1370" s="55">
        <f>83154+62759+31609+39315+78927+41851+73912+85942+39315+73912+66221+66219+39315+77408+33358+38955+39315+124720+85942+62759+61004+39315+130482+108872+623805+130326+39315+31609</f>
        <v>2409636</v>
      </c>
      <c r="H1370" s="49"/>
      <c r="I1370" s="49"/>
      <c r="J1370" s="49"/>
      <c r="K1370" s="49"/>
      <c r="L1370" s="49"/>
      <c r="M1370" s="49"/>
      <c r="N1370" s="49"/>
      <c r="O1370" s="49"/>
      <c r="P1370" s="49"/>
      <c r="Q1370" s="49"/>
      <c r="R1370" s="49"/>
      <c r="S1370" s="49"/>
      <c r="T1370" s="49"/>
      <c r="U1370" s="49"/>
      <c r="V1370" s="49"/>
      <c r="W1370" s="49"/>
    </row>
    <row r="1371" spans="1:23">
      <c r="A1371" s="49"/>
      <c r="B1371" s="49"/>
      <c r="C1371" s="49"/>
      <c r="D1371" s="49"/>
      <c r="E1371" s="49"/>
      <c r="F1371" s="55"/>
      <c r="G1371" s="55">
        <f>39920+82588+132391+39166+82588+82588+38955+41542+226275+82588+41385</f>
        <v>889986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</row>
    <row r="1372" spans="1:23">
      <c r="A1372" s="49"/>
      <c r="B1372" s="49"/>
      <c r="C1372" s="49"/>
      <c r="D1372" s="49"/>
      <c r="E1372" s="49"/>
      <c r="F1372" s="55"/>
      <c r="G1372" s="55">
        <f>41182+41542+42500+82588+41542+82869+107267+151484+95227+85942+130122+31609+39315+82588</f>
        <v>1055777</v>
      </c>
      <c r="H1372" s="49"/>
      <c r="I1372" s="49"/>
      <c r="J1372" s="49"/>
      <c r="K1372" s="49"/>
      <c r="L1372" s="49"/>
      <c r="M1372" s="49"/>
      <c r="N1372" s="49"/>
      <c r="O1372" s="49"/>
      <c r="P1372" s="49"/>
      <c r="Q1372" s="49"/>
      <c r="R1372" s="49"/>
      <c r="S1372" s="49"/>
      <c r="T1372" s="49"/>
      <c r="U1372" s="49"/>
      <c r="V1372" s="49"/>
      <c r="W1372" s="49"/>
    </row>
    <row r="1373" spans="1:23">
      <c r="A1373" s="49"/>
      <c r="B1373" s="49"/>
      <c r="C1373" s="49"/>
      <c r="D1373" s="49"/>
      <c r="E1373" s="49"/>
      <c r="F1373" s="55"/>
      <c r="G1373" s="55">
        <f>94888+31609+31609+39607+130368+64374+31609+41542+41542+31609+103482+44894+4484+38955+82473+82588</f>
        <v>895633</v>
      </c>
      <c r="H1373" s="49"/>
      <c r="I1373" s="49"/>
      <c r="J1373" s="49"/>
      <c r="K1373" s="49"/>
      <c r="L1373" s="49"/>
      <c r="M1373" s="49"/>
      <c r="N1373" s="49"/>
      <c r="O1373" s="49"/>
      <c r="P1373" s="49"/>
      <c r="Q1373" s="49"/>
      <c r="R1373" s="49"/>
      <c r="S1373" s="49"/>
      <c r="T1373" s="49"/>
      <c r="U1373" s="49"/>
      <c r="V1373" s="49"/>
      <c r="W1373" s="49"/>
    </row>
    <row r="1374" spans="1:23">
      <c r="A1374" s="49"/>
      <c r="B1374" s="49"/>
      <c r="C1374" s="49"/>
      <c r="D1374" s="49"/>
      <c r="E1374" s="49"/>
      <c r="F1374" s="55"/>
      <c r="G1374" s="55"/>
      <c r="H1374" s="49"/>
      <c r="I1374" s="49"/>
      <c r="J1374" s="49"/>
      <c r="K1374" s="49"/>
      <c r="L1374" s="49"/>
      <c r="M1374" s="49"/>
      <c r="N1374" s="49"/>
      <c r="O1374" s="49"/>
      <c r="P1374" s="49"/>
      <c r="Q1374" s="49"/>
      <c r="R1374" s="49"/>
      <c r="S1374" s="49"/>
      <c r="T1374" s="49"/>
      <c r="U1374" s="49"/>
      <c r="V1374" s="49"/>
      <c r="W1374" s="49"/>
    </row>
    <row r="1375" spans="1:23">
      <c r="A1375" s="49"/>
      <c r="B1375" s="49"/>
      <c r="C1375" s="49"/>
      <c r="D1375" s="49"/>
      <c r="E1375" s="49"/>
      <c r="F1375" s="55"/>
      <c r="G1375" s="55"/>
      <c r="H1375" s="49"/>
      <c r="I1375" s="49"/>
      <c r="J1375" s="49"/>
      <c r="K1375" s="49"/>
      <c r="L1375" s="49"/>
      <c r="M1375" s="49"/>
      <c r="N1375" s="49"/>
      <c r="O1375" s="49"/>
      <c r="P1375" s="49"/>
      <c r="Q1375" s="49"/>
      <c r="R1375" s="49"/>
      <c r="S1375" s="49"/>
      <c r="T1375" s="49"/>
      <c r="U1375" s="49"/>
      <c r="V1375" s="49"/>
      <c r="W1375" s="49"/>
    </row>
    <row r="1376" spans="1:23">
      <c r="A1376" s="49"/>
      <c r="B1376" s="49"/>
      <c r="C1376" s="49"/>
      <c r="D1376" s="49"/>
      <c r="E1376" s="49"/>
      <c r="F1376" s="55"/>
      <c r="G1376" s="55"/>
      <c r="H1376" s="49"/>
      <c r="I1376" s="49"/>
      <c r="J1376" s="49"/>
      <c r="K1376" s="49"/>
      <c r="L1376" s="49"/>
      <c r="M1376" s="49"/>
      <c r="N1376" s="49"/>
      <c r="O1376" s="49"/>
      <c r="P1376" s="49"/>
      <c r="Q1376" s="49"/>
      <c r="R1376" s="49"/>
      <c r="S1376" s="49"/>
      <c r="T1376" s="49"/>
      <c r="U1376" s="49"/>
      <c r="V1376" s="49"/>
      <c r="W1376" s="49"/>
    </row>
    <row r="1377" spans="1:23">
      <c r="A1377" s="49"/>
      <c r="B1377" s="49"/>
      <c r="C1377" s="49"/>
      <c r="D1377" s="49"/>
      <c r="E1377" s="49"/>
      <c r="F1377" s="55"/>
      <c r="G1377" s="55"/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  <c r="R1377" s="49"/>
      <c r="S1377" s="49"/>
      <c r="T1377" s="49"/>
      <c r="U1377" s="49"/>
      <c r="V1377" s="49"/>
      <c r="W1377" s="49"/>
    </row>
    <row r="1378" spans="1:23">
      <c r="A1378" s="49"/>
      <c r="B1378" s="49"/>
      <c r="C1378" s="49"/>
      <c r="D1378" s="49"/>
      <c r="E1378" s="49"/>
      <c r="F1378" s="55"/>
      <c r="G1378" s="55"/>
      <c r="H1378" s="49"/>
      <c r="I1378" s="49"/>
      <c r="J1378" s="49"/>
      <c r="K1378" s="49"/>
      <c r="L1378" s="49"/>
      <c r="M1378" s="49"/>
      <c r="N1378" s="49"/>
      <c r="O1378" s="49"/>
      <c r="P1378" s="49"/>
      <c r="Q1378" s="49"/>
      <c r="R1378" s="49"/>
      <c r="S1378" s="49"/>
      <c r="T1378" s="49"/>
      <c r="U1378" s="49"/>
      <c r="V1378" s="49"/>
      <c r="W1378" s="49"/>
    </row>
    <row r="1379" spans="1:23">
      <c r="A1379" s="49"/>
      <c r="B1379" s="49"/>
      <c r="C1379" s="49"/>
      <c r="D1379" s="49"/>
      <c r="E1379" s="49"/>
      <c r="F1379" s="55"/>
      <c r="G1379" s="55"/>
      <c r="H1379" s="49"/>
      <c r="I1379" s="49"/>
      <c r="J1379" s="49"/>
      <c r="K1379" s="49"/>
      <c r="L1379" s="49"/>
      <c r="M1379" s="49"/>
      <c r="N1379" s="49"/>
      <c r="O1379" s="49"/>
      <c r="P1379" s="49"/>
      <c r="Q1379" s="49"/>
      <c r="R1379" s="49"/>
      <c r="S1379" s="49"/>
      <c r="T1379" s="49"/>
      <c r="U1379" s="49"/>
      <c r="V1379" s="49"/>
      <c r="W1379" s="49"/>
    </row>
    <row r="1380" spans="1:23">
      <c r="A1380" s="49"/>
      <c r="B1380" s="49"/>
      <c r="C1380" s="49"/>
      <c r="D1380" s="49"/>
      <c r="E1380" s="49"/>
      <c r="F1380" s="55"/>
      <c r="G1380" s="55"/>
      <c r="H1380" s="49"/>
      <c r="I1380" s="49"/>
      <c r="J1380" s="49"/>
      <c r="K1380" s="49"/>
      <c r="L1380" s="49"/>
      <c r="M1380" s="49"/>
      <c r="N1380" s="49"/>
      <c r="O1380" s="49"/>
      <c r="P1380" s="49"/>
      <c r="Q1380" s="49"/>
      <c r="R1380" s="49"/>
      <c r="S1380" s="49"/>
      <c r="T1380" s="49"/>
      <c r="U1380" s="49"/>
      <c r="V1380" s="49"/>
      <c r="W1380" s="49"/>
    </row>
    <row r="1381" spans="1:23">
      <c r="A1381" s="49"/>
      <c r="B1381" s="49"/>
      <c r="C1381" s="49"/>
      <c r="D1381" s="49"/>
      <c r="E1381" s="49"/>
      <c r="F1381" s="55"/>
      <c r="G1381" s="55"/>
      <c r="H1381" s="49"/>
      <c r="I1381" s="49"/>
      <c r="J1381" s="49"/>
      <c r="K1381" s="49"/>
      <c r="L1381" s="49"/>
      <c r="M1381" s="49"/>
      <c r="N1381" s="49"/>
      <c r="O1381" s="49"/>
      <c r="P1381" s="49"/>
      <c r="Q1381" s="49"/>
      <c r="R1381" s="49"/>
      <c r="S1381" s="49"/>
      <c r="T1381" s="49"/>
      <c r="U1381" s="49"/>
      <c r="V1381" s="49"/>
      <c r="W1381" s="49"/>
    </row>
    <row r="1382" spans="1:23">
      <c r="A1382" s="49"/>
      <c r="B1382" s="49"/>
      <c r="C1382" s="49"/>
      <c r="D1382" s="49"/>
      <c r="E1382" s="49"/>
      <c r="F1382" s="55"/>
      <c r="G1382" s="55"/>
      <c r="H1382" s="49"/>
      <c r="I1382" s="49"/>
      <c r="J1382" s="49"/>
      <c r="K1382" s="49"/>
      <c r="L1382" s="49"/>
      <c r="M1382" s="49"/>
      <c r="N1382" s="49"/>
      <c r="O1382" s="49"/>
      <c r="P1382" s="49"/>
      <c r="Q1382" s="49"/>
      <c r="R1382" s="49"/>
      <c r="S1382" s="49"/>
      <c r="T1382" s="49"/>
      <c r="U1382" s="49"/>
      <c r="V1382" s="49"/>
      <c r="W1382" s="49"/>
    </row>
    <row r="1383" spans="1:23">
      <c r="A1383" s="49"/>
      <c r="B1383" s="49"/>
      <c r="C1383" s="49"/>
      <c r="D1383" s="49"/>
      <c r="E1383" s="49"/>
      <c r="F1383" s="55"/>
      <c r="G1383" s="55"/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  <c r="R1383" s="49"/>
      <c r="S1383" s="49"/>
      <c r="T1383" s="49"/>
      <c r="U1383" s="49"/>
      <c r="V1383" s="49"/>
      <c r="W1383" s="49"/>
    </row>
    <row r="1384" spans="1:23">
      <c r="A1384" s="49"/>
      <c r="B1384" s="49"/>
      <c r="C1384" s="49"/>
      <c r="D1384" s="49"/>
      <c r="E1384" s="49"/>
      <c r="F1384" s="55"/>
      <c r="G1384" s="55"/>
      <c r="H1384" s="49"/>
      <c r="I1384" s="49"/>
      <c r="J1384" s="49"/>
      <c r="K1384" s="49"/>
      <c r="L1384" s="49"/>
      <c r="M1384" s="49"/>
      <c r="N1384" s="49"/>
      <c r="O1384" s="49"/>
      <c r="P1384" s="49"/>
      <c r="Q1384" s="49"/>
      <c r="R1384" s="49"/>
      <c r="S1384" s="49"/>
      <c r="T1384" s="49"/>
      <c r="U1384" s="49"/>
      <c r="V1384" s="49"/>
      <c r="W1384" s="49"/>
    </row>
    <row r="1385" spans="1:23">
      <c r="A1385" s="49"/>
      <c r="B1385" s="49"/>
      <c r="C1385" s="49"/>
      <c r="D1385" s="49"/>
      <c r="E1385" s="49"/>
      <c r="F1385" s="55"/>
      <c r="G1385" s="55"/>
      <c r="H1385" s="49"/>
      <c r="I1385" s="49"/>
      <c r="J1385" s="49"/>
      <c r="K1385" s="49"/>
      <c r="L1385" s="49"/>
      <c r="M1385" s="49"/>
      <c r="N1385" s="49"/>
      <c r="O1385" s="49"/>
      <c r="P1385" s="49"/>
      <c r="Q1385" s="49"/>
      <c r="R1385" s="49"/>
      <c r="S1385" s="49"/>
      <c r="T1385" s="49"/>
      <c r="U1385" s="49"/>
      <c r="V1385" s="49"/>
      <c r="W1385" s="49"/>
    </row>
    <row r="1386" spans="1:23">
      <c r="A1386" s="49"/>
      <c r="B1386" s="49"/>
      <c r="C1386" s="49"/>
      <c r="D1386" s="49"/>
      <c r="E1386" s="49"/>
      <c r="F1386" s="55"/>
      <c r="G1386" s="55"/>
      <c r="H1386" s="49"/>
      <c r="I1386" s="49"/>
      <c r="J1386" s="49"/>
      <c r="K1386" s="49"/>
      <c r="L1386" s="49"/>
      <c r="M1386" s="49"/>
      <c r="N1386" s="49"/>
      <c r="O1386" s="49"/>
      <c r="P1386" s="49"/>
      <c r="Q1386" s="49"/>
      <c r="R1386" s="49"/>
      <c r="S1386" s="49"/>
      <c r="T1386" s="49"/>
      <c r="U1386" s="49"/>
      <c r="V1386" s="49"/>
      <c r="W1386" s="49"/>
    </row>
    <row r="1387" spans="1:23">
      <c r="A1387" s="49"/>
      <c r="B1387" s="49"/>
      <c r="C1387" s="49"/>
      <c r="D1387" s="49"/>
      <c r="E1387" s="49"/>
      <c r="F1387" s="55"/>
      <c r="G1387" s="55"/>
      <c r="H1387" s="49"/>
      <c r="I1387" s="49"/>
      <c r="J1387" s="49"/>
      <c r="K1387" s="49"/>
      <c r="L1387" s="49"/>
      <c r="M1387" s="49"/>
      <c r="N1387" s="49"/>
      <c r="O1387" s="49"/>
      <c r="P1387" s="49"/>
      <c r="Q1387" s="49"/>
      <c r="R1387" s="49"/>
      <c r="S1387" s="49"/>
      <c r="T1387" s="49"/>
      <c r="U1387" s="49"/>
      <c r="V1387" s="49"/>
      <c r="W1387" s="49"/>
    </row>
    <row r="1388" spans="1:23">
      <c r="A1388" s="49"/>
      <c r="B1388" s="49"/>
      <c r="C1388" s="49"/>
      <c r="D1388" s="49"/>
      <c r="E1388" s="49"/>
      <c r="F1388" s="55"/>
      <c r="G1388" s="55"/>
      <c r="H1388" s="49"/>
      <c r="I1388" s="49"/>
      <c r="J1388" s="49"/>
      <c r="K1388" s="49"/>
      <c r="L1388" s="49"/>
      <c r="M1388" s="49"/>
      <c r="N1388" s="49"/>
      <c r="O1388" s="49"/>
      <c r="P1388" s="49"/>
      <c r="Q1388" s="49"/>
      <c r="R1388" s="49"/>
      <c r="S1388" s="49"/>
      <c r="T1388" s="49"/>
      <c r="U1388" s="49"/>
      <c r="V1388" s="49"/>
      <c r="W1388" s="49"/>
    </row>
    <row r="1389" spans="1:23">
      <c r="A1389" s="49"/>
      <c r="B1389" s="49"/>
      <c r="C1389" s="49"/>
      <c r="D1389" s="49"/>
      <c r="E1389" s="49"/>
      <c r="F1389" s="55"/>
      <c r="G1389" s="55"/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  <c r="R1389" s="49"/>
      <c r="S1389" s="49"/>
      <c r="T1389" s="49"/>
      <c r="U1389" s="49"/>
      <c r="V1389" s="49"/>
      <c r="W1389" s="49"/>
    </row>
    <row r="1390" spans="1:23">
      <c r="A1390" s="49"/>
      <c r="B1390" s="49"/>
      <c r="C1390" s="49"/>
      <c r="D1390" s="49"/>
      <c r="E1390" s="49"/>
      <c r="F1390" s="55"/>
      <c r="G1390" s="55"/>
      <c r="H1390" s="49"/>
      <c r="I1390" s="49"/>
      <c r="J1390" s="49"/>
      <c r="K1390" s="49"/>
      <c r="L1390" s="49"/>
      <c r="M1390" s="49"/>
      <c r="N1390" s="49"/>
      <c r="O1390" s="49"/>
      <c r="P1390" s="49"/>
      <c r="Q1390" s="49"/>
      <c r="R1390" s="49"/>
      <c r="S1390" s="49"/>
      <c r="T1390" s="49"/>
      <c r="U1390" s="49"/>
      <c r="V1390" s="49"/>
      <c r="W1390" s="49"/>
    </row>
    <row r="1391" spans="1:23">
      <c r="A1391" s="49"/>
      <c r="B1391" s="49"/>
      <c r="C1391" s="49"/>
      <c r="D1391" s="49"/>
      <c r="E1391" s="49"/>
      <c r="F1391" s="55"/>
      <c r="G1391" s="55"/>
      <c r="H1391" s="49"/>
      <c r="I1391" s="49"/>
      <c r="J1391" s="49"/>
      <c r="K1391" s="49"/>
      <c r="L1391" s="49"/>
      <c r="M1391" s="49"/>
      <c r="N1391" s="49"/>
      <c r="O1391" s="49"/>
      <c r="P1391" s="49"/>
      <c r="Q1391" s="49"/>
      <c r="R1391" s="49"/>
      <c r="S1391" s="49"/>
      <c r="T1391" s="49"/>
      <c r="U1391" s="49"/>
      <c r="V1391" s="49"/>
      <c r="W1391" s="49"/>
    </row>
    <row r="1392" spans="1:23">
      <c r="A1392" s="49"/>
      <c r="B1392" s="49"/>
      <c r="C1392" s="49"/>
      <c r="D1392" s="49"/>
      <c r="E1392" s="49"/>
      <c r="F1392" s="55"/>
      <c r="G1392" s="55"/>
      <c r="H1392" s="49"/>
      <c r="I1392" s="49"/>
      <c r="J1392" s="49"/>
      <c r="K1392" s="49"/>
      <c r="L1392" s="49"/>
      <c r="M1392" s="49"/>
      <c r="N1392" s="49"/>
      <c r="O1392" s="49"/>
      <c r="P1392" s="49"/>
      <c r="Q1392" s="49"/>
      <c r="R1392" s="49"/>
      <c r="S1392" s="49"/>
      <c r="T1392" s="49"/>
      <c r="U1392" s="49"/>
      <c r="V1392" s="49"/>
      <c r="W1392" s="49"/>
    </row>
    <row r="1393" spans="1:23">
      <c r="A1393" s="49"/>
      <c r="B1393" s="49"/>
      <c r="C1393" s="49"/>
      <c r="D1393" s="49"/>
      <c r="E1393" s="49"/>
      <c r="F1393" s="55"/>
      <c r="G1393" s="55"/>
      <c r="H1393" s="49"/>
      <c r="I1393" s="49"/>
      <c r="J1393" s="49"/>
      <c r="K1393" s="49"/>
      <c r="L1393" s="49"/>
      <c r="M1393" s="49"/>
      <c r="N1393" s="49"/>
      <c r="O1393" s="49"/>
      <c r="P1393" s="49"/>
      <c r="Q1393" s="49"/>
      <c r="R1393" s="49"/>
      <c r="S1393" s="49"/>
      <c r="T1393" s="49"/>
      <c r="U1393" s="49"/>
      <c r="V1393" s="49"/>
      <c r="W1393" s="49"/>
    </row>
    <row r="1394" spans="1:23">
      <c r="A1394" s="49"/>
      <c r="B1394" s="49"/>
      <c r="C1394" s="49"/>
      <c r="D1394" s="49"/>
      <c r="E1394" s="49"/>
      <c r="F1394" s="55"/>
      <c r="G1394" s="55"/>
      <c r="H1394" s="49"/>
      <c r="I1394" s="49"/>
      <c r="J1394" s="49"/>
      <c r="K1394" s="49"/>
      <c r="L1394" s="49"/>
      <c r="M1394" s="49"/>
      <c r="N1394" s="49"/>
      <c r="O1394" s="49"/>
      <c r="P1394" s="49"/>
      <c r="Q1394" s="49"/>
      <c r="R1394" s="49"/>
      <c r="S1394" s="49"/>
      <c r="T1394" s="49"/>
      <c r="U1394" s="49"/>
      <c r="V1394" s="49"/>
      <c r="W1394" s="49"/>
    </row>
    <row r="1395" spans="1:23">
      <c r="A1395" s="49"/>
      <c r="B1395" s="49"/>
      <c r="C1395" s="49"/>
      <c r="D1395" s="49"/>
      <c r="E1395" s="49"/>
      <c r="F1395" s="55"/>
      <c r="G1395" s="55"/>
      <c r="H1395" s="49"/>
      <c r="I1395" s="49"/>
      <c r="J1395" s="49"/>
      <c r="K1395" s="49"/>
      <c r="L1395" s="49"/>
      <c r="M1395" s="49"/>
      <c r="N1395" s="49"/>
      <c r="O1395" s="49"/>
      <c r="P1395" s="49"/>
      <c r="Q1395" s="49"/>
      <c r="R1395" s="49"/>
      <c r="S1395" s="49"/>
      <c r="T1395" s="49"/>
      <c r="U1395" s="49"/>
      <c r="V1395" s="49"/>
      <c r="W1395" s="49"/>
    </row>
    <row r="1396" spans="1:23">
      <c r="A1396" s="49"/>
      <c r="B1396" s="49"/>
      <c r="C1396" s="49"/>
      <c r="D1396" s="49"/>
      <c r="E1396" s="49"/>
      <c r="F1396" s="55"/>
      <c r="G1396" s="55"/>
      <c r="H1396" s="49"/>
      <c r="I1396" s="49"/>
      <c r="J1396" s="49"/>
      <c r="K1396" s="49"/>
      <c r="L1396" s="49"/>
      <c r="M1396" s="49"/>
      <c r="N1396" s="49"/>
      <c r="O1396" s="49"/>
      <c r="P1396" s="49"/>
      <c r="Q1396" s="49"/>
      <c r="R1396" s="49"/>
      <c r="S1396" s="49"/>
      <c r="T1396" s="49"/>
      <c r="U1396" s="49"/>
      <c r="V1396" s="49"/>
      <c r="W1396" s="49"/>
    </row>
    <row r="1397" spans="1:23">
      <c r="A1397" s="49"/>
      <c r="B1397" s="49"/>
      <c r="C1397" s="49"/>
      <c r="D1397" s="49"/>
      <c r="E1397" s="49"/>
      <c r="F1397" s="55"/>
      <c r="G1397" s="55"/>
      <c r="H1397" s="49"/>
      <c r="I1397" s="49"/>
      <c r="J1397" s="49"/>
      <c r="K1397" s="49"/>
      <c r="L1397" s="49"/>
      <c r="M1397" s="49"/>
      <c r="N1397" s="49"/>
      <c r="O1397" s="49"/>
      <c r="P1397" s="49"/>
      <c r="Q1397" s="49"/>
      <c r="R1397" s="49"/>
      <c r="S1397" s="49"/>
      <c r="T1397" s="49"/>
      <c r="U1397" s="49"/>
      <c r="V1397" s="49"/>
      <c r="W1397" s="49"/>
    </row>
    <row r="1398" spans="1:23">
      <c r="A1398" s="49"/>
      <c r="B1398" s="49"/>
      <c r="C1398" s="49"/>
      <c r="D1398" s="49"/>
      <c r="E1398" s="49"/>
      <c r="F1398" s="55"/>
      <c r="G1398" s="55"/>
      <c r="H1398" s="49"/>
      <c r="I1398" s="49"/>
      <c r="J1398" s="49"/>
      <c r="K1398" s="49"/>
      <c r="L1398" s="49"/>
      <c r="M1398" s="49"/>
      <c r="N1398" s="49"/>
      <c r="O1398" s="49"/>
      <c r="P1398" s="49"/>
      <c r="Q1398" s="49"/>
      <c r="R1398" s="49"/>
      <c r="S1398" s="49"/>
      <c r="T1398" s="49"/>
      <c r="U1398" s="49"/>
      <c r="V1398" s="49"/>
      <c r="W1398" s="49"/>
    </row>
    <row r="1399" spans="1:23">
      <c r="A1399" s="49"/>
      <c r="B1399" s="49"/>
      <c r="C1399" s="49"/>
      <c r="D1399" s="49"/>
      <c r="E1399" s="49"/>
      <c r="F1399" s="55"/>
      <c r="G1399" s="55"/>
      <c r="H1399" s="49"/>
      <c r="I1399" s="49"/>
      <c r="J1399" s="49"/>
      <c r="K1399" s="49"/>
      <c r="L1399" s="49"/>
      <c r="M1399" s="49"/>
      <c r="N1399" s="49"/>
      <c r="O1399" s="49"/>
      <c r="P1399" s="49"/>
      <c r="Q1399" s="49"/>
      <c r="R1399" s="49"/>
      <c r="S1399" s="49"/>
      <c r="T1399" s="49"/>
      <c r="U1399" s="49"/>
      <c r="V1399" s="49"/>
      <c r="W1399" s="49"/>
    </row>
    <row r="1400" spans="1:23">
      <c r="A1400" s="49"/>
      <c r="B1400" s="49"/>
      <c r="C1400" s="49"/>
      <c r="D1400" s="49"/>
      <c r="E1400" s="49"/>
      <c r="F1400" s="55"/>
      <c r="G1400" s="55"/>
      <c r="H1400" s="49"/>
      <c r="I1400" s="49"/>
      <c r="J1400" s="49"/>
      <c r="K1400" s="49"/>
      <c r="L1400" s="49"/>
      <c r="M1400" s="49"/>
      <c r="N1400" s="49"/>
      <c r="O1400" s="49"/>
      <c r="P1400" s="49"/>
      <c r="Q1400" s="49"/>
      <c r="R1400" s="49"/>
      <c r="S1400" s="49"/>
      <c r="T1400" s="49"/>
      <c r="U1400" s="49"/>
      <c r="V1400" s="49"/>
      <c r="W1400" s="49"/>
    </row>
    <row r="1401" spans="1:23">
      <c r="A1401" s="49"/>
      <c r="B1401" s="49"/>
      <c r="C1401" s="49"/>
      <c r="D1401" s="49"/>
      <c r="E1401" s="49"/>
      <c r="F1401" s="55"/>
      <c r="G1401" s="55"/>
      <c r="H1401" s="49"/>
      <c r="I1401" s="49"/>
      <c r="J1401" s="49"/>
      <c r="K1401" s="49"/>
      <c r="L1401" s="49"/>
      <c r="M1401" s="49"/>
      <c r="N1401" s="49"/>
      <c r="O1401" s="49"/>
      <c r="P1401" s="49"/>
      <c r="Q1401" s="49"/>
      <c r="R1401" s="49"/>
      <c r="S1401" s="49"/>
      <c r="T1401" s="49"/>
      <c r="U1401" s="49"/>
      <c r="V1401" s="49"/>
      <c r="W1401" s="49"/>
    </row>
    <row r="1402" spans="1:23">
      <c r="A1402" s="49"/>
      <c r="B1402" s="49"/>
      <c r="C1402" s="49"/>
      <c r="D1402" s="49"/>
      <c r="E1402" s="49"/>
      <c r="F1402" s="55"/>
      <c r="G1402" s="55"/>
      <c r="H1402" s="49"/>
      <c r="I1402" s="49"/>
      <c r="J1402" s="49"/>
      <c r="K1402" s="49"/>
      <c r="L1402" s="49"/>
      <c r="M1402" s="49"/>
      <c r="N1402" s="49"/>
      <c r="O1402" s="49"/>
      <c r="P1402" s="49"/>
      <c r="Q1402" s="49"/>
      <c r="R1402" s="49"/>
      <c r="S1402" s="49"/>
      <c r="T1402" s="49"/>
      <c r="U1402" s="49"/>
      <c r="V1402" s="49"/>
      <c r="W1402" s="49"/>
    </row>
    <row r="1403" spans="1:23">
      <c r="A1403" s="49"/>
      <c r="B1403" s="49"/>
      <c r="C1403" s="49"/>
      <c r="D1403" s="49"/>
      <c r="E1403" s="49"/>
      <c r="F1403" s="55"/>
      <c r="G1403" s="55"/>
      <c r="H1403" s="49"/>
      <c r="I1403" s="49"/>
      <c r="J1403" s="49"/>
      <c r="K1403" s="49"/>
      <c r="L1403" s="49"/>
      <c r="M1403" s="49"/>
      <c r="N1403" s="49"/>
      <c r="O1403" s="49"/>
      <c r="P1403" s="49"/>
      <c r="Q1403" s="49"/>
      <c r="R1403" s="49"/>
      <c r="S1403" s="49"/>
      <c r="T1403" s="49"/>
      <c r="U1403" s="49"/>
      <c r="V1403" s="49"/>
      <c r="W1403" s="49"/>
    </row>
    <row r="1404" spans="1:23">
      <c r="A1404" s="49"/>
      <c r="B1404" s="49"/>
      <c r="C1404" s="49"/>
      <c r="D1404" s="49"/>
      <c r="E1404" s="49"/>
      <c r="F1404" s="55"/>
      <c r="G1404" s="55"/>
      <c r="H1404" s="49"/>
      <c r="I1404" s="49"/>
      <c r="J1404" s="49"/>
      <c r="K1404" s="49"/>
      <c r="L1404" s="49"/>
      <c r="M1404" s="49"/>
      <c r="N1404" s="49"/>
      <c r="O1404" s="49"/>
      <c r="P1404" s="49"/>
      <c r="Q1404" s="49"/>
      <c r="R1404" s="49"/>
      <c r="S1404" s="49"/>
      <c r="T1404" s="49"/>
      <c r="U1404" s="49"/>
      <c r="V1404" s="49"/>
      <c r="W1404" s="49"/>
    </row>
    <row r="1405" spans="1:23">
      <c r="A1405" s="49"/>
      <c r="B1405" s="49"/>
      <c r="C1405" s="49"/>
      <c r="D1405" s="49"/>
      <c r="E1405" s="49"/>
      <c r="F1405" s="55"/>
      <c r="G1405" s="55"/>
      <c r="H1405" s="49"/>
      <c r="I1405" s="49"/>
      <c r="J1405" s="49"/>
      <c r="K1405" s="49"/>
      <c r="L1405" s="49"/>
      <c r="M1405" s="49"/>
      <c r="N1405" s="49"/>
      <c r="O1405" s="49"/>
      <c r="P1405" s="49"/>
      <c r="Q1405" s="49"/>
      <c r="R1405" s="49"/>
      <c r="S1405" s="49"/>
      <c r="T1405" s="49"/>
      <c r="U1405" s="49"/>
      <c r="V1405" s="49"/>
      <c r="W1405" s="49"/>
    </row>
    <row r="1406" spans="1:23">
      <c r="A1406" s="49"/>
      <c r="B1406" s="49"/>
      <c r="C1406" s="49"/>
      <c r="D1406" s="49"/>
      <c r="E1406" s="49"/>
      <c r="F1406" s="55"/>
      <c r="G1406" s="55"/>
      <c r="H1406" s="49"/>
      <c r="I1406" s="49"/>
      <c r="J1406" s="49"/>
      <c r="K1406" s="49"/>
      <c r="L1406" s="49"/>
      <c r="M1406" s="49"/>
      <c r="N1406" s="49"/>
      <c r="O1406" s="49"/>
      <c r="P1406" s="49"/>
      <c r="Q1406" s="49"/>
      <c r="R1406" s="49"/>
      <c r="S1406" s="49"/>
      <c r="T1406" s="49"/>
      <c r="U1406" s="49"/>
      <c r="V1406" s="49"/>
      <c r="W1406" s="49"/>
    </row>
    <row r="1407" spans="1:23">
      <c r="A1407" s="49"/>
      <c r="B1407" s="49"/>
      <c r="C1407" s="49"/>
      <c r="D1407" s="49"/>
      <c r="E1407" s="49"/>
      <c r="F1407" s="55"/>
      <c r="G1407" s="55"/>
      <c r="H1407" s="49"/>
      <c r="I1407" s="49"/>
      <c r="J1407" s="49"/>
      <c r="K1407" s="49"/>
      <c r="L1407" s="49"/>
      <c r="M1407" s="49"/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</row>
    <row r="1408" spans="1:23">
      <c r="A1408" s="49"/>
      <c r="B1408" s="49"/>
      <c r="C1408" s="49"/>
      <c r="D1408" s="49"/>
      <c r="E1408" s="49"/>
      <c r="F1408" s="55"/>
      <c r="G1408" s="55"/>
      <c r="H1408" s="49"/>
      <c r="I1408" s="49"/>
      <c r="J1408" s="49"/>
      <c r="K1408" s="49"/>
      <c r="L1408" s="49"/>
      <c r="M1408" s="49"/>
      <c r="N1408" s="49"/>
      <c r="O1408" s="49"/>
      <c r="P1408" s="49"/>
      <c r="Q1408" s="49"/>
      <c r="R1408" s="49"/>
      <c r="S1408" s="49"/>
      <c r="T1408" s="49"/>
      <c r="U1408" s="49"/>
      <c r="V1408" s="49"/>
      <c r="W1408" s="49"/>
    </row>
    <row r="1409" spans="1:23">
      <c r="A1409" s="49"/>
      <c r="B1409" s="49"/>
      <c r="C1409" s="49"/>
      <c r="D1409" s="49"/>
      <c r="E1409" s="49"/>
      <c r="F1409" s="55"/>
      <c r="G1409" s="55"/>
      <c r="H1409" s="49"/>
      <c r="I1409" s="49"/>
      <c r="J1409" s="49"/>
      <c r="K1409" s="49"/>
      <c r="L1409" s="49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</row>
    <row r="1410" spans="1:23">
      <c r="A1410" s="49"/>
      <c r="B1410" s="49"/>
      <c r="C1410" s="49"/>
      <c r="D1410" s="49"/>
      <c r="E1410" s="49"/>
      <c r="F1410" s="55"/>
      <c r="G1410" s="55"/>
      <c r="H1410" s="49"/>
      <c r="I1410" s="49"/>
      <c r="J1410" s="49"/>
      <c r="K1410" s="49"/>
      <c r="L1410" s="49"/>
      <c r="M1410" s="49"/>
      <c r="N1410" s="49"/>
      <c r="O1410" s="49"/>
      <c r="P1410" s="49"/>
      <c r="Q1410" s="49"/>
      <c r="R1410" s="49"/>
      <c r="S1410" s="49"/>
      <c r="T1410" s="49"/>
      <c r="U1410" s="49"/>
      <c r="V1410" s="49"/>
      <c r="W1410" s="49"/>
    </row>
    <row r="1411" spans="1:23">
      <c r="A1411" s="49"/>
      <c r="B1411" s="49"/>
      <c r="C1411" s="49"/>
      <c r="D1411" s="49"/>
      <c r="E1411" s="49"/>
      <c r="F1411" s="55"/>
      <c r="G1411" s="55"/>
      <c r="H1411" s="49"/>
      <c r="I1411" s="49"/>
      <c r="J1411" s="49"/>
      <c r="K1411" s="49"/>
      <c r="L1411" s="49"/>
      <c r="M1411" s="49"/>
      <c r="N1411" s="49"/>
      <c r="O1411" s="49"/>
      <c r="P1411" s="49"/>
      <c r="Q1411" s="49"/>
      <c r="R1411" s="49"/>
      <c r="S1411" s="49"/>
      <c r="T1411" s="49"/>
      <c r="U1411" s="49"/>
      <c r="V1411" s="49"/>
      <c r="W1411" s="49"/>
    </row>
    <row r="1412" spans="1:23">
      <c r="A1412" s="49"/>
      <c r="B1412" s="49"/>
      <c r="C1412" s="49"/>
      <c r="D1412" s="49"/>
      <c r="E1412" s="49"/>
      <c r="F1412" s="55"/>
      <c r="G1412" s="55"/>
      <c r="H1412" s="49"/>
      <c r="I1412" s="49"/>
      <c r="J1412" s="49"/>
      <c r="K1412" s="49"/>
      <c r="L1412" s="49"/>
      <c r="M1412" s="49"/>
      <c r="N1412" s="49"/>
      <c r="O1412" s="49"/>
      <c r="P1412" s="49"/>
      <c r="Q1412" s="49"/>
      <c r="R1412" s="49"/>
      <c r="S1412" s="49"/>
      <c r="T1412" s="49"/>
      <c r="U1412" s="49"/>
      <c r="V1412" s="49"/>
      <c r="W1412" s="49"/>
    </row>
    <row r="1413" spans="1:23">
      <c r="A1413" s="49"/>
      <c r="B1413" s="49"/>
      <c r="C1413" s="49"/>
      <c r="D1413" s="49"/>
      <c r="E1413" s="49"/>
      <c r="F1413" s="55"/>
      <c r="G1413" s="55"/>
      <c r="H1413" s="49"/>
      <c r="I1413" s="49"/>
      <c r="J1413" s="49"/>
      <c r="K1413" s="49"/>
      <c r="L1413" s="49"/>
      <c r="M1413" s="49"/>
      <c r="N1413" s="49"/>
      <c r="O1413" s="49"/>
      <c r="P1413" s="49"/>
      <c r="Q1413" s="49"/>
      <c r="R1413" s="49"/>
      <c r="S1413" s="49"/>
      <c r="T1413" s="49"/>
      <c r="U1413" s="49"/>
      <c r="V1413" s="49"/>
      <c r="W1413" s="49"/>
    </row>
    <row r="1414" spans="1:23">
      <c r="A1414" s="49"/>
      <c r="B1414" s="49"/>
      <c r="C1414" s="49"/>
      <c r="D1414" s="49"/>
      <c r="E1414" s="49"/>
      <c r="F1414" s="55"/>
      <c r="G1414" s="55"/>
      <c r="H1414" s="49"/>
      <c r="I1414" s="49"/>
      <c r="J1414" s="49"/>
      <c r="K1414" s="49"/>
      <c r="L1414" s="49"/>
      <c r="M1414" s="49"/>
      <c r="N1414" s="49"/>
      <c r="O1414" s="49"/>
      <c r="P1414" s="49"/>
      <c r="Q1414" s="49"/>
      <c r="R1414" s="49"/>
      <c r="S1414" s="49"/>
      <c r="T1414" s="49"/>
      <c r="U1414" s="49"/>
      <c r="V1414" s="49"/>
      <c r="W1414" s="49"/>
    </row>
    <row r="1415" spans="1:23">
      <c r="A1415" s="49"/>
      <c r="B1415" s="49"/>
      <c r="C1415" s="49"/>
      <c r="D1415" s="49"/>
      <c r="E1415" s="49"/>
      <c r="F1415" s="55"/>
      <c r="G1415" s="55"/>
      <c r="H1415" s="49"/>
      <c r="I1415" s="49"/>
      <c r="J1415" s="49"/>
      <c r="K1415" s="49"/>
      <c r="L1415" s="49"/>
      <c r="M1415" s="49"/>
      <c r="N1415" s="49"/>
      <c r="O1415" s="49"/>
      <c r="P1415" s="49"/>
      <c r="Q1415" s="49"/>
      <c r="R1415" s="49"/>
      <c r="S1415" s="49"/>
      <c r="T1415" s="49"/>
      <c r="U1415" s="49"/>
      <c r="V1415" s="49"/>
      <c r="W1415" s="49"/>
    </row>
    <row r="1416" spans="1:23">
      <c r="A1416" s="49"/>
      <c r="B1416" s="49"/>
      <c r="C1416" s="49"/>
      <c r="D1416" s="49"/>
      <c r="E1416" s="49"/>
      <c r="F1416" s="55"/>
      <c r="G1416" s="55"/>
      <c r="H1416" s="49"/>
      <c r="I1416" s="49"/>
      <c r="J1416" s="49"/>
      <c r="K1416" s="49"/>
      <c r="L1416" s="49"/>
      <c r="M1416" s="49"/>
      <c r="N1416" s="49"/>
      <c r="O1416" s="49"/>
      <c r="P1416" s="49"/>
      <c r="Q1416" s="49"/>
      <c r="R1416" s="49"/>
      <c r="S1416" s="49"/>
      <c r="T1416" s="49"/>
      <c r="U1416" s="49"/>
      <c r="V1416" s="49"/>
      <c r="W1416" s="49"/>
    </row>
    <row r="1417" spans="1:23">
      <c r="A1417" s="49"/>
      <c r="B1417" s="49"/>
      <c r="C1417" s="49"/>
      <c r="D1417" s="49"/>
      <c r="E1417" s="49"/>
      <c r="F1417" s="55"/>
      <c r="G1417" s="55"/>
      <c r="H1417" s="49"/>
      <c r="I1417" s="49"/>
      <c r="J1417" s="49"/>
      <c r="K1417" s="49"/>
      <c r="L1417" s="49"/>
      <c r="M1417" s="49"/>
      <c r="N1417" s="49"/>
      <c r="O1417" s="49"/>
      <c r="P1417" s="49"/>
      <c r="Q1417" s="49"/>
      <c r="R1417" s="49"/>
      <c r="S1417" s="49"/>
      <c r="T1417" s="49"/>
      <c r="U1417" s="49"/>
      <c r="V1417" s="49"/>
      <c r="W1417" s="49"/>
    </row>
    <row r="1418" spans="1:23">
      <c r="A1418" s="49"/>
      <c r="B1418" s="49"/>
      <c r="C1418" s="49"/>
      <c r="D1418" s="49"/>
      <c r="E1418" s="49"/>
      <c r="F1418" s="55"/>
      <c r="G1418" s="55"/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  <c r="R1418" s="49"/>
      <c r="S1418" s="49"/>
      <c r="T1418" s="49"/>
      <c r="U1418" s="49"/>
      <c r="V1418" s="49"/>
      <c r="W1418" s="49"/>
    </row>
    <row r="1419" spans="1:23">
      <c r="A1419" s="49"/>
      <c r="B1419" s="49"/>
      <c r="C1419" s="49"/>
      <c r="D1419" s="49"/>
      <c r="E1419" s="49"/>
      <c r="F1419" s="55"/>
      <c r="G1419" s="55"/>
      <c r="H1419" s="49"/>
      <c r="I1419" s="49"/>
      <c r="J1419" s="49"/>
      <c r="K1419" s="49"/>
      <c r="L1419" s="49"/>
      <c r="M1419" s="49"/>
      <c r="N1419" s="49"/>
      <c r="O1419" s="49"/>
      <c r="P1419" s="49"/>
      <c r="Q1419" s="49"/>
      <c r="R1419" s="49"/>
      <c r="S1419" s="49"/>
      <c r="T1419" s="49"/>
      <c r="U1419" s="49"/>
      <c r="V1419" s="49"/>
      <c r="W1419" s="49"/>
    </row>
    <row r="1420" spans="1:23">
      <c r="A1420" s="49"/>
      <c r="B1420" s="49"/>
      <c r="C1420" s="49"/>
      <c r="D1420" s="49"/>
      <c r="E1420" s="49"/>
      <c r="F1420" s="55"/>
      <c r="G1420" s="55"/>
      <c r="H1420" s="49"/>
      <c r="I1420" s="49"/>
      <c r="J1420" s="49"/>
      <c r="K1420" s="49"/>
      <c r="L1420" s="49"/>
      <c r="M1420" s="49"/>
      <c r="N1420" s="49"/>
      <c r="O1420" s="49"/>
      <c r="P1420" s="49"/>
      <c r="Q1420" s="49"/>
      <c r="R1420" s="49"/>
      <c r="S1420" s="49"/>
      <c r="T1420" s="49"/>
      <c r="U1420" s="49"/>
      <c r="V1420" s="49"/>
      <c r="W1420" s="49"/>
    </row>
    <row r="1421" spans="1:23">
      <c r="A1421" s="49"/>
      <c r="B1421" s="49"/>
      <c r="C1421" s="49"/>
      <c r="D1421" s="49"/>
      <c r="E1421" s="49"/>
      <c r="F1421" s="55"/>
      <c r="G1421" s="55"/>
      <c r="H1421" s="49"/>
      <c r="I1421" s="49"/>
      <c r="J1421" s="49"/>
      <c r="K1421" s="49"/>
      <c r="L1421" s="49"/>
      <c r="M1421" s="49"/>
      <c r="N1421" s="49"/>
      <c r="O1421" s="49"/>
      <c r="P1421" s="49"/>
      <c r="Q1421" s="49"/>
      <c r="R1421" s="49"/>
      <c r="S1421" s="49"/>
      <c r="T1421" s="49"/>
      <c r="U1421" s="49"/>
      <c r="V1421" s="49"/>
      <c r="W1421" s="49"/>
    </row>
    <row r="1422" spans="1:23">
      <c r="A1422" s="49"/>
      <c r="B1422" s="49"/>
      <c r="C1422" s="49"/>
      <c r="D1422" s="49"/>
      <c r="E1422" s="49"/>
      <c r="F1422" s="55"/>
      <c r="G1422" s="55"/>
      <c r="H1422" s="49"/>
      <c r="I1422" s="49"/>
      <c r="J1422" s="49"/>
      <c r="K1422" s="49"/>
      <c r="L1422" s="49"/>
      <c r="M1422" s="49"/>
      <c r="N1422" s="49"/>
      <c r="O1422" s="49"/>
      <c r="P1422" s="49"/>
      <c r="Q1422" s="49"/>
      <c r="R1422" s="49"/>
      <c r="S1422" s="49"/>
      <c r="T1422" s="49"/>
      <c r="U1422" s="49"/>
      <c r="V1422" s="49"/>
      <c r="W1422" s="49"/>
    </row>
    <row r="1423" spans="1:23">
      <c r="A1423" s="49"/>
      <c r="B1423" s="49"/>
      <c r="C1423" s="49"/>
      <c r="D1423" s="49"/>
      <c r="E1423" s="49"/>
      <c r="F1423" s="55"/>
      <c r="G1423" s="55"/>
      <c r="H1423" s="49"/>
      <c r="I1423" s="49"/>
      <c r="J1423" s="49"/>
      <c r="K1423" s="49"/>
      <c r="L1423" s="49"/>
      <c r="M1423" s="49"/>
      <c r="N1423" s="49"/>
      <c r="O1423" s="49"/>
      <c r="P1423" s="49"/>
      <c r="Q1423" s="49"/>
      <c r="R1423" s="49"/>
      <c r="S1423" s="49"/>
      <c r="T1423" s="49"/>
      <c r="U1423" s="49"/>
      <c r="V1423" s="49"/>
      <c r="W1423" s="49"/>
    </row>
    <row r="1424" spans="1:23">
      <c r="A1424" s="49"/>
      <c r="B1424" s="49"/>
      <c r="C1424" s="49"/>
      <c r="D1424" s="49"/>
      <c r="E1424" s="49"/>
      <c r="F1424" s="55"/>
      <c r="G1424" s="55"/>
      <c r="H1424" s="49"/>
      <c r="I1424" s="49"/>
      <c r="J1424" s="49"/>
      <c r="K1424" s="49"/>
      <c r="L1424" s="49"/>
      <c r="M1424" s="49"/>
      <c r="N1424" s="49"/>
      <c r="O1424" s="49"/>
      <c r="P1424" s="49"/>
      <c r="Q1424" s="49"/>
      <c r="R1424" s="49"/>
      <c r="S1424" s="49"/>
      <c r="T1424" s="49"/>
      <c r="U1424" s="49"/>
      <c r="V1424" s="49"/>
      <c r="W1424" s="49"/>
    </row>
    <row r="1425" spans="1:23">
      <c r="A1425" s="49"/>
      <c r="B1425" s="49"/>
      <c r="C1425" s="49"/>
      <c r="D1425" s="49"/>
      <c r="E1425" s="49"/>
      <c r="F1425" s="55"/>
      <c r="G1425" s="55"/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  <c r="R1425" s="49"/>
      <c r="S1425" s="49"/>
      <c r="T1425" s="49"/>
      <c r="U1425" s="49"/>
      <c r="V1425" s="49"/>
      <c r="W1425" s="49"/>
    </row>
    <row r="1426" spans="1:23">
      <c r="A1426" s="49"/>
      <c r="B1426" s="49"/>
      <c r="C1426" s="49"/>
      <c r="D1426" s="49"/>
      <c r="E1426" s="49"/>
      <c r="F1426" s="55"/>
      <c r="G1426" s="55"/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  <c r="R1426" s="49"/>
      <c r="S1426" s="49"/>
      <c r="T1426" s="49"/>
      <c r="U1426" s="49"/>
      <c r="V1426" s="49"/>
      <c r="W1426" s="49"/>
    </row>
    <row r="1427" spans="1:23">
      <c r="A1427" s="49"/>
      <c r="B1427" s="49"/>
      <c r="C1427" s="49"/>
      <c r="D1427" s="49"/>
      <c r="E1427" s="49"/>
      <c r="F1427" s="55"/>
      <c r="G1427" s="55"/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  <c r="R1427" s="49"/>
      <c r="S1427" s="49"/>
      <c r="T1427" s="49"/>
      <c r="U1427" s="49"/>
      <c r="V1427" s="49"/>
      <c r="W1427" s="49"/>
    </row>
    <row r="1428" spans="1:23">
      <c r="A1428" s="49"/>
      <c r="B1428" s="49"/>
      <c r="C1428" s="49"/>
      <c r="D1428" s="49"/>
      <c r="E1428" s="49"/>
      <c r="F1428" s="55"/>
      <c r="G1428" s="55"/>
      <c r="H1428" s="49"/>
      <c r="I1428" s="49"/>
      <c r="J1428" s="49"/>
      <c r="K1428" s="49"/>
      <c r="L1428" s="49"/>
      <c r="M1428" s="49"/>
      <c r="N1428" s="49"/>
      <c r="O1428" s="49"/>
      <c r="P1428" s="49"/>
      <c r="Q1428" s="49"/>
      <c r="R1428" s="49"/>
      <c r="S1428" s="49"/>
      <c r="T1428" s="49"/>
      <c r="U1428" s="49"/>
      <c r="V1428" s="49"/>
      <c r="W1428" s="49"/>
    </row>
    <row r="1429" spans="1:23">
      <c r="A1429" s="49"/>
      <c r="B1429" s="49"/>
      <c r="C1429" s="49"/>
      <c r="D1429" s="49"/>
      <c r="E1429" s="49"/>
      <c r="F1429" s="55"/>
      <c r="G1429" s="55"/>
      <c r="H1429" s="49"/>
      <c r="I1429" s="49"/>
      <c r="J1429" s="49"/>
      <c r="K1429" s="49"/>
      <c r="L1429" s="49"/>
      <c r="M1429" s="49"/>
      <c r="N1429" s="49"/>
      <c r="O1429" s="49"/>
      <c r="P1429" s="49"/>
      <c r="Q1429" s="49"/>
      <c r="R1429" s="49"/>
      <c r="S1429" s="49"/>
      <c r="T1429" s="49"/>
      <c r="U1429" s="49"/>
      <c r="V1429" s="49"/>
      <c r="W1429" s="49"/>
    </row>
    <row r="1430" spans="1:23">
      <c r="A1430" s="49"/>
      <c r="B1430" s="49"/>
      <c r="C1430" s="49"/>
      <c r="D1430" s="49"/>
      <c r="E1430" s="49"/>
      <c r="F1430" s="55"/>
      <c r="G1430" s="55"/>
      <c r="H1430" s="49"/>
      <c r="I1430" s="49"/>
      <c r="J1430" s="49"/>
      <c r="K1430" s="49"/>
      <c r="L1430" s="49"/>
      <c r="M1430" s="49"/>
      <c r="N1430" s="49"/>
      <c r="O1430" s="49"/>
      <c r="P1430" s="49"/>
      <c r="Q1430" s="49"/>
      <c r="R1430" s="49"/>
      <c r="S1430" s="49"/>
      <c r="T1430" s="49"/>
      <c r="U1430" s="49"/>
      <c r="V1430" s="49"/>
      <c r="W1430" s="49"/>
    </row>
    <row r="1431" spans="1:23">
      <c r="A1431" s="49"/>
      <c r="B1431" s="49"/>
      <c r="C1431" s="49"/>
      <c r="D1431" s="49"/>
      <c r="E1431" s="49"/>
      <c r="F1431" s="55"/>
      <c r="G1431" s="55"/>
      <c r="H1431" s="49"/>
      <c r="I1431" s="49"/>
      <c r="J1431" s="49"/>
      <c r="K1431" s="49"/>
      <c r="L1431" s="49"/>
      <c r="M1431" s="49"/>
      <c r="N1431" s="49"/>
      <c r="O1431" s="49"/>
      <c r="P1431" s="49"/>
      <c r="Q1431" s="49"/>
      <c r="R1431" s="49"/>
      <c r="S1431" s="49"/>
      <c r="T1431" s="49"/>
      <c r="U1431" s="49"/>
      <c r="V1431" s="49"/>
      <c r="W1431" s="49"/>
    </row>
    <row r="1432" spans="1:23">
      <c r="A1432" s="49"/>
      <c r="B1432" s="49"/>
      <c r="C1432" s="49"/>
      <c r="D1432" s="49"/>
      <c r="E1432" s="49"/>
      <c r="F1432" s="55"/>
      <c r="G1432" s="55"/>
      <c r="H1432" s="49"/>
      <c r="I1432" s="49"/>
      <c r="J1432" s="49"/>
      <c r="K1432" s="49"/>
      <c r="L1432" s="49"/>
      <c r="M1432" s="49"/>
      <c r="N1432" s="49"/>
      <c r="O1432" s="49"/>
      <c r="P1432" s="49"/>
      <c r="Q1432" s="49"/>
      <c r="R1432" s="49"/>
      <c r="S1432" s="49"/>
      <c r="T1432" s="49"/>
      <c r="U1432" s="49"/>
      <c r="V1432" s="49"/>
      <c r="W1432" s="49"/>
    </row>
    <row r="1433" spans="1:23">
      <c r="A1433" s="49"/>
      <c r="B1433" s="49"/>
      <c r="C1433" s="49"/>
      <c r="D1433" s="49"/>
      <c r="E1433" s="49"/>
      <c r="F1433" s="55"/>
      <c r="G1433" s="55"/>
      <c r="H1433" s="49"/>
      <c r="I1433" s="49"/>
      <c r="J1433" s="49"/>
      <c r="K1433" s="49"/>
      <c r="L1433" s="49"/>
      <c r="M1433" s="49"/>
      <c r="N1433" s="49"/>
      <c r="O1433" s="49"/>
      <c r="P1433" s="49"/>
      <c r="Q1433" s="49"/>
      <c r="R1433" s="49"/>
      <c r="S1433" s="49"/>
      <c r="T1433" s="49"/>
      <c r="U1433" s="49"/>
      <c r="V1433" s="49"/>
      <c r="W1433" s="49"/>
    </row>
    <row r="1434" spans="1:23">
      <c r="A1434" s="49"/>
      <c r="B1434" s="49"/>
      <c r="C1434" s="49"/>
      <c r="D1434" s="49"/>
      <c r="E1434" s="49"/>
      <c r="F1434" s="55"/>
      <c r="G1434" s="55"/>
      <c r="H1434" s="49"/>
      <c r="I1434" s="49"/>
      <c r="J1434" s="49"/>
      <c r="K1434" s="49"/>
      <c r="L1434" s="49"/>
      <c r="M1434" s="49"/>
      <c r="N1434" s="49"/>
      <c r="O1434" s="49"/>
      <c r="P1434" s="49"/>
      <c r="Q1434" s="49"/>
      <c r="R1434" s="49"/>
      <c r="S1434" s="49"/>
      <c r="T1434" s="49"/>
      <c r="U1434" s="49"/>
      <c r="V1434" s="49"/>
      <c r="W1434" s="49"/>
    </row>
    <row r="1435" spans="1:23">
      <c r="A1435" s="49"/>
      <c r="B1435" s="49"/>
      <c r="C1435" s="49"/>
      <c r="D1435" s="49"/>
      <c r="E1435" s="49"/>
      <c r="F1435" s="55"/>
      <c r="G1435" s="55"/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  <c r="R1435" s="49"/>
      <c r="S1435" s="49"/>
      <c r="T1435" s="49"/>
      <c r="U1435" s="49"/>
      <c r="V1435" s="49"/>
      <c r="W1435" s="49"/>
    </row>
    <row r="1436" spans="1:23">
      <c r="A1436" s="49"/>
      <c r="B1436" s="49"/>
      <c r="C1436" s="49"/>
      <c r="D1436" s="49"/>
      <c r="E1436" s="49"/>
      <c r="F1436" s="55"/>
      <c r="G1436" s="55"/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  <c r="R1436" s="49"/>
      <c r="S1436" s="49"/>
      <c r="T1436" s="49"/>
      <c r="U1436" s="49"/>
      <c r="V1436" s="49"/>
      <c r="W1436" s="49"/>
    </row>
    <row r="1437" spans="1:23">
      <c r="A1437" s="49"/>
      <c r="B1437" s="49"/>
      <c r="C1437" s="49"/>
      <c r="D1437" s="49"/>
      <c r="E1437" s="49"/>
      <c r="F1437" s="55"/>
      <c r="G1437" s="55"/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  <c r="R1437" s="49"/>
      <c r="S1437" s="49"/>
      <c r="T1437" s="49"/>
      <c r="U1437" s="49"/>
      <c r="V1437" s="49"/>
      <c r="W1437" s="49"/>
    </row>
    <row r="1438" spans="1:23">
      <c r="A1438" s="49"/>
      <c r="B1438" s="49"/>
      <c r="C1438" s="49"/>
      <c r="D1438" s="49"/>
      <c r="E1438" s="49"/>
      <c r="F1438" s="55"/>
      <c r="G1438" s="55"/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  <c r="R1438" s="49"/>
      <c r="S1438" s="49"/>
      <c r="T1438" s="49"/>
      <c r="U1438" s="49"/>
      <c r="V1438" s="49"/>
      <c r="W1438" s="49"/>
    </row>
    <row r="1439" spans="1:23">
      <c r="A1439" s="49"/>
      <c r="B1439" s="49"/>
      <c r="C1439" s="49"/>
      <c r="D1439" s="49"/>
      <c r="E1439" s="49"/>
      <c r="F1439" s="55"/>
      <c r="G1439" s="55"/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  <c r="R1439" s="49"/>
      <c r="S1439" s="49"/>
      <c r="T1439" s="49"/>
      <c r="U1439" s="49"/>
      <c r="V1439" s="49"/>
      <c r="W1439" s="49"/>
    </row>
    <row r="1440" spans="1:23">
      <c r="A1440" s="49"/>
      <c r="B1440" s="49"/>
      <c r="C1440" s="49"/>
      <c r="D1440" s="49"/>
      <c r="E1440" s="49"/>
      <c r="F1440" s="55"/>
      <c r="G1440" s="55"/>
      <c r="H1440" s="49"/>
      <c r="I1440" s="49"/>
      <c r="J1440" s="49"/>
      <c r="K1440" s="49"/>
      <c r="L1440" s="49"/>
      <c r="M1440" s="49"/>
      <c r="N1440" s="49"/>
      <c r="O1440" s="49"/>
      <c r="P1440" s="49"/>
      <c r="Q1440" s="49"/>
      <c r="R1440" s="49"/>
      <c r="S1440" s="49"/>
      <c r="T1440" s="49"/>
      <c r="U1440" s="49"/>
      <c r="V1440" s="49"/>
      <c r="W1440" s="49"/>
    </row>
    <row r="1441" spans="1:23">
      <c r="A1441" s="49"/>
      <c r="B1441" s="49"/>
      <c r="C1441" s="49"/>
      <c r="D1441" s="49"/>
      <c r="E1441" s="49"/>
      <c r="F1441" s="55"/>
      <c r="G1441" s="55"/>
      <c r="H1441" s="49"/>
      <c r="I1441" s="49"/>
      <c r="J1441" s="49"/>
      <c r="K1441" s="49"/>
      <c r="L1441" s="49"/>
      <c r="M1441" s="49"/>
      <c r="N1441" s="49"/>
      <c r="O1441" s="49"/>
      <c r="P1441" s="49"/>
      <c r="Q1441" s="49"/>
      <c r="R1441" s="49"/>
      <c r="S1441" s="49"/>
      <c r="T1441" s="49"/>
      <c r="U1441" s="49"/>
      <c r="V1441" s="49"/>
      <c r="W1441" s="49"/>
    </row>
    <row r="1442" spans="1:23">
      <c r="A1442" s="49"/>
      <c r="B1442" s="49"/>
      <c r="C1442" s="49"/>
      <c r="D1442" s="49"/>
      <c r="E1442" s="49"/>
      <c r="F1442" s="55"/>
      <c r="G1442" s="55"/>
      <c r="H1442" s="49"/>
      <c r="I1442" s="49"/>
      <c r="J1442" s="49"/>
      <c r="K1442" s="49"/>
      <c r="L1442" s="49"/>
      <c r="M1442" s="49"/>
      <c r="N1442" s="49"/>
      <c r="O1442" s="49"/>
      <c r="P1442" s="49"/>
      <c r="Q1442" s="49"/>
      <c r="R1442" s="49"/>
      <c r="S1442" s="49"/>
      <c r="T1442" s="49"/>
      <c r="U1442" s="49"/>
      <c r="V1442" s="49"/>
      <c r="W1442" s="49"/>
    </row>
    <row r="1443" spans="1:23">
      <c r="A1443" s="49"/>
      <c r="B1443" s="49"/>
      <c r="C1443" s="49"/>
      <c r="D1443" s="49"/>
      <c r="E1443" s="49"/>
      <c r="F1443" s="55"/>
      <c r="G1443" s="55"/>
      <c r="H1443" s="49"/>
      <c r="I1443" s="49"/>
      <c r="J1443" s="49"/>
      <c r="K1443" s="49"/>
      <c r="L1443" s="49"/>
      <c r="M1443" s="49"/>
      <c r="N1443" s="49"/>
      <c r="O1443" s="49"/>
      <c r="P1443" s="49"/>
      <c r="Q1443" s="49"/>
      <c r="R1443" s="49"/>
      <c r="S1443" s="49"/>
      <c r="T1443" s="49"/>
      <c r="U1443" s="49"/>
      <c r="V1443" s="49"/>
      <c r="W1443" s="49"/>
    </row>
    <row r="1444" spans="1:23">
      <c r="A1444" s="49"/>
      <c r="B1444" s="49"/>
      <c r="C1444" s="49"/>
      <c r="D1444" s="49"/>
      <c r="E1444" s="49"/>
      <c r="F1444" s="55"/>
      <c r="G1444" s="55"/>
      <c r="H1444" s="49"/>
      <c r="I1444" s="49"/>
      <c r="J1444" s="49"/>
      <c r="K1444" s="49"/>
      <c r="L1444" s="49"/>
      <c r="M1444" s="49"/>
      <c r="N1444" s="49"/>
      <c r="O1444" s="49"/>
      <c r="P1444" s="49"/>
      <c r="Q1444" s="49"/>
      <c r="R1444" s="49"/>
      <c r="S1444" s="49"/>
      <c r="T1444" s="49"/>
      <c r="U1444" s="49"/>
      <c r="V1444" s="49"/>
      <c r="W1444" s="49"/>
    </row>
    <row r="1445" spans="1:23">
      <c r="A1445" s="49"/>
      <c r="B1445" s="49"/>
      <c r="C1445" s="49"/>
      <c r="D1445" s="49"/>
      <c r="E1445" s="49"/>
      <c r="F1445" s="55"/>
      <c r="G1445" s="55"/>
      <c r="H1445" s="49"/>
      <c r="I1445" s="49"/>
      <c r="J1445" s="49"/>
      <c r="K1445" s="49"/>
      <c r="L1445" s="49"/>
      <c r="M1445" s="49"/>
      <c r="N1445" s="49"/>
      <c r="O1445" s="49"/>
      <c r="P1445" s="49"/>
      <c r="Q1445" s="49"/>
      <c r="R1445" s="49"/>
      <c r="S1445" s="49"/>
      <c r="T1445" s="49"/>
      <c r="U1445" s="49"/>
      <c r="V1445" s="49"/>
      <c r="W1445" s="49"/>
    </row>
    <row r="1446" spans="1:23">
      <c r="A1446" s="49"/>
      <c r="B1446" s="49"/>
      <c r="C1446" s="49"/>
      <c r="D1446" s="49"/>
      <c r="E1446" s="49"/>
      <c r="F1446" s="55"/>
      <c r="G1446" s="55"/>
      <c r="H1446" s="49"/>
      <c r="I1446" s="49"/>
      <c r="J1446" s="49"/>
      <c r="K1446" s="49"/>
      <c r="L1446" s="49"/>
      <c r="M1446" s="49"/>
      <c r="N1446" s="49"/>
      <c r="O1446" s="49"/>
      <c r="P1446" s="49"/>
      <c r="Q1446" s="49"/>
      <c r="R1446" s="49"/>
      <c r="S1446" s="49"/>
      <c r="T1446" s="49"/>
      <c r="U1446" s="49"/>
      <c r="V1446" s="49"/>
      <c r="W1446" s="49"/>
    </row>
    <row r="1447" spans="1:23">
      <c r="A1447" s="49"/>
      <c r="B1447" s="49"/>
      <c r="C1447" s="49"/>
      <c r="D1447" s="49"/>
      <c r="E1447" s="49"/>
      <c r="F1447" s="55"/>
      <c r="G1447" s="55"/>
      <c r="H1447" s="49"/>
      <c r="I1447" s="49"/>
      <c r="J1447" s="49"/>
      <c r="K1447" s="49"/>
      <c r="L1447" s="49"/>
      <c r="M1447" s="49"/>
      <c r="N1447" s="49"/>
      <c r="O1447" s="49"/>
      <c r="P1447" s="49"/>
      <c r="Q1447" s="49"/>
      <c r="R1447" s="49"/>
      <c r="S1447" s="49"/>
      <c r="T1447" s="49"/>
      <c r="U1447" s="49"/>
      <c r="V1447" s="49"/>
      <c r="W1447" s="49"/>
    </row>
    <row r="1448" spans="1:23">
      <c r="A1448" s="49"/>
      <c r="B1448" s="49"/>
      <c r="C1448" s="49"/>
      <c r="D1448" s="49"/>
      <c r="E1448" s="49"/>
      <c r="F1448" s="55"/>
      <c r="G1448" s="55"/>
      <c r="H1448" s="49"/>
      <c r="I1448" s="49"/>
      <c r="J1448" s="49"/>
      <c r="K1448" s="49"/>
      <c r="L1448" s="49"/>
      <c r="M1448" s="49"/>
      <c r="N1448" s="49"/>
      <c r="O1448" s="49"/>
      <c r="P1448" s="49"/>
      <c r="Q1448" s="49"/>
      <c r="R1448" s="49"/>
      <c r="S1448" s="49"/>
      <c r="T1448" s="49"/>
      <c r="U1448" s="49"/>
      <c r="V1448" s="49"/>
      <c r="W1448" s="49"/>
    </row>
    <row r="1449" spans="1:23">
      <c r="A1449" s="49"/>
      <c r="B1449" s="49"/>
      <c r="C1449" s="49"/>
      <c r="D1449" s="49"/>
      <c r="E1449" s="49"/>
      <c r="F1449" s="55"/>
      <c r="G1449" s="55"/>
      <c r="H1449" s="49"/>
      <c r="I1449" s="49"/>
      <c r="J1449" s="49"/>
      <c r="K1449" s="49"/>
      <c r="L1449" s="49"/>
      <c r="M1449" s="49"/>
      <c r="N1449" s="49"/>
      <c r="O1449" s="49"/>
      <c r="P1449" s="49"/>
      <c r="Q1449" s="49"/>
      <c r="R1449" s="49"/>
      <c r="S1449" s="49"/>
      <c r="T1449" s="49"/>
      <c r="U1449" s="49"/>
      <c r="V1449" s="49"/>
      <c r="W1449" s="49"/>
    </row>
    <row r="1450" spans="1:23">
      <c r="A1450" s="49"/>
      <c r="B1450" s="49"/>
      <c r="C1450" s="49"/>
      <c r="D1450" s="49"/>
      <c r="E1450" s="49"/>
      <c r="F1450" s="55"/>
      <c r="G1450" s="55"/>
      <c r="H1450" s="49"/>
      <c r="I1450" s="49"/>
      <c r="J1450" s="49"/>
      <c r="K1450" s="49"/>
      <c r="L1450" s="49"/>
      <c r="M1450" s="49"/>
      <c r="N1450" s="49"/>
      <c r="O1450" s="49"/>
      <c r="P1450" s="49"/>
      <c r="Q1450" s="49"/>
      <c r="R1450" s="49"/>
      <c r="S1450" s="49"/>
      <c r="T1450" s="49"/>
      <c r="U1450" s="49"/>
      <c r="V1450" s="49"/>
      <c r="W1450" s="49"/>
    </row>
    <row r="1451" spans="1:23">
      <c r="A1451" s="49"/>
      <c r="B1451" s="49"/>
      <c r="C1451" s="49"/>
      <c r="D1451" s="49"/>
      <c r="E1451" s="49"/>
      <c r="F1451" s="55"/>
      <c r="G1451" s="55"/>
      <c r="H1451" s="49"/>
      <c r="I1451" s="49"/>
      <c r="J1451" s="49"/>
      <c r="K1451" s="49"/>
      <c r="L1451" s="49"/>
      <c r="M1451" s="49"/>
      <c r="N1451" s="49"/>
      <c r="O1451" s="49"/>
      <c r="P1451" s="49"/>
      <c r="Q1451" s="49"/>
      <c r="R1451" s="49"/>
      <c r="S1451" s="49"/>
      <c r="T1451" s="49"/>
      <c r="U1451" s="49"/>
      <c r="V1451" s="49"/>
      <c r="W1451" s="49"/>
    </row>
    <row r="1452" spans="1:23">
      <c r="A1452" s="49"/>
      <c r="B1452" s="49"/>
      <c r="C1452" s="49"/>
      <c r="D1452" s="49"/>
      <c r="E1452" s="49"/>
      <c r="F1452" s="55"/>
      <c r="G1452" s="55"/>
      <c r="H1452" s="49"/>
      <c r="I1452" s="49"/>
      <c r="J1452" s="49"/>
      <c r="K1452" s="49"/>
      <c r="L1452" s="49"/>
      <c r="M1452" s="49"/>
      <c r="N1452" s="49"/>
      <c r="O1452" s="49"/>
      <c r="P1452" s="49"/>
      <c r="Q1452" s="49"/>
      <c r="R1452" s="49"/>
      <c r="S1452" s="49"/>
      <c r="T1452" s="49"/>
      <c r="U1452" s="49"/>
      <c r="V1452" s="49"/>
      <c r="W1452" s="49"/>
    </row>
    <row r="1453" spans="1:23">
      <c r="A1453" s="49"/>
      <c r="B1453" s="49"/>
      <c r="C1453" s="49"/>
      <c r="D1453" s="49"/>
      <c r="E1453" s="49"/>
      <c r="F1453" s="55"/>
      <c r="G1453" s="55"/>
      <c r="H1453" s="49"/>
      <c r="I1453" s="49"/>
      <c r="J1453" s="49"/>
      <c r="K1453" s="49"/>
      <c r="L1453" s="49"/>
      <c r="M1453" s="49"/>
      <c r="N1453" s="49"/>
      <c r="O1453" s="49"/>
      <c r="P1453" s="49"/>
      <c r="Q1453" s="49"/>
      <c r="R1453" s="49"/>
      <c r="S1453" s="49"/>
      <c r="T1453" s="49"/>
      <c r="U1453" s="49"/>
      <c r="V1453" s="49"/>
      <c r="W1453" s="49"/>
    </row>
    <row r="1454" spans="1:23">
      <c r="A1454" s="49"/>
      <c r="B1454" s="49"/>
      <c r="C1454" s="49"/>
      <c r="D1454" s="49"/>
      <c r="E1454" s="49"/>
      <c r="F1454" s="55"/>
      <c r="G1454" s="55"/>
      <c r="H1454" s="49"/>
      <c r="I1454" s="49"/>
      <c r="J1454" s="49"/>
      <c r="K1454" s="49"/>
      <c r="L1454" s="49"/>
      <c r="M1454" s="49"/>
      <c r="N1454" s="49"/>
      <c r="O1454" s="49"/>
      <c r="P1454" s="49"/>
      <c r="Q1454" s="49"/>
      <c r="R1454" s="49"/>
      <c r="S1454" s="49"/>
      <c r="T1454" s="49"/>
      <c r="U1454" s="49"/>
      <c r="V1454" s="49"/>
      <c r="W1454" s="49"/>
    </row>
    <row r="1455" spans="1:23">
      <c r="A1455" s="49"/>
      <c r="B1455" s="49"/>
      <c r="C1455" s="49"/>
      <c r="D1455" s="49"/>
      <c r="E1455" s="49"/>
      <c r="F1455" s="55"/>
      <c r="G1455" s="55"/>
      <c r="H1455" s="49"/>
      <c r="I1455" s="49"/>
      <c r="J1455" s="49"/>
      <c r="K1455" s="49"/>
      <c r="L1455" s="49"/>
      <c r="M1455" s="49"/>
      <c r="N1455" s="49"/>
      <c r="O1455" s="49"/>
      <c r="P1455" s="49"/>
      <c r="Q1455" s="49"/>
      <c r="R1455" s="49"/>
      <c r="S1455" s="49"/>
      <c r="T1455" s="49"/>
      <c r="U1455" s="49"/>
      <c r="V1455" s="49"/>
      <c r="W1455" s="49"/>
    </row>
    <row r="1456" spans="1:23">
      <c r="A1456" s="49"/>
      <c r="B1456" s="49"/>
      <c r="C1456" s="49"/>
      <c r="D1456" s="49"/>
      <c r="E1456" s="49"/>
      <c r="F1456" s="55"/>
      <c r="G1456" s="55"/>
      <c r="H1456" s="49"/>
      <c r="I1456" s="49"/>
      <c r="J1456" s="49"/>
      <c r="K1456" s="49"/>
      <c r="L1456" s="49"/>
      <c r="M1456" s="49"/>
      <c r="N1456" s="49"/>
      <c r="O1456" s="49"/>
      <c r="P1456" s="49"/>
      <c r="Q1456" s="49"/>
      <c r="R1456" s="49"/>
      <c r="S1456" s="49"/>
      <c r="T1456" s="49"/>
      <c r="U1456" s="49"/>
      <c r="V1456" s="49"/>
      <c r="W1456" s="49"/>
    </row>
    <row r="1457" spans="1:23">
      <c r="A1457" s="49"/>
      <c r="B1457" s="49"/>
      <c r="C1457" s="49"/>
      <c r="D1457" s="49"/>
      <c r="E1457" s="49"/>
      <c r="F1457" s="55"/>
      <c r="G1457" s="55"/>
      <c r="H1457" s="49"/>
      <c r="I1457" s="49"/>
      <c r="J1457" s="49"/>
      <c r="K1457" s="49"/>
      <c r="L1457" s="49"/>
      <c r="M1457" s="49"/>
      <c r="N1457" s="49"/>
      <c r="O1457" s="49"/>
      <c r="P1457" s="49"/>
      <c r="Q1457" s="49"/>
      <c r="R1457" s="49"/>
      <c r="S1457" s="49"/>
      <c r="T1457" s="49"/>
      <c r="U1457" s="49"/>
      <c r="V1457" s="49"/>
      <c r="W1457" s="49"/>
    </row>
    <row r="1458" spans="1:23">
      <c r="A1458" s="49"/>
      <c r="B1458" s="49"/>
      <c r="C1458" s="49"/>
      <c r="D1458" s="49"/>
      <c r="E1458" s="49"/>
      <c r="F1458" s="55"/>
      <c r="G1458" s="55"/>
      <c r="H1458" s="49"/>
      <c r="I1458" s="49"/>
      <c r="J1458" s="49"/>
      <c r="K1458" s="49"/>
      <c r="L1458" s="49"/>
      <c r="M1458" s="49"/>
      <c r="N1458" s="49"/>
      <c r="O1458" s="49"/>
      <c r="P1458" s="49"/>
      <c r="Q1458" s="49"/>
      <c r="R1458" s="49"/>
      <c r="S1458" s="49"/>
      <c r="T1458" s="49"/>
      <c r="U1458" s="49"/>
      <c r="V1458" s="49"/>
      <c r="W1458" s="49"/>
    </row>
    <row r="1459" spans="1:23">
      <c r="A1459" s="49"/>
      <c r="B1459" s="49"/>
      <c r="C1459" s="49"/>
      <c r="D1459" s="49"/>
      <c r="E1459" s="49"/>
      <c r="F1459" s="55"/>
      <c r="G1459" s="55"/>
      <c r="H1459" s="49"/>
      <c r="I1459" s="49"/>
      <c r="J1459" s="49"/>
      <c r="K1459" s="49"/>
      <c r="L1459" s="49"/>
      <c r="M1459" s="49"/>
      <c r="N1459" s="49"/>
      <c r="O1459" s="49"/>
      <c r="P1459" s="49"/>
      <c r="Q1459" s="49"/>
      <c r="R1459" s="49"/>
      <c r="S1459" s="49"/>
      <c r="T1459" s="49"/>
      <c r="U1459" s="49"/>
      <c r="V1459" s="49"/>
      <c r="W1459" s="49"/>
    </row>
    <row r="1460" spans="1:23">
      <c r="A1460" s="49"/>
      <c r="B1460" s="49"/>
      <c r="C1460" s="49"/>
      <c r="D1460" s="49"/>
      <c r="E1460" s="49"/>
      <c r="F1460" s="55"/>
      <c r="G1460" s="55"/>
      <c r="H1460" s="49"/>
      <c r="I1460" s="49"/>
      <c r="J1460" s="49"/>
      <c r="K1460" s="49"/>
      <c r="L1460" s="49"/>
      <c r="M1460" s="49"/>
      <c r="N1460" s="49"/>
      <c r="O1460" s="49"/>
      <c r="P1460" s="49"/>
      <c r="Q1460" s="49"/>
      <c r="R1460" s="49"/>
      <c r="S1460" s="49"/>
      <c r="T1460" s="49"/>
      <c r="U1460" s="49"/>
      <c r="V1460" s="49"/>
      <c r="W1460" s="49"/>
    </row>
    <row r="1461" spans="1:23">
      <c r="A1461" s="49"/>
      <c r="B1461" s="49"/>
      <c r="C1461" s="49"/>
      <c r="D1461" s="49"/>
      <c r="E1461" s="49"/>
      <c r="F1461" s="55"/>
      <c r="G1461" s="55"/>
      <c r="H1461" s="49"/>
      <c r="I1461" s="49"/>
      <c r="J1461" s="49"/>
      <c r="K1461" s="49"/>
      <c r="L1461" s="49"/>
      <c r="M1461" s="49"/>
      <c r="N1461" s="49"/>
      <c r="O1461" s="49"/>
      <c r="P1461" s="49"/>
      <c r="Q1461" s="49"/>
      <c r="R1461" s="49"/>
      <c r="S1461" s="49"/>
      <c r="T1461" s="49"/>
      <c r="U1461" s="49"/>
      <c r="V1461" s="49"/>
      <c r="W1461" s="49"/>
    </row>
    <row r="1462" spans="1:23">
      <c r="A1462" s="49"/>
      <c r="B1462" s="49"/>
      <c r="C1462" s="49"/>
      <c r="D1462" s="49"/>
      <c r="E1462" s="49"/>
      <c r="F1462" s="55"/>
      <c r="G1462" s="55"/>
      <c r="H1462" s="49"/>
      <c r="I1462" s="49"/>
      <c r="J1462" s="49"/>
      <c r="K1462" s="49"/>
      <c r="L1462" s="49"/>
      <c r="M1462" s="49"/>
      <c r="N1462" s="49"/>
      <c r="O1462" s="49"/>
      <c r="P1462" s="49"/>
      <c r="Q1462" s="49"/>
      <c r="R1462" s="49"/>
      <c r="S1462" s="49"/>
      <c r="T1462" s="49"/>
      <c r="U1462" s="49"/>
      <c r="V1462" s="49"/>
      <c r="W1462" s="49"/>
    </row>
    <row r="1463" spans="1:23">
      <c r="A1463" s="49"/>
      <c r="B1463" s="49"/>
      <c r="C1463" s="49"/>
      <c r="D1463" s="49"/>
      <c r="E1463" s="49"/>
      <c r="F1463" s="55"/>
      <c r="G1463" s="55"/>
      <c r="H1463" s="49"/>
      <c r="I1463" s="49"/>
      <c r="J1463" s="49"/>
      <c r="K1463" s="49"/>
      <c r="L1463" s="49"/>
      <c r="M1463" s="49"/>
      <c r="N1463" s="49"/>
      <c r="O1463" s="49"/>
      <c r="P1463" s="49"/>
      <c r="Q1463" s="49"/>
      <c r="R1463" s="49"/>
      <c r="S1463" s="49"/>
      <c r="T1463" s="49"/>
      <c r="U1463" s="49"/>
      <c r="V1463" s="49"/>
      <c r="W1463" s="49"/>
    </row>
    <row r="1464" spans="1:23">
      <c r="A1464" s="49"/>
      <c r="B1464" s="49"/>
      <c r="C1464" s="49"/>
      <c r="D1464" s="49"/>
      <c r="E1464" s="49"/>
      <c r="F1464" s="55"/>
      <c r="G1464" s="55"/>
      <c r="H1464" s="49"/>
      <c r="I1464" s="49"/>
      <c r="J1464" s="49"/>
      <c r="K1464" s="49"/>
      <c r="L1464" s="49"/>
      <c r="M1464" s="49"/>
      <c r="N1464" s="49"/>
      <c r="O1464" s="49"/>
      <c r="P1464" s="49"/>
      <c r="Q1464" s="49"/>
      <c r="R1464" s="49"/>
      <c r="S1464" s="49"/>
      <c r="T1464" s="49"/>
      <c r="U1464" s="49"/>
      <c r="V1464" s="49"/>
      <c r="W1464" s="49"/>
    </row>
    <row r="1465" spans="1:23">
      <c r="A1465" s="49"/>
      <c r="B1465" s="49"/>
      <c r="C1465" s="49"/>
      <c r="D1465" s="49"/>
      <c r="E1465" s="49"/>
      <c r="F1465" s="55"/>
      <c r="G1465" s="55"/>
      <c r="H1465" s="49"/>
      <c r="I1465" s="49"/>
      <c r="J1465" s="49"/>
      <c r="K1465" s="49"/>
      <c r="L1465" s="49"/>
      <c r="M1465" s="49"/>
      <c r="N1465" s="49"/>
      <c r="O1465" s="49"/>
      <c r="P1465" s="49"/>
      <c r="Q1465" s="49"/>
      <c r="R1465" s="49"/>
      <c r="S1465" s="49"/>
      <c r="T1465" s="49"/>
      <c r="U1465" s="49"/>
      <c r="V1465" s="49"/>
      <c r="W1465" s="49"/>
    </row>
    <row r="1466" spans="1:23">
      <c r="A1466" s="49"/>
      <c r="B1466" s="49"/>
      <c r="C1466" s="49"/>
      <c r="D1466" s="49"/>
      <c r="E1466" s="49"/>
      <c r="F1466" s="55"/>
      <c r="G1466" s="55"/>
      <c r="H1466" s="49"/>
      <c r="I1466" s="49"/>
      <c r="J1466" s="49"/>
      <c r="K1466" s="49"/>
      <c r="L1466" s="49"/>
      <c r="M1466" s="49"/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</row>
    <row r="1467" spans="1:23">
      <c r="A1467" s="49"/>
      <c r="B1467" s="49"/>
      <c r="C1467" s="49"/>
      <c r="D1467" s="49"/>
      <c r="E1467" s="49"/>
      <c r="F1467" s="55"/>
      <c r="G1467" s="55"/>
      <c r="H1467" s="49"/>
      <c r="I1467" s="49"/>
      <c r="J1467" s="49"/>
      <c r="K1467" s="49"/>
      <c r="L1467" s="49"/>
      <c r="M1467" s="49"/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</row>
    <row r="1468" spans="1:23">
      <c r="A1468" s="49"/>
      <c r="B1468" s="49"/>
      <c r="C1468" s="49"/>
      <c r="D1468" s="49"/>
      <c r="E1468" s="49"/>
      <c r="F1468" s="55"/>
      <c r="G1468" s="55"/>
      <c r="H1468" s="49"/>
      <c r="I1468" s="49"/>
      <c r="J1468" s="49"/>
      <c r="K1468" s="49"/>
      <c r="L1468" s="49"/>
      <c r="M1468" s="49"/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</row>
    <row r="1469" spans="1:23">
      <c r="A1469" s="49"/>
      <c r="B1469" s="49"/>
      <c r="C1469" s="49"/>
      <c r="D1469" s="49"/>
      <c r="E1469" s="49"/>
      <c r="F1469" s="55"/>
      <c r="G1469" s="55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</row>
    <row r="1470" spans="1:23">
      <c r="A1470" s="49"/>
      <c r="B1470" s="49"/>
      <c r="C1470" s="49"/>
      <c r="D1470" s="49"/>
      <c r="E1470" s="49"/>
      <c r="F1470" s="55"/>
      <c r="G1470" s="55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</row>
    <row r="1471" spans="1:23">
      <c r="A1471" s="49"/>
      <c r="B1471" s="49"/>
      <c r="C1471" s="49"/>
      <c r="D1471" s="49"/>
      <c r="E1471" s="49"/>
      <c r="F1471" s="55"/>
      <c r="G1471" s="55"/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</row>
    <row r="1472" spans="1:23">
      <c r="A1472" s="49"/>
      <c r="B1472" s="49"/>
      <c r="C1472" s="49"/>
      <c r="D1472" s="49"/>
      <c r="E1472" s="49"/>
      <c r="F1472" s="55"/>
      <c r="G1472" s="55"/>
      <c r="H1472" s="49"/>
      <c r="I1472" s="49"/>
      <c r="J1472" s="49"/>
      <c r="K1472" s="49"/>
      <c r="L1472" s="49"/>
      <c r="M1472" s="49"/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</row>
    <row r="1473" spans="1:23">
      <c r="A1473" s="49"/>
      <c r="B1473" s="49"/>
      <c r="C1473" s="49"/>
      <c r="D1473" s="49"/>
      <c r="E1473" s="49"/>
      <c r="F1473" s="55"/>
      <c r="G1473" s="55"/>
      <c r="H1473" s="49"/>
      <c r="I1473" s="49"/>
      <c r="J1473" s="49"/>
      <c r="K1473" s="49"/>
      <c r="L1473" s="49"/>
      <c r="M1473" s="49"/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</row>
    <row r="1474" spans="1:23">
      <c r="A1474" s="49"/>
      <c r="B1474" s="49"/>
      <c r="C1474" s="49"/>
      <c r="D1474" s="49"/>
      <c r="E1474" s="49"/>
      <c r="F1474" s="55"/>
      <c r="G1474" s="55"/>
      <c r="H1474" s="49"/>
      <c r="I1474" s="49"/>
      <c r="J1474" s="49"/>
      <c r="K1474" s="49"/>
      <c r="L1474" s="49"/>
      <c r="M1474" s="49"/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</row>
    <row r="1475" spans="1:23">
      <c r="A1475" s="49"/>
      <c r="B1475" s="49"/>
      <c r="C1475" s="49"/>
      <c r="D1475" s="49"/>
      <c r="E1475" s="49"/>
      <c r="F1475" s="55"/>
      <c r="G1475" s="55"/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</row>
    <row r="1476" spans="1:23">
      <c r="A1476" s="49"/>
      <c r="B1476" s="49"/>
      <c r="C1476" s="49"/>
      <c r="D1476" s="49"/>
      <c r="E1476" s="49"/>
      <c r="F1476" s="55"/>
      <c r="G1476" s="55"/>
      <c r="H1476" s="49"/>
      <c r="I1476" s="49"/>
      <c r="J1476" s="49"/>
      <c r="K1476" s="49"/>
      <c r="L1476" s="49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</row>
    <row r="1477" spans="1:23">
      <c r="A1477" s="49"/>
      <c r="B1477" s="49"/>
      <c r="C1477" s="49"/>
      <c r="D1477" s="49"/>
      <c r="E1477" s="49"/>
      <c r="F1477" s="55"/>
      <c r="G1477" s="55"/>
      <c r="H1477" s="49"/>
      <c r="I1477" s="49"/>
      <c r="J1477" s="49"/>
      <c r="K1477" s="49"/>
      <c r="L1477" s="49"/>
      <c r="M1477" s="49"/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</row>
    <row r="1478" spans="1:23">
      <c r="A1478" s="49"/>
      <c r="B1478" s="49"/>
      <c r="C1478" s="49"/>
      <c r="D1478" s="49"/>
      <c r="E1478" s="49"/>
      <c r="F1478" s="55"/>
      <c r="G1478" s="55"/>
      <c r="H1478" s="49"/>
      <c r="I1478" s="49"/>
      <c r="J1478" s="49"/>
      <c r="K1478" s="49"/>
      <c r="L1478" s="49"/>
      <c r="M1478" s="49"/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</row>
    <row r="1479" spans="1:23">
      <c r="A1479" s="49"/>
      <c r="B1479" s="49"/>
      <c r="C1479" s="49"/>
      <c r="D1479" s="49"/>
      <c r="E1479" s="49"/>
      <c r="F1479" s="55"/>
      <c r="G1479" s="55"/>
      <c r="H1479" s="49"/>
      <c r="I1479" s="49"/>
      <c r="J1479" s="49"/>
      <c r="K1479" s="49"/>
      <c r="L1479" s="49"/>
      <c r="M1479" s="49"/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</row>
    <row r="1480" spans="1:23">
      <c r="A1480" s="49"/>
      <c r="B1480" s="49"/>
      <c r="C1480" s="49"/>
      <c r="D1480" s="49"/>
      <c r="E1480" s="49"/>
      <c r="F1480" s="55"/>
      <c r="G1480" s="55"/>
      <c r="H1480" s="49"/>
      <c r="I1480" s="49"/>
      <c r="J1480" s="49"/>
      <c r="K1480" s="49"/>
      <c r="L1480" s="49"/>
      <c r="M1480" s="49"/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</row>
    <row r="1481" spans="1:23">
      <c r="A1481" s="49"/>
      <c r="B1481" s="49"/>
      <c r="C1481" s="49"/>
      <c r="D1481" s="49"/>
      <c r="E1481" s="49"/>
      <c r="F1481" s="55"/>
      <c r="G1481" s="55"/>
      <c r="H1481" s="49"/>
      <c r="I1481" s="49"/>
      <c r="J1481" s="49"/>
      <c r="K1481" s="49"/>
      <c r="L1481" s="49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</row>
    <row r="1482" spans="1:23">
      <c r="A1482" s="49"/>
      <c r="B1482" s="49"/>
      <c r="C1482" s="49"/>
      <c r="D1482" s="49"/>
      <c r="E1482" s="49"/>
      <c r="F1482" s="55"/>
      <c r="G1482" s="55"/>
      <c r="H1482" s="49"/>
      <c r="I1482" s="49"/>
      <c r="J1482" s="49"/>
      <c r="K1482" s="49"/>
      <c r="L1482" s="49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</row>
    <row r="1483" spans="1:23">
      <c r="A1483" s="49"/>
      <c r="B1483" s="49"/>
      <c r="C1483" s="49"/>
      <c r="D1483" s="49"/>
      <c r="E1483" s="49"/>
      <c r="F1483" s="55"/>
      <c r="G1483" s="55"/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</row>
    <row r="1484" spans="1:23">
      <c r="A1484" s="49"/>
      <c r="B1484" s="49"/>
      <c r="C1484" s="49"/>
      <c r="D1484" s="49"/>
      <c r="E1484" s="49"/>
      <c r="F1484" s="55"/>
      <c r="G1484" s="55"/>
      <c r="H1484" s="49"/>
      <c r="I1484" s="49"/>
      <c r="J1484" s="49"/>
      <c r="K1484" s="49"/>
      <c r="L1484" s="49"/>
      <c r="M1484" s="49"/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</row>
    <row r="1485" spans="1:23">
      <c r="A1485" s="49"/>
      <c r="B1485" s="49"/>
      <c r="C1485" s="49"/>
      <c r="D1485" s="49"/>
      <c r="E1485" s="49"/>
      <c r="F1485" s="55"/>
      <c r="G1485" s="55"/>
      <c r="H1485" s="49"/>
      <c r="I1485" s="49"/>
      <c r="J1485" s="49"/>
      <c r="K1485" s="49"/>
      <c r="L1485" s="49"/>
      <c r="M1485" s="49"/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</row>
    <row r="1486" spans="1:23">
      <c r="A1486" s="49"/>
      <c r="B1486" s="49"/>
      <c r="C1486" s="49"/>
      <c r="D1486" s="49"/>
      <c r="E1486" s="49"/>
      <c r="F1486" s="55"/>
      <c r="G1486" s="55"/>
      <c r="H1486" s="49"/>
      <c r="I1486" s="49"/>
      <c r="J1486" s="49"/>
      <c r="K1486" s="49"/>
      <c r="L1486" s="49"/>
      <c r="M1486" s="49"/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</row>
    <row r="1487" spans="1:23">
      <c r="A1487" s="49"/>
      <c r="B1487" s="49"/>
      <c r="C1487" s="49"/>
      <c r="D1487" s="49"/>
      <c r="E1487" s="49"/>
      <c r="F1487" s="55"/>
      <c r="G1487" s="55"/>
      <c r="H1487" s="49"/>
      <c r="I1487" s="49"/>
      <c r="J1487" s="49"/>
      <c r="K1487" s="49"/>
      <c r="L1487" s="49"/>
      <c r="M1487" s="49"/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</row>
    <row r="1488" spans="1:23">
      <c r="A1488" s="49"/>
      <c r="B1488" s="49"/>
      <c r="C1488" s="49"/>
      <c r="D1488" s="49"/>
      <c r="E1488" s="49"/>
      <c r="F1488" s="55"/>
      <c r="G1488" s="55"/>
      <c r="H1488" s="49"/>
      <c r="I1488" s="49"/>
      <c r="J1488" s="49"/>
      <c r="K1488" s="49"/>
      <c r="L1488" s="49"/>
      <c r="M1488" s="49"/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</row>
    <row r="1489" spans="1:23">
      <c r="A1489" s="49"/>
      <c r="B1489" s="49"/>
      <c r="C1489" s="49"/>
      <c r="D1489" s="49"/>
      <c r="E1489" s="49"/>
      <c r="F1489" s="55"/>
      <c r="G1489" s="55"/>
      <c r="H1489" s="49"/>
      <c r="I1489" s="49"/>
      <c r="J1489" s="49"/>
      <c r="K1489" s="49"/>
      <c r="L1489" s="49"/>
      <c r="M1489" s="49"/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</row>
    <row r="1490" spans="1:23">
      <c r="A1490" s="49"/>
      <c r="B1490" s="49"/>
      <c r="C1490" s="49"/>
      <c r="D1490" s="49"/>
      <c r="E1490" s="49"/>
      <c r="F1490" s="55"/>
      <c r="G1490" s="55"/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</row>
    <row r="1491" spans="1:23">
      <c r="A1491" s="49"/>
      <c r="B1491" s="49"/>
      <c r="C1491" s="49"/>
      <c r="D1491" s="49"/>
      <c r="E1491" s="49"/>
      <c r="F1491" s="55"/>
      <c r="G1491" s="55"/>
      <c r="H1491" s="49"/>
      <c r="I1491" s="49"/>
      <c r="J1491" s="49"/>
      <c r="K1491" s="49"/>
      <c r="L1491" s="49"/>
      <c r="M1491" s="49"/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</row>
    <row r="1492" spans="1:23">
      <c r="A1492" s="49"/>
      <c r="B1492" s="49"/>
      <c r="C1492" s="49"/>
      <c r="D1492" s="49"/>
      <c r="E1492" s="49"/>
      <c r="F1492" s="55"/>
      <c r="G1492" s="55"/>
      <c r="H1492" s="49"/>
      <c r="I1492" s="49"/>
      <c r="J1492" s="49"/>
      <c r="K1492" s="49"/>
      <c r="L1492" s="49"/>
      <c r="M1492" s="49"/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</row>
    <row r="1493" spans="1:23">
      <c r="A1493" s="49"/>
      <c r="B1493" s="49"/>
      <c r="C1493" s="49"/>
      <c r="D1493" s="49"/>
      <c r="E1493" s="49"/>
      <c r="F1493" s="55"/>
      <c r="G1493" s="55"/>
      <c r="H1493" s="49"/>
      <c r="I1493" s="49"/>
      <c r="J1493" s="49"/>
      <c r="K1493" s="49"/>
      <c r="L1493" s="49"/>
      <c r="M1493" s="49"/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</row>
    <row r="1494" spans="1:23">
      <c r="A1494" s="49"/>
      <c r="B1494" s="49"/>
      <c r="C1494" s="49"/>
      <c r="D1494" s="49"/>
      <c r="E1494" s="49"/>
      <c r="F1494" s="55"/>
      <c r="G1494" s="55"/>
      <c r="H1494" s="49"/>
      <c r="I1494" s="49"/>
      <c r="J1494" s="49"/>
      <c r="K1494" s="49"/>
      <c r="L1494" s="49"/>
      <c r="M1494" s="49"/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</row>
    <row r="1495" spans="1:23">
      <c r="A1495" s="49"/>
      <c r="B1495" s="49"/>
      <c r="C1495" s="49"/>
      <c r="D1495" s="49"/>
      <c r="E1495" s="49"/>
      <c r="F1495" s="55"/>
      <c r="G1495" s="55"/>
      <c r="H1495" s="49"/>
      <c r="I1495" s="49"/>
      <c r="J1495" s="49"/>
      <c r="K1495" s="49"/>
      <c r="L1495" s="49"/>
      <c r="M1495" s="49"/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</row>
    <row r="1496" spans="1:23">
      <c r="A1496" s="49"/>
      <c r="B1496" s="49"/>
      <c r="C1496" s="49"/>
      <c r="D1496" s="49"/>
      <c r="E1496" s="49"/>
      <c r="F1496" s="55"/>
      <c r="G1496" s="55"/>
      <c r="H1496" s="49"/>
      <c r="I1496" s="49"/>
      <c r="J1496" s="49"/>
      <c r="K1496" s="49"/>
      <c r="L1496" s="49"/>
      <c r="M1496" s="49"/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</row>
    <row r="1497" spans="1:23">
      <c r="A1497" s="49"/>
      <c r="B1497" s="49"/>
      <c r="C1497" s="49"/>
      <c r="D1497" s="49"/>
      <c r="E1497" s="49"/>
      <c r="F1497" s="55"/>
      <c r="G1497" s="55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</row>
    <row r="1498" spans="1:23">
      <c r="A1498" s="49"/>
      <c r="B1498" s="49"/>
      <c r="C1498" s="49"/>
      <c r="D1498" s="49"/>
      <c r="E1498" s="49"/>
      <c r="F1498" s="55"/>
      <c r="G1498" s="55"/>
      <c r="H1498" s="49"/>
      <c r="I1498" s="49"/>
      <c r="J1498" s="49"/>
      <c r="K1498" s="49"/>
      <c r="L1498" s="49"/>
      <c r="M1498" s="49"/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</row>
    <row r="1499" spans="1:23">
      <c r="A1499" s="49"/>
      <c r="B1499" s="49"/>
      <c r="C1499" s="49"/>
      <c r="D1499" s="49"/>
      <c r="E1499" s="49"/>
      <c r="F1499" s="55"/>
      <c r="G1499" s="55"/>
      <c r="H1499" s="49"/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</row>
    <row r="1500" spans="1:23">
      <c r="A1500" s="49"/>
      <c r="B1500" s="49"/>
      <c r="C1500" s="49"/>
      <c r="D1500" s="49"/>
      <c r="E1500" s="49"/>
      <c r="F1500" s="55"/>
      <c r="G1500" s="55"/>
      <c r="H1500" s="49"/>
      <c r="I1500" s="49"/>
      <c r="J1500" s="49"/>
      <c r="K1500" s="49"/>
      <c r="L1500" s="49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</row>
    <row r="1501" spans="1:23">
      <c r="A1501" s="49"/>
      <c r="B1501" s="49"/>
      <c r="C1501" s="49"/>
      <c r="D1501" s="49"/>
      <c r="E1501" s="49"/>
      <c r="F1501" s="55"/>
      <c r="G1501" s="55"/>
      <c r="H1501" s="49"/>
      <c r="I1501" s="49"/>
      <c r="J1501" s="49"/>
      <c r="K1501" s="49"/>
      <c r="L1501" s="49"/>
      <c r="M1501" s="49"/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</row>
    <row r="1502" spans="1:23">
      <c r="A1502" s="49"/>
      <c r="B1502" s="49"/>
      <c r="C1502" s="49"/>
      <c r="D1502" s="49"/>
      <c r="E1502" s="49"/>
      <c r="F1502" s="55"/>
      <c r="G1502" s="55"/>
      <c r="H1502" s="49"/>
      <c r="I1502" s="49"/>
      <c r="J1502" s="49"/>
      <c r="K1502" s="49"/>
      <c r="L1502" s="49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</row>
    <row r="1503" spans="1:23">
      <c r="A1503" s="49"/>
      <c r="B1503" s="49"/>
      <c r="C1503" s="49"/>
      <c r="D1503" s="49"/>
      <c r="E1503" s="49"/>
      <c r="F1503" s="55"/>
      <c r="G1503" s="55"/>
      <c r="H1503" s="49"/>
      <c r="I1503" s="49"/>
      <c r="J1503" s="49"/>
      <c r="K1503" s="49"/>
      <c r="L1503" s="49"/>
      <c r="M1503" s="49"/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</row>
    <row r="1504" spans="1:23">
      <c r="A1504" s="49"/>
      <c r="B1504" s="49"/>
      <c r="C1504" s="49"/>
      <c r="D1504" s="49"/>
      <c r="E1504" s="49"/>
      <c r="F1504" s="55"/>
      <c r="G1504" s="55"/>
      <c r="H1504" s="49"/>
      <c r="I1504" s="49"/>
      <c r="J1504" s="49"/>
      <c r="K1504" s="49"/>
      <c r="L1504" s="49"/>
      <c r="M1504" s="49"/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</row>
    <row r="1505" spans="1:23">
      <c r="A1505" s="49"/>
      <c r="B1505" s="49"/>
      <c r="C1505" s="49"/>
      <c r="D1505" s="49"/>
      <c r="E1505" s="49"/>
      <c r="F1505" s="55"/>
      <c r="G1505" s="55"/>
      <c r="H1505" s="49"/>
      <c r="I1505" s="49"/>
      <c r="J1505" s="49"/>
      <c r="K1505" s="49"/>
      <c r="L1505" s="49"/>
      <c r="M1505" s="49"/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</row>
    <row r="1506" spans="1:23">
      <c r="A1506" s="49"/>
      <c r="B1506" s="49"/>
      <c r="C1506" s="49"/>
      <c r="D1506" s="49"/>
      <c r="E1506" s="49"/>
      <c r="F1506" s="55"/>
      <c r="G1506" s="55"/>
      <c r="H1506" s="49"/>
      <c r="I1506" s="49"/>
      <c r="J1506" s="49"/>
      <c r="K1506" s="49"/>
      <c r="L1506" s="49"/>
      <c r="M1506" s="49"/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</row>
    <row r="1507" spans="1:23">
      <c r="A1507" s="49"/>
      <c r="B1507" s="49"/>
      <c r="C1507" s="49"/>
      <c r="D1507" s="49"/>
      <c r="E1507" s="49"/>
      <c r="F1507" s="55"/>
      <c r="G1507" s="55"/>
      <c r="H1507" s="49"/>
      <c r="I1507" s="49"/>
      <c r="J1507" s="49"/>
      <c r="K1507" s="49"/>
      <c r="L1507" s="49"/>
      <c r="M1507" s="49"/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</row>
    <row r="1508" spans="1:23">
      <c r="A1508" s="49"/>
      <c r="B1508" s="49"/>
      <c r="C1508" s="49"/>
      <c r="D1508" s="49"/>
      <c r="E1508" s="49"/>
      <c r="F1508" s="55"/>
      <c r="G1508" s="55"/>
      <c r="H1508" s="49"/>
      <c r="I1508" s="49"/>
      <c r="J1508" s="49"/>
      <c r="K1508" s="49"/>
      <c r="L1508" s="49"/>
      <c r="M1508" s="49"/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</row>
    <row r="1509" spans="1:23">
      <c r="A1509" s="49"/>
      <c r="B1509" s="49"/>
      <c r="C1509" s="49"/>
      <c r="D1509" s="49"/>
      <c r="E1509" s="49"/>
      <c r="F1509" s="55"/>
      <c r="G1509" s="55"/>
      <c r="H1509" s="49"/>
      <c r="I1509" s="49"/>
      <c r="J1509" s="49"/>
      <c r="K1509" s="49"/>
      <c r="L1509" s="49"/>
      <c r="M1509" s="49"/>
      <c r="N1509" s="49"/>
      <c r="O1509" s="49"/>
      <c r="P1509" s="49"/>
      <c r="Q1509" s="49"/>
      <c r="R1509" s="49"/>
      <c r="S1509" s="49"/>
      <c r="T1509" s="49"/>
      <c r="U1509" s="49"/>
      <c r="V1509" s="49"/>
      <c r="W1509" s="49"/>
    </row>
    <row r="1510" spans="1:23">
      <c r="A1510" s="49"/>
      <c r="B1510" s="49"/>
      <c r="C1510" s="49"/>
      <c r="D1510" s="49"/>
      <c r="E1510" s="49"/>
      <c r="F1510" s="55"/>
      <c r="G1510" s="55"/>
      <c r="H1510" s="49"/>
      <c r="I1510" s="49"/>
      <c r="J1510" s="49"/>
      <c r="K1510" s="49"/>
      <c r="L1510" s="49"/>
      <c r="M1510" s="49"/>
      <c r="N1510" s="49"/>
      <c r="O1510" s="49"/>
      <c r="P1510" s="49"/>
      <c r="Q1510" s="49"/>
      <c r="R1510" s="49"/>
      <c r="S1510" s="49"/>
      <c r="T1510" s="49"/>
      <c r="U1510" s="49"/>
      <c r="V1510" s="49"/>
      <c r="W1510" s="49"/>
    </row>
    <row r="1511" spans="1:23">
      <c r="A1511" s="49"/>
      <c r="B1511" s="49"/>
      <c r="C1511" s="49"/>
      <c r="D1511" s="49"/>
      <c r="E1511" s="49"/>
      <c r="F1511" s="55"/>
      <c r="G1511" s="55"/>
      <c r="H1511" s="49"/>
      <c r="I1511" s="49"/>
      <c r="J1511" s="49"/>
      <c r="K1511" s="49"/>
      <c r="L1511" s="49"/>
      <c r="M1511" s="49"/>
      <c r="N1511" s="49"/>
      <c r="O1511" s="49"/>
      <c r="P1511" s="49"/>
      <c r="Q1511" s="49"/>
      <c r="R1511" s="49"/>
      <c r="S1511" s="49"/>
      <c r="T1511" s="49"/>
      <c r="U1511" s="49"/>
      <c r="V1511" s="49"/>
      <c r="W1511" s="49"/>
    </row>
    <row r="1512" spans="1:23">
      <c r="A1512" s="49"/>
      <c r="B1512" s="49"/>
      <c r="C1512" s="49"/>
      <c r="D1512" s="49"/>
      <c r="E1512" s="49"/>
      <c r="F1512" s="55"/>
      <c r="G1512" s="55"/>
      <c r="H1512" s="49"/>
      <c r="I1512" s="49"/>
      <c r="J1512" s="49"/>
      <c r="K1512" s="49"/>
      <c r="L1512" s="49"/>
      <c r="M1512" s="49"/>
      <c r="N1512" s="49"/>
      <c r="O1512" s="49"/>
      <c r="P1512" s="49"/>
      <c r="Q1512" s="49"/>
      <c r="R1512" s="49"/>
      <c r="S1512" s="49"/>
      <c r="T1512" s="49"/>
      <c r="U1512" s="49"/>
      <c r="V1512" s="49"/>
      <c r="W1512" s="49"/>
    </row>
    <row r="1513" spans="1:23">
      <c r="A1513" s="49"/>
      <c r="B1513" s="49"/>
      <c r="C1513" s="49"/>
      <c r="D1513" s="49"/>
      <c r="E1513" s="49"/>
      <c r="F1513" s="55"/>
      <c r="G1513" s="55"/>
      <c r="H1513" s="49"/>
      <c r="I1513" s="49"/>
      <c r="J1513" s="49"/>
      <c r="K1513" s="49"/>
      <c r="L1513" s="49"/>
      <c r="M1513" s="49"/>
      <c r="N1513" s="49"/>
      <c r="O1513" s="49"/>
      <c r="P1513" s="49"/>
      <c r="Q1513" s="49"/>
      <c r="R1513" s="49"/>
      <c r="S1513" s="49"/>
      <c r="T1513" s="49"/>
      <c r="U1513" s="49"/>
      <c r="V1513" s="49"/>
      <c r="W1513" s="49"/>
    </row>
    <row r="1514" spans="1:23">
      <c r="A1514" s="49"/>
      <c r="B1514" s="49"/>
      <c r="C1514" s="49"/>
      <c r="D1514" s="49"/>
      <c r="E1514" s="49"/>
      <c r="F1514" s="55"/>
      <c r="G1514" s="55"/>
      <c r="H1514" s="49"/>
      <c r="I1514" s="49"/>
      <c r="J1514" s="49"/>
      <c r="K1514" s="49"/>
      <c r="L1514" s="49"/>
      <c r="M1514" s="49"/>
      <c r="N1514" s="49"/>
      <c r="O1514" s="49"/>
      <c r="P1514" s="49"/>
      <c r="Q1514" s="49"/>
      <c r="R1514" s="49"/>
      <c r="S1514" s="49"/>
      <c r="T1514" s="49"/>
      <c r="U1514" s="49"/>
      <c r="V1514" s="49"/>
      <c r="W1514" s="49"/>
    </row>
    <row r="1515" spans="1:23">
      <c r="A1515" s="49"/>
      <c r="B1515" s="49"/>
      <c r="C1515" s="49"/>
      <c r="D1515" s="49"/>
      <c r="E1515" s="49"/>
      <c r="F1515" s="55"/>
      <c r="G1515" s="55"/>
      <c r="H1515" s="49"/>
      <c r="I1515" s="49"/>
      <c r="J1515" s="49"/>
      <c r="K1515" s="49"/>
      <c r="L1515" s="49"/>
      <c r="M1515" s="49"/>
      <c r="N1515" s="49"/>
      <c r="O1515" s="49"/>
      <c r="P1515" s="49"/>
      <c r="Q1515" s="49"/>
      <c r="R1515" s="49"/>
      <c r="S1515" s="49"/>
      <c r="T1515" s="49"/>
      <c r="U1515" s="49"/>
      <c r="V1515" s="49"/>
      <c r="W1515" s="49"/>
    </row>
    <row r="1516" spans="1:23">
      <c r="A1516" s="49"/>
      <c r="B1516" s="49"/>
      <c r="C1516" s="49"/>
      <c r="D1516" s="49"/>
      <c r="E1516" s="49"/>
      <c r="F1516" s="55"/>
      <c r="G1516" s="55"/>
      <c r="H1516" s="49"/>
      <c r="I1516" s="49"/>
      <c r="J1516" s="49"/>
      <c r="K1516" s="49"/>
      <c r="L1516" s="49"/>
      <c r="M1516" s="49"/>
      <c r="N1516" s="49"/>
      <c r="O1516" s="49"/>
      <c r="P1516" s="49"/>
      <c r="Q1516" s="49"/>
      <c r="R1516" s="49"/>
      <c r="S1516" s="49"/>
      <c r="T1516" s="49"/>
      <c r="U1516" s="49"/>
      <c r="V1516" s="49"/>
      <c r="W1516" s="49"/>
    </row>
    <row r="1517" spans="1:23">
      <c r="A1517" s="49"/>
      <c r="B1517" s="49"/>
      <c r="C1517" s="49"/>
      <c r="D1517" s="49"/>
      <c r="E1517" s="49"/>
      <c r="F1517" s="55"/>
      <c r="G1517" s="55"/>
      <c r="H1517" s="49"/>
      <c r="I1517" s="49"/>
      <c r="J1517" s="49"/>
      <c r="K1517" s="49"/>
      <c r="L1517" s="49"/>
      <c r="M1517" s="49"/>
      <c r="N1517" s="49"/>
      <c r="O1517" s="49"/>
      <c r="P1517" s="49"/>
      <c r="Q1517" s="49"/>
      <c r="R1517" s="49"/>
      <c r="S1517" s="49"/>
      <c r="T1517" s="49"/>
      <c r="U1517" s="49"/>
      <c r="V1517" s="49"/>
      <c r="W1517" s="49"/>
    </row>
    <row r="1518" spans="1:23">
      <c r="A1518" s="49"/>
      <c r="B1518" s="49"/>
      <c r="C1518" s="49"/>
      <c r="D1518" s="49"/>
      <c r="E1518" s="49"/>
      <c r="F1518" s="55"/>
      <c r="G1518" s="55"/>
      <c r="H1518" s="49"/>
      <c r="I1518" s="49"/>
      <c r="J1518" s="49"/>
      <c r="K1518" s="49"/>
      <c r="L1518" s="49"/>
      <c r="M1518" s="49"/>
      <c r="N1518" s="49"/>
      <c r="O1518" s="49"/>
      <c r="P1518" s="49"/>
      <c r="Q1518" s="49"/>
      <c r="R1518" s="49"/>
      <c r="S1518" s="49"/>
      <c r="T1518" s="49"/>
      <c r="U1518" s="49"/>
      <c r="V1518" s="49"/>
      <c r="W1518" s="49"/>
    </row>
    <row r="1519" spans="1:23">
      <c r="A1519" s="49"/>
      <c r="B1519" s="49"/>
      <c r="C1519" s="49"/>
      <c r="D1519" s="49"/>
      <c r="E1519" s="49"/>
      <c r="F1519" s="55"/>
      <c r="G1519" s="55"/>
      <c r="H1519" s="49"/>
      <c r="I1519" s="49"/>
      <c r="J1519" s="49"/>
      <c r="K1519" s="49"/>
      <c r="L1519" s="49"/>
      <c r="M1519" s="49"/>
      <c r="N1519" s="49"/>
      <c r="O1519" s="49"/>
      <c r="P1519" s="49"/>
      <c r="Q1519" s="49"/>
      <c r="R1519" s="49"/>
      <c r="S1519" s="49"/>
      <c r="T1519" s="49"/>
      <c r="U1519" s="49"/>
      <c r="V1519" s="49"/>
      <c r="W1519" s="49"/>
    </row>
    <row r="1520" spans="1:23">
      <c r="A1520" s="49"/>
      <c r="B1520" s="49"/>
      <c r="C1520" s="49"/>
      <c r="D1520" s="49"/>
      <c r="E1520" s="49"/>
      <c r="F1520" s="55"/>
      <c r="G1520" s="55"/>
      <c r="H1520" s="49"/>
      <c r="I1520" s="49"/>
      <c r="J1520" s="49"/>
      <c r="K1520" s="49"/>
      <c r="L1520" s="49"/>
      <c r="M1520" s="49"/>
      <c r="N1520" s="49"/>
      <c r="O1520" s="49"/>
      <c r="P1520" s="49"/>
      <c r="Q1520" s="49"/>
      <c r="R1520" s="49"/>
      <c r="S1520" s="49"/>
      <c r="T1520" s="49"/>
      <c r="U1520" s="49"/>
      <c r="V1520" s="49"/>
      <c r="W1520" s="49"/>
    </row>
    <row r="1521" spans="1:23">
      <c r="A1521" s="49"/>
      <c r="B1521" s="49"/>
      <c r="C1521" s="49"/>
      <c r="D1521" s="49"/>
      <c r="E1521" s="49"/>
      <c r="F1521" s="55"/>
      <c r="G1521" s="55"/>
      <c r="H1521" s="49"/>
      <c r="I1521" s="49"/>
      <c r="J1521" s="49"/>
      <c r="K1521" s="49"/>
      <c r="L1521" s="49"/>
      <c r="M1521" s="49"/>
      <c r="N1521" s="49"/>
      <c r="O1521" s="49"/>
      <c r="P1521" s="49"/>
      <c r="Q1521" s="49"/>
      <c r="R1521" s="49"/>
      <c r="S1521" s="49"/>
      <c r="T1521" s="49"/>
      <c r="U1521" s="49"/>
      <c r="V1521" s="49"/>
      <c r="W1521" s="49"/>
    </row>
    <row r="1522" spans="1:23">
      <c r="A1522" s="49"/>
      <c r="B1522" s="49"/>
      <c r="C1522" s="49"/>
      <c r="D1522" s="49"/>
      <c r="E1522" s="49"/>
      <c r="F1522" s="55"/>
      <c r="G1522" s="55"/>
      <c r="H1522" s="49"/>
      <c r="I1522" s="49"/>
      <c r="J1522" s="49"/>
      <c r="K1522" s="49"/>
      <c r="L1522" s="49"/>
      <c r="M1522" s="49"/>
      <c r="N1522" s="49"/>
      <c r="O1522" s="49"/>
      <c r="P1522" s="49"/>
      <c r="Q1522" s="49"/>
      <c r="R1522" s="49"/>
      <c r="S1522" s="49"/>
      <c r="T1522" s="49"/>
      <c r="U1522" s="49"/>
      <c r="V1522" s="49"/>
      <c r="W1522" s="49"/>
    </row>
    <row r="1523" spans="1:23">
      <c r="A1523" s="49"/>
      <c r="B1523" s="49"/>
      <c r="C1523" s="49"/>
      <c r="D1523" s="49"/>
      <c r="E1523" s="49"/>
      <c r="F1523" s="55"/>
      <c r="G1523" s="55"/>
      <c r="H1523" s="49"/>
      <c r="I1523" s="49"/>
      <c r="J1523" s="49"/>
      <c r="K1523" s="49"/>
      <c r="L1523" s="49"/>
      <c r="M1523" s="49"/>
      <c r="N1523" s="49"/>
      <c r="O1523" s="49"/>
      <c r="P1523" s="49"/>
      <c r="Q1523" s="49"/>
      <c r="R1523" s="49"/>
      <c r="S1523" s="49"/>
      <c r="T1523" s="49"/>
      <c r="U1523" s="49"/>
      <c r="V1523" s="49"/>
      <c r="W1523" s="49"/>
    </row>
    <row r="1524" spans="1:23">
      <c r="A1524" s="49"/>
      <c r="B1524" s="49"/>
      <c r="C1524" s="49"/>
      <c r="D1524" s="49"/>
      <c r="E1524" s="49"/>
      <c r="F1524" s="55"/>
      <c r="G1524" s="55"/>
      <c r="H1524" s="49"/>
      <c r="I1524" s="49"/>
      <c r="J1524" s="49"/>
      <c r="K1524" s="49"/>
      <c r="L1524" s="49"/>
      <c r="M1524" s="49"/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</row>
    <row r="1525" spans="1:23">
      <c r="A1525" s="49"/>
      <c r="B1525" s="49"/>
      <c r="C1525" s="49"/>
      <c r="D1525" s="49"/>
      <c r="E1525" s="49"/>
      <c r="F1525" s="55"/>
      <c r="G1525" s="55"/>
      <c r="H1525" s="49"/>
      <c r="I1525" s="49"/>
      <c r="J1525" s="49"/>
      <c r="K1525" s="49"/>
      <c r="L1525" s="49"/>
      <c r="M1525" s="49"/>
      <c r="N1525" s="49"/>
      <c r="O1525" s="49"/>
      <c r="P1525" s="49"/>
      <c r="Q1525" s="49"/>
      <c r="R1525" s="49"/>
      <c r="S1525" s="49"/>
      <c r="T1525" s="49"/>
      <c r="U1525" s="49"/>
      <c r="V1525" s="49"/>
      <c r="W1525" s="49"/>
    </row>
    <row r="1526" spans="1:23">
      <c r="A1526" s="49"/>
      <c r="B1526" s="49"/>
      <c r="C1526" s="49"/>
      <c r="D1526" s="49"/>
      <c r="E1526" s="49"/>
      <c r="F1526" s="55"/>
      <c r="G1526" s="55"/>
      <c r="H1526" s="49"/>
      <c r="I1526" s="49"/>
      <c r="J1526" s="49"/>
      <c r="K1526" s="49"/>
      <c r="L1526" s="49"/>
      <c r="M1526" s="49"/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</row>
    <row r="1527" spans="1:23">
      <c r="A1527" s="49"/>
      <c r="B1527" s="49"/>
      <c r="C1527" s="49"/>
      <c r="D1527" s="49"/>
      <c r="E1527" s="49"/>
      <c r="F1527" s="55"/>
      <c r="G1527" s="55"/>
      <c r="H1527" s="49"/>
      <c r="I1527" s="49"/>
      <c r="J1527" s="49"/>
      <c r="K1527" s="49"/>
      <c r="L1527" s="49"/>
      <c r="M1527" s="49"/>
      <c r="N1527" s="49"/>
      <c r="O1527" s="49"/>
      <c r="P1527" s="49"/>
      <c r="Q1527" s="49"/>
      <c r="R1527" s="49"/>
      <c r="S1527" s="49"/>
      <c r="T1527" s="49"/>
      <c r="U1527" s="49"/>
      <c r="V1527" s="49"/>
      <c r="W1527" s="49"/>
    </row>
    <row r="1528" spans="1:23">
      <c r="A1528" s="49"/>
      <c r="B1528" s="49"/>
      <c r="C1528" s="49"/>
      <c r="D1528" s="49"/>
      <c r="E1528" s="49"/>
      <c r="F1528" s="55"/>
      <c r="G1528" s="55"/>
      <c r="H1528" s="49"/>
      <c r="I1528" s="49"/>
      <c r="J1528" s="49"/>
      <c r="K1528" s="49"/>
      <c r="L1528" s="49"/>
      <c r="M1528" s="49"/>
      <c r="N1528" s="49"/>
      <c r="O1528" s="49"/>
      <c r="P1528" s="49"/>
      <c r="Q1528" s="49"/>
      <c r="R1528" s="49"/>
      <c r="S1528" s="49"/>
      <c r="T1528" s="49"/>
      <c r="U1528" s="49"/>
      <c r="V1528" s="49"/>
      <c r="W1528" s="49"/>
    </row>
    <row r="1529" spans="1:23">
      <c r="A1529" s="49"/>
      <c r="B1529" s="49"/>
      <c r="C1529" s="49"/>
      <c r="D1529" s="49"/>
      <c r="E1529" s="49"/>
      <c r="F1529" s="55"/>
      <c r="G1529" s="55"/>
      <c r="H1529" s="49"/>
      <c r="I1529" s="49"/>
      <c r="J1529" s="49"/>
      <c r="K1529" s="49"/>
      <c r="L1529" s="49"/>
      <c r="M1529" s="49"/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</row>
    <row r="1530" spans="1:23">
      <c r="A1530" s="49"/>
      <c r="B1530" s="49"/>
      <c r="C1530" s="49"/>
      <c r="D1530" s="49"/>
      <c r="E1530" s="49"/>
      <c r="F1530" s="55"/>
      <c r="G1530" s="55"/>
      <c r="H1530" s="49"/>
      <c r="I1530" s="49"/>
      <c r="J1530" s="49"/>
      <c r="K1530" s="49"/>
      <c r="L1530" s="49"/>
      <c r="M1530" s="49"/>
      <c r="N1530" s="49"/>
      <c r="O1530" s="49"/>
      <c r="P1530" s="49"/>
      <c r="Q1530" s="49"/>
      <c r="R1530" s="49"/>
      <c r="S1530" s="49"/>
      <c r="T1530" s="49"/>
      <c r="U1530" s="49"/>
      <c r="V1530" s="49"/>
      <c r="W1530" s="49"/>
    </row>
    <row r="1531" spans="1:23">
      <c r="A1531" s="49"/>
      <c r="B1531" s="49"/>
      <c r="C1531" s="49"/>
      <c r="D1531" s="49"/>
      <c r="E1531" s="49"/>
      <c r="F1531" s="55"/>
      <c r="G1531" s="55"/>
      <c r="H1531" s="49"/>
      <c r="I1531" s="49"/>
      <c r="J1531" s="49"/>
      <c r="K1531" s="49"/>
      <c r="L1531" s="49"/>
      <c r="M1531" s="49"/>
      <c r="N1531" s="49"/>
      <c r="O1531" s="49"/>
      <c r="P1531" s="49"/>
      <c r="Q1531" s="49"/>
      <c r="R1531" s="49"/>
      <c r="S1531" s="49"/>
      <c r="T1531" s="49"/>
      <c r="U1531" s="49"/>
      <c r="V1531" s="49"/>
      <c r="W1531" s="49"/>
    </row>
    <row r="1532" spans="1:23">
      <c r="A1532" s="49"/>
      <c r="B1532" s="49"/>
      <c r="C1532" s="49"/>
      <c r="D1532" s="49"/>
      <c r="E1532" s="49"/>
      <c r="F1532" s="55"/>
      <c r="G1532" s="55"/>
      <c r="H1532" s="49"/>
      <c r="I1532" s="49"/>
      <c r="J1532" s="49"/>
      <c r="K1532" s="49"/>
      <c r="L1532" s="49"/>
      <c r="M1532" s="49"/>
      <c r="N1532" s="49"/>
      <c r="O1532" s="49"/>
      <c r="P1532" s="49"/>
      <c r="Q1532" s="49"/>
      <c r="R1532" s="49"/>
      <c r="S1532" s="49"/>
      <c r="T1532" s="49"/>
      <c r="U1532" s="49"/>
      <c r="V1532" s="49"/>
      <c r="W1532" s="49"/>
    </row>
    <row r="1533" spans="1:23">
      <c r="A1533" s="49"/>
      <c r="B1533" s="49"/>
      <c r="C1533" s="49"/>
      <c r="D1533" s="49"/>
      <c r="E1533" s="49"/>
      <c r="F1533" s="55"/>
      <c r="G1533" s="55"/>
      <c r="H1533" s="49"/>
      <c r="I1533" s="49"/>
      <c r="J1533" s="49"/>
      <c r="K1533" s="49"/>
      <c r="L1533" s="49"/>
      <c r="M1533" s="49"/>
      <c r="N1533" s="49"/>
      <c r="O1533" s="49"/>
      <c r="P1533" s="49"/>
      <c r="Q1533" s="49"/>
      <c r="R1533" s="49"/>
      <c r="S1533" s="49"/>
      <c r="T1533" s="49"/>
      <c r="U1533" s="49"/>
      <c r="V1533" s="49"/>
      <c r="W1533" s="49"/>
    </row>
    <row r="1534" spans="1:23">
      <c r="A1534" s="49"/>
      <c r="B1534" s="49"/>
      <c r="C1534" s="49"/>
      <c r="D1534" s="49"/>
      <c r="E1534" s="49"/>
      <c r="F1534" s="55"/>
      <c r="G1534" s="55"/>
      <c r="H1534" s="49"/>
      <c r="I1534" s="49"/>
      <c r="J1534" s="49"/>
      <c r="K1534" s="49"/>
      <c r="L1534" s="49"/>
      <c r="M1534" s="49"/>
      <c r="N1534" s="49"/>
      <c r="O1534" s="49"/>
      <c r="P1534" s="49"/>
      <c r="Q1534" s="49"/>
      <c r="R1534" s="49"/>
      <c r="S1534" s="49"/>
      <c r="T1534" s="49"/>
      <c r="U1534" s="49"/>
      <c r="V1534" s="49"/>
      <c r="W1534" s="49"/>
    </row>
    <row r="1535" spans="1:23">
      <c r="A1535" s="49"/>
      <c r="B1535" s="49"/>
      <c r="C1535" s="49"/>
      <c r="D1535" s="49"/>
      <c r="E1535" s="49"/>
      <c r="F1535" s="55"/>
      <c r="G1535" s="55"/>
      <c r="H1535" s="49"/>
      <c r="I1535" s="49"/>
      <c r="J1535" s="49"/>
      <c r="K1535" s="49"/>
      <c r="L1535" s="49"/>
      <c r="M1535" s="49"/>
      <c r="N1535" s="49"/>
      <c r="O1535" s="49"/>
      <c r="P1535" s="49"/>
      <c r="Q1535" s="49"/>
      <c r="R1535" s="49"/>
      <c r="S1535" s="49"/>
      <c r="T1535" s="49"/>
      <c r="U1535" s="49"/>
      <c r="V1535" s="49"/>
      <c r="W1535" s="49"/>
    </row>
    <row r="1536" spans="1:23">
      <c r="A1536" s="49"/>
      <c r="B1536" s="49"/>
      <c r="C1536" s="49"/>
      <c r="D1536" s="49"/>
      <c r="E1536" s="49"/>
      <c r="F1536" s="55"/>
      <c r="G1536" s="55"/>
      <c r="H1536" s="49"/>
      <c r="I1536" s="49"/>
      <c r="J1536" s="49"/>
      <c r="K1536" s="49"/>
      <c r="L1536" s="49"/>
      <c r="M1536" s="49"/>
      <c r="N1536" s="49"/>
      <c r="O1536" s="49"/>
      <c r="P1536" s="49"/>
      <c r="Q1536" s="49"/>
      <c r="R1536" s="49"/>
      <c r="S1536" s="49"/>
      <c r="T1536" s="49"/>
      <c r="U1536" s="49"/>
      <c r="V1536" s="49"/>
      <c r="W1536" s="49"/>
    </row>
    <row r="1537" spans="1:23">
      <c r="A1537" s="49"/>
      <c r="B1537" s="49"/>
      <c r="C1537" s="49"/>
      <c r="D1537" s="49"/>
      <c r="E1537" s="49"/>
      <c r="F1537" s="55"/>
      <c r="G1537" s="55"/>
      <c r="H1537" s="49"/>
      <c r="I1537" s="49"/>
      <c r="J1537" s="49"/>
      <c r="K1537" s="49"/>
      <c r="L1537" s="49"/>
      <c r="M1537" s="49"/>
      <c r="N1537" s="49"/>
      <c r="O1537" s="49"/>
      <c r="P1537" s="49"/>
      <c r="Q1537" s="49"/>
      <c r="R1537" s="49"/>
      <c r="S1537" s="49"/>
      <c r="T1537" s="49"/>
      <c r="U1537" s="49"/>
      <c r="V1537" s="49"/>
      <c r="W1537" s="49"/>
    </row>
    <row r="1538" spans="1:23">
      <c r="A1538" s="49"/>
      <c r="B1538" s="49"/>
      <c r="C1538" s="49"/>
      <c r="D1538" s="49"/>
      <c r="E1538" s="49"/>
      <c r="F1538" s="55"/>
      <c r="G1538" s="55"/>
      <c r="H1538" s="49"/>
      <c r="I1538" s="49"/>
      <c r="J1538" s="49"/>
      <c r="K1538" s="49"/>
      <c r="L1538" s="49"/>
      <c r="M1538" s="49"/>
      <c r="N1538" s="49"/>
      <c r="O1538" s="49"/>
      <c r="P1538" s="49"/>
      <c r="Q1538" s="49"/>
      <c r="R1538" s="49"/>
      <c r="S1538" s="49"/>
      <c r="T1538" s="49"/>
      <c r="U1538" s="49"/>
      <c r="V1538" s="49"/>
      <c r="W1538" s="49"/>
    </row>
    <row r="1539" spans="1:23">
      <c r="A1539" s="49"/>
      <c r="B1539" s="49"/>
      <c r="C1539" s="49"/>
      <c r="D1539" s="49"/>
      <c r="E1539" s="49"/>
      <c r="F1539" s="55"/>
      <c r="G1539" s="55"/>
      <c r="H1539" s="49"/>
      <c r="I1539" s="49"/>
      <c r="J1539" s="49"/>
      <c r="K1539" s="49"/>
      <c r="L1539" s="49"/>
      <c r="M1539" s="49"/>
      <c r="N1539" s="49"/>
      <c r="O1539" s="49"/>
      <c r="P1539" s="49"/>
      <c r="Q1539" s="49"/>
      <c r="R1539" s="49"/>
      <c r="S1539" s="49"/>
      <c r="T1539" s="49"/>
      <c r="U1539" s="49"/>
      <c r="V1539" s="49"/>
      <c r="W1539" s="49"/>
    </row>
    <row r="1540" spans="1:23">
      <c r="A1540" s="49"/>
      <c r="B1540" s="49"/>
      <c r="C1540" s="49"/>
      <c r="D1540" s="49"/>
      <c r="E1540" s="49"/>
      <c r="F1540" s="55"/>
      <c r="G1540" s="55"/>
      <c r="H1540" s="49"/>
      <c r="I1540" s="49"/>
      <c r="J1540" s="49"/>
      <c r="K1540" s="49"/>
      <c r="L1540" s="49"/>
      <c r="M1540" s="49"/>
      <c r="N1540" s="49"/>
      <c r="O1540" s="49"/>
      <c r="P1540" s="49"/>
      <c r="Q1540" s="49"/>
      <c r="R1540" s="49"/>
      <c r="S1540" s="49"/>
      <c r="T1540" s="49"/>
      <c r="U1540" s="49"/>
      <c r="V1540" s="49"/>
      <c r="W1540" s="49"/>
    </row>
    <row r="1541" spans="1:23">
      <c r="A1541" s="49"/>
      <c r="B1541" s="49"/>
      <c r="C1541" s="49"/>
      <c r="D1541" s="49"/>
      <c r="E1541" s="49"/>
      <c r="F1541" s="55"/>
      <c r="G1541" s="55"/>
      <c r="H1541" s="49"/>
      <c r="I1541" s="49"/>
      <c r="J1541" s="49"/>
      <c r="K1541" s="49"/>
      <c r="L1541" s="49"/>
      <c r="M1541" s="49"/>
      <c r="N1541" s="49"/>
      <c r="O1541" s="49"/>
      <c r="P1541" s="49"/>
      <c r="Q1541" s="49"/>
      <c r="R1541" s="49"/>
      <c r="S1541" s="49"/>
      <c r="T1541" s="49"/>
      <c r="U1541" s="49"/>
      <c r="V1541" s="49"/>
      <c r="W1541" s="49"/>
    </row>
    <row r="1542" spans="1:23">
      <c r="A1542" s="49"/>
      <c r="B1542" s="49"/>
      <c r="C1542" s="49"/>
      <c r="D1542" s="49"/>
      <c r="E1542" s="49"/>
      <c r="F1542" s="55"/>
      <c r="G1542" s="55"/>
      <c r="H1542" s="49"/>
      <c r="I1542" s="49"/>
      <c r="J1542" s="49"/>
      <c r="K1542" s="49"/>
      <c r="L1542" s="49"/>
      <c r="M1542" s="49"/>
      <c r="N1542" s="49"/>
      <c r="O1542" s="49"/>
      <c r="P1542" s="49"/>
      <c r="Q1542" s="49"/>
      <c r="R1542" s="49"/>
      <c r="S1542" s="49"/>
      <c r="T1542" s="49"/>
      <c r="U1542" s="49"/>
      <c r="V1542" s="49"/>
      <c r="W1542" s="49"/>
    </row>
    <row r="1543" spans="1:23">
      <c r="A1543" s="49"/>
      <c r="B1543" s="49"/>
      <c r="C1543" s="49"/>
      <c r="D1543" s="49"/>
      <c r="E1543" s="49"/>
      <c r="F1543" s="55"/>
      <c r="G1543" s="55"/>
      <c r="H1543" s="49"/>
      <c r="I1543" s="49"/>
      <c r="J1543" s="49"/>
      <c r="K1543" s="49"/>
      <c r="L1543" s="49"/>
      <c r="M1543" s="49"/>
      <c r="N1543" s="49"/>
      <c r="O1543" s="49"/>
      <c r="P1543" s="49"/>
      <c r="Q1543" s="49"/>
      <c r="R1543" s="49"/>
      <c r="S1543" s="49"/>
      <c r="T1543" s="49"/>
      <c r="U1543" s="49"/>
      <c r="V1543" s="49"/>
      <c r="W1543" s="49"/>
    </row>
    <row r="1544" spans="1:23">
      <c r="A1544" s="49"/>
      <c r="B1544" s="49"/>
      <c r="C1544" s="49"/>
      <c r="D1544" s="49"/>
      <c r="E1544" s="49"/>
      <c r="F1544" s="55"/>
      <c r="G1544" s="55"/>
      <c r="H1544" s="49"/>
      <c r="I1544" s="49"/>
      <c r="J1544" s="49"/>
      <c r="K1544" s="49"/>
      <c r="L1544" s="49"/>
      <c r="M1544" s="49"/>
      <c r="N1544" s="49"/>
      <c r="O1544" s="49"/>
      <c r="P1544" s="49"/>
      <c r="Q1544" s="49"/>
      <c r="R1544" s="49"/>
      <c r="S1544" s="49"/>
      <c r="T1544" s="49"/>
      <c r="U1544" s="49"/>
      <c r="V1544" s="49"/>
      <c r="W1544" s="49"/>
    </row>
    <row r="1545" spans="1:23">
      <c r="A1545" s="49"/>
      <c r="B1545" s="49"/>
      <c r="C1545" s="49"/>
      <c r="D1545" s="49"/>
      <c r="E1545" s="49"/>
      <c r="F1545" s="55"/>
      <c r="G1545" s="55"/>
      <c r="H1545" s="49"/>
      <c r="I1545" s="49"/>
      <c r="J1545" s="49"/>
      <c r="K1545" s="49"/>
      <c r="L1545" s="49"/>
      <c r="M1545" s="49"/>
      <c r="N1545" s="49"/>
      <c r="O1545" s="49"/>
      <c r="P1545" s="49"/>
      <c r="Q1545" s="49"/>
      <c r="R1545" s="49"/>
      <c r="S1545" s="49"/>
      <c r="T1545" s="49"/>
      <c r="U1545" s="49"/>
      <c r="V1545" s="49"/>
      <c r="W1545" s="49"/>
    </row>
    <row r="1546" spans="1:23">
      <c r="A1546" s="49"/>
      <c r="B1546" s="49"/>
      <c r="C1546" s="49"/>
      <c r="D1546" s="49"/>
      <c r="E1546" s="49"/>
      <c r="F1546" s="55"/>
      <c r="G1546" s="55"/>
      <c r="H1546" s="49"/>
      <c r="I1546" s="49"/>
      <c r="J1546" s="49"/>
      <c r="K1546" s="49"/>
      <c r="L1546" s="49"/>
      <c r="M1546" s="49"/>
      <c r="N1546" s="49"/>
      <c r="O1546" s="49"/>
      <c r="P1546" s="49"/>
      <c r="Q1546" s="49"/>
      <c r="R1546" s="49"/>
      <c r="S1546" s="49"/>
      <c r="T1546" s="49"/>
      <c r="U1546" s="49"/>
      <c r="V1546" s="49"/>
      <c r="W1546" s="49"/>
    </row>
    <row r="1547" spans="1:23">
      <c r="A1547" s="49"/>
      <c r="B1547" s="49"/>
      <c r="C1547" s="49"/>
      <c r="D1547" s="49"/>
      <c r="E1547" s="49"/>
      <c r="F1547" s="55"/>
      <c r="G1547" s="55"/>
      <c r="H1547" s="49"/>
      <c r="I1547" s="49"/>
      <c r="J1547" s="49"/>
      <c r="K1547" s="49"/>
      <c r="L1547" s="49"/>
      <c r="M1547" s="49"/>
      <c r="N1547" s="49"/>
      <c r="O1547" s="49"/>
      <c r="P1547" s="49"/>
      <c r="Q1547" s="49"/>
      <c r="R1547" s="49"/>
      <c r="S1547" s="49"/>
      <c r="T1547" s="49"/>
      <c r="U1547" s="49"/>
      <c r="V1547" s="49"/>
      <c r="W1547" s="49"/>
    </row>
    <row r="1548" spans="1:23">
      <c r="A1548" s="49"/>
      <c r="B1548" s="49"/>
      <c r="C1548" s="49"/>
      <c r="D1548" s="49"/>
      <c r="E1548" s="49"/>
      <c r="F1548" s="55"/>
      <c r="G1548" s="55"/>
      <c r="H1548" s="49"/>
      <c r="I1548" s="49"/>
      <c r="J1548" s="49"/>
      <c r="K1548" s="49"/>
      <c r="L1548" s="49"/>
      <c r="M1548" s="49"/>
      <c r="N1548" s="49"/>
      <c r="O1548" s="49"/>
      <c r="P1548" s="49"/>
      <c r="Q1548" s="49"/>
      <c r="R1548" s="49"/>
      <c r="S1548" s="49"/>
      <c r="T1548" s="49"/>
      <c r="U1548" s="49"/>
      <c r="V1548" s="49"/>
      <c r="W1548" s="49"/>
    </row>
    <row r="1549" spans="1:23">
      <c r="A1549" s="49"/>
      <c r="B1549" s="49"/>
      <c r="C1549" s="49"/>
      <c r="D1549" s="49"/>
      <c r="E1549" s="49"/>
      <c r="F1549" s="55"/>
      <c r="G1549" s="55"/>
      <c r="H1549" s="49"/>
      <c r="I1549" s="49"/>
      <c r="J1549" s="49"/>
      <c r="K1549" s="49"/>
      <c r="L1549" s="49"/>
      <c r="M1549" s="49"/>
      <c r="N1549" s="49"/>
      <c r="O1549" s="49"/>
      <c r="P1549" s="49"/>
      <c r="Q1549" s="49"/>
      <c r="R1549" s="49"/>
      <c r="S1549" s="49"/>
      <c r="T1549" s="49"/>
      <c r="U1549" s="49"/>
      <c r="V1549" s="49"/>
      <c r="W1549" s="49"/>
    </row>
    <row r="1550" spans="1:23">
      <c r="A1550" s="49"/>
      <c r="B1550" s="49"/>
      <c r="C1550" s="49"/>
      <c r="D1550" s="49"/>
      <c r="E1550" s="49"/>
      <c r="F1550" s="55"/>
      <c r="G1550" s="55"/>
      <c r="H1550" s="49"/>
      <c r="I1550" s="49"/>
      <c r="J1550" s="49"/>
      <c r="K1550" s="49"/>
      <c r="L1550" s="49"/>
      <c r="M1550" s="49"/>
      <c r="N1550" s="49"/>
      <c r="O1550" s="49"/>
      <c r="P1550" s="49"/>
      <c r="Q1550" s="49"/>
      <c r="R1550" s="49"/>
      <c r="S1550" s="49"/>
      <c r="T1550" s="49"/>
      <c r="U1550" s="49"/>
      <c r="V1550" s="49"/>
      <c r="W1550" s="49"/>
    </row>
    <row r="1551" spans="1:23">
      <c r="A1551" s="49"/>
      <c r="B1551" s="49"/>
      <c r="C1551" s="49"/>
      <c r="D1551" s="49"/>
      <c r="E1551" s="49"/>
      <c r="F1551" s="55"/>
      <c r="G1551" s="55"/>
      <c r="H1551" s="49"/>
      <c r="I1551" s="49"/>
      <c r="J1551" s="49"/>
      <c r="K1551" s="49"/>
      <c r="L1551" s="49"/>
      <c r="M1551" s="49"/>
      <c r="N1551" s="49"/>
      <c r="O1551" s="49"/>
      <c r="P1551" s="49"/>
      <c r="Q1551" s="49"/>
      <c r="R1551" s="49"/>
      <c r="S1551" s="49"/>
      <c r="T1551" s="49"/>
      <c r="U1551" s="49"/>
      <c r="V1551" s="49"/>
      <c r="W1551" s="49"/>
    </row>
    <row r="1552" spans="1:23">
      <c r="A1552" s="49"/>
      <c r="B1552" s="49"/>
      <c r="C1552" s="49"/>
      <c r="D1552" s="49"/>
      <c r="E1552" s="49"/>
      <c r="F1552" s="55"/>
      <c r="G1552" s="55"/>
      <c r="H1552" s="49"/>
      <c r="I1552" s="49"/>
      <c r="J1552" s="49"/>
      <c r="K1552" s="49"/>
      <c r="L1552" s="49"/>
      <c r="M1552" s="49"/>
      <c r="N1552" s="49"/>
      <c r="O1552" s="49"/>
      <c r="P1552" s="49"/>
      <c r="Q1552" s="49"/>
      <c r="R1552" s="49"/>
      <c r="S1552" s="49"/>
      <c r="T1552" s="49"/>
      <c r="U1552" s="49"/>
      <c r="V1552" s="49"/>
      <c r="W1552" s="49"/>
    </row>
    <row r="1553" spans="1:23">
      <c r="A1553" s="49"/>
      <c r="B1553" s="49"/>
      <c r="C1553" s="49"/>
      <c r="D1553" s="49"/>
      <c r="E1553" s="49"/>
      <c r="F1553" s="55"/>
      <c r="G1553" s="55"/>
      <c r="H1553" s="49"/>
      <c r="I1553" s="49"/>
      <c r="J1553" s="49"/>
      <c r="K1553" s="49"/>
      <c r="L1553" s="49"/>
      <c r="M1553" s="49"/>
      <c r="N1553" s="49"/>
      <c r="O1553" s="49"/>
      <c r="P1553" s="49"/>
      <c r="Q1553" s="49"/>
      <c r="R1553" s="49"/>
      <c r="S1553" s="49"/>
      <c r="T1553" s="49"/>
      <c r="U1553" s="49"/>
      <c r="V1553" s="49"/>
      <c r="W1553" s="49"/>
    </row>
    <row r="1554" spans="1:23">
      <c r="A1554" s="49"/>
      <c r="B1554" s="49"/>
      <c r="C1554" s="49"/>
      <c r="D1554" s="49"/>
      <c r="E1554" s="49"/>
      <c r="F1554" s="55"/>
      <c r="G1554" s="55"/>
      <c r="H1554" s="49"/>
      <c r="I1554" s="49"/>
      <c r="J1554" s="49"/>
      <c r="K1554" s="49"/>
      <c r="L1554" s="49"/>
      <c r="M1554" s="49"/>
      <c r="N1554" s="49"/>
      <c r="O1554" s="49"/>
      <c r="P1554" s="49"/>
      <c r="Q1554" s="49"/>
      <c r="R1554" s="49"/>
      <c r="S1554" s="49"/>
      <c r="T1554" s="49"/>
      <c r="U1554" s="49"/>
      <c r="V1554" s="49"/>
      <c r="W1554" s="49"/>
    </row>
    <row r="1555" spans="1:23">
      <c r="A1555" s="49"/>
      <c r="B1555" s="49"/>
      <c r="C1555" s="49"/>
      <c r="D1555" s="49"/>
      <c r="E1555" s="49"/>
      <c r="F1555" s="55"/>
      <c r="G1555" s="55"/>
      <c r="H1555" s="49"/>
      <c r="I1555" s="49"/>
      <c r="J1555" s="49"/>
      <c r="K1555" s="49"/>
      <c r="L1555" s="49"/>
      <c r="M1555" s="49"/>
      <c r="N1555" s="49"/>
      <c r="O1555" s="49"/>
      <c r="P1555" s="49"/>
      <c r="Q1555" s="49"/>
      <c r="R1555" s="49"/>
      <c r="S1555" s="49"/>
      <c r="T1555" s="49"/>
      <c r="U1555" s="49"/>
      <c r="V1555" s="49"/>
      <c r="W1555" s="49"/>
    </row>
    <row r="1556" spans="1:23">
      <c r="A1556" s="49"/>
      <c r="B1556" s="49"/>
      <c r="C1556" s="49"/>
      <c r="D1556" s="49"/>
      <c r="E1556" s="49"/>
      <c r="F1556" s="55"/>
      <c r="G1556" s="55"/>
      <c r="H1556" s="49"/>
      <c r="I1556" s="49"/>
      <c r="J1556" s="49"/>
      <c r="K1556" s="49"/>
      <c r="L1556" s="49"/>
      <c r="M1556" s="49"/>
      <c r="N1556" s="49"/>
      <c r="O1556" s="49"/>
      <c r="P1556" s="49"/>
      <c r="Q1556" s="49"/>
      <c r="R1556" s="49"/>
      <c r="S1556" s="49"/>
      <c r="T1556" s="49"/>
      <c r="U1556" s="49"/>
      <c r="V1556" s="49"/>
      <c r="W1556" s="49"/>
    </row>
    <row r="1557" spans="1:23">
      <c r="A1557" s="49"/>
      <c r="B1557" s="49"/>
      <c r="C1557" s="49"/>
      <c r="D1557" s="49"/>
      <c r="E1557" s="49"/>
      <c r="F1557" s="55"/>
      <c r="G1557" s="55"/>
      <c r="H1557" s="49"/>
      <c r="I1557" s="49"/>
      <c r="J1557" s="49"/>
      <c r="K1557" s="49"/>
      <c r="L1557" s="49"/>
      <c r="M1557" s="49"/>
      <c r="N1557" s="49"/>
      <c r="O1557" s="49"/>
      <c r="P1557" s="49"/>
      <c r="Q1557" s="49"/>
      <c r="R1557" s="49"/>
      <c r="S1557" s="49"/>
      <c r="T1557" s="49"/>
      <c r="U1557" s="49"/>
      <c r="V1557" s="49"/>
      <c r="W1557" s="49"/>
    </row>
    <row r="1558" spans="1:23">
      <c r="A1558" s="49"/>
      <c r="B1558" s="49"/>
      <c r="C1558" s="49"/>
      <c r="D1558" s="49"/>
      <c r="E1558" s="49"/>
      <c r="F1558" s="55"/>
      <c r="G1558" s="55"/>
      <c r="H1558" s="49"/>
      <c r="I1558" s="49"/>
      <c r="J1558" s="49"/>
      <c r="K1558" s="49"/>
      <c r="L1558" s="49"/>
      <c r="M1558" s="49"/>
      <c r="N1558" s="49"/>
      <c r="O1558" s="49"/>
      <c r="P1558" s="49"/>
      <c r="Q1558" s="49"/>
      <c r="R1558" s="49"/>
      <c r="S1558" s="49"/>
      <c r="T1558" s="49"/>
      <c r="U1558" s="49"/>
      <c r="V1558" s="49"/>
      <c r="W1558" s="49"/>
    </row>
    <row r="1559" spans="1:23">
      <c r="A1559" s="49"/>
      <c r="B1559" s="49"/>
      <c r="C1559" s="49"/>
      <c r="D1559" s="49"/>
      <c r="E1559" s="49"/>
      <c r="F1559" s="55"/>
      <c r="G1559" s="55"/>
      <c r="H1559" s="49"/>
      <c r="I1559" s="49"/>
      <c r="J1559" s="49"/>
      <c r="K1559" s="49"/>
      <c r="L1559" s="49"/>
      <c r="M1559" s="49"/>
      <c r="N1559" s="49"/>
      <c r="O1559" s="49"/>
      <c r="P1559" s="49"/>
      <c r="Q1559" s="49"/>
      <c r="R1559" s="49"/>
      <c r="S1559" s="49"/>
      <c r="T1559" s="49"/>
      <c r="U1559" s="49"/>
      <c r="V1559" s="49"/>
      <c r="W1559" s="49"/>
    </row>
    <row r="1560" spans="1:23">
      <c r="A1560" s="49"/>
      <c r="B1560" s="49"/>
      <c r="C1560" s="49"/>
      <c r="D1560" s="49"/>
      <c r="E1560" s="49"/>
      <c r="F1560" s="55"/>
      <c r="G1560" s="55"/>
      <c r="H1560" s="49"/>
      <c r="I1560" s="49"/>
      <c r="J1560" s="49"/>
      <c r="K1560" s="49"/>
      <c r="L1560" s="49"/>
      <c r="M1560" s="49"/>
      <c r="N1560" s="49"/>
      <c r="O1560" s="49"/>
      <c r="P1560" s="49"/>
      <c r="Q1560" s="49"/>
      <c r="R1560" s="49"/>
      <c r="S1560" s="49"/>
      <c r="T1560" s="49"/>
      <c r="U1560" s="49"/>
      <c r="V1560" s="49"/>
      <c r="W1560" s="49"/>
    </row>
    <row r="1561" spans="1:23">
      <c r="A1561" s="49"/>
      <c r="B1561" s="49"/>
      <c r="C1561" s="49"/>
      <c r="D1561" s="49"/>
      <c r="E1561" s="49"/>
      <c r="F1561" s="55"/>
      <c r="G1561" s="55"/>
      <c r="H1561" s="49"/>
      <c r="I1561" s="49"/>
      <c r="J1561" s="49"/>
      <c r="K1561" s="49"/>
      <c r="L1561" s="49"/>
      <c r="M1561" s="49"/>
      <c r="N1561" s="49"/>
      <c r="O1561" s="49"/>
      <c r="P1561" s="49"/>
      <c r="Q1561" s="49"/>
      <c r="R1561" s="49"/>
      <c r="S1561" s="49"/>
      <c r="T1561" s="49"/>
      <c r="U1561" s="49"/>
      <c r="V1561" s="49"/>
      <c r="W1561" s="49"/>
    </row>
    <row r="1562" spans="1:23">
      <c r="A1562" s="49"/>
      <c r="B1562" s="49"/>
      <c r="C1562" s="49"/>
      <c r="D1562" s="49"/>
      <c r="E1562" s="49"/>
      <c r="F1562" s="55"/>
      <c r="G1562" s="55"/>
      <c r="H1562" s="49"/>
      <c r="I1562" s="49"/>
      <c r="J1562" s="49"/>
      <c r="K1562" s="49"/>
      <c r="L1562" s="49"/>
      <c r="M1562" s="49"/>
      <c r="N1562" s="49"/>
      <c r="O1562" s="49"/>
      <c r="P1562" s="49"/>
      <c r="Q1562" s="49"/>
      <c r="R1562" s="49"/>
      <c r="S1562" s="49"/>
      <c r="T1562" s="49"/>
      <c r="U1562" s="49"/>
      <c r="V1562" s="49"/>
      <c r="W1562" s="49"/>
    </row>
    <row r="1563" spans="1:23">
      <c r="A1563" s="49"/>
      <c r="B1563" s="49"/>
      <c r="C1563" s="49"/>
      <c r="D1563" s="49"/>
      <c r="E1563" s="49"/>
      <c r="F1563" s="55"/>
      <c r="G1563" s="55"/>
      <c r="H1563" s="49"/>
      <c r="I1563" s="49"/>
      <c r="J1563" s="49"/>
      <c r="K1563" s="49"/>
      <c r="L1563" s="49"/>
      <c r="M1563" s="49"/>
      <c r="N1563" s="49"/>
      <c r="O1563" s="49"/>
      <c r="P1563" s="49"/>
      <c r="Q1563" s="49"/>
      <c r="R1563" s="49"/>
      <c r="S1563" s="49"/>
      <c r="T1563" s="49"/>
      <c r="U1563" s="49"/>
      <c r="V1563" s="49"/>
      <c r="W1563" s="49"/>
    </row>
    <row r="1564" spans="1:23">
      <c r="A1564" s="49"/>
      <c r="B1564" s="49"/>
      <c r="C1564" s="49"/>
      <c r="D1564" s="49"/>
      <c r="E1564" s="49"/>
      <c r="F1564" s="55"/>
      <c r="G1564" s="55"/>
      <c r="H1564" s="49"/>
      <c r="I1564" s="49"/>
      <c r="J1564" s="49"/>
      <c r="K1564" s="49"/>
      <c r="L1564" s="49"/>
      <c r="M1564" s="49"/>
      <c r="N1564" s="49"/>
      <c r="O1564" s="49"/>
      <c r="P1564" s="49"/>
      <c r="Q1564" s="49"/>
      <c r="R1564" s="49"/>
      <c r="S1564" s="49"/>
      <c r="T1564" s="49"/>
      <c r="U1564" s="49"/>
      <c r="V1564" s="49"/>
      <c r="W1564" s="49"/>
    </row>
    <row r="1565" spans="1:23">
      <c r="A1565" s="49"/>
      <c r="B1565" s="49"/>
      <c r="C1565" s="49"/>
      <c r="D1565" s="49"/>
      <c r="E1565" s="49"/>
      <c r="F1565" s="55"/>
      <c r="G1565" s="55"/>
      <c r="H1565" s="49"/>
      <c r="I1565" s="49"/>
      <c r="J1565" s="49"/>
      <c r="K1565" s="49"/>
      <c r="L1565" s="49"/>
      <c r="M1565" s="49"/>
      <c r="N1565" s="49"/>
      <c r="O1565" s="49"/>
      <c r="P1565" s="49"/>
      <c r="Q1565" s="49"/>
      <c r="R1565" s="49"/>
      <c r="S1565" s="49"/>
      <c r="T1565" s="49"/>
      <c r="U1565" s="49"/>
      <c r="V1565" s="49"/>
      <c r="W1565" s="49"/>
    </row>
    <row r="1566" spans="1:23">
      <c r="A1566" s="49"/>
      <c r="B1566" s="49"/>
      <c r="C1566" s="49"/>
      <c r="D1566" s="49"/>
      <c r="E1566" s="49"/>
      <c r="F1566" s="55"/>
      <c r="G1566" s="55"/>
      <c r="H1566" s="49"/>
      <c r="I1566" s="49"/>
      <c r="J1566" s="49"/>
      <c r="K1566" s="49"/>
      <c r="L1566" s="49"/>
      <c r="M1566" s="49"/>
      <c r="N1566" s="49"/>
      <c r="O1566" s="49"/>
      <c r="P1566" s="49"/>
      <c r="Q1566" s="49"/>
      <c r="R1566" s="49"/>
      <c r="S1566" s="49"/>
      <c r="T1566" s="49"/>
      <c r="U1566" s="49"/>
      <c r="V1566" s="49"/>
      <c r="W1566" s="49"/>
    </row>
    <row r="1567" spans="1:23">
      <c r="A1567" s="49"/>
      <c r="B1567" s="49"/>
      <c r="C1567" s="49"/>
      <c r="D1567" s="49"/>
      <c r="E1567" s="49"/>
      <c r="F1567" s="55"/>
      <c r="G1567" s="55"/>
      <c r="H1567" s="49"/>
      <c r="I1567" s="49"/>
      <c r="J1567" s="49"/>
      <c r="K1567" s="49"/>
      <c r="L1567" s="49"/>
      <c r="M1567" s="49"/>
      <c r="N1567" s="49"/>
      <c r="O1567" s="49"/>
      <c r="P1567" s="49"/>
      <c r="Q1567" s="49"/>
      <c r="R1567" s="49"/>
      <c r="S1567" s="49"/>
      <c r="T1567" s="49"/>
      <c r="U1567" s="49"/>
      <c r="V1567" s="49"/>
      <c r="W1567" s="49"/>
    </row>
    <row r="1568" spans="1:23">
      <c r="A1568" s="49"/>
      <c r="B1568" s="49"/>
      <c r="C1568" s="49"/>
      <c r="D1568" s="49"/>
      <c r="E1568" s="49"/>
      <c r="F1568" s="55"/>
      <c r="G1568" s="55"/>
      <c r="H1568" s="49"/>
      <c r="I1568" s="49"/>
      <c r="J1568" s="49"/>
      <c r="K1568" s="49"/>
      <c r="L1568" s="49"/>
      <c r="M1568" s="49"/>
      <c r="N1568" s="49"/>
      <c r="O1568" s="49"/>
      <c r="P1568" s="49"/>
      <c r="Q1568" s="49"/>
      <c r="R1568" s="49"/>
      <c r="S1568" s="49"/>
      <c r="T1568" s="49"/>
      <c r="U1568" s="49"/>
      <c r="V1568" s="49"/>
      <c r="W1568" s="49"/>
    </row>
    <row r="1569" spans="1:23">
      <c r="A1569" s="49"/>
      <c r="B1569" s="49"/>
      <c r="C1569" s="49"/>
      <c r="D1569" s="49"/>
      <c r="E1569" s="49"/>
      <c r="F1569" s="55"/>
      <c r="G1569" s="55"/>
      <c r="H1569" s="49"/>
      <c r="I1569" s="49"/>
      <c r="J1569" s="49"/>
      <c r="K1569" s="49"/>
      <c r="L1569" s="49"/>
      <c r="M1569" s="49"/>
      <c r="N1569" s="49"/>
      <c r="O1569" s="49"/>
      <c r="P1569" s="49"/>
      <c r="Q1569" s="49"/>
      <c r="R1569" s="49"/>
      <c r="S1569" s="49"/>
      <c r="T1569" s="49"/>
      <c r="U1569" s="49"/>
      <c r="V1569" s="49"/>
      <c r="W1569" s="49"/>
    </row>
    <row r="1570" spans="1:23">
      <c r="A1570" s="49"/>
      <c r="B1570" s="49"/>
      <c r="C1570" s="49"/>
      <c r="D1570" s="49"/>
      <c r="E1570" s="49"/>
      <c r="F1570" s="55"/>
      <c r="G1570" s="55"/>
      <c r="H1570" s="49"/>
      <c r="I1570" s="49"/>
      <c r="J1570" s="49"/>
      <c r="K1570" s="49"/>
      <c r="L1570" s="49"/>
      <c r="M1570" s="49"/>
      <c r="N1570" s="49"/>
      <c r="O1570" s="49"/>
      <c r="P1570" s="49"/>
      <c r="Q1570" s="49"/>
      <c r="R1570" s="49"/>
      <c r="S1570" s="49"/>
      <c r="T1570" s="49"/>
      <c r="U1570" s="49"/>
      <c r="V1570" s="49"/>
      <c r="W1570" s="49"/>
    </row>
    <row r="1571" spans="1:23">
      <c r="A1571" s="49"/>
      <c r="B1571" s="49"/>
      <c r="C1571" s="49"/>
      <c r="D1571" s="49"/>
      <c r="E1571" s="49"/>
      <c r="F1571" s="55"/>
      <c r="G1571" s="55"/>
      <c r="H1571" s="49"/>
      <c r="I1571" s="49"/>
      <c r="J1571" s="49"/>
      <c r="K1571" s="49"/>
      <c r="L1571" s="49"/>
      <c r="M1571" s="49"/>
      <c r="N1571" s="49"/>
      <c r="O1571" s="49"/>
      <c r="P1571" s="49"/>
      <c r="Q1571" s="49"/>
      <c r="R1571" s="49"/>
      <c r="S1571" s="49"/>
      <c r="T1571" s="49"/>
      <c r="U1571" s="49"/>
      <c r="V1571" s="49"/>
      <c r="W1571" s="49"/>
    </row>
    <row r="1572" spans="1:23">
      <c r="A1572" s="49"/>
      <c r="B1572" s="49"/>
      <c r="C1572" s="49"/>
      <c r="D1572" s="49"/>
      <c r="E1572" s="49"/>
      <c r="F1572" s="55"/>
      <c r="G1572" s="55"/>
      <c r="H1572" s="49"/>
      <c r="I1572" s="49"/>
      <c r="J1572" s="49"/>
      <c r="K1572" s="49"/>
      <c r="L1572" s="49"/>
      <c r="M1572" s="49"/>
      <c r="N1572" s="49"/>
      <c r="O1572" s="49"/>
      <c r="P1572" s="49"/>
      <c r="Q1572" s="49"/>
      <c r="R1572" s="49"/>
      <c r="S1572" s="49"/>
      <c r="T1572" s="49"/>
      <c r="U1572" s="49"/>
      <c r="V1572" s="49"/>
      <c r="W1572" s="49"/>
    </row>
    <row r="1573" spans="1:23">
      <c r="A1573" s="49"/>
      <c r="B1573" s="49"/>
      <c r="C1573" s="49"/>
      <c r="D1573" s="49"/>
      <c r="E1573" s="49"/>
      <c r="F1573" s="55"/>
      <c r="G1573" s="55"/>
      <c r="H1573" s="49"/>
      <c r="I1573" s="49"/>
      <c r="J1573" s="49"/>
      <c r="K1573" s="49"/>
      <c r="L1573" s="49"/>
      <c r="M1573" s="49"/>
      <c r="N1573" s="49"/>
      <c r="O1573" s="49"/>
      <c r="P1573" s="49"/>
      <c r="Q1573" s="49"/>
      <c r="R1573" s="49"/>
      <c r="S1573" s="49"/>
      <c r="T1573" s="49"/>
      <c r="U1573" s="49"/>
      <c r="V1573" s="49"/>
      <c r="W1573" s="49"/>
    </row>
    <row r="1574" spans="1:23">
      <c r="A1574" s="49"/>
      <c r="B1574" s="49"/>
      <c r="C1574" s="49"/>
      <c r="D1574" s="49"/>
      <c r="E1574" s="49"/>
      <c r="F1574" s="55"/>
      <c r="G1574" s="55"/>
      <c r="H1574" s="49"/>
      <c r="I1574" s="49"/>
      <c r="J1574" s="49"/>
      <c r="K1574" s="49"/>
      <c r="L1574" s="49"/>
      <c r="M1574" s="49"/>
      <c r="N1574" s="49"/>
      <c r="O1574" s="49"/>
      <c r="P1574" s="49"/>
      <c r="Q1574" s="49"/>
      <c r="R1574" s="49"/>
      <c r="S1574" s="49"/>
      <c r="T1574" s="49"/>
      <c r="U1574" s="49"/>
      <c r="V1574" s="49"/>
      <c r="W1574" s="49"/>
    </row>
    <row r="1575" spans="1:23">
      <c r="A1575" s="49"/>
      <c r="B1575" s="49"/>
      <c r="C1575" s="49"/>
      <c r="D1575" s="49"/>
      <c r="E1575" s="49"/>
      <c r="F1575" s="55"/>
      <c r="G1575" s="55"/>
      <c r="H1575" s="49"/>
      <c r="I1575" s="49"/>
      <c r="J1575" s="49"/>
      <c r="K1575" s="49"/>
      <c r="L1575" s="49"/>
      <c r="M1575" s="49"/>
      <c r="N1575" s="49"/>
      <c r="O1575" s="49"/>
      <c r="P1575" s="49"/>
      <c r="Q1575" s="49"/>
      <c r="R1575" s="49"/>
      <c r="S1575" s="49"/>
      <c r="T1575" s="49"/>
      <c r="U1575" s="49"/>
      <c r="V1575" s="49"/>
      <c r="W1575" s="49"/>
    </row>
    <row r="1576" spans="1:23">
      <c r="A1576" s="49"/>
      <c r="B1576" s="49"/>
      <c r="C1576" s="49"/>
      <c r="D1576" s="49"/>
      <c r="E1576" s="49"/>
      <c r="F1576" s="55"/>
      <c r="G1576" s="55"/>
      <c r="H1576" s="49"/>
      <c r="I1576" s="49"/>
      <c r="J1576" s="49"/>
      <c r="K1576" s="49"/>
      <c r="L1576" s="49"/>
      <c r="M1576" s="49"/>
      <c r="N1576" s="49"/>
      <c r="O1576" s="49"/>
      <c r="P1576" s="49"/>
      <c r="Q1576" s="49"/>
      <c r="R1576" s="49"/>
      <c r="S1576" s="49"/>
      <c r="T1576" s="49"/>
      <c r="U1576" s="49"/>
      <c r="V1576" s="49"/>
      <c r="W1576" s="49"/>
    </row>
    <row r="1577" spans="1:23">
      <c r="A1577" s="49"/>
      <c r="B1577" s="49"/>
      <c r="C1577" s="49"/>
      <c r="D1577" s="49"/>
      <c r="E1577" s="49"/>
      <c r="F1577" s="55"/>
      <c r="G1577" s="55"/>
      <c r="H1577" s="49"/>
      <c r="I1577" s="49"/>
      <c r="J1577" s="49"/>
      <c r="K1577" s="49"/>
      <c r="L1577" s="49"/>
      <c r="M1577" s="49"/>
      <c r="N1577" s="49"/>
      <c r="O1577" s="49"/>
      <c r="P1577" s="49"/>
      <c r="Q1577" s="49"/>
      <c r="R1577" s="49"/>
      <c r="S1577" s="49"/>
      <c r="T1577" s="49"/>
      <c r="U1577" s="49"/>
      <c r="V1577" s="49"/>
      <c r="W1577" s="49"/>
    </row>
    <row r="1578" spans="1:23">
      <c r="A1578" s="49"/>
      <c r="B1578" s="49"/>
      <c r="C1578" s="49"/>
      <c r="D1578" s="49"/>
      <c r="E1578" s="49"/>
      <c r="F1578" s="55"/>
      <c r="G1578" s="55"/>
      <c r="H1578" s="49"/>
      <c r="I1578" s="49"/>
      <c r="J1578" s="49"/>
      <c r="K1578" s="49"/>
      <c r="L1578" s="49"/>
      <c r="M1578" s="49"/>
      <c r="N1578" s="49"/>
      <c r="O1578" s="49"/>
      <c r="P1578" s="49"/>
      <c r="Q1578" s="49"/>
      <c r="R1578" s="49"/>
      <c r="S1578" s="49"/>
      <c r="T1578" s="49"/>
      <c r="U1578" s="49"/>
      <c r="V1578" s="49"/>
      <c r="W1578" s="49"/>
    </row>
    <row r="1579" spans="1:23">
      <c r="A1579" s="49"/>
      <c r="B1579" s="49"/>
      <c r="C1579" s="49"/>
      <c r="D1579" s="49"/>
      <c r="E1579" s="49"/>
      <c r="F1579" s="55"/>
      <c r="G1579" s="55"/>
      <c r="H1579" s="49"/>
      <c r="I1579" s="49"/>
      <c r="J1579" s="49"/>
      <c r="K1579" s="49"/>
      <c r="L1579" s="49"/>
      <c r="M1579" s="49"/>
      <c r="N1579" s="49"/>
      <c r="O1579" s="49"/>
      <c r="P1579" s="49"/>
      <c r="Q1579" s="49"/>
      <c r="R1579" s="49"/>
      <c r="S1579" s="49"/>
      <c r="T1579" s="49"/>
      <c r="U1579" s="49"/>
      <c r="V1579" s="49"/>
      <c r="W1579" s="49"/>
    </row>
    <row r="1580" spans="1:23">
      <c r="A1580" s="49"/>
      <c r="B1580" s="49"/>
      <c r="C1580" s="49"/>
      <c r="D1580" s="49"/>
      <c r="E1580" s="49"/>
      <c r="F1580" s="55"/>
      <c r="G1580" s="55"/>
      <c r="H1580" s="49"/>
      <c r="I1580" s="49"/>
      <c r="J1580" s="49"/>
      <c r="K1580" s="49"/>
      <c r="L1580" s="49"/>
      <c r="M1580" s="49"/>
      <c r="N1580" s="49"/>
      <c r="O1580" s="49"/>
      <c r="P1580" s="49"/>
      <c r="Q1580" s="49"/>
      <c r="R1580" s="49"/>
      <c r="S1580" s="49"/>
      <c r="T1580" s="49"/>
      <c r="U1580" s="49"/>
      <c r="V1580" s="49"/>
      <c r="W1580" s="49"/>
    </row>
    <row r="1581" spans="1:23">
      <c r="A1581" s="49"/>
      <c r="B1581" s="49"/>
      <c r="C1581" s="49"/>
      <c r="D1581" s="49"/>
      <c r="E1581" s="49"/>
      <c r="F1581" s="55"/>
      <c r="G1581" s="55"/>
      <c r="H1581" s="49"/>
      <c r="I1581" s="49"/>
      <c r="J1581" s="49"/>
      <c r="K1581" s="49"/>
      <c r="L1581" s="49"/>
      <c r="M1581" s="49"/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</row>
    <row r="1582" spans="1:23">
      <c r="A1582" s="49"/>
      <c r="B1582" s="49"/>
      <c r="C1582" s="49"/>
      <c r="D1582" s="49"/>
      <c r="E1582" s="49"/>
      <c r="F1582" s="55"/>
      <c r="G1582" s="55"/>
      <c r="H1582" s="49"/>
      <c r="I1582" s="49"/>
      <c r="J1582" s="49"/>
      <c r="K1582" s="49"/>
      <c r="L1582" s="49"/>
      <c r="M1582" s="49"/>
      <c r="N1582" s="49"/>
      <c r="O1582" s="49"/>
      <c r="P1582" s="49"/>
      <c r="Q1582" s="49"/>
      <c r="R1582" s="49"/>
      <c r="S1582" s="49"/>
      <c r="T1582" s="49"/>
      <c r="U1582" s="49"/>
      <c r="V1582" s="49"/>
      <c r="W1582" s="49"/>
    </row>
    <row r="1583" spans="1:23">
      <c r="A1583" s="49"/>
      <c r="B1583" s="49"/>
      <c r="C1583" s="49"/>
      <c r="D1583" s="49"/>
      <c r="E1583" s="49"/>
      <c r="F1583" s="55"/>
      <c r="G1583" s="55"/>
      <c r="H1583" s="49"/>
      <c r="I1583" s="49"/>
      <c r="J1583" s="49"/>
      <c r="K1583" s="49"/>
      <c r="L1583" s="49"/>
      <c r="M1583" s="49"/>
      <c r="N1583" s="49"/>
      <c r="O1583" s="49"/>
      <c r="P1583" s="49"/>
      <c r="Q1583" s="49"/>
      <c r="R1583" s="49"/>
      <c r="S1583" s="49"/>
      <c r="T1583" s="49"/>
      <c r="U1583" s="49"/>
      <c r="V1583" s="49"/>
      <c r="W1583" s="49"/>
    </row>
    <row r="1584" spans="1:23">
      <c r="A1584" s="49"/>
      <c r="B1584" s="49"/>
      <c r="C1584" s="49"/>
      <c r="D1584" s="49"/>
      <c r="E1584" s="49"/>
      <c r="F1584" s="55"/>
      <c r="G1584" s="55"/>
      <c r="H1584" s="49"/>
      <c r="I1584" s="49"/>
      <c r="J1584" s="49"/>
      <c r="K1584" s="49"/>
      <c r="L1584" s="49"/>
      <c r="M1584" s="49"/>
      <c r="N1584" s="49"/>
      <c r="O1584" s="49"/>
      <c r="P1584" s="49"/>
      <c r="Q1584" s="49"/>
      <c r="R1584" s="49"/>
      <c r="S1584" s="49"/>
      <c r="T1584" s="49"/>
      <c r="U1584" s="49"/>
      <c r="V1584" s="49"/>
      <c r="W1584" s="49"/>
    </row>
    <row r="1585" spans="1:23">
      <c r="A1585" s="49"/>
      <c r="B1585" s="49"/>
      <c r="C1585" s="49"/>
      <c r="D1585" s="49"/>
      <c r="E1585" s="49"/>
      <c r="F1585" s="55"/>
      <c r="G1585" s="55"/>
      <c r="H1585" s="49"/>
      <c r="I1585" s="49"/>
      <c r="J1585" s="49"/>
      <c r="K1585" s="49"/>
      <c r="L1585" s="49"/>
      <c r="M1585" s="49"/>
      <c r="N1585" s="49"/>
      <c r="O1585" s="49"/>
      <c r="P1585" s="49"/>
      <c r="Q1585" s="49"/>
      <c r="R1585" s="49"/>
      <c r="S1585" s="49"/>
      <c r="T1585" s="49"/>
      <c r="U1585" s="49"/>
      <c r="V1585" s="49"/>
      <c r="W1585" s="49"/>
    </row>
    <row r="1586" spans="1:23">
      <c r="A1586" s="49"/>
      <c r="B1586" s="49"/>
      <c r="C1586" s="49"/>
      <c r="D1586" s="49"/>
      <c r="E1586" s="49"/>
      <c r="F1586" s="55"/>
      <c r="G1586" s="55"/>
      <c r="H1586" s="49"/>
      <c r="I1586" s="49"/>
      <c r="J1586" s="49"/>
      <c r="K1586" s="49"/>
      <c r="L1586" s="49"/>
      <c r="M1586" s="49"/>
      <c r="N1586" s="49"/>
      <c r="O1586" s="49"/>
      <c r="P1586" s="49"/>
      <c r="Q1586" s="49"/>
      <c r="R1586" s="49"/>
      <c r="S1586" s="49"/>
      <c r="T1586" s="49"/>
      <c r="U1586" s="49"/>
      <c r="V1586" s="49"/>
      <c r="W1586" s="49"/>
    </row>
    <row r="1587" spans="1:23">
      <c r="A1587" s="49"/>
      <c r="B1587" s="49"/>
      <c r="C1587" s="49"/>
      <c r="D1587" s="49"/>
      <c r="E1587" s="49"/>
      <c r="F1587" s="55"/>
      <c r="G1587" s="55"/>
      <c r="H1587" s="49"/>
      <c r="I1587" s="49"/>
      <c r="J1587" s="49"/>
      <c r="K1587" s="49"/>
      <c r="L1587" s="49"/>
      <c r="M1587" s="49"/>
      <c r="N1587" s="49"/>
      <c r="O1587" s="49"/>
      <c r="P1587" s="49"/>
      <c r="Q1587" s="49"/>
      <c r="R1587" s="49"/>
      <c r="S1587" s="49"/>
      <c r="T1587" s="49"/>
      <c r="U1587" s="49"/>
      <c r="V1587" s="49"/>
      <c r="W1587" s="49"/>
    </row>
    <row r="1588" spans="1:23">
      <c r="A1588" s="49"/>
      <c r="B1588" s="49"/>
      <c r="C1588" s="49"/>
      <c r="D1588" s="49"/>
      <c r="E1588" s="49"/>
      <c r="F1588" s="55"/>
      <c r="G1588" s="55"/>
      <c r="H1588" s="49"/>
      <c r="I1588" s="49"/>
      <c r="J1588" s="49"/>
      <c r="K1588" s="49"/>
      <c r="L1588" s="49"/>
      <c r="M1588" s="49"/>
      <c r="N1588" s="49"/>
      <c r="O1588" s="49"/>
      <c r="P1588" s="49"/>
      <c r="Q1588" s="49"/>
      <c r="R1588" s="49"/>
      <c r="S1588" s="49"/>
      <c r="T1588" s="49"/>
      <c r="U1588" s="49"/>
      <c r="V1588" s="49"/>
      <c r="W1588" s="49"/>
    </row>
    <row r="1589" spans="1:23">
      <c r="A1589" s="49"/>
      <c r="B1589" s="49"/>
      <c r="C1589" s="49"/>
      <c r="D1589" s="49"/>
      <c r="E1589" s="49"/>
      <c r="F1589" s="55"/>
      <c r="G1589" s="55"/>
      <c r="H1589" s="49"/>
      <c r="I1589" s="49"/>
      <c r="J1589" s="49"/>
      <c r="K1589" s="49"/>
      <c r="L1589" s="49"/>
      <c r="M1589" s="49"/>
      <c r="N1589" s="49"/>
      <c r="O1589" s="49"/>
      <c r="P1589" s="49"/>
      <c r="Q1589" s="49"/>
      <c r="R1589" s="49"/>
      <c r="S1589" s="49"/>
      <c r="T1589" s="49"/>
      <c r="U1589" s="49"/>
      <c r="V1589" s="49"/>
      <c r="W1589" s="49"/>
    </row>
    <row r="1590" spans="1:23">
      <c r="A1590" s="49"/>
      <c r="B1590" s="49"/>
      <c r="C1590" s="49"/>
      <c r="D1590" s="49"/>
      <c r="E1590" s="49"/>
      <c r="F1590" s="55"/>
      <c r="G1590" s="55"/>
      <c r="H1590" s="49"/>
      <c r="I1590" s="49"/>
      <c r="J1590" s="49"/>
      <c r="K1590" s="49"/>
      <c r="L1590" s="49"/>
      <c r="M1590" s="49"/>
      <c r="N1590" s="49"/>
      <c r="O1590" s="49"/>
      <c r="P1590" s="49"/>
      <c r="Q1590" s="49"/>
      <c r="R1590" s="49"/>
      <c r="S1590" s="49"/>
      <c r="T1590" s="49"/>
      <c r="U1590" s="49"/>
      <c r="V1590" s="49"/>
      <c r="W1590" s="49"/>
    </row>
    <row r="1591" spans="1:23">
      <c r="A1591" s="49"/>
      <c r="B1591" s="49"/>
      <c r="C1591" s="49"/>
      <c r="D1591" s="49"/>
      <c r="E1591" s="49"/>
      <c r="F1591" s="55"/>
      <c r="G1591" s="55"/>
      <c r="H1591" s="49"/>
      <c r="I1591" s="49"/>
      <c r="J1591" s="49"/>
      <c r="K1591" s="49"/>
      <c r="L1591" s="49"/>
      <c r="M1591" s="49"/>
      <c r="N1591" s="49"/>
      <c r="O1591" s="49"/>
      <c r="P1591" s="49"/>
      <c r="Q1591" s="49"/>
      <c r="R1591" s="49"/>
      <c r="S1591" s="49"/>
      <c r="T1591" s="49"/>
      <c r="U1591" s="49"/>
      <c r="V1591" s="49"/>
      <c r="W1591" s="49"/>
    </row>
    <row r="1592" spans="1:23">
      <c r="A1592" s="49"/>
      <c r="B1592" s="49"/>
      <c r="C1592" s="49"/>
      <c r="D1592" s="49"/>
      <c r="E1592" s="49"/>
      <c r="F1592" s="55"/>
      <c r="G1592" s="55"/>
      <c r="H1592" s="49"/>
      <c r="I1592" s="49"/>
      <c r="J1592" s="49"/>
      <c r="K1592" s="49"/>
      <c r="L1592" s="49"/>
      <c r="M1592" s="49"/>
      <c r="N1592" s="49"/>
      <c r="O1592" s="49"/>
      <c r="P1592" s="49"/>
      <c r="Q1592" s="49"/>
      <c r="R1592" s="49"/>
      <c r="S1592" s="49"/>
      <c r="T1592" s="49"/>
      <c r="U1592" s="49"/>
      <c r="V1592" s="49"/>
      <c r="W1592" s="49"/>
    </row>
    <row r="1593" spans="1:23">
      <c r="A1593" s="49"/>
      <c r="B1593" s="49"/>
      <c r="C1593" s="49"/>
      <c r="D1593" s="49"/>
      <c r="E1593" s="49"/>
      <c r="F1593" s="55"/>
      <c r="G1593" s="55"/>
      <c r="H1593" s="49"/>
      <c r="I1593" s="49"/>
      <c r="J1593" s="49"/>
      <c r="K1593" s="49"/>
      <c r="L1593" s="49"/>
      <c r="M1593" s="49"/>
      <c r="N1593" s="49"/>
      <c r="O1593" s="49"/>
      <c r="P1593" s="49"/>
      <c r="Q1593" s="49"/>
      <c r="R1593" s="49"/>
      <c r="S1593" s="49"/>
      <c r="T1593" s="49"/>
      <c r="U1593" s="49"/>
      <c r="V1593" s="49"/>
      <c r="W1593" s="49"/>
    </row>
    <row r="1594" spans="1:23">
      <c r="A1594" s="49"/>
      <c r="B1594" s="49"/>
      <c r="C1594" s="49"/>
      <c r="D1594" s="49"/>
      <c r="E1594" s="49"/>
      <c r="F1594" s="55"/>
      <c r="G1594" s="55"/>
      <c r="H1594" s="49"/>
      <c r="I1594" s="49"/>
      <c r="J1594" s="49"/>
      <c r="K1594" s="49"/>
      <c r="L1594" s="49"/>
      <c r="M1594" s="49"/>
      <c r="N1594" s="49"/>
      <c r="O1594" s="49"/>
      <c r="P1594" s="49"/>
      <c r="Q1594" s="49"/>
      <c r="R1594" s="49"/>
      <c r="S1594" s="49"/>
      <c r="T1594" s="49"/>
      <c r="U1594" s="49"/>
      <c r="V1594" s="49"/>
      <c r="W1594" s="49"/>
    </row>
    <row r="1595" spans="1:23">
      <c r="A1595" s="49"/>
      <c r="B1595" s="49"/>
      <c r="C1595" s="49"/>
      <c r="D1595" s="49"/>
      <c r="E1595" s="49"/>
      <c r="F1595" s="55"/>
      <c r="G1595" s="55"/>
      <c r="H1595" s="49"/>
      <c r="I1595" s="49"/>
      <c r="J1595" s="49"/>
      <c r="K1595" s="49"/>
      <c r="L1595" s="49"/>
      <c r="M1595" s="49"/>
      <c r="N1595" s="49"/>
      <c r="O1595" s="49"/>
      <c r="P1595" s="49"/>
      <c r="Q1595" s="49"/>
      <c r="R1595" s="49"/>
      <c r="S1595" s="49"/>
      <c r="T1595" s="49"/>
      <c r="U1595" s="49"/>
      <c r="V1595" s="49"/>
      <c r="W1595" s="49"/>
    </row>
    <row r="1596" spans="1:23">
      <c r="A1596" s="49"/>
      <c r="B1596" s="49"/>
      <c r="C1596" s="49"/>
      <c r="D1596" s="49"/>
      <c r="E1596" s="49"/>
      <c r="F1596" s="55"/>
      <c r="G1596" s="55"/>
      <c r="H1596" s="49"/>
      <c r="I1596" s="49"/>
      <c r="J1596" s="49"/>
      <c r="K1596" s="49"/>
      <c r="L1596" s="49"/>
      <c r="M1596" s="49"/>
      <c r="N1596" s="49"/>
      <c r="O1596" s="49"/>
      <c r="P1596" s="49"/>
      <c r="Q1596" s="49"/>
      <c r="R1596" s="49"/>
      <c r="S1596" s="49"/>
      <c r="T1596" s="49"/>
      <c r="U1596" s="49"/>
      <c r="V1596" s="49"/>
      <c r="W1596" s="49"/>
    </row>
    <row r="1597" spans="1:23">
      <c r="A1597" s="49"/>
      <c r="B1597" s="49"/>
      <c r="C1597" s="49"/>
      <c r="D1597" s="49"/>
      <c r="E1597" s="49"/>
      <c r="F1597" s="55"/>
      <c r="G1597" s="55"/>
      <c r="H1597" s="49"/>
      <c r="I1597" s="49"/>
      <c r="J1597" s="49"/>
      <c r="K1597" s="49"/>
      <c r="L1597" s="49"/>
      <c r="M1597" s="49"/>
      <c r="N1597" s="49"/>
      <c r="O1597" s="49"/>
      <c r="P1597" s="49"/>
      <c r="Q1597" s="49"/>
      <c r="R1597" s="49"/>
      <c r="S1597" s="49"/>
      <c r="T1597" s="49"/>
      <c r="U1597" s="49"/>
      <c r="V1597" s="49"/>
      <c r="W1597" s="49"/>
    </row>
    <row r="1598" spans="1:23">
      <c r="A1598" s="49"/>
      <c r="B1598" s="49"/>
      <c r="C1598" s="49"/>
      <c r="D1598" s="49"/>
      <c r="E1598" s="49"/>
      <c r="F1598" s="55"/>
      <c r="G1598" s="55"/>
      <c r="H1598" s="49"/>
      <c r="I1598" s="49"/>
      <c r="J1598" s="49"/>
      <c r="K1598" s="49"/>
      <c r="L1598" s="49"/>
      <c r="M1598" s="49"/>
      <c r="N1598" s="49"/>
      <c r="O1598" s="49"/>
      <c r="P1598" s="49"/>
      <c r="Q1598" s="49"/>
      <c r="R1598" s="49"/>
      <c r="S1598" s="49"/>
      <c r="T1598" s="49"/>
      <c r="U1598" s="49"/>
      <c r="V1598" s="49"/>
      <c r="W1598" s="49"/>
    </row>
    <row r="1599" spans="1:23">
      <c r="A1599" s="49"/>
      <c r="B1599" s="49"/>
      <c r="C1599" s="49"/>
      <c r="D1599" s="49"/>
      <c r="E1599" s="49"/>
      <c r="F1599" s="55"/>
      <c r="G1599" s="55"/>
      <c r="H1599" s="49"/>
      <c r="I1599" s="49"/>
      <c r="J1599" s="49"/>
      <c r="K1599" s="49"/>
      <c r="L1599" s="49"/>
      <c r="M1599" s="49"/>
      <c r="N1599" s="49"/>
      <c r="O1599" s="49"/>
      <c r="P1599" s="49"/>
      <c r="Q1599" s="49"/>
      <c r="R1599" s="49"/>
      <c r="S1599" s="49"/>
      <c r="T1599" s="49"/>
      <c r="U1599" s="49"/>
      <c r="V1599" s="49"/>
      <c r="W1599" s="49"/>
    </row>
    <row r="1600" spans="1:23">
      <c r="A1600" s="49"/>
      <c r="B1600" s="49"/>
      <c r="C1600" s="49"/>
      <c r="D1600" s="49"/>
      <c r="E1600" s="49"/>
      <c r="F1600" s="55"/>
      <c r="G1600" s="55"/>
      <c r="H1600" s="49"/>
      <c r="I1600" s="49"/>
      <c r="J1600" s="49"/>
      <c r="K1600" s="49"/>
      <c r="L1600" s="49"/>
      <c r="M1600" s="49"/>
      <c r="N1600" s="49"/>
      <c r="O1600" s="49"/>
      <c r="P1600" s="49"/>
      <c r="Q1600" s="49"/>
      <c r="R1600" s="49"/>
      <c r="S1600" s="49"/>
      <c r="T1600" s="49"/>
      <c r="U1600" s="49"/>
      <c r="V1600" s="49"/>
      <c r="W1600" s="49"/>
    </row>
    <row r="1601" spans="1:23">
      <c r="A1601" s="49"/>
      <c r="B1601" s="49"/>
      <c r="C1601" s="49"/>
      <c r="D1601" s="49"/>
      <c r="E1601" s="49"/>
      <c r="F1601" s="55"/>
      <c r="G1601" s="55"/>
      <c r="H1601" s="49"/>
      <c r="I1601" s="49"/>
      <c r="J1601" s="49"/>
      <c r="K1601" s="49"/>
      <c r="L1601" s="49"/>
      <c r="M1601" s="49"/>
      <c r="N1601" s="49"/>
      <c r="O1601" s="49"/>
      <c r="P1601" s="49"/>
      <c r="Q1601" s="49"/>
      <c r="R1601" s="49"/>
      <c r="S1601" s="49"/>
      <c r="T1601" s="49"/>
      <c r="U1601" s="49"/>
      <c r="V1601" s="49"/>
      <c r="W1601" s="49"/>
    </row>
    <row r="1602" spans="1:23">
      <c r="A1602" s="49"/>
      <c r="B1602" s="49"/>
      <c r="C1602" s="49"/>
      <c r="D1602" s="49"/>
      <c r="E1602" s="49"/>
      <c r="F1602" s="55"/>
      <c r="G1602" s="55"/>
      <c r="H1602" s="49"/>
      <c r="I1602" s="49"/>
      <c r="J1602" s="49"/>
      <c r="K1602" s="49"/>
      <c r="L1602" s="49"/>
      <c r="M1602" s="49"/>
      <c r="N1602" s="49"/>
      <c r="O1602" s="49"/>
      <c r="P1602" s="49"/>
      <c r="Q1602" s="49"/>
      <c r="R1602" s="49"/>
      <c r="S1602" s="49"/>
      <c r="T1602" s="49"/>
      <c r="U1602" s="49"/>
      <c r="V1602" s="49"/>
      <c r="W1602" s="49"/>
    </row>
    <row r="1603" spans="1:23">
      <c r="A1603" s="49"/>
      <c r="B1603" s="49"/>
      <c r="C1603" s="49"/>
      <c r="D1603" s="49"/>
      <c r="E1603" s="49"/>
      <c r="F1603" s="55"/>
      <c r="G1603" s="55"/>
      <c r="H1603" s="49"/>
      <c r="I1603" s="49"/>
      <c r="J1603" s="49"/>
      <c r="K1603" s="49"/>
      <c r="L1603" s="49"/>
      <c r="M1603" s="49"/>
      <c r="N1603" s="49"/>
      <c r="O1603" s="49"/>
      <c r="P1603" s="49"/>
      <c r="Q1603" s="49"/>
      <c r="R1603" s="49"/>
      <c r="S1603" s="49"/>
      <c r="T1603" s="49"/>
      <c r="U1603" s="49"/>
      <c r="V1603" s="49"/>
      <c r="W1603" s="49"/>
    </row>
    <row r="1604" spans="1:23">
      <c r="A1604" s="49"/>
      <c r="B1604" s="49"/>
      <c r="C1604" s="49"/>
      <c r="D1604" s="49"/>
      <c r="E1604" s="49"/>
      <c r="F1604" s="55"/>
      <c r="G1604" s="55"/>
      <c r="H1604" s="49"/>
      <c r="I1604" s="49"/>
      <c r="J1604" s="49"/>
      <c r="K1604" s="49"/>
      <c r="L1604" s="49"/>
      <c r="M1604" s="49"/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</row>
    <row r="1605" spans="1:23">
      <c r="A1605" s="49"/>
      <c r="B1605" s="49"/>
      <c r="C1605" s="49"/>
      <c r="D1605" s="49"/>
      <c r="E1605" s="49"/>
      <c r="F1605" s="55"/>
      <c r="G1605" s="55"/>
      <c r="H1605" s="49"/>
      <c r="I1605" s="49"/>
      <c r="J1605" s="49"/>
      <c r="K1605" s="49"/>
      <c r="L1605" s="49"/>
      <c r="M1605" s="49"/>
      <c r="N1605" s="49"/>
      <c r="O1605" s="49"/>
      <c r="P1605" s="49"/>
      <c r="Q1605" s="49"/>
      <c r="R1605" s="49"/>
      <c r="S1605" s="49"/>
      <c r="T1605" s="49"/>
      <c r="U1605" s="49"/>
      <c r="V1605" s="49"/>
      <c r="W1605" s="49"/>
    </row>
    <row r="1606" spans="1:23">
      <c r="A1606" s="49"/>
      <c r="B1606" s="49"/>
      <c r="C1606" s="49"/>
      <c r="D1606" s="49"/>
      <c r="E1606" s="49"/>
      <c r="F1606" s="55"/>
      <c r="G1606" s="55"/>
      <c r="H1606" s="49"/>
      <c r="I1606" s="49"/>
      <c r="J1606" s="49"/>
      <c r="K1606" s="49"/>
      <c r="L1606" s="49"/>
      <c r="M1606" s="49"/>
      <c r="N1606" s="49"/>
      <c r="O1606" s="49"/>
      <c r="P1606" s="49"/>
      <c r="Q1606" s="49"/>
      <c r="R1606" s="49"/>
      <c r="S1606" s="49"/>
      <c r="T1606" s="49"/>
      <c r="U1606" s="49"/>
      <c r="V1606" s="49"/>
      <c r="W1606" s="49"/>
    </row>
    <row r="1607" spans="1:23">
      <c r="A1607" s="49"/>
      <c r="B1607" s="49"/>
      <c r="C1607" s="49"/>
      <c r="D1607" s="49"/>
      <c r="E1607" s="49"/>
      <c r="F1607" s="55"/>
      <c r="G1607" s="55"/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/>
      <c r="S1607" s="49"/>
      <c r="T1607" s="49"/>
      <c r="U1607" s="49"/>
      <c r="V1607" s="49"/>
      <c r="W1607" s="49"/>
    </row>
    <row r="1608" spans="1:23">
      <c r="A1608" s="49"/>
      <c r="B1608" s="49"/>
      <c r="C1608" s="49"/>
      <c r="D1608" s="49"/>
      <c r="E1608" s="49"/>
      <c r="F1608" s="55"/>
      <c r="G1608" s="55"/>
      <c r="H1608" s="49"/>
      <c r="I1608" s="49"/>
      <c r="J1608" s="49"/>
      <c r="K1608" s="49"/>
      <c r="L1608" s="49"/>
      <c r="M1608" s="49"/>
      <c r="N1608" s="49"/>
      <c r="O1608" s="49"/>
      <c r="P1608" s="49"/>
      <c r="Q1608" s="49"/>
      <c r="R1608" s="49"/>
      <c r="S1608" s="49"/>
      <c r="T1608" s="49"/>
      <c r="U1608" s="49"/>
      <c r="V1608" s="49"/>
      <c r="W1608" s="49"/>
    </row>
    <row r="1609" spans="1:23">
      <c r="A1609" s="49"/>
      <c r="B1609" s="49"/>
      <c r="C1609" s="49"/>
      <c r="D1609" s="49"/>
      <c r="E1609" s="49"/>
      <c r="F1609" s="55"/>
      <c r="G1609" s="55"/>
      <c r="H1609" s="49"/>
      <c r="I1609" s="49"/>
      <c r="J1609" s="49"/>
      <c r="K1609" s="49"/>
      <c r="L1609" s="49"/>
      <c r="M1609" s="49"/>
      <c r="N1609" s="49"/>
      <c r="O1609" s="49"/>
      <c r="P1609" s="49"/>
      <c r="Q1609" s="49"/>
      <c r="R1609" s="49"/>
      <c r="S1609" s="49"/>
      <c r="T1609" s="49"/>
      <c r="U1609" s="49"/>
      <c r="V1609" s="49"/>
      <c r="W1609" s="49"/>
    </row>
    <row r="1610" spans="1:23">
      <c r="A1610" s="49"/>
      <c r="B1610" s="49"/>
      <c r="C1610" s="49"/>
      <c r="D1610" s="49"/>
      <c r="E1610" s="49"/>
      <c r="F1610" s="55"/>
      <c r="G1610" s="55"/>
      <c r="H1610" s="49"/>
      <c r="I1610" s="49"/>
      <c r="J1610" s="49"/>
      <c r="K1610" s="49"/>
      <c r="L1610" s="49"/>
      <c r="M1610" s="49"/>
      <c r="N1610" s="49"/>
      <c r="O1610" s="49"/>
      <c r="P1610" s="49"/>
      <c r="Q1610" s="49"/>
      <c r="R1610" s="49"/>
      <c r="S1610" s="49"/>
      <c r="T1610" s="49"/>
      <c r="U1610" s="49"/>
      <c r="V1610" s="49"/>
      <c r="W1610" s="49"/>
    </row>
    <row r="1611" spans="1:23">
      <c r="A1611" s="49"/>
      <c r="B1611" s="49"/>
      <c r="C1611" s="49"/>
      <c r="D1611" s="49"/>
      <c r="E1611" s="49"/>
      <c r="F1611" s="55"/>
      <c r="G1611" s="55"/>
      <c r="H1611" s="49"/>
      <c r="I1611" s="49"/>
      <c r="J1611" s="49"/>
      <c r="K1611" s="49"/>
      <c r="L1611" s="49"/>
      <c r="M1611" s="49"/>
      <c r="N1611" s="49"/>
      <c r="O1611" s="49"/>
      <c r="P1611" s="49"/>
      <c r="Q1611" s="49"/>
      <c r="R1611" s="49"/>
      <c r="S1611" s="49"/>
      <c r="T1611" s="49"/>
      <c r="U1611" s="49"/>
      <c r="V1611" s="49"/>
      <c r="W1611" s="49"/>
    </row>
    <row r="1612" spans="1:23">
      <c r="A1612" s="49"/>
      <c r="B1612" s="49"/>
      <c r="C1612" s="49"/>
      <c r="D1612" s="49"/>
      <c r="E1612" s="49"/>
      <c r="F1612" s="55"/>
      <c r="G1612" s="55"/>
      <c r="H1612" s="49"/>
      <c r="I1612" s="49"/>
      <c r="J1612" s="49"/>
      <c r="K1612" s="49"/>
      <c r="L1612" s="49"/>
      <c r="M1612" s="49"/>
      <c r="N1612" s="49"/>
      <c r="O1612" s="49"/>
      <c r="P1612" s="49"/>
      <c r="Q1612" s="49"/>
      <c r="R1612" s="49"/>
      <c r="S1612" s="49"/>
      <c r="T1612" s="49"/>
      <c r="U1612" s="49"/>
      <c r="V1612" s="49"/>
      <c r="W1612" s="49"/>
    </row>
    <row r="1613" spans="1:23">
      <c r="A1613" s="49"/>
      <c r="B1613" s="49"/>
      <c r="C1613" s="49"/>
      <c r="D1613" s="49"/>
      <c r="E1613" s="49"/>
      <c r="F1613" s="55"/>
      <c r="G1613" s="55"/>
      <c r="H1613" s="49"/>
      <c r="I1613" s="49"/>
      <c r="J1613" s="49"/>
      <c r="K1613" s="49"/>
      <c r="L1613" s="49"/>
      <c r="M1613" s="49"/>
      <c r="N1613" s="49"/>
      <c r="O1613" s="49"/>
      <c r="P1613" s="49"/>
      <c r="Q1613" s="49"/>
      <c r="R1613" s="49"/>
      <c r="S1613" s="49"/>
      <c r="T1613" s="49"/>
      <c r="U1613" s="49"/>
      <c r="V1613" s="49"/>
      <c r="W1613" s="49"/>
    </row>
    <row r="1614" spans="1:23">
      <c r="A1614" s="49"/>
      <c r="B1614" s="49"/>
      <c r="C1614" s="49"/>
      <c r="D1614" s="49"/>
      <c r="E1614" s="49"/>
      <c r="F1614" s="55"/>
      <c r="G1614" s="55"/>
      <c r="H1614" s="49"/>
      <c r="I1614" s="49"/>
      <c r="J1614" s="49"/>
      <c r="K1614" s="49"/>
      <c r="L1614" s="49"/>
      <c r="M1614" s="49"/>
      <c r="N1614" s="49"/>
      <c r="O1614" s="49"/>
      <c r="P1614" s="49"/>
      <c r="Q1614" s="49"/>
      <c r="R1614" s="49"/>
      <c r="S1614" s="49"/>
      <c r="T1614" s="49"/>
      <c r="U1614" s="49"/>
      <c r="V1614" s="49"/>
      <c r="W1614" s="49"/>
    </row>
    <row r="1615" spans="1:23">
      <c r="A1615" s="49"/>
      <c r="B1615" s="49"/>
      <c r="C1615" s="49"/>
      <c r="D1615" s="49"/>
      <c r="E1615" s="49"/>
      <c r="F1615" s="55"/>
      <c r="G1615" s="55"/>
      <c r="H1615" s="49"/>
      <c r="I1615" s="49"/>
      <c r="J1615" s="49"/>
      <c r="K1615" s="49"/>
      <c r="L1615" s="49"/>
      <c r="M1615" s="49"/>
      <c r="N1615" s="49"/>
      <c r="O1615" s="49"/>
      <c r="P1615" s="49"/>
      <c r="Q1615" s="49"/>
      <c r="R1615" s="49"/>
      <c r="S1615" s="49"/>
      <c r="T1615" s="49"/>
      <c r="U1615" s="49"/>
      <c r="V1615" s="49"/>
      <c r="W1615" s="49"/>
    </row>
    <row r="1616" spans="1:23">
      <c r="A1616" s="49"/>
      <c r="B1616" s="49"/>
      <c r="C1616" s="49"/>
      <c r="D1616" s="49"/>
      <c r="E1616" s="49"/>
      <c r="F1616" s="55"/>
      <c r="G1616" s="55"/>
      <c r="H1616" s="49"/>
      <c r="I1616" s="49"/>
      <c r="J1616" s="49"/>
      <c r="K1616" s="49"/>
      <c r="L1616" s="49"/>
      <c r="M1616" s="49"/>
      <c r="N1616" s="49"/>
      <c r="O1616" s="49"/>
      <c r="P1616" s="49"/>
      <c r="Q1616" s="49"/>
      <c r="R1616" s="49"/>
      <c r="S1616" s="49"/>
      <c r="T1616" s="49"/>
      <c r="U1616" s="49"/>
      <c r="V1616" s="49"/>
      <c r="W1616" s="49"/>
    </row>
    <row r="1617" spans="1:23">
      <c r="A1617" s="49"/>
      <c r="B1617" s="49"/>
      <c r="C1617" s="49"/>
      <c r="D1617" s="49"/>
      <c r="E1617" s="49"/>
      <c r="F1617" s="55"/>
      <c r="G1617" s="55"/>
      <c r="H1617" s="49"/>
      <c r="I1617" s="49"/>
      <c r="J1617" s="49"/>
      <c r="K1617" s="49"/>
      <c r="L1617" s="49"/>
      <c r="M1617" s="49"/>
      <c r="N1617" s="49"/>
      <c r="O1617" s="49"/>
      <c r="P1617" s="49"/>
      <c r="Q1617" s="49"/>
      <c r="R1617" s="49"/>
      <c r="S1617" s="49"/>
      <c r="T1617" s="49"/>
      <c r="U1617" s="49"/>
      <c r="V1617" s="49"/>
      <c r="W1617" s="49"/>
    </row>
    <row r="1618" spans="1:23">
      <c r="A1618" s="49"/>
      <c r="B1618" s="49"/>
      <c r="C1618" s="49"/>
      <c r="D1618" s="49"/>
      <c r="E1618" s="49"/>
      <c r="F1618" s="55"/>
      <c r="G1618" s="55"/>
      <c r="H1618" s="49"/>
      <c r="I1618" s="49"/>
      <c r="J1618" s="49"/>
      <c r="K1618" s="49"/>
      <c r="L1618" s="49"/>
      <c r="M1618" s="49"/>
      <c r="N1618" s="49"/>
      <c r="O1618" s="49"/>
      <c r="P1618" s="49"/>
      <c r="Q1618" s="49"/>
      <c r="R1618" s="49"/>
      <c r="S1618" s="49"/>
      <c r="T1618" s="49"/>
      <c r="U1618" s="49"/>
      <c r="V1618" s="49"/>
      <c r="W1618" s="49"/>
    </row>
    <row r="1619" spans="1:23">
      <c r="A1619" s="49"/>
      <c r="B1619" s="49"/>
      <c r="C1619" s="49"/>
      <c r="D1619" s="49"/>
      <c r="E1619" s="49"/>
      <c r="F1619" s="55"/>
      <c r="G1619" s="55"/>
      <c r="H1619" s="49"/>
      <c r="I1619" s="49"/>
      <c r="J1619" s="49"/>
      <c r="K1619" s="49"/>
      <c r="L1619" s="49"/>
      <c r="M1619" s="49"/>
      <c r="N1619" s="49"/>
      <c r="O1619" s="49"/>
      <c r="P1619" s="49"/>
      <c r="Q1619" s="49"/>
      <c r="R1619" s="49"/>
      <c r="S1619" s="49"/>
      <c r="T1619" s="49"/>
      <c r="U1619" s="49"/>
      <c r="V1619" s="49"/>
      <c r="W1619" s="49"/>
    </row>
    <row r="1620" spans="1:23">
      <c r="A1620" s="49"/>
      <c r="B1620" s="49"/>
      <c r="C1620" s="49"/>
      <c r="D1620" s="49"/>
      <c r="E1620" s="49"/>
      <c r="F1620" s="55"/>
      <c r="G1620" s="55"/>
      <c r="H1620" s="49"/>
      <c r="I1620" s="49"/>
      <c r="J1620" s="49"/>
      <c r="K1620" s="49"/>
      <c r="L1620" s="49"/>
      <c r="M1620" s="49"/>
      <c r="N1620" s="49"/>
      <c r="O1620" s="49"/>
      <c r="P1620" s="49"/>
      <c r="Q1620" s="49"/>
      <c r="R1620" s="49"/>
      <c r="S1620" s="49"/>
      <c r="T1620" s="49"/>
      <c r="U1620" s="49"/>
      <c r="V1620" s="49"/>
      <c r="W1620" s="49"/>
    </row>
    <row r="1621" spans="1:23">
      <c r="A1621" s="49"/>
      <c r="B1621" s="49"/>
      <c r="C1621" s="49"/>
      <c r="D1621" s="49"/>
      <c r="E1621" s="49"/>
      <c r="F1621" s="55"/>
      <c r="G1621" s="55"/>
      <c r="H1621" s="49"/>
      <c r="I1621" s="49"/>
      <c r="J1621" s="49"/>
      <c r="K1621" s="49"/>
      <c r="L1621" s="49"/>
      <c r="M1621" s="49"/>
      <c r="N1621" s="49"/>
      <c r="O1621" s="49"/>
      <c r="P1621" s="49"/>
      <c r="Q1621" s="49"/>
      <c r="R1621" s="49"/>
      <c r="S1621" s="49"/>
      <c r="T1621" s="49"/>
      <c r="U1621" s="49"/>
      <c r="V1621" s="49"/>
      <c r="W1621" s="49"/>
    </row>
    <row r="1622" spans="1:23">
      <c r="A1622" s="49"/>
      <c r="B1622" s="49"/>
      <c r="C1622" s="49"/>
      <c r="D1622" s="49"/>
      <c r="E1622" s="49"/>
      <c r="F1622" s="55"/>
      <c r="G1622" s="55"/>
      <c r="H1622" s="49"/>
      <c r="I1622" s="49"/>
      <c r="J1622" s="49"/>
      <c r="K1622" s="49"/>
      <c r="L1622" s="49"/>
      <c r="M1622" s="49"/>
      <c r="N1622" s="49"/>
      <c r="O1622" s="49"/>
      <c r="P1622" s="49"/>
      <c r="Q1622" s="49"/>
      <c r="R1622" s="49"/>
      <c r="S1622" s="49"/>
      <c r="T1622" s="49"/>
      <c r="U1622" s="49"/>
      <c r="V1622" s="49"/>
      <c r="W1622" s="49"/>
    </row>
    <row r="1623" spans="1:23">
      <c r="A1623" s="49"/>
      <c r="B1623" s="49"/>
      <c r="C1623" s="49"/>
      <c r="D1623" s="49"/>
      <c r="E1623" s="49"/>
      <c r="F1623" s="55"/>
      <c r="G1623" s="55"/>
      <c r="H1623" s="49"/>
      <c r="I1623" s="49"/>
      <c r="J1623" s="49"/>
      <c r="K1623" s="49"/>
      <c r="L1623" s="49"/>
      <c r="M1623" s="49"/>
      <c r="N1623" s="49"/>
      <c r="O1623" s="49"/>
      <c r="P1623" s="49"/>
      <c r="Q1623" s="49"/>
      <c r="R1623" s="49"/>
      <c r="S1623" s="49"/>
      <c r="T1623" s="49"/>
      <c r="U1623" s="49"/>
      <c r="V1623" s="49"/>
      <c r="W1623" s="49"/>
    </row>
    <row r="1624" spans="1:23">
      <c r="A1624" s="49"/>
      <c r="B1624" s="49"/>
      <c r="C1624" s="49"/>
      <c r="D1624" s="49"/>
      <c r="E1624" s="49"/>
      <c r="F1624" s="55"/>
      <c r="G1624" s="55"/>
      <c r="H1624" s="49"/>
      <c r="I1624" s="49"/>
      <c r="J1624" s="49"/>
      <c r="K1624" s="49"/>
      <c r="L1624" s="49"/>
      <c r="M1624" s="49"/>
      <c r="N1624" s="49"/>
      <c r="O1624" s="49"/>
      <c r="P1624" s="49"/>
      <c r="Q1624" s="49"/>
      <c r="R1624" s="49"/>
      <c r="S1624" s="49"/>
      <c r="T1624" s="49"/>
      <c r="U1624" s="49"/>
      <c r="V1624" s="49"/>
      <c r="W1624" s="49"/>
    </row>
    <row r="1625" spans="1:23">
      <c r="A1625" s="49"/>
      <c r="B1625" s="49"/>
      <c r="C1625" s="49"/>
      <c r="D1625" s="49"/>
      <c r="E1625" s="49"/>
      <c r="F1625" s="55"/>
      <c r="G1625" s="55"/>
      <c r="H1625" s="49"/>
      <c r="I1625" s="49"/>
      <c r="J1625" s="49"/>
      <c r="K1625" s="49"/>
      <c r="L1625" s="49"/>
      <c r="M1625" s="49"/>
      <c r="N1625" s="49"/>
      <c r="O1625" s="49"/>
      <c r="P1625" s="49"/>
      <c r="Q1625" s="49"/>
      <c r="R1625" s="49"/>
      <c r="S1625" s="49"/>
      <c r="T1625" s="49"/>
      <c r="U1625" s="49"/>
      <c r="V1625" s="49"/>
      <c r="W1625" s="49"/>
    </row>
    <row r="1626" spans="1:23">
      <c r="A1626" s="49"/>
      <c r="B1626" s="49"/>
      <c r="C1626" s="49"/>
      <c r="D1626" s="49"/>
      <c r="E1626" s="49"/>
      <c r="F1626" s="55"/>
      <c r="G1626" s="55"/>
      <c r="H1626" s="49"/>
      <c r="I1626" s="49"/>
      <c r="J1626" s="49"/>
      <c r="K1626" s="49"/>
      <c r="L1626" s="49"/>
      <c r="M1626" s="49"/>
      <c r="N1626" s="49"/>
      <c r="O1626" s="49"/>
      <c r="P1626" s="49"/>
      <c r="Q1626" s="49"/>
      <c r="R1626" s="49"/>
      <c r="S1626" s="49"/>
      <c r="T1626" s="49"/>
      <c r="U1626" s="49"/>
      <c r="V1626" s="49"/>
      <c r="W1626" s="49"/>
    </row>
    <row r="1627" spans="1:23">
      <c r="A1627" s="49"/>
      <c r="B1627" s="49"/>
      <c r="C1627" s="49"/>
      <c r="D1627" s="49"/>
      <c r="E1627" s="49"/>
      <c r="F1627" s="55"/>
      <c r="G1627" s="55"/>
      <c r="H1627" s="49"/>
      <c r="I1627" s="49"/>
      <c r="J1627" s="49"/>
      <c r="K1627" s="49"/>
      <c r="L1627" s="49"/>
      <c r="M1627" s="49"/>
      <c r="N1627" s="49"/>
      <c r="O1627" s="49"/>
      <c r="P1627" s="49"/>
      <c r="Q1627" s="49"/>
      <c r="R1627" s="49"/>
      <c r="S1627" s="49"/>
      <c r="T1627" s="49"/>
      <c r="U1627" s="49"/>
      <c r="V1627" s="49"/>
      <c r="W1627" s="49"/>
    </row>
    <row r="1628" spans="1:23">
      <c r="A1628" s="49"/>
      <c r="B1628" s="49"/>
      <c r="C1628" s="49"/>
      <c r="D1628" s="49"/>
      <c r="E1628" s="49"/>
      <c r="F1628" s="55"/>
      <c r="G1628" s="55"/>
      <c r="H1628" s="49"/>
      <c r="I1628" s="49"/>
      <c r="J1628" s="49"/>
      <c r="K1628" s="49"/>
      <c r="L1628" s="49"/>
      <c r="M1628" s="49"/>
      <c r="N1628" s="49"/>
      <c r="O1628" s="49"/>
      <c r="P1628" s="49"/>
      <c r="Q1628" s="49"/>
      <c r="R1628" s="49"/>
      <c r="S1628" s="49"/>
      <c r="T1628" s="49"/>
      <c r="U1628" s="49"/>
      <c r="V1628" s="49"/>
      <c r="W1628" s="49"/>
    </row>
    <row r="1629" spans="1:23">
      <c r="A1629" s="49"/>
      <c r="B1629" s="49"/>
      <c r="C1629" s="49"/>
      <c r="D1629" s="49"/>
      <c r="E1629" s="49"/>
      <c r="F1629" s="55"/>
      <c r="G1629" s="55"/>
      <c r="H1629" s="49"/>
      <c r="I1629" s="49"/>
      <c r="J1629" s="49"/>
      <c r="K1629" s="49"/>
      <c r="L1629" s="49"/>
      <c r="M1629" s="49"/>
      <c r="N1629" s="49"/>
      <c r="O1629" s="49"/>
      <c r="P1629" s="49"/>
      <c r="Q1629" s="49"/>
      <c r="R1629" s="49"/>
      <c r="S1629" s="49"/>
      <c r="T1629" s="49"/>
      <c r="U1629" s="49"/>
      <c r="V1629" s="49"/>
      <c r="W1629" s="49"/>
    </row>
    <row r="1630" spans="1:23">
      <c r="A1630" s="49"/>
      <c r="B1630" s="49"/>
      <c r="C1630" s="49"/>
      <c r="D1630" s="49"/>
      <c r="E1630" s="49"/>
      <c r="F1630" s="55"/>
      <c r="G1630" s="55"/>
      <c r="H1630" s="49"/>
      <c r="I1630" s="49"/>
      <c r="J1630" s="49"/>
      <c r="K1630" s="49"/>
      <c r="L1630" s="49"/>
      <c r="M1630" s="49"/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</row>
    <row r="1631" spans="1:23">
      <c r="A1631" s="49"/>
      <c r="B1631" s="49"/>
      <c r="C1631" s="49"/>
      <c r="D1631" s="49"/>
      <c r="E1631" s="49"/>
      <c r="F1631" s="55"/>
      <c r="G1631" s="55"/>
      <c r="H1631" s="49"/>
      <c r="I1631" s="49"/>
      <c r="J1631" s="49"/>
      <c r="K1631" s="49"/>
      <c r="L1631" s="49"/>
      <c r="M1631" s="49"/>
      <c r="N1631" s="49"/>
      <c r="O1631" s="49"/>
      <c r="P1631" s="49"/>
      <c r="Q1631" s="49"/>
      <c r="R1631" s="49"/>
      <c r="S1631" s="49"/>
      <c r="T1631" s="49"/>
      <c r="U1631" s="49"/>
      <c r="V1631" s="49"/>
      <c r="W1631" s="49"/>
    </row>
    <row r="1632" spans="1:23">
      <c r="A1632" s="49"/>
      <c r="B1632" s="49"/>
      <c r="C1632" s="49"/>
      <c r="D1632" s="49"/>
      <c r="E1632" s="49"/>
      <c r="F1632" s="55"/>
      <c r="G1632" s="55"/>
      <c r="H1632" s="49"/>
      <c r="I1632" s="49"/>
      <c r="J1632" s="49"/>
      <c r="K1632" s="49"/>
      <c r="L1632" s="49"/>
      <c r="M1632" s="49"/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</row>
    <row r="1633" spans="1:23">
      <c r="A1633" s="49"/>
      <c r="B1633" s="49"/>
      <c r="C1633" s="49"/>
      <c r="D1633" s="49"/>
      <c r="E1633" s="49"/>
      <c r="F1633" s="55"/>
      <c r="G1633" s="55"/>
      <c r="H1633" s="49"/>
      <c r="I1633" s="49"/>
      <c r="J1633" s="49"/>
      <c r="K1633" s="49"/>
      <c r="L1633" s="49"/>
      <c r="M1633" s="49"/>
      <c r="N1633" s="49"/>
      <c r="O1633" s="49"/>
      <c r="P1633" s="49"/>
      <c r="Q1633" s="49"/>
      <c r="R1633" s="49"/>
      <c r="S1633" s="49"/>
      <c r="T1633" s="49"/>
      <c r="U1633" s="49"/>
      <c r="V1633" s="49"/>
      <c r="W1633" s="49"/>
    </row>
    <row r="1634" spans="1:23">
      <c r="A1634" s="49"/>
      <c r="B1634" s="49"/>
      <c r="C1634" s="49"/>
      <c r="D1634" s="49"/>
      <c r="E1634" s="49"/>
      <c r="F1634" s="55"/>
      <c r="G1634" s="55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</row>
    <row r="1635" spans="1:23">
      <c r="A1635" s="49"/>
      <c r="B1635" s="49"/>
      <c r="C1635" s="49"/>
      <c r="D1635" s="49"/>
      <c r="E1635" s="49"/>
      <c r="F1635" s="55"/>
      <c r="G1635" s="55"/>
      <c r="H1635" s="49"/>
      <c r="I1635" s="49"/>
      <c r="J1635" s="49"/>
      <c r="K1635" s="49"/>
      <c r="L1635" s="49"/>
      <c r="M1635" s="49"/>
      <c r="N1635" s="49"/>
      <c r="O1635" s="49"/>
      <c r="P1635" s="49"/>
      <c r="Q1635" s="49"/>
      <c r="R1635" s="49"/>
      <c r="S1635" s="49"/>
      <c r="T1635" s="49"/>
      <c r="U1635" s="49"/>
      <c r="V1635" s="49"/>
      <c r="W1635" s="49"/>
    </row>
    <row r="1636" spans="1:23">
      <c r="A1636" s="49"/>
      <c r="B1636" s="49"/>
      <c r="C1636" s="49"/>
      <c r="D1636" s="49"/>
      <c r="E1636" s="49"/>
      <c r="F1636" s="55"/>
      <c r="G1636" s="55"/>
      <c r="H1636" s="49"/>
      <c r="I1636" s="49"/>
      <c r="J1636" s="49"/>
      <c r="K1636" s="49"/>
      <c r="L1636" s="49"/>
      <c r="M1636" s="49"/>
      <c r="N1636" s="49"/>
      <c r="O1636" s="49"/>
      <c r="P1636" s="49"/>
      <c r="Q1636" s="49"/>
      <c r="R1636" s="49"/>
      <c r="S1636" s="49"/>
      <c r="T1636" s="49"/>
      <c r="U1636" s="49"/>
      <c r="V1636" s="49"/>
      <c r="W1636" s="49"/>
    </row>
    <row r="1637" spans="1:23">
      <c r="A1637" s="49"/>
      <c r="B1637" s="49"/>
      <c r="C1637" s="49"/>
      <c r="D1637" s="49"/>
      <c r="E1637" s="49"/>
      <c r="F1637" s="55"/>
      <c r="G1637" s="55"/>
      <c r="H1637" s="49"/>
      <c r="I1637" s="49"/>
      <c r="J1637" s="49"/>
      <c r="K1637" s="49"/>
      <c r="L1637" s="49"/>
      <c r="M1637" s="49"/>
      <c r="N1637" s="49"/>
      <c r="O1637" s="49"/>
      <c r="P1637" s="49"/>
      <c r="Q1637" s="49"/>
      <c r="R1637" s="49"/>
      <c r="S1637" s="49"/>
      <c r="T1637" s="49"/>
      <c r="U1637" s="49"/>
      <c r="V1637" s="49"/>
      <c r="W1637" s="49"/>
    </row>
    <row r="1638" spans="1:23">
      <c r="A1638" s="49"/>
      <c r="B1638" s="49"/>
      <c r="C1638" s="49"/>
      <c r="D1638" s="49"/>
      <c r="E1638" s="49"/>
      <c r="F1638" s="55"/>
      <c r="G1638" s="55"/>
      <c r="H1638" s="49"/>
      <c r="I1638" s="49"/>
      <c r="J1638" s="49"/>
      <c r="K1638" s="49"/>
      <c r="L1638" s="49"/>
      <c r="M1638" s="49"/>
      <c r="N1638" s="49"/>
      <c r="O1638" s="49"/>
      <c r="P1638" s="49"/>
      <c r="Q1638" s="49"/>
      <c r="R1638" s="49"/>
      <c r="S1638" s="49"/>
      <c r="T1638" s="49"/>
      <c r="U1638" s="49"/>
      <c r="V1638" s="49"/>
      <c r="W1638" s="49"/>
    </row>
    <row r="1639" spans="1:23">
      <c r="A1639" s="49"/>
      <c r="B1639" s="49"/>
      <c r="C1639" s="49"/>
      <c r="D1639" s="49"/>
      <c r="E1639" s="49"/>
      <c r="F1639" s="55"/>
      <c r="G1639" s="55"/>
      <c r="H1639" s="49"/>
      <c r="I1639" s="49"/>
      <c r="J1639" s="49"/>
      <c r="K1639" s="49"/>
      <c r="L1639" s="49"/>
      <c r="M1639" s="49"/>
      <c r="N1639" s="49"/>
      <c r="O1639" s="49"/>
      <c r="P1639" s="49"/>
      <c r="Q1639" s="49"/>
      <c r="R1639" s="49"/>
      <c r="S1639" s="49"/>
      <c r="T1639" s="49"/>
      <c r="U1639" s="49"/>
      <c r="V1639" s="49"/>
      <c r="W1639" s="49"/>
    </row>
    <row r="1640" spans="1:23">
      <c r="A1640" s="49"/>
      <c r="B1640" s="49"/>
      <c r="C1640" s="49"/>
      <c r="D1640" s="49"/>
      <c r="E1640" s="49"/>
      <c r="F1640" s="55"/>
      <c r="G1640" s="55"/>
      <c r="H1640" s="49"/>
      <c r="I1640" s="49"/>
      <c r="J1640" s="49"/>
      <c r="K1640" s="49"/>
      <c r="L1640" s="49"/>
      <c r="M1640" s="49"/>
      <c r="N1640" s="49"/>
      <c r="O1640" s="49"/>
      <c r="P1640" s="49"/>
      <c r="Q1640" s="49"/>
      <c r="R1640" s="49"/>
      <c r="S1640" s="49"/>
      <c r="T1640" s="49"/>
      <c r="U1640" s="49"/>
      <c r="V1640" s="49"/>
      <c r="W1640" s="49"/>
    </row>
    <row r="1641" spans="1:23">
      <c r="A1641" s="49"/>
      <c r="B1641" s="49"/>
      <c r="C1641" s="49"/>
      <c r="D1641" s="49"/>
      <c r="E1641" s="49"/>
      <c r="F1641" s="55"/>
      <c r="G1641" s="55"/>
      <c r="H1641" s="49"/>
      <c r="I1641" s="49"/>
      <c r="J1641" s="49"/>
      <c r="K1641" s="49"/>
      <c r="L1641" s="49"/>
      <c r="M1641" s="49"/>
      <c r="N1641" s="49"/>
      <c r="O1641" s="49"/>
      <c r="P1641" s="49"/>
      <c r="Q1641" s="49"/>
      <c r="R1641" s="49"/>
      <c r="S1641" s="49"/>
      <c r="T1641" s="49"/>
      <c r="U1641" s="49"/>
      <c r="V1641" s="49"/>
      <c r="W1641" s="49"/>
    </row>
    <row r="1642" spans="1:23">
      <c r="A1642" s="49"/>
      <c r="B1642" s="49"/>
      <c r="C1642" s="49"/>
      <c r="D1642" s="49"/>
      <c r="E1642" s="49"/>
      <c r="F1642" s="55"/>
      <c r="G1642" s="55"/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49"/>
      <c r="S1642" s="49"/>
      <c r="T1642" s="49"/>
      <c r="U1642" s="49"/>
      <c r="V1642" s="49"/>
      <c r="W1642" s="49"/>
    </row>
    <row r="1643" spans="1:23">
      <c r="A1643" s="49"/>
      <c r="B1643" s="49"/>
      <c r="C1643" s="49"/>
      <c r="D1643" s="49"/>
      <c r="E1643" s="49"/>
      <c r="F1643" s="55"/>
      <c r="G1643" s="55"/>
      <c r="H1643" s="49"/>
      <c r="I1643" s="49"/>
      <c r="J1643" s="49"/>
      <c r="K1643" s="49"/>
      <c r="L1643" s="49"/>
      <c r="M1643" s="49"/>
      <c r="N1643" s="49"/>
      <c r="O1643" s="49"/>
      <c r="P1643" s="49"/>
      <c r="Q1643" s="49"/>
      <c r="R1643" s="49"/>
      <c r="S1643" s="49"/>
      <c r="T1643" s="49"/>
      <c r="U1643" s="49"/>
      <c r="V1643" s="49"/>
      <c r="W1643" s="49"/>
    </row>
    <row r="1644" spans="1:23">
      <c r="A1644" s="49"/>
      <c r="B1644" s="49"/>
      <c r="C1644" s="49"/>
      <c r="D1644" s="49"/>
      <c r="E1644" s="49"/>
      <c r="F1644" s="55"/>
      <c r="G1644" s="55"/>
      <c r="H1644" s="49"/>
      <c r="I1644" s="49"/>
      <c r="J1644" s="49"/>
      <c r="K1644" s="49"/>
      <c r="L1644" s="49"/>
      <c r="M1644" s="49"/>
      <c r="N1644" s="49"/>
      <c r="O1644" s="49"/>
      <c r="P1644" s="49"/>
      <c r="Q1644" s="49"/>
      <c r="R1644" s="49"/>
      <c r="S1644" s="49"/>
      <c r="T1644" s="49"/>
      <c r="U1644" s="49"/>
      <c r="V1644" s="49"/>
      <c r="W1644" s="49"/>
    </row>
    <row r="1645" spans="1:23">
      <c r="A1645" s="49"/>
      <c r="B1645" s="49"/>
      <c r="C1645" s="49"/>
      <c r="D1645" s="49"/>
      <c r="E1645" s="49"/>
      <c r="F1645" s="55"/>
      <c r="G1645" s="55"/>
      <c r="H1645" s="49"/>
      <c r="I1645" s="49"/>
      <c r="J1645" s="49"/>
      <c r="K1645" s="49"/>
      <c r="L1645" s="49"/>
      <c r="M1645" s="49"/>
      <c r="N1645" s="49"/>
      <c r="O1645" s="49"/>
      <c r="P1645" s="49"/>
      <c r="Q1645" s="49"/>
      <c r="R1645" s="49"/>
      <c r="S1645" s="49"/>
      <c r="T1645" s="49"/>
      <c r="U1645" s="49"/>
      <c r="V1645" s="49"/>
      <c r="W1645" s="49"/>
    </row>
    <row r="1646" spans="1:23">
      <c r="A1646" s="49"/>
      <c r="B1646" s="49"/>
      <c r="C1646" s="49"/>
      <c r="D1646" s="49"/>
      <c r="E1646" s="49"/>
      <c r="F1646" s="55"/>
      <c r="G1646" s="55"/>
      <c r="H1646" s="49"/>
      <c r="I1646" s="49"/>
      <c r="J1646" s="49"/>
      <c r="K1646" s="49"/>
      <c r="L1646" s="49"/>
      <c r="M1646" s="49"/>
      <c r="N1646" s="49"/>
      <c r="O1646" s="49"/>
      <c r="P1646" s="49"/>
      <c r="Q1646" s="49"/>
      <c r="R1646" s="49"/>
      <c r="S1646" s="49"/>
      <c r="T1646" s="49"/>
      <c r="U1646" s="49"/>
      <c r="V1646" s="49"/>
      <c r="W1646" s="49"/>
    </row>
    <row r="1647" spans="1:23">
      <c r="A1647" s="49"/>
      <c r="B1647" s="49"/>
      <c r="C1647" s="49"/>
      <c r="D1647" s="49"/>
      <c r="E1647" s="49"/>
      <c r="F1647" s="55"/>
      <c r="G1647" s="55"/>
      <c r="H1647" s="49"/>
      <c r="I1647" s="49"/>
      <c r="J1647" s="49"/>
      <c r="K1647" s="49"/>
      <c r="L1647" s="49"/>
      <c r="M1647" s="49"/>
      <c r="N1647" s="49"/>
      <c r="O1647" s="49"/>
      <c r="P1647" s="49"/>
      <c r="Q1647" s="49"/>
      <c r="R1647" s="49"/>
      <c r="S1647" s="49"/>
      <c r="T1647" s="49"/>
      <c r="U1647" s="49"/>
      <c r="V1647" s="49"/>
      <c r="W1647" s="49"/>
    </row>
    <row r="1648" spans="1:23">
      <c r="A1648" s="49"/>
      <c r="B1648" s="49"/>
      <c r="C1648" s="49"/>
      <c r="D1648" s="49"/>
      <c r="E1648" s="49"/>
      <c r="F1648" s="55"/>
      <c r="G1648" s="55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/>
      <c r="S1648" s="49"/>
      <c r="T1648" s="49"/>
      <c r="U1648" s="49"/>
      <c r="V1648" s="49"/>
      <c r="W1648" s="49"/>
    </row>
    <row r="1649" spans="1:23">
      <c r="A1649" s="49"/>
      <c r="B1649" s="49"/>
      <c r="C1649" s="49"/>
      <c r="D1649" s="49"/>
      <c r="E1649" s="49"/>
      <c r="F1649" s="55"/>
      <c r="G1649" s="55"/>
      <c r="H1649" s="49"/>
      <c r="I1649" s="49"/>
      <c r="J1649" s="49"/>
      <c r="K1649" s="49"/>
      <c r="L1649" s="49"/>
      <c r="M1649" s="49"/>
      <c r="N1649" s="49"/>
      <c r="O1649" s="49"/>
      <c r="P1649" s="49"/>
      <c r="Q1649" s="49"/>
      <c r="R1649" s="49"/>
      <c r="S1649" s="49"/>
      <c r="T1649" s="49"/>
      <c r="U1649" s="49"/>
      <c r="V1649" s="49"/>
      <c r="W1649" s="49"/>
    </row>
    <row r="1650" spans="1:23">
      <c r="A1650" s="49"/>
      <c r="B1650" s="49"/>
      <c r="C1650" s="49"/>
      <c r="D1650" s="49"/>
      <c r="E1650" s="49"/>
      <c r="F1650" s="55"/>
      <c r="G1650" s="55"/>
      <c r="H1650" s="49"/>
      <c r="I1650" s="49"/>
      <c r="J1650" s="49"/>
      <c r="K1650" s="49"/>
      <c r="L1650" s="49"/>
      <c r="M1650" s="49"/>
      <c r="N1650" s="49"/>
      <c r="O1650" s="49"/>
      <c r="P1650" s="49"/>
      <c r="Q1650" s="49"/>
      <c r="R1650" s="49"/>
      <c r="S1650" s="49"/>
      <c r="T1650" s="49"/>
      <c r="U1650" s="49"/>
      <c r="V1650" s="49"/>
      <c r="W1650" s="49"/>
    </row>
    <row r="1651" spans="1:23">
      <c r="A1651" s="49"/>
      <c r="B1651" s="49"/>
      <c r="C1651" s="49"/>
      <c r="D1651" s="49"/>
      <c r="E1651" s="49"/>
      <c r="F1651" s="55"/>
      <c r="G1651" s="55"/>
      <c r="H1651" s="49"/>
      <c r="I1651" s="49"/>
      <c r="J1651" s="49"/>
      <c r="K1651" s="49"/>
      <c r="L1651" s="49"/>
      <c r="M1651" s="49"/>
      <c r="N1651" s="49"/>
      <c r="O1651" s="49"/>
      <c r="P1651" s="49"/>
      <c r="Q1651" s="49"/>
      <c r="R1651" s="49"/>
      <c r="S1651" s="49"/>
      <c r="T1651" s="49"/>
      <c r="U1651" s="49"/>
      <c r="V1651" s="49"/>
      <c r="W1651" s="49"/>
    </row>
    <row r="1652" spans="1:23">
      <c r="A1652" s="49"/>
      <c r="B1652" s="49"/>
      <c r="C1652" s="49"/>
      <c r="D1652" s="49"/>
      <c r="E1652" s="49"/>
      <c r="F1652" s="55"/>
      <c r="G1652" s="55"/>
      <c r="H1652" s="49"/>
      <c r="I1652" s="49"/>
      <c r="J1652" s="49"/>
      <c r="K1652" s="49"/>
      <c r="L1652" s="49"/>
      <c r="M1652" s="49"/>
      <c r="N1652" s="49"/>
      <c r="O1652" s="49"/>
      <c r="P1652" s="49"/>
      <c r="Q1652" s="49"/>
      <c r="R1652" s="49"/>
      <c r="S1652" s="49"/>
      <c r="T1652" s="49"/>
      <c r="U1652" s="49"/>
      <c r="V1652" s="49"/>
      <c r="W1652" s="49"/>
    </row>
    <row r="1653" spans="1:23">
      <c r="A1653" s="49"/>
      <c r="B1653" s="49"/>
      <c r="C1653" s="49"/>
      <c r="D1653" s="49"/>
      <c r="E1653" s="49"/>
      <c r="F1653" s="55"/>
      <c r="G1653" s="55"/>
      <c r="H1653" s="49"/>
      <c r="I1653" s="49"/>
      <c r="J1653" s="49"/>
      <c r="K1653" s="49"/>
      <c r="L1653" s="49"/>
      <c r="M1653" s="49"/>
      <c r="N1653" s="49"/>
      <c r="O1653" s="49"/>
      <c r="P1653" s="49"/>
      <c r="Q1653" s="49"/>
      <c r="R1653" s="49"/>
      <c r="S1653" s="49"/>
      <c r="T1653" s="49"/>
      <c r="U1653" s="49"/>
      <c r="V1653" s="49"/>
      <c r="W1653" s="49"/>
    </row>
    <row r="1654" spans="1:23">
      <c r="A1654" s="49"/>
      <c r="B1654" s="49"/>
      <c r="C1654" s="49"/>
      <c r="D1654" s="49"/>
      <c r="E1654" s="49"/>
      <c r="F1654" s="55"/>
      <c r="G1654" s="55"/>
      <c r="H1654" s="49"/>
      <c r="I1654" s="49"/>
      <c r="J1654" s="49"/>
      <c r="K1654" s="49"/>
      <c r="L1654" s="49"/>
      <c r="M1654" s="49"/>
      <c r="N1654" s="49"/>
      <c r="O1654" s="49"/>
      <c r="P1654" s="49"/>
      <c r="Q1654" s="49"/>
      <c r="R1654" s="49"/>
      <c r="S1654" s="49"/>
      <c r="T1654" s="49"/>
      <c r="U1654" s="49"/>
      <c r="V1654" s="49"/>
      <c r="W1654" s="49"/>
    </row>
    <row r="1655" spans="1:23">
      <c r="A1655" s="49"/>
      <c r="B1655" s="49"/>
      <c r="C1655" s="49"/>
      <c r="D1655" s="49"/>
      <c r="E1655" s="49"/>
      <c r="F1655" s="55"/>
      <c r="G1655" s="55"/>
      <c r="H1655" s="49"/>
      <c r="I1655" s="49"/>
      <c r="J1655" s="49"/>
      <c r="K1655" s="49"/>
      <c r="L1655" s="49"/>
      <c r="M1655" s="49"/>
      <c r="N1655" s="49"/>
      <c r="O1655" s="49"/>
      <c r="P1655" s="49"/>
      <c r="Q1655" s="49"/>
      <c r="R1655" s="49"/>
      <c r="S1655" s="49"/>
      <c r="T1655" s="49"/>
      <c r="U1655" s="49"/>
      <c r="V1655" s="49"/>
      <c r="W1655" s="49"/>
    </row>
    <row r="1656" spans="1:23">
      <c r="A1656" s="49"/>
      <c r="B1656" s="49"/>
      <c r="C1656" s="49"/>
      <c r="D1656" s="49"/>
      <c r="E1656" s="49"/>
      <c r="F1656" s="55"/>
      <c r="G1656" s="55"/>
      <c r="H1656" s="49"/>
      <c r="I1656" s="49"/>
      <c r="J1656" s="49"/>
      <c r="K1656" s="49"/>
      <c r="L1656" s="49"/>
      <c r="M1656" s="49"/>
      <c r="N1656" s="49"/>
      <c r="O1656" s="49"/>
      <c r="P1656" s="49"/>
      <c r="Q1656" s="49"/>
      <c r="R1656" s="49"/>
      <c r="S1656" s="49"/>
      <c r="T1656" s="49"/>
      <c r="U1656" s="49"/>
      <c r="V1656" s="49"/>
      <c r="W1656" s="49"/>
    </row>
    <row r="1657" spans="1:23">
      <c r="A1657" s="49"/>
      <c r="B1657" s="49"/>
      <c r="C1657" s="49"/>
      <c r="D1657" s="49"/>
      <c r="E1657" s="49"/>
      <c r="F1657" s="55"/>
      <c r="G1657" s="55"/>
      <c r="H1657" s="49"/>
      <c r="I1657" s="49"/>
      <c r="J1657" s="49"/>
      <c r="K1657" s="49"/>
      <c r="L1657" s="49"/>
      <c r="M1657" s="49"/>
      <c r="N1657" s="49"/>
      <c r="O1657" s="49"/>
      <c r="P1657" s="49"/>
      <c r="Q1657" s="49"/>
      <c r="R1657" s="49"/>
      <c r="S1657" s="49"/>
      <c r="T1657" s="49"/>
      <c r="U1657" s="49"/>
      <c r="V1657" s="49"/>
      <c r="W1657" s="49"/>
    </row>
    <row r="1658" spans="1:23">
      <c r="A1658" s="49"/>
      <c r="B1658" s="49"/>
      <c r="C1658" s="49"/>
      <c r="D1658" s="49"/>
      <c r="E1658" s="49"/>
      <c r="F1658" s="55"/>
      <c r="G1658" s="55"/>
      <c r="H1658" s="49"/>
      <c r="I1658" s="49"/>
      <c r="J1658" s="49"/>
      <c r="K1658" s="49"/>
      <c r="L1658" s="49"/>
      <c r="M1658" s="49"/>
      <c r="N1658" s="49"/>
      <c r="O1658" s="49"/>
      <c r="P1658" s="49"/>
      <c r="Q1658" s="49"/>
      <c r="R1658" s="49"/>
      <c r="S1658" s="49"/>
      <c r="T1658" s="49"/>
      <c r="U1658" s="49"/>
      <c r="V1658" s="49"/>
      <c r="W1658" s="49"/>
    </row>
    <row r="1659" spans="1:23">
      <c r="A1659" s="49"/>
      <c r="B1659" s="49"/>
      <c r="C1659" s="49"/>
      <c r="D1659" s="49"/>
      <c r="E1659" s="49"/>
      <c r="F1659" s="55"/>
      <c r="G1659" s="55"/>
      <c r="H1659" s="49"/>
      <c r="I1659" s="49"/>
      <c r="J1659" s="49"/>
      <c r="K1659" s="49"/>
      <c r="L1659" s="49"/>
      <c r="M1659" s="49"/>
      <c r="N1659" s="49"/>
      <c r="O1659" s="49"/>
      <c r="P1659" s="49"/>
      <c r="Q1659" s="49"/>
      <c r="R1659" s="49"/>
      <c r="S1659" s="49"/>
      <c r="T1659" s="49"/>
      <c r="U1659" s="49"/>
      <c r="V1659" s="49"/>
      <c r="W1659" s="49"/>
    </row>
    <row r="1660" spans="1:23">
      <c r="A1660" s="49"/>
      <c r="B1660" s="49"/>
      <c r="C1660" s="49"/>
      <c r="D1660" s="49"/>
      <c r="E1660" s="49"/>
      <c r="F1660" s="55"/>
      <c r="G1660" s="55"/>
      <c r="H1660" s="49"/>
      <c r="I1660" s="49"/>
      <c r="J1660" s="49"/>
      <c r="K1660" s="49"/>
      <c r="L1660" s="49"/>
      <c r="M1660" s="49"/>
      <c r="N1660" s="49"/>
      <c r="O1660" s="49"/>
      <c r="P1660" s="49"/>
      <c r="Q1660" s="49"/>
      <c r="R1660" s="49"/>
      <c r="S1660" s="49"/>
      <c r="T1660" s="49"/>
      <c r="U1660" s="49"/>
      <c r="V1660" s="49"/>
      <c r="W1660" s="49"/>
    </row>
    <row r="1661" spans="1:23">
      <c r="A1661" s="49"/>
      <c r="B1661" s="49"/>
      <c r="C1661" s="49"/>
      <c r="D1661" s="49"/>
      <c r="E1661" s="49"/>
      <c r="F1661" s="55"/>
      <c r="G1661" s="55"/>
      <c r="H1661" s="49"/>
      <c r="I1661" s="49"/>
      <c r="J1661" s="49"/>
      <c r="K1661" s="49"/>
      <c r="L1661" s="49"/>
      <c r="M1661" s="49"/>
      <c r="N1661" s="49"/>
      <c r="O1661" s="49"/>
      <c r="P1661" s="49"/>
      <c r="Q1661" s="49"/>
      <c r="R1661" s="49"/>
      <c r="S1661" s="49"/>
      <c r="T1661" s="49"/>
      <c r="U1661" s="49"/>
      <c r="V1661" s="49"/>
      <c r="W1661" s="49"/>
    </row>
    <row r="1662" spans="1:23">
      <c r="A1662" s="49"/>
      <c r="B1662" s="49"/>
      <c r="C1662" s="49"/>
      <c r="D1662" s="49"/>
      <c r="E1662" s="49"/>
      <c r="F1662" s="55"/>
      <c r="G1662" s="55"/>
      <c r="H1662" s="49"/>
      <c r="I1662" s="49"/>
      <c r="J1662" s="49"/>
      <c r="K1662" s="49"/>
      <c r="L1662" s="49"/>
      <c r="M1662" s="49"/>
      <c r="N1662" s="49"/>
      <c r="O1662" s="49"/>
      <c r="P1662" s="49"/>
      <c r="Q1662" s="49"/>
      <c r="R1662" s="49"/>
      <c r="S1662" s="49"/>
      <c r="T1662" s="49"/>
      <c r="U1662" s="49"/>
      <c r="V1662" s="49"/>
      <c r="W1662" s="49"/>
    </row>
    <row r="1663" spans="1:23">
      <c r="A1663" s="49"/>
      <c r="B1663" s="49"/>
      <c r="C1663" s="49"/>
      <c r="D1663" s="49"/>
      <c r="E1663" s="49"/>
      <c r="F1663" s="55"/>
      <c r="G1663" s="55"/>
      <c r="H1663" s="49"/>
      <c r="I1663" s="49"/>
      <c r="J1663" s="49"/>
      <c r="K1663" s="49"/>
      <c r="L1663" s="49"/>
      <c r="M1663" s="49"/>
      <c r="N1663" s="49"/>
      <c r="O1663" s="49"/>
      <c r="P1663" s="49"/>
      <c r="Q1663" s="49"/>
      <c r="R1663" s="49"/>
      <c r="S1663" s="49"/>
      <c r="T1663" s="49"/>
      <c r="U1663" s="49"/>
      <c r="V1663" s="49"/>
      <c r="W1663" s="49"/>
    </row>
    <row r="1664" spans="1:23">
      <c r="A1664" s="49"/>
      <c r="B1664" s="49"/>
      <c r="C1664" s="49"/>
      <c r="D1664" s="49"/>
      <c r="E1664" s="49"/>
      <c r="F1664" s="55"/>
      <c r="G1664" s="55"/>
      <c r="H1664" s="49"/>
      <c r="I1664" s="49"/>
      <c r="J1664" s="49"/>
      <c r="K1664" s="49"/>
      <c r="L1664" s="49"/>
      <c r="M1664" s="49"/>
      <c r="N1664" s="49"/>
      <c r="O1664" s="49"/>
      <c r="P1664" s="49"/>
      <c r="Q1664" s="49"/>
      <c r="R1664" s="49"/>
      <c r="S1664" s="49"/>
      <c r="T1664" s="49"/>
      <c r="U1664" s="49"/>
      <c r="V1664" s="49"/>
      <c r="W1664" s="49"/>
    </row>
    <row r="1665" spans="1:23">
      <c r="A1665" s="49"/>
      <c r="B1665" s="49"/>
      <c r="C1665" s="49"/>
      <c r="D1665" s="49"/>
      <c r="E1665" s="49"/>
      <c r="F1665" s="55"/>
      <c r="G1665" s="55"/>
      <c r="H1665" s="49"/>
      <c r="I1665" s="49"/>
      <c r="J1665" s="49"/>
      <c r="K1665" s="49"/>
      <c r="L1665" s="49"/>
      <c r="M1665" s="49"/>
      <c r="N1665" s="49"/>
      <c r="O1665" s="49"/>
      <c r="P1665" s="49"/>
      <c r="Q1665" s="49"/>
      <c r="R1665" s="49"/>
      <c r="S1665" s="49"/>
      <c r="T1665" s="49"/>
      <c r="U1665" s="49"/>
      <c r="V1665" s="49"/>
      <c r="W1665" s="49"/>
    </row>
    <row r="1666" spans="1:23">
      <c r="A1666" s="49"/>
      <c r="B1666" s="49"/>
      <c r="C1666" s="49"/>
      <c r="D1666" s="49"/>
      <c r="E1666" s="49"/>
      <c r="F1666" s="55"/>
      <c r="G1666" s="55"/>
      <c r="H1666" s="49"/>
      <c r="I1666" s="49"/>
      <c r="J1666" s="49"/>
      <c r="K1666" s="49"/>
      <c r="L1666" s="49"/>
      <c r="M1666" s="49"/>
      <c r="N1666" s="49"/>
      <c r="O1666" s="49"/>
      <c r="P1666" s="49"/>
      <c r="Q1666" s="49"/>
      <c r="R1666" s="49"/>
      <c r="S1666" s="49"/>
      <c r="T1666" s="49"/>
      <c r="U1666" s="49"/>
      <c r="V1666" s="49"/>
      <c r="W1666" s="49"/>
    </row>
    <row r="1667" spans="1:23">
      <c r="A1667" s="49"/>
      <c r="B1667" s="49"/>
      <c r="C1667" s="49"/>
      <c r="D1667" s="49"/>
      <c r="E1667" s="49"/>
      <c r="F1667" s="55"/>
      <c r="G1667" s="55"/>
      <c r="H1667" s="49"/>
      <c r="I1667" s="49"/>
      <c r="J1667" s="49"/>
      <c r="K1667" s="49"/>
      <c r="L1667" s="49"/>
      <c r="M1667" s="49"/>
      <c r="N1667" s="49"/>
      <c r="O1667" s="49"/>
      <c r="P1667" s="49"/>
      <c r="Q1667" s="49"/>
      <c r="R1667" s="49"/>
      <c r="S1667" s="49"/>
      <c r="T1667" s="49"/>
      <c r="U1667" s="49"/>
      <c r="V1667" s="49"/>
      <c r="W1667" s="49"/>
    </row>
    <row r="1668" spans="1:23">
      <c r="A1668" s="49"/>
      <c r="B1668" s="49"/>
      <c r="C1668" s="49"/>
      <c r="D1668" s="49"/>
      <c r="E1668" s="49"/>
      <c r="F1668" s="55"/>
      <c r="G1668" s="55"/>
      <c r="H1668" s="49"/>
      <c r="I1668" s="49"/>
      <c r="J1668" s="49"/>
      <c r="K1668" s="49"/>
      <c r="L1668" s="49"/>
      <c r="M1668" s="49"/>
      <c r="N1668" s="49"/>
      <c r="O1668" s="49"/>
      <c r="P1668" s="49"/>
      <c r="Q1668" s="49"/>
      <c r="R1668" s="49"/>
      <c r="S1668" s="49"/>
      <c r="T1668" s="49"/>
      <c r="U1668" s="49"/>
      <c r="V1668" s="49"/>
      <c r="W1668" s="49"/>
    </row>
    <row r="1669" spans="1:23">
      <c r="A1669" s="49"/>
      <c r="B1669" s="49"/>
      <c r="C1669" s="49"/>
      <c r="D1669" s="49"/>
      <c r="E1669" s="49"/>
      <c r="F1669" s="55"/>
      <c r="G1669" s="55"/>
      <c r="H1669" s="49"/>
      <c r="I1669" s="49"/>
      <c r="J1669" s="49"/>
      <c r="K1669" s="49"/>
      <c r="L1669" s="49"/>
      <c r="M1669" s="49"/>
      <c r="N1669" s="49"/>
      <c r="O1669" s="49"/>
      <c r="P1669" s="49"/>
      <c r="Q1669" s="49"/>
      <c r="R1669" s="49"/>
      <c r="S1669" s="49"/>
      <c r="T1669" s="49"/>
      <c r="U1669" s="49"/>
      <c r="V1669" s="49"/>
      <c r="W1669" s="49"/>
    </row>
    <row r="1670" spans="1:23">
      <c r="A1670" s="49"/>
      <c r="B1670" s="49"/>
      <c r="C1670" s="49"/>
      <c r="D1670" s="49"/>
      <c r="E1670" s="49"/>
      <c r="F1670" s="55"/>
      <c r="G1670" s="55"/>
      <c r="H1670" s="49"/>
      <c r="I1670" s="49"/>
      <c r="J1670" s="49"/>
      <c r="K1670" s="49"/>
      <c r="L1670" s="49"/>
      <c r="M1670" s="49"/>
      <c r="N1670" s="49"/>
      <c r="O1670" s="49"/>
      <c r="P1670" s="49"/>
      <c r="Q1670" s="49"/>
      <c r="R1670" s="49"/>
      <c r="S1670" s="49"/>
      <c r="T1670" s="49"/>
      <c r="U1670" s="49"/>
      <c r="V1670" s="49"/>
      <c r="W1670" s="49"/>
    </row>
    <row r="1671" spans="1:23">
      <c r="A1671" s="49"/>
      <c r="B1671" s="49"/>
      <c r="C1671" s="49"/>
      <c r="D1671" s="49"/>
      <c r="E1671" s="49"/>
      <c r="F1671" s="55"/>
      <c r="G1671" s="55"/>
      <c r="H1671" s="49"/>
      <c r="I1671" s="49"/>
      <c r="J1671" s="49"/>
      <c r="K1671" s="49"/>
      <c r="L1671" s="49"/>
      <c r="M1671" s="49"/>
      <c r="N1671" s="49"/>
      <c r="O1671" s="49"/>
      <c r="P1671" s="49"/>
      <c r="Q1671" s="49"/>
      <c r="R1671" s="49"/>
      <c r="S1671" s="49"/>
      <c r="T1671" s="49"/>
      <c r="U1671" s="49"/>
      <c r="V1671" s="49"/>
      <c r="W1671" s="49"/>
    </row>
    <row r="1672" spans="1:23">
      <c r="A1672" s="49"/>
      <c r="B1672" s="49"/>
      <c r="C1672" s="49"/>
      <c r="D1672" s="49"/>
      <c r="E1672" s="49"/>
      <c r="F1672" s="55"/>
      <c r="G1672" s="55"/>
      <c r="H1672" s="49"/>
      <c r="I1672" s="49"/>
      <c r="J1672" s="49"/>
      <c r="K1672" s="49"/>
      <c r="L1672" s="49"/>
      <c r="M1672" s="49"/>
      <c r="N1672" s="49"/>
      <c r="O1672" s="49"/>
      <c r="P1672" s="49"/>
      <c r="Q1672" s="49"/>
      <c r="R1672" s="49"/>
      <c r="S1672" s="49"/>
      <c r="T1672" s="49"/>
      <c r="U1672" s="49"/>
      <c r="V1672" s="49"/>
      <c r="W1672" s="49"/>
    </row>
    <row r="1673" spans="1:23">
      <c r="A1673" s="49"/>
      <c r="B1673" s="49"/>
      <c r="C1673" s="49"/>
      <c r="D1673" s="49"/>
      <c r="E1673" s="49"/>
      <c r="F1673" s="55"/>
      <c r="G1673" s="55"/>
      <c r="H1673" s="49"/>
      <c r="I1673" s="49"/>
      <c r="J1673" s="49"/>
      <c r="K1673" s="49"/>
      <c r="L1673" s="49"/>
      <c r="M1673" s="49"/>
      <c r="N1673" s="49"/>
      <c r="O1673" s="49"/>
      <c r="P1673" s="49"/>
      <c r="Q1673" s="49"/>
      <c r="R1673" s="49"/>
      <c r="S1673" s="49"/>
      <c r="T1673" s="49"/>
      <c r="U1673" s="49"/>
      <c r="V1673" s="49"/>
      <c r="W1673" s="49"/>
    </row>
    <row r="1674" spans="1:23">
      <c r="A1674" s="49"/>
      <c r="B1674" s="49"/>
      <c r="C1674" s="49"/>
      <c r="D1674" s="49"/>
      <c r="E1674" s="49"/>
      <c r="F1674" s="55"/>
      <c r="G1674" s="55"/>
      <c r="H1674" s="49"/>
      <c r="I1674" s="49"/>
      <c r="J1674" s="49"/>
      <c r="K1674" s="49"/>
      <c r="L1674" s="49"/>
      <c r="M1674" s="49"/>
      <c r="N1674" s="49"/>
      <c r="O1674" s="49"/>
      <c r="P1674" s="49"/>
      <c r="Q1674" s="49"/>
      <c r="R1674" s="49"/>
      <c r="S1674" s="49"/>
      <c r="T1674" s="49"/>
      <c r="U1674" s="49"/>
      <c r="V1674" s="49"/>
      <c r="W1674" s="49"/>
    </row>
    <row r="1675" spans="1:23">
      <c r="A1675" s="49"/>
      <c r="B1675" s="49"/>
      <c r="C1675" s="49"/>
      <c r="D1675" s="49"/>
      <c r="E1675" s="49"/>
      <c r="F1675" s="55"/>
      <c r="G1675" s="55"/>
      <c r="H1675" s="49"/>
      <c r="I1675" s="49"/>
      <c r="J1675" s="49"/>
      <c r="K1675" s="49"/>
      <c r="L1675" s="49"/>
      <c r="M1675" s="49"/>
      <c r="N1675" s="49"/>
      <c r="O1675" s="49"/>
      <c r="P1675" s="49"/>
      <c r="Q1675" s="49"/>
      <c r="R1675" s="49"/>
      <c r="S1675" s="49"/>
      <c r="T1675" s="49"/>
      <c r="U1675" s="49"/>
      <c r="V1675" s="49"/>
      <c r="W1675" s="49"/>
    </row>
    <row r="1676" spans="1:23">
      <c r="A1676" s="49"/>
      <c r="B1676" s="49"/>
      <c r="C1676" s="49"/>
      <c r="D1676" s="49"/>
      <c r="E1676" s="49"/>
      <c r="F1676" s="55"/>
      <c r="G1676" s="55"/>
      <c r="H1676" s="49"/>
      <c r="I1676" s="49"/>
      <c r="J1676" s="49"/>
      <c r="K1676" s="49"/>
      <c r="L1676" s="49"/>
      <c r="M1676" s="49"/>
      <c r="N1676" s="49"/>
      <c r="O1676" s="49"/>
      <c r="P1676" s="49"/>
      <c r="Q1676" s="49"/>
      <c r="R1676" s="49"/>
      <c r="S1676" s="49"/>
      <c r="T1676" s="49"/>
      <c r="U1676" s="49"/>
      <c r="V1676" s="49"/>
      <c r="W1676" s="49"/>
    </row>
    <row r="1677" spans="1:23">
      <c r="A1677" s="49"/>
      <c r="B1677" s="49"/>
      <c r="C1677" s="49"/>
      <c r="D1677" s="49"/>
      <c r="E1677" s="49"/>
      <c r="F1677" s="55"/>
      <c r="G1677" s="55"/>
      <c r="H1677" s="49"/>
      <c r="I1677" s="49"/>
      <c r="J1677" s="49"/>
      <c r="K1677" s="49"/>
      <c r="L1677" s="49"/>
      <c r="M1677" s="49"/>
      <c r="N1677" s="49"/>
      <c r="O1677" s="49"/>
      <c r="P1677" s="49"/>
      <c r="Q1677" s="49"/>
      <c r="R1677" s="49"/>
      <c r="S1677" s="49"/>
      <c r="T1677" s="49"/>
      <c r="U1677" s="49"/>
      <c r="V1677" s="49"/>
      <c r="W1677" s="49"/>
    </row>
    <row r="1678" spans="1:23">
      <c r="A1678" s="49"/>
      <c r="B1678" s="49"/>
      <c r="C1678" s="49"/>
      <c r="D1678" s="49"/>
      <c r="E1678" s="49"/>
      <c r="F1678" s="55"/>
      <c r="G1678" s="55"/>
      <c r="H1678" s="49"/>
      <c r="I1678" s="49"/>
      <c r="J1678" s="49"/>
      <c r="K1678" s="49"/>
      <c r="L1678" s="49"/>
      <c r="M1678" s="49"/>
      <c r="N1678" s="49"/>
      <c r="O1678" s="49"/>
      <c r="P1678" s="49"/>
      <c r="Q1678" s="49"/>
      <c r="R1678" s="49"/>
      <c r="S1678" s="49"/>
      <c r="T1678" s="49"/>
      <c r="U1678" s="49"/>
      <c r="V1678" s="49"/>
      <c r="W1678" s="49"/>
    </row>
    <row r="1679" spans="1:23">
      <c r="A1679" s="49"/>
      <c r="B1679" s="49"/>
      <c r="C1679" s="49"/>
      <c r="D1679" s="49"/>
      <c r="E1679" s="49"/>
      <c r="F1679" s="55"/>
      <c r="G1679" s="55"/>
      <c r="H1679" s="49"/>
      <c r="I1679" s="49"/>
      <c r="J1679" s="49"/>
      <c r="K1679" s="49"/>
      <c r="L1679" s="49"/>
      <c r="M1679" s="49"/>
      <c r="N1679" s="49"/>
      <c r="O1679" s="49"/>
      <c r="P1679" s="49"/>
      <c r="Q1679" s="49"/>
      <c r="R1679" s="49"/>
      <c r="S1679" s="49"/>
      <c r="T1679" s="49"/>
      <c r="U1679" s="49"/>
      <c r="V1679" s="49"/>
      <c r="W1679" s="49"/>
    </row>
    <row r="1680" spans="1:23">
      <c r="A1680" s="49"/>
      <c r="B1680" s="49"/>
      <c r="C1680" s="49"/>
      <c r="D1680" s="49"/>
      <c r="E1680" s="49"/>
      <c r="F1680" s="55"/>
      <c r="G1680" s="55"/>
      <c r="H1680" s="49"/>
      <c r="I1680" s="49"/>
      <c r="J1680" s="49"/>
      <c r="K1680" s="49"/>
      <c r="L1680" s="49"/>
      <c r="M1680" s="49"/>
      <c r="N1680" s="49"/>
      <c r="O1680" s="49"/>
      <c r="P1680" s="49"/>
      <c r="Q1680" s="49"/>
      <c r="R1680" s="49"/>
      <c r="S1680" s="49"/>
      <c r="T1680" s="49"/>
      <c r="U1680" s="49"/>
      <c r="V1680" s="49"/>
      <c r="W1680" s="49"/>
    </row>
    <row r="1681" spans="1:23">
      <c r="A1681" s="49"/>
      <c r="B1681" s="49"/>
      <c r="C1681" s="49"/>
      <c r="D1681" s="49"/>
      <c r="E1681" s="49"/>
      <c r="F1681" s="55"/>
      <c r="G1681" s="55"/>
      <c r="H1681" s="49"/>
      <c r="I1681" s="49"/>
      <c r="J1681" s="49"/>
      <c r="K1681" s="49"/>
      <c r="L1681" s="49"/>
      <c r="M1681" s="49"/>
      <c r="N1681" s="49"/>
      <c r="O1681" s="49"/>
      <c r="P1681" s="49"/>
      <c r="Q1681" s="49"/>
      <c r="R1681" s="49"/>
      <c r="S1681" s="49"/>
      <c r="T1681" s="49"/>
      <c r="U1681" s="49"/>
      <c r="V1681" s="49"/>
      <c r="W1681" s="49"/>
    </row>
    <row r="1682" spans="1:23">
      <c r="A1682" s="49"/>
      <c r="B1682" s="49"/>
      <c r="C1682" s="49"/>
      <c r="D1682" s="49"/>
      <c r="E1682" s="49"/>
      <c r="F1682" s="55"/>
      <c r="G1682" s="55"/>
      <c r="H1682" s="49"/>
      <c r="I1682" s="49"/>
      <c r="J1682" s="49"/>
      <c r="K1682" s="49"/>
      <c r="L1682" s="49"/>
      <c r="M1682" s="49"/>
      <c r="N1682" s="49"/>
      <c r="O1682" s="49"/>
      <c r="P1682" s="49"/>
      <c r="Q1682" s="49"/>
      <c r="R1682" s="49"/>
      <c r="S1682" s="49"/>
      <c r="T1682" s="49"/>
      <c r="U1682" s="49"/>
      <c r="V1682" s="49"/>
      <c r="W1682" s="49"/>
    </row>
    <row r="1683" spans="1:23">
      <c r="A1683" s="49"/>
      <c r="B1683" s="49"/>
      <c r="C1683" s="49"/>
      <c r="D1683" s="49"/>
      <c r="E1683" s="49"/>
      <c r="F1683" s="55"/>
      <c r="G1683" s="55"/>
      <c r="H1683" s="49"/>
      <c r="I1683" s="49"/>
      <c r="J1683" s="49"/>
      <c r="K1683" s="49"/>
      <c r="L1683" s="49"/>
      <c r="M1683" s="49"/>
      <c r="N1683" s="49"/>
      <c r="O1683" s="49"/>
      <c r="P1683" s="49"/>
      <c r="Q1683" s="49"/>
      <c r="R1683" s="49"/>
      <c r="S1683" s="49"/>
      <c r="T1683" s="49"/>
      <c r="U1683" s="49"/>
      <c r="V1683" s="49"/>
      <c r="W1683" s="49"/>
    </row>
    <row r="1684" spans="1:23">
      <c r="A1684" s="49"/>
      <c r="B1684" s="49"/>
      <c r="C1684" s="49"/>
      <c r="D1684" s="49"/>
      <c r="E1684" s="49"/>
      <c r="F1684" s="55"/>
      <c r="G1684" s="55"/>
      <c r="H1684" s="49"/>
      <c r="I1684" s="49"/>
      <c r="J1684" s="49"/>
      <c r="K1684" s="49"/>
      <c r="L1684" s="49"/>
      <c r="M1684" s="49"/>
      <c r="N1684" s="49"/>
      <c r="O1684" s="49"/>
      <c r="P1684" s="49"/>
      <c r="Q1684" s="49"/>
      <c r="R1684" s="49"/>
      <c r="S1684" s="49"/>
      <c r="T1684" s="49"/>
      <c r="U1684" s="49"/>
      <c r="V1684" s="49"/>
      <c r="W1684" s="49"/>
    </row>
    <row r="1685" spans="1:23">
      <c r="A1685" s="49"/>
      <c r="B1685" s="49"/>
      <c r="C1685" s="49"/>
      <c r="D1685" s="49"/>
      <c r="E1685" s="49"/>
      <c r="F1685" s="55"/>
      <c r="G1685" s="55"/>
      <c r="H1685" s="49"/>
      <c r="I1685" s="49"/>
      <c r="J1685" s="49"/>
      <c r="K1685" s="49"/>
      <c r="L1685" s="49"/>
      <c r="M1685" s="49"/>
      <c r="N1685" s="49"/>
      <c r="O1685" s="49"/>
      <c r="P1685" s="49"/>
      <c r="Q1685" s="49"/>
      <c r="R1685" s="49"/>
      <c r="S1685" s="49"/>
      <c r="T1685" s="49"/>
      <c r="U1685" s="49"/>
      <c r="V1685" s="49"/>
      <c r="W1685" s="49"/>
    </row>
    <row r="1686" spans="1:23">
      <c r="A1686" s="49"/>
      <c r="B1686" s="49"/>
      <c r="C1686" s="49"/>
      <c r="D1686" s="49"/>
      <c r="E1686" s="49"/>
      <c r="F1686" s="55"/>
      <c r="G1686" s="55"/>
      <c r="H1686" s="49"/>
      <c r="I1686" s="49"/>
      <c r="J1686" s="49"/>
      <c r="K1686" s="49"/>
      <c r="L1686" s="49"/>
      <c r="M1686" s="49"/>
      <c r="N1686" s="49"/>
      <c r="O1686" s="49"/>
      <c r="P1686" s="49"/>
      <c r="Q1686" s="49"/>
      <c r="R1686" s="49"/>
      <c r="S1686" s="49"/>
      <c r="T1686" s="49"/>
      <c r="U1686" s="49"/>
      <c r="V1686" s="49"/>
      <c r="W1686" s="49"/>
    </row>
    <row r="1687" spans="1:23">
      <c r="A1687" s="49"/>
      <c r="B1687" s="49"/>
      <c r="C1687" s="49"/>
      <c r="D1687" s="49"/>
      <c r="E1687" s="49"/>
      <c r="F1687" s="55"/>
      <c r="G1687" s="55"/>
      <c r="H1687" s="49"/>
      <c r="I1687" s="49"/>
      <c r="J1687" s="49"/>
      <c r="K1687" s="49"/>
      <c r="L1687" s="49"/>
      <c r="M1687" s="49"/>
      <c r="N1687" s="49"/>
      <c r="O1687" s="49"/>
      <c r="P1687" s="49"/>
      <c r="Q1687" s="49"/>
      <c r="R1687" s="49"/>
      <c r="S1687" s="49"/>
      <c r="T1687" s="49"/>
      <c r="U1687" s="49"/>
      <c r="V1687" s="49"/>
      <c r="W1687" s="49"/>
    </row>
    <row r="1688" spans="1:23">
      <c r="A1688" s="49"/>
      <c r="B1688" s="49"/>
      <c r="C1688" s="49"/>
      <c r="D1688" s="49"/>
      <c r="E1688" s="49"/>
      <c r="F1688" s="55"/>
      <c r="G1688" s="55"/>
      <c r="H1688" s="49"/>
      <c r="I1688" s="49"/>
      <c r="J1688" s="49"/>
      <c r="K1688" s="49"/>
      <c r="L1688" s="49"/>
      <c r="M1688" s="49"/>
      <c r="N1688" s="49"/>
      <c r="O1688" s="49"/>
      <c r="P1688" s="49"/>
      <c r="Q1688" s="49"/>
      <c r="R1688" s="49"/>
      <c r="S1688" s="49"/>
      <c r="T1688" s="49"/>
      <c r="U1688" s="49"/>
      <c r="V1688" s="49"/>
      <c r="W1688" s="49"/>
    </row>
    <row r="1689" spans="1:23">
      <c r="A1689" s="49"/>
      <c r="B1689" s="49"/>
      <c r="C1689" s="49"/>
      <c r="D1689" s="49"/>
      <c r="E1689" s="49"/>
      <c r="F1689" s="55"/>
      <c r="G1689" s="55"/>
      <c r="H1689" s="49"/>
      <c r="I1689" s="49"/>
      <c r="J1689" s="49"/>
      <c r="K1689" s="49"/>
      <c r="L1689" s="49"/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</row>
    <row r="1690" spans="1:23">
      <c r="A1690" s="49"/>
      <c r="B1690" s="49"/>
      <c r="C1690" s="49"/>
      <c r="D1690" s="49"/>
      <c r="E1690" s="49"/>
      <c r="F1690" s="55"/>
      <c r="G1690" s="55"/>
      <c r="H1690" s="49"/>
      <c r="I1690" s="49"/>
      <c r="J1690" s="49"/>
      <c r="K1690" s="49"/>
      <c r="L1690" s="49"/>
      <c r="M1690" s="49"/>
      <c r="N1690" s="49"/>
      <c r="O1690" s="49"/>
      <c r="P1690" s="49"/>
      <c r="Q1690" s="49"/>
      <c r="R1690" s="49"/>
      <c r="S1690" s="49"/>
      <c r="T1690" s="49"/>
      <c r="U1690" s="49"/>
      <c r="V1690" s="49"/>
      <c r="W1690" s="49"/>
    </row>
    <row r="1691" spans="1:23">
      <c r="A1691" s="49"/>
      <c r="B1691" s="49"/>
      <c r="C1691" s="49"/>
      <c r="D1691" s="49"/>
      <c r="E1691" s="49"/>
      <c r="F1691" s="55"/>
      <c r="G1691" s="55"/>
      <c r="H1691" s="49"/>
      <c r="I1691" s="49"/>
      <c r="J1691" s="49"/>
      <c r="K1691" s="49"/>
      <c r="L1691" s="49"/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</row>
    <row r="1692" spans="1:23">
      <c r="A1692" s="49"/>
      <c r="B1692" s="49"/>
      <c r="C1692" s="49"/>
      <c r="D1692" s="49"/>
      <c r="E1692" s="49"/>
      <c r="F1692" s="55"/>
      <c r="G1692" s="55"/>
      <c r="H1692" s="49"/>
      <c r="I1692" s="49"/>
      <c r="J1692" s="49"/>
      <c r="K1692" s="49"/>
      <c r="L1692" s="49"/>
      <c r="M1692" s="49"/>
      <c r="N1692" s="49"/>
      <c r="O1692" s="49"/>
      <c r="P1692" s="49"/>
      <c r="Q1692" s="49"/>
      <c r="R1692" s="49"/>
      <c r="S1692" s="49"/>
      <c r="T1692" s="49"/>
      <c r="U1692" s="49"/>
      <c r="V1692" s="49"/>
      <c r="W1692" s="49"/>
    </row>
    <row r="1693" spans="1:23">
      <c r="A1693" s="49"/>
      <c r="B1693" s="49"/>
      <c r="C1693" s="49"/>
      <c r="D1693" s="49"/>
      <c r="E1693" s="49"/>
      <c r="F1693" s="55"/>
      <c r="G1693" s="55"/>
      <c r="H1693" s="49"/>
      <c r="I1693" s="49"/>
      <c r="J1693" s="49"/>
      <c r="K1693" s="49"/>
      <c r="L1693" s="49"/>
      <c r="M1693" s="49"/>
      <c r="N1693" s="49"/>
      <c r="O1693" s="49"/>
      <c r="P1693" s="49"/>
      <c r="Q1693" s="49"/>
      <c r="R1693" s="49"/>
      <c r="S1693" s="49"/>
      <c r="T1693" s="49"/>
      <c r="U1693" s="49"/>
      <c r="V1693" s="49"/>
      <c r="W1693" s="49"/>
    </row>
    <row r="1694" spans="1:23">
      <c r="A1694" s="49"/>
      <c r="B1694" s="49"/>
      <c r="C1694" s="49"/>
      <c r="D1694" s="49"/>
      <c r="E1694" s="49"/>
      <c r="F1694" s="55"/>
      <c r="G1694" s="55"/>
      <c r="H1694" s="49"/>
      <c r="I1694" s="49"/>
      <c r="J1694" s="49"/>
      <c r="K1694" s="49"/>
      <c r="L1694" s="49"/>
      <c r="M1694" s="49"/>
      <c r="N1694" s="49"/>
      <c r="O1694" s="49"/>
      <c r="P1694" s="49"/>
      <c r="Q1694" s="49"/>
      <c r="R1694" s="49"/>
      <c r="S1694" s="49"/>
      <c r="T1694" s="49"/>
      <c r="U1694" s="49"/>
      <c r="V1694" s="49"/>
      <c r="W1694" s="49"/>
    </row>
    <row r="1695" spans="1:23">
      <c r="A1695" s="49"/>
      <c r="B1695" s="49"/>
      <c r="C1695" s="49"/>
      <c r="D1695" s="49"/>
      <c r="E1695" s="49"/>
      <c r="F1695" s="55"/>
      <c r="G1695" s="55"/>
      <c r="H1695" s="49"/>
      <c r="I1695" s="49"/>
      <c r="J1695" s="49"/>
      <c r="K1695" s="49"/>
      <c r="L1695" s="49"/>
      <c r="M1695" s="49"/>
      <c r="N1695" s="49"/>
      <c r="O1695" s="49"/>
      <c r="P1695" s="49"/>
      <c r="Q1695" s="49"/>
      <c r="R1695" s="49"/>
      <c r="S1695" s="49"/>
      <c r="T1695" s="49"/>
      <c r="U1695" s="49"/>
      <c r="V1695" s="49"/>
      <c r="W1695" s="49"/>
    </row>
    <row r="1696" spans="1:23">
      <c r="A1696" s="49"/>
      <c r="B1696" s="49"/>
      <c r="C1696" s="49"/>
      <c r="D1696" s="49"/>
      <c r="E1696" s="49"/>
      <c r="F1696" s="55"/>
      <c r="G1696" s="55"/>
      <c r="H1696" s="49"/>
      <c r="I1696" s="49"/>
      <c r="J1696" s="49"/>
      <c r="K1696" s="49"/>
      <c r="L1696" s="49"/>
      <c r="M1696" s="49"/>
      <c r="N1696" s="49"/>
      <c r="O1696" s="49"/>
      <c r="P1696" s="49"/>
      <c r="Q1696" s="49"/>
      <c r="R1696" s="49"/>
      <c r="S1696" s="49"/>
      <c r="T1696" s="49"/>
      <c r="U1696" s="49"/>
      <c r="V1696" s="49"/>
      <c r="W1696" s="49"/>
    </row>
    <row r="1697" spans="1:23">
      <c r="A1697" s="49"/>
      <c r="B1697" s="49"/>
      <c r="C1697" s="49"/>
      <c r="D1697" s="49"/>
      <c r="E1697" s="49"/>
      <c r="F1697" s="55"/>
      <c r="G1697" s="55"/>
      <c r="H1697" s="49"/>
      <c r="I1697" s="49"/>
      <c r="J1697" s="49"/>
      <c r="K1697" s="49"/>
      <c r="L1697" s="49"/>
      <c r="M1697" s="49"/>
      <c r="N1697" s="49"/>
      <c r="O1697" s="49"/>
      <c r="P1697" s="49"/>
      <c r="Q1697" s="49"/>
      <c r="R1697" s="49"/>
      <c r="S1697" s="49"/>
      <c r="T1697" s="49"/>
      <c r="U1697" s="49"/>
      <c r="V1697" s="49"/>
      <c r="W1697" s="49"/>
    </row>
    <row r="1698" spans="1:23">
      <c r="A1698" s="49"/>
      <c r="B1698" s="49"/>
      <c r="C1698" s="49"/>
      <c r="D1698" s="49"/>
      <c r="E1698" s="49"/>
      <c r="F1698" s="55"/>
      <c r="G1698" s="55"/>
      <c r="H1698" s="49"/>
      <c r="I1698" s="49"/>
      <c r="J1698" s="49"/>
      <c r="K1698" s="49"/>
      <c r="L1698" s="49"/>
      <c r="M1698" s="49"/>
      <c r="N1698" s="49"/>
      <c r="O1698" s="49"/>
      <c r="P1698" s="49"/>
      <c r="Q1698" s="49"/>
      <c r="R1698" s="49"/>
      <c r="S1698" s="49"/>
      <c r="T1698" s="49"/>
      <c r="U1698" s="49"/>
      <c r="V1698" s="49"/>
      <c r="W1698" s="49"/>
    </row>
    <row r="1699" spans="1:23">
      <c r="A1699" s="49"/>
      <c r="B1699" s="49"/>
      <c r="C1699" s="49"/>
      <c r="D1699" s="49"/>
      <c r="E1699" s="49"/>
      <c r="F1699" s="55"/>
      <c r="G1699" s="55"/>
      <c r="H1699" s="49"/>
      <c r="I1699" s="49"/>
      <c r="J1699" s="49"/>
      <c r="K1699" s="49"/>
      <c r="L1699" s="49"/>
      <c r="M1699" s="49"/>
      <c r="N1699" s="49"/>
      <c r="O1699" s="49"/>
      <c r="P1699" s="49"/>
      <c r="Q1699" s="49"/>
      <c r="R1699" s="49"/>
      <c r="S1699" s="49"/>
      <c r="T1699" s="49"/>
      <c r="U1699" s="49"/>
      <c r="V1699" s="49"/>
      <c r="W1699" s="49"/>
    </row>
    <row r="1700" spans="1:23">
      <c r="A1700" s="49"/>
      <c r="B1700" s="49"/>
      <c r="C1700" s="49"/>
      <c r="D1700" s="49"/>
      <c r="E1700" s="49"/>
      <c r="F1700" s="55"/>
      <c r="G1700" s="55"/>
      <c r="H1700" s="49"/>
      <c r="I1700" s="49"/>
      <c r="J1700" s="49"/>
      <c r="K1700" s="49"/>
      <c r="L1700" s="49"/>
      <c r="M1700" s="49"/>
      <c r="N1700" s="49"/>
      <c r="O1700" s="49"/>
      <c r="P1700" s="49"/>
      <c r="Q1700" s="49"/>
      <c r="R1700" s="49"/>
      <c r="S1700" s="49"/>
      <c r="T1700" s="49"/>
      <c r="U1700" s="49"/>
      <c r="V1700" s="49"/>
      <c r="W1700" s="49"/>
    </row>
    <row r="1701" spans="1:23">
      <c r="A1701" s="49"/>
      <c r="B1701" s="49"/>
      <c r="C1701" s="49"/>
      <c r="D1701" s="49"/>
      <c r="E1701" s="49"/>
      <c r="F1701" s="55"/>
      <c r="G1701" s="55"/>
      <c r="H1701" s="49"/>
      <c r="I1701" s="49"/>
      <c r="J1701" s="49"/>
      <c r="K1701" s="49"/>
      <c r="L1701" s="49"/>
      <c r="M1701" s="49"/>
      <c r="N1701" s="49"/>
      <c r="O1701" s="49"/>
      <c r="P1701" s="49"/>
      <c r="Q1701" s="49"/>
      <c r="R1701" s="49"/>
      <c r="S1701" s="49"/>
      <c r="T1701" s="49"/>
      <c r="U1701" s="49"/>
      <c r="V1701" s="49"/>
      <c r="W1701" s="49"/>
    </row>
    <row r="1702" spans="1:23">
      <c r="A1702" s="49"/>
      <c r="B1702" s="49"/>
      <c r="C1702" s="49"/>
      <c r="D1702" s="49"/>
      <c r="E1702" s="49"/>
      <c r="F1702" s="55"/>
      <c r="G1702" s="55"/>
      <c r="H1702" s="49"/>
      <c r="I1702" s="49"/>
      <c r="J1702" s="49"/>
      <c r="K1702" s="49"/>
      <c r="L1702" s="49"/>
      <c r="M1702" s="49"/>
      <c r="N1702" s="49"/>
      <c r="O1702" s="49"/>
      <c r="P1702" s="49"/>
      <c r="Q1702" s="49"/>
      <c r="R1702" s="49"/>
      <c r="S1702" s="49"/>
      <c r="T1702" s="49"/>
      <c r="U1702" s="49"/>
      <c r="V1702" s="49"/>
      <c r="W1702" s="49"/>
    </row>
    <row r="1703" spans="1:23">
      <c r="A1703" s="49"/>
      <c r="B1703" s="49"/>
      <c r="C1703" s="49"/>
      <c r="D1703" s="49"/>
      <c r="E1703" s="49"/>
      <c r="F1703" s="55"/>
      <c r="G1703" s="55"/>
      <c r="H1703" s="49"/>
      <c r="I1703" s="49"/>
      <c r="J1703" s="49"/>
      <c r="K1703" s="49"/>
      <c r="L1703" s="49"/>
      <c r="M1703" s="49"/>
      <c r="N1703" s="49"/>
      <c r="O1703" s="49"/>
      <c r="P1703" s="49"/>
      <c r="Q1703" s="49"/>
      <c r="R1703" s="49"/>
      <c r="S1703" s="49"/>
      <c r="T1703" s="49"/>
      <c r="U1703" s="49"/>
      <c r="V1703" s="49"/>
      <c r="W1703" s="49"/>
    </row>
    <row r="1704" spans="1:23">
      <c r="A1704" s="49"/>
      <c r="B1704" s="49"/>
      <c r="C1704" s="49"/>
      <c r="D1704" s="49"/>
      <c r="E1704" s="49"/>
      <c r="F1704" s="55"/>
      <c r="G1704" s="55"/>
      <c r="H1704" s="49"/>
      <c r="I1704" s="49"/>
      <c r="J1704" s="49"/>
      <c r="K1704" s="49"/>
      <c r="L1704" s="49"/>
      <c r="M1704" s="49"/>
      <c r="N1704" s="49"/>
      <c r="O1704" s="49"/>
      <c r="P1704" s="49"/>
      <c r="Q1704" s="49"/>
      <c r="R1704" s="49"/>
      <c r="S1704" s="49"/>
      <c r="T1704" s="49"/>
      <c r="U1704" s="49"/>
      <c r="V1704" s="49"/>
      <c r="W1704" s="49"/>
    </row>
    <row r="1705" spans="1:23">
      <c r="A1705" s="49"/>
      <c r="B1705" s="49"/>
      <c r="C1705" s="49"/>
      <c r="D1705" s="49"/>
      <c r="E1705" s="49"/>
      <c r="F1705" s="55"/>
      <c r="G1705" s="55"/>
      <c r="H1705" s="49"/>
      <c r="I1705" s="49"/>
      <c r="J1705" s="49"/>
      <c r="K1705" s="49"/>
      <c r="L1705" s="49"/>
      <c r="M1705" s="49"/>
      <c r="N1705" s="49"/>
      <c r="O1705" s="49"/>
      <c r="P1705" s="49"/>
      <c r="Q1705" s="49"/>
      <c r="R1705" s="49"/>
      <c r="S1705" s="49"/>
      <c r="T1705" s="49"/>
      <c r="U1705" s="49"/>
      <c r="V1705" s="49"/>
      <c r="W1705" s="49"/>
    </row>
    <row r="1706" spans="1:23">
      <c r="A1706" s="49"/>
      <c r="B1706" s="49"/>
      <c r="C1706" s="49"/>
      <c r="D1706" s="49"/>
      <c r="E1706" s="49"/>
      <c r="F1706" s="55"/>
      <c r="G1706" s="55"/>
      <c r="H1706" s="49"/>
      <c r="I1706" s="49"/>
      <c r="J1706" s="49"/>
      <c r="K1706" s="49"/>
      <c r="L1706" s="49"/>
      <c r="M1706" s="49"/>
      <c r="N1706" s="49"/>
      <c r="O1706" s="49"/>
      <c r="P1706" s="49"/>
      <c r="Q1706" s="49"/>
      <c r="R1706" s="49"/>
      <c r="S1706" s="49"/>
      <c r="T1706" s="49"/>
      <c r="U1706" s="49"/>
      <c r="V1706" s="49"/>
      <c r="W1706" s="49"/>
    </row>
    <row r="1707" spans="1:23">
      <c r="A1707" s="49"/>
      <c r="B1707" s="49"/>
      <c r="C1707" s="49"/>
      <c r="D1707" s="49"/>
      <c r="E1707" s="49"/>
      <c r="F1707" s="55"/>
      <c r="G1707" s="55"/>
      <c r="H1707" s="49"/>
      <c r="I1707" s="49"/>
      <c r="J1707" s="49"/>
      <c r="K1707" s="49"/>
      <c r="L1707" s="49"/>
      <c r="M1707" s="49"/>
      <c r="N1707" s="49"/>
      <c r="O1707" s="49"/>
      <c r="P1707" s="49"/>
      <c r="Q1707" s="49"/>
      <c r="R1707" s="49"/>
      <c r="S1707" s="49"/>
      <c r="T1707" s="49"/>
      <c r="U1707" s="49"/>
      <c r="V1707" s="49"/>
      <c r="W1707" s="49"/>
    </row>
    <row r="1708" spans="1:23">
      <c r="A1708" s="49"/>
      <c r="B1708" s="49"/>
      <c r="C1708" s="49"/>
      <c r="D1708" s="49"/>
      <c r="E1708" s="49"/>
      <c r="F1708" s="55"/>
      <c r="G1708" s="55"/>
      <c r="H1708" s="49"/>
      <c r="I1708" s="49"/>
      <c r="J1708" s="49"/>
      <c r="K1708" s="49"/>
      <c r="L1708" s="49"/>
      <c r="M1708" s="49"/>
      <c r="N1708" s="49"/>
      <c r="O1708" s="49"/>
      <c r="P1708" s="49"/>
      <c r="Q1708" s="49"/>
      <c r="R1708" s="49"/>
      <c r="S1708" s="49"/>
      <c r="T1708" s="49"/>
      <c r="U1708" s="49"/>
      <c r="V1708" s="49"/>
      <c r="W1708" s="49"/>
    </row>
    <row r="1709" spans="1:23">
      <c r="A1709" s="49"/>
      <c r="B1709" s="49"/>
      <c r="C1709" s="49"/>
      <c r="D1709" s="49"/>
      <c r="E1709" s="49"/>
      <c r="F1709" s="55"/>
      <c r="G1709" s="55"/>
      <c r="H1709" s="49"/>
      <c r="I1709" s="49"/>
      <c r="J1709" s="49"/>
      <c r="K1709" s="49"/>
      <c r="L1709" s="49"/>
      <c r="M1709" s="49"/>
      <c r="N1709" s="49"/>
      <c r="O1709" s="49"/>
      <c r="P1709" s="49"/>
      <c r="Q1709" s="49"/>
      <c r="R1709" s="49"/>
      <c r="S1709" s="49"/>
      <c r="T1709" s="49"/>
      <c r="U1709" s="49"/>
      <c r="V1709" s="49"/>
      <c r="W1709" s="49"/>
    </row>
    <row r="1710" spans="1:23">
      <c r="A1710" s="49"/>
      <c r="B1710" s="49"/>
      <c r="C1710" s="49"/>
      <c r="D1710" s="49"/>
      <c r="E1710" s="49"/>
      <c r="F1710" s="55"/>
      <c r="G1710" s="55"/>
      <c r="H1710" s="49"/>
      <c r="I1710" s="49"/>
      <c r="J1710" s="49"/>
      <c r="K1710" s="49"/>
      <c r="L1710" s="49"/>
      <c r="M1710" s="49"/>
      <c r="N1710" s="49"/>
      <c r="O1710" s="49"/>
      <c r="P1710" s="49"/>
      <c r="Q1710" s="49"/>
      <c r="R1710" s="49"/>
      <c r="S1710" s="49"/>
      <c r="T1710" s="49"/>
      <c r="U1710" s="49"/>
      <c r="V1710" s="49"/>
      <c r="W1710" s="49"/>
    </row>
    <row r="1711" spans="1:23">
      <c r="A1711" s="49"/>
      <c r="B1711" s="49"/>
      <c r="C1711" s="49"/>
      <c r="D1711" s="49"/>
      <c r="E1711" s="49"/>
      <c r="F1711" s="55"/>
      <c r="G1711" s="55"/>
      <c r="H1711" s="49"/>
      <c r="I1711" s="49"/>
      <c r="J1711" s="49"/>
      <c r="K1711" s="49"/>
      <c r="L1711" s="49"/>
      <c r="M1711" s="49"/>
      <c r="N1711" s="49"/>
      <c r="O1711" s="49"/>
      <c r="P1711" s="49"/>
      <c r="Q1711" s="49"/>
      <c r="R1711" s="49"/>
      <c r="S1711" s="49"/>
      <c r="T1711" s="49"/>
      <c r="U1711" s="49"/>
      <c r="V1711" s="49"/>
      <c r="W1711" s="49"/>
    </row>
    <row r="1712" spans="1:23">
      <c r="A1712" s="49"/>
      <c r="B1712" s="49"/>
      <c r="C1712" s="49"/>
      <c r="D1712" s="49"/>
      <c r="E1712" s="49"/>
      <c r="F1712" s="55"/>
      <c r="G1712" s="55"/>
      <c r="H1712" s="49"/>
      <c r="I1712" s="49"/>
      <c r="J1712" s="49"/>
      <c r="K1712" s="49"/>
      <c r="L1712" s="49"/>
      <c r="M1712" s="49"/>
      <c r="N1712" s="49"/>
      <c r="O1712" s="49"/>
      <c r="P1712" s="49"/>
      <c r="Q1712" s="49"/>
      <c r="R1712" s="49"/>
      <c r="S1712" s="49"/>
      <c r="T1712" s="49"/>
      <c r="U1712" s="49"/>
      <c r="V1712" s="49"/>
      <c r="W1712" s="49"/>
    </row>
    <row r="1713" spans="1:23">
      <c r="A1713" s="49"/>
      <c r="B1713" s="49"/>
      <c r="C1713" s="49"/>
      <c r="D1713" s="49"/>
      <c r="E1713" s="49"/>
      <c r="F1713" s="55"/>
      <c r="G1713" s="55"/>
      <c r="H1713" s="49"/>
      <c r="I1713" s="49"/>
      <c r="J1713" s="49"/>
      <c r="K1713" s="49"/>
      <c r="L1713" s="49"/>
      <c r="M1713" s="49"/>
      <c r="N1713" s="49"/>
      <c r="O1713" s="49"/>
      <c r="P1713" s="49"/>
      <c r="Q1713" s="49"/>
      <c r="R1713" s="49"/>
      <c r="S1713" s="49"/>
      <c r="T1713" s="49"/>
      <c r="U1713" s="49"/>
      <c r="V1713" s="49"/>
      <c r="W1713" s="49"/>
    </row>
    <row r="1714" spans="1:23">
      <c r="A1714" s="49"/>
      <c r="B1714" s="49"/>
      <c r="C1714" s="49"/>
      <c r="D1714" s="49"/>
      <c r="E1714" s="49"/>
      <c r="F1714" s="55"/>
      <c r="G1714" s="55"/>
      <c r="H1714" s="49"/>
      <c r="I1714" s="49"/>
      <c r="J1714" s="49"/>
      <c r="K1714" s="49"/>
      <c r="L1714" s="49"/>
      <c r="M1714" s="49"/>
      <c r="N1714" s="49"/>
      <c r="O1714" s="49"/>
      <c r="P1714" s="49"/>
      <c r="Q1714" s="49"/>
      <c r="R1714" s="49"/>
      <c r="S1714" s="49"/>
      <c r="T1714" s="49"/>
      <c r="U1714" s="49"/>
      <c r="V1714" s="49"/>
      <c r="W1714" s="49"/>
    </row>
    <row r="1715" spans="1:23">
      <c r="A1715" s="49"/>
      <c r="B1715" s="49"/>
      <c r="C1715" s="49"/>
      <c r="D1715" s="49"/>
      <c r="E1715" s="49"/>
      <c r="F1715" s="55"/>
      <c r="G1715" s="55"/>
      <c r="H1715" s="49"/>
      <c r="I1715" s="49"/>
      <c r="J1715" s="49"/>
      <c r="K1715" s="49"/>
      <c r="L1715" s="49"/>
      <c r="M1715" s="49"/>
      <c r="N1715" s="49"/>
      <c r="O1715" s="49"/>
      <c r="P1715" s="49"/>
      <c r="Q1715" s="49"/>
      <c r="R1715" s="49"/>
      <c r="S1715" s="49"/>
      <c r="T1715" s="49"/>
      <c r="U1715" s="49"/>
      <c r="V1715" s="49"/>
      <c r="W1715" s="49"/>
    </row>
    <row r="1716" spans="1:23">
      <c r="A1716" s="49"/>
      <c r="B1716" s="49"/>
      <c r="C1716" s="49"/>
      <c r="D1716" s="49"/>
      <c r="E1716" s="49"/>
      <c r="F1716" s="55"/>
      <c r="G1716" s="55"/>
      <c r="H1716" s="49"/>
      <c r="I1716" s="49"/>
      <c r="J1716" s="49"/>
      <c r="K1716" s="49"/>
      <c r="L1716" s="49"/>
      <c r="M1716" s="49"/>
      <c r="N1716" s="49"/>
      <c r="O1716" s="49"/>
      <c r="P1716" s="49"/>
      <c r="Q1716" s="49"/>
      <c r="R1716" s="49"/>
      <c r="S1716" s="49"/>
      <c r="T1716" s="49"/>
      <c r="U1716" s="49"/>
      <c r="V1716" s="49"/>
      <c r="W1716" s="49"/>
    </row>
    <row r="1717" spans="1:23">
      <c r="A1717" s="49"/>
      <c r="B1717" s="49"/>
      <c r="C1717" s="49"/>
      <c r="D1717" s="49"/>
      <c r="E1717" s="49"/>
      <c r="F1717" s="55"/>
      <c r="G1717" s="55"/>
      <c r="H1717" s="49"/>
      <c r="I1717" s="49"/>
      <c r="J1717" s="49"/>
      <c r="K1717" s="49"/>
      <c r="L1717" s="49"/>
      <c r="M1717" s="49"/>
      <c r="N1717" s="49"/>
      <c r="O1717" s="49"/>
      <c r="P1717" s="49"/>
      <c r="Q1717" s="49"/>
      <c r="R1717" s="49"/>
      <c r="S1717" s="49"/>
      <c r="T1717" s="49"/>
      <c r="U1717" s="49"/>
      <c r="V1717" s="49"/>
      <c r="W1717" s="49"/>
    </row>
    <row r="1718" spans="1:23">
      <c r="A1718" s="49"/>
      <c r="B1718" s="49"/>
      <c r="C1718" s="49"/>
      <c r="D1718" s="49"/>
      <c r="E1718" s="49"/>
      <c r="F1718" s="55"/>
      <c r="G1718" s="55"/>
      <c r="H1718" s="49"/>
      <c r="I1718" s="49"/>
      <c r="J1718" s="49"/>
      <c r="K1718" s="49"/>
      <c r="L1718" s="49"/>
      <c r="M1718" s="49"/>
      <c r="N1718" s="49"/>
      <c r="O1718" s="49"/>
      <c r="P1718" s="49"/>
      <c r="Q1718" s="49"/>
      <c r="R1718" s="49"/>
      <c r="S1718" s="49"/>
      <c r="T1718" s="49"/>
      <c r="U1718" s="49"/>
      <c r="V1718" s="49"/>
      <c r="W1718" s="49"/>
    </row>
    <row r="1719" spans="1:23">
      <c r="A1719" s="49"/>
      <c r="B1719" s="49"/>
      <c r="C1719" s="49"/>
      <c r="D1719" s="49"/>
      <c r="E1719" s="49"/>
      <c r="F1719" s="55"/>
      <c r="G1719" s="55"/>
      <c r="H1719" s="49"/>
      <c r="I1719" s="49"/>
      <c r="J1719" s="49"/>
      <c r="K1719" s="49"/>
      <c r="L1719" s="49"/>
      <c r="M1719" s="49"/>
      <c r="N1719" s="49"/>
      <c r="O1719" s="49"/>
      <c r="P1719" s="49"/>
      <c r="Q1719" s="49"/>
      <c r="R1719" s="49"/>
      <c r="S1719" s="49"/>
      <c r="T1719" s="49"/>
      <c r="U1719" s="49"/>
      <c r="V1719" s="49"/>
      <c r="W1719" s="49"/>
    </row>
    <row r="1720" spans="1:23">
      <c r="A1720" s="49"/>
      <c r="B1720" s="49"/>
      <c r="C1720" s="49"/>
      <c r="D1720" s="49"/>
      <c r="E1720" s="49"/>
      <c r="F1720" s="55"/>
      <c r="G1720" s="55"/>
      <c r="H1720" s="49"/>
      <c r="I1720" s="49"/>
      <c r="J1720" s="49"/>
      <c r="K1720" s="49"/>
      <c r="L1720" s="49"/>
      <c r="M1720" s="49"/>
      <c r="N1720" s="49"/>
      <c r="O1720" s="49"/>
      <c r="P1720" s="49"/>
      <c r="Q1720" s="49"/>
      <c r="R1720" s="49"/>
      <c r="S1720" s="49"/>
      <c r="T1720" s="49"/>
      <c r="U1720" s="49"/>
      <c r="V1720" s="49"/>
      <c r="W1720" s="49"/>
    </row>
    <row r="1721" spans="1:23">
      <c r="A1721" s="49"/>
      <c r="B1721" s="49"/>
      <c r="C1721" s="49"/>
      <c r="D1721" s="49"/>
      <c r="E1721" s="49"/>
      <c r="F1721" s="55"/>
      <c r="G1721" s="55"/>
      <c r="H1721" s="49"/>
      <c r="I1721" s="49"/>
      <c r="J1721" s="49"/>
      <c r="K1721" s="49"/>
      <c r="L1721" s="49"/>
      <c r="M1721" s="49"/>
      <c r="N1721" s="49"/>
      <c r="O1721" s="49"/>
      <c r="P1721" s="49"/>
      <c r="Q1721" s="49"/>
      <c r="R1721" s="49"/>
      <c r="S1721" s="49"/>
      <c r="T1721" s="49"/>
      <c r="U1721" s="49"/>
      <c r="V1721" s="49"/>
      <c r="W1721" s="49"/>
    </row>
    <row r="1722" spans="1:23">
      <c r="A1722" s="49"/>
      <c r="B1722" s="49"/>
      <c r="C1722" s="49"/>
      <c r="D1722" s="49"/>
      <c r="E1722" s="49"/>
      <c r="F1722" s="55"/>
      <c r="G1722" s="55"/>
      <c r="H1722" s="49"/>
      <c r="I1722" s="49"/>
      <c r="J1722" s="49"/>
      <c r="K1722" s="49"/>
      <c r="L1722" s="49"/>
      <c r="M1722" s="49"/>
      <c r="N1722" s="49"/>
      <c r="O1722" s="49"/>
      <c r="P1722" s="49"/>
      <c r="Q1722" s="49"/>
      <c r="R1722" s="49"/>
      <c r="S1722" s="49"/>
      <c r="T1722" s="49"/>
      <c r="U1722" s="49"/>
      <c r="V1722" s="49"/>
      <c r="W1722" s="49"/>
    </row>
    <row r="1723" spans="1:23">
      <c r="A1723" s="49"/>
      <c r="B1723" s="49"/>
      <c r="C1723" s="49"/>
      <c r="D1723" s="49"/>
      <c r="E1723" s="49"/>
      <c r="F1723" s="55"/>
      <c r="G1723" s="55"/>
      <c r="H1723" s="49"/>
      <c r="I1723" s="49"/>
      <c r="J1723" s="49"/>
      <c r="K1723" s="49"/>
      <c r="L1723" s="49"/>
      <c r="M1723" s="49"/>
      <c r="N1723" s="49"/>
      <c r="O1723" s="49"/>
      <c r="P1723" s="49"/>
      <c r="Q1723" s="49"/>
      <c r="R1723" s="49"/>
      <c r="S1723" s="49"/>
      <c r="T1723" s="49"/>
      <c r="U1723" s="49"/>
      <c r="V1723" s="49"/>
      <c r="W1723" s="49"/>
    </row>
    <row r="1724" spans="1:23">
      <c r="A1724" s="49"/>
      <c r="B1724" s="49"/>
      <c r="C1724" s="49"/>
      <c r="D1724" s="49"/>
      <c r="E1724" s="49"/>
      <c r="F1724" s="55"/>
      <c r="G1724" s="55"/>
      <c r="H1724" s="49"/>
      <c r="I1724" s="49"/>
      <c r="J1724" s="49"/>
      <c r="K1724" s="49"/>
      <c r="L1724" s="49"/>
      <c r="M1724" s="49"/>
      <c r="N1724" s="49"/>
      <c r="O1724" s="49"/>
      <c r="P1724" s="49"/>
      <c r="Q1724" s="49"/>
      <c r="R1724" s="49"/>
      <c r="S1724" s="49"/>
      <c r="T1724" s="49"/>
      <c r="U1724" s="49"/>
      <c r="V1724" s="49"/>
      <c r="W1724" s="49"/>
    </row>
    <row r="1725" spans="1:23">
      <c r="A1725" s="49"/>
      <c r="B1725" s="49"/>
      <c r="C1725" s="49"/>
      <c r="D1725" s="49"/>
      <c r="E1725" s="49"/>
      <c r="F1725" s="55"/>
      <c r="G1725" s="55"/>
      <c r="H1725" s="49"/>
      <c r="I1725" s="49"/>
      <c r="J1725" s="49"/>
      <c r="K1725" s="49"/>
      <c r="L1725" s="49"/>
      <c r="M1725" s="49"/>
      <c r="N1725" s="49"/>
      <c r="O1725" s="49"/>
      <c r="P1725" s="49"/>
      <c r="Q1725" s="49"/>
      <c r="R1725" s="49"/>
      <c r="S1725" s="49"/>
      <c r="T1725" s="49"/>
      <c r="U1725" s="49"/>
      <c r="V1725" s="49"/>
      <c r="W1725" s="49"/>
    </row>
    <row r="1726" spans="1:23">
      <c r="A1726" s="49"/>
      <c r="B1726" s="49"/>
      <c r="C1726" s="49"/>
      <c r="D1726" s="49"/>
      <c r="E1726" s="49"/>
      <c r="F1726" s="55"/>
      <c r="G1726" s="55"/>
      <c r="H1726" s="49"/>
      <c r="I1726" s="49"/>
      <c r="J1726" s="49"/>
      <c r="K1726" s="49"/>
      <c r="L1726" s="49"/>
      <c r="M1726" s="49"/>
      <c r="N1726" s="49"/>
      <c r="O1726" s="49"/>
      <c r="P1726" s="49"/>
      <c r="Q1726" s="49"/>
      <c r="R1726" s="49"/>
      <c r="S1726" s="49"/>
      <c r="T1726" s="49"/>
      <c r="U1726" s="49"/>
      <c r="V1726" s="49"/>
      <c r="W1726" s="49"/>
    </row>
    <row r="1727" spans="1:23">
      <c r="A1727" s="49"/>
      <c r="B1727" s="49"/>
      <c r="C1727" s="49"/>
      <c r="D1727" s="49"/>
      <c r="E1727" s="49"/>
      <c r="F1727" s="55"/>
      <c r="G1727" s="55"/>
      <c r="H1727" s="49"/>
      <c r="I1727" s="49"/>
      <c r="J1727" s="49"/>
      <c r="K1727" s="49"/>
      <c r="L1727" s="49"/>
      <c r="M1727" s="49"/>
      <c r="N1727" s="49"/>
      <c r="O1727" s="49"/>
      <c r="P1727" s="49"/>
      <c r="Q1727" s="49"/>
      <c r="R1727" s="49"/>
      <c r="S1727" s="49"/>
      <c r="T1727" s="49"/>
      <c r="U1727" s="49"/>
      <c r="V1727" s="49"/>
      <c r="W1727" s="49"/>
    </row>
    <row r="1728" spans="1:23">
      <c r="A1728" s="49"/>
      <c r="B1728" s="49"/>
      <c r="C1728" s="49"/>
      <c r="D1728" s="49"/>
      <c r="E1728" s="49"/>
      <c r="F1728" s="55"/>
      <c r="G1728" s="55"/>
      <c r="H1728" s="49"/>
      <c r="I1728" s="49"/>
      <c r="J1728" s="49"/>
      <c r="K1728" s="49"/>
      <c r="L1728" s="49"/>
      <c r="M1728" s="49"/>
      <c r="N1728" s="49"/>
      <c r="O1728" s="49"/>
      <c r="P1728" s="49"/>
      <c r="Q1728" s="49"/>
      <c r="R1728" s="49"/>
      <c r="S1728" s="49"/>
      <c r="T1728" s="49"/>
      <c r="U1728" s="49"/>
      <c r="V1728" s="49"/>
      <c r="W1728" s="49"/>
    </row>
    <row r="1729" spans="1:23">
      <c r="A1729" s="49"/>
      <c r="B1729" s="49"/>
      <c r="C1729" s="49"/>
      <c r="D1729" s="49"/>
      <c r="E1729" s="49"/>
      <c r="F1729" s="55"/>
      <c r="G1729" s="55"/>
      <c r="H1729" s="49"/>
      <c r="I1729" s="49"/>
      <c r="J1729" s="49"/>
      <c r="K1729" s="49"/>
      <c r="L1729" s="49"/>
      <c r="M1729" s="49"/>
      <c r="N1729" s="49"/>
      <c r="O1729" s="49"/>
      <c r="P1729" s="49"/>
      <c r="Q1729" s="49"/>
      <c r="R1729" s="49"/>
      <c r="S1729" s="49"/>
      <c r="T1729" s="49"/>
      <c r="U1729" s="49"/>
      <c r="V1729" s="49"/>
      <c r="W1729" s="49"/>
    </row>
    <row r="1730" spans="1:23">
      <c r="A1730" s="49"/>
      <c r="B1730" s="49"/>
      <c r="C1730" s="49"/>
      <c r="D1730" s="49"/>
      <c r="E1730" s="49"/>
      <c r="F1730" s="55"/>
      <c r="G1730" s="55"/>
      <c r="H1730" s="49"/>
      <c r="I1730" s="49"/>
      <c r="J1730" s="49"/>
      <c r="K1730" s="49"/>
      <c r="L1730" s="49"/>
      <c r="M1730" s="49"/>
      <c r="N1730" s="49"/>
      <c r="O1730" s="49"/>
      <c r="P1730" s="49"/>
      <c r="Q1730" s="49"/>
      <c r="R1730" s="49"/>
      <c r="S1730" s="49"/>
      <c r="T1730" s="49"/>
      <c r="U1730" s="49"/>
      <c r="V1730" s="49"/>
      <c r="W1730" s="49"/>
    </row>
    <row r="1731" spans="1:23">
      <c r="A1731" s="49"/>
      <c r="B1731" s="49"/>
      <c r="C1731" s="49"/>
      <c r="D1731" s="49"/>
      <c r="E1731" s="49"/>
      <c r="F1731" s="55"/>
      <c r="G1731" s="55"/>
      <c r="H1731" s="49"/>
      <c r="I1731" s="49"/>
      <c r="J1731" s="49"/>
      <c r="K1731" s="49"/>
      <c r="L1731" s="49"/>
      <c r="M1731" s="49"/>
      <c r="N1731" s="49"/>
      <c r="O1731" s="49"/>
      <c r="P1731" s="49"/>
      <c r="Q1731" s="49"/>
      <c r="R1731" s="49"/>
      <c r="S1731" s="49"/>
      <c r="T1731" s="49"/>
      <c r="U1731" s="49"/>
      <c r="V1731" s="49"/>
      <c r="W1731" s="49"/>
    </row>
    <row r="1732" spans="1:23">
      <c r="A1732" s="49"/>
      <c r="B1732" s="49"/>
      <c r="C1732" s="49"/>
      <c r="D1732" s="49"/>
      <c r="E1732" s="49"/>
      <c r="F1732" s="55"/>
      <c r="G1732" s="55"/>
      <c r="H1732" s="49"/>
      <c r="I1732" s="49"/>
      <c r="J1732" s="49"/>
      <c r="K1732" s="49"/>
      <c r="L1732" s="49"/>
      <c r="M1732" s="49"/>
      <c r="N1732" s="49"/>
      <c r="O1732" s="49"/>
      <c r="P1732" s="49"/>
      <c r="Q1732" s="49"/>
      <c r="R1732" s="49"/>
      <c r="S1732" s="49"/>
      <c r="T1732" s="49"/>
      <c r="U1732" s="49"/>
      <c r="V1732" s="49"/>
      <c r="W1732" s="49"/>
    </row>
    <row r="1733" spans="1:23">
      <c r="A1733" s="49"/>
      <c r="B1733" s="49"/>
      <c r="C1733" s="49"/>
      <c r="D1733" s="49"/>
      <c r="E1733" s="49"/>
      <c r="F1733" s="55"/>
      <c r="G1733" s="55"/>
      <c r="H1733" s="49"/>
      <c r="I1733" s="49"/>
      <c r="J1733" s="49"/>
      <c r="K1733" s="49"/>
      <c r="L1733" s="49"/>
      <c r="M1733" s="49"/>
      <c r="N1733" s="49"/>
      <c r="O1733" s="49"/>
      <c r="P1733" s="49"/>
      <c r="Q1733" s="49"/>
      <c r="R1733" s="49"/>
      <c r="S1733" s="49"/>
      <c r="T1733" s="49"/>
      <c r="U1733" s="49"/>
      <c r="V1733" s="49"/>
      <c r="W1733" s="49"/>
    </row>
    <row r="1734" spans="1:23">
      <c r="A1734" s="49"/>
      <c r="B1734" s="49"/>
      <c r="C1734" s="49"/>
      <c r="D1734" s="49"/>
      <c r="E1734" s="49"/>
      <c r="F1734" s="55"/>
      <c r="G1734" s="55"/>
      <c r="H1734" s="49"/>
      <c r="I1734" s="49"/>
      <c r="J1734" s="49"/>
      <c r="K1734" s="49"/>
      <c r="L1734" s="49"/>
      <c r="M1734" s="49"/>
      <c r="N1734" s="49"/>
      <c r="O1734" s="49"/>
      <c r="P1734" s="49"/>
      <c r="Q1734" s="49"/>
      <c r="R1734" s="49"/>
      <c r="S1734" s="49"/>
      <c r="T1734" s="49"/>
      <c r="U1734" s="49"/>
      <c r="V1734" s="49"/>
      <c r="W1734" s="49"/>
    </row>
    <row r="1735" spans="1:23">
      <c r="A1735" s="49"/>
      <c r="B1735" s="49"/>
      <c r="C1735" s="49"/>
      <c r="D1735" s="49"/>
      <c r="E1735" s="49"/>
      <c r="F1735" s="55"/>
      <c r="G1735" s="55"/>
      <c r="H1735" s="49"/>
      <c r="I1735" s="49"/>
      <c r="J1735" s="49"/>
      <c r="K1735" s="49"/>
      <c r="L1735" s="49"/>
      <c r="M1735" s="49"/>
      <c r="N1735" s="49"/>
      <c r="O1735" s="49"/>
      <c r="P1735" s="49"/>
      <c r="Q1735" s="49"/>
      <c r="R1735" s="49"/>
      <c r="S1735" s="49"/>
      <c r="T1735" s="49"/>
      <c r="U1735" s="49"/>
      <c r="V1735" s="49"/>
      <c r="W1735" s="49"/>
    </row>
    <row r="1736" spans="1:23">
      <c r="A1736" s="49"/>
      <c r="B1736" s="49"/>
      <c r="C1736" s="49"/>
      <c r="D1736" s="49"/>
      <c r="E1736" s="49"/>
      <c r="F1736" s="55"/>
      <c r="G1736" s="55"/>
      <c r="H1736" s="49"/>
      <c r="I1736" s="49"/>
      <c r="J1736" s="49"/>
      <c r="K1736" s="49"/>
      <c r="L1736" s="49"/>
      <c r="M1736" s="49"/>
      <c r="N1736" s="49"/>
      <c r="O1736" s="49"/>
      <c r="P1736" s="49"/>
      <c r="Q1736" s="49"/>
      <c r="R1736" s="49"/>
      <c r="S1736" s="49"/>
      <c r="T1736" s="49"/>
      <c r="U1736" s="49"/>
      <c r="V1736" s="49"/>
      <c r="W1736" s="49"/>
    </row>
    <row r="1737" spans="1:23">
      <c r="A1737" s="49"/>
      <c r="B1737" s="49"/>
      <c r="C1737" s="49"/>
      <c r="D1737" s="49"/>
      <c r="E1737" s="49"/>
      <c r="F1737" s="55"/>
      <c r="G1737" s="55"/>
      <c r="H1737" s="49"/>
      <c r="I1737" s="49"/>
      <c r="J1737" s="49"/>
      <c r="K1737" s="49"/>
      <c r="L1737" s="49"/>
      <c r="M1737" s="49"/>
      <c r="N1737" s="49"/>
      <c r="O1737" s="49"/>
      <c r="P1737" s="49"/>
      <c r="Q1737" s="49"/>
      <c r="R1737" s="49"/>
      <c r="S1737" s="49"/>
      <c r="T1737" s="49"/>
      <c r="U1737" s="49"/>
      <c r="V1737" s="49"/>
      <c r="W1737" s="49"/>
    </row>
    <row r="1738" spans="1:23">
      <c r="A1738" s="49"/>
      <c r="B1738" s="49"/>
      <c r="C1738" s="49"/>
      <c r="D1738" s="49"/>
      <c r="E1738" s="49"/>
      <c r="F1738" s="55"/>
      <c r="G1738" s="55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/>
      <c r="S1738" s="49"/>
      <c r="T1738" s="49"/>
      <c r="U1738" s="49"/>
      <c r="V1738" s="49"/>
      <c r="W1738" s="49"/>
    </row>
    <row r="1739" spans="1:23">
      <c r="A1739" s="49"/>
      <c r="B1739" s="49"/>
      <c r="C1739" s="49"/>
      <c r="D1739" s="49"/>
      <c r="E1739" s="49"/>
      <c r="F1739" s="55"/>
      <c r="G1739" s="55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/>
      <c r="S1739" s="49"/>
      <c r="T1739" s="49"/>
      <c r="U1739" s="49"/>
      <c r="V1739" s="49"/>
      <c r="W1739" s="49"/>
    </row>
    <row r="1740" spans="1:23">
      <c r="A1740" s="49"/>
      <c r="B1740" s="49"/>
      <c r="C1740" s="49"/>
      <c r="D1740" s="49"/>
      <c r="E1740" s="49"/>
      <c r="F1740" s="55"/>
      <c r="G1740" s="55"/>
      <c r="H1740" s="49"/>
      <c r="I1740" s="49"/>
      <c r="J1740" s="49"/>
      <c r="K1740" s="49"/>
      <c r="L1740" s="49"/>
      <c r="M1740" s="49"/>
      <c r="N1740" s="49"/>
      <c r="O1740" s="49"/>
      <c r="P1740" s="49"/>
      <c r="Q1740" s="49"/>
      <c r="R1740" s="49"/>
      <c r="S1740" s="49"/>
      <c r="T1740" s="49"/>
      <c r="U1740" s="49"/>
      <c r="V1740" s="49"/>
      <c r="W1740" s="49"/>
    </row>
    <row r="1741" spans="1:23">
      <c r="A1741" s="49"/>
      <c r="B1741" s="49"/>
      <c r="C1741" s="49"/>
      <c r="D1741" s="49"/>
      <c r="E1741" s="49"/>
      <c r="F1741" s="55"/>
      <c r="G1741" s="55"/>
      <c r="H1741" s="49"/>
      <c r="I1741" s="49"/>
      <c r="J1741" s="49"/>
      <c r="K1741" s="49"/>
      <c r="L1741" s="49"/>
      <c r="M1741" s="49"/>
      <c r="N1741" s="49"/>
      <c r="O1741" s="49"/>
      <c r="P1741" s="49"/>
      <c r="Q1741" s="49"/>
      <c r="R1741" s="49"/>
      <c r="S1741" s="49"/>
      <c r="T1741" s="49"/>
      <c r="U1741" s="49"/>
      <c r="V1741" s="49"/>
      <c r="W1741" s="49"/>
    </row>
    <row r="1742" spans="1:23">
      <c r="A1742" s="49"/>
      <c r="B1742" s="49"/>
      <c r="C1742" s="49"/>
      <c r="D1742" s="49"/>
      <c r="E1742" s="49"/>
      <c r="F1742" s="55"/>
      <c r="G1742" s="55"/>
      <c r="H1742" s="49"/>
      <c r="I1742" s="49"/>
      <c r="J1742" s="49"/>
      <c r="K1742" s="49"/>
      <c r="L1742" s="49"/>
      <c r="M1742" s="49"/>
      <c r="N1742" s="49"/>
      <c r="O1742" s="49"/>
      <c r="P1742" s="49"/>
      <c r="Q1742" s="49"/>
      <c r="R1742" s="49"/>
      <c r="S1742" s="49"/>
      <c r="T1742" s="49"/>
      <c r="U1742" s="49"/>
      <c r="V1742" s="49"/>
      <c r="W1742" s="49"/>
    </row>
    <row r="1743" spans="1:23">
      <c r="A1743" s="49"/>
      <c r="B1743" s="49"/>
      <c r="C1743" s="49"/>
      <c r="D1743" s="49"/>
      <c r="E1743" s="49"/>
      <c r="F1743" s="55"/>
      <c r="G1743" s="55"/>
      <c r="H1743" s="49"/>
      <c r="I1743" s="49"/>
      <c r="J1743" s="49"/>
      <c r="K1743" s="49"/>
      <c r="L1743" s="49"/>
      <c r="M1743" s="49"/>
      <c r="N1743" s="49"/>
      <c r="O1743" s="49"/>
      <c r="P1743" s="49"/>
      <c r="Q1743" s="49"/>
      <c r="R1743" s="49"/>
      <c r="S1743" s="49"/>
      <c r="T1743" s="49"/>
      <c r="U1743" s="49"/>
      <c r="V1743" s="49"/>
      <c r="W1743" s="49"/>
    </row>
    <row r="1744" spans="1:23">
      <c r="A1744" s="49"/>
      <c r="B1744" s="49"/>
      <c r="C1744" s="49"/>
      <c r="D1744" s="49"/>
      <c r="E1744" s="49"/>
      <c r="F1744" s="55"/>
      <c r="G1744" s="55"/>
      <c r="H1744" s="49"/>
      <c r="I1744" s="49"/>
      <c r="J1744" s="49"/>
      <c r="K1744" s="49"/>
      <c r="L1744" s="49"/>
      <c r="M1744" s="49"/>
      <c r="N1744" s="49"/>
      <c r="O1744" s="49"/>
      <c r="P1744" s="49"/>
      <c r="Q1744" s="49"/>
      <c r="R1744" s="49"/>
      <c r="S1744" s="49"/>
      <c r="T1744" s="49"/>
      <c r="U1744" s="49"/>
      <c r="V1744" s="49"/>
      <c r="W1744" s="49"/>
    </row>
    <row r="1745" spans="1:23">
      <c r="A1745" s="49"/>
      <c r="B1745" s="49"/>
      <c r="C1745" s="49"/>
      <c r="D1745" s="49"/>
      <c r="E1745" s="49"/>
      <c r="F1745" s="55"/>
      <c r="G1745" s="55"/>
      <c r="H1745" s="49"/>
      <c r="I1745" s="49"/>
      <c r="J1745" s="49"/>
      <c r="K1745" s="49"/>
      <c r="L1745" s="49"/>
      <c r="M1745" s="49"/>
      <c r="N1745" s="49"/>
      <c r="O1745" s="49"/>
      <c r="P1745" s="49"/>
      <c r="Q1745" s="49"/>
      <c r="R1745" s="49"/>
      <c r="S1745" s="49"/>
      <c r="T1745" s="49"/>
      <c r="U1745" s="49"/>
      <c r="V1745" s="49"/>
      <c r="W1745" s="49"/>
    </row>
    <row r="1746" spans="1:23">
      <c r="A1746" s="49"/>
      <c r="B1746" s="49"/>
      <c r="C1746" s="49"/>
      <c r="D1746" s="49"/>
      <c r="E1746" s="49"/>
      <c r="F1746" s="55"/>
      <c r="G1746" s="55"/>
      <c r="H1746" s="49"/>
      <c r="I1746" s="49"/>
      <c r="J1746" s="49"/>
      <c r="K1746" s="49"/>
      <c r="L1746" s="49"/>
      <c r="M1746" s="49"/>
      <c r="N1746" s="49"/>
      <c r="O1746" s="49"/>
      <c r="P1746" s="49"/>
      <c r="Q1746" s="49"/>
      <c r="R1746" s="49"/>
      <c r="S1746" s="49"/>
      <c r="T1746" s="49"/>
      <c r="U1746" s="49"/>
      <c r="V1746" s="49"/>
      <c r="W1746" s="49"/>
    </row>
    <row r="1747" spans="1:23">
      <c r="A1747" s="49"/>
      <c r="B1747" s="49"/>
      <c r="C1747" s="49"/>
      <c r="D1747" s="49"/>
      <c r="E1747" s="49"/>
      <c r="F1747" s="55"/>
      <c r="G1747" s="55"/>
      <c r="H1747" s="49"/>
      <c r="I1747" s="49"/>
      <c r="J1747" s="49"/>
      <c r="K1747" s="49"/>
      <c r="L1747" s="49"/>
      <c r="M1747" s="49"/>
      <c r="N1747" s="49"/>
      <c r="O1747" s="49"/>
      <c r="P1747" s="49"/>
      <c r="Q1747" s="49"/>
      <c r="R1747" s="49"/>
      <c r="S1747" s="49"/>
      <c r="T1747" s="49"/>
      <c r="U1747" s="49"/>
      <c r="V1747" s="49"/>
      <c r="W1747" s="49"/>
    </row>
    <row r="1748" spans="1:23">
      <c r="A1748" s="49"/>
      <c r="B1748" s="49"/>
      <c r="C1748" s="49"/>
      <c r="D1748" s="49"/>
      <c r="E1748" s="49"/>
      <c r="F1748" s="55"/>
      <c r="G1748" s="55"/>
      <c r="H1748" s="49"/>
      <c r="I1748" s="49"/>
      <c r="J1748" s="49"/>
      <c r="K1748" s="49"/>
      <c r="L1748" s="49"/>
      <c r="M1748" s="49"/>
      <c r="N1748" s="49"/>
      <c r="O1748" s="49"/>
      <c r="P1748" s="49"/>
      <c r="Q1748" s="49"/>
      <c r="R1748" s="49"/>
      <c r="S1748" s="49"/>
      <c r="T1748" s="49"/>
      <c r="U1748" s="49"/>
      <c r="V1748" s="49"/>
      <c r="W1748" s="49"/>
    </row>
    <row r="1749" spans="1:23">
      <c r="A1749" s="49"/>
      <c r="B1749" s="49"/>
      <c r="C1749" s="49"/>
      <c r="D1749" s="49"/>
      <c r="E1749" s="49"/>
      <c r="F1749" s="55"/>
      <c r="G1749" s="55"/>
      <c r="H1749" s="49"/>
      <c r="I1749" s="49"/>
      <c r="J1749" s="49"/>
      <c r="K1749" s="49"/>
      <c r="L1749" s="49"/>
      <c r="M1749" s="49"/>
      <c r="N1749" s="49"/>
      <c r="O1749" s="49"/>
      <c r="P1749" s="49"/>
      <c r="Q1749" s="49"/>
      <c r="R1749" s="49"/>
      <c r="S1749" s="49"/>
      <c r="T1749" s="49"/>
      <c r="U1749" s="49"/>
      <c r="V1749" s="49"/>
      <c r="W1749" s="49"/>
    </row>
    <row r="1750" spans="1:23">
      <c r="A1750" s="49"/>
      <c r="B1750" s="49"/>
      <c r="C1750" s="49"/>
      <c r="D1750" s="49"/>
      <c r="E1750" s="49"/>
      <c r="F1750" s="55"/>
      <c r="G1750" s="55"/>
      <c r="H1750" s="49"/>
      <c r="I1750" s="49"/>
      <c r="J1750" s="49"/>
      <c r="K1750" s="49"/>
      <c r="L1750" s="49"/>
      <c r="M1750" s="49"/>
      <c r="N1750" s="49"/>
      <c r="O1750" s="49"/>
      <c r="P1750" s="49"/>
      <c r="Q1750" s="49"/>
      <c r="R1750" s="49"/>
      <c r="S1750" s="49"/>
      <c r="T1750" s="49"/>
      <c r="U1750" s="49"/>
      <c r="V1750" s="49"/>
      <c r="W1750" s="49"/>
    </row>
    <row r="1751" spans="1:23">
      <c r="A1751" s="49"/>
      <c r="B1751" s="49"/>
      <c r="C1751" s="49"/>
      <c r="D1751" s="49"/>
      <c r="E1751" s="49"/>
      <c r="F1751" s="55"/>
      <c r="G1751" s="55"/>
      <c r="H1751" s="49"/>
      <c r="I1751" s="49"/>
      <c r="J1751" s="49"/>
      <c r="K1751" s="49"/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49"/>
      <c r="W1751" s="49"/>
    </row>
    <row r="1752" spans="1:23">
      <c r="A1752" s="49"/>
      <c r="B1752" s="49"/>
      <c r="C1752" s="49"/>
      <c r="D1752" s="49"/>
      <c r="E1752" s="49"/>
      <c r="F1752" s="55"/>
      <c r="G1752" s="55"/>
      <c r="H1752" s="49"/>
      <c r="I1752" s="49"/>
      <c r="J1752" s="49"/>
      <c r="K1752" s="49"/>
      <c r="L1752" s="49"/>
      <c r="M1752" s="49"/>
      <c r="N1752" s="49"/>
      <c r="O1752" s="49"/>
      <c r="P1752" s="49"/>
      <c r="Q1752" s="49"/>
      <c r="R1752" s="49"/>
      <c r="S1752" s="49"/>
      <c r="T1752" s="49"/>
      <c r="U1752" s="49"/>
      <c r="V1752" s="49"/>
      <c r="W1752" s="49"/>
    </row>
    <row r="1753" spans="1:23">
      <c r="A1753" s="49"/>
      <c r="B1753" s="49"/>
      <c r="C1753" s="49"/>
      <c r="D1753" s="49"/>
      <c r="E1753" s="49"/>
      <c r="F1753" s="55"/>
      <c r="G1753" s="55"/>
      <c r="H1753" s="49"/>
      <c r="I1753" s="49"/>
      <c r="J1753" s="49"/>
      <c r="K1753" s="49"/>
      <c r="L1753" s="49"/>
      <c r="M1753" s="49"/>
      <c r="N1753" s="49"/>
      <c r="O1753" s="49"/>
      <c r="P1753" s="49"/>
      <c r="Q1753" s="49"/>
      <c r="R1753" s="49"/>
      <c r="S1753" s="49"/>
      <c r="T1753" s="49"/>
      <c r="U1753" s="49"/>
      <c r="V1753" s="49"/>
      <c r="W1753" s="49"/>
    </row>
    <row r="1754" spans="1:23">
      <c r="A1754" s="49"/>
      <c r="B1754" s="49"/>
      <c r="C1754" s="49"/>
      <c r="D1754" s="49"/>
      <c r="E1754" s="49"/>
      <c r="F1754" s="55"/>
      <c r="G1754" s="55"/>
      <c r="H1754" s="49"/>
      <c r="I1754" s="49"/>
      <c r="J1754" s="49"/>
      <c r="K1754" s="49"/>
      <c r="L1754" s="49"/>
      <c r="M1754" s="49"/>
      <c r="N1754" s="49"/>
      <c r="O1754" s="49"/>
      <c r="P1754" s="49"/>
      <c r="Q1754" s="49"/>
      <c r="R1754" s="49"/>
      <c r="S1754" s="49"/>
      <c r="T1754" s="49"/>
      <c r="U1754" s="49"/>
      <c r="V1754" s="49"/>
      <c r="W1754" s="49"/>
    </row>
    <row r="1755" spans="1:23">
      <c r="A1755" s="49"/>
      <c r="B1755" s="49"/>
      <c r="C1755" s="49"/>
      <c r="D1755" s="49"/>
      <c r="E1755" s="49"/>
      <c r="F1755" s="55"/>
      <c r="G1755" s="55"/>
      <c r="H1755" s="49"/>
      <c r="I1755" s="49"/>
      <c r="J1755" s="49"/>
      <c r="K1755" s="49"/>
      <c r="L1755" s="49"/>
      <c r="M1755" s="49"/>
      <c r="N1755" s="49"/>
      <c r="O1755" s="49"/>
      <c r="P1755" s="49"/>
      <c r="Q1755" s="49"/>
      <c r="R1755" s="49"/>
      <c r="S1755" s="49"/>
      <c r="T1755" s="49"/>
      <c r="U1755" s="49"/>
      <c r="V1755" s="49"/>
      <c r="W1755" s="49"/>
    </row>
    <row r="1756" spans="1:23">
      <c r="A1756" s="49"/>
      <c r="B1756" s="49"/>
      <c r="C1756" s="49"/>
      <c r="D1756" s="49"/>
      <c r="E1756" s="49"/>
      <c r="F1756" s="55"/>
      <c r="G1756" s="55"/>
      <c r="H1756" s="49"/>
      <c r="I1756" s="49"/>
      <c r="J1756" s="49"/>
      <c r="K1756" s="49"/>
      <c r="L1756" s="49"/>
      <c r="M1756" s="49"/>
      <c r="N1756" s="49"/>
      <c r="O1756" s="49"/>
      <c r="P1756" s="49"/>
      <c r="Q1756" s="49"/>
      <c r="R1756" s="49"/>
      <c r="S1756" s="49"/>
      <c r="T1756" s="49"/>
      <c r="U1756" s="49"/>
      <c r="V1756" s="49"/>
      <c r="W1756" s="49"/>
    </row>
    <row r="1757" spans="1:23">
      <c r="A1757" s="49"/>
      <c r="B1757" s="49"/>
      <c r="C1757" s="49"/>
      <c r="D1757" s="49"/>
      <c r="E1757" s="49"/>
      <c r="F1757" s="55"/>
      <c r="G1757" s="55"/>
      <c r="H1757" s="49"/>
      <c r="I1757" s="49"/>
      <c r="J1757" s="49"/>
      <c r="K1757" s="49"/>
      <c r="L1757" s="49"/>
      <c r="M1757" s="49"/>
      <c r="N1757" s="49"/>
      <c r="O1757" s="49"/>
      <c r="P1757" s="49"/>
      <c r="Q1757" s="49"/>
      <c r="R1757" s="49"/>
      <c r="S1757" s="49"/>
      <c r="T1757" s="49"/>
      <c r="U1757" s="49"/>
      <c r="V1757" s="49"/>
      <c r="W1757" s="49"/>
    </row>
    <row r="1758" spans="1:23">
      <c r="A1758" s="49"/>
      <c r="B1758" s="49"/>
      <c r="C1758" s="49"/>
      <c r="D1758" s="49"/>
      <c r="E1758" s="49"/>
      <c r="F1758" s="55"/>
      <c r="G1758" s="55"/>
      <c r="H1758" s="49"/>
      <c r="I1758" s="49"/>
      <c r="J1758" s="49"/>
      <c r="K1758" s="49"/>
      <c r="L1758" s="49"/>
      <c r="M1758" s="49"/>
      <c r="N1758" s="49"/>
      <c r="O1758" s="49"/>
      <c r="P1758" s="49"/>
      <c r="Q1758" s="49"/>
      <c r="R1758" s="49"/>
      <c r="S1758" s="49"/>
      <c r="T1758" s="49"/>
      <c r="U1758" s="49"/>
      <c r="V1758" s="49"/>
      <c r="W1758" s="49"/>
    </row>
    <row r="1759" spans="1:23">
      <c r="A1759" s="49"/>
      <c r="B1759" s="49"/>
      <c r="C1759" s="49"/>
      <c r="D1759" s="49"/>
      <c r="E1759" s="49"/>
      <c r="F1759" s="55"/>
      <c r="G1759" s="55"/>
      <c r="H1759" s="49"/>
      <c r="I1759" s="49"/>
      <c r="J1759" s="49"/>
      <c r="K1759" s="49"/>
      <c r="L1759" s="49"/>
      <c r="M1759" s="49"/>
      <c r="N1759" s="49"/>
      <c r="O1759" s="49"/>
      <c r="P1759" s="49"/>
      <c r="Q1759" s="49"/>
      <c r="R1759" s="49"/>
      <c r="S1759" s="49"/>
      <c r="T1759" s="49"/>
      <c r="U1759" s="49"/>
      <c r="V1759" s="49"/>
      <c r="W1759" s="49"/>
    </row>
    <row r="1760" spans="1:23">
      <c r="A1760" s="49"/>
      <c r="B1760" s="49"/>
      <c r="C1760" s="49"/>
      <c r="D1760" s="49"/>
      <c r="E1760" s="49"/>
      <c r="F1760" s="55"/>
      <c r="G1760" s="55"/>
      <c r="H1760" s="49"/>
      <c r="I1760" s="49"/>
      <c r="J1760" s="49"/>
      <c r="K1760" s="49"/>
      <c r="L1760" s="49"/>
      <c r="M1760" s="49"/>
      <c r="N1760" s="49"/>
      <c r="O1760" s="49"/>
      <c r="P1760" s="49"/>
      <c r="Q1760" s="49"/>
      <c r="R1760" s="49"/>
      <c r="S1760" s="49"/>
      <c r="T1760" s="49"/>
      <c r="U1760" s="49"/>
      <c r="V1760" s="49"/>
      <c r="W1760" s="49"/>
    </row>
    <row r="1761" spans="1:23">
      <c r="A1761" s="49"/>
      <c r="B1761" s="49"/>
      <c r="C1761" s="49"/>
      <c r="D1761" s="49"/>
      <c r="E1761" s="49"/>
      <c r="F1761" s="55"/>
      <c r="G1761" s="55"/>
      <c r="H1761" s="49"/>
      <c r="I1761" s="49"/>
      <c r="J1761" s="49"/>
      <c r="K1761" s="49"/>
      <c r="L1761" s="49"/>
      <c r="M1761" s="49"/>
      <c r="N1761" s="49"/>
      <c r="O1761" s="49"/>
      <c r="P1761" s="49"/>
      <c r="Q1761" s="49"/>
      <c r="R1761" s="49"/>
      <c r="S1761" s="49"/>
      <c r="T1761" s="49"/>
      <c r="U1761" s="49"/>
      <c r="V1761" s="49"/>
      <c r="W1761" s="49"/>
    </row>
    <row r="1762" spans="1:23">
      <c r="A1762" s="49"/>
      <c r="B1762" s="49"/>
      <c r="C1762" s="49"/>
      <c r="D1762" s="49"/>
      <c r="E1762" s="49"/>
      <c r="F1762" s="55"/>
      <c r="G1762" s="55"/>
      <c r="H1762" s="49"/>
      <c r="I1762" s="49"/>
      <c r="J1762" s="49"/>
      <c r="K1762" s="49"/>
      <c r="L1762" s="49"/>
      <c r="M1762" s="49"/>
      <c r="N1762" s="49"/>
      <c r="O1762" s="49"/>
      <c r="P1762" s="49"/>
      <c r="Q1762" s="49"/>
      <c r="R1762" s="49"/>
      <c r="S1762" s="49"/>
      <c r="T1762" s="49"/>
      <c r="U1762" s="49"/>
      <c r="V1762" s="49"/>
      <c r="W1762" s="49"/>
    </row>
    <row r="1763" spans="1:23">
      <c r="A1763" s="49"/>
      <c r="B1763" s="49"/>
      <c r="C1763" s="49"/>
      <c r="D1763" s="49"/>
      <c r="E1763" s="49"/>
      <c r="F1763" s="55"/>
      <c r="G1763" s="55"/>
      <c r="H1763" s="49"/>
      <c r="I1763" s="49"/>
      <c r="J1763" s="49"/>
      <c r="K1763" s="49"/>
      <c r="L1763" s="49"/>
      <c r="M1763" s="49"/>
      <c r="N1763" s="49"/>
      <c r="O1763" s="49"/>
      <c r="P1763" s="49"/>
      <c r="Q1763" s="49"/>
      <c r="R1763" s="49"/>
      <c r="S1763" s="49"/>
      <c r="T1763" s="49"/>
      <c r="U1763" s="49"/>
      <c r="V1763" s="49"/>
      <c r="W1763" s="49"/>
    </row>
    <row r="1764" spans="1:23">
      <c r="A1764" s="49"/>
      <c r="B1764" s="49"/>
      <c r="C1764" s="49"/>
      <c r="D1764" s="49"/>
      <c r="E1764" s="49"/>
      <c r="F1764" s="55"/>
      <c r="G1764" s="55"/>
      <c r="H1764" s="49"/>
      <c r="I1764" s="49"/>
      <c r="J1764" s="49"/>
      <c r="K1764" s="49"/>
      <c r="L1764" s="49"/>
      <c r="M1764" s="49"/>
      <c r="N1764" s="49"/>
      <c r="O1764" s="49"/>
      <c r="P1764" s="49"/>
      <c r="Q1764" s="49"/>
      <c r="R1764" s="49"/>
      <c r="S1764" s="49"/>
      <c r="T1764" s="49"/>
      <c r="U1764" s="49"/>
      <c r="V1764" s="49"/>
      <c r="W1764" s="49"/>
    </row>
    <row r="1765" spans="1:23">
      <c r="A1765" s="49"/>
      <c r="B1765" s="49"/>
      <c r="C1765" s="49"/>
      <c r="D1765" s="49"/>
      <c r="E1765" s="49"/>
      <c r="F1765" s="55"/>
      <c r="G1765" s="55"/>
      <c r="H1765" s="49"/>
      <c r="I1765" s="49"/>
      <c r="J1765" s="49"/>
      <c r="K1765" s="49"/>
      <c r="L1765" s="49"/>
      <c r="M1765" s="49"/>
      <c r="N1765" s="49"/>
      <c r="O1765" s="49"/>
      <c r="P1765" s="49"/>
      <c r="Q1765" s="49"/>
      <c r="R1765" s="49"/>
      <c r="S1765" s="49"/>
      <c r="T1765" s="49"/>
      <c r="U1765" s="49"/>
      <c r="V1765" s="49"/>
      <c r="W1765" s="49"/>
    </row>
    <row r="1766" spans="1:23">
      <c r="A1766" s="49"/>
      <c r="B1766" s="49"/>
      <c r="C1766" s="49"/>
      <c r="D1766" s="49"/>
      <c r="E1766" s="49"/>
      <c r="F1766" s="55"/>
      <c r="G1766" s="55"/>
      <c r="H1766" s="49"/>
      <c r="I1766" s="49"/>
      <c r="J1766" s="49"/>
      <c r="K1766" s="49"/>
      <c r="L1766" s="49"/>
      <c r="M1766" s="49"/>
      <c r="N1766" s="49"/>
      <c r="O1766" s="49"/>
      <c r="P1766" s="49"/>
      <c r="Q1766" s="49"/>
      <c r="R1766" s="49"/>
      <c r="S1766" s="49"/>
      <c r="T1766" s="49"/>
      <c r="U1766" s="49"/>
      <c r="V1766" s="49"/>
      <c r="W1766" s="49"/>
    </row>
    <row r="1767" spans="1:23">
      <c r="A1767" s="49"/>
      <c r="B1767" s="49"/>
      <c r="C1767" s="49"/>
      <c r="D1767" s="49"/>
      <c r="E1767" s="49"/>
      <c r="F1767" s="55"/>
      <c r="G1767" s="55"/>
      <c r="H1767" s="49"/>
      <c r="I1767" s="49"/>
      <c r="J1767" s="49"/>
      <c r="K1767" s="49"/>
      <c r="L1767" s="49"/>
      <c r="M1767" s="49"/>
      <c r="N1767" s="49"/>
      <c r="O1767" s="49"/>
      <c r="P1767" s="49"/>
      <c r="Q1767" s="49"/>
      <c r="R1767" s="49"/>
      <c r="S1767" s="49"/>
      <c r="T1767" s="49"/>
      <c r="U1767" s="49"/>
      <c r="V1767" s="49"/>
      <c r="W1767" s="49"/>
    </row>
    <row r="1768" spans="1:23">
      <c r="A1768" s="49"/>
      <c r="B1768" s="49"/>
      <c r="C1768" s="49"/>
      <c r="D1768" s="49"/>
      <c r="E1768" s="49"/>
      <c r="F1768" s="55"/>
      <c r="G1768" s="55"/>
      <c r="H1768" s="49"/>
      <c r="I1768" s="49"/>
      <c r="J1768" s="49"/>
      <c r="K1768" s="49"/>
      <c r="L1768" s="49"/>
      <c r="M1768" s="49"/>
      <c r="N1768" s="49"/>
      <c r="O1768" s="49"/>
      <c r="P1768" s="49"/>
      <c r="Q1768" s="49"/>
      <c r="R1768" s="49"/>
      <c r="S1768" s="49"/>
      <c r="T1768" s="49"/>
      <c r="U1768" s="49"/>
      <c r="V1768" s="49"/>
      <c r="W1768" s="49"/>
    </row>
    <row r="1769" spans="1:23">
      <c r="A1769" s="49"/>
      <c r="B1769" s="49"/>
      <c r="C1769" s="49"/>
      <c r="D1769" s="49"/>
      <c r="E1769" s="49"/>
      <c r="F1769" s="55"/>
      <c r="G1769" s="55"/>
      <c r="H1769" s="49"/>
      <c r="I1769" s="49"/>
      <c r="J1769" s="49"/>
      <c r="K1769" s="49"/>
      <c r="L1769" s="49"/>
      <c r="M1769" s="49"/>
      <c r="N1769" s="49"/>
      <c r="O1769" s="49"/>
      <c r="P1769" s="49"/>
      <c r="Q1769" s="49"/>
      <c r="R1769" s="49"/>
      <c r="S1769" s="49"/>
      <c r="T1769" s="49"/>
      <c r="U1769" s="49"/>
      <c r="V1769" s="49"/>
      <c r="W1769" s="49"/>
    </row>
    <row r="1770" spans="1:23">
      <c r="A1770" s="49"/>
      <c r="B1770" s="49"/>
      <c r="C1770" s="49"/>
      <c r="D1770" s="49"/>
      <c r="E1770" s="49"/>
      <c r="F1770" s="55"/>
      <c r="G1770" s="55"/>
      <c r="H1770" s="49"/>
      <c r="I1770" s="49"/>
      <c r="J1770" s="49"/>
      <c r="K1770" s="49"/>
      <c r="L1770" s="49"/>
      <c r="M1770" s="49"/>
      <c r="N1770" s="49"/>
      <c r="O1770" s="49"/>
      <c r="P1770" s="49"/>
      <c r="Q1770" s="49"/>
      <c r="R1770" s="49"/>
      <c r="S1770" s="49"/>
      <c r="T1770" s="49"/>
      <c r="U1770" s="49"/>
      <c r="V1770" s="49"/>
      <c r="W1770" s="49"/>
    </row>
    <row r="1771" spans="1:23">
      <c r="A1771" s="49"/>
      <c r="B1771" s="49"/>
      <c r="C1771" s="49"/>
      <c r="D1771" s="49"/>
      <c r="E1771" s="49"/>
      <c r="F1771" s="55"/>
      <c r="G1771" s="55"/>
      <c r="H1771" s="49"/>
      <c r="I1771" s="49"/>
      <c r="J1771" s="49"/>
      <c r="K1771" s="49"/>
      <c r="L1771" s="49"/>
      <c r="M1771" s="49"/>
      <c r="N1771" s="49"/>
      <c r="O1771" s="49"/>
      <c r="P1771" s="49"/>
      <c r="Q1771" s="49"/>
      <c r="R1771" s="49"/>
      <c r="S1771" s="49"/>
      <c r="T1771" s="49"/>
      <c r="U1771" s="49"/>
      <c r="V1771" s="49"/>
      <c r="W1771" s="49"/>
    </row>
    <row r="1772" spans="1:23">
      <c r="A1772" s="49"/>
      <c r="B1772" s="49"/>
      <c r="C1772" s="49"/>
      <c r="D1772" s="49"/>
      <c r="E1772" s="49"/>
      <c r="F1772" s="55"/>
      <c r="G1772" s="55"/>
      <c r="H1772" s="49"/>
      <c r="I1772" s="49"/>
      <c r="J1772" s="49"/>
      <c r="K1772" s="49"/>
      <c r="L1772" s="49"/>
      <c r="M1772" s="49"/>
      <c r="N1772" s="49"/>
      <c r="O1772" s="49"/>
      <c r="P1772" s="49"/>
      <c r="Q1772" s="49"/>
      <c r="R1772" s="49"/>
      <c r="S1772" s="49"/>
      <c r="T1772" s="49"/>
      <c r="U1772" s="49"/>
      <c r="V1772" s="49"/>
      <c r="W1772" s="49"/>
    </row>
    <row r="1773" spans="1:23">
      <c r="A1773" s="49"/>
      <c r="B1773" s="49"/>
      <c r="C1773" s="49"/>
      <c r="D1773" s="49"/>
      <c r="E1773" s="49"/>
      <c r="F1773" s="55"/>
      <c r="G1773" s="55"/>
      <c r="H1773" s="49"/>
      <c r="I1773" s="49"/>
      <c r="J1773" s="49"/>
      <c r="K1773" s="49"/>
      <c r="L1773" s="49"/>
      <c r="M1773" s="49"/>
      <c r="N1773" s="49"/>
      <c r="O1773" s="49"/>
      <c r="P1773" s="49"/>
      <c r="Q1773" s="49"/>
      <c r="R1773" s="49"/>
      <c r="S1773" s="49"/>
      <c r="T1773" s="49"/>
      <c r="U1773" s="49"/>
      <c r="V1773" s="49"/>
      <c r="W1773" s="49"/>
    </row>
    <row r="1774" spans="1:23">
      <c r="A1774" s="49"/>
      <c r="B1774" s="49"/>
      <c r="C1774" s="49"/>
      <c r="D1774" s="49"/>
      <c r="E1774" s="49"/>
      <c r="F1774" s="55"/>
      <c r="G1774" s="55"/>
      <c r="H1774" s="49"/>
      <c r="I1774" s="49"/>
      <c r="J1774" s="49"/>
      <c r="K1774" s="49"/>
      <c r="L1774" s="49"/>
      <c r="M1774" s="49"/>
      <c r="N1774" s="49"/>
      <c r="O1774" s="49"/>
      <c r="P1774" s="49"/>
      <c r="Q1774" s="49"/>
      <c r="R1774" s="49"/>
      <c r="S1774" s="49"/>
      <c r="T1774" s="49"/>
      <c r="U1774" s="49"/>
      <c r="V1774" s="49"/>
      <c r="W1774" s="49"/>
    </row>
    <row r="1775" spans="1:23">
      <c r="A1775" s="49"/>
      <c r="B1775" s="49"/>
      <c r="C1775" s="49"/>
      <c r="D1775" s="49"/>
      <c r="E1775" s="49"/>
      <c r="F1775" s="55"/>
      <c r="G1775" s="55"/>
      <c r="H1775" s="49"/>
      <c r="I1775" s="49"/>
      <c r="J1775" s="49"/>
      <c r="K1775" s="49"/>
      <c r="L1775" s="49"/>
      <c r="M1775" s="49"/>
      <c r="N1775" s="49"/>
      <c r="O1775" s="49"/>
      <c r="P1775" s="49"/>
      <c r="Q1775" s="49"/>
      <c r="R1775" s="49"/>
      <c r="S1775" s="49"/>
      <c r="T1775" s="49"/>
      <c r="U1775" s="49"/>
      <c r="V1775" s="49"/>
      <c r="W1775" s="49"/>
    </row>
    <row r="1776" spans="1:23">
      <c r="A1776" s="49"/>
      <c r="B1776" s="49"/>
      <c r="C1776" s="49"/>
      <c r="D1776" s="49"/>
      <c r="E1776" s="49"/>
      <c r="F1776" s="55"/>
      <c r="G1776" s="55"/>
      <c r="H1776" s="49"/>
      <c r="I1776" s="49"/>
      <c r="J1776" s="49"/>
      <c r="K1776" s="49"/>
      <c r="L1776" s="49"/>
      <c r="M1776" s="49"/>
      <c r="N1776" s="49"/>
      <c r="O1776" s="49"/>
      <c r="P1776" s="49"/>
      <c r="Q1776" s="49"/>
      <c r="R1776" s="49"/>
      <c r="S1776" s="49"/>
      <c r="T1776" s="49"/>
      <c r="U1776" s="49"/>
      <c r="V1776" s="49"/>
      <c r="W1776" s="49"/>
    </row>
    <row r="1777" spans="1:23">
      <c r="A1777" s="49"/>
      <c r="B1777" s="49"/>
      <c r="C1777" s="49"/>
      <c r="D1777" s="49"/>
      <c r="E1777" s="49"/>
      <c r="F1777" s="55"/>
      <c r="G1777" s="55"/>
      <c r="H1777" s="49"/>
      <c r="I1777" s="49"/>
      <c r="J1777" s="49"/>
      <c r="K1777" s="49"/>
      <c r="L1777" s="49"/>
      <c r="M1777" s="49"/>
      <c r="N1777" s="49"/>
      <c r="O1777" s="49"/>
      <c r="P1777" s="49"/>
      <c r="Q1777" s="49"/>
      <c r="R1777" s="49"/>
      <c r="S1777" s="49"/>
      <c r="T1777" s="49"/>
      <c r="U1777" s="49"/>
      <c r="V1777" s="49"/>
      <c r="W1777" s="49"/>
    </row>
    <row r="1778" spans="1:23">
      <c r="A1778" s="49"/>
      <c r="B1778" s="49"/>
      <c r="C1778" s="49"/>
      <c r="D1778" s="49"/>
      <c r="E1778" s="49"/>
      <c r="F1778" s="55"/>
      <c r="G1778" s="55"/>
      <c r="H1778" s="49"/>
      <c r="I1778" s="49"/>
      <c r="J1778" s="49"/>
      <c r="K1778" s="49"/>
      <c r="L1778" s="49"/>
      <c r="M1778" s="49"/>
      <c r="N1778" s="49"/>
      <c r="O1778" s="49"/>
      <c r="P1778" s="49"/>
      <c r="Q1778" s="49"/>
      <c r="R1778" s="49"/>
      <c r="S1778" s="49"/>
      <c r="T1778" s="49"/>
      <c r="U1778" s="49"/>
      <c r="V1778" s="49"/>
      <c r="W1778" s="49"/>
    </row>
    <row r="1779" spans="1:23">
      <c r="A1779" s="49"/>
      <c r="B1779" s="49"/>
      <c r="C1779" s="49"/>
      <c r="D1779" s="49"/>
      <c r="E1779" s="49"/>
      <c r="F1779" s="55"/>
      <c r="G1779" s="55"/>
      <c r="H1779" s="49"/>
      <c r="I1779" s="49"/>
      <c r="J1779" s="49"/>
      <c r="K1779" s="49"/>
      <c r="L1779" s="49"/>
      <c r="M1779" s="49"/>
      <c r="N1779" s="49"/>
      <c r="O1779" s="49"/>
      <c r="P1779" s="49"/>
      <c r="Q1779" s="49"/>
      <c r="R1779" s="49"/>
      <c r="S1779" s="49"/>
      <c r="T1779" s="49"/>
      <c r="U1779" s="49"/>
      <c r="V1779" s="49"/>
      <c r="W1779" s="49"/>
    </row>
    <row r="1780" spans="1:23">
      <c r="A1780" s="49"/>
      <c r="B1780" s="49"/>
      <c r="C1780" s="49"/>
      <c r="D1780" s="49"/>
      <c r="E1780" s="49"/>
      <c r="F1780" s="55"/>
      <c r="G1780" s="55"/>
      <c r="H1780" s="49"/>
      <c r="I1780" s="49"/>
      <c r="J1780" s="49"/>
      <c r="K1780" s="49"/>
      <c r="L1780" s="49"/>
      <c r="M1780" s="49"/>
      <c r="N1780" s="49"/>
      <c r="O1780" s="49"/>
      <c r="P1780" s="49"/>
      <c r="Q1780" s="49"/>
      <c r="R1780" s="49"/>
      <c r="S1780" s="49"/>
      <c r="T1780" s="49"/>
      <c r="U1780" s="49"/>
      <c r="V1780" s="49"/>
      <c r="W1780" s="49"/>
    </row>
    <row r="1781" spans="1:23">
      <c r="A1781" s="49"/>
      <c r="B1781" s="49"/>
      <c r="C1781" s="49"/>
      <c r="D1781" s="49"/>
      <c r="E1781" s="49"/>
      <c r="F1781" s="55"/>
      <c r="G1781" s="55"/>
      <c r="H1781" s="49"/>
      <c r="I1781" s="49"/>
      <c r="J1781" s="49"/>
      <c r="K1781" s="49"/>
      <c r="L1781" s="49"/>
      <c r="M1781" s="49"/>
      <c r="N1781" s="49"/>
      <c r="O1781" s="49"/>
      <c r="P1781" s="49"/>
      <c r="Q1781" s="49"/>
      <c r="R1781" s="49"/>
      <c r="S1781" s="49"/>
      <c r="T1781" s="49"/>
      <c r="U1781" s="49"/>
      <c r="V1781" s="49"/>
      <c r="W1781" s="49"/>
    </row>
    <row r="1782" spans="1:23">
      <c r="A1782" s="49"/>
      <c r="B1782" s="49"/>
      <c r="C1782" s="49"/>
      <c r="D1782" s="49"/>
      <c r="E1782" s="49"/>
      <c r="F1782" s="55"/>
      <c r="G1782" s="55"/>
      <c r="H1782" s="49"/>
      <c r="I1782" s="49"/>
      <c r="J1782" s="49"/>
      <c r="K1782" s="49"/>
      <c r="L1782" s="49"/>
      <c r="M1782" s="49"/>
      <c r="N1782" s="49"/>
      <c r="O1782" s="49"/>
      <c r="P1782" s="49"/>
      <c r="Q1782" s="49"/>
      <c r="R1782" s="49"/>
      <c r="S1782" s="49"/>
      <c r="T1782" s="49"/>
      <c r="U1782" s="49"/>
      <c r="V1782" s="49"/>
      <c r="W1782" s="49"/>
    </row>
    <row r="1783" spans="1:23">
      <c r="A1783" s="49"/>
      <c r="B1783" s="49"/>
      <c r="C1783" s="49"/>
      <c r="D1783" s="49"/>
      <c r="E1783" s="49"/>
      <c r="F1783" s="55"/>
      <c r="G1783" s="55"/>
      <c r="H1783" s="49"/>
      <c r="I1783" s="49"/>
      <c r="J1783" s="49"/>
      <c r="K1783" s="49"/>
      <c r="L1783" s="49"/>
      <c r="M1783" s="49"/>
      <c r="N1783" s="49"/>
      <c r="O1783" s="49"/>
      <c r="P1783" s="49"/>
      <c r="Q1783" s="49"/>
      <c r="R1783" s="49"/>
      <c r="S1783" s="49"/>
      <c r="T1783" s="49"/>
      <c r="U1783" s="49"/>
      <c r="V1783" s="49"/>
      <c r="W1783" s="49"/>
    </row>
    <row r="1784" spans="1:23">
      <c r="A1784" s="49"/>
      <c r="B1784" s="49"/>
      <c r="C1784" s="49"/>
      <c r="D1784" s="49"/>
      <c r="E1784" s="49"/>
      <c r="F1784" s="55"/>
      <c r="G1784" s="55"/>
      <c r="H1784" s="49"/>
      <c r="I1784" s="49"/>
      <c r="J1784" s="49"/>
      <c r="K1784" s="49"/>
      <c r="L1784" s="49"/>
      <c r="M1784" s="49"/>
      <c r="N1784" s="49"/>
      <c r="O1784" s="49"/>
      <c r="P1784" s="49"/>
      <c r="Q1784" s="49"/>
      <c r="R1784" s="49"/>
      <c r="S1784" s="49"/>
      <c r="T1784" s="49"/>
      <c r="U1784" s="49"/>
      <c r="V1784" s="49"/>
      <c r="W1784" s="49"/>
    </row>
    <row r="1785" spans="1:23">
      <c r="A1785" s="49"/>
      <c r="B1785" s="49"/>
      <c r="C1785" s="49"/>
      <c r="D1785" s="49"/>
      <c r="E1785" s="49"/>
      <c r="F1785" s="55"/>
      <c r="G1785" s="55"/>
      <c r="H1785" s="49"/>
      <c r="I1785" s="49"/>
      <c r="J1785" s="49"/>
      <c r="K1785" s="49"/>
      <c r="L1785" s="49"/>
      <c r="M1785" s="49"/>
      <c r="N1785" s="49"/>
      <c r="O1785" s="49"/>
      <c r="P1785" s="49"/>
      <c r="Q1785" s="49"/>
      <c r="R1785" s="49"/>
      <c r="S1785" s="49"/>
      <c r="T1785" s="49"/>
      <c r="U1785" s="49"/>
      <c r="V1785" s="49"/>
      <c r="W1785" s="49"/>
    </row>
    <row r="1786" spans="1:23">
      <c r="A1786" s="49"/>
      <c r="B1786" s="49"/>
      <c r="C1786" s="49"/>
      <c r="D1786" s="49"/>
      <c r="E1786" s="49"/>
      <c r="F1786" s="55"/>
      <c r="G1786" s="55"/>
      <c r="H1786" s="49"/>
      <c r="I1786" s="49"/>
      <c r="J1786" s="49"/>
      <c r="K1786" s="49"/>
      <c r="L1786" s="49"/>
      <c r="M1786" s="49"/>
      <c r="N1786" s="49"/>
      <c r="O1786" s="49"/>
      <c r="P1786" s="49"/>
      <c r="Q1786" s="49"/>
      <c r="R1786" s="49"/>
      <c r="S1786" s="49"/>
      <c r="T1786" s="49"/>
      <c r="U1786" s="49"/>
      <c r="V1786" s="49"/>
      <c r="W1786" s="49"/>
    </row>
    <row r="1787" spans="1:23">
      <c r="A1787" s="49"/>
      <c r="B1787" s="49"/>
      <c r="C1787" s="49"/>
      <c r="D1787" s="49"/>
      <c r="E1787" s="49"/>
      <c r="F1787" s="55"/>
      <c r="G1787" s="55"/>
      <c r="H1787" s="49"/>
      <c r="I1787" s="49"/>
      <c r="J1787" s="49"/>
      <c r="K1787" s="49"/>
      <c r="L1787" s="49"/>
      <c r="M1787" s="49"/>
      <c r="N1787" s="49"/>
      <c r="O1787" s="49"/>
      <c r="P1787" s="49"/>
      <c r="Q1787" s="49"/>
      <c r="R1787" s="49"/>
      <c r="S1787" s="49"/>
      <c r="T1787" s="49"/>
      <c r="U1787" s="49"/>
      <c r="V1787" s="49"/>
      <c r="W1787" s="49"/>
    </row>
    <row r="1788" spans="1:23">
      <c r="A1788" s="49"/>
      <c r="B1788" s="49"/>
      <c r="C1788" s="49"/>
      <c r="D1788" s="49"/>
      <c r="E1788" s="49"/>
      <c r="F1788" s="55"/>
      <c r="G1788" s="55"/>
      <c r="H1788" s="49"/>
      <c r="I1788" s="49"/>
      <c r="J1788" s="49"/>
      <c r="K1788" s="49"/>
      <c r="L1788" s="49"/>
      <c r="M1788" s="49"/>
      <c r="N1788" s="49"/>
      <c r="O1788" s="49"/>
      <c r="P1788" s="49"/>
      <c r="Q1788" s="49"/>
      <c r="R1788" s="49"/>
      <c r="S1788" s="49"/>
      <c r="T1788" s="49"/>
      <c r="U1788" s="49"/>
      <c r="V1788" s="49"/>
      <c r="W1788" s="49"/>
    </row>
    <row r="1789" spans="1:23">
      <c r="A1789" s="49"/>
      <c r="B1789" s="49"/>
      <c r="C1789" s="49"/>
      <c r="D1789" s="49"/>
      <c r="E1789" s="49"/>
      <c r="F1789" s="55"/>
      <c r="G1789" s="55"/>
      <c r="H1789" s="49"/>
      <c r="I1789" s="49"/>
      <c r="J1789" s="49"/>
      <c r="K1789" s="49"/>
      <c r="L1789" s="49"/>
      <c r="M1789" s="49"/>
      <c r="N1789" s="49"/>
      <c r="O1789" s="49"/>
      <c r="P1789" s="49"/>
      <c r="Q1789" s="49"/>
      <c r="R1789" s="49"/>
      <c r="S1789" s="49"/>
      <c r="T1789" s="49"/>
      <c r="U1789" s="49"/>
      <c r="V1789" s="49"/>
      <c r="W1789" s="49"/>
    </row>
    <row r="1790" spans="1:23">
      <c r="A1790" s="49"/>
      <c r="B1790" s="49"/>
      <c r="C1790" s="49"/>
      <c r="D1790" s="49"/>
      <c r="E1790" s="49"/>
      <c r="F1790" s="55"/>
      <c r="G1790" s="55"/>
      <c r="H1790" s="49"/>
      <c r="I1790" s="49"/>
      <c r="J1790" s="49"/>
      <c r="K1790" s="49"/>
      <c r="L1790" s="49"/>
      <c r="M1790" s="49"/>
      <c r="N1790" s="49"/>
      <c r="O1790" s="49"/>
      <c r="P1790" s="49"/>
      <c r="Q1790" s="49"/>
      <c r="R1790" s="49"/>
      <c r="S1790" s="49"/>
      <c r="T1790" s="49"/>
      <c r="U1790" s="49"/>
      <c r="V1790" s="49"/>
      <c r="W1790" s="49"/>
    </row>
    <row r="1791" spans="1:23">
      <c r="A1791" s="49"/>
      <c r="B1791" s="49"/>
      <c r="C1791" s="49"/>
      <c r="D1791" s="49"/>
      <c r="E1791" s="49"/>
      <c r="F1791" s="55"/>
      <c r="G1791" s="55"/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/>
      <c r="S1791" s="49"/>
      <c r="T1791" s="49"/>
      <c r="U1791" s="49"/>
      <c r="V1791" s="49"/>
      <c r="W1791" s="49"/>
    </row>
    <row r="1792" spans="1:23">
      <c r="A1792" s="49"/>
      <c r="B1792" s="49"/>
      <c r="C1792" s="49"/>
      <c r="D1792" s="49"/>
      <c r="E1792" s="49"/>
      <c r="F1792" s="55"/>
      <c r="G1792" s="55"/>
      <c r="H1792" s="49"/>
      <c r="I1792" s="49"/>
      <c r="J1792" s="49"/>
      <c r="K1792" s="49"/>
      <c r="L1792" s="49"/>
      <c r="M1792" s="49"/>
      <c r="N1792" s="49"/>
      <c r="O1792" s="49"/>
      <c r="P1792" s="49"/>
      <c r="Q1792" s="49"/>
      <c r="R1792" s="49"/>
      <c r="S1792" s="49"/>
      <c r="T1792" s="49"/>
      <c r="U1792" s="49"/>
      <c r="V1792" s="49"/>
      <c r="W1792" s="49"/>
    </row>
    <row r="1793" spans="1:23">
      <c r="A1793" s="49"/>
      <c r="B1793" s="49"/>
      <c r="C1793" s="49"/>
      <c r="D1793" s="49"/>
      <c r="E1793" s="49"/>
      <c r="F1793" s="55"/>
      <c r="G1793" s="55"/>
      <c r="H1793" s="49"/>
      <c r="I1793" s="49"/>
      <c r="J1793" s="49"/>
      <c r="K1793" s="49"/>
      <c r="L1793" s="49"/>
      <c r="M1793" s="49"/>
      <c r="N1793" s="49"/>
      <c r="O1793" s="49"/>
      <c r="P1793" s="49"/>
      <c r="Q1793" s="49"/>
      <c r="R1793" s="49"/>
      <c r="S1793" s="49"/>
      <c r="T1793" s="49"/>
      <c r="U1793" s="49"/>
      <c r="V1793" s="49"/>
      <c r="W1793" s="49"/>
    </row>
    <row r="1794" spans="1:23">
      <c r="A1794" s="49"/>
      <c r="B1794" s="49"/>
      <c r="C1794" s="49"/>
      <c r="D1794" s="49"/>
      <c r="E1794" s="49"/>
      <c r="F1794" s="55"/>
      <c r="G1794" s="55"/>
      <c r="H1794" s="49"/>
      <c r="I1794" s="49"/>
      <c r="J1794" s="49"/>
      <c r="K1794" s="49"/>
      <c r="L1794" s="49"/>
      <c r="M1794" s="49"/>
      <c r="N1794" s="49"/>
      <c r="O1794" s="49"/>
      <c r="P1794" s="49"/>
      <c r="Q1794" s="49"/>
      <c r="R1794" s="49"/>
      <c r="S1794" s="49"/>
      <c r="T1794" s="49"/>
      <c r="U1794" s="49"/>
      <c r="V1794" s="49"/>
      <c r="W1794" s="49"/>
    </row>
    <row r="1795" spans="1:23">
      <c r="A1795" s="49"/>
      <c r="B1795" s="49"/>
      <c r="C1795" s="49"/>
      <c r="D1795" s="49"/>
      <c r="E1795" s="49"/>
      <c r="F1795" s="55"/>
      <c r="G1795" s="55"/>
      <c r="H1795" s="49"/>
      <c r="I1795" s="49"/>
      <c r="J1795" s="49"/>
      <c r="K1795" s="49"/>
      <c r="L1795" s="49"/>
      <c r="M1795" s="49"/>
      <c r="N1795" s="49"/>
      <c r="O1795" s="49"/>
      <c r="P1795" s="49"/>
      <c r="Q1795" s="49"/>
      <c r="R1795" s="49"/>
      <c r="S1795" s="49"/>
      <c r="T1795" s="49"/>
      <c r="U1795" s="49"/>
      <c r="V1795" s="49"/>
      <c r="W1795" s="49"/>
    </row>
    <row r="1796" spans="1:23">
      <c r="A1796" s="49"/>
      <c r="B1796" s="49"/>
      <c r="C1796" s="49"/>
      <c r="D1796" s="49"/>
      <c r="E1796" s="49"/>
      <c r="F1796" s="55"/>
      <c r="G1796" s="55"/>
      <c r="H1796" s="49"/>
      <c r="I1796" s="49"/>
      <c r="J1796" s="49"/>
      <c r="K1796" s="49"/>
      <c r="L1796" s="49"/>
      <c r="M1796" s="49"/>
      <c r="N1796" s="49"/>
      <c r="O1796" s="49"/>
      <c r="P1796" s="49"/>
      <c r="Q1796" s="49"/>
      <c r="R1796" s="49"/>
      <c r="S1796" s="49"/>
      <c r="T1796" s="49"/>
      <c r="U1796" s="49"/>
      <c r="V1796" s="49"/>
      <c r="W1796" s="49"/>
    </row>
    <row r="1797" spans="1:23">
      <c r="A1797" s="49"/>
      <c r="B1797" s="49"/>
      <c r="C1797" s="49"/>
      <c r="D1797" s="49"/>
      <c r="E1797" s="49"/>
      <c r="F1797" s="55"/>
      <c r="G1797" s="55"/>
      <c r="H1797" s="49"/>
      <c r="I1797" s="49"/>
      <c r="J1797" s="49"/>
      <c r="K1797" s="49"/>
      <c r="L1797" s="49"/>
      <c r="M1797" s="49"/>
      <c r="N1797" s="49"/>
      <c r="O1797" s="49"/>
      <c r="P1797" s="49"/>
      <c r="Q1797" s="49"/>
      <c r="R1797" s="49"/>
      <c r="S1797" s="49"/>
      <c r="T1797" s="49"/>
      <c r="U1797" s="49"/>
      <c r="V1797" s="49"/>
      <c r="W1797" s="49"/>
    </row>
    <row r="1798" spans="1:23">
      <c r="A1798" s="49"/>
      <c r="B1798" s="49"/>
      <c r="C1798" s="49"/>
      <c r="D1798" s="49"/>
      <c r="E1798" s="49"/>
      <c r="F1798" s="55"/>
      <c r="G1798" s="55"/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/>
      <c r="S1798" s="49"/>
      <c r="T1798" s="49"/>
      <c r="U1798" s="49"/>
      <c r="V1798" s="49"/>
      <c r="W1798" s="49"/>
    </row>
    <row r="1799" spans="1:23">
      <c r="A1799" s="49"/>
      <c r="B1799" s="49"/>
      <c r="C1799" s="49"/>
      <c r="D1799" s="49"/>
      <c r="E1799" s="49"/>
      <c r="F1799" s="55"/>
      <c r="G1799" s="55"/>
      <c r="H1799" s="49"/>
      <c r="I1799" s="49"/>
      <c r="J1799" s="49"/>
      <c r="K1799" s="49"/>
      <c r="L1799" s="49"/>
      <c r="M1799" s="49"/>
      <c r="N1799" s="49"/>
      <c r="O1799" s="49"/>
      <c r="P1799" s="49"/>
      <c r="Q1799" s="49"/>
      <c r="R1799" s="49"/>
      <c r="S1799" s="49"/>
      <c r="T1799" s="49"/>
      <c r="U1799" s="49"/>
      <c r="V1799" s="49"/>
      <c r="W1799" s="49"/>
    </row>
    <row r="1800" spans="1:23">
      <c r="A1800" s="49"/>
      <c r="B1800" s="49"/>
      <c r="C1800" s="49"/>
      <c r="D1800" s="49"/>
      <c r="E1800" s="49"/>
      <c r="F1800" s="55"/>
      <c r="G1800" s="55"/>
      <c r="H1800" s="49"/>
      <c r="I1800" s="49"/>
      <c r="J1800" s="49"/>
      <c r="K1800" s="49"/>
      <c r="L1800" s="49"/>
      <c r="M1800" s="49"/>
      <c r="N1800" s="49"/>
      <c r="O1800" s="49"/>
      <c r="P1800" s="49"/>
      <c r="Q1800" s="49"/>
      <c r="R1800" s="49"/>
      <c r="S1800" s="49"/>
      <c r="T1800" s="49"/>
      <c r="U1800" s="49"/>
      <c r="V1800" s="49"/>
      <c r="W1800" s="49"/>
    </row>
    <row r="1801" spans="1:23">
      <c r="A1801" s="49"/>
      <c r="B1801" s="49"/>
      <c r="C1801" s="49"/>
      <c r="D1801" s="49"/>
      <c r="E1801" s="49"/>
      <c r="F1801" s="55"/>
      <c r="G1801" s="55"/>
      <c r="H1801" s="49"/>
      <c r="I1801" s="49"/>
      <c r="J1801" s="49"/>
      <c r="K1801" s="49"/>
      <c r="L1801" s="49"/>
      <c r="M1801" s="49"/>
      <c r="N1801" s="49"/>
      <c r="O1801" s="49"/>
      <c r="P1801" s="49"/>
      <c r="Q1801" s="49"/>
      <c r="R1801" s="49"/>
      <c r="S1801" s="49"/>
      <c r="T1801" s="49"/>
      <c r="U1801" s="49"/>
      <c r="V1801" s="49"/>
      <c r="W1801" s="49"/>
    </row>
    <row r="1802" spans="1:23">
      <c r="A1802" s="49"/>
      <c r="B1802" s="49"/>
      <c r="C1802" s="49"/>
      <c r="D1802" s="49"/>
      <c r="E1802" s="49"/>
      <c r="F1802" s="55"/>
      <c r="G1802" s="55"/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49"/>
      <c r="S1802" s="49"/>
      <c r="T1802" s="49"/>
      <c r="U1802" s="49"/>
      <c r="V1802" s="49"/>
      <c r="W1802" s="49"/>
    </row>
    <row r="1803" spans="1:23">
      <c r="A1803" s="49"/>
      <c r="B1803" s="49"/>
      <c r="C1803" s="49"/>
      <c r="D1803" s="49"/>
      <c r="E1803" s="49"/>
      <c r="F1803" s="55"/>
      <c r="G1803" s="55"/>
      <c r="H1803" s="49"/>
      <c r="I1803" s="49"/>
      <c r="J1803" s="49"/>
      <c r="K1803" s="49"/>
      <c r="L1803" s="49"/>
      <c r="M1803" s="49"/>
      <c r="N1803" s="49"/>
      <c r="O1803" s="49"/>
      <c r="P1803" s="49"/>
      <c r="Q1803" s="49"/>
      <c r="R1803" s="49"/>
      <c r="S1803" s="49"/>
      <c r="T1803" s="49"/>
      <c r="U1803" s="49"/>
      <c r="V1803" s="49"/>
      <c r="W1803" s="49"/>
    </row>
    <row r="1804" spans="1:23">
      <c r="A1804" s="49"/>
      <c r="B1804" s="49"/>
      <c r="C1804" s="49"/>
      <c r="D1804" s="49"/>
      <c r="E1804" s="49"/>
      <c r="F1804" s="55"/>
      <c r="G1804" s="55"/>
      <c r="H1804" s="49"/>
      <c r="I1804" s="49"/>
      <c r="J1804" s="49"/>
      <c r="K1804" s="49"/>
      <c r="L1804" s="49"/>
      <c r="M1804" s="49"/>
      <c r="N1804" s="49"/>
      <c r="O1804" s="49"/>
      <c r="P1804" s="49"/>
      <c r="Q1804" s="49"/>
      <c r="R1804" s="49"/>
      <c r="S1804" s="49"/>
      <c r="T1804" s="49"/>
      <c r="U1804" s="49"/>
      <c r="V1804" s="49"/>
      <c r="W1804" s="49"/>
    </row>
    <row r="1805" spans="1:23">
      <c r="A1805" s="49"/>
      <c r="B1805" s="49"/>
      <c r="C1805" s="49"/>
      <c r="D1805" s="49"/>
      <c r="E1805" s="49"/>
      <c r="F1805" s="55"/>
      <c r="G1805" s="55"/>
      <c r="H1805" s="49"/>
      <c r="I1805" s="49"/>
      <c r="J1805" s="49"/>
      <c r="K1805" s="49"/>
      <c r="L1805" s="49"/>
      <c r="M1805" s="49"/>
      <c r="N1805" s="49"/>
      <c r="O1805" s="49"/>
      <c r="P1805" s="49"/>
      <c r="Q1805" s="49"/>
      <c r="R1805" s="49"/>
      <c r="S1805" s="49"/>
      <c r="T1805" s="49"/>
      <c r="U1805" s="49"/>
      <c r="V1805" s="49"/>
      <c r="W1805" s="49"/>
    </row>
    <row r="1806" spans="1:23">
      <c r="A1806" s="49"/>
      <c r="B1806" s="49"/>
      <c r="C1806" s="49"/>
      <c r="D1806" s="49"/>
      <c r="E1806" s="49"/>
      <c r="F1806" s="55"/>
      <c r="G1806" s="55"/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/>
      <c r="S1806" s="49"/>
      <c r="T1806" s="49"/>
      <c r="U1806" s="49"/>
      <c r="V1806" s="49"/>
      <c r="W1806" s="49"/>
    </row>
    <row r="1807" spans="1:23">
      <c r="A1807" s="49"/>
      <c r="B1807" s="49"/>
      <c r="C1807" s="49"/>
      <c r="D1807" s="49"/>
      <c r="E1807" s="49"/>
      <c r="F1807" s="55"/>
      <c r="G1807" s="55"/>
      <c r="H1807" s="49"/>
      <c r="I1807" s="49"/>
      <c r="J1807" s="49"/>
      <c r="K1807" s="49"/>
      <c r="L1807" s="49"/>
      <c r="M1807" s="49"/>
      <c r="N1807" s="49"/>
      <c r="O1807" s="49"/>
      <c r="P1807" s="49"/>
      <c r="Q1807" s="49"/>
      <c r="R1807" s="49"/>
      <c r="S1807" s="49"/>
      <c r="T1807" s="49"/>
      <c r="U1807" s="49"/>
      <c r="V1807" s="49"/>
      <c r="W1807" s="49"/>
    </row>
    <row r="1808" spans="1:23">
      <c r="A1808" s="49"/>
      <c r="B1808" s="49"/>
      <c r="C1808" s="49"/>
      <c r="D1808" s="49"/>
      <c r="E1808" s="49"/>
      <c r="F1808" s="55"/>
      <c r="G1808" s="55"/>
      <c r="H1808" s="49"/>
      <c r="I1808" s="49"/>
      <c r="J1808" s="49"/>
      <c r="K1808" s="49"/>
      <c r="L1808" s="49"/>
      <c r="M1808" s="49"/>
      <c r="N1808" s="49"/>
      <c r="O1808" s="49"/>
      <c r="P1808" s="49"/>
      <c r="Q1808" s="49"/>
      <c r="R1808" s="49"/>
      <c r="S1808" s="49"/>
      <c r="T1808" s="49"/>
      <c r="U1808" s="49"/>
      <c r="V1808" s="49"/>
      <c r="W1808" s="49"/>
    </row>
    <row r="1809" spans="1:23">
      <c r="A1809" s="49"/>
      <c r="B1809" s="49"/>
      <c r="C1809" s="49"/>
      <c r="D1809" s="49"/>
      <c r="E1809" s="49"/>
      <c r="F1809" s="55"/>
      <c r="G1809" s="55"/>
      <c r="H1809" s="49"/>
      <c r="I1809" s="49"/>
      <c r="J1809" s="49"/>
      <c r="K1809" s="49"/>
      <c r="L1809" s="49"/>
      <c r="M1809" s="49"/>
      <c r="N1809" s="49"/>
      <c r="O1809" s="49"/>
      <c r="P1809" s="49"/>
      <c r="Q1809" s="49"/>
      <c r="R1809" s="49"/>
      <c r="S1809" s="49"/>
      <c r="T1809" s="49"/>
      <c r="U1809" s="49"/>
      <c r="V1809" s="49"/>
      <c r="W1809" s="49"/>
    </row>
    <row r="1810" spans="1:23">
      <c r="A1810" s="49"/>
      <c r="B1810" s="49"/>
      <c r="C1810" s="49"/>
      <c r="D1810" s="49"/>
      <c r="E1810" s="49"/>
      <c r="F1810" s="55"/>
      <c r="G1810" s="55"/>
      <c r="H1810" s="49"/>
      <c r="I1810" s="49"/>
      <c r="J1810" s="49"/>
      <c r="K1810" s="49"/>
      <c r="L1810" s="49"/>
      <c r="M1810" s="49"/>
      <c r="N1810" s="49"/>
      <c r="O1810" s="49"/>
      <c r="P1810" s="49"/>
      <c r="Q1810" s="49"/>
      <c r="R1810" s="49"/>
      <c r="S1810" s="49"/>
      <c r="T1810" s="49"/>
      <c r="U1810" s="49"/>
      <c r="V1810" s="49"/>
      <c r="W1810" s="49"/>
    </row>
    <row r="1811" spans="1:23">
      <c r="A1811" s="49"/>
      <c r="B1811" s="49"/>
      <c r="C1811" s="49"/>
      <c r="D1811" s="49"/>
      <c r="E1811" s="49"/>
      <c r="F1811" s="55"/>
      <c r="G1811" s="55"/>
      <c r="H1811" s="49"/>
      <c r="I1811" s="49"/>
      <c r="J1811" s="49"/>
      <c r="K1811" s="49"/>
      <c r="L1811" s="49"/>
      <c r="M1811" s="49"/>
      <c r="N1811" s="49"/>
      <c r="O1811" s="49"/>
      <c r="P1811" s="49"/>
      <c r="Q1811" s="49"/>
      <c r="R1811" s="49"/>
      <c r="S1811" s="49"/>
      <c r="T1811" s="49"/>
      <c r="U1811" s="49"/>
      <c r="V1811" s="49"/>
      <c r="W1811" s="49"/>
    </row>
    <row r="1812" spans="1:23">
      <c r="A1812" s="49"/>
      <c r="B1812" s="49"/>
      <c r="C1812" s="49"/>
      <c r="D1812" s="49"/>
      <c r="E1812" s="49"/>
      <c r="F1812" s="55"/>
      <c r="G1812" s="55"/>
      <c r="H1812" s="49"/>
      <c r="I1812" s="49"/>
      <c r="J1812" s="49"/>
      <c r="K1812" s="49"/>
      <c r="L1812" s="49"/>
      <c r="M1812" s="49"/>
      <c r="N1812" s="49"/>
      <c r="O1812" s="49"/>
      <c r="P1812" s="49"/>
      <c r="Q1812" s="49"/>
      <c r="R1812" s="49"/>
      <c r="S1812" s="49"/>
      <c r="T1812" s="49"/>
      <c r="U1812" s="49"/>
      <c r="V1812" s="49"/>
      <c r="W1812" s="49"/>
    </row>
    <row r="1813" spans="1:23">
      <c r="A1813" s="49"/>
      <c r="B1813" s="49"/>
      <c r="C1813" s="49"/>
      <c r="D1813" s="49"/>
      <c r="E1813" s="49"/>
      <c r="F1813" s="55"/>
      <c r="G1813" s="55"/>
      <c r="H1813" s="49"/>
      <c r="I1813" s="49"/>
      <c r="J1813" s="49"/>
      <c r="K1813" s="49"/>
      <c r="L1813" s="49"/>
      <c r="M1813" s="49"/>
      <c r="N1813" s="49"/>
      <c r="O1813" s="49"/>
      <c r="P1813" s="49"/>
      <c r="Q1813" s="49"/>
      <c r="R1813" s="49"/>
      <c r="S1813" s="49"/>
      <c r="T1813" s="49"/>
      <c r="U1813" s="49"/>
      <c r="V1813" s="49"/>
      <c r="W1813" s="49"/>
    </row>
    <row r="1814" spans="1:23">
      <c r="A1814" s="49"/>
      <c r="B1814" s="49"/>
      <c r="C1814" s="49"/>
      <c r="D1814" s="49"/>
      <c r="E1814" s="49"/>
      <c r="F1814" s="55"/>
      <c r="G1814" s="55"/>
      <c r="H1814" s="49"/>
      <c r="I1814" s="49"/>
      <c r="J1814" s="49"/>
      <c r="K1814" s="49"/>
      <c r="L1814" s="49"/>
      <c r="M1814" s="49"/>
      <c r="N1814" s="49"/>
      <c r="O1814" s="49"/>
      <c r="P1814" s="49"/>
      <c r="Q1814" s="49"/>
      <c r="R1814" s="49"/>
      <c r="S1814" s="49"/>
      <c r="T1814" s="49"/>
      <c r="U1814" s="49"/>
      <c r="V1814" s="49"/>
      <c r="W1814" s="49"/>
    </row>
    <row r="1815" spans="1:23">
      <c r="A1815" s="49"/>
      <c r="B1815" s="49"/>
      <c r="C1815" s="49"/>
      <c r="D1815" s="49"/>
      <c r="E1815" s="49"/>
      <c r="F1815" s="55"/>
      <c r="G1815" s="55"/>
      <c r="H1815" s="49"/>
      <c r="I1815" s="49"/>
      <c r="J1815" s="49"/>
      <c r="K1815" s="49"/>
      <c r="L1815" s="49"/>
      <c r="M1815" s="49"/>
      <c r="N1815" s="49"/>
      <c r="O1815" s="49"/>
      <c r="P1815" s="49"/>
      <c r="Q1815" s="49"/>
      <c r="R1815" s="49"/>
      <c r="S1815" s="49"/>
      <c r="T1815" s="49"/>
      <c r="U1815" s="49"/>
      <c r="V1815" s="49"/>
      <c r="W1815" s="49"/>
    </row>
    <row r="1816" spans="1:23">
      <c r="A1816" s="49"/>
      <c r="B1816" s="49"/>
      <c r="C1816" s="49"/>
      <c r="D1816" s="49"/>
      <c r="E1816" s="49"/>
      <c r="F1816" s="55"/>
      <c r="G1816" s="55"/>
      <c r="H1816" s="49"/>
      <c r="I1816" s="49"/>
      <c r="J1816" s="49"/>
      <c r="K1816" s="49"/>
      <c r="L1816" s="49"/>
      <c r="M1816" s="49"/>
      <c r="N1816" s="49"/>
      <c r="O1816" s="49"/>
      <c r="P1816" s="49"/>
      <c r="Q1816" s="49"/>
      <c r="R1816" s="49"/>
      <c r="S1816" s="49"/>
      <c r="T1816" s="49"/>
      <c r="U1816" s="49"/>
      <c r="V1816" s="49"/>
      <c r="W1816" s="49"/>
    </row>
    <row r="1817" spans="1:23">
      <c r="A1817" s="49"/>
      <c r="B1817" s="49"/>
      <c r="C1817" s="49"/>
      <c r="D1817" s="49"/>
      <c r="E1817" s="49"/>
      <c r="F1817" s="55"/>
      <c r="G1817" s="55"/>
      <c r="H1817" s="49"/>
      <c r="I1817" s="49"/>
      <c r="J1817" s="49"/>
      <c r="K1817" s="49"/>
      <c r="L1817" s="49"/>
      <c r="M1817" s="49"/>
      <c r="N1817" s="49"/>
      <c r="O1817" s="49"/>
      <c r="P1817" s="49"/>
      <c r="Q1817" s="49"/>
      <c r="R1817" s="49"/>
      <c r="S1817" s="49"/>
      <c r="T1817" s="49"/>
      <c r="U1817" s="49"/>
      <c r="V1817" s="49"/>
      <c r="W1817" s="49"/>
    </row>
    <row r="1818" spans="1:23">
      <c r="A1818" s="49"/>
      <c r="B1818" s="49"/>
      <c r="C1818" s="49"/>
      <c r="D1818" s="49"/>
      <c r="E1818" s="49"/>
      <c r="F1818" s="55"/>
      <c r="G1818" s="55"/>
      <c r="H1818" s="49"/>
      <c r="I1818" s="49"/>
      <c r="J1818" s="49"/>
      <c r="K1818" s="49"/>
      <c r="L1818" s="49"/>
      <c r="M1818" s="49"/>
      <c r="N1818" s="49"/>
      <c r="O1818" s="49"/>
      <c r="P1818" s="49"/>
      <c r="Q1818" s="49"/>
      <c r="R1818" s="49"/>
      <c r="S1818" s="49"/>
      <c r="T1818" s="49"/>
      <c r="U1818" s="49"/>
      <c r="V1818" s="49"/>
      <c r="W1818" s="49"/>
    </row>
    <row r="1819" spans="1:23">
      <c r="A1819" s="49"/>
      <c r="B1819" s="49"/>
      <c r="C1819" s="49"/>
      <c r="D1819" s="49"/>
      <c r="E1819" s="49"/>
      <c r="F1819" s="55"/>
      <c r="G1819" s="55"/>
      <c r="H1819" s="49"/>
      <c r="I1819" s="49"/>
      <c r="J1819" s="49"/>
      <c r="K1819" s="49"/>
      <c r="L1819" s="49"/>
      <c r="M1819" s="49"/>
      <c r="N1819" s="49"/>
      <c r="O1819" s="49"/>
      <c r="P1819" s="49"/>
      <c r="Q1819" s="49"/>
      <c r="R1819" s="49"/>
      <c r="S1819" s="49"/>
      <c r="T1819" s="49"/>
      <c r="U1819" s="49"/>
      <c r="V1819" s="49"/>
      <c r="W1819" s="49"/>
    </row>
    <row r="1820" spans="1:23">
      <c r="A1820" s="49"/>
      <c r="B1820" s="49"/>
      <c r="C1820" s="49"/>
      <c r="D1820" s="49"/>
      <c r="E1820" s="49"/>
      <c r="F1820" s="55"/>
      <c r="G1820" s="55"/>
      <c r="H1820" s="49"/>
      <c r="I1820" s="49"/>
      <c r="J1820" s="49"/>
      <c r="K1820" s="49"/>
      <c r="L1820" s="49"/>
      <c r="M1820" s="49"/>
      <c r="N1820" s="49"/>
      <c r="O1820" s="49"/>
      <c r="P1820" s="49"/>
      <c r="Q1820" s="49"/>
      <c r="R1820" s="49"/>
      <c r="S1820" s="49"/>
      <c r="T1820" s="49"/>
      <c r="U1820" s="49"/>
      <c r="V1820" s="49"/>
      <c r="W1820" s="49"/>
    </row>
    <row r="1821" spans="1:23">
      <c r="A1821" s="49"/>
      <c r="B1821" s="49"/>
      <c r="C1821" s="49"/>
      <c r="D1821" s="49"/>
      <c r="E1821" s="49"/>
      <c r="F1821" s="55"/>
      <c r="G1821" s="55"/>
      <c r="H1821" s="49"/>
      <c r="I1821" s="49"/>
      <c r="J1821" s="49"/>
      <c r="K1821" s="49"/>
      <c r="L1821" s="49"/>
      <c r="M1821" s="49"/>
      <c r="N1821" s="49"/>
      <c r="O1821" s="49"/>
      <c r="P1821" s="49"/>
      <c r="Q1821" s="49"/>
      <c r="R1821" s="49"/>
      <c r="S1821" s="49"/>
      <c r="T1821" s="49"/>
      <c r="U1821" s="49"/>
      <c r="V1821" s="49"/>
      <c r="W1821" s="49"/>
    </row>
    <row r="1822" spans="1:23">
      <c r="A1822" s="49"/>
      <c r="B1822" s="49"/>
      <c r="C1822" s="49"/>
      <c r="D1822" s="49"/>
      <c r="E1822" s="49"/>
      <c r="F1822" s="55"/>
      <c r="G1822" s="55"/>
      <c r="H1822" s="49"/>
      <c r="I1822" s="49"/>
      <c r="J1822" s="49"/>
      <c r="K1822" s="49"/>
      <c r="L1822" s="49"/>
      <c r="M1822" s="49"/>
      <c r="N1822" s="49"/>
      <c r="O1822" s="49"/>
      <c r="P1822" s="49"/>
      <c r="Q1822" s="49"/>
      <c r="R1822" s="49"/>
      <c r="S1822" s="49"/>
      <c r="T1822" s="49"/>
      <c r="U1822" s="49"/>
      <c r="V1822" s="49"/>
      <c r="W1822" s="49"/>
    </row>
    <row r="1823" spans="1:23">
      <c r="A1823" s="49"/>
      <c r="B1823" s="49"/>
      <c r="C1823" s="49"/>
      <c r="D1823" s="49"/>
      <c r="E1823" s="49"/>
      <c r="F1823" s="55"/>
      <c r="G1823" s="55"/>
      <c r="H1823" s="49"/>
      <c r="I1823" s="49"/>
      <c r="J1823" s="49"/>
      <c r="K1823" s="49"/>
      <c r="L1823" s="49"/>
      <c r="M1823" s="49"/>
      <c r="N1823" s="49"/>
      <c r="O1823" s="49"/>
      <c r="P1823" s="49"/>
      <c r="Q1823" s="49"/>
      <c r="R1823" s="49"/>
      <c r="S1823" s="49"/>
      <c r="T1823" s="49"/>
      <c r="U1823" s="49"/>
      <c r="V1823" s="49"/>
      <c r="W1823" s="49"/>
    </row>
    <row r="1824" spans="1:23">
      <c r="A1824" s="49"/>
      <c r="B1824" s="49"/>
      <c r="C1824" s="49"/>
      <c r="D1824" s="49"/>
      <c r="E1824" s="49"/>
      <c r="F1824" s="55"/>
      <c r="G1824" s="55"/>
      <c r="H1824" s="49"/>
      <c r="I1824" s="49"/>
      <c r="J1824" s="49"/>
      <c r="K1824" s="49"/>
      <c r="L1824" s="49"/>
      <c r="M1824" s="49"/>
      <c r="N1824" s="49"/>
      <c r="O1824" s="49"/>
      <c r="P1824" s="49"/>
      <c r="Q1824" s="49"/>
      <c r="R1824" s="49"/>
      <c r="S1824" s="49"/>
      <c r="T1824" s="49"/>
      <c r="U1824" s="49"/>
      <c r="V1824" s="49"/>
      <c r="W1824" s="49"/>
    </row>
    <row r="1825" spans="1:23">
      <c r="A1825" s="49"/>
      <c r="B1825" s="49"/>
      <c r="C1825" s="49"/>
      <c r="D1825" s="49"/>
      <c r="E1825" s="49"/>
      <c r="F1825" s="55"/>
      <c r="G1825" s="55"/>
      <c r="H1825" s="49"/>
      <c r="I1825" s="49"/>
      <c r="J1825" s="49"/>
      <c r="K1825" s="49"/>
      <c r="L1825" s="49"/>
      <c r="M1825" s="49"/>
      <c r="N1825" s="49"/>
      <c r="O1825" s="49"/>
      <c r="P1825" s="49"/>
      <c r="Q1825" s="49"/>
      <c r="R1825" s="49"/>
      <c r="S1825" s="49"/>
      <c r="T1825" s="49"/>
      <c r="U1825" s="49"/>
      <c r="V1825" s="49"/>
      <c r="W1825" s="49"/>
    </row>
    <row r="1826" spans="1:23">
      <c r="A1826" s="49"/>
      <c r="B1826" s="49"/>
      <c r="C1826" s="49"/>
      <c r="D1826" s="49"/>
      <c r="E1826" s="49"/>
      <c r="F1826" s="55"/>
      <c r="G1826" s="55"/>
      <c r="H1826" s="49"/>
      <c r="I1826" s="49"/>
      <c r="J1826" s="49"/>
      <c r="K1826" s="49"/>
      <c r="L1826" s="49"/>
      <c r="M1826" s="49"/>
      <c r="N1826" s="49"/>
      <c r="O1826" s="49"/>
      <c r="P1826" s="49"/>
      <c r="Q1826" s="49"/>
      <c r="R1826" s="49"/>
      <c r="S1826" s="49"/>
      <c r="T1826" s="49"/>
      <c r="U1826" s="49"/>
      <c r="V1826" s="49"/>
      <c r="W1826" s="49"/>
    </row>
    <row r="1827" spans="1:23">
      <c r="A1827" s="49"/>
      <c r="B1827" s="49"/>
      <c r="C1827" s="49"/>
      <c r="D1827" s="49"/>
      <c r="E1827" s="49"/>
      <c r="F1827" s="55"/>
      <c r="G1827" s="55"/>
      <c r="H1827" s="49"/>
      <c r="I1827" s="49"/>
      <c r="J1827" s="49"/>
      <c r="K1827" s="49"/>
      <c r="L1827" s="49"/>
      <c r="M1827" s="49"/>
      <c r="N1827" s="49"/>
      <c r="O1827" s="49"/>
      <c r="P1827" s="49"/>
      <c r="Q1827" s="49"/>
      <c r="R1827" s="49"/>
      <c r="S1827" s="49"/>
      <c r="T1827" s="49"/>
      <c r="U1827" s="49"/>
      <c r="V1827" s="49"/>
      <c r="W1827" s="49"/>
    </row>
    <row r="1828" spans="1:23">
      <c r="A1828" s="49"/>
      <c r="B1828" s="49"/>
      <c r="C1828" s="49"/>
      <c r="D1828" s="49"/>
      <c r="E1828" s="49"/>
      <c r="F1828" s="55"/>
      <c r="G1828" s="55"/>
      <c r="H1828" s="49"/>
      <c r="I1828" s="49"/>
      <c r="J1828" s="49"/>
      <c r="K1828" s="49"/>
      <c r="L1828" s="49"/>
      <c r="M1828" s="49"/>
      <c r="N1828" s="49"/>
      <c r="O1828" s="49"/>
      <c r="P1828" s="49"/>
      <c r="Q1828" s="49"/>
      <c r="R1828" s="49"/>
      <c r="S1828" s="49"/>
      <c r="T1828" s="49"/>
      <c r="U1828" s="49"/>
      <c r="V1828" s="49"/>
      <c r="W1828" s="49"/>
    </row>
    <row r="1829" spans="1:23">
      <c r="A1829" s="49"/>
      <c r="B1829" s="49"/>
      <c r="C1829" s="49"/>
      <c r="D1829" s="49"/>
      <c r="E1829" s="49"/>
      <c r="F1829" s="55"/>
      <c r="G1829" s="55"/>
      <c r="H1829" s="49"/>
      <c r="I1829" s="49"/>
      <c r="J1829" s="49"/>
      <c r="K1829" s="49"/>
      <c r="L1829" s="49"/>
      <c r="M1829" s="49"/>
      <c r="N1829" s="49"/>
      <c r="O1829" s="49"/>
      <c r="P1829" s="49"/>
      <c r="Q1829" s="49"/>
      <c r="R1829" s="49"/>
      <c r="S1829" s="49"/>
      <c r="T1829" s="49"/>
      <c r="U1829" s="49"/>
      <c r="V1829" s="49"/>
      <c r="W1829" s="49"/>
    </row>
    <row r="1830" spans="1:23">
      <c r="A1830" s="49"/>
      <c r="B1830" s="49"/>
      <c r="C1830" s="49"/>
      <c r="D1830" s="49"/>
      <c r="E1830" s="49"/>
      <c r="F1830" s="55"/>
      <c r="G1830" s="55"/>
      <c r="H1830" s="49"/>
      <c r="I1830" s="49"/>
      <c r="J1830" s="49"/>
      <c r="K1830" s="49"/>
      <c r="L1830" s="49"/>
      <c r="M1830" s="49"/>
      <c r="N1830" s="49"/>
      <c r="O1830" s="49"/>
      <c r="P1830" s="49"/>
      <c r="Q1830" s="49"/>
      <c r="R1830" s="49"/>
      <c r="S1830" s="49"/>
      <c r="T1830" s="49"/>
      <c r="U1830" s="49"/>
      <c r="V1830" s="49"/>
      <c r="W1830" s="49"/>
    </row>
    <row r="1831" spans="1:23">
      <c r="A1831" s="49"/>
      <c r="B1831" s="49"/>
      <c r="C1831" s="49"/>
      <c r="D1831" s="49"/>
      <c r="E1831" s="49"/>
      <c r="F1831" s="55"/>
      <c r="G1831" s="55"/>
      <c r="H1831" s="49"/>
      <c r="I1831" s="49"/>
      <c r="J1831" s="49"/>
      <c r="K1831" s="49"/>
      <c r="L1831" s="49"/>
      <c r="M1831" s="49"/>
      <c r="N1831" s="49"/>
      <c r="O1831" s="49"/>
      <c r="P1831" s="49"/>
      <c r="Q1831" s="49"/>
      <c r="R1831" s="49"/>
      <c r="S1831" s="49"/>
      <c r="T1831" s="49"/>
      <c r="U1831" s="49"/>
      <c r="V1831" s="49"/>
      <c r="W1831" s="49"/>
    </row>
    <row r="1832" spans="1:23">
      <c r="A1832" s="49"/>
      <c r="B1832" s="49"/>
      <c r="C1832" s="49"/>
      <c r="D1832" s="49"/>
      <c r="E1832" s="49"/>
      <c r="F1832" s="55"/>
      <c r="G1832" s="55"/>
      <c r="H1832" s="49"/>
      <c r="I1832" s="49"/>
      <c r="J1832" s="49"/>
      <c r="K1832" s="49"/>
      <c r="L1832" s="49"/>
      <c r="M1832" s="49"/>
      <c r="N1832" s="49"/>
      <c r="O1832" s="49"/>
      <c r="P1832" s="49"/>
      <c r="Q1832" s="49"/>
      <c r="R1832" s="49"/>
      <c r="S1832" s="49"/>
      <c r="T1832" s="49"/>
      <c r="U1832" s="49"/>
      <c r="V1832" s="49"/>
      <c r="W1832" s="49"/>
    </row>
    <row r="1833" spans="1:23">
      <c r="A1833" s="49"/>
      <c r="B1833" s="49"/>
      <c r="C1833" s="49"/>
      <c r="D1833" s="49"/>
      <c r="E1833" s="49"/>
      <c r="F1833" s="55"/>
      <c r="G1833" s="55"/>
      <c r="H1833" s="49"/>
      <c r="I1833" s="49"/>
      <c r="J1833" s="49"/>
      <c r="K1833" s="49"/>
      <c r="L1833" s="49"/>
      <c r="M1833" s="49"/>
      <c r="N1833" s="49"/>
      <c r="O1833" s="49"/>
      <c r="P1833" s="49"/>
      <c r="Q1833" s="49"/>
      <c r="R1833" s="49"/>
      <c r="S1833" s="49"/>
      <c r="T1833" s="49"/>
      <c r="U1833" s="49"/>
      <c r="V1833" s="49"/>
      <c r="W1833" s="49"/>
    </row>
    <row r="1834" spans="1:23">
      <c r="A1834" s="49"/>
      <c r="B1834" s="49"/>
      <c r="C1834" s="49"/>
      <c r="D1834" s="49"/>
      <c r="E1834" s="49"/>
      <c r="F1834" s="55"/>
      <c r="G1834" s="55"/>
      <c r="H1834" s="49"/>
      <c r="I1834" s="49"/>
      <c r="J1834" s="49"/>
      <c r="K1834" s="49"/>
      <c r="L1834" s="49"/>
      <c r="M1834" s="49"/>
      <c r="N1834" s="49"/>
      <c r="O1834" s="49"/>
      <c r="P1834" s="49"/>
      <c r="Q1834" s="49"/>
      <c r="R1834" s="49"/>
      <c r="S1834" s="49"/>
      <c r="T1834" s="49"/>
      <c r="U1834" s="49"/>
      <c r="V1834" s="49"/>
      <c r="W1834" s="49"/>
    </row>
    <row r="1835" spans="1:23">
      <c r="A1835" s="49"/>
      <c r="B1835" s="49"/>
      <c r="C1835" s="49"/>
      <c r="D1835" s="49"/>
      <c r="E1835" s="49"/>
      <c r="F1835" s="55"/>
      <c r="G1835" s="55"/>
      <c r="H1835" s="49"/>
      <c r="I1835" s="49"/>
      <c r="J1835" s="49"/>
      <c r="K1835" s="49"/>
      <c r="L1835" s="49"/>
      <c r="M1835" s="49"/>
      <c r="N1835" s="49"/>
      <c r="O1835" s="49"/>
      <c r="P1835" s="49"/>
      <c r="Q1835" s="49"/>
      <c r="R1835" s="49"/>
      <c r="S1835" s="49"/>
      <c r="T1835" s="49"/>
      <c r="U1835" s="49"/>
      <c r="V1835" s="49"/>
      <c r="W1835" s="49"/>
    </row>
    <row r="1836" spans="1:23">
      <c r="A1836" s="49"/>
      <c r="B1836" s="49"/>
      <c r="C1836" s="49"/>
      <c r="D1836" s="49"/>
      <c r="E1836" s="49"/>
      <c r="F1836" s="55"/>
      <c r="G1836" s="55"/>
      <c r="H1836" s="49"/>
      <c r="I1836" s="49"/>
      <c r="J1836" s="49"/>
      <c r="K1836" s="49"/>
      <c r="L1836" s="49"/>
      <c r="M1836" s="49"/>
      <c r="N1836" s="49"/>
      <c r="O1836" s="49"/>
      <c r="P1836" s="49"/>
      <c r="Q1836" s="49"/>
      <c r="R1836" s="49"/>
      <c r="S1836" s="49"/>
      <c r="T1836" s="49"/>
      <c r="U1836" s="49"/>
      <c r="V1836" s="49"/>
      <c r="W1836" s="49"/>
    </row>
    <row r="1837" spans="1:23">
      <c r="A1837" s="49"/>
      <c r="B1837" s="49"/>
      <c r="C1837" s="49"/>
      <c r="D1837" s="49"/>
      <c r="E1837" s="49"/>
      <c r="F1837" s="55"/>
      <c r="G1837" s="55"/>
      <c r="H1837" s="49"/>
      <c r="I1837" s="49"/>
      <c r="J1837" s="49"/>
      <c r="K1837" s="49"/>
      <c r="L1837" s="49"/>
      <c r="M1837" s="49"/>
      <c r="N1837" s="49"/>
      <c r="O1837" s="49"/>
      <c r="P1837" s="49"/>
      <c r="Q1837" s="49"/>
      <c r="R1837" s="49"/>
      <c r="S1837" s="49"/>
      <c r="T1837" s="49"/>
      <c r="U1837" s="49"/>
      <c r="V1837" s="49"/>
      <c r="W1837" s="49"/>
    </row>
    <row r="1838" spans="1:23">
      <c r="A1838" s="49"/>
      <c r="B1838" s="49"/>
      <c r="C1838" s="49"/>
      <c r="D1838" s="49"/>
      <c r="E1838" s="49"/>
      <c r="F1838" s="55"/>
      <c r="G1838" s="55"/>
      <c r="H1838" s="49"/>
      <c r="I1838" s="49"/>
      <c r="J1838" s="49"/>
      <c r="K1838" s="49"/>
      <c r="L1838" s="49"/>
      <c r="M1838" s="49"/>
      <c r="N1838" s="49"/>
      <c r="O1838" s="49"/>
      <c r="P1838" s="49"/>
      <c r="Q1838" s="49"/>
      <c r="R1838" s="49"/>
      <c r="S1838" s="49"/>
      <c r="T1838" s="49"/>
      <c r="U1838" s="49"/>
      <c r="V1838" s="49"/>
      <c r="W1838" s="49"/>
    </row>
    <row r="1839" spans="1:23">
      <c r="A1839" s="49"/>
      <c r="B1839" s="49"/>
      <c r="C1839" s="49"/>
      <c r="D1839" s="49"/>
      <c r="E1839" s="49"/>
      <c r="F1839" s="55"/>
      <c r="G1839" s="55"/>
      <c r="H1839" s="49"/>
      <c r="I1839" s="49"/>
      <c r="J1839" s="49"/>
      <c r="K1839" s="49"/>
      <c r="L1839" s="49"/>
      <c r="M1839" s="49"/>
      <c r="N1839" s="49"/>
      <c r="O1839" s="49"/>
      <c r="P1839" s="49"/>
      <c r="Q1839" s="49"/>
      <c r="R1839" s="49"/>
      <c r="S1839" s="49"/>
      <c r="T1839" s="49"/>
      <c r="U1839" s="49"/>
      <c r="V1839" s="49"/>
      <c r="W1839" s="49"/>
    </row>
    <row r="1840" spans="1:23">
      <c r="A1840" s="49"/>
      <c r="B1840" s="49"/>
      <c r="C1840" s="49"/>
      <c r="D1840" s="49"/>
      <c r="E1840" s="49"/>
      <c r="F1840" s="55"/>
      <c r="G1840" s="55"/>
      <c r="H1840" s="49"/>
      <c r="I1840" s="49"/>
      <c r="J1840" s="49"/>
      <c r="K1840" s="49"/>
      <c r="L1840" s="49"/>
      <c r="M1840" s="49"/>
      <c r="N1840" s="49"/>
      <c r="O1840" s="49"/>
      <c r="P1840" s="49"/>
      <c r="Q1840" s="49"/>
      <c r="R1840" s="49"/>
      <c r="S1840" s="49"/>
      <c r="T1840" s="49"/>
      <c r="U1840" s="49"/>
      <c r="V1840" s="49"/>
      <c r="W1840" s="49"/>
    </row>
    <row r="1841" spans="1:23">
      <c r="A1841" s="49"/>
      <c r="B1841" s="49"/>
      <c r="C1841" s="49"/>
      <c r="D1841" s="49"/>
      <c r="E1841" s="49"/>
      <c r="F1841" s="55"/>
      <c r="G1841" s="55"/>
      <c r="H1841" s="49"/>
      <c r="I1841" s="49"/>
      <c r="J1841" s="49"/>
      <c r="K1841" s="49"/>
      <c r="L1841" s="49"/>
      <c r="M1841" s="49"/>
      <c r="N1841" s="49"/>
      <c r="O1841" s="49"/>
      <c r="P1841" s="49"/>
      <c r="Q1841" s="49"/>
      <c r="R1841" s="49"/>
      <c r="S1841" s="49"/>
      <c r="T1841" s="49"/>
      <c r="U1841" s="49"/>
      <c r="V1841" s="49"/>
      <c r="W1841" s="49"/>
    </row>
    <row r="1842" spans="1:23">
      <c r="A1842" s="49"/>
      <c r="B1842" s="49"/>
      <c r="C1842" s="49"/>
      <c r="D1842" s="49"/>
      <c r="E1842" s="49"/>
      <c r="F1842" s="55"/>
      <c r="G1842" s="55"/>
      <c r="H1842" s="49"/>
      <c r="I1842" s="49"/>
      <c r="J1842" s="49"/>
      <c r="K1842" s="49"/>
      <c r="L1842" s="49"/>
      <c r="M1842" s="49"/>
      <c r="N1842" s="49"/>
      <c r="O1842" s="49"/>
      <c r="P1842" s="49"/>
      <c r="Q1842" s="49"/>
      <c r="R1842" s="49"/>
      <c r="S1842" s="49"/>
      <c r="T1842" s="49"/>
      <c r="U1842" s="49"/>
      <c r="V1842" s="49"/>
      <c r="W1842" s="49"/>
    </row>
    <row r="1843" spans="1:23">
      <c r="A1843" s="49"/>
      <c r="B1843" s="49"/>
      <c r="C1843" s="49"/>
      <c r="D1843" s="49"/>
      <c r="E1843" s="49"/>
      <c r="F1843" s="55"/>
      <c r="G1843" s="55"/>
      <c r="H1843" s="49"/>
      <c r="I1843" s="49"/>
      <c r="J1843" s="49"/>
      <c r="K1843" s="49"/>
      <c r="L1843" s="49"/>
      <c r="M1843" s="49"/>
      <c r="N1843" s="49"/>
      <c r="O1843" s="49"/>
      <c r="P1843" s="49"/>
      <c r="Q1843" s="49"/>
      <c r="R1843" s="49"/>
      <c r="S1843" s="49"/>
      <c r="T1843" s="49"/>
      <c r="U1843" s="49"/>
      <c r="V1843" s="49"/>
      <c r="W1843" s="49"/>
    </row>
    <row r="1844" spans="1:23">
      <c r="A1844" s="49"/>
      <c r="B1844" s="49"/>
      <c r="C1844" s="49"/>
      <c r="D1844" s="49"/>
      <c r="E1844" s="49"/>
      <c r="F1844" s="55"/>
      <c r="G1844" s="55"/>
      <c r="H1844" s="49"/>
      <c r="I1844" s="49"/>
      <c r="J1844" s="49"/>
      <c r="K1844" s="49"/>
      <c r="L1844" s="49"/>
      <c r="M1844" s="49"/>
      <c r="N1844" s="49"/>
      <c r="O1844" s="49"/>
      <c r="P1844" s="49"/>
      <c r="Q1844" s="49"/>
      <c r="R1844" s="49"/>
      <c r="S1844" s="49"/>
      <c r="T1844" s="49"/>
      <c r="U1844" s="49"/>
      <c r="V1844" s="49"/>
      <c r="W1844" s="49"/>
    </row>
    <row r="1845" spans="1:23">
      <c r="A1845" s="49"/>
      <c r="B1845" s="49"/>
      <c r="C1845" s="49"/>
      <c r="D1845" s="49"/>
      <c r="E1845" s="49"/>
      <c r="F1845" s="55"/>
      <c r="G1845" s="55"/>
      <c r="H1845" s="49"/>
      <c r="I1845" s="49"/>
      <c r="J1845" s="49"/>
      <c r="K1845" s="49"/>
      <c r="L1845" s="49"/>
      <c r="M1845" s="49"/>
      <c r="N1845" s="49"/>
      <c r="O1845" s="49"/>
      <c r="P1845" s="49"/>
      <c r="Q1845" s="49"/>
      <c r="R1845" s="49"/>
      <c r="S1845" s="49"/>
      <c r="T1845" s="49"/>
      <c r="U1845" s="49"/>
      <c r="V1845" s="49"/>
      <c r="W1845" s="49"/>
    </row>
    <row r="1846" spans="1:23">
      <c r="A1846" s="49"/>
      <c r="B1846" s="49"/>
      <c r="C1846" s="49"/>
      <c r="D1846" s="49"/>
      <c r="E1846" s="49"/>
      <c r="F1846" s="55"/>
      <c r="G1846" s="55"/>
      <c r="H1846" s="49"/>
      <c r="I1846" s="49"/>
      <c r="J1846" s="49"/>
      <c r="K1846" s="49"/>
      <c r="L1846" s="49"/>
      <c r="M1846" s="49"/>
      <c r="N1846" s="49"/>
      <c r="O1846" s="49"/>
      <c r="P1846" s="49"/>
      <c r="Q1846" s="49"/>
      <c r="R1846" s="49"/>
      <c r="S1846" s="49"/>
      <c r="T1846" s="49"/>
      <c r="U1846" s="49"/>
      <c r="V1846" s="49"/>
      <c r="W1846" s="49"/>
    </row>
    <row r="1847" spans="1:23">
      <c r="A1847" s="49"/>
      <c r="B1847" s="49"/>
      <c r="C1847" s="49"/>
      <c r="D1847" s="49"/>
      <c r="E1847" s="49"/>
      <c r="F1847" s="55"/>
      <c r="G1847" s="55"/>
      <c r="H1847" s="49"/>
      <c r="I1847" s="49"/>
      <c r="J1847" s="49"/>
      <c r="K1847" s="49"/>
      <c r="L1847" s="49"/>
      <c r="M1847" s="49"/>
      <c r="N1847" s="49"/>
      <c r="O1847" s="49"/>
      <c r="P1847" s="49"/>
      <c r="Q1847" s="49"/>
      <c r="R1847" s="49"/>
      <c r="S1847" s="49"/>
      <c r="T1847" s="49"/>
      <c r="U1847" s="49"/>
      <c r="V1847" s="49"/>
      <c r="W1847" s="49"/>
    </row>
    <row r="1848" spans="1:23">
      <c r="A1848" s="49"/>
      <c r="B1848" s="49"/>
      <c r="C1848" s="49"/>
      <c r="D1848" s="49"/>
      <c r="E1848" s="49"/>
      <c r="F1848" s="55"/>
      <c r="G1848" s="55"/>
      <c r="H1848" s="49"/>
      <c r="I1848" s="49"/>
      <c r="J1848" s="49"/>
      <c r="K1848" s="49"/>
      <c r="L1848" s="49"/>
      <c r="M1848" s="49"/>
      <c r="N1848" s="49"/>
      <c r="O1848" s="49"/>
      <c r="P1848" s="49"/>
      <c r="Q1848" s="49"/>
      <c r="R1848" s="49"/>
      <c r="S1848" s="49"/>
      <c r="T1848" s="49"/>
      <c r="U1848" s="49"/>
      <c r="V1848" s="49"/>
      <c r="W1848" s="49"/>
    </row>
    <row r="1849" spans="1:23">
      <c r="A1849" s="49"/>
      <c r="B1849" s="49"/>
      <c r="C1849" s="49"/>
      <c r="D1849" s="49"/>
      <c r="E1849" s="49"/>
      <c r="F1849" s="55"/>
      <c r="G1849" s="55"/>
      <c r="H1849" s="49"/>
      <c r="I1849" s="49"/>
      <c r="J1849" s="49"/>
      <c r="K1849" s="49"/>
      <c r="L1849" s="49"/>
      <c r="M1849" s="49"/>
      <c r="N1849" s="49"/>
      <c r="O1849" s="49"/>
      <c r="P1849" s="49"/>
      <c r="Q1849" s="49"/>
      <c r="R1849" s="49"/>
      <c r="S1849" s="49"/>
      <c r="T1849" s="49"/>
      <c r="U1849" s="49"/>
      <c r="V1849" s="49"/>
      <c r="W1849" s="49"/>
    </row>
    <row r="1850" spans="1:23">
      <c r="A1850" s="49"/>
      <c r="B1850" s="49"/>
      <c r="C1850" s="49"/>
      <c r="D1850" s="49"/>
      <c r="E1850" s="49"/>
      <c r="F1850" s="55"/>
      <c r="G1850" s="55"/>
      <c r="H1850" s="49"/>
      <c r="I1850" s="49"/>
      <c r="J1850" s="49"/>
      <c r="K1850" s="49"/>
      <c r="L1850" s="49"/>
      <c r="M1850" s="49"/>
      <c r="N1850" s="49"/>
      <c r="O1850" s="49"/>
      <c r="P1850" s="49"/>
      <c r="Q1850" s="49"/>
      <c r="R1850" s="49"/>
      <c r="S1850" s="49"/>
      <c r="T1850" s="49"/>
      <c r="U1850" s="49"/>
      <c r="V1850" s="49"/>
      <c r="W1850" s="49"/>
    </row>
    <row r="1851" spans="1:23">
      <c r="A1851" s="49"/>
      <c r="B1851" s="49"/>
      <c r="C1851" s="49"/>
      <c r="D1851" s="49"/>
      <c r="E1851" s="49"/>
      <c r="F1851" s="55"/>
      <c r="G1851" s="55"/>
      <c r="H1851" s="49"/>
      <c r="I1851" s="49"/>
      <c r="J1851" s="49"/>
      <c r="K1851" s="49"/>
      <c r="L1851" s="49"/>
      <c r="M1851" s="49"/>
      <c r="N1851" s="49"/>
      <c r="O1851" s="49"/>
      <c r="P1851" s="49"/>
      <c r="Q1851" s="49"/>
      <c r="R1851" s="49"/>
      <c r="S1851" s="49"/>
      <c r="T1851" s="49"/>
      <c r="U1851" s="49"/>
      <c r="V1851" s="49"/>
      <c r="W1851" s="49"/>
    </row>
    <row r="1852" spans="1:23">
      <c r="A1852" s="49"/>
      <c r="B1852" s="49"/>
      <c r="C1852" s="49"/>
      <c r="D1852" s="49"/>
      <c r="E1852" s="49"/>
      <c r="F1852" s="55"/>
      <c r="G1852" s="55"/>
      <c r="H1852" s="49"/>
      <c r="I1852" s="49"/>
      <c r="J1852" s="49"/>
      <c r="K1852" s="49"/>
      <c r="L1852" s="49"/>
      <c r="M1852" s="49"/>
      <c r="N1852" s="49"/>
      <c r="O1852" s="49"/>
      <c r="P1852" s="49"/>
      <c r="Q1852" s="49"/>
      <c r="R1852" s="49"/>
      <c r="S1852" s="49"/>
      <c r="T1852" s="49"/>
      <c r="U1852" s="49"/>
      <c r="V1852" s="49"/>
      <c r="W1852" s="49"/>
    </row>
    <row r="1853" spans="1:23">
      <c r="A1853" s="49"/>
      <c r="B1853" s="49"/>
      <c r="C1853" s="49"/>
      <c r="D1853" s="49"/>
      <c r="E1853" s="49"/>
      <c r="F1853" s="55"/>
      <c r="G1853" s="55"/>
      <c r="H1853" s="49"/>
      <c r="I1853" s="49"/>
      <c r="J1853" s="49"/>
      <c r="K1853" s="49"/>
      <c r="L1853" s="49"/>
      <c r="M1853" s="49"/>
      <c r="N1853" s="49"/>
      <c r="O1853" s="49"/>
      <c r="P1853" s="49"/>
      <c r="Q1853" s="49"/>
      <c r="R1853" s="49"/>
      <c r="S1853" s="49"/>
      <c r="T1853" s="49"/>
      <c r="U1853" s="49"/>
      <c r="V1853" s="49"/>
      <c r="W1853" s="49"/>
    </row>
    <row r="1854" spans="1:23">
      <c r="A1854" s="49"/>
      <c r="B1854" s="49"/>
      <c r="C1854" s="49"/>
      <c r="D1854" s="49"/>
      <c r="E1854" s="49"/>
      <c r="F1854" s="55"/>
      <c r="G1854" s="55"/>
      <c r="H1854" s="49"/>
      <c r="I1854" s="49"/>
      <c r="J1854" s="49"/>
      <c r="K1854" s="49"/>
      <c r="L1854" s="49"/>
      <c r="M1854" s="49"/>
      <c r="N1854" s="49"/>
      <c r="O1854" s="49"/>
      <c r="P1854" s="49"/>
      <c r="Q1854" s="49"/>
      <c r="R1854" s="49"/>
      <c r="S1854" s="49"/>
      <c r="T1854" s="49"/>
      <c r="U1854" s="49"/>
      <c r="V1854" s="49"/>
      <c r="W1854" s="49"/>
    </row>
    <row r="1855" spans="1:23">
      <c r="A1855" s="49"/>
      <c r="B1855" s="49"/>
      <c r="C1855" s="49"/>
      <c r="D1855" s="49"/>
      <c r="E1855" s="49"/>
      <c r="F1855" s="55"/>
      <c r="G1855" s="55"/>
      <c r="H1855" s="49"/>
      <c r="I1855" s="49"/>
      <c r="J1855" s="49"/>
      <c r="K1855" s="49"/>
      <c r="L1855" s="49"/>
      <c r="M1855" s="49"/>
      <c r="N1855" s="49"/>
      <c r="O1855" s="49"/>
      <c r="P1855" s="49"/>
      <c r="Q1855" s="49"/>
      <c r="R1855" s="49"/>
      <c r="S1855" s="49"/>
      <c r="T1855" s="49"/>
      <c r="U1855" s="49"/>
      <c r="V1855" s="49"/>
      <c r="W1855" s="49"/>
    </row>
    <row r="1856" spans="1:23">
      <c r="A1856" s="49"/>
      <c r="B1856" s="49"/>
      <c r="C1856" s="49"/>
      <c r="D1856" s="49"/>
      <c r="E1856" s="49"/>
      <c r="F1856" s="55"/>
      <c r="G1856" s="55"/>
      <c r="H1856" s="49"/>
      <c r="I1856" s="49"/>
      <c r="J1856" s="49"/>
      <c r="K1856" s="49"/>
      <c r="L1856" s="49"/>
      <c r="M1856" s="49"/>
      <c r="N1856" s="49"/>
      <c r="O1856" s="49"/>
      <c r="P1856" s="49"/>
      <c r="Q1856" s="49"/>
      <c r="R1856" s="49"/>
      <c r="S1856" s="49"/>
      <c r="T1856" s="49"/>
      <c r="U1856" s="49"/>
      <c r="V1856" s="49"/>
      <c r="W1856" s="49"/>
    </row>
    <row r="1857" spans="1:23">
      <c r="A1857" s="49"/>
      <c r="B1857" s="49"/>
      <c r="C1857" s="49"/>
      <c r="D1857" s="49"/>
      <c r="E1857" s="49"/>
      <c r="F1857" s="55"/>
      <c r="G1857" s="55"/>
      <c r="H1857" s="49"/>
      <c r="I1857" s="49"/>
      <c r="J1857" s="49"/>
      <c r="K1857" s="49"/>
      <c r="L1857" s="49"/>
      <c r="M1857" s="49"/>
      <c r="N1857" s="49"/>
      <c r="O1857" s="49"/>
      <c r="P1857" s="49"/>
      <c r="Q1857" s="49"/>
      <c r="R1857" s="49"/>
      <c r="S1857" s="49"/>
      <c r="T1857" s="49"/>
      <c r="U1857" s="49"/>
      <c r="V1857" s="49"/>
      <c r="W1857" s="49"/>
    </row>
    <row r="1858" spans="1:23">
      <c r="A1858" s="49"/>
      <c r="B1858" s="49"/>
      <c r="C1858" s="49"/>
      <c r="D1858" s="49"/>
      <c r="E1858" s="49"/>
      <c r="F1858" s="55"/>
      <c r="G1858" s="55"/>
      <c r="H1858" s="49"/>
      <c r="I1858" s="49"/>
      <c r="J1858" s="49"/>
      <c r="K1858" s="49"/>
      <c r="L1858" s="49"/>
      <c r="M1858" s="49"/>
      <c r="N1858" s="49"/>
      <c r="O1858" s="49"/>
      <c r="P1858" s="49"/>
      <c r="Q1858" s="49"/>
      <c r="R1858" s="49"/>
      <c r="S1858" s="49"/>
      <c r="T1858" s="49"/>
      <c r="U1858" s="49"/>
      <c r="V1858" s="49"/>
      <c r="W1858" s="49"/>
    </row>
    <row r="1859" spans="1:23">
      <c r="A1859" s="49"/>
      <c r="B1859" s="49"/>
      <c r="C1859" s="49"/>
      <c r="D1859" s="49"/>
      <c r="E1859" s="49"/>
      <c r="F1859" s="55"/>
      <c r="G1859" s="55"/>
      <c r="H1859" s="49"/>
      <c r="I1859" s="49"/>
      <c r="J1859" s="49"/>
      <c r="K1859" s="49"/>
      <c r="L1859" s="49"/>
      <c r="M1859" s="49"/>
      <c r="N1859" s="49"/>
      <c r="O1859" s="49"/>
      <c r="P1859" s="49"/>
      <c r="Q1859" s="49"/>
      <c r="R1859" s="49"/>
      <c r="S1859" s="49"/>
      <c r="T1859" s="49"/>
      <c r="U1859" s="49"/>
      <c r="V1859" s="49"/>
      <c r="W1859" s="49"/>
    </row>
    <row r="1860" spans="1:23">
      <c r="A1860" s="49"/>
      <c r="B1860" s="49"/>
      <c r="C1860" s="49"/>
      <c r="D1860" s="49"/>
      <c r="E1860" s="49"/>
      <c r="F1860" s="55"/>
      <c r="G1860" s="55"/>
      <c r="H1860" s="49"/>
      <c r="I1860" s="49"/>
      <c r="J1860" s="49"/>
      <c r="K1860" s="49"/>
      <c r="L1860" s="49"/>
      <c r="M1860" s="49"/>
      <c r="N1860" s="49"/>
      <c r="O1860" s="49"/>
      <c r="P1860" s="49"/>
      <c r="Q1860" s="49"/>
      <c r="R1860" s="49"/>
      <c r="S1860" s="49"/>
      <c r="T1860" s="49"/>
      <c r="U1860" s="49"/>
      <c r="V1860" s="49"/>
      <c r="W1860" s="49"/>
    </row>
    <row r="1861" spans="1:23">
      <c r="A1861" s="49"/>
      <c r="B1861" s="49"/>
      <c r="C1861" s="49"/>
      <c r="D1861" s="49"/>
      <c r="E1861" s="49"/>
      <c r="F1861" s="55"/>
      <c r="G1861" s="55"/>
      <c r="H1861" s="49"/>
      <c r="I1861" s="49"/>
      <c r="J1861" s="49"/>
      <c r="K1861" s="49"/>
      <c r="L1861" s="49"/>
      <c r="M1861" s="49"/>
      <c r="N1861" s="49"/>
      <c r="O1861" s="49"/>
      <c r="P1861" s="49"/>
      <c r="Q1861" s="49"/>
      <c r="R1861" s="49"/>
      <c r="S1861" s="49"/>
      <c r="T1861" s="49"/>
      <c r="U1861" s="49"/>
      <c r="V1861" s="49"/>
      <c r="W1861" s="49"/>
    </row>
    <row r="1862" spans="1:23">
      <c r="A1862" s="49"/>
      <c r="B1862" s="49"/>
      <c r="C1862" s="49"/>
      <c r="D1862" s="49"/>
      <c r="E1862" s="49"/>
      <c r="F1862" s="55"/>
      <c r="G1862" s="55"/>
      <c r="H1862" s="49"/>
      <c r="I1862" s="49"/>
      <c r="J1862" s="49"/>
      <c r="K1862" s="49"/>
      <c r="L1862" s="49"/>
      <c r="M1862" s="49"/>
      <c r="N1862" s="49"/>
      <c r="O1862" s="49"/>
      <c r="P1862" s="49"/>
      <c r="Q1862" s="49"/>
      <c r="R1862" s="49"/>
      <c r="S1862" s="49"/>
      <c r="T1862" s="49"/>
      <c r="U1862" s="49"/>
      <c r="V1862" s="49"/>
      <c r="W1862" s="49"/>
    </row>
    <row r="1863" spans="1:23">
      <c r="A1863" s="49"/>
      <c r="B1863" s="49"/>
      <c r="C1863" s="49"/>
      <c r="D1863" s="49"/>
      <c r="E1863" s="49"/>
      <c r="F1863" s="55"/>
      <c r="G1863" s="55"/>
      <c r="H1863" s="49"/>
      <c r="I1863" s="49"/>
      <c r="J1863" s="49"/>
      <c r="K1863" s="49"/>
      <c r="L1863" s="49"/>
      <c r="M1863" s="49"/>
      <c r="N1863" s="49"/>
      <c r="O1863" s="49"/>
      <c r="P1863" s="49"/>
      <c r="Q1863" s="49"/>
      <c r="R1863" s="49"/>
      <c r="S1863" s="49"/>
      <c r="T1863" s="49"/>
      <c r="U1863" s="49"/>
      <c r="V1863" s="49"/>
      <c r="W1863" s="49"/>
    </row>
    <row r="1864" spans="1:23">
      <c r="A1864" s="49"/>
      <c r="B1864" s="49"/>
      <c r="C1864" s="49"/>
      <c r="D1864" s="49"/>
      <c r="E1864" s="49"/>
      <c r="F1864" s="55"/>
      <c r="G1864" s="55"/>
      <c r="H1864" s="49"/>
      <c r="I1864" s="49"/>
      <c r="J1864" s="49"/>
      <c r="K1864" s="49"/>
      <c r="L1864" s="49"/>
      <c r="M1864" s="49"/>
      <c r="N1864" s="49"/>
      <c r="O1864" s="49"/>
      <c r="P1864" s="49"/>
      <c r="Q1864" s="49"/>
      <c r="R1864" s="49"/>
      <c r="S1864" s="49"/>
      <c r="T1864" s="49"/>
      <c r="U1864" s="49"/>
      <c r="V1864" s="49"/>
      <c r="W1864" s="49"/>
    </row>
    <row r="1865" spans="1:23">
      <c r="A1865" s="49"/>
      <c r="B1865" s="49"/>
      <c r="C1865" s="49"/>
      <c r="D1865" s="49"/>
      <c r="E1865" s="49"/>
      <c r="F1865" s="55"/>
      <c r="G1865" s="55"/>
      <c r="H1865" s="49"/>
      <c r="I1865" s="49"/>
      <c r="J1865" s="49"/>
      <c r="K1865" s="49"/>
      <c r="L1865" s="49"/>
      <c r="M1865" s="49"/>
      <c r="N1865" s="49"/>
      <c r="O1865" s="49"/>
      <c r="P1865" s="49"/>
      <c r="Q1865" s="49"/>
      <c r="R1865" s="49"/>
      <c r="S1865" s="49"/>
      <c r="T1865" s="49"/>
      <c r="U1865" s="49"/>
      <c r="V1865" s="49"/>
      <c r="W1865" s="49"/>
    </row>
    <row r="1866" spans="1:23">
      <c r="A1866" s="49"/>
      <c r="B1866" s="49"/>
      <c r="C1866" s="49"/>
      <c r="D1866" s="49"/>
      <c r="E1866" s="49"/>
      <c r="F1866" s="55"/>
      <c r="G1866" s="55"/>
      <c r="H1866" s="49"/>
      <c r="I1866" s="49"/>
      <c r="J1866" s="49"/>
      <c r="K1866" s="49"/>
      <c r="L1866" s="49"/>
      <c r="M1866" s="49"/>
      <c r="N1866" s="49"/>
      <c r="O1866" s="49"/>
      <c r="P1866" s="49"/>
      <c r="Q1866" s="49"/>
      <c r="R1866" s="49"/>
      <c r="S1866" s="49"/>
      <c r="T1866" s="49"/>
      <c r="U1866" s="49"/>
      <c r="V1866" s="49"/>
      <c r="W1866" s="49"/>
    </row>
    <row r="1867" spans="1:23">
      <c r="A1867" s="49"/>
      <c r="B1867" s="49"/>
      <c r="C1867" s="49"/>
      <c r="D1867" s="49"/>
      <c r="E1867" s="49"/>
      <c r="F1867" s="55"/>
      <c r="G1867" s="55"/>
      <c r="H1867" s="49"/>
      <c r="I1867" s="49"/>
      <c r="J1867" s="49"/>
      <c r="K1867" s="49"/>
      <c r="L1867" s="49"/>
      <c r="M1867" s="49"/>
      <c r="N1867" s="49"/>
      <c r="O1867" s="49"/>
      <c r="P1867" s="49"/>
      <c r="Q1867" s="49"/>
      <c r="R1867" s="49"/>
      <c r="S1867" s="49"/>
      <c r="T1867" s="49"/>
      <c r="U1867" s="49"/>
      <c r="V1867" s="49"/>
      <c r="W1867" s="49"/>
    </row>
    <row r="1868" spans="1:23">
      <c r="A1868" s="49"/>
      <c r="B1868" s="49"/>
      <c r="C1868" s="49"/>
      <c r="D1868" s="49"/>
      <c r="E1868" s="49"/>
      <c r="F1868" s="55"/>
      <c r="G1868" s="55"/>
      <c r="H1868" s="49"/>
      <c r="I1868" s="49"/>
      <c r="J1868" s="49"/>
      <c r="K1868" s="49"/>
      <c r="L1868" s="49"/>
      <c r="M1868" s="49"/>
      <c r="N1868" s="49"/>
      <c r="O1868" s="49"/>
      <c r="P1868" s="49"/>
      <c r="Q1868" s="49"/>
      <c r="R1868" s="49"/>
      <c r="S1868" s="49"/>
      <c r="T1868" s="49"/>
      <c r="U1868" s="49"/>
      <c r="V1868" s="49"/>
      <c r="W1868" s="49"/>
    </row>
    <row r="1869" spans="1:23">
      <c r="A1869" s="49"/>
      <c r="B1869" s="49"/>
      <c r="C1869" s="49"/>
      <c r="D1869" s="49"/>
      <c r="E1869" s="49"/>
      <c r="F1869" s="55"/>
      <c r="G1869" s="55"/>
      <c r="H1869" s="49"/>
      <c r="I1869" s="49"/>
      <c r="J1869" s="49"/>
      <c r="K1869" s="49"/>
      <c r="L1869" s="49"/>
      <c r="M1869" s="49"/>
      <c r="N1869" s="49"/>
      <c r="O1869" s="49"/>
      <c r="P1869" s="49"/>
      <c r="Q1869" s="49"/>
      <c r="R1869" s="49"/>
      <c r="S1869" s="49"/>
      <c r="T1869" s="49"/>
      <c r="U1869" s="49"/>
      <c r="V1869" s="49"/>
      <c r="W1869" s="49"/>
    </row>
    <row r="1870" spans="1:23">
      <c r="A1870" s="49"/>
      <c r="B1870" s="49"/>
      <c r="C1870" s="49"/>
      <c r="D1870" s="49"/>
      <c r="E1870" s="49"/>
      <c r="F1870" s="55"/>
      <c r="G1870" s="55"/>
      <c r="H1870" s="49"/>
      <c r="I1870" s="49"/>
      <c r="J1870" s="49"/>
      <c r="K1870" s="49"/>
      <c r="L1870" s="49"/>
      <c r="M1870" s="49"/>
      <c r="N1870" s="49"/>
      <c r="O1870" s="49"/>
      <c r="P1870" s="49"/>
      <c r="Q1870" s="49"/>
      <c r="R1870" s="49"/>
      <c r="S1870" s="49"/>
      <c r="T1870" s="49"/>
      <c r="U1870" s="49"/>
      <c r="V1870" s="49"/>
      <c r="W1870" s="49"/>
    </row>
    <row r="1871" spans="1:23">
      <c r="A1871" s="49"/>
      <c r="B1871" s="49"/>
      <c r="C1871" s="49"/>
      <c r="D1871" s="49"/>
      <c r="E1871" s="49"/>
      <c r="F1871" s="55"/>
      <c r="G1871" s="55"/>
      <c r="H1871" s="49"/>
      <c r="I1871" s="49"/>
      <c r="J1871" s="49"/>
      <c r="K1871" s="49"/>
      <c r="L1871" s="49"/>
      <c r="M1871" s="49"/>
      <c r="N1871" s="49"/>
      <c r="O1871" s="49"/>
      <c r="P1871" s="49"/>
      <c r="Q1871" s="49"/>
      <c r="R1871" s="49"/>
      <c r="S1871" s="49"/>
      <c r="T1871" s="49"/>
      <c r="U1871" s="49"/>
      <c r="V1871" s="49"/>
      <c r="W1871" s="49"/>
    </row>
    <row r="1872" spans="1:23">
      <c r="A1872" s="49"/>
      <c r="B1872" s="49"/>
      <c r="C1872" s="49"/>
      <c r="D1872" s="49"/>
      <c r="E1872" s="49"/>
      <c r="F1872" s="55"/>
      <c r="G1872" s="55"/>
      <c r="H1872" s="49"/>
      <c r="I1872" s="49"/>
      <c r="J1872" s="49"/>
      <c r="K1872" s="49"/>
      <c r="L1872" s="49"/>
      <c r="M1872" s="49"/>
      <c r="N1872" s="49"/>
      <c r="O1872" s="49"/>
      <c r="P1872" s="49"/>
      <c r="Q1872" s="49"/>
      <c r="R1872" s="49"/>
      <c r="S1872" s="49"/>
      <c r="T1872" s="49"/>
      <c r="U1872" s="49"/>
      <c r="V1872" s="49"/>
      <c r="W1872" s="49"/>
    </row>
    <row r="1873" spans="1:23">
      <c r="A1873" s="49"/>
      <c r="B1873" s="49"/>
      <c r="C1873" s="49"/>
      <c r="D1873" s="49"/>
      <c r="E1873" s="49"/>
      <c r="F1873" s="55"/>
      <c r="G1873" s="55"/>
      <c r="H1873" s="49"/>
      <c r="I1873" s="49"/>
      <c r="J1873" s="49"/>
      <c r="K1873" s="49"/>
      <c r="L1873" s="49"/>
      <c r="M1873" s="49"/>
      <c r="N1873" s="49"/>
      <c r="O1873" s="49"/>
      <c r="P1873" s="49"/>
      <c r="Q1873" s="49"/>
      <c r="R1873" s="49"/>
      <c r="S1873" s="49"/>
      <c r="T1873" s="49"/>
      <c r="U1873" s="49"/>
      <c r="V1873" s="49"/>
      <c r="W1873" s="49"/>
    </row>
    <row r="1874" spans="1:23">
      <c r="A1874" s="49"/>
      <c r="B1874" s="49"/>
      <c r="C1874" s="49"/>
      <c r="D1874" s="49"/>
      <c r="E1874" s="49"/>
      <c r="F1874" s="55"/>
      <c r="G1874" s="55"/>
      <c r="H1874" s="49"/>
      <c r="I1874" s="49"/>
      <c r="J1874" s="49"/>
      <c r="K1874" s="49"/>
      <c r="L1874" s="49"/>
      <c r="M1874" s="49"/>
      <c r="N1874" s="49"/>
      <c r="O1874" s="49"/>
      <c r="P1874" s="49"/>
      <c r="Q1874" s="49"/>
      <c r="R1874" s="49"/>
      <c r="S1874" s="49"/>
      <c r="T1874" s="49"/>
      <c r="U1874" s="49"/>
      <c r="V1874" s="49"/>
      <c r="W1874" s="49"/>
    </row>
    <row r="1875" spans="1:23">
      <c r="A1875" s="49"/>
      <c r="B1875" s="49"/>
      <c r="C1875" s="49"/>
      <c r="D1875" s="49"/>
      <c r="E1875" s="49"/>
      <c r="F1875" s="55"/>
      <c r="G1875" s="55"/>
      <c r="H1875" s="49"/>
      <c r="I1875" s="49"/>
      <c r="J1875" s="49"/>
      <c r="K1875" s="49"/>
      <c r="L1875" s="49"/>
      <c r="M1875" s="49"/>
      <c r="N1875" s="49"/>
      <c r="O1875" s="49"/>
      <c r="P1875" s="49"/>
      <c r="Q1875" s="49"/>
      <c r="R1875" s="49"/>
      <c r="S1875" s="49"/>
      <c r="T1875" s="49"/>
      <c r="U1875" s="49"/>
      <c r="V1875" s="49"/>
      <c r="W1875" s="49"/>
    </row>
    <row r="1876" spans="1:23">
      <c r="A1876" s="49"/>
      <c r="B1876" s="49"/>
      <c r="C1876" s="49"/>
      <c r="D1876" s="49"/>
      <c r="E1876" s="49"/>
      <c r="F1876" s="55"/>
      <c r="G1876" s="55"/>
      <c r="H1876" s="49"/>
      <c r="I1876" s="49"/>
      <c r="J1876" s="49"/>
      <c r="K1876" s="49"/>
      <c r="L1876" s="49"/>
      <c r="M1876" s="49"/>
      <c r="N1876" s="49"/>
      <c r="O1876" s="49"/>
      <c r="P1876" s="49"/>
      <c r="Q1876" s="49"/>
      <c r="R1876" s="49"/>
      <c r="S1876" s="49"/>
      <c r="T1876" s="49"/>
      <c r="U1876" s="49"/>
      <c r="V1876" s="49"/>
      <c r="W1876" s="49"/>
    </row>
    <row r="1877" spans="1:23">
      <c r="A1877" s="49"/>
      <c r="B1877" s="49"/>
      <c r="C1877" s="49"/>
      <c r="D1877" s="49"/>
      <c r="E1877" s="49"/>
      <c r="F1877" s="55"/>
      <c r="G1877" s="55"/>
      <c r="H1877" s="49"/>
      <c r="I1877" s="49"/>
      <c r="J1877" s="49"/>
      <c r="K1877" s="49"/>
      <c r="L1877" s="49"/>
      <c r="M1877" s="49"/>
      <c r="N1877" s="49"/>
      <c r="O1877" s="49"/>
      <c r="P1877" s="49"/>
      <c r="Q1877" s="49"/>
      <c r="R1877" s="49"/>
      <c r="S1877" s="49"/>
      <c r="T1877" s="49"/>
      <c r="U1877" s="49"/>
      <c r="V1877" s="49"/>
      <c r="W1877" s="49"/>
    </row>
    <row r="1878" spans="1:23">
      <c r="A1878" s="49"/>
      <c r="B1878" s="49"/>
      <c r="C1878" s="49"/>
      <c r="D1878" s="49"/>
      <c r="E1878" s="49"/>
      <c r="F1878" s="55"/>
      <c r="G1878" s="55"/>
      <c r="H1878" s="49"/>
      <c r="I1878" s="49"/>
      <c r="J1878" s="49"/>
      <c r="K1878" s="49"/>
      <c r="L1878" s="49"/>
      <c r="M1878" s="49"/>
      <c r="N1878" s="49"/>
      <c r="O1878" s="49"/>
      <c r="P1878" s="49"/>
      <c r="Q1878" s="49"/>
      <c r="R1878" s="49"/>
      <c r="S1878" s="49"/>
      <c r="T1878" s="49"/>
      <c r="U1878" s="49"/>
      <c r="V1878" s="49"/>
      <c r="W1878" s="49"/>
    </row>
    <row r="1879" spans="1:23">
      <c r="A1879" s="49"/>
      <c r="B1879" s="49"/>
      <c r="C1879" s="49"/>
      <c r="D1879" s="49"/>
      <c r="E1879" s="49"/>
      <c r="F1879" s="55"/>
      <c r="G1879" s="55"/>
      <c r="H1879" s="49"/>
      <c r="I1879" s="49"/>
      <c r="J1879" s="49"/>
      <c r="K1879" s="49"/>
      <c r="L1879" s="49"/>
      <c r="M1879" s="49"/>
      <c r="N1879" s="49"/>
      <c r="O1879" s="49"/>
      <c r="P1879" s="49"/>
      <c r="Q1879" s="49"/>
      <c r="R1879" s="49"/>
      <c r="S1879" s="49"/>
      <c r="T1879" s="49"/>
      <c r="U1879" s="49"/>
      <c r="V1879" s="49"/>
      <c r="W1879" s="49"/>
    </row>
    <row r="1880" spans="1:23">
      <c r="A1880" s="49"/>
      <c r="B1880" s="49"/>
      <c r="C1880" s="49"/>
      <c r="D1880" s="49"/>
      <c r="E1880" s="49"/>
      <c r="F1880" s="55"/>
      <c r="G1880" s="55"/>
      <c r="H1880" s="49"/>
      <c r="I1880" s="49"/>
      <c r="J1880" s="49"/>
      <c r="K1880" s="49"/>
      <c r="L1880" s="49"/>
      <c r="M1880" s="49"/>
      <c r="N1880" s="49"/>
      <c r="O1880" s="49"/>
      <c r="P1880" s="49"/>
      <c r="Q1880" s="49"/>
      <c r="R1880" s="49"/>
      <c r="S1880" s="49"/>
      <c r="T1880" s="49"/>
      <c r="U1880" s="49"/>
      <c r="V1880" s="49"/>
      <c r="W1880" s="49"/>
    </row>
    <row r="1881" spans="1:23">
      <c r="A1881" s="49"/>
      <c r="B1881" s="49"/>
      <c r="C1881" s="49"/>
      <c r="D1881" s="49"/>
      <c r="E1881" s="49"/>
      <c r="F1881" s="55"/>
      <c r="G1881" s="55"/>
      <c r="H1881" s="49"/>
      <c r="I1881" s="49"/>
      <c r="J1881" s="49"/>
      <c r="K1881" s="49"/>
      <c r="L1881" s="49"/>
      <c r="M1881" s="49"/>
      <c r="N1881" s="49"/>
      <c r="O1881" s="49"/>
      <c r="P1881" s="49"/>
      <c r="Q1881" s="49"/>
      <c r="R1881" s="49"/>
      <c r="S1881" s="49"/>
      <c r="T1881" s="49"/>
      <c r="U1881" s="49"/>
      <c r="V1881" s="49"/>
      <c r="W1881" s="49"/>
    </row>
    <row r="1882" spans="1:23">
      <c r="A1882" s="49"/>
      <c r="B1882" s="49"/>
      <c r="C1882" s="49"/>
      <c r="D1882" s="49"/>
      <c r="E1882" s="49"/>
      <c r="F1882" s="55"/>
      <c r="G1882" s="55"/>
      <c r="H1882" s="49"/>
      <c r="I1882" s="49"/>
      <c r="J1882" s="49"/>
      <c r="K1882" s="49"/>
      <c r="L1882" s="49"/>
      <c r="M1882" s="49"/>
      <c r="N1882" s="49"/>
      <c r="O1882" s="49"/>
      <c r="P1882" s="49"/>
      <c r="Q1882" s="49"/>
      <c r="R1882" s="49"/>
      <c r="S1882" s="49"/>
      <c r="T1882" s="49"/>
      <c r="U1882" s="49"/>
      <c r="V1882" s="49"/>
      <c r="W1882" s="49"/>
    </row>
    <row r="1883" spans="1:23">
      <c r="A1883" s="49"/>
      <c r="B1883" s="49"/>
      <c r="C1883" s="49"/>
      <c r="D1883" s="49"/>
      <c r="E1883" s="49"/>
      <c r="F1883" s="55"/>
      <c r="G1883" s="55"/>
      <c r="H1883" s="49"/>
      <c r="I1883" s="49"/>
      <c r="J1883" s="49"/>
      <c r="K1883" s="49"/>
      <c r="L1883" s="49"/>
      <c r="M1883" s="49"/>
      <c r="N1883" s="49"/>
      <c r="O1883" s="49"/>
      <c r="P1883" s="49"/>
      <c r="Q1883" s="49"/>
      <c r="R1883" s="49"/>
      <c r="S1883" s="49"/>
      <c r="T1883" s="49"/>
      <c r="U1883" s="49"/>
      <c r="V1883" s="49"/>
      <c r="W1883" s="49"/>
    </row>
    <row r="1884" spans="1:23">
      <c r="A1884" s="49"/>
      <c r="B1884" s="49"/>
      <c r="C1884" s="49"/>
      <c r="D1884" s="49"/>
      <c r="E1884" s="49"/>
      <c r="F1884" s="55"/>
      <c r="G1884" s="55"/>
      <c r="H1884" s="49"/>
      <c r="I1884" s="49"/>
      <c r="J1884" s="49"/>
      <c r="K1884" s="49"/>
      <c r="L1884" s="49"/>
      <c r="M1884" s="49"/>
      <c r="N1884" s="49"/>
      <c r="O1884" s="49"/>
      <c r="P1884" s="49"/>
      <c r="Q1884" s="49"/>
      <c r="R1884" s="49"/>
      <c r="S1884" s="49"/>
      <c r="T1884" s="49"/>
      <c r="U1884" s="49"/>
      <c r="V1884" s="49"/>
      <c r="W1884" s="49"/>
    </row>
    <row r="1885" spans="1:23">
      <c r="A1885" s="49"/>
      <c r="B1885" s="49"/>
      <c r="C1885" s="49"/>
      <c r="D1885" s="49"/>
      <c r="E1885" s="49"/>
      <c r="F1885" s="55"/>
      <c r="G1885" s="55"/>
      <c r="H1885" s="49"/>
      <c r="I1885" s="49"/>
      <c r="J1885" s="49"/>
      <c r="K1885" s="49"/>
      <c r="L1885" s="49"/>
      <c r="M1885" s="49"/>
      <c r="N1885" s="49"/>
      <c r="O1885" s="49"/>
      <c r="P1885" s="49"/>
      <c r="Q1885" s="49"/>
      <c r="R1885" s="49"/>
      <c r="S1885" s="49"/>
      <c r="T1885" s="49"/>
      <c r="U1885" s="49"/>
      <c r="V1885" s="49"/>
      <c r="W1885" s="49"/>
    </row>
    <row r="1886" spans="1:23">
      <c r="A1886" s="49"/>
      <c r="B1886" s="49"/>
      <c r="C1886" s="49"/>
      <c r="D1886" s="49"/>
      <c r="E1886" s="49"/>
      <c r="F1886" s="55"/>
      <c r="G1886" s="55"/>
      <c r="H1886" s="49"/>
      <c r="I1886" s="49"/>
      <c r="J1886" s="49"/>
      <c r="K1886" s="49"/>
      <c r="L1886" s="49"/>
      <c r="M1886" s="49"/>
      <c r="N1886" s="49"/>
      <c r="O1886" s="49"/>
      <c r="P1886" s="49"/>
      <c r="Q1886" s="49"/>
      <c r="R1886" s="49"/>
      <c r="S1886" s="49"/>
      <c r="T1886" s="49"/>
      <c r="U1886" s="49"/>
      <c r="V1886" s="49"/>
      <c r="W1886" s="49"/>
    </row>
    <row r="1887" spans="1:23">
      <c r="A1887" s="49"/>
      <c r="B1887" s="49"/>
      <c r="C1887" s="49"/>
      <c r="D1887" s="49"/>
      <c r="E1887" s="49"/>
      <c r="F1887" s="55"/>
      <c r="G1887" s="55"/>
      <c r="H1887" s="49"/>
      <c r="I1887" s="49"/>
      <c r="J1887" s="49"/>
      <c r="K1887" s="49"/>
      <c r="L1887" s="49"/>
      <c r="M1887" s="49"/>
      <c r="N1887" s="49"/>
      <c r="O1887" s="49"/>
      <c r="P1887" s="49"/>
      <c r="Q1887" s="49"/>
      <c r="R1887" s="49"/>
      <c r="S1887" s="49"/>
      <c r="T1887" s="49"/>
      <c r="U1887" s="49"/>
      <c r="V1887" s="49"/>
      <c r="W1887" s="49"/>
    </row>
    <row r="1888" spans="1:23">
      <c r="A1888" s="49"/>
      <c r="B1888" s="49"/>
      <c r="C1888" s="49"/>
      <c r="D1888" s="49"/>
      <c r="E1888" s="49"/>
      <c r="F1888" s="55"/>
      <c r="G1888" s="55"/>
      <c r="H1888" s="49"/>
      <c r="I1888" s="49"/>
      <c r="J1888" s="49"/>
      <c r="K1888" s="49"/>
      <c r="L1888" s="49"/>
      <c r="M1888" s="49"/>
      <c r="N1888" s="49"/>
      <c r="O1888" s="49"/>
      <c r="P1888" s="49"/>
      <c r="Q1888" s="49"/>
      <c r="R1888" s="49"/>
      <c r="S1888" s="49"/>
      <c r="T1888" s="49"/>
      <c r="U1888" s="49"/>
      <c r="V1888" s="49"/>
      <c r="W1888" s="49"/>
    </row>
    <row r="1889" spans="1:23">
      <c r="A1889" s="49"/>
      <c r="B1889" s="49"/>
      <c r="C1889" s="49"/>
      <c r="D1889" s="49"/>
      <c r="E1889" s="49"/>
      <c r="F1889" s="55"/>
      <c r="G1889" s="55"/>
      <c r="H1889" s="49"/>
      <c r="I1889" s="49"/>
      <c r="J1889" s="49"/>
      <c r="K1889" s="49"/>
      <c r="L1889" s="49"/>
      <c r="M1889" s="49"/>
      <c r="N1889" s="49"/>
      <c r="O1889" s="49"/>
      <c r="P1889" s="49"/>
      <c r="Q1889" s="49"/>
      <c r="R1889" s="49"/>
      <c r="S1889" s="49"/>
      <c r="T1889" s="49"/>
      <c r="U1889" s="49"/>
      <c r="V1889" s="49"/>
      <c r="W1889" s="49"/>
    </row>
    <row r="1890" spans="1:23">
      <c r="A1890" s="49"/>
      <c r="B1890" s="49"/>
      <c r="C1890" s="49"/>
      <c r="D1890" s="49"/>
      <c r="E1890" s="49"/>
      <c r="F1890" s="55"/>
      <c r="G1890" s="55"/>
      <c r="H1890" s="49"/>
      <c r="I1890" s="49"/>
      <c r="J1890" s="49"/>
      <c r="K1890" s="49"/>
      <c r="L1890" s="49"/>
      <c r="M1890" s="49"/>
      <c r="N1890" s="49"/>
      <c r="O1890" s="49"/>
      <c r="P1890" s="49"/>
      <c r="Q1890" s="49"/>
      <c r="R1890" s="49"/>
      <c r="S1890" s="49"/>
      <c r="T1890" s="49"/>
      <c r="U1890" s="49"/>
      <c r="V1890" s="49"/>
      <c r="W1890" s="49"/>
    </row>
    <row r="1891" spans="1:23">
      <c r="A1891" s="49"/>
      <c r="B1891" s="49"/>
      <c r="C1891" s="49"/>
      <c r="D1891" s="49"/>
      <c r="E1891" s="49"/>
      <c r="F1891" s="55"/>
      <c r="G1891" s="55"/>
      <c r="H1891" s="49"/>
      <c r="I1891" s="49"/>
      <c r="J1891" s="49"/>
      <c r="K1891" s="49"/>
      <c r="L1891" s="49"/>
      <c r="M1891" s="49"/>
      <c r="N1891" s="49"/>
      <c r="O1891" s="49"/>
      <c r="P1891" s="49"/>
      <c r="Q1891" s="49"/>
      <c r="R1891" s="49"/>
      <c r="S1891" s="49"/>
      <c r="T1891" s="49"/>
      <c r="U1891" s="49"/>
      <c r="V1891" s="49"/>
      <c r="W1891" s="49"/>
    </row>
    <row r="1892" spans="1:23">
      <c r="A1892" s="49"/>
      <c r="B1892" s="49"/>
      <c r="C1892" s="49"/>
      <c r="D1892" s="49"/>
      <c r="E1892" s="49"/>
      <c r="F1892" s="55"/>
      <c r="G1892" s="55"/>
      <c r="H1892" s="49"/>
      <c r="I1892" s="49"/>
      <c r="J1892" s="49"/>
      <c r="K1892" s="49"/>
      <c r="L1892" s="49"/>
      <c r="M1892" s="49"/>
      <c r="N1892" s="49"/>
      <c r="O1892" s="49"/>
      <c r="P1892" s="49"/>
      <c r="Q1892" s="49"/>
      <c r="R1892" s="49"/>
      <c r="S1892" s="49"/>
      <c r="T1892" s="49"/>
      <c r="U1892" s="49"/>
      <c r="V1892" s="49"/>
      <c r="W1892" s="49"/>
    </row>
    <row r="1893" spans="1:23">
      <c r="A1893" s="49"/>
      <c r="B1893" s="49"/>
      <c r="C1893" s="49"/>
      <c r="D1893" s="49"/>
      <c r="E1893" s="49"/>
      <c r="F1893" s="55"/>
      <c r="G1893" s="55"/>
      <c r="H1893" s="49"/>
      <c r="I1893" s="49"/>
      <c r="J1893" s="49"/>
      <c r="K1893" s="49"/>
      <c r="L1893" s="49"/>
      <c r="M1893" s="49"/>
      <c r="N1893" s="49"/>
      <c r="O1893" s="49"/>
      <c r="P1893" s="49"/>
      <c r="Q1893" s="49"/>
      <c r="R1893" s="49"/>
      <c r="S1893" s="49"/>
      <c r="T1893" s="49"/>
      <c r="U1893" s="49"/>
      <c r="V1893" s="49"/>
      <c r="W1893" s="49"/>
    </row>
    <row r="1894" spans="1:23">
      <c r="A1894" s="49"/>
      <c r="B1894" s="49"/>
      <c r="C1894" s="49"/>
      <c r="D1894" s="49"/>
      <c r="E1894" s="49"/>
      <c r="F1894" s="55"/>
      <c r="G1894" s="55"/>
      <c r="H1894" s="49"/>
      <c r="I1894" s="49"/>
      <c r="J1894" s="49"/>
      <c r="K1894" s="49"/>
      <c r="L1894" s="49"/>
      <c r="M1894" s="49"/>
      <c r="N1894" s="49"/>
      <c r="O1894" s="49"/>
      <c r="P1894" s="49"/>
      <c r="Q1894" s="49"/>
      <c r="R1894" s="49"/>
      <c r="S1894" s="49"/>
      <c r="T1894" s="49"/>
      <c r="U1894" s="49"/>
      <c r="V1894" s="49"/>
      <c r="W1894" s="49"/>
    </row>
    <row r="1895" spans="1:23">
      <c r="A1895" s="49"/>
      <c r="B1895" s="49"/>
      <c r="C1895" s="49"/>
      <c r="D1895" s="49"/>
      <c r="E1895" s="49"/>
      <c r="F1895" s="55"/>
      <c r="G1895" s="55"/>
      <c r="H1895" s="49"/>
      <c r="I1895" s="49"/>
      <c r="J1895" s="49"/>
      <c r="K1895" s="49"/>
      <c r="L1895" s="49"/>
      <c r="M1895" s="49"/>
      <c r="N1895" s="49"/>
      <c r="O1895" s="49"/>
      <c r="P1895" s="49"/>
      <c r="Q1895" s="49"/>
      <c r="R1895" s="49"/>
      <c r="S1895" s="49"/>
      <c r="T1895" s="49"/>
      <c r="U1895" s="49"/>
      <c r="V1895" s="49"/>
      <c r="W1895" s="49"/>
    </row>
    <row r="1896" spans="1:23">
      <c r="A1896" s="49"/>
      <c r="B1896" s="49"/>
      <c r="C1896" s="49"/>
      <c r="D1896" s="49"/>
      <c r="E1896" s="49"/>
      <c r="F1896" s="55"/>
      <c r="G1896" s="55"/>
      <c r="H1896" s="49"/>
      <c r="I1896" s="49"/>
      <c r="J1896" s="49"/>
      <c r="K1896" s="49"/>
      <c r="L1896" s="49"/>
      <c r="M1896" s="49"/>
      <c r="N1896" s="49"/>
      <c r="O1896" s="49"/>
      <c r="P1896" s="49"/>
      <c r="Q1896" s="49"/>
      <c r="R1896" s="49"/>
      <c r="S1896" s="49"/>
      <c r="T1896" s="49"/>
      <c r="U1896" s="49"/>
      <c r="V1896" s="49"/>
      <c r="W1896" s="49"/>
    </row>
    <row r="1897" spans="1:23">
      <c r="A1897" s="49"/>
      <c r="B1897" s="49"/>
      <c r="C1897" s="49"/>
      <c r="D1897" s="49"/>
      <c r="E1897" s="49"/>
      <c r="F1897" s="55"/>
      <c r="G1897" s="55"/>
      <c r="H1897" s="49"/>
      <c r="I1897" s="49"/>
      <c r="J1897" s="49"/>
      <c r="K1897" s="49"/>
      <c r="L1897" s="49"/>
      <c r="M1897" s="49"/>
      <c r="N1897" s="49"/>
      <c r="O1897" s="49"/>
      <c r="P1897" s="49"/>
      <c r="Q1897" s="49"/>
      <c r="R1897" s="49"/>
      <c r="S1897" s="49"/>
      <c r="T1897" s="49"/>
      <c r="U1897" s="49"/>
      <c r="V1897" s="49"/>
      <c r="W1897" s="49"/>
    </row>
    <row r="1898" spans="1:23">
      <c r="A1898" s="49"/>
      <c r="B1898" s="49"/>
      <c r="C1898" s="49"/>
      <c r="D1898" s="49"/>
      <c r="E1898" s="49"/>
      <c r="F1898" s="55"/>
      <c r="G1898" s="55"/>
      <c r="H1898" s="49"/>
      <c r="I1898" s="49"/>
      <c r="J1898" s="49"/>
      <c r="K1898" s="49"/>
      <c r="L1898" s="49"/>
      <c r="M1898" s="49"/>
      <c r="N1898" s="49"/>
      <c r="O1898" s="49"/>
      <c r="P1898" s="49"/>
      <c r="Q1898" s="49"/>
      <c r="R1898" s="49"/>
      <c r="S1898" s="49"/>
      <c r="T1898" s="49"/>
      <c r="U1898" s="49"/>
      <c r="V1898" s="49"/>
      <c r="W1898" s="49"/>
    </row>
    <row r="1899" spans="1:23">
      <c r="A1899" s="49"/>
      <c r="B1899" s="49"/>
      <c r="C1899" s="49"/>
      <c r="D1899" s="49"/>
      <c r="E1899" s="49"/>
      <c r="F1899" s="55"/>
      <c r="G1899" s="55"/>
      <c r="H1899" s="49"/>
      <c r="I1899" s="49"/>
      <c r="J1899" s="49"/>
      <c r="K1899" s="49"/>
      <c r="L1899" s="49"/>
      <c r="M1899" s="49"/>
      <c r="N1899" s="49"/>
      <c r="O1899" s="49"/>
      <c r="P1899" s="49"/>
      <c r="Q1899" s="49"/>
      <c r="R1899" s="49"/>
      <c r="S1899" s="49"/>
      <c r="T1899" s="49"/>
      <c r="U1899" s="49"/>
      <c r="V1899" s="49"/>
      <c r="W1899" s="49"/>
    </row>
    <row r="1900" spans="1:23">
      <c r="A1900" s="49"/>
      <c r="B1900" s="49"/>
      <c r="C1900" s="49"/>
      <c r="D1900" s="49"/>
      <c r="E1900" s="49"/>
      <c r="F1900" s="55"/>
      <c r="G1900" s="55"/>
      <c r="H1900" s="49"/>
      <c r="I1900" s="49"/>
      <c r="J1900" s="49"/>
      <c r="K1900" s="49"/>
      <c r="L1900" s="49"/>
      <c r="M1900" s="49"/>
      <c r="N1900" s="49"/>
      <c r="O1900" s="49"/>
      <c r="P1900" s="49"/>
      <c r="Q1900" s="49"/>
      <c r="R1900" s="49"/>
      <c r="S1900" s="49"/>
      <c r="T1900" s="49"/>
      <c r="U1900" s="49"/>
      <c r="V1900" s="49"/>
      <c r="W1900" s="49"/>
    </row>
    <row r="1901" spans="1:23">
      <c r="A1901" s="49"/>
      <c r="B1901" s="49"/>
      <c r="C1901" s="49"/>
      <c r="D1901" s="49"/>
      <c r="E1901" s="49"/>
      <c r="F1901" s="55"/>
      <c r="G1901" s="55"/>
      <c r="H1901" s="49"/>
      <c r="I1901" s="49"/>
      <c r="J1901" s="49"/>
      <c r="K1901" s="49"/>
      <c r="L1901" s="49"/>
      <c r="M1901" s="49"/>
      <c r="N1901" s="49"/>
      <c r="O1901" s="49"/>
      <c r="P1901" s="49"/>
      <c r="Q1901" s="49"/>
      <c r="R1901" s="49"/>
      <c r="S1901" s="49"/>
      <c r="T1901" s="49"/>
      <c r="U1901" s="49"/>
      <c r="V1901" s="49"/>
      <c r="W1901" s="49"/>
    </row>
    <row r="1902" spans="1:23">
      <c r="A1902" s="49"/>
      <c r="B1902" s="49"/>
      <c r="C1902" s="49"/>
      <c r="D1902" s="49"/>
      <c r="E1902" s="49"/>
      <c r="F1902" s="55"/>
      <c r="G1902" s="55"/>
      <c r="H1902" s="49"/>
      <c r="I1902" s="49"/>
      <c r="J1902" s="49"/>
      <c r="K1902" s="49"/>
      <c r="L1902" s="49"/>
      <c r="M1902" s="49"/>
      <c r="N1902" s="49"/>
      <c r="O1902" s="49"/>
      <c r="P1902" s="49"/>
      <c r="Q1902" s="49"/>
      <c r="R1902" s="49"/>
      <c r="S1902" s="49"/>
      <c r="T1902" s="49"/>
      <c r="U1902" s="49"/>
      <c r="V1902" s="49"/>
      <c r="W1902" s="49"/>
    </row>
    <row r="1903" spans="1:23">
      <c r="A1903" s="49"/>
      <c r="B1903" s="49"/>
      <c r="C1903" s="49"/>
      <c r="D1903" s="49"/>
      <c r="E1903" s="49"/>
      <c r="F1903" s="55"/>
      <c r="G1903" s="55"/>
      <c r="H1903" s="49"/>
      <c r="I1903" s="49"/>
      <c r="J1903" s="49"/>
      <c r="K1903" s="49"/>
      <c r="L1903" s="49"/>
      <c r="M1903" s="49"/>
      <c r="N1903" s="49"/>
      <c r="O1903" s="49"/>
      <c r="P1903" s="49"/>
      <c r="Q1903" s="49"/>
      <c r="R1903" s="49"/>
      <c r="S1903" s="49"/>
      <c r="T1903" s="49"/>
      <c r="U1903" s="49"/>
      <c r="V1903" s="49"/>
      <c r="W1903" s="49"/>
    </row>
    <row r="1904" spans="1:23">
      <c r="A1904" s="49"/>
      <c r="B1904" s="49"/>
      <c r="C1904" s="49"/>
      <c r="D1904" s="49"/>
      <c r="E1904" s="49"/>
      <c r="F1904" s="55"/>
      <c r="G1904" s="55"/>
      <c r="H1904" s="49"/>
      <c r="I1904" s="49"/>
      <c r="J1904" s="49"/>
      <c r="K1904" s="49"/>
      <c r="L1904" s="49"/>
      <c r="M1904" s="49"/>
      <c r="N1904" s="49"/>
      <c r="O1904" s="49"/>
      <c r="P1904" s="49"/>
      <c r="Q1904" s="49"/>
      <c r="R1904" s="49"/>
      <c r="S1904" s="49"/>
      <c r="T1904" s="49"/>
      <c r="U1904" s="49"/>
      <c r="V1904" s="49"/>
      <c r="W1904" s="49"/>
    </row>
    <row r="1905" spans="1:23">
      <c r="A1905" s="49"/>
      <c r="B1905" s="49"/>
      <c r="C1905" s="49"/>
      <c r="D1905" s="49"/>
      <c r="E1905" s="49"/>
      <c r="F1905" s="55"/>
      <c r="G1905" s="55"/>
      <c r="H1905" s="49"/>
      <c r="I1905" s="49"/>
      <c r="J1905" s="49"/>
      <c r="K1905" s="49"/>
      <c r="L1905" s="49"/>
      <c r="M1905" s="49"/>
      <c r="N1905" s="49"/>
      <c r="O1905" s="49"/>
      <c r="P1905" s="49"/>
      <c r="Q1905" s="49"/>
      <c r="R1905" s="49"/>
      <c r="S1905" s="49"/>
      <c r="T1905" s="49"/>
      <c r="U1905" s="49"/>
      <c r="V1905" s="49"/>
      <c r="W1905" s="49"/>
    </row>
    <row r="1906" spans="1:23">
      <c r="A1906" s="49"/>
      <c r="B1906" s="49"/>
      <c r="C1906" s="49"/>
      <c r="D1906" s="49"/>
      <c r="E1906" s="49"/>
      <c r="F1906" s="55"/>
      <c r="G1906" s="55"/>
      <c r="H1906" s="49"/>
      <c r="I1906" s="49"/>
      <c r="J1906" s="49"/>
      <c r="K1906" s="49"/>
      <c r="L1906" s="49"/>
      <c r="M1906" s="49"/>
      <c r="N1906" s="49"/>
      <c r="O1906" s="49"/>
      <c r="P1906" s="49"/>
      <c r="Q1906" s="49"/>
      <c r="R1906" s="49"/>
      <c r="S1906" s="49"/>
      <c r="T1906" s="49"/>
      <c r="U1906" s="49"/>
      <c r="V1906" s="49"/>
      <c r="W1906" s="49"/>
    </row>
    <row r="1907" spans="1:23">
      <c r="A1907" s="49"/>
      <c r="B1907" s="49"/>
      <c r="C1907" s="49"/>
      <c r="D1907" s="49"/>
      <c r="E1907" s="49"/>
      <c r="F1907" s="55"/>
      <c r="G1907" s="55"/>
      <c r="H1907" s="49"/>
      <c r="I1907" s="49"/>
      <c r="J1907" s="49"/>
      <c r="K1907" s="49"/>
      <c r="L1907" s="49"/>
      <c r="M1907" s="49"/>
      <c r="N1907" s="49"/>
      <c r="O1907" s="49"/>
      <c r="P1907" s="49"/>
      <c r="Q1907" s="49"/>
      <c r="R1907" s="49"/>
      <c r="S1907" s="49"/>
      <c r="T1907" s="49"/>
      <c r="U1907" s="49"/>
      <c r="V1907" s="49"/>
      <c r="W1907" s="49"/>
    </row>
    <row r="1908" spans="1:23">
      <c r="A1908" s="49"/>
      <c r="B1908" s="49"/>
      <c r="C1908" s="49"/>
      <c r="D1908" s="49"/>
      <c r="E1908" s="49"/>
      <c r="F1908" s="55"/>
      <c r="G1908" s="55"/>
      <c r="H1908" s="49"/>
      <c r="I1908" s="49"/>
      <c r="J1908" s="49"/>
      <c r="K1908" s="49"/>
      <c r="L1908" s="49"/>
      <c r="M1908" s="49"/>
      <c r="N1908" s="49"/>
      <c r="O1908" s="49"/>
      <c r="P1908" s="49"/>
      <c r="Q1908" s="49"/>
      <c r="R1908" s="49"/>
      <c r="S1908" s="49"/>
      <c r="T1908" s="49"/>
      <c r="U1908" s="49"/>
      <c r="V1908" s="49"/>
      <c r="W1908" s="49"/>
    </row>
    <row r="1909" spans="1:23">
      <c r="A1909" s="49"/>
      <c r="B1909" s="49"/>
      <c r="C1909" s="49"/>
      <c r="D1909" s="49"/>
      <c r="E1909" s="49"/>
      <c r="F1909" s="55"/>
      <c r="G1909" s="55"/>
      <c r="H1909" s="49"/>
      <c r="I1909" s="49"/>
      <c r="J1909" s="49"/>
      <c r="K1909" s="49"/>
      <c r="L1909" s="49"/>
      <c r="M1909" s="49"/>
      <c r="N1909" s="49"/>
      <c r="O1909" s="49"/>
      <c r="P1909" s="49"/>
      <c r="Q1909" s="49"/>
      <c r="R1909" s="49"/>
      <c r="S1909" s="49"/>
      <c r="T1909" s="49"/>
      <c r="U1909" s="49"/>
      <c r="V1909" s="49"/>
      <c r="W1909" s="49"/>
    </row>
    <row r="1910" spans="1:23">
      <c r="A1910" s="49"/>
      <c r="B1910" s="49"/>
      <c r="C1910" s="49"/>
      <c r="D1910" s="49"/>
      <c r="E1910" s="49"/>
      <c r="F1910" s="55"/>
      <c r="G1910" s="55"/>
      <c r="H1910" s="49"/>
      <c r="I1910" s="49"/>
      <c r="J1910" s="49"/>
      <c r="K1910" s="49"/>
      <c r="L1910" s="49"/>
      <c r="M1910" s="49"/>
      <c r="N1910" s="49"/>
      <c r="O1910" s="49"/>
      <c r="P1910" s="49"/>
      <c r="Q1910" s="49"/>
      <c r="R1910" s="49"/>
      <c r="S1910" s="49"/>
      <c r="T1910" s="49"/>
      <c r="U1910" s="49"/>
      <c r="V1910" s="49"/>
      <c r="W1910" s="49"/>
    </row>
    <row r="1911" spans="1:23">
      <c r="A1911" s="49"/>
      <c r="B1911" s="49"/>
      <c r="C1911" s="49"/>
      <c r="D1911" s="49"/>
      <c r="E1911" s="49"/>
      <c r="F1911" s="55"/>
      <c r="G1911" s="55"/>
      <c r="H1911" s="49"/>
      <c r="I1911" s="49"/>
      <c r="J1911" s="49"/>
      <c r="K1911" s="49"/>
      <c r="L1911" s="49"/>
      <c r="M1911" s="49"/>
      <c r="N1911" s="49"/>
      <c r="O1911" s="49"/>
      <c r="P1911" s="49"/>
      <c r="Q1911" s="49"/>
      <c r="R1911" s="49"/>
      <c r="S1911" s="49"/>
      <c r="T1911" s="49"/>
      <c r="U1911" s="49"/>
      <c r="V1911" s="49"/>
      <c r="W1911" s="49"/>
    </row>
    <row r="1912" spans="1:23">
      <c r="A1912" s="49"/>
      <c r="B1912" s="49"/>
      <c r="C1912" s="49"/>
      <c r="D1912" s="49"/>
      <c r="E1912" s="49"/>
      <c r="F1912" s="55"/>
      <c r="G1912" s="55"/>
      <c r="H1912" s="49"/>
      <c r="I1912" s="49"/>
      <c r="J1912" s="49"/>
      <c r="K1912" s="49"/>
      <c r="L1912" s="49"/>
      <c r="M1912" s="49"/>
      <c r="N1912" s="49"/>
      <c r="O1912" s="49"/>
      <c r="P1912" s="49"/>
      <c r="Q1912" s="49"/>
      <c r="R1912" s="49"/>
      <c r="S1912" s="49"/>
      <c r="T1912" s="49"/>
      <c r="U1912" s="49"/>
      <c r="V1912" s="49"/>
      <c r="W1912" s="49"/>
    </row>
    <row r="1913" spans="1:23">
      <c r="A1913" s="49"/>
      <c r="B1913" s="49"/>
      <c r="C1913" s="49"/>
      <c r="D1913" s="49"/>
      <c r="E1913" s="49"/>
      <c r="F1913" s="55"/>
      <c r="G1913" s="55"/>
      <c r="H1913" s="49"/>
      <c r="I1913" s="49"/>
      <c r="J1913" s="49"/>
      <c r="K1913" s="49"/>
      <c r="L1913" s="49"/>
      <c r="M1913" s="49"/>
      <c r="N1913" s="49"/>
      <c r="O1913" s="49"/>
      <c r="P1913" s="49"/>
      <c r="Q1913" s="49"/>
      <c r="R1913" s="49"/>
      <c r="S1913" s="49"/>
      <c r="T1913" s="49"/>
      <c r="U1913" s="49"/>
      <c r="V1913" s="49"/>
      <c r="W1913" s="49"/>
    </row>
    <row r="1914" spans="1:23">
      <c r="A1914" s="49"/>
      <c r="B1914" s="49"/>
      <c r="C1914" s="49"/>
      <c r="D1914" s="49"/>
      <c r="E1914" s="49"/>
      <c r="F1914" s="55"/>
      <c r="G1914" s="55"/>
      <c r="H1914" s="49"/>
      <c r="I1914" s="49"/>
      <c r="J1914" s="49"/>
      <c r="K1914" s="49"/>
      <c r="L1914" s="49"/>
      <c r="M1914" s="49"/>
      <c r="N1914" s="49"/>
      <c r="O1914" s="49"/>
      <c r="P1914" s="49"/>
      <c r="Q1914" s="49"/>
      <c r="R1914" s="49"/>
      <c r="S1914" s="49"/>
      <c r="T1914" s="49"/>
      <c r="U1914" s="49"/>
      <c r="V1914" s="49"/>
      <c r="W1914" s="49"/>
    </row>
    <row r="1915" spans="1:23">
      <c r="A1915" s="49"/>
      <c r="B1915" s="49"/>
      <c r="C1915" s="49"/>
      <c r="D1915" s="49"/>
      <c r="E1915" s="49"/>
      <c r="F1915" s="55"/>
      <c r="G1915" s="55"/>
      <c r="H1915" s="49"/>
      <c r="I1915" s="49"/>
      <c r="J1915" s="49"/>
      <c r="K1915" s="49"/>
      <c r="L1915" s="49"/>
      <c r="M1915" s="49"/>
      <c r="N1915" s="49"/>
      <c r="O1915" s="49"/>
      <c r="P1915" s="49"/>
      <c r="Q1915" s="49"/>
      <c r="R1915" s="49"/>
      <c r="S1915" s="49"/>
      <c r="T1915" s="49"/>
      <c r="U1915" s="49"/>
      <c r="V1915" s="49"/>
      <c r="W1915" s="49"/>
    </row>
    <row r="1916" spans="1:23">
      <c r="A1916" s="49"/>
      <c r="B1916" s="49"/>
      <c r="C1916" s="49"/>
      <c r="D1916" s="49"/>
      <c r="E1916" s="49"/>
      <c r="F1916" s="55"/>
      <c r="G1916" s="55"/>
      <c r="H1916" s="49"/>
      <c r="I1916" s="49"/>
      <c r="J1916" s="49"/>
      <c r="K1916" s="49"/>
      <c r="L1916" s="49"/>
      <c r="M1916" s="49"/>
      <c r="N1916" s="49"/>
      <c r="O1916" s="49"/>
      <c r="P1916" s="49"/>
      <c r="Q1916" s="49"/>
      <c r="R1916" s="49"/>
      <c r="S1916" s="49"/>
      <c r="T1916" s="49"/>
      <c r="U1916" s="49"/>
      <c r="V1916" s="49"/>
      <c r="W1916" s="49"/>
    </row>
    <row r="1917" spans="1:23">
      <c r="A1917" s="49"/>
      <c r="B1917" s="49"/>
      <c r="C1917" s="49"/>
      <c r="D1917" s="49"/>
      <c r="E1917" s="49"/>
      <c r="F1917" s="55"/>
      <c r="G1917" s="55"/>
      <c r="H1917" s="49"/>
      <c r="I1917" s="49"/>
      <c r="J1917" s="49"/>
      <c r="K1917" s="49"/>
      <c r="L1917" s="49"/>
      <c r="M1917" s="49"/>
      <c r="N1917" s="49"/>
      <c r="O1917" s="49"/>
      <c r="P1917" s="49"/>
      <c r="Q1917" s="49"/>
      <c r="R1917" s="49"/>
      <c r="S1917" s="49"/>
      <c r="T1917" s="49"/>
      <c r="U1917" s="49"/>
      <c r="V1917" s="49"/>
      <c r="W1917" s="49"/>
    </row>
    <row r="1918" spans="1:23">
      <c r="A1918" s="49"/>
      <c r="B1918" s="49"/>
      <c r="C1918" s="49"/>
      <c r="D1918" s="49"/>
      <c r="E1918" s="49"/>
      <c r="F1918" s="55"/>
      <c r="G1918" s="55"/>
      <c r="H1918" s="49"/>
      <c r="I1918" s="49"/>
      <c r="J1918" s="49"/>
      <c r="K1918" s="49"/>
      <c r="L1918" s="49"/>
      <c r="M1918" s="49"/>
      <c r="N1918" s="49"/>
      <c r="O1918" s="49"/>
      <c r="P1918" s="49"/>
      <c r="Q1918" s="49"/>
      <c r="R1918" s="49"/>
      <c r="S1918" s="49"/>
      <c r="T1918" s="49"/>
      <c r="U1918" s="49"/>
      <c r="V1918" s="49"/>
      <c r="W1918" s="49"/>
    </row>
    <row r="1919" spans="1:23">
      <c r="A1919" s="49"/>
      <c r="B1919" s="49"/>
      <c r="C1919" s="49"/>
      <c r="D1919" s="49"/>
      <c r="E1919" s="49"/>
      <c r="F1919" s="55"/>
      <c r="G1919" s="55"/>
      <c r="H1919" s="49"/>
      <c r="I1919" s="49"/>
      <c r="J1919" s="49"/>
      <c r="K1919" s="49"/>
      <c r="L1919" s="49"/>
      <c r="M1919" s="49"/>
      <c r="N1919" s="49"/>
      <c r="O1919" s="49"/>
      <c r="P1919" s="49"/>
      <c r="Q1919" s="49"/>
      <c r="R1919" s="49"/>
      <c r="S1919" s="49"/>
      <c r="T1919" s="49"/>
      <c r="U1919" s="49"/>
      <c r="V1919" s="49"/>
      <c r="W1919" s="49"/>
    </row>
    <row r="1920" spans="1:23">
      <c r="A1920" s="49"/>
      <c r="B1920" s="49"/>
      <c r="C1920" s="49"/>
      <c r="D1920" s="49"/>
      <c r="E1920" s="49"/>
      <c r="F1920" s="55"/>
      <c r="G1920" s="55"/>
      <c r="H1920" s="49"/>
      <c r="I1920" s="49"/>
      <c r="J1920" s="49"/>
      <c r="K1920" s="49"/>
      <c r="L1920" s="49"/>
      <c r="M1920" s="49"/>
      <c r="N1920" s="49"/>
      <c r="O1920" s="49"/>
      <c r="P1920" s="49"/>
      <c r="Q1920" s="49"/>
      <c r="R1920" s="49"/>
      <c r="S1920" s="49"/>
      <c r="T1920" s="49"/>
      <c r="U1920" s="49"/>
      <c r="V1920" s="49"/>
      <c r="W1920" s="49"/>
    </row>
    <row r="1921" spans="1:23">
      <c r="A1921" s="49"/>
      <c r="B1921" s="49"/>
      <c r="C1921" s="49"/>
      <c r="D1921" s="49"/>
      <c r="E1921" s="49"/>
      <c r="F1921" s="55"/>
      <c r="G1921" s="55"/>
      <c r="H1921" s="49"/>
      <c r="I1921" s="49"/>
      <c r="J1921" s="49"/>
      <c r="K1921" s="49"/>
      <c r="L1921" s="49"/>
      <c r="M1921" s="49"/>
      <c r="N1921" s="49"/>
      <c r="O1921" s="49"/>
      <c r="P1921" s="49"/>
      <c r="Q1921" s="49"/>
      <c r="R1921" s="49"/>
      <c r="S1921" s="49"/>
      <c r="T1921" s="49"/>
      <c r="U1921" s="49"/>
      <c r="V1921" s="49"/>
      <c r="W1921" s="49"/>
    </row>
    <row r="1922" spans="1:23">
      <c r="A1922" s="49"/>
      <c r="B1922" s="49"/>
      <c r="C1922" s="49"/>
      <c r="D1922" s="49"/>
      <c r="E1922" s="49"/>
      <c r="F1922" s="55"/>
      <c r="G1922" s="55"/>
      <c r="H1922" s="49"/>
      <c r="I1922" s="49"/>
      <c r="J1922" s="49"/>
      <c r="K1922" s="49"/>
      <c r="L1922" s="49"/>
      <c r="M1922" s="49"/>
      <c r="N1922" s="49"/>
      <c r="O1922" s="49"/>
      <c r="P1922" s="49"/>
      <c r="Q1922" s="49"/>
      <c r="R1922" s="49"/>
      <c r="S1922" s="49"/>
      <c r="T1922" s="49"/>
      <c r="U1922" s="49"/>
      <c r="V1922" s="49"/>
      <c r="W1922" s="49"/>
    </row>
    <row r="1923" spans="1:23">
      <c r="A1923" s="49"/>
      <c r="B1923" s="49"/>
      <c r="C1923" s="49"/>
      <c r="D1923" s="49"/>
      <c r="E1923" s="49"/>
      <c r="F1923" s="55"/>
      <c r="G1923" s="55"/>
      <c r="H1923" s="49"/>
      <c r="I1923" s="49"/>
      <c r="J1923" s="49"/>
      <c r="K1923" s="49"/>
      <c r="L1923" s="49"/>
      <c r="M1923" s="49"/>
      <c r="N1923" s="49"/>
      <c r="O1923" s="49"/>
      <c r="P1923" s="49"/>
      <c r="Q1923" s="49"/>
      <c r="R1923" s="49"/>
      <c r="S1923" s="49"/>
      <c r="T1923" s="49"/>
      <c r="U1923" s="49"/>
      <c r="V1923" s="49"/>
      <c r="W1923" s="49"/>
    </row>
    <row r="1924" spans="1:23">
      <c r="A1924" s="49"/>
      <c r="B1924" s="49"/>
      <c r="C1924" s="49"/>
      <c r="D1924" s="49"/>
      <c r="E1924" s="49"/>
      <c r="F1924" s="55"/>
      <c r="G1924" s="55"/>
      <c r="H1924" s="49"/>
      <c r="I1924" s="49"/>
      <c r="J1924" s="49"/>
      <c r="K1924" s="49"/>
      <c r="L1924" s="49"/>
      <c r="M1924" s="49"/>
      <c r="N1924" s="49"/>
      <c r="O1924" s="49"/>
      <c r="P1924" s="49"/>
      <c r="Q1924" s="49"/>
      <c r="R1924" s="49"/>
      <c r="S1924" s="49"/>
      <c r="T1924" s="49"/>
      <c r="U1924" s="49"/>
      <c r="V1924" s="49"/>
      <c r="W1924" s="49"/>
    </row>
    <row r="1925" spans="1:23">
      <c r="A1925" s="49"/>
      <c r="B1925" s="49"/>
      <c r="C1925" s="49"/>
      <c r="D1925" s="49"/>
      <c r="E1925" s="49"/>
      <c r="F1925" s="55"/>
      <c r="G1925" s="55"/>
      <c r="H1925" s="49"/>
      <c r="I1925" s="49"/>
      <c r="J1925" s="49"/>
      <c r="K1925" s="49"/>
      <c r="L1925" s="49"/>
      <c r="M1925" s="49"/>
      <c r="N1925" s="49"/>
      <c r="O1925" s="49"/>
      <c r="P1925" s="49"/>
      <c r="Q1925" s="49"/>
      <c r="R1925" s="49"/>
      <c r="S1925" s="49"/>
      <c r="T1925" s="49"/>
      <c r="U1925" s="49"/>
      <c r="V1925" s="49"/>
      <c r="W1925" s="49"/>
    </row>
    <row r="1926" spans="1:23">
      <c r="A1926" s="49"/>
      <c r="B1926" s="49"/>
      <c r="C1926" s="49"/>
      <c r="D1926" s="49"/>
      <c r="E1926" s="49"/>
      <c r="F1926" s="55"/>
      <c r="G1926" s="55"/>
      <c r="H1926" s="49"/>
      <c r="I1926" s="49"/>
      <c r="J1926" s="49"/>
      <c r="K1926" s="49"/>
      <c r="L1926" s="49"/>
      <c r="M1926" s="49"/>
      <c r="N1926" s="49"/>
      <c r="O1926" s="49"/>
      <c r="P1926" s="49"/>
      <c r="Q1926" s="49"/>
      <c r="R1926" s="49"/>
      <c r="S1926" s="49"/>
      <c r="T1926" s="49"/>
      <c r="U1926" s="49"/>
      <c r="V1926" s="49"/>
      <c r="W1926" s="49"/>
    </row>
    <row r="1927" spans="1:23">
      <c r="A1927" s="49"/>
      <c r="B1927" s="49"/>
      <c r="C1927" s="49"/>
      <c r="D1927" s="49"/>
      <c r="E1927" s="49"/>
      <c r="F1927" s="55"/>
      <c r="G1927" s="55"/>
      <c r="H1927" s="49"/>
      <c r="I1927" s="49"/>
      <c r="J1927" s="49"/>
      <c r="K1927" s="49"/>
      <c r="L1927" s="49"/>
      <c r="M1927" s="49"/>
      <c r="N1927" s="49"/>
      <c r="O1927" s="49"/>
      <c r="P1927" s="49"/>
      <c r="Q1927" s="49"/>
      <c r="R1927" s="49"/>
      <c r="S1927" s="49"/>
      <c r="T1927" s="49"/>
      <c r="U1927" s="49"/>
      <c r="V1927" s="49"/>
      <c r="W1927" s="49"/>
    </row>
    <row r="1928" spans="1:23">
      <c r="A1928" s="49"/>
      <c r="B1928" s="49"/>
      <c r="C1928" s="49"/>
      <c r="D1928" s="49"/>
      <c r="E1928" s="49"/>
      <c r="F1928" s="55"/>
      <c r="G1928" s="55"/>
      <c r="H1928" s="49"/>
      <c r="I1928" s="49"/>
      <c r="J1928" s="49"/>
      <c r="K1928" s="49"/>
      <c r="L1928" s="49"/>
      <c r="M1928" s="49"/>
      <c r="N1928" s="49"/>
      <c r="O1928" s="49"/>
      <c r="P1928" s="49"/>
      <c r="Q1928" s="49"/>
      <c r="R1928" s="49"/>
      <c r="S1928" s="49"/>
      <c r="T1928" s="49"/>
      <c r="U1928" s="49"/>
      <c r="V1928" s="49"/>
      <c r="W1928" s="49"/>
    </row>
    <row r="1929" spans="1:23">
      <c r="A1929" s="49"/>
      <c r="B1929" s="49"/>
      <c r="C1929" s="49"/>
      <c r="D1929" s="49"/>
      <c r="E1929" s="49"/>
      <c r="F1929" s="55"/>
      <c r="G1929" s="55"/>
      <c r="H1929" s="49"/>
      <c r="I1929" s="49"/>
      <c r="J1929" s="49"/>
      <c r="K1929" s="49"/>
      <c r="L1929" s="49"/>
      <c r="M1929" s="49"/>
      <c r="N1929" s="49"/>
      <c r="O1929" s="49"/>
      <c r="P1929" s="49"/>
      <c r="Q1929" s="49"/>
      <c r="R1929" s="49"/>
      <c r="S1929" s="49"/>
      <c r="T1929" s="49"/>
      <c r="U1929" s="49"/>
      <c r="V1929" s="49"/>
      <c r="W1929" s="49"/>
    </row>
    <row r="1930" spans="1:23">
      <c r="A1930" s="49"/>
      <c r="B1930" s="49"/>
      <c r="C1930" s="49"/>
      <c r="D1930" s="49"/>
      <c r="E1930" s="49"/>
      <c r="F1930" s="55"/>
      <c r="G1930" s="55"/>
      <c r="H1930" s="49"/>
      <c r="I1930" s="49"/>
      <c r="J1930" s="49"/>
      <c r="K1930" s="49"/>
      <c r="L1930" s="49"/>
      <c r="M1930" s="49"/>
      <c r="N1930" s="49"/>
      <c r="O1930" s="49"/>
      <c r="P1930" s="49"/>
      <c r="Q1930" s="49"/>
      <c r="R1930" s="49"/>
      <c r="S1930" s="49"/>
      <c r="T1930" s="49"/>
      <c r="U1930" s="49"/>
      <c r="V1930" s="49"/>
      <c r="W1930" s="49"/>
    </row>
    <row r="1931" spans="1:23">
      <c r="A1931" s="49"/>
      <c r="B1931" s="49"/>
      <c r="C1931" s="49"/>
      <c r="D1931" s="49"/>
      <c r="E1931" s="49"/>
      <c r="F1931" s="55"/>
      <c r="G1931" s="55"/>
      <c r="H1931" s="49"/>
      <c r="I1931" s="49"/>
      <c r="J1931" s="49"/>
      <c r="K1931" s="49"/>
      <c r="L1931" s="49"/>
      <c r="M1931" s="49"/>
      <c r="N1931" s="49"/>
      <c r="O1931" s="49"/>
      <c r="P1931" s="49"/>
      <c r="Q1931" s="49"/>
      <c r="R1931" s="49"/>
      <c r="S1931" s="49"/>
      <c r="T1931" s="49"/>
      <c r="U1931" s="49"/>
      <c r="V1931" s="49"/>
      <c r="W1931" s="49"/>
    </row>
    <row r="1932" spans="1:23">
      <c r="A1932" s="49"/>
      <c r="B1932" s="49"/>
      <c r="C1932" s="49"/>
      <c r="D1932" s="49"/>
      <c r="E1932" s="49"/>
      <c r="F1932" s="55"/>
      <c r="G1932" s="55"/>
      <c r="H1932" s="49"/>
      <c r="I1932" s="49"/>
      <c r="J1932" s="49"/>
      <c r="K1932" s="49"/>
      <c r="L1932" s="49"/>
      <c r="M1932" s="49"/>
      <c r="N1932" s="49"/>
      <c r="O1932" s="49"/>
      <c r="P1932" s="49"/>
      <c r="Q1932" s="49"/>
      <c r="R1932" s="49"/>
      <c r="S1932" s="49"/>
      <c r="T1932" s="49"/>
      <c r="U1932" s="49"/>
      <c r="V1932" s="49"/>
      <c r="W1932" s="49"/>
    </row>
    <row r="1933" spans="1:23">
      <c r="A1933" s="49"/>
      <c r="B1933" s="49"/>
      <c r="C1933" s="49"/>
      <c r="D1933" s="49"/>
      <c r="E1933" s="49"/>
      <c r="F1933" s="55"/>
      <c r="G1933" s="55"/>
      <c r="H1933" s="49"/>
      <c r="I1933" s="49"/>
      <c r="J1933" s="49"/>
      <c r="K1933" s="49"/>
      <c r="L1933" s="49"/>
      <c r="M1933" s="49"/>
      <c r="N1933" s="49"/>
      <c r="O1933" s="49"/>
      <c r="P1933" s="49"/>
      <c r="Q1933" s="49"/>
      <c r="R1933" s="49"/>
      <c r="S1933" s="49"/>
      <c r="T1933" s="49"/>
      <c r="U1933" s="49"/>
      <c r="V1933" s="49"/>
      <c r="W1933" s="49"/>
    </row>
    <row r="1934" spans="1:23">
      <c r="A1934" s="49"/>
      <c r="B1934" s="49"/>
      <c r="C1934" s="49"/>
      <c r="D1934" s="49"/>
      <c r="E1934" s="49"/>
      <c r="F1934" s="55"/>
      <c r="G1934" s="55"/>
      <c r="H1934" s="49"/>
      <c r="I1934" s="49"/>
      <c r="J1934" s="49"/>
      <c r="K1934" s="49"/>
      <c r="L1934" s="49"/>
      <c r="M1934" s="49"/>
      <c r="N1934" s="49"/>
      <c r="O1934" s="49"/>
      <c r="P1934" s="49"/>
      <c r="Q1934" s="49"/>
      <c r="R1934" s="49"/>
      <c r="S1934" s="49"/>
      <c r="T1934" s="49"/>
      <c r="U1934" s="49"/>
      <c r="V1934" s="49"/>
      <c r="W1934" s="49"/>
    </row>
    <row r="1935" spans="1:23">
      <c r="A1935" s="49"/>
      <c r="B1935" s="49"/>
      <c r="C1935" s="49"/>
      <c r="D1935" s="49"/>
      <c r="E1935" s="49"/>
      <c r="F1935" s="55"/>
      <c r="G1935" s="55"/>
      <c r="H1935" s="49"/>
      <c r="I1935" s="49"/>
      <c r="J1935" s="49"/>
      <c r="K1935" s="49"/>
      <c r="L1935" s="49"/>
      <c r="M1935" s="49"/>
      <c r="N1935" s="49"/>
      <c r="O1935" s="49"/>
      <c r="P1935" s="49"/>
      <c r="Q1935" s="49"/>
      <c r="R1935" s="49"/>
      <c r="S1935" s="49"/>
      <c r="T1935" s="49"/>
      <c r="U1935" s="49"/>
      <c r="V1935" s="49"/>
      <c r="W1935" s="49"/>
    </row>
    <row r="1936" spans="1:23">
      <c r="A1936" s="49"/>
      <c r="B1936" s="49"/>
      <c r="C1936" s="49"/>
      <c r="D1936" s="49"/>
      <c r="E1936" s="49"/>
      <c r="F1936" s="55"/>
      <c r="G1936" s="55"/>
      <c r="H1936" s="49"/>
      <c r="I1936" s="49"/>
      <c r="J1936" s="49"/>
      <c r="K1936" s="49"/>
      <c r="L1936" s="49"/>
      <c r="M1936" s="49"/>
      <c r="N1936" s="49"/>
      <c r="O1936" s="49"/>
      <c r="P1936" s="49"/>
      <c r="Q1936" s="49"/>
      <c r="R1936" s="49"/>
      <c r="S1936" s="49"/>
      <c r="T1936" s="49"/>
      <c r="U1936" s="49"/>
      <c r="V1936" s="49"/>
      <c r="W1936" s="49"/>
    </row>
    <row r="1937" spans="1:23">
      <c r="A1937" s="49"/>
      <c r="B1937" s="49"/>
      <c r="C1937" s="49"/>
      <c r="D1937" s="49"/>
      <c r="E1937" s="49"/>
      <c r="F1937" s="55"/>
      <c r="G1937" s="55"/>
      <c r="H1937" s="49"/>
      <c r="I1937" s="49"/>
      <c r="J1937" s="49"/>
      <c r="K1937" s="49"/>
      <c r="L1937" s="49"/>
      <c r="M1937" s="49"/>
      <c r="N1937" s="49"/>
      <c r="O1937" s="49"/>
      <c r="P1937" s="49"/>
      <c r="Q1937" s="49"/>
      <c r="R1937" s="49"/>
      <c r="S1937" s="49"/>
      <c r="T1937" s="49"/>
      <c r="U1937" s="49"/>
      <c r="V1937" s="49"/>
      <c r="W1937" s="49"/>
    </row>
    <row r="1938" spans="1:23">
      <c r="A1938" s="49"/>
      <c r="B1938" s="49"/>
      <c r="C1938" s="49"/>
      <c r="D1938" s="49"/>
      <c r="E1938" s="49"/>
      <c r="F1938" s="55"/>
      <c r="G1938" s="55"/>
      <c r="H1938" s="49"/>
      <c r="I1938" s="49"/>
      <c r="J1938" s="49"/>
      <c r="K1938" s="49"/>
      <c r="L1938" s="49"/>
      <c r="M1938" s="49"/>
      <c r="N1938" s="49"/>
      <c r="O1938" s="49"/>
      <c r="P1938" s="49"/>
      <c r="Q1938" s="49"/>
      <c r="R1938" s="49"/>
      <c r="S1938" s="49"/>
      <c r="T1938" s="49"/>
      <c r="U1938" s="49"/>
      <c r="V1938" s="49"/>
      <c r="W1938" s="49"/>
    </row>
    <row r="1939" spans="1:23">
      <c r="A1939" s="49"/>
      <c r="B1939" s="49"/>
      <c r="C1939" s="49"/>
      <c r="D1939" s="49"/>
      <c r="E1939" s="49"/>
      <c r="F1939" s="55"/>
      <c r="G1939" s="55"/>
      <c r="H1939" s="49"/>
      <c r="I1939" s="49"/>
      <c r="J1939" s="49"/>
      <c r="K1939" s="49"/>
      <c r="L1939" s="49"/>
      <c r="M1939" s="49"/>
      <c r="N1939" s="49"/>
      <c r="O1939" s="49"/>
      <c r="P1939" s="49"/>
      <c r="Q1939" s="49"/>
      <c r="R1939" s="49"/>
      <c r="S1939" s="49"/>
      <c r="T1939" s="49"/>
      <c r="U1939" s="49"/>
      <c r="V1939" s="49"/>
      <c r="W1939" s="49"/>
    </row>
    <row r="1940" spans="1:23">
      <c r="A1940" s="49"/>
      <c r="B1940" s="49"/>
      <c r="C1940" s="49"/>
      <c r="D1940" s="49"/>
      <c r="E1940" s="49"/>
      <c r="F1940" s="55"/>
      <c r="G1940" s="55"/>
      <c r="H1940" s="49"/>
      <c r="I1940" s="49"/>
      <c r="J1940" s="49"/>
      <c r="K1940" s="49"/>
      <c r="L1940" s="49"/>
      <c r="M1940" s="49"/>
      <c r="N1940" s="49"/>
      <c r="O1940" s="49"/>
      <c r="P1940" s="49"/>
      <c r="Q1940" s="49"/>
      <c r="R1940" s="49"/>
      <c r="S1940" s="49"/>
      <c r="T1940" s="49"/>
      <c r="U1940" s="49"/>
      <c r="V1940" s="49"/>
      <c r="W1940" s="49"/>
    </row>
    <row r="1941" spans="1:23">
      <c r="A1941" s="49"/>
      <c r="B1941" s="49"/>
      <c r="C1941" s="49"/>
      <c r="D1941" s="49"/>
      <c r="E1941" s="49"/>
      <c r="F1941" s="55"/>
      <c r="G1941" s="55"/>
      <c r="H1941" s="49"/>
      <c r="I1941" s="49"/>
      <c r="J1941" s="49"/>
      <c r="K1941" s="49"/>
      <c r="L1941" s="49"/>
      <c r="M1941" s="49"/>
      <c r="N1941" s="49"/>
      <c r="O1941" s="49"/>
      <c r="P1941" s="49"/>
      <c r="Q1941" s="49"/>
      <c r="R1941" s="49"/>
      <c r="S1941" s="49"/>
      <c r="T1941" s="49"/>
      <c r="U1941" s="49"/>
      <c r="V1941" s="49"/>
      <c r="W1941" s="49"/>
    </row>
    <row r="1942" spans="1:23">
      <c r="A1942" s="49"/>
      <c r="B1942" s="49"/>
      <c r="C1942" s="49"/>
      <c r="D1942" s="49"/>
      <c r="E1942" s="49"/>
      <c r="F1942" s="55"/>
      <c r="G1942" s="55"/>
      <c r="H1942" s="49"/>
      <c r="I1942" s="49"/>
      <c r="J1942" s="49"/>
      <c r="K1942" s="49"/>
      <c r="L1942" s="49"/>
      <c r="M1942" s="49"/>
      <c r="N1942" s="49"/>
      <c r="O1942" s="49"/>
      <c r="P1942" s="49"/>
      <c r="Q1942" s="49"/>
      <c r="R1942" s="49"/>
      <c r="S1942" s="49"/>
      <c r="T1942" s="49"/>
      <c r="U1942" s="49"/>
      <c r="V1942" s="49"/>
      <c r="W1942" s="49"/>
    </row>
    <row r="1943" spans="1:23">
      <c r="A1943" s="49"/>
      <c r="B1943" s="49"/>
      <c r="C1943" s="49"/>
      <c r="D1943" s="49"/>
      <c r="E1943" s="49"/>
      <c r="F1943" s="55"/>
      <c r="G1943" s="55"/>
      <c r="H1943" s="49"/>
      <c r="I1943" s="49"/>
      <c r="J1943" s="49"/>
      <c r="K1943" s="49"/>
      <c r="L1943" s="49"/>
      <c r="M1943" s="49"/>
      <c r="N1943" s="49"/>
      <c r="O1943" s="49"/>
      <c r="P1943" s="49"/>
      <c r="Q1943" s="49"/>
      <c r="R1943" s="49"/>
      <c r="S1943" s="49"/>
      <c r="T1943" s="49"/>
      <c r="U1943" s="49"/>
      <c r="V1943" s="49"/>
      <c r="W1943" s="49"/>
    </row>
    <row r="1944" spans="1:23">
      <c r="A1944" s="49"/>
      <c r="B1944" s="49"/>
      <c r="C1944" s="49"/>
      <c r="D1944" s="49"/>
      <c r="E1944" s="49"/>
      <c r="F1944" s="55"/>
      <c r="G1944" s="55"/>
      <c r="H1944" s="49"/>
      <c r="I1944" s="49"/>
      <c r="J1944" s="49"/>
      <c r="K1944" s="49"/>
      <c r="L1944" s="49"/>
      <c r="M1944" s="49"/>
      <c r="N1944" s="49"/>
      <c r="O1944" s="49"/>
      <c r="P1944" s="49"/>
      <c r="Q1944" s="49"/>
      <c r="R1944" s="49"/>
      <c r="S1944" s="49"/>
      <c r="T1944" s="49"/>
      <c r="U1944" s="49"/>
      <c r="V1944" s="49"/>
      <c r="W1944" s="49"/>
    </row>
    <row r="1945" spans="1:23">
      <c r="A1945" s="49"/>
      <c r="B1945" s="49"/>
      <c r="C1945" s="49"/>
      <c r="D1945" s="49"/>
      <c r="E1945" s="49"/>
      <c r="F1945" s="55"/>
      <c r="G1945" s="55"/>
      <c r="H1945" s="49"/>
      <c r="I1945" s="49"/>
      <c r="J1945" s="49"/>
      <c r="K1945" s="49"/>
      <c r="L1945" s="49"/>
      <c r="M1945" s="49"/>
      <c r="N1945" s="49"/>
      <c r="O1945" s="49"/>
      <c r="P1945" s="49"/>
      <c r="Q1945" s="49"/>
      <c r="R1945" s="49"/>
      <c r="S1945" s="49"/>
      <c r="T1945" s="49"/>
      <c r="U1945" s="49"/>
      <c r="V1945" s="49"/>
      <c r="W1945" s="49"/>
    </row>
    <row r="1946" spans="1:23">
      <c r="A1946" s="49"/>
      <c r="B1946" s="49"/>
      <c r="C1946" s="49"/>
      <c r="D1946" s="49"/>
      <c r="E1946" s="49"/>
      <c r="F1946" s="55"/>
      <c r="G1946" s="55"/>
      <c r="H1946" s="49"/>
      <c r="I1946" s="49"/>
      <c r="J1946" s="49"/>
      <c r="K1946" s="49"/>
      <c r="L1946" s="49"/>
      <c r="M1946" s="49"/>
      <c r="N1946" s="49"/>
      <c r="O1946" s="49"/>
      <c r="P1946" s="49"/>
      <c r="Q1946" s="49"/>
      <c r="R1946" s="49"/>
      <c r="S1946" s="49"/>
      <c r="T1946" s="49"/>
      <c r="U1946" s="49"/>
      <c r="V1946" s="49"/>
      <c r="W1946" s="49"/>
    </row>
    <row r="1947" spans="1:23">
      <c r="A1947" s="49"/>
      <c r="B1947" s="49"/>
      <c r="C1947" s="49"/>
      <c r="D1947" s="49"/>
      <c r="E1947" s="49"/>
      <c r="F1947" s="55"/>
      <c r="G1947" s="55"/>
      <c r="H1947" s="49"/>
      <c r="I1947" s="49"/>
      <c r="J1947" s="49"/>
      <c r="K1947" s="49"/>
      <c r="L1947" s="49"/>
      <c r="M1947" s="49"/>
      <c r="N1947" s="49"/>
      <c r="O1947" s="49"/>
      <c r="P1947" s="49"/>
      <c r="Q1947" s="49"/>
      <c r="R1947" s="49"/>
      <c r="S1947" s="49"/>
      <c r="T1947" s="49"/>
      <c r="U1947" s="49"/>
      <c r="V1947" s="49"/>
      <c r="W1947" s="49"/>
    </row>
    <row r="1948" spans="1:23">
      <c r="A1948" s="49"/>
      <c r="B1948" s="49"/>
      <c r="C1948" s="49"/>
      <c r="D1948" s="49"/>
      <c r="E1948" s="49"/>
      <c r="F1948" s="55"/>
      <c r="G1948" s="55"/>
      <c r="H1948" s="49"/>
      <c r="I1948" s="49"/>
      <c r="J1948" s="49"/>
      <c r="K1948" s="49"/>
      <c r="L1948" s="49"/>
      <c r="M1948" s="49"/>
      <c r="N1948" s="49"/>
      <c r="O1948" s="49"/>
      <c r="P1948" s="49"/>
      <c r="Q1948" s="49"/>
      <c r="R1948" s="49"/>
      <c r="S1948" s="49"/>
      <c r="T1948" s="49"/>
      <c r="U1948" s="49"/>
      <c r="V1948" s="49"/>
      <c r="W1948" s="49"/>
    </row>
    <row r="1949" spans="1:23">
      <c r="A1949" s="49"/>
      <c r="B1949" s="49"/>
      <c r="C1949" s="49"/>
      <c r="D1949" s="49"/>
      <c r="E1949" s="49"/>
      <c r="F1949" s="55"/>
      <c r="G1949" s="55"/>
      <c r="H1949" s="49"/>
      <c r="I1949" s="49"/>
      <c r="J1949" s="49"/>
      <c r="K1949" s="49"/>
      <c r="L1949" s="49"/>
      <c r="M1949" s="49"/>
      <c r="N1949" s="49"/>
      <c r="O1949" s="49"/>
      <c r="P1949" s="49"/>
      <c r="Q1949" s="49"/>
      <c r="R1949" s="49"/>
      <c r="S1949" s="49"/>
      <c r="T1949" s="49"/>
      <c r="U1949" s="49"/>
      <c r="V1949" s="49"/>
      <c r="W1949" s="49"/>
    </row>
    <row r="1950" spans="1:23">
      <c r="A1950" s="49"/>
      <c r="B1950" s="49"/>
      <c r="C1950" s="49"/>
      <c r="D1950" s="49"/>
      <c r="E1950" s="49"/>
      <c r="F1950" s="55"/>
      <c r="G1950" s="55"/>
      <c r="H1950" s="49"/>
      <c r="I1950" s="49"/>
      <c r="J1950" s="49"/>
      <c r="K1950" s="49"/>
      <c r="L1950" s="49"/>
      <c r="M1950" s="49"/>
      <c r="N1950" s="49"/>
      <c r="O1950" s="49"/>
      <c r="P1950" s="49"/>
      <c r="Q1950" s="49"/>
      <c r="R1950" s="49"/>
      <c r="S1950" s="49"/>
      <c r="T1950" s="49"/>
      <c r="U1950" s="49"/>
      <c r="V1950" s="49"/>
      <c r="W1950" s="49"/>
    </row>
    <row r="1951" spans="1:23">
      <c r="A1951" s="49"/>
      <c r="B1951" s="49"/>
      <c r="C1951" s="49"/>
      <c r="D1951" s="49"/>
      <c r="E1951" s="49"/>
      <c r="F1951" s="55"/>
      <c r="G1951" s="55"/>
      <c r="H1951" s="49"/>
      <c r="I1951" s="49"/>
      <c r="J1951" s="49"/>
      <c r="K1951" s="49"/>
      <c r="L1951" s="49"/>
      <c r="M1951" s="49"/>
      <c r="N1951" s="49"/>
      <c r="O1951" s="49"/>
      <c r="P1951" s="49"/>
      <c r="Q1951" s="49"/>
      <c r="R1951" s="49"/>
      <c r="S1951" s="49"/>
      <c r="T1951" s="49"/>
      <c r="U1951" s="49"/>
      <c r="V1951" s="49"/>
      <c r="W1951" s="49"/>
    </row>
    <row r="1952" spans="1:23">
      <c r="A1952" s="49"/>
      <c r="B1952" s="49"/>
      <c r="C1952" s="49"/>
      <c r="D1952" s="49"/>
      <c r="E1952" s="49"/>
      <c r="F1952" s="55"/>
      <c r="G1952" s="55"/>
      <c r="H1952" s="49"/>
      <c r="I1952" s="49"/>
      <c r="J1952" s="49"/>
      <c r="K1952" s="49"/>
      <c r="L1952" s="49"/>
      <c r="M1952" s="49"/>
      <c r="N1952" s="49"/>
      <c r="O1952" s="49"/>
      <c r="P1952" s="49"/>
      <c r="Q1952" s="49"/>
      <c r="R1952" s="49"/>
      <c r="S1952" s="49"/>
      <c r="T1952" s="49"/>
      <c r="U1952" s="49"/>
      <c r="V1952" s="49"/>
      <c r="W1952" s="49"/>
    </row>
    <row r="1953" spans="1:23">
      <c r="A1953" s="49"/>
      <c r="B1953" s="49"/>
      <c r="C1953" s="49"/>
      <c r="D1953" s="49"/>
      <c r="E1953" s="49"/>
      <c r="F1953" s="55"/>
      <c r="G1953" s="55"/>
      <c r="H1953" s="49"/>
      <c r="I1953" s="49"/>
      <c r="J1953" s="49"/>
      <c r="K1953" s="49"/>
      <c r="L1953" s="49"/>
      <c r="M1953" s="49"/>
      <c r="N1953" s="49"/>
      <c r="O1953" s="49"/>
      <c r="P1953" s="49"/>
      <c r="Q1953" s="49"/>
      <c r="R1953" s="49"/>
      <c r="S1953" s="49"/>
      <c r="T1953" s="49"/>
      <c r="U1953" s="49"/>
      <c r="V1953" s="49"/>
      <c r="W1953" s="49"/>
    </row>
    <row r="1954" spans="1:23">
      <c r="A1954" s="49"/>
      <c r="B1954" s="49"/>
      <c r="C1954" s="49"/>
      <c r="D1954" s="49"/>
      <c r="E1954" s="49"/>
      <c r="F1954" s="55"/>
      <c r="G1954" s="55"/>
      <c r="H1954" s="49"/>
      <c r="I1954" s="49"/>
      <c r="J1954" s="49"/>
      <c r="K1954" s="49"/>
      <c r="L1954" s="49"/>
      <c r="M1954" s="49"/>
      <c r="N1954" s="49"/>
      <c r="O1954" s="49"/>
      <c r="P1954" s="49"/>
      <c r="Q1954" s="49"/>
      <c r="R1954" s="49"/>
      <c r="S1954" s="49"/>
      <c r="T1954" s="49"/>
      <c r="U1954" s="49"/>
      <c r="V1954" s="49"/>
      <c r="W1954" s="49"/>
    </row>
    <row r="1955" spans="1:23">
      <c r="A1955" s="49"/>
      <c r="B1955" s="49"/>
      <c r="C1955" s="49"/>
      <c r="D1955" s="49"/>
      <c r="E1955" s="49"/>
      <c r="F1955" s="55"/>
      <c r="G1955" s="55"/>
      <c r="H1955" s="49"/>
      <c r="I1955" s="49"/>
      <c r="J1955" s="49"/>
      <c r="K1955" s="49"/>
      <c r="L1955" s="49"/>
      <c r="M1955" s="49"/>
      <c r="N1955" s="49"/>
      <c r="O1955" s="49"/>
      <c r="P1955" s="49"/>
      <c r="Q1955" s="49"/>
      <c r="R1955" s="49"/>
      <c r="S1955" s="49"/>
      <c r="T1955" s="49"/>
      <c r="U1955" s="49"/>
      <c r="V1955" s="49"/>
      <c r="W1955" s="49"/>
    </row>
    <row r="1956" spans="1:23">
      <c r="A1956" s="49"/>
      <c r="B1956" s="49"/>
      <c r="C1956" s="49"/>
      <c r="D1956" s="49"/>
      <c r="E1956" s="49"/>
      <c r="F1956" s="55"/>
      <c r="G1956" s="55"/>
      <c r="H1956" s="49"/>
      <c r="I1956" s="49"/>
      <c r="J1956" s="49"/>
      <c r="K1956" s="49"/>
      <c r="L1956" s="49"/>
      <c r="M1956" s="49"/>
      <c r="N1956" s="49"/>
      <c r="O1956" s="49"/>
      <c r="P1956" s="49"/>
      <c r="Q1956" s="49"/>
      <c r="R1956" s="49"/>
      <c r="S1956" s="49"/>
      <c r="T1956" s="49"/>
      <c r="U1956" s="49"/>
      <c r="V1956" s="49"/>
      <c r="W1956" s="49"/>
    </row>
    <row r="1957" spans="1:23">
      <c r="A1957" s="49"/>
      <c r="B1957" s="49"/>
      <c r="C1957" s="49"/>
      <c r="D1957" s="49"/>
      <c r="E1957" s="49"/>
      <c r="F1957" s="55"/>
      <c r="G1957" s="55"/>
      <c r="H1957" s="49"/>
      <c r="I1957" s="49"/>
      <c r="J1957" s="49"/>
      <c r="K1957" s="49"/>
      <c r="L1957" s="49"/>
      <c r="M1957" s="49"/>
      <c r="N1957" s="49"/>
      <c r="O1957" s="49"/>
      <c r="P1957" s="49"/>
      <c r="Q1957" s="49"/>
      <c r="R1957" s="49"/>
      <c r="S1957" s="49"/>
      <c r="T1957" s="49"/>
      <c r="U1957" s="49"/>
      <c r="V1957" s="49"/>
      <c r="W1957" s="49"/>
    </row>
    <row r="1958" spans="1:23">
      <c r="A1958" s="49"/>
      <c r="B1958" s="49"/>
      <c r="C1958" s="49"/>
      <c r="D1958" s="49"/>
      <c r="E1958" s="49"/>
      <c r="F1958" s="55"/>
      <c r="G1958" s="55"/>
      <c r="H1958" s="49"/>
      <c r="I1958" s="49"/>
      <c r="J1958" s="49"/>
      <c r="K1958" s="49"/>
      <c r="L1958" s="49"/>
      <c r="M1958" s="49"/>
      <c r="N1958" s="49"/>
      <c r="O1958" s="49"/>
      <c r="P1958" s="49"/>
      <c r="Q1958" s="49"/>
      <c r="R1958" s="49"/>
      <c r="S1958" s="49"/>
      <c r="T1958" s="49"/>
      <c r="U1958" s="49"/>
      <c r="V1958" s="49"/>
      <c r="W1958" s="49"/>
    </row>
    <row r="1959" spans="1:23">
      <c r="A1959" s="49"/>
      <c r="B1959" s="49"/>
      <c r="C1959" s="49"/>
      <c r="D1959" s="49"/>
      <c r="E1959" s="49"/>
      <c r="F1959" s="55"/>
      <c r="G1959" s="55"/>
      <c r="H1959" s="49"/>
      <c r="I1959" s="49"/>
      <c r="J1959" s="49"/>
      <c r="K1959" s="49"/>
      <c r="L1959" s="49"/>
      <c r="M1959" s="49"/>
      <c r="N1959" s="49"/>
      <c r="O1959" s="49"/>
      <c r="P1959" s="49"/>
      <c r="Q1959" s="49"/>
      <c r="R1959" s="49"/>
      <c r="S1959" s="49"/>
      <c r="T1959" s="49"/>
      <c r="U1959" s="49"/>
      <c r="V1959" s="49"/>
      <c r="W1959" s="49"/>
    </row>
    <row r="1960" spans="1:23">
      <c r="A1960" s="49"/>
      <c r="B1960" s="49"/>
      <c r="C1960" s="49"/>
      <c r="D1960" s="49"/>
      <c r="E1960" s="49"/>
      <c r="F1960" s="55"/>
      <c r="G1960" s="55"/>
      <c r="H1960" s="49"/>
      <c r="I1960" s="49"/>
      <c r="J1960" s="49"/>
      <c r="K1960" s="49"/>
      <c r="L1960" s="49"/>
      <c r="M1960" s="49"/>
      <c r="N1960" s="49"/>
      <c r="O1960" s="49"/>
      <c r="P1960" s="49"/>
      <c r="Q1960" s="49"/>
      <c r="R1960" s="49"/>
      <c r="S1960" s="49"/>
      <c r="T1960" s="49"/>
      <c r="U1960" s="49"/>
      <c r="V1960" s="49"/>
      <c r="W1960" s="49"/>
    </row>
    <row r="1961" spans="1:23">
      <c r="A1961" s="49"/>
      <c r="B1961" s="49"/>
      <c r="C1961" s="49"/>
      <c r="D1961" s="49"/>
      <c r="E1961" s="49"/>
      <c r="F1961" s="55"/>
      <c r="G1961" s="55"/>
      <c r="H1961" s="49"/>
      <c r="I1961" s="49"/>
      <c r="J1961" s="49"/>
      <c r="K1961" s="49"/>
      <c r="L1961" s="49"/>
      <c r="M1961" s="49"/>
      <c r="N1961" s="49"/>
      <c r="O1961" s="49"/>
      <c r="P1961" s="49"/>
      <c r="Q1961" s="49"/>
      <c r="R1961" s="49"/>
      <c r="S1961" s="49"/>
      <c r="T1961" s="49"/>
      <c r="U1961" s="49"/>
      <c r="V1961" s="49"/>
      <c r="W1961" s="49"/>
    </row>
    <row r="1962" spans="1:23">
      <c r="A1962" s="49"/>
      <c r="B1962" s="49"/>
      <c r="C1962" s="49"/>
      <c r="D1962" s="49"/>
      <c r="E1962" s="49"/>
      <c r="F1962" s="55"/>
      <c r="G1962" s="55"/>
      <c r="H1962" s="49"/>
      <c r="I1962" s="49"/>
      <c r="J1962" s="49"/>
      <c r="K1962" s="49"/>
      <c r="L1962" s="49"/>
      <c r="M1962" s="49"/>
      <c r="N1962" s="49"/>
      <c r="O1962" s="49"/>
      <c r="P1962" s="49"/>
      <c r="Q1962" s="49"/>
      <c r="R1962" s="49"/>
      <c r="S1962" s="49"/>
      <c r="T1962" s="49"/>
      <c r="U1962" s="49"/>
      <c r="V1962" s="49"/>
      <c r="W1962" s="49"/>
    </row>
    <row r="1963" spans="1:23">
      <c r="A1963" s="49"/>
      <c r="B1963" s="49"/>
      <c r="C1963" s="49"/>
      <c r="D1963" s="49"/>
      <c r="E1963" s="49"/>
      <c r="F1963" s="55"/>
      <c r="G1963" s="55"/>
      <c r="H1963" s="49"/>
      <c r="I1963" s="49"/>
      <c r="J1963" s="49"/>
      <c r="K1963" s="49"/>
      <c r="L1963" s="49"/>
      <c r="M1963" s="49"/>
      <c r="N1963" s="49"/>
      <c r="O1963" s="49"/>
      <c r="P1963" s="49"/>
      <c r="Q1963" s="49"/>
      <c r="R1963" s="49"/>
      <c r="S1963" s="49"/>
      <c r="T1963" s="49"/>
      <c r="U1963" s="49"/>
      <c r="V1963" s="49"/>
      <c r="W1963" s="49"/>
    </row>
    <row r="1964" spans="1:23">
      <c r="A1964" s="49"/>
      <c r="B1964" s="49"/>
      <c r="C1964" s="49"/>
      <c r="D1964" s="49"/>
      <c r="E1964" s="49"/>
      <c r="F1964" s="55"/>
      <c r="G1964" s="55"/>
      <c r="H1964" s="49"/>
      <c r="I1964" s="49"/>
      <c r="J1964" s="49"/>
      <c r="K1964" s="49"/>
      <c r="L1964" s="49"/>
      <c r="M1964" s="49"/>
      <c r="N1964" s="49"/>
      <c r="O1964" s="49"/>
      <c r="P1964" s="49"/>
      <c r="Q1964" s="49"/>
      <c r="R1964" s="49"/>
      <c r="S1964" s="49"/>
      <c r="T1964" s="49"/>
      <c r="U1964" s="49"/>
      <c r="V1964" s="49"/>
      <c r="W1964" s="49"/>
    </row>
    <row r="1965" spans="1:23">
      <c r="A1965" s="49"/>
      <c r="B1965" s="49"/>
      <c r="C1965" s="49"/>
      <c r="D1965" s="49"/>
      <c r="E1965" s="49"/>
      <c r="F1965" s="55"/>
      <c r="G1965" s="55"/>
      <c r="H1965" s="49"/>
      <c r="I1965" s="49"/>
      <c r="J1965" s="49"/>
      <c r="K1965" s="49"/>
      <c r="L1965" s="49"/>
      <c r="M1965" s="49"/>
      <c r="N1965" s="49"/>
      <c r="O1965" s="49"/>
      <c r="P1965" s="49"/>
      <c r="Q1965" s="49"/>
      <c r="R1965" s="49"/>
      <c r="S1965" s="49"/>
      <c r="T1965" s="49"/>
      <c r="U1965" s="49"/>
      <c r="V1965" s="49"/>
      <c r="W1965" s="49"/>
    </row>
    <row r="1966" spans="1:23">
      <c r="A1966" s="49"/>
      <c r="B1966" s="49"/>
      <c r="C1966" s="49"/>
      <c r="D1966" s="49"/>
      <c r="E1966" s="49"/>
      <c r="F1966" s="55"/>
      <c r="G1966" s="55"/>
      <c r="H1966" s="49"/>
      <c r="I1966" s="49"/>
      <c r="J1966" s="49"/>
      <c r="K1966" s="49"/>
      <c r="L1966" s="49"/>
      <c r="M1966" s="49"/>
      <c r="N1966" s="49"/>
      <c r="O1966" s="49"/>
      <c r="P1966" s="49"/>
      <c r="Q1966" s="49"/>
      <c r="R1966" s="49"/>
      <c r="S1966" s="49"/>
      <c r="T1966" s="49"/>
      <c r="U1966" s="49"/>
      <c r="V1966" s="49"/>
      <c r="W1966" s="49"/>
    </row>
    <row r="1967" spans="1:23">
      <c r="A1967" s="49"/>
      <c r="B1967" s="49"/>
      <c r="C1967" s="49"/>
      <c r="D1967" s="49"/>
      <c r="E1967" s="49"/>
      <c r="F1967" s="55"/>
      <c r="G1967" s="55"/>
      <c r="H1967" s="49"/>
      <c r="I1967" s="49"/>
      <c r="J1967" s="49"/>
      <c r="K1967" s="49"/>
      <c r="L1967" s="49"/>
      <c r="M1967" s="49"/>
      <c r="N1967" s="49"/>
      <c r="O1967" s="49"/>
      <c r="P1967" s="49"/>
      <c r="Q1967" s="49"/>
      <c r="R1967" s="49"/>
      <c r="S1967" s="49"/>
      <c r="T1967" s="49"/>
      <c r="U1967" s="49"/>
      <c r="V1967" s="49"/>
      <c r="W1967" s="49"/>
    </row>
    <row r="1968" spans="1:23">
      <c r="A1968" s="49"/>
      <c r="B1968" s="49"/>
      <c r="C1968" s="49"/>
      <c r="D1968" s="49"/>
      <c r="E1968" s="49"/>
      <c r="F1968" s="55"/>
      <c r="G1968" s="55"/>
      <c r="H1968" s="49"/>
      <c r="I1968" s="49"/>
      <c r="J1968" s="49"/>
      <c r="K1968" s="49"/>
      <c r="L1968" s="49"/>
      <c r="M1968" s="49"/>
      <c r="N1968" s="49"/>
      <c r="O1968" s="49"/>
      <c r="P1968" s="49"/>
      <c r="Q1968" s="49"/>
      <c r="R1968" s="49"/>
      <c r="S1968" s="49"/>
      <c r="T1968" s="49"/>
      <c r="U1968" s="49"/>
      <c r="V1968" s="49"/>
      <c r="W1968" s="49"/>
    </row>
    <row r="1969" spans="1:23">
      <c r="A1969" s="49"/>
      <c r="B1969" s="49"/>
      <c r="C1969" s="49"/>
      <c r="D1969" s="49"/>
      <c r="E1969" s="49"/>
      <c r="F1969" s="55"/>
      <c r="G1969" s="55"/>
      <c r="H1969" s="49"/>
      <c r="I1969" s="49"/>
      <c r="J1969" s="49"/>
      <c r="K1969" s="49"/>
      <c r="L1969" s="49"/>
      <c r="M1969" s="49"/>
      <c r="N1969" s="49"/>
      <c r="O1969" s="49"/>
      <c r="P1969" s="49"/>
      <c r="Q1969" s="49"/>
      <c r="R1969" s="49"/>
      <c r="S1969" s="49"/>
      <c r="T1969" s="49"/>
      <c r="U1969" s="49"/>
      <c r="V1969" s="49"/>
      <c r="W1969" s="49"/>
    </row>
    <row r="1970" spans="1:23">
      <c r="A1970" s="49"/>
      <c r="B1970" s="49"/>
      <c r="C1970" s="49"/>
      <c r="D1970" s="49"/>
      <c r="E1970" s="49"/>
      <c r="F1970" s="55"/>
      <c r="G1970" s="55"/>
      <c r="H1970" s="49"/>
      <c r="I1970" s="49"/>
      <c r="J1970" s="49"/>
      <c r="K1970" s="49"/>
      <c r="L1970" s="49"/>
      <c r="M1970" s="49"/>
      <c r="N1970" s="49"/>
      <c r="O1970" s="49"/>
      <c r="P1970" s="49"/>
      <c r="Q1970" s="49"/>
      <c r="R1970" s="49"/>
      <c r="S1970" s="49"/>
      <c r="T1970" s="49"/>
      <c r="U1970" s="49"/>
      <c r="V1970" s="49"/>
      <c r="W1970" s="49"/>
    </row>
    <row r="1971" spans="1:23">
      <c r="A1971" s="49"/>
      <c r="B1971" s="49"/>
      <c r="C1971" s="49"/>
      <c r="D1971" s="49"/>
      <c r="E1971" s="49"/>
      <c r="F1971" s="55"/>
      <c r="G1971" s="55"/>
      <c r="H1971" s="49"/>
      <c r="I1971" s="49"/>
      <c r="J1971" s="49"/>
      <c r="K1971" s="49"/>
      <c r="L1971" s="49"/>
      <c r="M1971" s="49"/>
      <c r="N1971" s="49"/>
      <c r="O1971" s="49"/>
      <c r="P1971" s="49"/>
      <c r="Q1971" s="49"/>
      <c r="R1971" s="49"/>
      <c r="S1971" s="49"/>
      <c r="T1971" s="49"/>
      <c r="U1971" s="49"/>
      <c r="V1971" s="49"/>
      <c r="W1971" s="49"/>
    </row>
    <row r="1972" spans="1:23">
      <c r="A1972" s="49"/>
      <c r="B1972" s="49"/>
      <c r="C1972" s="49"/>
      <c r="D1972" s="49"/>
      <c r="E1972" s="49"/>
      <c r="F1972" s="55"/>
      <c r="G1972" s="55"/>
      <c r="H1972" s="49"/>
      <c r="I1972" s="49"/>
      <c r="J1972" s="49"/>
      <c r="K1972" s="49"/>
      <c r="L1972" s="49"/>
      <c r="M1972" s="49"/>
      <c r="N1972" s="49"/>
      <c r="O1972" s="49"/>
      <c r="P1972" s="49"/>
      <c r="Q1972" s="49"/>
      <c r="R1972" s="49"/>
      <c r="S1972" s="49"/>
      <c r="T1972" s="49"/>
      <c r="U1972" s="49"/>
      <c r="V1972" s="49"/>
      <c r="W1972" s="49"/>
    </row>
    <row r="1973" spans="1:23">
      <c r="A1973" s="49"/>
      <c r="B1973" s="49"/>
      <c r="C1973" s="49"/>
      <c r="D1973" s="49"/>
      <c r="E1973" s="49"/>
      <c r="F1973" s="55"/>
      <c r="G1973" s="55"/>
      <c r="H1973" s="49"/>
      <c r="I1973" s="49"/>
      <c r="J1973" s="49"/>
      <c r="K1973" s="49"/>
      <c r="L1973" s="49"/>
      <c r="M1973" s="49"/>
      <c r="N1973" s="49"/>
      <c r="O1973" s="49"/>
      <c r="P1973" s="49"/>
      <c r="Q1973" s="49"/>
      <c r="R1973" s="49"/>
      <c r="S1973" s="49"/>
      <c r="T1973" s="49"/>
      <c r="U1973" s="49"/>
      <c r="V1973" s="49"/>
      <c r="W1973" s="49"/>
    </row>
    <row r="1974" spans="1:23">
      <c r="A1974" s="49"/>
      <c r="B1974" s="49"/>
      <c r="C1974" s="49"/>
      <c r="D1974" s="49"/>
      <c r="E1974" s="49"/>
      <c r="F1974" s="55"/>
      <c r="G1974" s="55"/>
      <c r="H1974" s="49"/>
      <c r="I1974" s="49"/>
      <c r="J1974" s="49"/>
      <c r="K1974" s="49"/>
      <c r="L1974" s="49"/>
      <c r="M1974" s="49"/>
      <c r="N1974" s="49"/>
      <c r="O1974" s="49"/>
      <c r="P1974" s="49"/>
      <c r="Q1974" s="49"/>
      <c r="R1974" s="49"/>
      <c r="S1974" s="49"/>
      <c r="T1974" s="49"/>
      <c r="U1974" s="49"/>
      <c r="V1974" s="49"/>
      <c r="W1974" s="49"/>
    </row>
    <row r="1975" spans="1:23">
      <c r="A1975" s="49"/>
      <c r="B1975" s="49"/>
      <c r="C1975" s="49"/>
      <c r="D1975" s="49"/>
      <c r="E1975" s="49"/>
      <c r="F1975" s="55"/>
      <c r="G1975" s="55"/>
      <c r="H1975" s="49"/>
      <c r="I1975" s="49"/>
      <c r="J1975" s="49"/>
      <c r="K1975" s="49"/>
      <c r="L1975" s="49"/>
      <c r="M1975" s="49"/>
      <c r="N1975" s="49"/>
      <c r="O1975" s="49"/>
      <c r="P1975" s="49"/>
      <c r="Q1975" s="49"/>
      <c r="R1975" s="49"/>
      <c r="S1975" s="49"/>
      <c r="T1975" s="49"/>
      <c r="U1975" s="49"/>
      <c r="V1975" s="49"/>
      <c r="W1975" s="49"/>
    </row>
    <row r="1976" spans="1:23">
      <c r="A1976" s="49"/>
      <c r="B1976" s="49"/>
      <c r="C1976" s="49"/>
      <c r="D1976" s="49"/>
      <c r="E1976" s="49"/>
      <c r="F1976" s="55"/>
      <c r="G1976" s="55"/>
      <c r="H1976" s="49"/>
      <c r="I1976" s="49"/>
      <c r="J1976" s="49"/>
      <c r="K1976" s="49"/>
      <c r="L1976" s="49"/>
      <c r="M1976" s="49"/>
      <c r="N1976" s="49"/>
      <c r="O1976" s="49"/>
      <c r="P1976" s="49"/>
      <c r="Q1976" s="49"/>
      <c r="R1976" s="49"/>
      <c r="S1976" s="49"/>
      <c r="T1976" s="49"/>
      <c r="U1976" s="49"/>
      <c r="V1976" s="49"/>
      <c r="W1976" s="49"/>
    </row>
    <row r="1977" spans="1:23">
      <c r="A1977" s="49"/>
      <c r="B1977" s="49"/>
      <c r="C1977" s="49"/>
      <c r="D1977" s="49"/>
      <c r="E1977" s="49"/>
      <c r="F1977" s="55"/>
      <c r="G1977" s="55"/>
      <c r="H1977" s="49"/>
      <c r="I1977" s="49"/>
      <c r="J1977" s="49"/>
      <c r="K1977" s="49"/>
      <c r="L1977" s="49"/>
      <c r="M1977" s="49"/>
      <c r="N1977" s="49"/>
      <c r="O1977" s="49"/>
      <c r="P1977" s="49"/>
      <c r="Q1977" s="49"/>
      <c r="R1977" s="49"/>
      <c r="S1977" s="49"/>
      <c r="T1977" s="49"/>
      <c r="U1977" s="49"/>
      <c r="V1977" s="49"/>
      <c r="W1977" s="49"/>
    </row>
    <row r="1978" spans="1:23">
      <c r="A1978" s="49"/>
      <c r="B1978" s="49"/>
      <c r="C1978" s="49"/>
      <c r="D1978" s="49"/>
      <c r="E1978" s="49"/>
      <c r="F1978" s="55"/>
      <c r="G1978" s="55"/>
      <c r="H1978" s="49"/>
      <c r="I1978" s="49"/>
      <c r="J1978" s="49"/>
      <c r="K1978" s="49"/>
      <c r="L1978" s="49"/>
      <c r="M1978" s="49"/>
      <c r="N1978" s="49"/>
      <c r="O1978" s="49"/>
      <c r="P1978" s="49"/>
      <c r="Q1978" s="49"/>
      <c r="R1978" s="49"/>
      <c r="S1978" s="49"/>
      <c r="T1978" s="49"/>
      <c r="U1978" s="49"/>
      <c r="V1978" s="49"/>
      <c r="W1978" s="49"/>
    </row>
    <row r="1979" spans="1:23">
      <c r="A1979" s="49"/>
      <c r="B1979" s="49"/>
      <c r="C1979" s="49"/>
      <c r="D1979" s="49"/>
      <c r="E1979" s="49"/>
      <c r="F1979" s="55"/>
      <c r="G1979" s="55"/>
      <c r="H1979" s="49"/>
      <c r="I1979" s="49"/>
      <c r="J1979" s="49"/>
      <c r="K1979" s="49"/>
      <c r="L1979" s="49"/>
      <c r="M1979" s="49"/>
      <c r="N1979" s="49"/>
      <c r="O1979" s="49"/>
      <c r="P1979" s="49"/>
      <c r="Q1979" s="49"/>
      <c r="R1979" s="49"/>
      <c r="S1979" s="49"/>
      <c r="T1979" s="49"/>
      <c r="U1979" s="49"/>
      <c r="V1979" s="49"/>
      <c r="W1979" s="49"/>
    </row>
    <row r="1980" spans="1:23">
      <c r="A1980" s="49"/>
      <c r="B1980" s="49"/>
      <c r="C1980" s="49"/>
      <c r="D1980" s="49"/>
      <c r="E1980" s="49"/>
      <c r="F1980" s="55"/>
      <c r="G1980" s="55"/>
      <c r="H1980" s="49"/>
      <c r="I1980" s="49"/>
      <c r="J1980" s="49"/>
      <c r="K1980" s="49"/>
      <c r="L1980" s="49"/>
      <c r="M1980" s="49"/>
      <c r="N1980" s="49"/>
      <c r="O1980" s="49"/>
      <c r="P1980" s="49"/>
      <c r="Q1980" s="49"/>
      <c r="R1980" s="49"/>
      <c r="S1980" s="49"/>
      <c r="T1980" s="49"/>
      <c r="U1980" s="49"/>
      <c r="V1980" s="49"/>
      <c r="W1980" s="49"/>
    </row>
    <row r="1981" spans="1:23">
      <c r="A1981" s="49"/>
      <c r="B1981" s="49"/>
      <c r="C1981" s="49"/>
      <c r="D1981" s="49"/>
      <c r="E1981" s="49"/>
      <c r="F1981" s="55"/>
      <c r="G1981" s="55"/>
      <c r="H1981" s="49"/>
      <c r="I1981" s="49"/>
      <c r="J1981" s="49"/>
      <c r="K1981" s="49"/>
      <c r="L1981" s="49"/>
      <c r="M1981" s="49"/>
      <c r="N1981" s="49"/>
      <c r="O1981" s="49"/>
      <c r="P1981" s="49"/>
      <c r="Q1981" s="49"/>
      <c r="R1981" s="49"/>
      <c r="S1981" s="49"/>
      <c r="T1981" s="49"/>
      <c r="U1981" s="49"/>
      <c r="V1981" s="49"/>
      <c r="W1981" s="49"/>
    </row>
    <row r="1982" spans="1:23">
      <c r="A1982" s="49"/>
      <c r="B1982" s="49"/>
      <c r="C1982" s="49"/>
      <c r="D1982" s="49"/>
      <c r="E1982" s="49"/>
      <c r="F1982" s="55"/>
      <c r="G1982" s="55"/>
      <c r="H1982" s="49"/>
      <c r="I1982" s="49"/>
      <c r="J1982" s="49"/>
      <c r="K1982" s="49"/>
      <c r="L1982" s="49"/>
      <c r="M1982" s="49"/>
      <c r="N1982" s="49"/>
      <c r="O1982" s="49"/>
      <c r="P1982" s="49"/>
      <c r="Q1982" s="49"/>
      <c r="R1982" s="49"/>
      <c r="S1982" s="49"/>
      <c r="T1982" s="49"/>
      <c r="U1982" s="49"/>
      <c r="V1982" s="49"/>
      <c r="W1982" s="49"/>
    </row>
    <row r="1983" spans="1:23">
      <c r="A1983" s="49"/>
      <c r="B1983" s="49"/>
      <c r="C1983" s="49"/>
      <c r="D1983" s="49"/>
      <c r="E1983" s="49"/>
      <c r="F1983" s="55"/>
      <c r="G1983" s="55"/>
      <c r="H1983" s="49"/>
      <c r="I1983" s="49"/>
      <c r="J1983" s="49"/>
      <c r="K1983" s="49"/>
      <c r="L1983" s="49"/>
      <c r="M1983" s="49"/>
      <c r="N1983" s="49"/>
      <c r="O1983" s="49"/>
      <c r="P1983" s="49"/>
      <c r="Q1983" s="49"/>
      <c r="R1983" s="49"/>
      <c r="S1983" s="49"/>
      <c r="T1983" s="49"/>
      <c r="U1983" s="49"/>
      <c r="V1983" s="49"/>
      <c r="W1983" s="49"/>
    </row>
    <row r="1984" spans="1:23">
      <c r="A1984" s="49"/>
      <c r="B1984" s="49"/>
      <c r="C1984" s="49"/>
      <c r="D1984" s="49"/>
      <c r="E1984" s="49"/>
      <c r="F1984" s="55"/>
      <c r="G1984" s="55"/>
      <c r="H1984" s="49"/>
      <c r="I1984" s="49"/>
      <c r="J1984" s="49"/>
      <c r="K1984" s="49"/>
      <c r="L1984" s="49"/>
      <c r="M1984" s="49"/>
      <c r="N1984" s="49"/>
      <c r="O1984" s="49"/>
      <c r="P1984" s="49"/>
      <c r="Q1984" s="49"/>
      <c r="R1984" s="49"/>
      <c r="S1984" s="49"/>
      <c r="T1984" s="49"/>
      <c r="U1984" s="49"/>
      <c r="V1984" s="49"/>
      <c r="W1984" s="49"/>
    </row>
    <row r="1985" spans="1:23">
      <c r="A1985" s="49"/>
      <c r="B1985" s="49"/>
      <c r="C1985" s="49"/>
      <c r="D1985" s="49"/>
      <c r="E1985" s="49"/>
      <c r="F1985" s="55"/>
      <c r="G1985" s="55"/>
      <c r="H1985" s="49"/>
      <c r="I1985" s="49"/>
      <c r="J1985" s="49"/>
      <c r="K1985" s="49"/>
      <c r="L1985" s="49"/>
      <c r="M1985" s="49"/>
      <c r="N1985" s="49"/>
      <c r="O1985" s="49"/>
      <c r="P1985" s="49"/>
      <c r="Q1985" s="49"/>
      <c r="R1985" s="49"/>
      <c r="S1985" s="49"/>
      <c r="T1985" s="49"/>
      <c r="U1985" s="49"/>
      <c r="V1985" s="49"/>
      <c r="W1985" s="49"/>
    </row>
    <row r="1986" spans="1:23">
      <c r="A1986" s="49"/>
      <c r="B1986" s="49"/>
      <c r="C1986" s="49"/>
      <c r="D1986" s="49"/>
      <c r="E1986" s="49"/>
      <c r="F1986" s="55"/>
      <c r="G1986" s="55"/>
      <c r="H1986" s="49"/>
      <c r="I1986" s="49"/>
      <c r="J1986" s="49"/>
      <c r="K1986" s="49"/>
      <c r="L1986" s="49"/>
      <c r="M1986" s="49"/>
      <c r="N1986" s="49"/>
      <c r="O1986" s="49"/>
      <c r="P1986" s="49"/>
      <c r="Q1986" s="49"/>
      <c r="R1986" s="49"/>
      <c r="S1986" s="49"/>
      <c r="T1986" s="49"/>
      <c r="U1986" s="49"/>
      <c r="V1986" s="49"/>
      <c r="W1986" s="49"/>
    </row>
    <row r="1987" spans="1:23">
      <c r="A1987" s="49"/>
      <c r="B1987" s="49"/>
      <c r="C1987" s="49"/>
      <c r="D1987" s="49"/>
      <c r="E1987" s="49"/>
      <c r="F1987" s="55"/>
      <c r="G1987" s="55"/>
      <c r="H1987" s="49"/>
      <c r="I1987" s="49"/>
      <c r="J1987" s="49"/>
      <c r="K1987" s="49"/>
      <c r="L1987" s="49"/>
      <c r="M1987" s="49"/>
      <c r="N1987" s="49"/>
      <c r="O1987" s="49"/>
      <c r="P1987" s="49"/>
      <c r="Q1987" s="49"/>
      <c r="R1987" s="49"/>
      <c r="S1987" s="49"/>
      <c r="T1987" s="49"/>
      <c r="U1987" s="49"/>
      <c r="V1987" s="49"/>
      <c r="W1987" s="49"/>
    </row>
    <row r="1988" spans="1:23">
      <c r="A1988" s="49"/>
      <c r="B1988" s="49"/>
      <c r="C1988" s="49"/>
      <c r="D1988" s="49"/>
      <c r="E1988" s="49"/>
      <c r="F1988" s="55"/>
      <c r="G1988" s="55"/>
      <c r="H1988" s="49"/>
      <c r="I1988" s="49"/>
      <c r="J1988" s="49"/>
      <c r="K1988" s="49"/>
      <c r="L1988" s="49"/>
      <c r="M1988" s="49"/>
      <c r="N1988" s="49"/>
      <c r="O1988" s="49"/>
      <c r="P1988" s="49"/>
      <c r="Q1988" s="49"/>
      <c r="R1988" s="49"/>
      <c r="S1988" s="49"/>
      <c r="T1988" s="49"/>
      <c r="U1988" s="49"/>
      <c r="V1988" s="49"/>
      <c r="W1988" s="49"/>
    </row>
    <row r="1989" spans="1:23">
      <c r="A1989" s="49"/>
      <c r="B1989" s="49"/>
      <c r="C1989" s="49"/>
      <c r="D1989" s="49"/>
      <c r="E1989" s="49"/>
      <c r="F1989" s="55"/>
      <c r="G1989" s="55"/>
      <c r="H1989" s="49"/>
      <c r="I1989" s="49"/>
      <c r="J1989" s="49"/>
      <c r="K1989" s="49"/>
      <c r="L1989" s="49"/>
      <c r="M1989" s="49"/>
      <c r="N1989" s="49"/>
      <c r="O1989" s="49"/>
      <c r="P1989" s="49"/>
      <c r="Q1989" s="49"/>
      <c r="R1989" s="49"/>
      <c r="S1989" s="49"/>
      <c r="T1989" s="49"/>
      <c r="U1989" s="49"/>
      <c r="V1989" s="49"/>
      <c r="W1989" s="49"/>
    </row>
    <row r="1990" spans="1:23">
      <c r="A1990" s="49"/>
      <c r="B1990" s="49"/>
      <c r="C1990" s="49"/>
      <c r="D1990" s="49"/>
      <c r="E1990" s="49"/>
      <c r="F1990" s="55"/>
      <c r="G1990" s="55"/>
      <c r="H1990" s="49"/>
      <c r="I1990" s="49"/>
      <c r="J1990" s="49"/>
      <c r="K1990" s="49"/>
      <c r="L1990" s="49"/>
      <c r="M1990" s="49"/>
      <c r="N1990" s="49"/>
      <c r="O1990" s="49"/>
      <c r="P1990" s="49"/>
      <c r="Q1990" s="49"/>
      <c r="R1990" s="49"/>
      <c r="S1990" s="49"/>
      <c r="T1990" s="49"/>
      <c r="U1990" s="49"/>
      <c r="V1990" s="49"/>
      <c r="W1990" s="49"/>
    </row>
    <row r="1991" spans="1:23">
      <c r="A1991" s="49"/>
      <c r="B1991" s="49"/>
      <c r="C1991" s="49"/>
      <c r="D1991" s="49"/>
      <c r="E1991" s="49"/>
      <c r="F1991" s="55"/>
      <c r="G1991" s="55"/>
      <c r="H1991" s="49"/>
      <c r="I1991" s="49"/>
      <c r="J1991" s="49"/>
      <c r="K1991" s="49"/>
      <c r="L1991" s="49"/>
      <c r="M1991" s="49"/>
      <c r="N1991" s="49"/>
      <c r="O1991" s="49"/>
      <c r="P1991" s="49"/>
      <c r="Q1991" s="49"/>
      <c r="R1991" s="49"/>
      <c r="S1991" s="49"/>
      <c r="T1991" s="49"/>
      <c r="U1991" s="49"/>
      <c r="V1991" s="49"/>
      <c r="W1991" s="49"/>
    </row>
    <row r="1992" spans="1:23">
      <c r="A1992" s="49"/>
      <c r="B1992" s="49"/>
      <c r="C1992" s="49"/>
      <c r="D1992" s="49"/>
      <c r="E1992" s="49"/>
      <c r="F1992" s="55"/>
      <c r="G1992" s="55"/>
      <c r="H1992" s="49"/>
      <c r="I1992" s="49"/>
      <c r="J1992" s="49"/>
      <c r="K1992" s="49"/>
      <c r="L1992" s="49"/>
      <c r="M1992" s="49"/>
      <c r="N1992" s="49"/>
      <c r="O1992" s="49"/>
      <c r="P1992" s="49"/>
      <c r="Q1992" s="49"/>
      <c r="R1992" s="49"/>
      <c r="S1992" s="49"/>
      <c r="T1992" s="49"/>
      <c r="U1992" s="49"/>
      <c r="V1992" s="49"/>
      <c r="W1992" s="49"/>
    </row>
    <row r="1993" spans="1:23">
      <c r="A1993" s="49"/>
      <c r="B1993" s="49"/>
      <c r="C1993" s="49"/>
      <c r="D1993" s="49"/>
      <c r="E1993" s="49"/>
      <c r="F1993" s="55"/>
      <c r="G1993" s="55"/>
      <c r="H1993" s="49"/>
      <c r="I1993" s="49"/>
      <c r="J1993" s="49"/>
      <c r="K1993" s="49"/>
      <c r="L1993" s="49"/>
      <c r="M1993" s="49"/>
      <c r="N1993" s="49"/>
      <c r="O1993" s="49"/>
      <c r="P1993" s="49"/>
      <c r="Q1993" s="49"/>
      <c r="R1993" s="49"/>
      <c r="S1993" s="49"/>
      <c r="T1993" s="49"/>
      <c r="U1993" s="49"/>
      <c r="V1993" s="49"/>
      <c r="W1993" s="49"/>
    </row>
    <row r="1994" spans="1:23">
      <c r="A1994" s="49"/>
      <c r="B1994" s="49"/>
      <c r="C1994" s="49"/>
      <c r="D1994" s="49"/>
      <c r="E1994" s="49"/>
      <c r="F1994" s="55"/>
      <c r="G1994" s="55"/>
      <c r="H1994" s="49"/>
      <c r="I1994" s="49"/>
      <c r="J1994" s="49"/>
      <c r="K1994" s="49"/>
      <c r="L1994" s="49"/>
      <c r="M1994" s="49"/>
      <c r="N1994" s="49"/>
      <c r="O1994" s="49"/>
      <c r="P1994" s="49"/>
      <c r="Q1994" s="49"/>
      <c r="R1994" s="49"/>
      <c r="S1994" s="49"/>
      <c r="T1994" s="49"/>
      <c r="U1994" s="49"/>
      <c r="V1994" s="49"/>
      <c r="W1994" s="49"/>
    </row>
    <row r="1995" spans="1:23">
      <c r="A1995" s="49"/>
      <c r="B1995" s="49"/>
      <c r="C1995" s="49"/>
      <c r="D1995" s="49"/>
      <c r="E1995" s="49"/>
      <c r="F1995" s="55"/>
      <c r="G1995" s="55"/>
      <c r="H1995" s="49"/>
      <c r="I1995" s="49"/>
      <c r="J1995" s="49"/>
      <c r="K1995" s="49"/>
      <c r="L1995" s="49"/>
      <c r="M1995" s="49"/>
      <c r="N1995" s="49"/>
      <c r="O1995" s="49"/>
      <c r="P1995" s="49"/>
      <c r="Q1995" s="49"/>
      <c r="R1995" s="49"/>
      <c r="S1995" s="49"/>
      <c r="T1995" s="49"/>
      <c r="U1995" s="49"/>
      <c r="V1995" s="49"/>
      <c r="W1995" s="49"/>
    </row>
    <row r="1996" spans="1:23">
      <c r="A1996" s="49"/>
      <c r="B1996" s="49"/>
      <c r="C1996" s="49"/>
      <c r="D1996" s="49"/>
      <c r="E1996" s="49"/>
      <c r="F1996" s="55"/>
      <c r="G1996" s="55"/>
      <c r="H1996" s="49"/>
      <c r="I1996" s="49"/>
      <c r="J1996" s="49"/>
      <c r="K1996" s="49"/>
      <c r="L1996" s="49"/>
      <c r="M1996" s="49"/>
      <c r="N1996" s="49"/>
      <c r="O1996" s="49"/>
      <c r="P1996" s="49"/>
      <c r="Q1996" s="49"/>
      <c r="R1996" s="49"/>
      <c r="S1996" s="49"/>
      <c r="T1996" s="49"/>
      <c r="U1996" s="49"/>
      <c r="V1996" s="49"/>
      <c r="W1996" s="49"/>
    </row>
    <row r="1997" spans="1:23">
      <c r="A1997" s="49"/>
      <c r="B1997" s="49"/>
      <c r="C1997" s="49"/>
      <c r="D1997" s="49"/>
      <c r="E1997" s="49"/>
      <c r="F1997" s="55"/>
      <c r="G1997" s="55"/>
      <c r="H1997" s="49"/>
      <c r="I1997" s="49"/>
      <c r="J1997" s="49"/>
      <c r="K1997" s="49"/>
      <c r="L1997" s="49"/>
      <c r="M1997" s="49"/>
      <c r="N1997" s="49"/>
      <c r="O1997" s="49"/>
      <c r="P1997" s="49"/>
      <c r="Q1997" s="49"/>
      <c r="R1997" s="49"/>
      <c r="S1997" s="49"/>
      <c r="T1997" s="49"/>
      <c r="U1997" s="49"/>
      <c r="V1997" s="49"/>
      <c r="W1997" s="49"/>
    </row>
    <row r="1998" spans="1:23">
      <c r="A1998" s="49"/>
      <c r="B1998" s="49"/>
      <c r="C1998" s="49"/>
      <c r="D1998" s="49"/>
      <c r="E1998" s="49"/>
      <c r="F1998" s="55"/>
      <c r="G1998" s="55"/>
      <c r="H1998" s="49"/>
      <c r="I1998" s="49"/>
      <c r="J1998" s="49"/>
      <c r="K1998" s="49"/>
      <c r="L1998" s="49"/>
      <c r="M1998" s="49"/>
      <c r="N1998" s="49"/>
      <c r="O1998" s="49"/>
      <c r="P1998" s="49"/>
      <c r="Q1998" s="49"/>
      <c r="R1998" s="49"/>
      <c r="S1998" s="49"/>
      <c r="T1998" s="49"/>
      <c r="U1998" s="49"/>
      <c r="V1998" s="49"/>
      <c r="W1998" s="49"/>
    </row>
    <row r="1999" spans="1:23">
      <c r="A1999" s="49"/>
      <c r="B1999" s="49"/>
      <c r="C1999" s="49"/>
      <c r="D1999" s="49"/>
      <c r="E1999" s="49"/>
      <c r="F1999" s="55"/>
      <c r="G1999" s="55"/>
      <c r="H1999" s="49"/>
      <c r="I1999" s="49"/>
      <c r="J1999" s="49"/>
      <c r="K1999" s="49"/>
      <c r="L1999" s="49"/>
      <c r="M1999" s="49"/>
      <c r="N1999" s="49"/>
      <c r="O1999" s="49"/>
      <c r="P1999" s="49"/>
      <c r="Q1999" s="49"/>
      <c r="R1999" s="49"/>
      <c r="S1999" s="49"/>
      <c r="T1999" s="49"/>
      <c r="U1999" s="49"/>
      <c r="V1999" s="49"/>
      <c r="W1999" s="49"/>
    </row>
    <row r="2000" spans="1:23">
      <c r="A2000" s="49"/>
      <c r="B2000" s="49"/>
      <c r="C2000" s="49"/>
      <c r="D2000" s="49"/>
      <c r="E2000" s="49"/>
      <c r="F2000" s="55"/>
      <c r="G2000" s="55"/>
      <c r="H2000" s="49"/>
      <c r="I2000" s="49"/>
      <c r="J2000" s="49"/>
      <c r="K2000" s="49"/>
      <c r="L2000" s="49"/>
      <c r="M2000" s="49"/>
      <c r="N2000" s="49"/>
      <c r="O2000" s="49"/>
      <c r="P2000" s="49"/>
      <c r="Q2000" s="49"/>
      <c r="R2000" s="49"/>
      <c r="S2000" s="49"/>
      <c r="T2000" s="49"/>
      <c r="U2000" s="49"/>
      <c r="V2000" s="49"/>
      <c r="W2000" s="49"/>
    </row>
  </sheetData>
  <mergeCells count="205">
    <mergeCell ref="G1110:G1111"/>
    <mergeCell ref="G1112:G1114"/>
    <mergeCell ref="G1194:G1195"/>
    <mergeCell ref="G1196:G1197"/>
    <mergeCell ref="G1061:G1064"/>
    <mergeCell ref="G1069:G1070"/>
    <mergeCell ref="G1073:G1074"/>
    <mergeCell ref="G1075:G1080"/>
    <mergeCell ref="G1084:G1086"/>
    <mergeCell ref="G1092:G1093"/>
    <mergeCell ref="G1097:G1098"/>
    <mergeCell ref="G1101:G1102"/>
    <mergeCell ref="G1105:G1109"/>
    <mergeCell ref="G1160:G1161"/>
    <mergeCell ref="G1163:G1165"/>
    <mergeCell ref="G1168:G1171"/>
    <mergeCell ref="G1175:G1176"/>
    <mergeCell ref="G1177:G1180"/>
    <mergeCell ref="G1182:G1184"/>
    <mergeCell ref="G1187:G1189"/>
    <mergeCell ref="G1190:G1191"/>
    <mergeCell ref="G902:G903"/>
    <mergeCell ref="G906:G907"/>
    <mergeCell ref="G908:G909"/>
    <mergeCell ref="G914:G916"/>
    <mergeCell ref="G917:G918"/>
    <mergeCell ref="G919:G920"/>
    <mergeCell ref="G953:G954"/>
    <mergeCell ref="G957:G958"/>
    <mergeCell ref="G960:G961"/>
    <mergeCell ref="G964:G965"/>
    <mergeCell ref="G969:G971"/>
    <mergeCell ref="G972:G973"/>
    <mergeCell ref="G978:G980"/>
    <mergeCell ref="G985:G986"/>
    <mergeCell ref="G987:G988"/>
    <mergeCell ref="G992:G994"/>
    <mergeCell ref="G890:G892"/>
    <mergeCell ref="G895:G897"/>
    <mergeCell ref="G898:G899"/>
    <mergeCell ref="G1115:G1116"/>
    <mergeCell ref="G1117:G1118"/>
    <mergeCell ref="G1119:G1120"/>
    <mergeCell ref="G1121:G1122"/>
    <mergeCell ref="G1126:G1127"/>
    <mergeCell ref="G1157:G1158"/>
    <mergeCell ref="G995:G996"/>
    <mergeCell ref="G997:G998"/>
    <mergeCell ref="G1004:G1005"/>
    <mergeCell ref="G1006:G1009"/>
    <mergeCell ref="G1014:G1015"/>
    <mergeCell ref="G1017:G1018"/>
    <mergeCell ref="G1020:G1021"/>
    <mergeCell ref="G1022:G1023"/>
    <mergeCell ref="G1024:G1025"/>
    <mergeCell ref="G1026:G1027"/>
    <mergeCell ref="G1032:G1033"/>
    <mergeCell ref="G1041:G1042"/>
    <mergeCell ref="G1045:G1046"/>
    <mergeCell ref="G1050:G1052"/>
    <mergeCell ref="G1054:G1055"/>
    <mergeCell ref="G845:G846"/>
    <mergeCell ref="G847:G850"/>
    <mergeCell ref="G856:G857"/>
    <mergeCell ref="G859:G861"/>
    <mergeCell ref="G865:G867"/>
    <mergeCell ref="G872:G873"/>
    <mergeCell ref="G876:G877"/>
    <mergeCell ref="G881:G882"/>
    <mergeCell ref="G884:G885"/>
    <mergeCell ref="G799:G800"/>
    <mergeCell ref="G803:G807"/>
    <mergeCell ref="G808:G811"/>
    <mergeCell ref="G813:G814"/>
    <mergeCell ref="G815:G816"/>
    <mergeCell ref="G819:G824"/>
    <mergeCell ref="G835:G836"/>
    <mergeCell ref="G838:G841"/>
    <mergeCell ref="G842:G843"/>
    <mergeCell ref="G770:G771"/>
    <mergeCell ref="G772:G773"/>
    <mergeCell ref="G774:G775"/>
    <mergeCell ref="G776:G780"/>
    <mergeCell ref="G781:G782"/>
    <mergeCell ref="G783:G784"/>
    <mergeCell ref="G785:G786"/>
    <mergeCell ref="G787:G792"/>
    <mergeCell ref="G793:G794"/>
    <mergeCell ref="G730:G731"/>
    <mergeCell ref="G735:G736"/>
    <mergeCell ref="G739:G740"/>
    <mergeCell ref="G742:G743"/>
    <mergeCell ref="G744:G748"/>
    <mergeCell ref="G751:G756"/>
    <mergeCell ref="G757:G758"/>
    <mergeCell ref="G760:G761"/>
    <mergeCell ref="G764:G769"/>
    <mergeCell ref="G678:G679"/>
    <mergeCell ref="G684:G688"/>
    <mergeCell ref="G690:G694"/>
    <mergeCell ref="G696:G697"/>
    <mergeCell ref="G701:G703"/>
    <mergeCell ref="G707:G712"/>
    <mergeCell ref="G714:G715"/>
    <mergeCell ref="G718:G719"/>
    <mergeCell ref="G727:G728"/>
    <mergeCell ref="G422:G424"/>
    <mergeCell ref="G435:G436"/>
    <mergeCell ref="G438:G439"/>
    <mergeCell ref="G446:G447"/>
    <mergeCell ref="G653:G655"/>
    <mergeCell ref="G656:G657"/>
    <mergeCell ref="G659:G661"/>
    <mergeCell ref="G666:G668"/>
    <mergeCell ref="G673:G675"/>
    <mergeCell ref="G316:G317"/>
    <mergeCell ref="G326:G328"/>
    <mergeCell ref="G329:G330"/>
    <mergeCell ref="G333:G334"/>
    <mergeCell ref="G335:G336"/>
    <mergeCell ref="G338:G339"/>
    <mergeCell ref="G344:G345"/>
    <mergeCell ref="G346:G350"/>
    <mergeCell ref="G405:G408"/>
    <mergeCell ref="G277:G278"/>
    <mergeCell ref="G280:G281"/>
    <mergeCell ref="G286:G287"/>
    <mergeCell ref="G290:G292"/>
    <mergeCell ref="G294:G295"/>
    <mergeCell ref="G300:G302"/>
    <mergeCell ref="G303:G304"/>
    <mergeCell ref="G309:G310"/>
    <mergeCell ref="G312:G315"/>
    <mergeCell ref="G244:G245"/>
    <mergeCell ref="G246:G250"/>
    <mergeCell ref="G252:G260"/>
    <mergeCell ref="G262:G263"/>
    <mergeCell ref="G265:G266"/>
    <mergeCell ref="G267:G268"/>
    <mergeCell ref="G269:G271"/>
    <mergeCell ref="G272:G273"/>
    <mergeCell ref="G275:G276"/>
    <mergeCell ref="G211:G212"/>
    <mergeCell ref="G214:G215"/>
    <mergeCell ref="G216:G217"/>
    <mergeCell ref="G220:G221"/>
    <mergeCell ref="G222:G224"/>
    <mergeCell ref="G226:G227"/>
    <mergeCell ref="G228:G233"/>
    <mergeCell ref="G236:G238"/>
    <mergeCell ref="G242:G243"/>
    <mergeCell ref="G174:G176"/>
    <mergeCell ref="G178:G180"/>
    <mergeCell ref="G186:G188"/>
    <mergeCell ref="G190:G191"/>
    <mergeCell ref="G193:G195"/>
    <mergeCell ref="G196:G197"/>
    <mergeCell ref="G202:G203"/>
    <mergeCell ref="G205:G206"/>
    <mergeCell ref="G208:G209"/>
    <mergeCell ref="G146:G149"/>
    <mergeCell ref="G151:G152"/>
    <mergeCell ref="G153:G154"/>
    <mergeCell ref="G155:G157"/>
    <mergeCell ref="G159:G160"/>
    <mergeCell ref="G163:G164"/>
    <mergeCell ref="G165:G166"/>
    <mergeCell ref="G167:G170"/>
    <mergeCell ref="G171:G172"/>
    <mergeCell ref="G105:G106"/>
    <mergeCell ref="G108:G109"/>
    <mergeCell ref="G112:G114"/>
    <mergeCell ref="G118:G119"/>
    <mergeCell ref="G123:G124"/>
    <mergeCell ref="G127:G128"/>
    <mergeCell ref="G136:G137"/>
    <mergeCell ref="G138:G139"/>
    <mergeCell ref="G141:G142"/>
    <mergeCell ref="G63:G64"/>
    <mergeCell ref="G65:G67"/>
    <mergeCell ref="G68:G71"/>
    <mergeCell ref="G74:G77"/>
    <mergeCell ref="G80:G82"/>
    <mergeCell ref="G83:G84"/>
    <mergeCell ref="G89:G91"/>
    <mergeCell ref="G93:G94"/>
    <mergeCell ref="G96:G98"/>
    <mergeCell ref="G27:G28"/>
    <mergeCell ref="G30:G31"/>
    <mergeCell ref="G34:G36"/>
    <mergeCell ref="G43:G44"/>
    <mergeCell ref="G45:G46"/>
    <mergeCell ref="G47:G48"/>
    <mergeCell ref="G52:G54"/>
    <mergeCell ref="G56:G58"/>
    <mergeCell ref="G59:G62"/>
    <mergeCell ref="A1:H1"/>
    <mergeCell ref="G3:G4"/>
    <mergeCell ref="G6:G7"/>
    <mergeCell ref="G9:G10"/>
    <mergeCell ref="G12:G13"/>
    <mergeCell ref="G14:G15"/>
    <mergeCell ref="G16:G17"/>
    <mergeCell ref="G22:G24"/>
    <mergeCell ref="G25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H1046"/>
  <sheetViews>
    <sheetView workbookViewId="0"/>
  </sheetViews>
  <sheetFormatPr defaultColWidth="12.6640625" defaultRowHeight="15.75" customHeight="1"/>
  <cols>
    <col min="1" max="1" width="16.33203125" customWidth="1"/>
    <col min="2" max="2" width="16" customWidth="1"/>
    <col min="3" max="4" width="20.44140625" customWidth="1"/>
    <col min="5" max="5" width="16" customWidth="1"/>
  </cols>
  <sheetData>
    <row r="1" spans="1:8" ht="13.2">
      <c r="A1" s="16" t="s">
        <v>332</v>
      </c>
      <c r="C1" s="75"/>
      <c r="D1" s="75"/>
      <c r="E1" s="75"/>
      <c r="F1" s="75"/>
      <c r="G1" s="75"/>
      <c r="H1" s="75"/>
    </row>
    <row r="2" spans="1:8" ht="13.2">
      <c r="A2" s="76"/>
      <c r="C2" s="75"/>
      <c r="D2" s="75"/>
      <c r="E2" s="75"/>
      <c r="F2" s="75"/>
      <c r="G2" s="75"/>
      <c r="H2" s="75"/>
    </row>
    <row r="3" spans="1:8" ht="22.5" customHeight="1">
      <c r="A3" s="77" t="s">
        <v>333</v>
      </c>
      <c r="B3" s="78" t="s">
        <v>334</v>
      </c>
      <c r="C3" s="78" t="s">
        <v>72</v>
      </c>
      <c r="D3" s="79" t="s">
        <v>335</v>
      </c>
      <c r="E3" s="79" t="s">
        <v>336</v>
      </c>
      <c r="F3" s="79" t="s">
        <v>337</v>
      </c>
      <c r="G3" s="79" t="s">
        <v>338</v>
      </c>
    </row>
    <row r="4" spans="1:8" ht="22.5" customHeight="1">
      <c r="A4" s="80" t="s">
        <v>339</v>
      </c>
      <c r="B4" s="81" t="s">
        <v>340</v>
      </c>
      <c r="C4" s="80" t="s">
        <v>341</v>
      </c>
      <c r="D4" s="82"/>
      <c r="E4" s="82">
        <f>+ SUMIF('Nhập kho T42024'!B:B, A4,'Nhập kho T42024'!F:F)</f>
        <v>67</v>
      </c>
      <c r="F4" s="82">
        <f>+ SUMIF('Doanh thu 2025'!B:B, A4,'Doanh thu 2025'!E:E)</f>
        <v>1</v>
      </c>
      <c r="G4" s="82">
        <f t="shared" ref="G4:G5" si="0">E4-F4</f>
        <v>66</v>
      </c>
    </row>
    <row r="5" spans="1:8" ht="22.5" customHeight="1">
      <c r="A5" s="81" t="s">
        <v>342</v>
      </c>
      <c r="B5" s="81" t="s">
        <v>343</v>
      </c>
      <c r="C5" s="80" t="s">
        <v>341</v>
      </c>
      <c r="D5" s="82"/>
      <c r="E5" s="82">
        <f>+ SUMIF('Nhập kho T42024'!B:B, A5,'Nhập kho T42024'!F:F)</f>
        <v>0</v>
      </c>
      <c r="F5" s="82">
        <f>+ SUMIF('Doanh thu 2025'!B:B, A5,'Doanh thu 2025'!E:E)</f>
        <v>7</v>
      </c>
      <c r="G5" s="82">
        <f t="shared" si="0"/>
        <v>-7</v>
      </c>
    </row>
    <row r="6" spans="1:8" ht="22.5" customHeight="1">
      <c r="A6" s="81" t="s">
        <v>344</v>
      </c>
      <c r="B6" s="81" t="s">
        <v>343</v>
      </c>
      <c r="C6" s="80" t="s">
        <v>341</v>
      </c>
      <c r="D6" s="82"/>
      <c r="E6" s="82">
        <f>+ SUMIF('Nhập kho T42024'!B:B, A6,'Nhập kho T42024'!F:F)</f>
        <v>0</v>
      </c>
      <c r="F6" s="82">
        <f>+ SUMIF('Doanh thu 2025'!B:B, A6,'Doanh thu 2025'!E:E)</f>
        <v>5</v>
      </c>
      <c r="G6" s="82">
        <f t="shared" ref="G6:G8" si="1">E6-F6+4</f>
        <v>-1</v>
      </c>
    </row>
    <row r="7" spans="1:8" ht="22.5" customHeight="1">
      <c r="A7" s="81" t="s">
        <v>345</v>
      </c>
      <c r="B7" s="81" t="s">
        <v>343</v>
      </c>
      <c r="C7" s="80" t="s">
        <v>341</v>
      </c>
      <c r="D7" s="82"/>
      <c r="E7" s="82">
        <f>+ SUMIF('Nhập kho T42024'!B:B, A7,'Nhập kho T42024'!F:F)</f>
        <v>10</v>
      </c>
      <c r="F7" s="82">
        <f>+ SUMIF('Doanh thu 2025'!B:B, A7,'Doanh thu 2025'!E:E)</f>
        <v>2</v>
      </c>
      <c r="G7" s="82">
        <f t="shared" si="1"/>
        <v>12</v>
      </c>
    </row>
    <row r="8" spans="1:8" ht="22.5" customHeight="1">
      <c r="A8" s="81" t="s">
        <v>224</v>
      </c>
      <c r="B8" s="81" t="s">
        <v>343</v>
      </c>
      <c r="C8" s="80" t="s">
        <v>346</v>
      </c>
      <c r="D8" s="82"/>
      <c r="E8" s="82">
        <f>+ SUMIF('Nhập kho T42024'!B:B, A8,'Nhập kho T42024'!F:F)</f>
        <v>10</v>
      </c>
      <c r="F8" s="82">
        <f>+ SUMIF('Doanh thu 2025'!B:B, A8,'Doanh thu 2025'!E:E)</f>
        <v>0</v>
      </c>
      <c r="G8" s="82">
        <f t="shared" si="1"/>
        <v>14</v>
      </c>
    </row>
    <row r="9" spans="1:8" ht="22.5" customHeight="1">
      <c r="A9" s="80" t="s">
        <v>347</v>
      </c>
      <c r="B9" s="83" t="s">
        <v>340</v>
      </c>
      <c r="C9" s="80" t="s">
        <v>341</v>
      </c>
      <c r="D9" s="82"/>
      <c r="E9" s="82">
        <f>+ SUMIF('Nhập kho T42024'!B:B, A9,'Nhập kho T42024'!F:F)</f>
        <v>20</v>
      </c>
      <c r="F9" s="82">
        <f>+ SUMIF('Doanh thu 2025'!B:B, A9,'Doanh thu 2025'!E:E)</f>
        <v>0</v>
      </c>
      <c r="G9" s="82">
        <f t="shared" ref="G9:G16" si="2">E9-F9</f>
        <v>20</v>
      </c>
    </row>
    <row r="10" spans="1:8" ht="22.5" customHeight="1">
      <c r="A10" s="81" t="s">
        <v>348</v>
      </c>
      <c r="B10" s="84" t="s">
        <v>343</v>
      </c>
      <c r="C10" s="80" t="s">
        <v>341</v>
      </c>
      <c r="D10" s="82"/>
      <c r="E10" s="82">
        <f>+ SUMIF('Nhập kho T42024'!B:B, A10,'Nhập kho T42024'!F:F)</f>
        <v>0</v>
      </c>
      <c r="F10" s="82">
        <f>+ SUMIF('Doanh thu 2025'!B:B, A10,'Doanh thu 2025'!E:E)</f>
        <v>2</v>
      </c>
      <c r="G10" s="82">
        <f t="shared" si="2"/>
        <v>-2</v>
      </c>
    </row>
    <row r="11" spans="1:8" ht="22.5" customHeight="1">
      <c r="A11" s="80" t="s">
        <v>349</v>
      </c>
      <c r="B11" s="83" t="s">
        <v>340</v>
      </c>
      <c r="C11" s="80" t="s">
        <v>341</v>
      </c>
      <c r="D11" s="82"/>
      <c r="E11" s="82">
        <f>+ SUMIF('Nhập kho T42024'!B:B, A11,'Nhập kho T42024'!F:F)</f>
        <v>5</v>
      </c>
      <c r="F11" s="82">
        <f>+ SUMIF('Doanh thu 2025'!B:B, A11,'Doanh thu 2025'!E:E)</f>
        <v>0</v>
      </c>
      <c r="G11" s="82">
        <f t="shared" si="2"/>
        <v>5</v>
      </c>
    </row>
    <row r="12" spans="1:8" ht="22.5" customHeight="1">
      <c r="A12" s="81" t="s">
        <v>350</v>
      </c>
      <c r="B12" s="85" t="s">
        <v>343</v>
      </c>
      <c r="C12" s="80" t="s">
        <v>341</v>
      </c>
      <c r="D12" s="82"/>
      <c r="E12" s="82">
        <f>+ SUMIF('Nhập kho T42024'!B:B, A12,'Nhập kho T42024'!F:F)</f>
        <v>0</v>
      </c>
      <c r="F12" s="82">
        <f>+ SUMIF('Doanh thu 2025'!B:B, A12,'Doanh thu 2025'!E:E)</f>
        <v>3</v>
      </c>
      <c r="G12" s="82">
        <f t="shared" si="2"/>
        <v>-3</v>
      </c>
    </row>
    <row r="13" spans="1:8" ht="22.5" customHeight="1">
      <c r="A13" s="80" t="s">
        <v>351</v>
      </c>
      <c r="B13" s="86" t="s">
        <v>340</v>
      </c>
      <c r="C13" s="80" t="s">
        <v>341</v>
      </c>
      <c r="D13" s="82"/>
      <c r="E13" s="82">
        <f>+ SUMIF('Nhập kho T42024'!B:B, A13,'Nhập kho T42024'!F:F)</f>
        <v>3</v>
      </c>
      <c r="F13" s="82">
        <f>+ SUMIF('Doanh thu 2025'!B:B, A13,'Doanh thu 2025'!E:E)</f>
        <v>0</v>
      </c>
      <c r="G13" s="82">
        <f t="shared" si="2"/>
        <v>3</v>
      </c>
    </row>
    <row r="14" spans="1:8" ht="22.5" customHeight="1">
      <c r="A14" s="81" t="s">
        <v>352</v>
      </c>
      <c r="B14" s="84" t="s">
        <v>343</v>
      </c>
      <c r="C14" s="80" t="s">
        <v>341</v>
      </c>
      <c r="D14" s="82"/>
      <c r="E14" s="82">
        <f>+ SUMIF('Nhập kho T42024'!B:B, A14,'Nhập kho T42024'!F:F)</f>
        <v>0</v>
      </c>
      <c r="F14" s="82">
        <f>+ SUMIF('Doanh thu 2025'!B:B, A14,'Doanh thu 2025'!E:E)</f>
        <v>0</v>
      </c>
      <c r="G14" s="82">
        <f t="shared" si="2"/>
        <v>0</v>
      </c>
    </row>
    <row r="15" spans="1:8" ht="22.5" customHeight="1">
      <c r="A15" s="80" t="s">
        <v>353</v>
      </c>
      <c r="B15" s="87" t="s">
        <v>340</v>
      </c>
      <c r="C15" s="80" t="s">
        <v>341</v>
      </c>
      <c r="D15" s="82"/>
      <c r="E15" s="82">
        <f>+ SUMIF('Nhập kho T42024'!B:B, A15,'Nhập kho T42024'!F:F)</f>
        <v>30</v>
      </c>
      <c r="F15" s="82">
        <f>+ SUMIF('Doanh thu 2025'!B:B, A15,'Doanh thu 2025'!E:E)</f>
        <v>1</v>
      </c>
      <c r="G15" s="82">
        <f t="shared" si="2"/>
        <v>29</v>
      </c>
    </row>
    <row r="16" spans="1:8" ht="22.5" customHeight="1">
      <c r="A16" s="81" t="s">
        <v>354</v>
      </c>
      <c r="B16" s="88" t="s">
        <v>343</v>
      </c>
      <c r="C16" s="80" t="s">
        <v>341</v>
      </c>
      <c r="D16" s="82"/>
      <c r="E16" s="82">
        <f>+ SUMIF('Nhập kho T42024'!B:B, A16,'Nhập kho T42024'!F:F)</f>
        <v>0</v>
      </c>
      <c r="F16" s="82">
        <f>+ SUMIF('Doanh thu 2025'!B:B, A16,'Doanh thu 2025'!E:E)</f>
        <v>4</v>
      </c>
      <c r="G16" s="82">
        <f t="shared" si="2"/>
        <v>-4</v>
      </c>
    </row>
    <row r="17" spans="1:7" ht="22.5" customHeight="1">
      <c r="A17" s="81" t="s">
        <v>355</v>
      </c>
      <c r="B17" s="88" t="s">
        <v>343</v>
      </c>
      <c r="C17" s="80" t="s">
        <v>341</v>
      </c>
      <c r="D17" s="82"/>
      <c r="E17" s="82">
        <f>+ SUMIF('Nhập kho T42024'!B:B, A17,'Nhập kho T42024'!F:F)</f>
        <v>0</v>
      </c>
      <c r="F17" s="82">
        <f>+ SUMIF('Doanh thu 2025'!B:B, A17,'Doanh thu 2025'!E:E)</f>
        <v>1</v>
      </c>
      <c r="G17" s="82">
        <f>E17-F17+2</f>
        <v>1</v>
      </c>
    </row>
    <row r="18" spans="1:7" ht="22.5" customHeight="1">
      <c r="A18" s="80" t="s">
        <v>356</v>
      </c>
      <c r="B18" s="86" t="s">
        <v>340</v>
      </c>
      <c r="C18" s="80" t="s">
        <v>341</v>
      </c>
      <c r="D18" s="82"/>
      <c r="E18" s="82">
        <f>+ SUMIF('Nhập kho T42024'!B:B, A18,'Nhập kho T42024'!F:F)</f>
        <v>2</v>
      </c>
      <c r="F18" s="82">
        <f>+ SUMIF('Doanh thu 2025'!B:B, A18,'Doanh thu 2025'!E:E)</f>
        <v>0</v>
      </c>
      <c r="G18" s="82">
        <f t="shared" ref="G18:G29" si="3">E18-F18</f>
        <v>2</v>
      </c>
    </row>
    <row r="19" spans="1:7" ht="22.5" customHeight="1">
      <c r="A19" s="81" t="s">
        <v>357</v>
      </c>
      <c r="B19" s="85" t="s">
        <v>343</v>
      </c>
      <c r="C19" s="80" t="s">
        <v>341</v>
      </c>
      <c r="D19" s="82"/>
      <c r="E19" s="82">
        <f>+ SUMIF('Nhập kho T42024'!B:B, A19,'Nhập kho T42024'!F:F)</f>
        <v>0</v>
      </c>
      <c r="F19" s="82">
        <f>+ SUMIF('Doanh thu 2025'!B:B, A19,'Doanh thu 2025'!E:E)</f>
        <v>0</v>
      </c>
      <c r="G19" s="82">
        <f t="shared" si="3"/>
        <v>0</v>
      </c>
    </row>
    <row r="20" spans="1:7" ht="22.5" customHeight="1">
      <c r="A20" s="80" t="s">
        <v>358</v>
      </c>
      <c r="B20" s="86" t="s">
        <v>340</v>
      </c>
      <c r="C20" s="80" t="s">
        <v>341</v>
      </c>
      <c r="D20" s="82"/>
      <c r="E20" s="82">
        <f>+ SUMIF('Nhập kho T42024'!B:B, A20,'Nhập kho T42024'!F:F)</f>
        <v>6</v>
      </c>
      <c r="F20" s="82">
        <f>+ SUMIF('Doanh thu 2025'!B:B, A20,'Doanh thu 2025'!E:E)</f>
        <v>0</v>
      </c>
      <c r="G20" s="82">
        <f t="shared" si="3"/>
        <v>6</v>
      </c>
    </row>
    <row r="21" spans="1:7" ht="22.5" customHeight="1">
      <c r="A21" s="81" t="s">
        <v>359</v>
      </c>
      <c r="B21" s="85" t="s">
        <v>343</v>
      </c>
      <c r="C21" s="80" t="s">
        <v>341</v>
      </c>
      <c r="D21" s="82"/>
      <c r="E21" s="82">
        <f>+ SUMIF('Nhập kho T42024'!B:B, A21,'Nhập kho T42024'!F:F)</f>
        <v>0</v>
      </c>
      <c r="F21" s="82">
        <f>+ SUMIF('Doanh thu 2025'!B:B, A21,'Doanh thu 2025'!E:E)</f>
        <v>1</v>
      </c>
      <c r="G21" s="82">
        <f t="shared" si="3"/>
        <v>-1</v>
      </c>
    </row>
    <row r="22" spans="1:7" ht="22.5" customHeight="1">
      <c r="A22" s="80" t="s">
        <v>360</v>
      </c>
      <c r="B22" s="86" t="s">
        <v>340</v>
      </c>
      <c r="C22" s="80" t="s">
        <v>341</v>
      </c>
      <c r="D22" s="82"/>
      <c r="E22" s="82">
        <f>+ SUMIF('Nhập kho T42024'!B:B, A22,'Nhập kho T42024'!F:F)</f>
        <v>2</v>
      </c>
      <c r="F22" s="82">
        <f>+ SUMIF('Doanh thu 2025'!B:B, A22,'Doanh thu 2025'!E:E)</f>
        <v>0</v>
      </c>
      <c r="G22" s="82">
        <f t="shared" si="3"/>
        <v>2</v>
      </c>
    </row>
    <row r="23" spans="1:7" ht="22.5" customHeight="1">
      <c r="A23" s="81" t="s">
        <v>361</v>
      </c>
      <c r="B23" s="85" t="s">
        <v>343</v>
      </c>
      <c r="C23" s="80" t="s">
        <v>341</v>
      </c>
      <c r="D23" s="82"/>
      <c r="E23" s="82">
        <f>+ SUMIF('Nhập kho T42024'!B:B, A23,'Nhập kho T42024'!F:F)</f>
        <v>0</v>
      </c>
      <c r="F23" s="82">
        <f>+ SUMIF('Doanh thu 2025'!B:B, A23,'Doanh thu 2025'!E:E)</f>
        <v>2</v>
      </c>
      <c r="G23" s="82">
        <f t="shared" si="3"/>
        <v>-2</v>
      </c>
    </row>
    <row r="24" spans="1:7" ht="22.5" customHeight="1">
      <c r="A24" s="80" t="s">
        <v>362</v>
      </c>
      <c r="B24" s="86" t="s">
        <v>340</v>
      </c>
      <c r="C24" s="80" t="s">
        <v>341</v>
      </c>
      <c r="D24" s="82"/>
      <c r="E24" s="82">
        <f>+ SUMIF('Nhập kho T42024'!B:B, A24,'Nhập kho T42024'!F:F)</f>
        <v>7</v>
      </c>
      <c r="F24" s="82">
        <f>+ SUMIF('Doanh thu 2025'!B:B, A24,'Doanh thu 2025'!E:E)</f>
        <v>0</v>
      </c>
      <c r="G24" s="82">
        <f t="shared" si="3"/>
        <v>7</v>
      </c>
    </row>
    <row r="25" spans="1:7" ht="22.5" customHeight="1">
      <c r="A25" s="81" t="s">
        <v>363</v>
      </c>
      <c r="B25" s="85" t="s">
        <v>343</v>
      </c>
      <c r="C25" s="80" t="s">
        <v>341</v>
      </c>
      <c r="D25" s="82"/>
      <c r="E25" s="82">
        <f>+ SUMIF('Nhập kho T42024'!B:B, A25,'Nhập kho T42024'!F:F)</f>
        <v>0</v>
      </c>
      <c r="F25" s="82">
        <f>+ SUMIF('Doanh thu 2025'!B:B, A25,'Doanh thu 2025'!E:E)</f>
        <v>1</v>
      </c>
      <c r="G25" s="82">
        <f t="shared" si="3"/>
        <v>-1</v>
      </c>
    </row>
    <row r="26" spans="1:7" ht="22.5" customHeight="1">
      <c r="A26" s="80" t="s">
        <v>364</v>
      </c>
      <c r="B26" s="86" t="s">
        <v>340</v>
      </c>
      <c r="C26" s="80" t="s">
        <v>341</v>
      </c>
      <c r="D26" s="82"/>
      <c r="E26" s="82">
        <f>+ SUMIF('Nhập kho T42024'!B:B, A26,'Nhập kho T42024'!F:F)</f>
        <v>2</v>
      </c>
      <c r="F26" s="82">
        <f>+ SUMIF('Doanh thu 2025'!B:B, A26,'Doanh thu 2025'!E:E)</f>
        <v>0</v>
      </c>
      <c r="G26" s="82">
        <f t="shared" si="3"/>
        <v>2</v>
      </c>
    </row>
    <row r="27" spans="1:7" ht="22.5" customHeight="1">
      <c r="A27" s="81" t="s">
        <v>365</v>
      </c>
      <c r="B27" s="85" t="s">
        <v>343</v>
      </c>
      <c r="C27" s="80" t="s">
        <v>341</v>
      </c>
      <c r="D27" s="82"/>
      <c r="E27" s="82">
        <f>+ SUMIF('Nhập kho T42024'!B:B, A27,'Nhập kho T42024'!F:F)</f>
        <v>0</v>
      </c>
      <c r="F27" s="82">
        <f>+ SUMIF('Doanh thu 2025'!B:B, A27,'Doanh thu 2025'!E:E)</f>
        <v>1</v>
      </c>
      <c r="G27" s="82">
        <f t="shared" si="3"/>
        <v>-1</v>
      </c>
    </row>
    <row r="28" spans="1:7" ht="22.5" customHeight="1">
      <c r="A28" s="80" t="s">
        <v>366</v>
      </c>
      <c r="B28" s="89" t="s">
        <v>340</v>
      </c>
      <c r="C28" s="80" t="s">
        <v>341</v>
      </c>
      <c r="D28" s="82"/>
      <c r="E28" s="82">
        <f>+ SUMIF('Nhập kho T42024'!B:B, A28,'Nhập kho T42024'!F:F)</f>
        <v>40</v>
      </c>
      <c r="F28" s="82">
        <f>+ SUMIF('Doanh thu 2025'!B:B, A28,'Doanh thu 2025'!E:E)</f>
        <v>0</v>
      </c>
      <c r="G28" s="82">
        <f t="shared" si="3"/>
        <v>40</v>
      </c>
    </row>
    <row r="29" spans="1:7" ht="22.5" customHeight="1">
      <c r="A29" s="81" t="s">
        <v>367</v>
      </c>
      <c r="B29" s="90" t="s">
        <v>343</v>
      </c>
      <c r="C29" s="80" t="s">
        <v>341</v>
      </c>
      <c r="D29" s="82"/>
      <c r="E29" s="82">
        <f>+ SUMIF('Nhập kho T42024'!B:B, A29,'Nhập kho T42024'!F:F)</f>
        <v>0</v>
      </c>
      <c r="F29" s="82">
        <f>+ SUMIF('Doanh thu 2025'!B:B, A29,'Doanh thu 2025'!E:E)</f>
        <v>2</v>
      </c>
      <c r="G29" s="82">
        <f t="shared" si="3"/>
        <v>-2</v>
      </c>
    </row>
    <row r="30" spans="1:7" ht="22.5" customHeight="1">
      <c r="A30" s="81" t="s">
        <v>368</v>
      </c>
      <c r="B30" s="89"/>
      <c r="C30" s="80"/>
      <c r="D30" s="82"/>
      <c r="E30" s="82">
        <f>+ SUMIF('Nhập kho T42024'!B:B, A30,'Nhập kho T42024'!F:F)</f>
        <v>0</v>
      </c>
      <c r="F30" s="82">
        <f>+ SUMIF('Doanh thu 2025'!B:B, A30,'Doanh thu 2025'!E:E)</f>
        <v>1</v>
      </c>
      <c r="G30" s="82">
        <f t="shared" ref="G30:G32" si="4">E30-F30+1</f>
        <v>0</v>
      </c>
    </row>
    <row r="31" spans="1:7" ht="22.5" customHeight="1">
      <c r="A31" s="80" t="s">
        <v>369</v>
      </c>
      <c r="B31" s="88" t="s">
        <v>343</v>
      </c>
      <c r="C31" s="80" t="s">
        <v>346</v>
      </c>
      <c r="D31" s="82"/>
      <c r="E31" s="82">
        <f>+ SUMIF('Nhập kho T42024'!B:B, A31,'Nhập kho T42024'!F:F)</f>
        <v>10</v>
      </c>
      <c r="F31" s="82">
        <f>+ SUMIF('Doanh thu 2025'!B:B, A31,'Doanh thu 2025'!E:E)</f>
        <v>1</v>
      </c>
      <c r="G31" s="82">
        <f t="shared" si="4"/>
        <v>10</v>
      </c>
    </row>
    <row r="32" spans="1:7" ht="22.5" customHeight="1">
      <c r="A32" s="80" t="s">
        <v>370</v>
      </c>
      <c r="B32" s="88" t="s">
        <v>343</v>
      </c>
      <c r="C32" s="80" t="s">
        <v>346</v>
      </c>
      <c r="D32" s="82"/>
      <c r="E32" s="82">
        <f>+ SUMIF('Nhập kho T42024'!B:B, A32,'Nhập kho T42024'!F:F)</f>
        <v>10</v>
      </c>
      <c r="F32" s="82">
        <f>+ SUMIF('Doanh thu 2025'!B:B, A32,'Doanh thu 2025'!E:E)</f>
        <v>1</v>
      </c>
      <c r="G32" s="82">
        <f t="shared" si="4"/>
        <v>10</v>
      </c>
    </row>
    <row r="33" spans="1:7" ht="22.5" customHeight="1">
      <c r="A33" s="80" t="s">
        <v>371</v>
      </c>
      <c r="B33" s="87" t="s">
        <v>340</v>
      </c>
      <c r="C33" s="80" t="s">
        <v>341</v>
      </c>
      <c r="D33" s="82"/>
      <c r="E33" s="82">
        <f>+ SUMIF('Nhập kho T42024'!B:B, A33,'Nhập kho T42024'!F:F)</f>
        <v>5</v>
      </c>
      <c r="F33" s="82">
        <f>+ SUMIF('Doanh thu 2025'!B:B, A33,'Doanh thu 2025'!E:E)</f>
        <v>0</v>
      </c>
      <c r="G33" s="82">
        <f t="shared" ref="G33:G57" si="5">E33-F33</f>
        <v>5</v>
      </c>
    </row>
    <row r="34" spans="1:7" ht="22.5" customHeight="1">
      <c r="A34" s="81" t="s">
        <v>372</v>
      </c>
      <c r="B34" s="88" t="s">
        <v>343</v>
      </c>
      <c r="C34" s="80" t="s">
        <v>341</v>
      </c>
      <c r="D34" s="82"/>
      <c r="E34" s="82">
        <f>+ SUMIF('Nhập kho T42024'!B:B, A34,'Nhập kho T42024'!F:F)</f>
        <v>0</v>
      </c>
      <c r="F34" s="82">
        <f>+ SUMIF('Doanh thu 2025'!B:B, A34,'Doanh thu 2025'!E:E)</f>
        <v>0</v>
      </c>
      <c r="G34" s="82">
        <f t="shared" si="5"/>
        <v>0</v>
      </c>
    </row>
    <row r="35" spans="1:7" ht="22.5" customHeight="1">
      <c r="A35" s="80" t="s">
        <v>373</v>
      </c>
      <c r="B35" s="87" t="s">
        <v>340</v>
      </c>
      <c r="C35" s="80" t="s">
        <v>341</v>
      </c>
      <c r="D35" s="82"/>
      <c r="E35" s="82">
        <f>+ SUMIF('Nhập kho T42024'!B:B, A35,'Nhập kho T42024'!F:F)</f>
        <v>4</v>
      </c>
      <c r="F35" s="82">
        <f>+ SUMIF('Doanh thu 2025'!B:B, A35,'Doanh thu 2025'!E:E)</f>
        <v>0</v>
      </c>
      <c r="G35" s="82">
        <f t="shared" si="5"/>
        <v>4</v>
      </c>
    </row>
    <row r="36" spans="1:7" ht="22.5" customHeight="1">
      <c r="A36" s="81" t="s">
        <v>374</v>
      </c>
      <c r="B36" s="88" t="s">
        <v>343</v>
      </c>
      <c r="C36" s="80" t="s">
        <v>341</v>
      </c>
      <c r="D36" s="82"/>
      <c r="E36" s="82">
        <f>+ SUMIF('Nhập kho T42024'!B:B, A36,'Nhập kho T42024'!F:F)</f>
        <v>0</v>
      </c>
      <c r="F36" s="82">
        <f>+ SUMIF('Doanh thu 2025'!B:B, A36,'Doanh thu 2025'!E:E)</f>
        <v>1</v>
      </c>
      <c r="G36" s="82">
        <f t="shared" si="5"/>
        <v>-1</v>
      </c>
    </row>
    <row r="37" spans="1:7" ht="22.5" customHeight="1">
      <c r="A37" s="80" t="s">
        <v>375</v>
      </c>
      <c r="B37" s="87" t="s">
        <v>340</v>
      </c>
      <c r="C37" s="80" t="s">
        <v>341</v>
      </c>
      <c r="D37" s="82"/>
      <c r="E37" s="82">
        <f>+ SUMIF('Nhập kho T42024'!B:B, A37,'Nhập kho T42024'!F:F)</f>
        <v>4</v>
      </c>
      <c r="F37" s="82">
        <f>+ SUMIF('Doanh thu 2025'!B:B, A37,'Doanh thu 2025'!E:E)</f>
        <v>0</v>
      </c>
      <c r="G37" s="82">
        <f t="shared" si="5"/>
        <v>4</v>
      </c>
    </row>
    <row r="38" spans="1:7" ht="22.5" customHeight="1">
      <c r="A38" s="81" t="s">
        <v>376</v>
      </c>
      <c r="B38" s="88" t="s">
        <v>343</v>
      </c>
      <c r="C38" s="80" t="s">
        <v>341</v>
      </c>
      <c r="D38" s="82"/>
      <c r="E38" s="82">
        <f>+ SUMIF('Nhập kho T42024'!B:B, A38,'Nhập kho T42024'!F:F)</f>
        <v>0</v>
      </c>
      <c r="F38" s="82">
        <f>+ SUMIF('Doanh thu 2025'!B:B, A38,'Doanh thu 2025'!E:E)</f>
        <v>0</v>
      </c>
      <c r="G38" s="82">
        <f t="shared" si="5"/>
        <v>0</v>
      </c>
    </row>
    <row r="39" spans="1:7" ht="22.5" customHeight="1">
      <c r="A39" s="80" t="s">
        <v>377</v>
      </c>
      <c r="B39" s="87" t="s">
        <v>340</v>
      </c>
      <c r="C39" s="80" t="s">
        <v>341</v>
      </c>
      <c r="D39" s="82"/>
      <c r="E39" s="82">
        <f>+ SUMIF('Nhập kho T42024'!B:B, A39,'Nhập kho T42024'!F:F)</f>
        <v>7</v>
      </c>
      <c r="F39" s="82">
        <f>+ SUMIF('Doanh thu 2025'!B:B, A39,'Doanh thu 2025'!E:E)</f>
        <v>0</v>
      </c>
      <c r="G39" s="82">
        <f t="shared" si="5"/>
        <v>7</v>
      </c>
    </row>
    <row r="40" spans="1:7" ht="22.5" customHeight="1">
      <c r="A40" s="81" t="s">
        <v>378</v>
      </c>
      <c r="B40" s="88" t="s">
        <v>343</v>
      </c>
      <c r="C40" s="80" t="s">
        <v>341</v>
      </c>
      <c r="D40" s="82"/>
      <c r="E40" s="82">
        <f>+ SUMIF('Nhập kho T42024'!B:B, A40,'Nhập kho T42024'!F:F)</f>
        <v>0</v>
      </c>
      <c r="F40" s="82">
        <f>+ SUMIF('Doanh thu 2025'!B:B, A40,'Doanh thu 2025'!E:E)</f>
        <v>0</v>
      </c>
      <c r="G40" s="82">
        <f t="shared" si="5"/>
        <v>0</v>
      </c>
    </row>
    <row r="41" spans="1:7" ht="22.5" customHeight="1">
      <c r="A41" s="80" t="s">
        <v>379</v>
      </c>
      <c r="B41" s="88" t="s">
        <v>343</v>
      </c>
      <c r="C41" s="80" t="s">
        <v>346</v>
      </c>
      <c r="D41" s="82"/>
      <c r="E41" s="82">
        <f>+ SUMIF('Nhập kho T42024'!B:B, A41,'Nhập kho T42024'!F:F)</f>
        <v>5</v>
      </c>
      <c r="F41" s="82">
        <f>+ SUMIF('Doanh thu 2025'!B:B, A41,'Doanh thu 2025'!E:E)</f>
        <v>2</v>
      </c>
      <c r="G41" s="82">
        <f t="shared" si="5"/>
        <v>3</v>
      </c>
    </row>
    <row r="42" spans="1:7" ht="22.5" customHeight="1">
      <c r="A42" s="80"/>
      <c r="B42" s="80"/>
      <c r="C42" s="80"/>
      <c r="D42" s="82"/>
      <c r="E42" s="82">
        <f>+ SUMIF('Nhập kho T42024'!B:B, A42,'Nhập kho T42024'!F:F)</f>
        <v>0</v>
      </c>
      <c r="F42" s="82">
        <f>+ SUMIF('Doanh thu 2025'!B:B, A42,'Doanh thu 2025'!E:E)</f>
        <v>0</v>
      </c>
      <c r="G42" s="82">
        <f t="shared" si="5"/>
        <v>0</v>
      </c>
    </row>
    <row r="43" spans="1:7" ht="22.5" customHeight="1">
      <c r="A43" s="80"/>
      <c r="B43" s="80"/>
      <c r="C43" s="80"/>
      <c r="D43" s="82"/>
      <c r="E43" s="82">
        <f>+ SUMIF('Nhập kho T42024'!B:B, A43,'Nhập kho T42024'!F:F)</f>
        <v>0</v>
      </c>
      <c r="F43" s="82">
        <f>+ SUMIF('Doanh thu 2025'!B:B, A43,'Doanh thu 2025'!E:E)</f>
        <v>0</v>
      </c>
      <c r="G43" s="82">
        <f t="shared" si="5"/>
        <v>0</v>
      </c>
    </row>
    <row r="44" spans="1:7" ht="22.5" customHeight="1">
      <c r="A44" s="80"/>
      <c r="B44" s="80"/>
      <c r="C44" s="80"/>
      <c r="D44" s="82"/>
      <c r="E44" s="82">
        <f>+ SUMIF('Nhập kho T42024'!B:B, A44,'Nhập kho T42024'!F:F)</f>
        <v>0</v>
      </c>
      <c r="F44" s="82">
        <f>+ SUMIF('Doanh thu 2025'!B:B, A44,'Doanh thu 2025'!E:E)</f>
        <v>0</v>
      </c>
      <c r="G44" s="82">
        <f t="shared" si="5"/>
        <v>0</v>
      </c>
    </row>
    <row r="45" spans="1:7" ht="22.5" customHeight="1">
      <c r="A45" s="80"/>
      <c r="B45" s="80"/>
      <c r="C45" s="80"/>
      <c r="D45" s="82"/>
      <c r="E45" s="82">
        <f>+ SUMIF('Nhập kho T42024'!B:B, A45,'Nhập kho T42024'!F:F)</f>
        <v>0</v>
      </c>
      <c r="F45" s="82">
        <f>+ SUMIF('Doanh thu 2025'!B:B, A45,'Doanh thu 2025'!E:E)</f>
        <v>0</v>
      </c>
      <c r="G45" s="82">
        <f t="shared" si="5"/>
        <v>0</v>
      </c>
    </row>
    <row r="46" spans="1:7" ht="22.5" customHeight="1">
      <c r="A46" s="80"/>
      <c r="B46" s="80"/>
      <c r="C46" s="80"/>
      <c r="D46" s="82"/>
      <c r="E46" s="82">
        <f>+ SUMIF('Nhập kho T42024'!B:B, A46,'Nhập kho T42024'!F:F)</f>
        <v>0</v>
      </c>
      <c r="F46" s="82">
        <f>+ SUMIF('Doanh thu 2025'!B:B, A46,'Doanh thu 2025'!E:E)</f>
        <v>0</v>
      </c>
      <c r="G46" s="82">
        <f t="shared" si="5"/>
        <v>0</v>
      </c>
    </row>
    <row r="47" spans="1:7" ht="22.5" customHeight="1">
      <c r="A47" s="80"/>
      <c r="B47" s="80"/>
      <c r="C47" s="80"/>
      <c r="D47" s="82"/>
      <c r="E47" s="82">
        <f>+ SUMIF('Nhập kho T42024'!B:B, A47,'Nhập kho T42024'!F:F)</f>
        <v>0</v>
      </c>
      <c r="F47" s="82">
        <f>+ SUMIF('Doanh thu 2025'!B:B, A47,'Doanh thu 2025'!E:E)</f>
        <v>0</v>
      </c>
      <c r="G47" s="82">
        <f t="shared" si="5"/>
        <v>0</v>
      </c>
    </row>
    <row r="48" spans="1:7" ht="22.5" customHeight="1">
      <c r="A48" s="80"/>
      <c r="B48" s="80"/>
      <c r="C48" s="80"/>
      <c r="D48" s="82"/>
      <c r="E48" s="82">
        <f>+ SUMIF('Nhập kho T42024'!B:B, A48,'Nhập kho T42024'!F:F)</f>
        <v>0</v>
      </c>
      <c r="F48" s="82">
        <f>+ SUMIF('Doanh thu 2025'!B:B, A48,'Doanh thu 2025'!E:E)</f>
        <v>0</v>
      </c>
      <c r="G48" s="82">
        <f t="shared" si="5"/>
        <v>0</v>
      </c>
    </row>
    <row r="49" spans="1:8" ht="22.5" customHeight="1">
      <c r="A49" s="80"/>
      <c r="B49" s="80"/>
      <c r="C49" s="80"/>
      <c r="D49" s="82"/>
      <c r="E49" s="82">
        <f>+ SUMIF('Nhập kho T42024'!B:B, A49,'Nhập kho T42024'!F:F)</f>
        <v>0</v>
      </c>
      <c r="F49" s="82">
        <f>+ SUMIF('Doanh thu 2025'!B:B, A49,'Doanh thu 2025'!E:E)</f>
        <v>0</v>
      </c>
      <c r="G49" s="82">
        <f t="shared" si="5"/>
        <v>0</v>
      </c>
    </row>
    <row r="50" spans="1:8" ht="22.5" customHeight="1">
      <c r="A50" s="80"/>
      <c r="B50" s="80"/>
      <c r="C50" s="80"/>
      <c r="D50" s="82"/>
      <c r="E50" s="82">
        <f>+ SUMIF('Nhập kho T42024'!B:B, A50,'Nhập kho T42024'!F:F)</f>
        <v>0</v>
      </c>
      <c r="F50" s="82">
        <f>+ SUMIF('Doanh thu 2025'!B:B, A50,'Doanh thu 2025'!E:E)</f>
        <v>0</v>
      </c>
      <c r="G50" s="82">
        <f t="shared" si="5"/>
        <v>0</v>
      </c>
    </row>
    <row r="51" spans="1:8" ht="22.5" customHeight="1">
      <c r="A51" s="80"/>
      <c r="B51" s="80"/>
      <c r="C51" s="80"/>
      <c r="D51" s="82"/>
      <c r="E51" s="82">
        <f>+ SUMIF('Nhập kho T42024'!B:B, A51,'Nhập kho T42024'!F:F)</f>
        <v>0</v>
      </c>
      <c r="F51" s="82">
        <f>+ SUMIF('Doanh thu 2025'!B:B, A51,'Doanh thu 2025'!E:E)</f>
        <v>0</v>
      </c>
      <c r="G51" s="82">
        <f t="shared" si="5"/>
        <v>0</v>
      </c>
    </row>
    <row r="52" spans="1:8" ht="22.5" customHeight="1">
      <c r="A52" s="80"/>
      <c r="B52" s="80"/>
      <c r="C52" s="80"/>
      <c r="D52" s="82"/>
      <c r="E52" s="82">
        <f>+ SUMIF('Nhập kho T42024'!B:B, A52,'Nhập kho T42024'!F:F)</f>
        <v>0</v>
      </c>
      <c r="F52" s="82">
        <f>+ SUMIF('Doanh thu 2025'!B:B, A52,'Doanh thu 2025'!E:E)</f>
        <v>0</v>
      </c>
      <c r="G52" s="82">
        <f t="shared" si="5"/>
        <v>0</v>
      </c>
    </row>
    <row r="53" spans="1:8" ht="22.5" customHeight="1">
      <c r="A53" s="80"/>
      <c r="B53" s="80"/>
      <c r="C53" s="80"/>
      <c r="D53" s="82"/>
      <c r="E53" s="82">
        <f>+ SUMIF('Nhập kho T42024'!B:B, A53,'Nhập kho T42024'!F:F)</f>
        <v>0</v>
      </c>
      <c r="F53" s="82">
        <f>+ SUMIF('Doanh thu 2025'!B:B, A53,'Doanh thu 2025'!E:E)</f>
        <v>0</v>
      </c>
      <c r="G53" s="82">
        <f t="shared" si="5"/>
        <v>0</v>
      </c>
    </row>
    <row r="54" spans="1:8" ht="22.5" customHeight="1">
      <c r="A54" s="80"/>
      <c r="B54" s="80"/>
      <c r="C54" s="80"/>
      <c r="D54" s="82"/>
      <c r="E54" s="82">
        <f>+ SUMIF('Nhập kho T42024'!B:B, A54,'Nhập kho T42024'!F:F)</f>
        <v>0</v>
      </c>
      <c r="F54" s="82">
        <f>+ SUMIF('Doanh thu 2025'!B:B, A54,'Doanh thu 2025'!E:E)</f>
        <v>0</v>
      </c>
      <c r="G54" s="82">
        <f t="shared" si="5"/>
        <v>0</v>
      </c>
    </row>
    <row r="55" spans="1:8" ht="22.5" customHeight="1">
      <c r="A55" s="80"/>
      <c r="B55" s="80"/>
      <c r="C55" s="80"/>
      <c r="D55" s="82"/>
      <c r="E55" s="82">
        <f>+ SUMIF('Nhập kho T42024'!B:B, A55,'Nhập kho T42024'!F:F)</f>
        <v>0</v>
      </c>
      <c r="F55" s="82">
        <f>+ SUMIF('Doanh thu 2025'!B:B, A55,'Doanh thu 2025'!E:E)</f>
        <v>0</v>
      </c>
      <c r="G55" s="82">
        <f t="shared" si="5"/>
        <v>0</v>
      </c>
    </row>
    <row r="56" spans="1:8" ht="22.5" customHeight="1">
      <c r="A56" s="80"/>
      <c r="B56" s="91"/>
      <c r="C56" s="91"/>
      <c r="D56" s="82"/>
      <c r="E56" s="82">
        <f>+ SUMIF('Nhập kho T42024'!B:B, A56,'Nhập kho T42024'!F:F)</f>
        <v>0</v>
      </c>
      <c r="F56" s="82">
        <f>+ SUMIF('Doanh thu 2025'!B:B, A56,'Doanh thu 2025'!E:E)</f>
        <v>0</v>
      </c>
      <c r="G56" s="82">
        <f t="shared" si="5"/>
        <v>0</v>
      </c>
    </row>
    <row r="57" spans="1:8" ht="22.5" customHeight="1">
      <c r="A57" s="80"/>
      <c r="B57" s="91"/>
      <c r="C57" s="91"/>
      <c r="D57" s="82"/>
      <c r="E57" s="82">
        <f>+ SUMIF('Nhập kho T42024'!B:B, A57,'Nhập kho T42024'!F:F)</f>
        <v>0</v>
      </c>
      <c r="F57" s="82">
        <f>+ SUMIF('Doanh thu 2025'!B:B, A57,'Doanh thu 2025'!E:E)</f>
        <v>0</v>
      </c>
      <c r="G57" s="82">
        <f t="shared" si="5"/>
        <v>0</v>
      </c>
    </row>
    <row r="58" spans="1:8" ht="22.5" customHeight="1">
      <c r="A58" s="91"/>
      <c r="B58" s="91"/>
      <c r="C58" s="91"/>
      <c r="D58" s="82"/>
      <c r="E58" s="82">
        <f>+ SUMIF('Nhập kho T42024'!B:B, A58,'Nhập kho T42024'!F:F)</f>
        <v>0</v>
      </c>
      <c r="F58" s="82">
        <f>+ SUMIF('Doanh thu 2025'!B:B, A58,'Doanh thu 2025'!E:E)</f>
        <v>0</v>
      </c>
      <c r="G58" s="91"/>
    </row>
    <row r="59" spans="1:8" ht="22.5" customHeight="1">
      <c r="A59" s="77" t="s">
        <v>333</v>
      </c>
      <c r="B59" s="78" t="s">
        <v>72</v>
      </c>
      <c r="C59" s="79" t="s">
        <v>335</v>
      </c>
      <c r="D59" s="79" t="s">
        <v>336</v>
      </c>
      <c r="E59" s="79" t="s">
        <v>337</v>
      </c>
      <c r="F59" s="78" t="s">
        <v>338</v>
      </c>
    </row>
    <row r="60" spans="1:8" ht="22.5" customHeight="1">
      <c r="A60" s="80"/>
      <c r="B60" s="80"/>
      <c r="C60" s="82"/>
      <c r="D60" s="82"/>
      <c r="E60" s="81"/>
      <c r="F60" s="91"/>
    </row>
    <row r="61" spans="1:8" ht="22.5" customHeight="1">
      <c r="A61" s="80"/>
      <c r="B61" s="80"/>
      <c r="C61" s="82"/>
      <c r="D61" s="82"/>
      <c r="E61" s="82"/>
      <c r="F61" s="91"/>
      <c r="H61" s="75"/>
    </row>
    <row r="62" spans="1:8" ht="22.5" customHeight="1">
      <c r="A62" s="80"/>
      <c r="B62" s="80"/>
      <c r="C62" s="82"/>
      <c r="D62" s="82"/>
      <c r="E62" s="82"/>
      <c r="F62" s="91"/>
      <c r="H62" s="75"/>
    </row>
    <row r="63" spans="1:8" ht="22.5" customHeight="1">
      <c r="A63" s="80"/>
      <c r="B63" s="80"/>
      <c r="C63" s="82"/>
      <c r="D63" s="82"/>
      <c r="E63" s="82"/>
      <c r="F63" s="91"/>
      <c r="H63" s="75"/>
    </row>
    <row r="64" spans="1:8" ht="22.5" customHeight="1">
      <c r="A64" s="80"/>
      <c r="B64" s="80"/>
      <c r="C64" s="82"/>
      <c r="D64" s="82"/>
      <c r="E64" s="82"/>
      <c r="F64" s="91"/>
      <c r="H64" s="75"/>
    </row>
    <row r="65" spans="1:8" ht="22.5" customHeight="1">
      <c r="A65" s="80"/>
      <c r="B65" s="80"/>
      <c r="C65" s="82"/>
      <c r="D65" s="82"/>
      <c r="E65" s="82"/>
      <c r="F65" s="91"/>
      <c r="H65" s="75"/>
    </row>
    <row r="66" spans="1:8" ht="22.5" customHeight="1">
      <c r="A66" s="80"/>
      <c r="B66" s="80"/>
      <c r="C66" s="82"/>
      <c r="D66" s="82"/>
      <c r="E66" s="82"/>
      <c r="F66" s="91"/>
      <c r="H66" s="75"/>
    </row>
    <row r="67" spans="1:8" ht="22.5" customHeight="1">
      <c r="A67" s="80"/>
      <c r="B67" s="80"/>
      <c r="C67" s="82"/>
      <c r="D67" s="82"/>
      <c r="E67" s="82"/>
      <c r="F67" s="91"/>
      <c r="H67" s="75"/>
    </row>
    <row r="68" spans="1:8" ht="22.5" customHeight="1">
      <c r="A68" s="91"/>
      <c r="B68" s="91"/>
      <c r="C68" s="82"/>
      <c r="D68" s="82"/>
      <c r="E68" s="82"/>
      <c r="F68" s="91"/>
      <c r="G68" s="75"/>
      <c r="H68" s="75"/>
    </row>
    <row r="69" spans="1:8" ht="13.2">
      <c r="C69" s="75"/>
      <c r="D69" s="75"/>
      <c r="E69" s="75"/>
      <c r="F69" s="75"/>
      <c r="G69" s="75"/>
      <c r="H69" s="75"/>
    </row>
    <row r="70" spans="1:8" ht="13.2">
      <c r="C70" s="75"/>
      <c r="D70" s="75"/>
      <c r="E70" s="75"/>
      <c r="F70" s="75"/>
      <c r="G70" s="75"/>
      <c r="H70" s="75"/>
    </row>
    <row r="71" spans="1:8" ht="13.2">
      <c r="C71" s="75"/>
      <c r="D71" s="75"/>
      <c r="E71" s="75"/>
      <c r="F71" s="75"/>
      <c r="G71" s="75"/>
      <c r="H71" s="75"/>
    </row>
    <row r="72" spans="1:8" ht="13.2">
      <c r="C72" s="75"/>
      <c r="D72" s="75"/>
      <c r="E72" s="75"/>
      <c r="F72" s="75"/>
      <c r="G72" s="75"/>
      <c r="H72" s="75"/>
    </row>
    <row r="73" spans="1:8" ht="13.2">
      <c r="C73" s="75"/>
      <c r="D73" s="75"/>
      <c r="E73" s="75"/>
      <c r="F73" s="75"/>
      <c r="G73" s="75"/>
      <c r="H73" s="75"/>
    </row>
    <row r="74" spans="1:8" ht="13.2">
      <c r="C74" s="75"/>
      <c r="D74" s="75"/>
      <c r="E74" s="75"/>
      <c r="F74" s="75"/>
      <c r="G74" s="75"/>
      <c r="H74" s="75"/>
    </row>
    <row r="75" spans="1:8" ht="13.2">
      <c r="C75" s="75"/>
      <c r="D75" s="75"/>
      <c r="E75" s="75"/>
      <c r="F75" s="75"/>
      <c r="G75" s="75"/>
      <c r="H75" s="75"/>
    </row>
    <row r="76" spans="1:8" ht="13.2">
      <c r="C76" s="75"/>
      <c r="D76" s="75"/>
      <c r="E76" s="75"/>
      <c r="F76" s="75"/>
      <c r="G76" s="75"/>
      <c r="H76" s="75"/>
    </row>
    <row r="77" spans="1:8" ht="13.2">
      <c r="C77" s="75"/>
      <c r="D77" s="75"/>
      <c r="E77" s="75"/>
      <c r="F77" s="75"/>
      <c r="G77" s="75"/>
      <c r="H77" s="75"/>
    </row>
    <row r="78" spans="1:8" ht="13.2">
      <c r="C78" s="75"/>
      <c r="D78" s="75"/>
      <c r="E78" s="75"/>
      <c r="F78" s="75"/>
      <c r="G78" s="75"/>
      <c r="H78" s="75"/>
    </row>
    <row r="79" spans="1:8" ht="13.2">
      <c r="C79" s="75"/>
      <c r="D79" s="75"/>
      <c r="E79" s="75"/>
      <c r="F79" s="75"/>
      <c r="G79" s="75"/>
      <c r="H79" s="75"/>
    </row>
    <row r="80" spans="1:8" ht="13.2">
      <c r="C80" s="75"/>
      <c r="D80" s="75"/>
      <c r="E80" s="75"/>
      <c r="F80" s="75"/>
      <c r="G80" s="75"/>
      <c r="H80" s="75"/>
    </row>
    <row r="81" spans="3:8" ht="13.2">
      <c r="C81" s="75"/>
      <c r="D81" s="75"/>
      <c r="E81" s="75"/>
      <c r="F81" s="75"/>
      <c r="G81" s="75"/>
      <c r="H81" s="75"/>
    </row>
    <row r="82" spans="3:8" ht="13.2">
      <c r="C82" s="75"/>
      <c r="D82" s="75"/>
      <c r="E82" s="75"/>
      <c r="F82" s="75"/>
      <c r="G82" s="75"/>
      <c r="H82" s="75"/>
    </row>
    <row r="83" spans="3:8" ht="13.2">
      <c r="C83" s="75"/>
      <c r="D83" s="75"/>
      <c r="E83" s="75"/>
      <c r="F83" s="75"/>
      <c r="G83" s="75"/>
      <c r="H83" s="75"/>
    </row>
    <row r="84" spans="3:8" ht="13.2">
      <c r="C84" s="75"/>
      <c r="D84" s="75"/>
      <c r="E84" s="75"/>
      <c r="F84" s="75"/>
      <c r="G84" s="75"/>
      <c r="H84" s="75"/>
    </row>
    <row r="85" spans="3:8" ht="13.2">
      <c r="C85" s="75"/>
      <c r="D85" s="75"/>
      <c r="E85" s="75"/>
      <c r="F85" s="75"/>
      <c r="G85" s="75"/>
      <c r="H85" s="75"/>
    </row>
    <row r="86" spans="3:8" ht="13.2">
      <c r="C86" s="75"/>
      <c r="D86" s="75"/>
      <c r="E86" s="75"/>
      <c r="F86" s="75"/>
      <c r="G86" s="75"/>
      <c r="H86" s="75"/>
    </row>
    <row r="87" spans="3:8" ht="13.2">
      <c r="C87" s="75"/>
      <c r="D87" s="75"/>
      <c r="E87" s="75"/>
      <c r="F87" s="75"/>
      <c r="G87" s="75"/>
      <c r="H87" s="75"/>
    </row>
    <row r="88" spans="3:8" ht="13.2">
      <c r="C88" s="75"/>
      <c r="D88" s="75"/>
      <c r="E88" s="75"/>
      <c r="F88" s="75"/>
      <c r="G88" s="75"/>
      <c r="H88" s="75"/>
    </row>
    <row r="89" spans="3:8" ht="13.2">
      <c r="C89" s="75"/>
      <c r="D89" s="75"/>
      <c r="E89" s="75"/>
      <c r="F89" s="75"/>
      <c r="G89" s="75"/>
      <c r="H89" s="75"/>
    </row>
    <row r="90" spans="3:8" ht="13.2">
      <c r="C90" s="75"/>
      <c r="D90" s="75"/>
      <c r="E90" s="75"/>
      <c r="F90" s="75"/>
      <c r="G90" s="75"/>
      <c r="H90" s="75"/>
    </row>
    <row r="91" spans="3:8" ht="13.2">
      <c r="C91" s="75"/>
      <c r="D91" s="75"/>
      <c r="E91" s="75"/>
      <c r="F91" s="75"/>
      <c r="G91" s="75"/>
      <c r="H91" s="75"/>
    </row>
    <row r="92" spans="3:8" ht="13.2">
      <c r="C92" s="75"/>
      <c r="D92" s="75"/>
      <c r="E92" s="75"/>
      <c r="F92" s="75"/>
      <c r="G92" s="75"/>
      <c r="H92" s="75"/>
    </row>
    <row r="93" spans="3:8" ht="13.2">
      <c r="C93" s="75"/>
      <c r="D93" s="75"/>
      <c r="E93" s="75"/>
      <c r="F93" s="75"/>
      <c r="G93" s="75"/>
      <c r="H93" s="75"/>
    </row>
    <row r="94" spans="3:8" ht="13.2">
      <c r="C94" s="75"/>
      <c r="D94" s="75"/>
      <c r="E94" s="75"/>
      <c r="F94" s="75"/>
      <c r="G94" s="75"/>
      <c r="H94" s="75"/>
    </row>
    <row r="95" spans="3:8" ht="13.2">
      <c r="C95" s="75"/>
      <c r="D95" s="75"/>
      <c r="E95" s="75"/>
      <c r="F95" s="75"/>
      <c r="G95" s="75"/>
      <c r="H95" s="75"/>
    </row>
    <row r="96" spans="3:8" ht="13.2">
      <c r="C96" s="75"/>
      <c r="D96" s="75"/>
      <c r="E96" s="75"/>
      <c r="F96" s="75"/>
      <c r="G96" s="75"/>
      <c r="H96" s="75"/>
    </row>
    <row r="97" spans="3:8" ht="13.2">
      <c r="C97" s="75"/>
      <c r="D97" s="75"/>
      <c r="E97" s="75"/>
      <c r="F97" s="75"/>
      <c r="G97" s="75"/>
      <c r="H97" s="75"/>
    </row>
    <row r="98" spans="3:8" ht="13.2">
      <c r="C98" s="75"/>
      <c r="D98" s="75"/>
      <c r="E98" s="75"/>
      <c r="F98" s="75"/>
      <c r="G98" s="75"/>
      <c r="H98" s="75"/>
    </row>
    <row r="99" spans="3:8" ht="13.2">
      <c r="C99" s="75"/>
      <c r="D99" s="75"/>
      <c r="E99" s="75"/>
      <c r="F99" s="75"/>
      <c r="G99" s="75"/>
      <c r="H99" s="75"/>
    </row>
    <row r="100" spans="3:8" ht="13.2">
      <c r="C100" s="75"/>
      <c r="D100" s="75"/>
      <c r="E100" s="75"/>
      <c r="F100" s="75"/>
      <c r="G100" s="75"/>
      <c r="H100" s="75"/>
    </row>
    <row r="101" spans="3:8" ht="13.2">
      <c r="C101" s="75"/>
      <c r="D101" s="75"/>
      <c r="E101" s="75"/>
      <c r="F101" s="75"/>
      <c r="G101" s="75"/>
      <c r="H101" s="75"/>
    </row>
    <row r="102" spans="3:8" ht="13.2">
      <c r="C102" s="75"/>
      <c r="D102" s="75"/>
      <c r="E102" s="75"/>
      <c r="F102" s="75"/>
      <c r="G102" s="75"/>
      <c r="H102" s="75"/>
    </row>
    <row r="103" spans="3:8" ht="13.2">
      <c r="C103" s="75"/>
      <c r="D103" s="75"/>
      <c r="E103" s="75"/>
      <c r="F103" s="75"/>
      <c r="G103" s="75"/>
      <c r="H103" s="75"/>
    </row>
    <row r="104" spans="3:8" ht="13.2">
      <c r="C104" s="75"/>
      <c r="D104" s="75"/>
      <c r="E104" s="75"/>
      <c r="F104" s="75"/>
      <c r="G104" s="75"/>
      <c r="H104" s="75"/>
    </row>
    <row r="105" spans="3:8" ht="13.2">
      <c r="C105" s="75"/>
      <c r="D105" s="75"/>
      <c r="E105" s="75"/>
      <c r="F105" s="75"/>
      <c r="G105" s="75"/>
      <c r="H105" s="75"/>
    </row>
    <row r="106" spans="3:8" ht="13.2">
      <c r="C106" s="75"/>
      <c r="D106" s="75"/>
      <c r="E106" s="75"/>
      <c r="F106" s="75"/>
      <c r="G106" s="75"/>
      <c r="H106" s="75"/>
    </row>
    <row r="107" spans="3:8" ht="13.2">
      <c r="C107" s="75"/>
      <c r="D107" s="75"/>
      <c r="E107" s="75"/>
      <c r="F107" s="75"/>
      <c r="G107" s="75"/>
      <c r="H107" s="75"/>
    </row>
    <row r="108" spans="3:8" ht="13.2">
      <c r="C108" s="75"/>
      <c r="D108" s="75"/>
      <c r="E108" s="75"/>
      <c r="F108" s="75"/>
      <c r="G108" s="75"/>
      <c r="H108" s="75"/>
    </row>
    <row r="109" spans="3:8" ht="13.2">
      <c r="C109" s="75"/>
      <c r="D109" s="75"/>
      <c r="E109" s="75"/>
      <c r="F109" s="75"/>
      <c r="G109" s="75"/>
      <c r="H109" s="75"/>
    </row>
    <row r="110" spans="3:8" ht="13.2">
      <c r="C110" s="75"/>
      <c r="D110" s="75"/>
      <c r="E110" s="75"/>
      <c r="F110" s="75"/>
      <c r="G110" s="75"/>
      <c r="H110" s="75"/>
    </row>
    <row r="111" spans="3:8" ht="13.2">
      <c r="C111" s="75"/>
      <c r="D111" s="75"/>
      <c r="E111" s="75"/>
      <c r="F111" s="75"/>
      <c r="G111" s="75"/>
      <c r="H111" s="75"/>
    </row>
    <row r="112" spans="3:8" ht="13.2">
      <c r="C112" s="75"/>
      <c r="D112" s="75"/>
      <c r="E112" s="75"/>
      <c r="F112" s="75"/>
      <c r="G112" s="75"/>
      <c r="H112" s="75"/>
    </row>
    <row r="113" spans="3:8" ht="13.2">
      <c r="C113" s="75"/>
      <c r="D113" s="75"/>
      <c r="E113" s="75"/>
      <c r="F113" s="75"/>
      <c r="G113" s="75"/>
      <c r="H113" s="75"/>
    </row>
    <row r="114" spans="3:8" ht="13.2">
      <c r="C114" s="75"/>
      <c r="D114" s="75"/>
      <c r="E114" s="75"/>
      <c r="F114" s="75"/>
      <c r="G114" s="75"/>
      <c r="H114" s="75"/>
    </row>
    <row r="115" spans="3:8" ht="13.2">
      <c r="C115" s="75"/>
      <c r="D115" s="75"/>
      <c r="E115" s="75"/>
      <c r="F115" s="75"/>
      <c r="G115" s="75"/>
      <c r="H115" s="75"/>
    </row>
    <row r="116" spans="3:8" ht="13.2">
      <c r="C116" s="75"/>
      <c r="D116" s="75"/>
      <c r="E116" s="75"/>
      <c r="F116" s="75"/>
      <c r="G116" s="75"/>
      <c r="H116" s="75"/>
    </row>
    <row r="117" spans="3:8" ht="13.2">
      <c r="C117" s="75"/>
      <c r="D117" s="75"/>
      <c r="E117" s="75"/>
      <c r="F117" s="75"/>
      <c r="G117" s="75"/>
      <c r="H117" s="75"/>
    </row>
    <row r="118" spans="3:8" ht="13.2">
      <c r="C118" s="75"/>
      <c r="D118" s="75"/>
      <c r="E118" s="75"/>
      <c r="F118" s="75"/>
      <c r="G118" s="75"/>
      <c r="H118" s="75"/>
    </row>
    <row r="119" spans="3:8" ht="13.2">
      <c r="C119" s="75"/>
      <c r="D119" s="75"/>
      <c r="E119" s="75"/>
      <c r="F119" s="75"/>
      <c r="G119" s="75"/>
      <c r="H119" s="75"/>
    </row>
    <row r="120" spans="3:8" ht="13.2">
      <c r="C120" s="75"/>
      <c r="D120" s="75"/>
      <c r="E120" s="75"/>
      <c r="F120" s="75"/>
      <c r="G120" s="75"/>
      <c r="H120" s="75"/>
    </row>
    <row r="121" spans="3:8" ht="13.2">
      <c r="C121" s="75"/>
      <c r="D121" s="75"/>
      <c r="E121" s="75"/>
      <c r="F121" s="75"/>
      <c r="G121" s="75"/>
      <c r="H121" s="75"/>
    </row>
    <row r="122" spans="3:8" ht="13.2">
      <c r="C122" s="75"/>
      <c r="D122" s="75"/>
      <c r="E122" s="75"/>
      <c r="F122" s="75"/>
      <c r="G122" s="75"/>
      <c r="H122" s="75"/>
    </row>
    <row r="123" spans="3:8" ht="13.2">
      <c r="C123" s="75"/>
      <c r="D123" s="75"/>
      <c r="E123" s="75"/>
      <c r="F123" s="75"/>
      <c r="G123" s="75"/>
      <c r="H123" s="75"/>
    </row>
    <row r="124" spans="3:8" ht="13.2">
      <c r="C124" s="75"/>
      <c r="D124" s="75"/>
      <c r="E124" s="75"/>
      <c r="F124" s="75"/>
      <c r="G124" s="75"/>
      <c r="H124" s="75"/>
    </row>
    <row r="125" spans="3:8" ht="13.2">
      <c r="C125" s="75"/>
      <c r="D125" s="75"/>
      <c r="E125" s="75"/>
      <c r="F125" s="75"/>
      <c r="G125" s="75"/>
      <c r="H125" s="75"/>
    </row>
    <row r="126" spans="3:8" ht="13.2">
      <c r="C126" s="75"/>
      <c r="D126" s="75"/>
      <c r="E126" s="75"/>
      <c r="F126" s="75"/>
      <c r="G126" s="75"/>
      <c r="H126" s="75"/>
    </row>
    <row r="127" spans="3:8" ht="13.2">
      <c r="C127" s="75"/>
      <c r="D127" s="75"/>
      <c r="E127" s="75"/>
      <c r="F127" s="75"/>
      <c r="G127" s="75"/>
      <c r="H127" s="75"/>
    </row>
    <row r="128" spans="3:8" ht="13.2">
      <c r="C128" s="75"/>
      <c r="D128" s="75"/>
      <c r="E128" s="75"/>
      <c r="F128" s="75"/>
      <c r="G128" s="75"/>
      <c r="H128" s="75"/>
    </row>
    <row r="129" spans="3:8" ht="13.2">
      <c r="C129" s="75"/>
      <c r="D129" s="75"/>
      <c r="E129" s="75"/>
      <c r="F129" s="75"/>
      <c r="G129" s="75"/>
      <c r="H129" s="75"/>
    </row>
    <row r="130" spans="3:8" ht="13.2">
      <c r="C130" s="75"/>
      <c r="D130" s="75"/>
      <c r="E130" s="75"/>
      <c r="F130" s="75"/>
      <c r="G130" s="75"/>
      <c r="H130" s="75"/>
    </row>
    <row r="131" spans="3:8" ht="13.2">
      <c r="C131" s="75"/>
      <c r="D131" s="75"/>
      <c r="E131" s="75"/>
      <c r="F131" s="75"/>
      <c r="G131" s="75"/>
      <c r="H131" s="75"/>
    </row>
    <row r="132" spans="3:8" ht="13.2">
      <c r="C132" s="75"/>
      <c r="D132" s="75"/>
      <c r="E132" s="75"/>
      <c r="F132" s="75"/>
      <c r="G132" s="75"/>
      <c r="H132" s="75"/>
    </row>
    <row r="133" spans="3:8" ht="13.2">
      <c r="C133" s="75"/>
      <c r="D133" s="75"/>
      <c r="E133" s="75"/>
      <c r="F133" s="75"/>
      <c r="G133" s="75"/>
      <c r="H133" s="75"/>
    </row>
    <row r="134" spans="3:8" ht="13.2">
      <c r="C134" s="75"/>
      <c r="D134" s="75"/>
      <c r="E134" s="75"/>
      <c r="F134" s="75"/>
      <c r="G134" s="75"/>
      <c r="H134" s="75"/>
    </row>
    <row r="135" spans="3:8" ht="13.2">
      <c r="C135" s="75"/>
      <c r="D135" s="75"/>
      <c r="E135" s="75"/>
      <c r="F135" s="75"/>
      <c r="G135" s="75"/>
      <c r="H135" s="75"/>
    </row>
    <row r="136" spans="3:8" ht="13.2">
      <c r="C136" s="75"/>
      <c r="D136" s="75"/>
      <c r="E136" s="75"/>
      <c r="F136" s="75"/>
      <c r="G136" s="75"/>
      <c r="H136" s="75"/>
    </row>
    <row r="137" spans="3:8" ht="13.2">
      <c r="C137" s="75"/>
      <c r="D137" s="75"/>
      <c r="E137" s="75"/>
      <c r="F137" s="75"/>
      <c r="G137" s="75"/>
      <c r="H137" s="75"/>
    </row>
    <row r="138" spans="3:8" ht="13.2">
      <c r="C138" s="75"/>
      <c r="D138" s="75"/>
      <c r="E138" s="75"/>
      <c r="F138" s="75"/>
      <c r="G138" s="75"/>
      <c r="H138" s="75"/>
    </row>
    <row r="139" spans="3:8" ht="13.2">
      <c r="C139" s="75"/>
      <c r="D139" s="75"/>
      <c r="E139" s="75"/>
      <c r="F139" s="75"/>
      <c r="G139" s="75"/>
      <c r="H139" s="75"/>
    </row>
    <row r="140" spans="3:8" ht="13.2">
      <c r="C140" s="75"/>
      <c r="D140" s="75"/>
      <c r="E140" s="75"/>
      <c r="F140" s="75"/>
      <c r="G140" s="75"/>
      <c r="H140" s="75"/>
    </row>
    <row r="141" spans="3:8" ht="13.2">
      <c r="C141" s="75"/>
      <c r="D141" s="75"/>
      <c r="E141" s="75"/>
      <c r="F141" s="75"/>
      <c r="G141" s="75"/>
      <c r="H141" s="75"/>
    </row>
    <row r="142" spans="3:8" ht="13.2">
      <c r="C142" s="75"/>
      <c r="D142" s="75"/>
      <c r="E142" s="75"/>
      <c r="F142" s="75"/>
      <c r="G142" s="75"/>
      <c r="H142" s="75"/>
    </row>
    <row r="143" spans="3:8" ht="13.2">
      <c r="C143" s="75"/>
      <c r="D143" s="75"/>
      <c r="E143" s="75"/>
      <c r="F143" s="75"/>
      <c r="G143" s="75"/>
      <c r="H143" s="75"/>
    </row>
    <row r="144" spans="3:8" ht="13.2">
      <c r="C144" s="75"/>
      <c r="D144" s="75"/>
      <c r="E144" s="75"/>
      <c r="F144" s="75"/>
      <c r="G144" s="75"/>
      <c r="H144" s="75"/>
    </row>
    <row r="145" spans="3:8" ht="13.2">
      <c r="C145" s="75"/>
      <c r="D145" s="75"/>
      <c r="E145" s="75"/>
      <c r="F145" s="75"/>
      <c r="G145" s="75"/>
      <c r="H145" s="75"/>
    </row>
    <row r="146" spans="3:8" ht="13.2">
      <c r="C146" s="75"/>
      <c r="D146" s="75"/>
      <c r="E146" s="75"/>
      <c r="F146" s="75"/>
      <c r="G146" s="75"/>
      <c r="H146" s="75"/>
    </row>
    <row r="147" spans="3:8" ht="13.2">
      <c r="C147" s="75"/>
      <c r="D147" s="75"/>
      <c r="E147" s="75"/>
      <c r="F147" s="75"/>
      <c r="G147" s="75"/>
      <c r="H147" s="75"/>
    </row>
    <row r="148" spans="3:8" ht="13.2">
      <c r="C148" s="75"/>
      <c r="D148" s="75"/>
      <c r="E148" s="75"/>
      <c r="F148" s="75"/>
      <c r="G148" s="75"/>
      <c r="H148" s="75"/>
    </row>
    <row r="149" spans="3:8" ht="13.2">
      <c r="C149" s="75"/>
      <c r="D149" s="75"/>
      <c r="E149" s="75"/>
      <c r="F149" s="75"/>
      <c r="G149" s="75"/>
      <c r="H149" s="75"/>
    </row>
    <row r="150" spans="3:8" ht="13.2">
      <c r="C150" s="75"/>
      <c r="D150" s="75"/>
      <c r="E150" s="75"/>
      <c r="F150" s="75"/>
      <c r="G150" s="75"/>
      <c r="H150" s="75"/>
    </row>
    <row r="151" spans="3:8" ht="13.2">
      <c r="C151" s="75"/>
      <c r="D151" s="75"/>
      <c r="E151" s="75"/>
      <c r="F151" s="75"/>
      <c r="G151" s="75"/>
      <c r="H151" s="75"/>
    </row>
    <row r="152" spans="3:8" ht="13.2">
      <c r="C152" s="75"/>
      <c r="D152" s="75"/>
      <c r="E152" s="75"/>
      <c r="F152" s="75"/>
      <c r="G152" s="75"/>
      <c r="H152" s="75"/>
    </row>
    <row r="153" spans="3:8" ht="13.2">
      <c r="C153" s="75"/>
      <c r="D153" s="75"/>
      <c r="E153" s="75"/>
      <c r="F153" s="75"/>
      <c r="G153" s="75"/>
      <c r="H153" s="75"/>
    </row>
    <row r="154" spans="3:8" ht="13.2">
      <c r="C154" s="75"/>
      <c r="D154" s="75"/>
      <c r="E154" s="75"/>
      <c r="F154" s="75"/>
      <c r="G154" s="75"/>
      <c r="H154" s="75"/>
    </row>
    <row r="155" spans="3:8" ht="13.2">
      <c r="C155" s="75"/>
      <c r="D155" s="75"/>
      <c r="E155" s="75"/>
      <c r="F155" s="75"/>
      <c r="G155" s="75"/>
      <c r="H155" s="75"/>
    </row>
    <row r="156" spans="3:8" ht="13.2">
      <c r="C156" s="75"/>
      <c r="D156" s="75"/>
      <c r="E156" s="75"/>
      <c r="F156" s="75"/>
      <c r="G156" s="75"/>
      <c r="H156" s="75"/>
    </row>
    <row r="157" spans="3:8" ht="13.2">
      <c r="C157" s="75"/>
      <c r="D157" s="75"/>
      <c r="E157" s="75"/>
      <c r="F157" s="75"/>
      <c r="G157" s="75"/>
      <c r="H157" s="75"/>
    </row>
    <row r="158" spans="3:8" ht="13.2">
      <c r="C158" s="75"/>
      <c r="D158" s="75"/>
      <c r="E158" s="75"/>
      <c r="F158" s="75"/>
      <c r="G158" s="75"/>
      <c r="H158" s="75"/>
    </row>
    <row r="159" spans="3:8" ht="13.2">
      <c r="C159" s="75"/>
      <c r="D159" s="75"/>
      <c r="E159" s="75"/>
      <c r="F159" s="75"/>
      <c r="G159" s="75"/>
      <c r="H159" s="75"/>
    </row>
    <row r="160" spans="3:8" ht="13.2">
      <c r="C160" s="75"/>
      <c r="D160" s="75"/>
      <c r="E160" s="75"/>
      <c r="F160" s="75"/>
      <c r="G160" s="75"/>
      <c r="H160" s="75"/>
    </row>
    <row r="161" spans="3:8" ht="13.2">
      <c r="C161" s="75"/>
      <c r="D161" s="75"/>
      <c r="E161" s="75"/>
      <c r="F161" s="75"/>
      <c r="G161" s="75"/>
      <c r="H161" s="75"/>
    </row>
    <row r="162" spans="3:8" ht="13.2">
      <c r="C162" s="75"/>
      <c r="D162" s="75"/>
      <c r="E162" s="75"/>
      <c r="F162" s="75"/>
      <c r="G162" s="75"/>
      <c r="H162" s="75"/>
    </row>
    <row r="163" spans="3:8" ht="13.2">
      <c r="C163" s="75"/>
      <c r="D163" s="75"/>
      <c r="E163" s="75"/>
      <c r="F163" s="75"/>
      <c r="G163" s="75"/>
      <c r="H163" s="75"/>
    </row>
    <row r="164" spans="3:8" ht="13.2">
      <c r="C164" s="75"/>
      <c r="D164" s="75"/>
      <c r="E164" s="75"/>
      <c r="F164" s="75"/>
      <c r="G164" s="75"/>
      <c r="H164" s="75"/>
    </row>
    <row r="165" spans="3:8" ht="13.2">
      <c r="C165" s="75"/>
      <c r="D165" s="75"/>
      <c r="E165" s="75"/>
      <c r="F165" s="75"/>
      <c r="G165" s="75"/>
      <c r="H165" s="75"/>
    </row>
    <row r="166" spans="3:8" ht="13.2">
      <c r="C166" s="75"/>
      <c r="D166" s="75"/>
      <c r="E166" s="75"/>
      <c r="F166" s="75"/>
      <c r="G166" s="75"/>
      <c r="H166" s="75"/>
    </row>
    <row r="167" spans="3:8" ht="13.2">
      <c r="C167" s="75"/>
      <c r="D167" s="75"/>
      <c r="E167" s="75"/>
      <c r="F167" s="75"/>
      <c r="G167" s="75"/>
      <c r="H167" s="75"/>
    </row>
    <row r="168" spans="3:8" ht="13.2">
      <c r="C168" s="75"/>
      <c r="D168" s="75"/>
      <c r="E168" s="75"/>
      <c r="F168" s="75"/>
      <c r="G168" s="75"/>
      <c r="H168" s="75"/>
    </row>
    <row r="169" spans="3:8" ht="13.2">
      <c r="C169" s="75"/>
      <c r="D169" s="75"/>
      <c r="E169" s="75"/>
      <c r="F169" s="75"/>
      <c r="G169" s="75"/>
      <c r="H169" s="75"/>
    </row>
    <row r="170" spans="3:8" ht="13.2">
      <c r="C170" s="75"/>
      <c r="D170" s="75"/>
      <c r="E170" s="75"/>
      <c r="F170" s="75"/>
      <c r="G170" s="75"/>
      <c r="H170" s="75"/>
    </row>
    <row r="171" spans="3:8" ht="13.2">
      <c r="C171" s="75"/>
      <c r="D171" s="75"/>
      <c r="E171" s="75"/>
      <c r="F171" s="75"/>
      <c r="G171" s="75"/>
      <c r="H171" s="75"/>
    </row>
    <row r="172" spans="3:8" ht="13.2">
      <c r="C172" s="75"/>
      <c r="D172" s="75"/>
      <c r="E172" s="75"/>
      <c r="F172" s="75"/>
      <c r="G172" s="75"/>
      <c r="H172" s="75"/>
    </row>
    <row r="173" spans="3:8" ht="13.2">
      <c r="C173" s="75"/>
      <c r="D173" s="75"/>
      <c r="E173" s="75"/>
      <c r="F173" s="75"/>
      <c r="G173" s="75"/>
      <c r="H173" s="75"/>
    </row>
    <row r="174" spans="3:8" ht="13.2">
      <c r="C174" s="75"/>
      <c r="D174" s="75"/>
      <c r="E174" s="75"/>
      <c r="F174" s="75"/>
      <c r="G174" s="75"/>
      <c r="H174" s="75"/>
    </row>
    <row r="175" spans="3:8" ht="13.2">
      <c r="C175" s="75"/>
      <c r="D175" s="75"/>
      <c r="E175" s="75"/>
      <c r="F175" s="75"/>
      <c r="G175" s="75"/>
      <c r="H175" s="75"/>
    </row>
    <row r="176" spans="3:8" ht="13.2">
      <c r="C176" s="75"/>
      <c r="D176" s="75"/>
      <c r="E176" s="75"/>
      <c r="F176" s="75"/>
      <c r="G176" s="75"/>
      <c r="H176" s="75"/>
    </row>
    <row r="177" spans="3:8" ht="13.2">
      <c r="C177" s="75"/>
      <c r="D177" s="75"/>
      <c r="E177" s="75"/>
      <c r="F177" s="75"/>
      <c r="G177" s="75"/>
      <c r="H177" s="75"/>
    </row>
    <row r="178" spans="3:8" ht="13.2">
      <c r="C178" s="75"/>
      <c r="D178" s="75"/>
      <c r="E178" s="75"/>
      <c r="F178" s="75"/>
      <c r="G178" s="75"/>
      <c r="H178" s="75"/>
    </row>
    <row r="179" spans="3:8" ht="13.2">
      <c r="C179" s="75"/>
      <c r="D179" s="75"/>
      <c r="E179" s="75"/>
      <c r="F179" s="75"/>
      <c r="G179" s="75"/>
      <c r="H179" s="75"/>
    </row>
    <row r="180" spans="3:8" ht="13.2">
      <c r="C180" s="75"/>
      <c r="D180" s="75"/>
      <c r="E180" s="75"/>
      <c r="F180" s="75"/>
      <c r="G180" s="75"/>
      <c r="H180" s="75"/>
    </row>
    <row r="181" spans="3:8" ht="13.2">
      <c r="C181" s="75"/>
      <c r="D181" s="75"/>
      <c r="E181" s="75"/>
      <c r="F181" s="75"/>
      <c r="G181" s="75"/>
      <c r="H181" s="75"/>
    </row>
    <row r="182" spans="3:8" ht="13.2">
      <c r="C182" s="75"/>
      <c r="D182" s="75"/>
      <c r="E182" s="75"/>
      <c r="F182" s="75"/>
      <c r="G182" s="75"/>
      <c r="H182" s="75"/>
    </row>
    <row r="183" spans="3:8" ht="13.2">
      <c r="C183" s="75"/>
      <c r="D183" s="75"/>
      <c r="E183" s="75"/>
      <c r="F183" s="75"/>
      <c r="G183" s="75"/>
      <c r="H183" s="75"/>
    </row>
    <row r="184" spans="3:8" ht="13.2">
      <c r="C184" s="75"/>
      <c r="D184" s="75"/>
      <c r="E184" s="75"/>
      <c r="F184" s="75"/>
      <c r="G184" s="75"/>
      <c r="H184" s="75"/>
    </row>
    <row r="185" spans="3:8" ht="13.2">
      <c r="C185" s="75"/>
      <c r="D185" s="75"/>
      <c r="E185" s="75"/>
      <c r="F185" s="75"/>
      <c r="G185" s="75"/>
      <c r="H185" s="75"/>
    </row>
    <row r="186" spans="3:8" ht="13.2">
      <c r="C186" s="75"/>
      <c r="D186" s="75"/>
      <c r="E186" s="75"/>
      <c r="F186" s="75"/>
      <c r="G186" s="75"/>
      <c r="H186" s="75"/>
    </row>
    <row r="187" spans="3:8" ht="13.2">
      <c r="C187" s="75"/>
      <c r="D187" s="75"/>
      <c r="E187" s="75"/>
      <c r="F187" s="75"/>
      <c r="G187" s="75"/>
      <c r="H187" s="75"/>
    </row>
    <row r="188" spans="3:8" ht="13.2">
      <c r="C188" s="75"/>
      <c r="D188" s="75"/>
      <c r="E188" s="75"/>
      <c r="F188" s="75"/>
      <c r="G188" s="75"/>
      <c r="H188" s="75"/>
    </row>
    <row r="189" spans="3:8" ht="13.2">
      <c r="C189" s="75"/>
      <c r="D189" s="75"/>
      <c r="E189" s="75"/>
      <c r="F189" s="75"/>
      <c r="G189" s="75"/>
      <c r="H189" s="75"/>
    </row>
    <row r="190" spans="3:8" ht="13.2">
      <c r="C190" s="75"/>
      <c r="D190" s="75"/>
      <c r="E190" s="75"/>
      <c r="F190" s="75"/>
      <c r="G190" s="75"/>
      <c r="H190" s="75"/>
    </row>
    <row r="191" spans="3:8" ht="13.2">
      <c r="C191" s="75"/>
      <c r="D191" s="75"/>
      <c r="E191" s="75"/>
      <c r="F191" s="75"/>
      <c r="G191" s="75"/>
      <c r="H191" s="75"/>
    </row>
    <row r="192" spans="3:8" ht="13.2">
      <c r="C192" s="75"/>
      <c r="D192" s="75"/>
      <c r="E192" s="75"/>
      <c r="F192" s="75"/>
      <c r="G192" s="75"/>
      <c r="H192" s="75"/>
    </row>
    <row r="193" spans="3:8" ht="13.2">
      <c r="C193" s="75"/>
      <c r="D193" s="75"/>
      <c r="E193" s="75"/>
      <c r="F193" s="75"/>
      <c r="G193" s="75"/>
      <c r="H193" s="75"/>
    </row>
    <row r="194" spans="3:8" ht="13.2">
      <c r="C194" s="75"/>
      <c r="D194" s="75"/>
      <c r="E194" s="75"/>
      <c r="F194" s="75"/>
      <c r="G194" s="75"/>
      <c r="H194" s="75"/>
    </row>
    <row r="195" spans="3:8" ht="13.2">
      <c r="C195" s="75"/>
      <c r="D195" s="75"/>
      <c r="E195" s="75"/>
      <c r="F195" s="75"/>
      <c r="G195" s="75"/>
      <c r="H195" s="75"/>
    </row>
    <row r="196" spans="3:8" ht="13.2">
      <c r="C196" s="75"/>
      <c r="D196" s="75"/>
      <c r="E196" s="75"/>
      <c r="F196" s="75"/>
      <c r="G196" s="75"/>
      <c r="H196" s="75"/>
    </row>
    <row r="197" spans="3:8" ht="13.2">
      <c r="C197" s="75"/>
      <c r="D197" s="75"/>
      <c r="E197" s="75"/>
      <c r="F197" s="75"/>
      <c r="G197" s="75"/>
      <c r="H197" s="75"/>
    </row>
    <row r="198" spans="3:8" ht="13.2">
      <c r="C198" s="75"/>
      <c r="D198" s="75"/>
      <c r="E198" s="75"/>
      <c r="F198" s="75"/>
      <c r="G198" s="75"/>
      <c r="H198" s="75"/>
    </row>
    <row r="199" spans="3:8" ht="13.2">
      <c r="C199" s="75"/>
      <c r="D199" s="75"/>
      <c r="E199" s="75"/>
      <c r="F199" s="75"/>
      <c r="G199" s="75"/>
      <c r="H199" s="75"/>
    </row>
    <row r="200" spans="3:8" ht="13.2">
      <c r="C200" s="75"/>
      <c r="D200" s="75"/>
      <c r="E200" s="75"/>
      <c r="F200" s="75"/>
      <c r="G200" s="75"/>
      <c r="H200" s="75"/>
    </row>
    <row r="201" spans="3:8" ht="13.2">
      <c r="C201" s="75"/>
      <c r="D201" s="75"/>
      <c r="E201" s="75"/>
      <c r="F201" s="75"/>
      <c r="G201" s="75"/>
      <c r="H201" s="75"/>
    </row>
    <row r="202" spans="3:8" ht="13.2">
      <c r="C202" s="75"/>
      <c r="D202" s="75"/>
      <c r="E202" s="75"/>
      <c r="F202" s="75"/>
      <c r="G202" s="75"/>
      <c r="H202" s="75"/>
    </row>
    <row r="203" spans="3:8" ht="13.2">
      <c r="C203" s="75"/>
      <c r="D203" s="75"/>
      <c r="E203" s="75"/>
      <c r="F203" s="75"/>
      <c r="G203" s="75"/>
      <c r="H203" s="75"/>
    </row>
    <row r="204" spans="3:8" ht="13.2">
      <c r="C204" s="75"/>
      <c r="D204" s="75"/>
      <c r="E204" s="75"/>
      <c r="F204" s="75"/>
      <c r="G204" s="75"/>
      <c r="H204" s="75"/>
    </row>
    <row r="205" spans="3:8" ht="13.2">
      <c r="C205" s="75"/>
      <c r="D205" s="75"/>
      <c r="E205" s="75"/>
      <c r="F205" s="75"/>
      <c r="G205" s="75"/>
      <c r="H205" s="75"/>
    </row>
    <row r="206" spans="3:8" ht="13.2">
      <c r="C206" s="75"/>
      <c r="D206" s="75"/>
      <c r="E206" s="75"/>
      <c r="F206" s="75"/>
      <c r="G206" s="75"/>
      <c r="H206" s="75"/>
    </row>
    <row r="207" spans="3:8" ht="13.2">
      <c r="C207" s="75"/>
      <c r="D207" s="75"/>
      <c r="E207" s="75"/>
      <c r="F207" s="75"/>
      <c r="G207" s="75"/>
      <c r="H207" s="75"/>
    </row>
    <row r="208" spans="3:8" ht="13.2">
      <c r="C208" s="75"/>
      <c r="D208" s="75"/>
      <c r="E208" s="75"/>
      <c r="F208" s="75"/>
      <c r="G208" s="75"/>
      <c r="H208" s="75"/>
    </row>
    <row r="209" spans="3:8" ht="13.2">
      <c r="C209" s="75"/>
      <c r="D209" s="75"/>
      <c r="E209" s="75"/>
      <c r="F209" s="75"/>
      <c r="G209" s="75"/>
      <c r="H209" s="75"/>
    </row>
    <row r="210" spans="3:8" ht="13.2">
      <c r="C210" s="75"/>
      <c r="D210" s="75"/>
      <c r="E210" s="75"/>
      <c r="F210" s="75"/>
      <c r="G210" s="75"/>
      <c r="H210" s="75"/>
    </row>
    <row r="211" spans="3:8" ht="13.2">
      <c r="C211" s="75"/>
      <c r="D211" s="75"/>
      <c r="E211" s="75"/>
      <c r="F211" s="75"/>
      <c r="G211" s="75"/>
      <c r="H211" s="75"/>
    </row>
    <row r="212" spans="3:8" ht="13.2">
      <c r="C212" s="75"/>
      <c r="D212" s="75"/>
      <c r="E212" s="75"/>
      <c r="F212" s="75"/>
      <c r="G212" s="75"/>
      <c r="H212" s="75"/>
    </row>
    <row r="213" spans="3:8" ht="13.2">
      <c r="C213" s="75"/>
      <c r="D213" s="75"/>
      <c r="E213" s="75"/>
      <c r="F213" s="75"/>
      <c r="G213" s="75"/>
      <c r="H213" s="75"/>
    </row>
    <row r="214" spans="3:8" ht="13.2">
      <c r="C214" s="75"/>
      <c r="D214" s="75"/>
      <c r="E214" s="75"/>
      <c r="F214" s="75"/>
      <c r="G214" s="75"/>
      <c r="H214" s="75"/>
    </row>
    <row r="215" spans="3:8" ht="13.2">
      <c r="C215" s="75"/>
      <c r="D215" s="75"/>
      <c r="E215" s="75"/>
      <c r="F215" s="75"/>
      <c r="G215" s="75"/>
      <c r="H215" s="75"/>
    </row>
    <row r="216" spans="3:8" ht="13.2">
      <c r="C216" s="75"/>
      <c r="D216" s="75"/>
      <c r="E216" s="75"/>
      <c r="F216" s="75"/>
      <c r="G216" s="75"/>
      <c r="H216" s="75"/>
    </row>
    <row r="217" spans="3:8" ht="13.2">
      <c r="C217" s="75"/>
      <c r="D217" s="75"/>
      <c r="E217" s="75"/>
      <c r="F217" s="75"/>
      <c r="G217" s="75"/>
      <c r="H217" s="75"/>
    </row>
    <row r="218" spans="3:8" ht="13.2">
      <c r="C218" s="75"/>
      <c r="D218" s="75"/>
      <c r="E218" s="75"/>
      <c r="F218" s="75"/>
      <c r="G218" s="75"/>
      <c r="H218" s="75"/>
    </row>
    <row r="219" spans="3:8" ht="13.2">
      <c r="C219" s="75"/>
      <c r="D219" s="75"/>
      <c r="E219" s="75"/>
      <c r="F219" s="75"/>
      <c r="G219" s="75"/>
      <c r="H219" s="75"/>
    </row>
    <row r="220" spans="3:8" ht="13.2">
      <c r="C220" s="75"/>
      <c r="D220" s="75"/>
      <c r="E220" s="75"/>
      <c r="F220" s="75"/>
      <c r="G220" s="75"/>
      <c r="H220" s="75"/>
    </row>
    <row r="221" spans="3:8" ht="13.2">
      <c r="C221" s="75"/>
      <c r="D221" s="75"/>
      <c r="E221" s="75"/>
      <c r="F221" s="75"/>
      <c r="G221" s="75"/>
      <c r="H221" s="75"/>
    </row>
    <row r="222" spans="3:8" ht="13.2">
      <c r="C222" s="75"/>
      <c r="D222" s="75"/>
      <c r="E222" s="75"/>
      <c r="F222" s="75"/>
      <c r="G222" s="75"/>
      <c r="H222" s="75"/>
    </row>
    <row r="223" spans="3:8" ht="13.2">
      <c r="C223" s="75"/>
      <c r="D223" s="75"/>
      <c r="E223" s="75"/>
      <c r="F223" s="75"/>
      <c r="G223" s="75"/>
      <c r="H223" s="75"/>
    </row>
    <row r="224" spans="3:8" ht="13.2">
      <c r="C224" s="75"/>
      <c r="D224" s="75"/>
      <c r="E224" s="75"/>
      <c r="F224" s="75"/>
      <c r="G224" s="75"/>
      <c r="H224" s="75"/>
    </row>
    <row r="225" spans="3:8" ht="13.2">
      <c r="C225" s="75"/>
      <c r="D225" s="75"/>
      <c r="E225" s="75"/>
      <c r="F225" s="75"/>
      <c r="G225" s="75"/>
      <c r="H225" s="75"/>
    </row>
    <row r="226" spans="3:8" ht="13.2">
      <c r="C226" s="75"/>
      <c r="D226" s="75"/>
      <c r="E226" s="75"/>
      <c r="F226" s="75"/>
      <c r="G226" s="75"/>
      <c r="H226" s="75"/>
    </row>
    <row r="227" spans="3:8" ht="13.2">
      <c r="C227" s="75"/>
      <c r="D227" s="75"/>
      <c r="E227" s="75"/>
      <c r="F227" s="75"/>
      <c r="G227" s="75"/>
      <c r="H227" s="75"/>
    </row>
    <row r="228" spans="3:8" ht="13.2">
      <c r="C228" s="75"/>
      <c r="D228" s="75"/>
      <c r="E228" s="75"/>
      <c r="F228" s="75"/>
      <c r="G228" s="75"/>
      <c r="H228" s="75"/>
    </row>
    <row r="229" spans="3:8" ht="13.2">
      <c r="C229" s="75"/>
      <c r="D229" s="75"/>
      <c r="E229" s="75"/>
      <c r="F229" s="75"/>
      <c r="G229" s="75"/>
      <c r="H229" s="75"/>
    </row>
    <row r="230" spans="3:8" ht="13.2">
      <c r="C230" s="75"/>
      <c r="D230" s="75"/>
      <c r="E230" s="75"/>
      <c r="F230" s="75"/>
      <c r="G230" s="75"/>
      <c r="H230" s="75"/>
    </row>
    <row r="231" spans="3:8" ht="13.2">
      <c r="C231" s="75"/>
      <c r="D231" s="75"/>
      <c r="E231" s="75"/>
      <c r="F231" s="75"/>
      <c r="G231" s="75"/>
      <c r="H231" s="75"/>
    </row>
    <row r="232" spans="3:8" ht="13.2">
      <c r="C232" s="75"/>
      <c r="D232" s="75"/>
      <c r="E232" s="75"/>
      <c r="F232" s="75"/>
      <c r="G232" s="75"/>
      <c r="H232" s="75"/>
    </row>
    <row r="233" spans="3:8" ht="13.2">
      <c r="C233" s="75"/>
      <c r="D233" s="75"/>
      <c r="E233" s="75"/>
      <c r="F233" s="75"/>
      <c r="G233" s="75"/>
      <c r="H233" s="75"/>
    </row>
    <row r="234" spans="3:8" ht="13.2">
      <c r="C234" s="75"/>
      <c r="D234" s="75"/>
      <c r="E234" s="75"/>
      <c r="F234" s="75"/>
      <c r="G234" s="75"/>
      <c r="H234" s="75"/>
    </row>
    <row r="235" spans="3:8" ht="13.2">
      <c r="C235" s="75"/>
      <c r="D235" s="75"/>
      <c r="E235" s="75"/>
      <c r="F235" s="75"/>
      <c r="G235" s="75"/>
      <c r="H235" s="75"/>
    </row>
    <row r="236" spans="3:8" ht="13.2">
      <c r="C236" s="75"/>
      <c r="D236" s="75"/>
      <c r="E236" s="75"/>
      <c r="F236" s="75"/>
      <c r="G236" s="75"/>
      <c r="H236" s="75"/>
    </row>
    <row r="237" spans="3:8" ht="13.2">
      <c r="C237" s="75"/>
      <c r="D237" s="75"/>
      <c r="E237" s="75"/>
      <c r="F237" s="75"/>
      <c r="G237" s="75"/>
      <c r="H237" s="75"/>
    </row>
    <row r="238" spans="3:8" ht="13.2">
      <c r="C238" s="75"/>
      <c r="D238" s="75"/>
      <c r="E238" s="75"/>
      <c r="F238" s="75"/>
      <c r="G238" s="75"/>
      <c r="H238" s="75"/>
    </row>
    <row r="239" spans="3:8" ht="13.2">
      <c r="C239" s="75"/>
      <c r="D239" s="75"/>
      <c r="E239" s="75"/>
      <c r="F239" s="75"/>
      <c r="G239" s="75"/>
      <c r="H239" s="75"/>
    </row>
    <row r="240" spans="3:8" ht="13.2">
      <c r="C240" s="75"/>
      <c r="D240" s="75"/>
      <c r="E240" s="75"/>
      <c r="F240" s="75"/>
      <c r="G240" s="75"/>
      <c r="H240" s="75"/>
    </row>
    <row r="241" spans="3:8" ht="13.2">
      <c r="C241" s="75"/>
      <c r="D241" s="75"/>
      <c r="E241" s="75"/>
      <c r="F241" s="75"/>
      <c r="G241" s="75"/>
      <c r="H241" s="75"/>
    </row>
    <row r="242" spans="3:8" ht="13.2">
      <c r="C242" s="75"/>
      <c r="D242" s="75"/>
      <c r="E242" s="75"/>
      <c r="F242" s="75"/>
      <c r="G242" s="75"/>
      <c r="H242" s="75"/>
    </row>
    <row r="243" spans="3:8" ht="13.2">
      <c r="C243" s="75"/>
      <c r="D243" s="75"/>
      <c r="E243" s="75"/>
      <c r="F243" s="75"/>
      <c r="G243" s="75"/>
      <c r="H243" s="75"/>
    </row>
    <row r="244" spans="3:8" ht="13.2">
      <c r="C244" s="75"/>
      <c r="D244" s="75"/>
      <c r="E244" s="75"/>
      <c r="F244" s="75"/>
      <c r="G244" s="75"/>
      <c r="H244" s="75"/>
    </row>
    <row r="245" spans="3:8" ht="13.2">
      <c r="C245" s="75"/>
      <c r="D245" s="75"/>
      <c r="E245" s="75"/>
      <c r="F245" s="75"/>
      <c r="G245" s="75"/>
      <c r="H245" s="75"/>
    </row>
    <row r="246" spans="3:8" ht="13.2">
      <c r="C246" s="75"/>
      <c r="D246" s="75"/>
      <c r="E246" s="75"/>
      <c r="F246" s="75"/>
      <c r="G246" s="75"/>
      <c r="H246" s="75"/>
    </row>
    <row r="247" spans="3:8" ht="13.2">
      <c r="C247" s="75"/>
      <c r="D247" s="75"/>
      <c r="E247" s="75"/>
      <c r="F247" s="75"/>
      <c r="G247" s="75"/>
      <c r="H247" s="75"/>
    </row>
    <row r="248" spans="3:8" ht="13.2">
      <c r="C248" s="75"/>
      <c r="D248" s="75"/>
      <c r="E248" s="75"/>
      <c r="F248" s="75"/>
      <c r="G248" s="75"/>
      <c r="H248" s="75"/>
    </row>
    <row r="249" spans="3:8" ht="13.2">
      <c r="C249" s="75"/>
      <c r="D249" s="75"/>
      <c r="E249" s="75"/>
      <c r="F249" s="75"/>
      <c r="G249" s="75"/>
      <c r="H249" s="75"/>
    </row>
    <row r="250" spans="3:8" ht="13.2">
      <c r="C250" s="75"/>
      <c r="D250" s="75"/>
      <c r="E250" s="75"/>
      <c r="F250" s="75"/>
      <c r="G250" s="75"/>
      <c r="H250" s="75"/>
    </row>
    <row r="251" spans="3:8" ht="13.2">
      <c r="C251" s="75"/>
      <c r="D251" s="75"/>
      <c r="E251" s="75"/>
      <c r="F251" s="75"/>
      <c r="G251" s="75"/>
      <c r="H251" s="75"/>
    </row>
    <row r="252" spans="3:8" ht="13.2">
      <c r="C252" s="75"/>
      <c r="D252" s="75"/>
      <c r="E252" s="75"/>
      <c r="F252" s="75"/>
      <c r="G252" s="75"/>
      <c r="H252" s="75"/>
    </row>
    <row r="253" spans="3:8" ht="13.2">
      <c r="C253" s="75"/>
      <c r="D253" s="75"/>
      <c r="E253" s="75"/>
      <c r="F253" s="75"/>
      <c r="G253" s="75"/>
      <c r="H253" s="75"/>
    </row>
    <row r="254" spans="3:8" ht="13.2">
      <c r="C254" s="75"/>
      <c r="D254" s="75"/>
      <c r="E254" s="75"/>
      <c r="F254" s="75"/>
      <c r="G254" s="75"/>
      <c r="H254" s="75"/>
    </row>
    <row r="255" spans="3:8" ht="13.2">
      <c r="C255" s="75"/>
      <c r="D255" s="75"/>
      <c r="E255" s="75"/>
      <c r="F255" s="75"/>
      <c r="G255" s="75"/>
      <c r="H255" s="75"/>
    </row>
    <row r="256" spans="3:8" ht="13.2">
      <c r="C256" s="75"/>
      <c r="D256" s="75"/>
      <c r="E256" s="75"/>
      <c r="F256" s="75"/>
      <c r="G256" s="75"/>
      <c r="H256" s="75"/>
    </row>
    <row r="257" spans="3:8" ht="13.2">
      <c r="C257" s="75"/>
      <c r="D257" s="75"/>
      <c r="E257" s="75"/>
      <c r="F257" s="75"/>
      <c r="G257" s="75"/>
      <c r="H257" s="75"/>
    </row>
    <row r="258" spans="3:8" ht="13.2">
      <c r="C258" s="75"/>
      <c r="D258" s="75"/>
      <c r="E258" s="75"/>
      <c r="F258" s="75"/>
      <c r="G258" s="75"/>
      <c r="H258" s="75"/>
    </row>
    <row r="259" spans="3:8" ht="13.2">
      <c r="C259" s="75"/>
      <c r="D259" s="75"/>
      <c r="E259" s="75"/>
      <c r="F259" s="75"/>
      <c r="G259" s="75"/>
      <c r="H259" s="75"/>
    </row>
    <row r="260" spans="3:8" ht="13.2">
      <c r="C260" s="75"/>
      <c r="D260" s="75"/>
      <c r="E260" s="75"/>
      <c r="F260" s="75"/>
      <c r="G260" s="75"/>
      <c r="H260" s="75"/>
    </row>
    <row r="261" spans="3:8" ht="13.2">
      <c r="C261" s="75"/>
      <c r="D261" s="75"/>
      <c r="E261" s="75"/>
      <c r="F261" s="75"/>
      <c r="G261" s="75"/>
      <c r="H261" s="75"/>
    </row>
    <row r="262" spans="3:8" ht="13.2">
      <c r="C262" s="75"/>
      <c r="D262" s="75"/>
      <c r="E262" s="75"/>
      <c r="F262" s="75"/>
      <c r="G262" s="75"/>
      <c r="H262" s="75"/>
    </row>
    <row r="263" spans="3:8" ht="13.2">
      <c r="C263" s="75"/>
      <c r="D263" s="75"/>
      <c r="E263" s="75"/>
      <c r="F263" s="75"/>
      <c r="G263" s="75"/>
      <c r="H263" s="75"/>
    </row>
    <row r="264" spans="3:8" ht="13.2">
      <c r="C264" s="75"/>
      <c r="D264" s="75"/>
      <c r="E264" s="75"/>
      <c r="F264" s="75"/>
      <c r="G264" s="75"/>
      <c r="H264" s="75"/>
    </row>
    <row r="265" spans="3:8" ht="13.2">
      <c r="C265" s="75"/>
      <c r="D265" s="75"/>
      <c r="E265" s="75"/>
      <c r="F265" s="75"/>
      <c r="G265" s="75"/>
      <c r="H265" s="75"/>
    </row>
    <row r="266" spans="3:8" ht="13.2">
      <c r="C266" s="75"/>
      <c r="D266" s="75"/>
      <c r="E266" s="75"/>
      <c r="F266" s="75"/>
      <c r="G266" s="75"/>
      <c r="H266" s="75"/>
    </row>
    <row r="267" spans="3:8" ht="13.2">
      <c r="C267" s="75"/>
      <c r="D267" s="75"/>
      <c r="E267" s="75"/>
      <c r="F267" s="75"/>
      <c r="G267" s="75"/>
      <c r="H267" s="75"/>
    </row>
    <row r="268" spans="3:8" ht="13.2">
      <c r="C268" s="75"/>
      <c r="D268" s="75"/>
      <c r="E268" s="75"/>
      <c r="F268" s="75"/>
      <c r="G268" s="75"/>
      <c r="H268" s="75"/>
    </row>
    <row r="269" spans="3:8" ht="13.2">
      <c r="C269" s="75"/>
      <c r="D269" s="75"/>
      <c r="E269" s="75"/>
      <c r="F269" s="75"/>
      <c r="G269" s="75"/>
      <c r="H269" s="75"/>
    </row>
    <row r="270" spans="3:8" ht="13.2">
      <c r="C270" s="75"/>
      <c r="D270" s="75"/>
      <c r="E270" s="75"/>
      <c r="F270" s="75"/>
      <c r="G270" s="75"/>
      <c r="H270" s="75"/>
    </row>
    <row r="271" spans="3:8" ht="13.2">
      <c r="C271" s="75"/>
      <c r="D271" s="75"/>
      <c r="E271" s="75"/>
      <c r="F271" s="75"/>
      <c r="G271" s="75"/>
      <c r="H271" s="75"/>
    </row>
    <row r="272" spans="3:8" ht="13.2">
      <c r="C272" s="75"/>
      <c r="D272" s="75"/>
      <c r="E272" s="75"/>
      <c r="F272" s="75"/>
      <c r="G272" s="75"/>
      <c r="H272" s="75"/>
    </row>
    <row r="273" spans="3:8" ht="13.2">
      <c r="C273" s="75"/>
      <c r="D273" s="75"/>
      <c r="E273" s="75"/>
      <c r="F273" s="75"/>
      <c r="G273" s="75"/>
      <c r="H273" s="75"/>
    </row>
    <row r="274" spans="3:8" ht="13.2">
      <c r="C274" s="75"/>
      <c r="D274" s="75"/>
      <c r="E274" s="75"/>
      <c r="F274" s="75"/>
      <c r="G274" s="75"/>
      <c r="H274" s="75"/>
    </row>
    <row r="275" spans="3:8" ht="13.2">
      <c r="C275" s="75"/>
      <c r="D275" s="75"/>
      <c r="E275" s="75"/>
      <c r="F275" s="75"/>
      <c r="G275" s="75"/>
      <c r="H275" s="75"/>
    </row>
    <row r="276" spans="3:8" ht="13.2">
      <c r="C276" s="75"/>
      <c r="D276" s="75"/>
      <c r="E276" s="75"/>
      <c r="F276" s="75"/>
      <c r="G276" s="75"/>
      <c r="H276" s="75"/>
    </row>
    <row r="277" spans="3:8" ht="13.2">
      <c r="C277" s="75"/>
      <c r="D277" s="75"/>
      <c r="E277" s="75"/>
      <c r="F277" s="75"/>
      <c r="G277" s="75"/>
      <c r="H277" s="75"/>
    </row>
    <row r="278" spans="3:8" ht="13.2">
      <c r="C278" s="75"/>
      <c r="D278" s="75"/>
      <c r="E278" s="75"/>
      <c r="F278" s="75"/>
      <c r="G278" s="75"/>
      <c r="H278" s="75"/>
    </row>
    <row r="279" spans="3:8" ht="13.2">
      <c r="C279" s="75"/>
      <c r="D279" s="75"/>
      <c r="E279" s="75"/>
      <c r="F279" s="75"/>
      <c r="G279" s="75"/>
      <c r="H279" s="75"/>
    </row>
    <row r="280" spans="3:8" ht="13.2">
      <c r="C280" s="75"/>
      <c r="D280" s="75"/>
      <c r="E280" s="75"/>
      <c r="F280" s="75"/>
      <c r="G280" s="75"/>
      <c r="H280" s="75"/>
    </row>
    <row r="281" spans="3:8" ht="13.2">
      <c r="C281" s="75"/>
      <c r="D281" s="75"/>
      <c r="E281" s="75"/>
      <c r="F281" s="75"/>
      <c r="G281" s="75"/>
      <c r="H281" s="75"/>
    </row>
    <row r="282" spans="3:8" ht="13.2">
      <c r="C282" s="75"/>
      <c r="D282" s="75"/>
      <c r="E282" s="75"/>
      <c r="F282" s="75"/>
      <c r="G282" s="75"/>
      <c r="H282" s="75"/>
    </row>
    <row r="283" spans="3:8" ht="13.2">
      <c r="C283" s="75"/>
      <c r="D283" s="75"/>
      <c r="E283" s="75"/>
      <c r="F283" s="75"/>
      <c r="G283" s="75"/>
      <c r="H283" s="75"/>
    </row>
    <row r="284" spans="3:8" ht="13.2">
      <c r="C284" s="75"/>
      <c r="D284" s="75"/>
      <c r="E284" s="75"/>
      <c r="F284" s="75"/>
      <c r="G284" s="75"/>
      <c r="H284" s="75"/>
    </row>
    <row r="285" spans="3:8" ht="13.2">
      <c r="C285" s="75"/>
      <c r="D285" s="75"/>
      <c r="E285" s="75"/>
      <c r="F285" s="75"/>
      <c r="G285" s="75"/>
      <c r="H285" s="75"/>
    </row>
    <row r="286" spans="3:8" ht="13.2">
      <c r="C286" s="75"/>
      <c r="D286" s="75"/>
      <c r="E286" s="75"/>
      <c r="F286" s="75"/>
      <c r="G286" s="75"/>
      <c r="H286" s="75"/>
    </row>
    <row r="287" spans="3:8" ht="13.2">
      <c r="C287" s="75"/>
      <c r="D287" s="75"/>
      <c r="E287" s="75"/>
      <c r="F287" s="75"/>
      <c r="G287" s="75"/>
      <c r="H287" s="75"/>
    </row>
    <row r="288" spans="3:8" ht="13.2">
      <c r="C288" s="75"/>
      <c r="D288" s="75"/>
      <c r="E288" s="75"/>
      <c r="F288" s="75"/>
      <c r="G288" s="75"/>
      <c r="H288" s="75"/>
    </row>
    <row r="289" spans="3:8" ht="13.2">
      <c r="C289" s="75"/>
      <c r="D289" s="75"/>
      <c r="E289" s="75"/>
      <c r="F289" s="75"/>
      <c r="G289" s="75"/>
      <c r="H289" s="75"/>
    </row>
    <row r="290" spans="3:8" ht="13.2">
      <c r="C290" s="75"/>
      <c r="D290" s="75"/>
      <c r="E290" s="75"/>
      <c r="F290" s="75"/>
      <c r="G290" s="75"/>
      <c r="H290" s="75"/>
    </row>
    <row r="291" spans="3:8" ht="13.2">
      <c r="C291" s="75"/>
      <c r="D291" s="75"/>
      <c r="E291" s="75"/>
      <c r="F291" s="75"/>
      <c r="G291" s="75"/>
      <c r="H291" s="75"/>
    </row>
    <row r="292" spans="3:8" ht="13.2">
      <c r="C292" s="75"/>
      <c r="D292" s="75"/>
      <c r="E292" s="75"/>
      <c r="F292" s="75"/>
      <c r="G292" s="75"/>
      <c r="H292" s="75"/>
    </row>
    <row r="293" spans="3:8" ht="13.2">
      <c r="C293" s="75"/>
      <c r="D293" s="75"/>
      <c r="E293" s="75"/>
      <c r="F293" s="75"/>
      <c r="G293" s="75"/>
      <c r="H293" s="75"/>
    </row>
    <row r="294" spans="3:8" ht="13.2">
      <c r="C294" s="75"/>
      <c r="D294" s="75"/>
      <c r="E294" s="75"/>
      <c r="F294" s="75"/>
      <c r="G294" s="75"/>
      <c r="H294" s="75"/>
    </row>
    <row r="295" spans="3:8" ht="13.2">
      <c r="C295" s="75"/>
      <c r="D295" s="75"/>
      <c r="E295" s="75"/>
      <c r="F295" s="75"/>
      <c r="G295" s="75"/>
      <c r="H295" s="75"/>
    </row>
    <row r="296" spans="3:8" ht="13.2">
      <c r="C296" s="75"/>
      <c r="D296" s="75"/>
      <c r="E296" s="75"/>
      <c r="F296" s="75"/>
      <c r="G296" s="75"/>
      <c r="H296" s="75"/>
    </row>
    <row r="297" spans="3:8" ht="13.2">
      <c r="C297" s="75"/>
      <c r="D297" s="75"/>
      <c r="E297" s="75"/>
      <c r="F297" s="75"/>
      <c r="G297" s="75"/>
      <c r="H297" s="75"/>
    </row>
    <row r="298" spans="3:8" ht="13.2">
      <c r="C298" s="75"/>
      <c r="D298" s="75"/>
      <c r="E298" s="75"/>
      <c r="F298" s="75"/>
      <c r="G298" s="75"/>
      <c r="H298" s="75"/>
    </row>
    <row r="299" spans="3:8" ht="13.2">
      <c r="C299" s="75"/>
      <c r="D299" s="75"/>
      <c r="E299" s="75"/>
      <c r="F299" s="75"/>
      <c r="G299" s="75"/>
      <c r="H299" s="75"/>
    </row>
    <row r="300" spans="3:8" ht="13.2">
      <c r="C300" s="75"/>
      <c r="D300" s="75"/>
      <c r="E300" s="75"/>
      <c r="F300" s="75"/>
      <c r="G300" s="75"/>
      <c r="H300" s="75"/>
    </row>
    <row r="301" spans="3:8" ht="13.2">
      <c r="C301" s="75"/>
      <c r="D301" s="75"/>
      <c r="E301" s="75"/>
      <c r="F301" s="75"/>
      <c r="G301" s="75"/>
      <c r="H301" s="75"/>
    </row>
    <row r="302" spans="3:8" ht="13.2">
      <c r="C302" s="75"/>
      <c r="D302" s="75"/>
      <c r="E302" s="75"/>
      <c r="F302" s="75"/>
      <c r="G302" s="75"/>
      <c r="H302" s="75"/>
    </row>
    <row r="303" spans="3:8" ht="13.2">
      <c r="C303" s="75"/>
      <c r="D303" s="75"/>
      <c r="E303" s="75"/>
      <c r="F303" s="75"/>
      <c r="G303" s="75"/>
      <c r="H303" s="75"/>
    </row>
    <row r="304" spans="3:8" ht="13.2">
      <c r="C304" s="75"/>
      <c r="D304" s="75"/>
      <c r="E304" s="75"/>
      <c r="F304" s="75"/>
      <c r="G304" s="75"/>
      <c r="H304" s="75"/>
    </row>
    <row r="305" spans="3:8" ht="13.2">
      <c r="C305" s="75"/>
      <c r="D305" s="75"/>
      <c r="E305" s="75"/>
      <c r="F305" s="75"/>
      <c r="G305" s="75"/>
      <c r="H305" s="75"/>
    </row>
    <row r="306" spans="3:8" ht="13.2">
      <c r="C306" s="75"/>
      <c r="D306" s="75"/>
      <c r="E306" s="75"/>
      <c r="F306" s="75"/>
      <c r="G306" s="75"/>
      <c r="H306" s="75"/>
    </row>
    <row r="307" spans="3:8" ht="13.2">
      <c r="C307" s="75"/>
      <c r="D307" s="75"/>
      <c r="E307" s="75"/>
      <c r="F307" s="75"/>
      <c r="G307" s="75"/>
      <c r="H307" s="75"/>
    </row>
    <row r="308" spans="3:8" ht="13.2">
      <c r="C308" s="75"/>
      <c r="D308" s="75"/>
      <c r="E308" s="75"/>
      <c r="F308" s="75"/>
      <c r="G308" s="75"/>
      <c r="H308" s="75"/>
    </row>
    <row r="309" spans="3:8" ht="13.2">
      <c r="C309" s="75"/>
      <c r="D309" s="75"/>
      <c r="E309" s="75"/>
      <c r="F309" s="75"/>
      <c r="G309" s="75"/>
      <c r="H309" s="75"/>
    </row>
    <row r="310" spans="3:8" ht="13.2">
      <c r="C310" s="75"/>
      <c r="D310" s="75"/>
      <c r="E310" s="75"/>
      <c r="F310" s="75"/>
      <c r="G310" s="75"/>
      <c r="H310" s="75"/>
    </row>
    <row r="311" spans="3:8" ht="13.2">
      <c r="C311" s="75"/>
      <c r="D311" s="75"/>
      <c r="E311" s="75"/>
      <c r="F311" s="75"/>
      <c r="G311" s="75"/>
      <c r="H311" s="75"/>
    </row>
    <row r="312" spans="3:8" ht="13.2">
      <c r="C312" s="75"/>
      <c r="D312" s="75"/>
      <c r="E312" s="75"/>
      <c r="F312" s="75"/>
      <c r="G312" s="75"/>
      <c r="H312" s="75"/>
    </row>
    <row r="313" spans="3:8" ht="13.2">
      <c r="C313" s="75"/>
      <c r="D313" s="75"/>
      <c r="E313" s="75"/>
      <c r="F313" s="75"/>
      <c r="G313" s="75"/>
      <c r="H313" s="75"/>
    </row>
    <row r="314" spans="3:8" ht="13.2">
      <c r="C314" s="75"/>
      <c r="D314" s="75"/>
      <c r="E314" s="75"/>
      <c r="F314" s="75"/>
      <c r="G314" s="75"/>
      <c r="H314" s="75"/>
    </row>
    <row r="315" spans="3:8" ht="13.2">
      <c r="C315" s="75"/>
      <c r="D315" s="75"/>
      <c r="E315" s="75"/>
      <c r="F315" s="75"/>
      <c r="G315" s="75"/>
      <c r="H315" s="75"/>
    </row>
    <row r="316" spans="3:8" ht="13.2">
      <c r="C316" s="75"/>
      <c r="D316" s="75"/>
      <c r="E316" s="75"/>
      <c r="F316" s="75"/>
      <c r="G316" s="75"/>
      <c r="H316" s="75"/>
    </row>
    <row r="317" spans="3:8" ht="13.2">
      <c r="C317" s="75"/>
      <c r="D317" s="75"/>
      <c r="E317" s="75"/>
      <c r="F317" s="75"/>
      <c r="G317" s="75"/>
      <c r="H317" s="75"/>
    </row>
    <row r="318" spans="3:8" ht="13.2">
      <c r="C318" s="75"/>
      <c r="D318" s="75"/>
      <c r="E318" s="75"/>
      <c r="F318" s="75"/>
      <c r="G318" s="75"/>
      <c r="H318" s="75"/>
    </row>
    <row r="319" spans="3:8" ht="13.2">
      <c r="C319" s="75"/>
      <c r="D319" s="75"/>
      <c r="E319" s="75"/>
      <c r="F319" s="75"/>
      <c r="G319" s="75"/>
      <c r="H319" s="75"/>
    </row>
    <row r="320" spans="3:8" ht="13.2">
      <c r="C320" s="75"/>
      <c r="D320" s="75"/>
      <c r="E320" s="75"/>
      <c r="F320" s="75"/>
      <c r="G320" s="75"/>
      <c r="H320" s="75"/>
    </row>
    <row r="321" spans="3:8" ht="13.2">
      <c r="C321" s="75"/>
      <c r="D321" s="75"/>
      <c r="E321" s="75"/>
      <c r="F321" s="75"/>
      <c r="G321" s="75"/>
      <c r="H321" s="75"/>
    </row>
    <row r="322" spans="3:8" ht="13.2">
      <c r="C322" s="75"/>
      <c r="D322" s="75"/>
      <c r="E322" s="75"/>
      <c r="F322" s="75"/>
      <c r="G322" s="75"/>
      <c r="H322" s="75"/>
    </row>
    <row r="323" spans="3:8" ht="13.2">
      <c r="C323" s="75"/>
      <c r="D323" s="75"/>
      <c r="E323" s="75"/>
      <c r="F323" s="75"/>
      <c r="G323" s="75"/>
      <c r="H323" s="75"/>
    </row>
    <row r="324" spans="3:8" ht="13.2">
      <c r="C324" s="75"/>
      <c r="D324" s="75"/>
      <c r="E324" s="75"/>
      <c r="F324" s="75"/>
      <c r="G324" s="75"/>
      <c r="H324" s="75"/>
    </row>
    <row r="325" spans="3:8" ht="13.2">
      <c r="C325" s="75"/>
      <c r="D325" s="75"/>
      <c r="E325" s="75"/>
      <c r="F325" s="75"/>
      <c r="G325" s="75"/>
      <c r="H325" s="75"/>
    </row>
    <row r="326" spans="3:8" ht="13.2">
      <c r="C326" s="75"/>
      <c r="D326" s="75"/>
      <c r="E326" s="75"/>
      <c r="F326" s="75"/>
      <c r="G326" s="75"/>
      <c r="H326" s="75"/>
    </row>
    <row r="327" spans="3:8" ht="13.2">
      <c r="C327" s="75"/>
      <c r="D327" s="75"/>
      <c r="E327" s="75"/>
      <c r="F327" s="75"/>
      <c r="G327" s="75"/>
      <c r="H327" s="75"/>
    </row>
    <row r="328" spans="3:8" ht="13.2">
      <c r="C328" s="75"/>
      <c r="D328" s="75"/>
      <c r="E328" s="75"/>
      <c r="F328" s="75"/>
      <c r="G328" s="75"/>
      <c r="H328" s="75"/>
    </row>
    <row r="329" spans="3:8" ht="13.2">
      <c r="C329" s="75"/>
      <c r="D329" s="75"/>
      <c r="E329" s="75"/>
      <c r="F329" s="75"/>
      <c r="G329" s="75"/>
      <c r="H329" s="75"/>
    </row>
    <row r="330" spans="3:8" ht="13.2">
      <c r="C330" s="75"/>
      <c r="D330" s="75"/>
      <c r="E330" s="75"/>
      <c r="F330" s="75"/>
      <c r="G330" s="75"/>
      <c r="H330" s="75"/>
    </row>
    <row r="331" spans="3:8" ht="13.2">
      <c r="C331" s="75"/>
      <c r="D331" s="75"/>
      <c r="E331" s="75"/>
      <c r="F331" s="75"/>
      <c r="G331" s="75"/>
      <c r="H331" s="75"/>
    </row>
    <row r="332" spans="3:8" ht="13.2">
      <c r="C332" s="75"/>
      <c r="D332" s="75"/>
      <c r="E332" s="75"/>
      <c r="F332" s="75"/>
      <c r="G332" s="75"/>
      <c r="H332" s="75"/>
    </row>
    <row r="333" spans="3:8" ht="13.2">
      <c r="C333" s="75"/>
      <c r="D333" s="75"/>
      <c r="E333" s="75"/>
      <c r="F333" s="75"/>
      <c r="G333" s="75"/>
      <c r="H333" s="75"/>
    </row>
    <row r="334" spans="3:8" ht="13.2">
      <c r="C334" s="75"/>
      <c r="D334" s="75"/>
      <c r="E334" s="75"/>
      <c r="F334" s="75"/>
      <c r="G334" s="75"/>
      <c r="H334" s="75"/>
    </row>
    <row r="335" spans="3:8" ht="13.2">
      <c r="C335" s="75"/>
      <c r="D335" s="75"/>
      <c r="E335" s="75"/>
      <c r="F335" s="75"/>
      <c r="G335" s="75"/>
      <c r="H335" s="75"/>
    </row>
    <row r="336" spans="3:8" ht="13.2">
      <c r="C336" s="75"/>
      <c r="D336" s="75"/>
      <c r="E336" s="75"/>
      <c r="F336" s="75"/>
      <c r="G336" s="75"/>
      <c r="H336" s="75"/>
    </row>
    <row r="337" spans="3:8" ht="13.2">
      <c r="C337" s="75"/>
      <c r="D337" s="75"/>
      <c r="E337" s="75"/>
      <c r="F337" s="75"/>
      <c r="G337" s="75"/>
      <c r="H337" s="75"/>
    </row>
    <row r="338" spans="3:8" ht="13.2">
      <c r="C338" s="75"/>
      <c r="D338" s="75"/>
      <c r="E338" s="75"/>
      <c r="F338" s="75"/>
      <c r="G338" s="75"/>
      <c r="H338" s="75"/>
    </row>
    <row r="339" spans="3:8" ht="13.2">
      <c r="C339" s="75"/>
      <c r="D339" s="75"/>
      <c r="E339" s="75"/>
      <c r="F339" s="75"/>
      <c r="G339" s="75"/>
      <c r="H339" s="75"/>
    </row>
    <row r="340" spans="3:8" ht="13.2">
      <c r="C340" s="75"/>
      <c r="D340" s="75"/>
      <c r="E340" s="75"/>
      <c r="F340" s="75"/>
      <c r="G340" s="75"/>
      <c r="H340" s="75"/>
    </row>
    <row r="341" spans="3:8" ht="13.2">
      <c r="C341" s="75"/>
      <c r="D341" s="75"/>
      <c r="E341" s="75"/>
      <c r="F341" s="75"/>
      <c r="G341" s="75"/>
      <c r="H341" s="75"/>
    </row>
    <row r="342" spans="3:8" ht="13.2">
      <c r="C342" s="75"/>
      <c r="D342" s="75"/>
      <c r="E342" s="75"/>
      <c r="F342" s="75"/>
      <c r="G342" s="75"/>
      <c r="H342" s="75"/>
    </row>
    <row r="343" spans="3:8" ht="13.2">
      <c r="C343" s="75"/>
      <c r="D343" s="75"/>
      <c r="E343" s="75"/>
      <c r="F343" s="75"/>
      <c r="G343" s="75"/>
      <c r="H343" s="75"/>
    </row>
    <row r="344" spans="3:8" ht="13.2">
      <c r="C344" s="75"/>
      <c r="D344" s="75"/>
      <c r="E344" s="75"/>
      <c r="F344" s="75"/>
      <c r="G344" s="75"/>
      <c r="H344" s="75"/>
    </row>
    <row r="345" spans="3:8" ht="13.2">
      <c r="C345" s="75"/>
      <c r="D345" s="75"/>
      <c r="E345" s="75"/>
      <c r="F345" s="75"/>
      <c r="G345" s="75"/>
      <c r="H345" s="75"/>
    </row>
    <row r="346" spans="3:8" ht="13.2">
      <c r="C346" s="75"/>
      <c r="D346" s="75"/>
      <c r="E346" s="75"/>
      <c r="F346" s="75"/>
      <c r="G346" s="75"/>
      <c r="H346" s="75"/>
    </row>
    <row r="347" spans="3:8" ht="13.2">
      <c r="C347" s="75"/>
      <c r="D347" s="75"/>
      <c r="E347" s="75"/>
      <c r="F347" s="75"/>
      <c r="G347" s="75"/>
      <c r="H347" s="75"/>
    </row>
    <row r="348" spans="3:8" ht="13.2">
      <c r="C348" s="75"/>
      <c r="D348" s="75"/>
      <c r="E348" s="75"/>
      <c r="F348" s="75"/>
      <c r="G348" s="75"/>
      <c r="H348" s="75"/>
    </row>
    <row r="349" spans="3:8" ht="13.2">
      <c r="C349" s="75"/>
      <c r="D349" s="75"/>
      <c r="E349" s="75"/>
      <c r="F349" s="75"/>
      <c r="G349" s="75"/>
      <c r="H349" s="75"/>
    </row>
    <row r="350" spans="3:8" ht="13.2">
      <c r="C350" s="75"/>
      <c r="D350" s="75"/>
      <c r="E350" s="75"/>
      <c r="F350" s="75"/>
      <c r="G350" s="75"/>
      <c r="H350" s="75"/>
    </row>
    <row r="351" spans="3:8" ht="13.2">
      <c r="C351" s="75"/>
      <c r="D351" s="75"/>
      <c r="E351" s="75"/>
      <c r="F351" s="75"/>
      <c r="G351" s="75"/>
      <c r="H351" s="75"/>
    </row>
    <row r="352" spans="3:8" ht="13.2">
      <c r="C352" s="75"/>
      <c r="D352" s="75"/>
      <c r="E352" s="75"/>
      <c r="F352" s="75"/>
      <c r="G352" s="75"/>
      <c r="H352" s="75"/>
    </row>
    <row r="353" spans="3:8" ht="13.2">
      <c r="C353" s="75"/>
      <c r="D353" s="75"/>
      <c r="E353" s="75"/>
      <c r="F353" s="75"/>
      <c r="G353" s="75"/>
      <c r="H353" s="75"/>
    </row>
    <row r="354" spans="3:8" ht="13.2">
      <c r="C354" s="75"/>
      <c r="D354" s="75"/>
      <c r="E354" s="75"/>
      <c r="F354" s="75"/>
      <c r="G354" s="75"/>
      <c r="H354" s="75"/>
    </row>
    <row r="355" spans="3:8" ht="13.2">
      <c r="C355" s="75"/>
      <c r="D355" s="75"/>
      <c r="E355" s="75"/>
      <c r="F355" s="75"/>
      <c r="G355" s="75"/>
      <c r="H355" s="75"/>
    </row>
    <row r="356" spans="3:8" ht="13.2">
      <c r="C356" s="75"/>
      <c r="D356" s="75"/>
      <c r="E356" s="75"/>
      <c r="F356" s="75"/>
      <c r="G356" s="75"/>
      <c r="H356" s="75"/>
    </row>
    <row r="357" spans="3:8" ht="13.2">
      <c r="C357" s="75"/>
      <c r="D357" s="75"/>
      <c r="E357" s="75"/>
      <c r="F357" s="75"/>
      <c r="G357" s="75"/>
      <c r="H357" s="75"/>
    </row>
    <row r="358" spans="3:8" ht="13.2">
      <c r="C358" s="75"/>
      <c r="D358" s="75"/>
      <c r="E358" s="75"/>
      <c r="F358" s="75"/>
      <c r="G358" s="75"/>
      <c r="H358" s="75"/>
    </row>
    <row r="359" spans="3:8" ht="13.2">
      <c r="C359" s="75"/>
      <c r="D359" s="75"/>
      <c r="E359" s="75"/>
      <c r="F359" s="75"/>
      <c r="G359" s="75"/>
      <c r="H359" s="75"/>
    </row>
    <row r="360" spans="3:8" ht="13.2">
      <c r="C360" s="75"/>
      <c r="D360" s="75"/>
      <c r="E360" s="75"/>
      <c r="F360" s="75"/>
      <c r="G360" s="75"/>
      <c r="H360" s="75"/>
    </row>
    <row r="361" spans="3:8" ht="13.2">
      <c r="C361" s="75"/>
      <c r="D361" s="75"/>
      <c r="E361" s="75"/>
      <c r="F361" s="75"/>
      <c r="G361" s="75"/>
      <c r="H361" s="75"/>
    </row>
    <row r="362" spans="3:8" ht="13.2">
      <c r="C362" s="75"/>
      <c r="D362" s="75"/>
      <c r="E362" s="75"/>
      <c r="F362" s="75"/>
      <c r="G362" s="75"/>
      <c r="H362" s="75"/>
    </row>
    <row r="363" spans="3:8" ht="13.2">
      <c r="C363" s="75"/>
      <c r="D363" s="75"/>
      <c r="E363" s="75"/>
      <c r="F363" s="75"/>
      <c r="G363" s="75"/>
      <c r="H363" s="75"/>
    </row>
    <row r="364" spans="3:8" ht="13.2">
      <c r="C364" s="75"/>
      <c r="D364" s="75"/>
      <c r="E364" s="75"/>
      <c r="F364" s="75"/>
      <c r="G364" s="75"/>
      <c r="H364" s="75"/>
    </row>
    <row r="365" spans="3:8" ht="13.2">
      <c r="C365" s="75"/>
      <c r="D365" s="75"/>
      <c r="E365" s="75"/>
      <c r="F365" s="75"/>
      <c r="G365" s="75"/>
      <c r="H365" s="75"/>
    </row>
    <row r="366" spans="3:8" ht="13.2">
      <c r="C366" s="75"/>
      <c r="D366" s="75"/>
      <c r="E366" s="75"/>
      <c r="F366" s="75"/>
      <c r="G366" s="75"/>
      <c r="H366" s="75"/>
    </row>
    <row r="367" spans="3:8" ht="13.2">
      <c r="C367" s="75"/>
      <c r="D367" s="75"/>
      <c r="E367" s="75"/>
      <c r="F367" s="75"/>
      <c r="G367" s="75"/>
      <c r="H367" s="75"/>
    </row>
    <row r="368" spans="3:8" ht="13.2">
      <c r="C368" s="75"/>
      <c r="D368" s="75"/>
      <c r="E368" s="75"/>
      <c r="F368" s="75"/>
      <c r="G368" s="75"/>
      <c r="H368" s="75"/>
    </row>
    <row r="369" spans="3:8" ht="13.2">
      <c r="C369" s="75"/>
      <c r="D369" s="75"/>
      <c r="E369" s="75"/>
      <c r="F369" s="75"/>
      <c r="G369" s="75"/>
      <c r="H369" s="75"/>
    </row>
    <row r="370" spans="3:8" ht="13.2">
      <c r="C370" s="75"/>
      <c r="D370" s="75"/>
      <c r="E370" s="75"/>
      <c r="F370" s="75"/>
      <c r="G370" s="75"/>
      <c r="H370" s="75"/>
    </row>
    <row r="371" spans="3:8" ht="13.2">
      <c r="C371" s="75"/>
      <c r="D371" s="75"/>
      <c r="E371" s="75"/>
      <c r="F371" s="75"/>
      <c r="G371" s="75"/>
      <c r="H371" s="75"/>
    </row>
    <row r="372" spans="3:8" ht="13.2">
      <c r="C372" s="75"/>
      <c r="D372" s="75"/>
      <c r="E372" s="75"/>
      <c r="F372" s="75"/>
      <c r="G372" s="75"/>
      <c r="H372" s="75"/>
    </row>
    <row r="373" spans="3:8" ht="13.2">
      <c r="C373" s="75"/>
      <c r="D373" s="75"/>
      <c r="E373" s="75"/>
      <c r="F373" s="75"/>
      <c r="G373" s="75"/>
      <c r="H373" s="75"/>
    </row>
    <row r="374" spans="3:8" ht="13.2">
      <c r="C374" s="75"/>
      <c r="D374" s="75"/>
      <c r="E374" s="75"/>
      <c r="F374" s="75"/>
      <c r="G374" s="75"/>
      <c r="H374" s="75"/>
    </row>
    <row r="375" spans="3:8" ht="13.2">
      <c r="C375" s="75"/>
      <c r="D375" s="75"/>
      <c r="E375" s="75"/>
      <c r="F375" s="75"/>
      <c r="G375" s="75"/>
      <c r="H375" s="75"/>
    </row>
    <row r="376" spans="3:8" ht="13.2">
      <c r="C376" s="75"/>
      <c r="D376" s="75"/>
      <c r="E376" s="75"/>
      <c r="F376" s="75"/>
      <c r="G376" s="75"/>
      <c r="H376" s="75"/>
    </row>
    <row r="377" spans="3:8" ht="13.2">
      <c r="C377" s="75"/>
      <c r="D377" s="75"/>
      <c r="E377" s="75"/>
      <c r="F377" s="75"/>
      <c r="G377" s="75"/>
      <c r="H377" s="75"/>
    </row>
    <row r="378" spans="3:8" ht="13.2">
      <c r="C378" s="75"/>
      <c r="D378" s="75"/>
      <c r="E378" s="75"/>
      <c r="F378" s="75"/>
      <c r="G378" s="75"/>
      <c r="H378" s="75"/>
    </row>
    <row r="379" spans="3:8" ht="13.2">
      <c r="C379" s="75"/>
      <c r="D379" s="75"/>
      <c r="E379" s="75"/>
      <c r="F379" s="75"/>
      <c r="G379" s="75"/>
      <c r="H379" s="75"/>
    </row>
    <row r="380" spans="3:8" ht="13.2">
      <c r="C380" s="75"/>
      <c r="D380" s="75"/>
      <c r="E380" s="75"/>
      <c r="F380" s="75"/>
      <c r="G380" s="75"/>
      <c r="H380" s="75"/>
    </row>
    <row r="381" spans="3:8" ht="13.2">
      <c r="C381" s="75"/>
      <c r="D381" s="75"/>
      <c r="E381" s="75"/>
      <c r="F381" s="75"/>
      <c r="G381" s="75"/>
      <c r="H381" s="75"/>
    </row>
    <row r="382" spans="3:8" ht="13.2">
      <c r="C382" s="75"/>
      <c r="D382" s="75"/>
      <c r="E382" s="75"/>
      <c r="F382" s="75"/>
      <c r="G382" s="75"/>
      <c r="H382" s="75"/>
    </row>
    <row r="383" spans="3:8" ht="13.2">
      <c r="C383" s="75"/>
      <c r="D383" s="75"/>
      <c r="E383" s="75"/>
      <c r="F383" s="75"/>
      <c r="G383" s="75"/>
      <c r="H383" s="75"/>
    </row>
    <row r="384" spans="3:8" ht="13.2">
      <c r="C384" s="75"/>
      <c r="D384" s="75"/>
      <c r="E384" s="75"/>
      <c r="F384" s="75"/>
      <c r="G384" s="75"/>
      <c r="H384" s="75"/>
    </row>
    <row r="385" spans="3:8" ht="13.2">
      <c r="C385" s="75"/>
      <c r="D385" s="75"/>
      <c r="E385" s="75"/>
      <c r="F385" s="75"/>
      <c r="G385" s="75"/>
      <c r="H385" s="75"/>
    </row>
    <row r="386" spans="3:8" ht="13.2">
      <c r="C386" s="75"/>
      <c r="D386" s="75"/>
      <c r="E386" s="75"/>
      <c r="F386" s="75"/>
      <c r="G386" s="75"/>
      <c r="H386" s="75"/>
    </row>
    <row r="387" spans="3:8" ht="13.2">
      <c r="C387" s="75"/>
      <c r="D387" s="75"/>
      <c r="E387" s="75"/>
      <c r="F387" s="75"/>
      <c r="G387" s="75"/>
      <c r="H387" s="75"/>
    </row>
    <row r="388" spans="3:8" ht="13.2">
      <c r="C388" s="75"/>
      <c r="D388" s="75"/>
      <c r="E388" s="75"/>
      <c r="F388" s="75"/>
      <c r="G388" s="75"/>
      <c r="H388" s="75"/>
    </row>
    <row r="389" spans="3:8" ht="13.2">
      <c r="C389" s="75"/>
      <c r="D389" s="75"/>
      <c r="E389" s="75"/>
      <c r="F389" s="75"/>
      <c r="G389" s="75"/>
      <c r="H389" s="75"/>
    </row>
    <row r="390" spans="3:8" ht="13.2">
      <c r="C390" s="75"/>
      <c r="D390" s="75"/>
      <c r="E390" s="75"/>
      <c r="F390" s="75"/>
      <c r="G390" s="75"/>
      <c r="H390" s="75"/>
    </row>
    <row r="391" spans="3:8" ht="13.2">
      <c r="C391" s="75"/>
      <c r="D391" s="75"/>
      <c r="E391" s="75"/>
      <c r="F391" s="75"/>
      <c r="G391" s="75"/>
      <c r="H391" s="75"/>
    </row>
    <row r="392" spans="3:8" ht="13.2">
      <c r="C392" s="75"/>
      <c r="D392" s="75"/>
      <c r="E392" s="75"/>
      <c r="F392" s="75"/>
      <c r="G392" s="75"/>
      <c r="H392" s="75"/>
    </row>
    <row r="393" spans="3:8" ht="13.2">
      <c r="C393" s="75"/>
      <c r="D393" s="75"/>
      <c r="E393" s="75"/>
      <c r="F393" s="75"/>
      <c r="G393" s="75"/>
      <c r="H393" s="75"/>
    </row>
    <row r="394" spans="3:8" ht="13.2">
      <c r="C394" s="75"/>
      <c r="D394" s="75"/>
      <c r="E394" s="75"/>
      <c r="F394" s="75"/>
      <c r="G394" s="75"/>
      <c r="H394" s="75"/>
    </row>
    <row r="395" spans="3:8" ht="13.2">
      <c r="C395" s="75"/>
      <c r="D395" s="75"/>
      <c r="E395" s="75"/>
      <c r="F395" s="75"/>
      <c r="G395" s="75"/>
      <c r="H395" s="75"/>
    </row>
    <row r="396" spans="3:8" ht="13.2">
      <c r="C396" s="75"/>
      <c r="D396" s="75"/>
      <c r="E396" s="75"/>
      <c r="F396" s="75"/>
      <c r="G396" s="75"/>
      <c r="H396" s="75"/>
    </row>
    <row r="397" spans="3:8" ht="13.2">
      <c r="C397" s="75"/>
      <c r="D397" s="75"/>
      <c r="E397" s="75"/>
      <c r="F397" s="75"/>
      <c r="G397" s="75"/>
      <c r="H397" s="75"/>
    </row>
    <row r="398" spans="3:8" ht="13.2">
      <c r="C398" s="75"/>
      <c r="D398" s="75"/>
      <c r="E398" s="75"/>
      <c r="F398" s="75"/>
      <c r="G398" s="75"/>
      <c r="H398" s="75"/>
    </row>
    <row r="399" spans="3:8" ht="13.2">
      <c r="C399" s="75"/>
      <c r="D399" s="75"/>
      <c r="E399" s="75"/>
      <c r="F399" s="75"/>
      <c r="G399" s="75"/>
      <c r="H399" s="75"/>
    </row>
    <row r="400" spans="3:8" ht="13.2">
      <c r="C400" s="75"/>
      <c r="D400" s="75"/>
      <c r="E400" s="75"/>
      <c r="F400" s="75"/>
      <c r="G400" s="75"/>
      <c r="H400" s="75"/>
    </row>
    <row r="401" spans="3:8" ht="13.2">
      <c r="C401" s="75"/>
      <c r="D401" s="75"/>
      <c r="E401" s="75"/>
      <c r="F401" s="75"/>
      <c r="G401" s="75"/>
      <c r="H401" s="75"/>
    </row>
    <row r="402" spans="3:8" ht="13.2">
      <c r="C402" s="75"/>
      <c r="D402" s="75"/>
      <c r="E402" s="75"/>
      <c r="F402" s="75"/>
      <c r="G402" s="75"/>
      <c r="H402" s="75"/>
    </row>
    <row r="403" spans="3:8" ht="13.2">
      <c r="C403" s="75"/>
      <c r="D403" s="75"/>
      <c r="E403" s="75"/>
      <c r="F403" s="75"/>
      <c r="G403" s="75"/>
      <c r="H403" s="75"/>
    </row>
    <row r="404" spans="3:8" ht="13.2">
      <c r="C404" s="75"/>
      <c r="D404" s="75"/>
      <c r="E404" s="75"/>
      <c r="F404" s="75"/>
      <c r="G404" s="75"/>
      <c r="H404" s="75"/>
    </row>
    <row r="405" spans="3:8" ht="13.2">
      <c r="C405" s="75"/>
      <c r="D405" s="75"/>
      <c r="E405" s="75"/>
      <c r="F405" s="75"/>
      <c r="G405" s="75"/>
      <c r="H405" s="75"/>
    </row>
    <row r="406" spans="3:8" ht="13.2">
      <c r="C406" s="75"/>
      <c r="D406" s="75"/>
      <c r="E406" s="75"/>
      <c r="F406" s="75"/>
      <c r="G406" s="75"/>
      <c r="H406" s="75"/>
    </row>
    <row r="407" spans="3:8" ht="13.2">
      <c r="C407" s="75"/>
      <c r="D407" s="75"/>
      <c r="E407" s="75"/>
      <c r="F407" s="75"/>
      <c r="G407" s="75"/>
      <c r="H407" s="75"/>
    </row>
    <row r="408" spans="3:8" ht="13.2">
      <c r="C408" s="75"/>
      <c r="D408" s="75"/>
      <c r="E408" s="75"/>
      <c r="F408" s="75"/>
      <c r="G408" s="75"/>
      <c r="H408" s="75"/>
    </row>
    <row r="409" spans="3:8" ht="13.2">
      <c r="C409" s="75"/>
      <c r="D409" s="75"/>
      <c r="E409" s="75"/>
      <c r="F409" s="75"/>
      <c r="G409" s="75"/>
      <c r="H409" s="75"/>
    </row>
    <row r="410" spans="3:8" ht="13.2">
      <c r="C410" s="75"/>
      <c r="D410" s="75"/>
      <c r="E410" s="75"/>
      <c r="F410" s="75"/>
      <c r="G410" s="75"/>
      <c r="H410" s="75"/>
    </row>
    <row r="411" spans="3:8" ht="13.2">
      <c r="C411" s="75"/>
      <c r="D411" s="75"/>
      <c r="E411" s="75"/>
      <c r="F411" s="75"/>
      <c r="G411" s="75"/>
      <c r="H411" s="75"/>
    </row>
    <row r="412" spans="3:8" ht="13.2">
      <c r="C412" s="75"/>
      <c r="D412" s="75"/>
      <c r="E412" s="75"/>
      <c r="F412" s="75"/>
      <c r="G412" s="75"/>
      <c r="H412" s="75"/>
    </row>
    <row r="413" spans="3:8" ht="13.2">
      <c r="C413" s="75"/>
      <c r="D413" s="75"/>
      <c r="E413" s="75"/>
      <c r="F413" s="75"/>
      <c r="G413" s="75"/>
      <c r="H413" s="75"/>
    </row>
    <row r="414" spans="3:8" ht="13.2">
      <c r="C414" s="75"/>
      <c r="D414" s="75"/>
      <c r="E414" s="75"/>
      <c r="F414" s="75"/>
      <c r="G414" s="75"/>
      <c r="H414" s="75"/>
    </row>
    <row r="415" spans="3:8" ht="13.2">
      <c r="C415" s="75"/>
      <c r="D415" s="75"/>
      <c r="E415" s="75"/>
      <c r="F415" s="75"/>
      <c r="G415" s="75"/>
      <c r="H415" s="75"/>
    </row>
    <row r="416" spans="3:8" ht="13.2">
      <c r="C416" s="75"/>
      <c r="D416" s="75"/>
      <c r="E416" s="75"/>
      <c r="F416" s="75"/>
      <c r="G416" s="75"/>
      <c r="H416" s="75"/>
    </row>
    <row r="417" spans="3:8" ht="13.2">
      <c r="C417" s="75"/>
      <c r="D417" s="75"/>
      <c r="E417" s="75"/>
      <c r="F417" s="75"/>
      <c r="G417" s="75"/>
      <c r="H417" s="75"/>
    </row>
    <row r="418" spans="3:8" ht="13.2">
      <c r="C418" s="75"/>
      <c r="D418" s="75"/>
      <c r="E418" s="75"/>
      <c r="F418" s="75"/>
      <c r="G418" s="75"/>
      <c r="H418" s="75"/>
    </row>
    <row r="419" spans="3:8" ht="13.2">
      <c r="C419" s="75"/>
      <c r="D419" s="75"/>
      <c r="E419" s="75"/>
      <c r="F419" s="75"/>
      <c r="G419" s="75"/>
      <c r="H419" s="75"/>
    </row>
    <row r="420" spans="3:8" ht="13.2">
      <c r="C420" s="75"/>
      <c r="D420" s="75"/>
      <c r="E420" s="75"/>
      <c r="F420" s="75"/>
      <c r="G420" s="75"/>
      <c r="H420" s="75"/>
    </row>
    <row r="421" spans="3:8" ht="13.2">
      <c r="C421" s="75"/>
      <c r="D421" s="75"/>
      <c r="E421" s="75"/>
      <c r="F421" s="75"/>
      <c r="G421" s="75"/>
      <c r="H421" s="75"/>
    </row>
    <row r="422" spans="3:8" ht="13.2">
      <c r="C422" s="75"/>
      <c r="D422" s="75"/>
      <c r="E422" s="75"/>
      <c r="F422" s="75"/>
      <c r="G422" s="75"/>
      <c r="H422" s="75"/>
    </row>
    <row r="423" spans="3:8" ht="13.2">
      <c r="C423" s="75"/>
      <c r="D423" s="75"/>
      <c r="E423" s="75"/>
      <c r="F423" s="75"/>
      <c r="G423" s="75"/>
      <c r="H423" s="75"/>
    </row>
    <row r="424" spans="3:8" ht="13.2">
      <c r="C424" s="75"/>
      <c r="D424" s="75"/>
      <c r="E424" s="75"/>
      <c r="F424" s="75"/>
      <c r="G424" s="75"/>
      <c r="H424" s="75"/>
    </row>
    <row r="425" spans="3:8" ht="13.2">
      <c r="C425" s="75"/>
      <c r="D425" s="75"/>
      <c r="E425" s="75"/>
      <c r="F425" s="75"/>
      <c r="G425" s="75"/>
      <c r="H425" s="75"/>
    </row>
    <row r="426" spans="3:8" ht="13.2">
      <c r="C426" s="75"/>
      <c r="D426" s="75"/>
      <c r="E426" s="75"/>
      <c r="F426" s="75"/>
      <c r="G426" s="75"/>
      <c r="H426" s="75"/>
    </row>
    <row r="427" spans="3:8" ht="13.2">
      <c r="C427" s="75"/>
      <c r="D427" s="75"/>
      <c r="E427" s="75"/>
      <c r="F427" s="75"/>
      <c r="G427" s="75"/>
      <c r="H427" s="75"/>
    </row>
    <row r="428" spans="3:8" ht="13.2">
      <c r="C428" s="75"/>
      <c r="D428" s="75"/>
      <c r="E428" s="75"/>
      <c r="F428" s="75"/>
      <c r="G428" s="75"/>
      <c r="H428" s="75"/>
    </row>
    <row r="429" spans="3:8" ht="13.2">
      <c r="C429" s="75"/>
      <c r="D429" s="75"/>
      <c r="E429" s="75"/>
      <c r="F429" s="75"/>
      <c r="G429" s="75"/>
      <c r="H429" s="75"/>
    </row>
    <row r="430" spans="3:8" ht="13.2">
      <c r="C430" s="75"/>
      <c r="D430" s="75"/>
      <c r="E430" s="75"/>
      <c r="F430" s="75"/>
      <c r="G430" s="75"/>
      <c r="H430" s="75"/>
    </row>
    <row r="431" spans="3:8" ht="13.2">
      <c r="C431" s="75"/>
      <c r="D431" s="75"/>
      <c r="E431" s="75"/>
      <c r="F431" s="75"/>
      <c r="G431" s="75"/>
      <c r="H431" s="75"/>
    </row>
    <row r="432" spans="3:8" ht="13.2">
      <c r="C432" s="75"/>
      <c r="D432" s="75"/>
      <c r="E432" s="75"/>
      <c r="F432" s="75"/>
      <c r="G432" s="75"/>
      <c r="H432" s="75"/>
    </row>
    <row r="433" spans="3:8" ht="13.2">
      <c r="C433" s="75"/>
      <c r="D433" s="75"/>
      <c r="E433" s="75"/>
      <c r="F433" s="75"/>
      <c r="G433" s="75"/>
      <c r="H433" s="75"/>
    </row>
    <row r="434" spans="3:8" ht="13.2">
      <c r="C434" s="75"/>
      <c r="D434" s="75"/>
      <c r="E434" s="75"/>
      <c r="F434" s="75"/>
      <c r="G434" s="75"/>
      <c r="H434" s="75"/>
    </row>
    <row r="435" spans="3:8" ht="13.2">
      <c r="C435" s="75"/>
      <c r="D435" s="75"/>
      <c r="E435" s="75"/>
      <c r="F435" s="75"/>
      <c r="G435" s="75"/>
      <c r="H435" s="75"/>
    </row>
    <row r="436" spans="3:8" ht="13.2">
      <c r="C436" s="75"/>
      <c r="D436" s="75"/>
      <c r="E436" s="75"/>
      <c r="F436" s="75"/>
      <c r="G436" s="75"/>
      <c r="H436" s="75"/>
    </row>
    <row r="437" spans="3:8" ht="13.2">
      <c r="C437" s="75"/>
      <c r="D437" s="75"/>
      <c r="E437" s="75"/>
      <c r="F437" s="75"/>
      <c r="G437" s="75"/>
      <c r="H437" s="75"/>
    </row>
    <row r="438" spans="3:8" ht="13.2">
      <c r="C438" s="75"/>
      <c r="D438" s="75"/>
      <c r="E438" s="75"/>
      <c r="F438" s="75"/>
      <c r="G438" s="75"/>
      <c r="H438" s="75"/>
    </row>
    <row r="439" spans="3:8" ht="13.2">
      <c r="C439" s="75"/>
      <c r="D439" s="75"/>
      <c r="E439" s="75"/>
      <c r="F439" s="75"/>
      <c r="G439" s="75"/>
      <c r="H439" s="75"/>
    </row>
    <row r="440" spans="3:8" ht="13.2">
      <c r="C440" s="75"/>
      <c r="D440" s="75"/>
      <c r="E440" s="75"/>
      <c r="F440" s="75"/>
      <c r="G440" s="75"/>
      <c r="H440" s="75"/>
    </row>
    <row r="441" spans="3:8" ht="13.2">
      <c r="C441" s="75"/>
      <c r="D441" s="75"/>
      <c r="E441" s="75"/>
      <c r="F441" s="75"/>
      <c r="G441" s="75"/>
      <c r="H441" s="75"/>
    </row>
    <row r="442" spans="3:8" ht="13.2">
      <c r="C442" s="75"/>
      <c r="D442" s="75"/>
      <c r="E442" s="75"/>
      <c r="F442" s="75"/>
      <c r="G442" s="75"/>
      <c r="H442" s="75"/>
    </row>
    <row r="443" spans="3:8" ht="13.2">
      <c r="C443" s="75"/>
      <c r="D443" s="75"/>
      <c r="E443" s="75"/>
      <c r="F443" s="75"/>
      <c r="G443" s="75"/>
      <c r="H443" s="75"/>
    </row>
    <row r="444" spans="3:8" ht="13.2">
      <c r="C444" s="75"/>
      <c r="D444" s="75"/>
      <c r="E444" s="75"/>
      <c r="F444" s="75"/>
      <c r="G444" s="75"/>
      <c r="H444" s="75"/>
    </row>
    <row r="445" spans="3:8" ht="13.2">
      <c r="C445" s="75"/>
      <c r="D445" s="75"/>
      <c r="E445" s="75"/>
      <c r="F445" s="75"/>
      <c r="G445" s="75"/>
      <c r="H445" s="75"/>
    </row>
    <row r="446" spans="3:8" ht="13.2">
      <c r="C446" s="75"/>
      <c r="D446" s="75"/>
      <c r="E446" s="75"/>
      <c r="F446" s="75"/>
      <c r="G446" s="75"/>
      <c r="H446" s="75"/>
    </row>
    <row r="447" spans="3:8" ht="13.2">
      <c r="C447" s="75"/>
      <c r="D447" s="75"/>
      <c r="E447" s="75"/>
      <c r="F447" s="75"/>
      <c r="G447" s="75"/>
      <c r="H447" s="75"/>
    </row>
    <row r="448" spans="3:8" ht="13.2">
      <c r="C448" s="75"/>
      <c r="D448" s="75"/>
      <c r="E448" s="75"/>
      <c r="F448" s="75"/>
      <c r="G448" s="75"/>
      <c r="H448" s="75"/>
    </row>
    <row r="449" spans="3:8" ht="13.2">
      <c r="C449" s="75"/>
      <c r="D449" s="75"/>
      <c r="E449" s="75"/>
      <c r="F449" s="75"/>
      <c r="G449" s="75"/>
      <c r="H449" s="75"/>
    </row>
    <row r="450" spans="3:8" ht="13.2">
      <c r="C450" s="75"/>
      <c r="D450" s="75"/>
      <c r="E450" s="75"/>
      <c r="F450" s="75"/>
      <c r="G450" s="75"/>
      <c r="H450" s="75"/>
    </row>
    <row r="451" spans="3:8" ht="13.2">
      <c r="C451" s="75"/>
      <c r="D451" s="75"/>
      <c r="E451" s="75"/>
      <c r="F451" s="75"/>
      <c r="G451" s="75"/>
      <c r="H451" s="75"/>
    </row>
    <row r="452" spans="3:8" ht="13.2">
      <c r="C452" s="75"/>
      <c r="D452" s="75"/>
      <c r="E452" s="75"/>
      <c r="F452" s="75"/>
      <c r="G452" s="75"/>
      <c r="H452" s="75"/>
    </row>
    <row r="453" spans="3:8" ht="13.2">
      <c r="C453" s="75"/>
      <c r="D453" s="75"/>
      <c r="E453" s="75"/>
      <c r="F453" s="75"/>
      <c r="G453" s="75"/>
      <c r="H453" s="75"/>
    </row>
    <row r="454" spans="3:8" ht="13.2">
      <c r="C454" s="75"/>
      <c r="D454" s="75"/>
      <c r="E454" s="75"/>
      <c r="F454" s="75"/>
      <c r="G454" s="75"/>
      <c r="H454" s="75"/>
    </row>
    <row r="455" spans="3:8" ht="13.2">
      <c r="C455" s="75"/>
      <c r="D455" s="75"/>
      <c r="E455" s="75"/>
      <c r="F455" s="75"/>
      <c r="G455" s="75"/>
      <c r="H455" s="75"/>
    </row>
    <row r="456" spans="3:8" ht="13.2">
      <c r="C456" s="75"/>
      <c r="D456" s="75"/>
      <c r="E456" s="75"/>
      <c r="F456" s="75"/>
      <c r="G456" s="75"/>
      <c r="H456" s="75"/>
    </row>
    <row r="457" spans="3:8" ht="13.2">
      <c r="C457" s="75"/>
      <c r="D457" s="75"/>
      <c r="E457" s="75"/>
      <c r="F457" s="75"/>
      <c r="G457" s="75"/>
      <c r="H457" s="75"/>
    </row>
    <row r="458" spans="3:8" ht="13.2">
      <c r="C458" s="75"/>
      <c r="D458" s="75"/>
      <c r="E458" s="75"/>
      <c r="F458" s="75"/>
      <c r="G458" s="75"/>
      <c r="H458" s="75"/>
    </row>
    <row r="459" spans="3:8" ht="13.2">
      <c r="C459" s="75"/>
      <c r="D459" s="75"/>
      <c r="E459" s="75"/>
      <c r="F459" s="75"/>
      <c r="G459" s="75"/>
      <c r="H459" s="75"/>
    </row>
    <row r="460" spans="3:8" ht="13.2">
      <c r="C460" s="75"/>
      <c r="D460" s="75"/>
      <c r="E460" s="75"/>
      <c r="F460" s="75"/>
      <c r="G460" s="75"/>
      <c r="H460" s="75"/>
    </row>
    <row r="461" spans="3:8" ht="13.2">
      <c r="C461" s="75"/>
      <c r="D461" s="75"/>
      <c r="E461" s="75"/>
      <c r="F461" s="75"/>
      <c r="G461" s="75"/>
      <c r="H461" s="75"/>
    </row>
    <row r="462" spans="3:8" ht="13.2">
      <c r="C462" s="75"/>
      <c r="D462" s="75"/>
      <c r="E462" s="75"/>
      <c r="F462" s="75"/>
      <c r="G462" s="75"/>
      <c r="H462" s="75"/>
    </row>
    <row r="463" spans="3:8" ht="13.2">
      <c r="C463" s="75"/>
      <c r="D463" s="75"/>
      <c r="E463" s="75"/>
      <c r="F463" s="75"/>
      <c r="G463" s="75"/>
      <c r="H463" s="75"/>
    </row>
    <row r="464" spans="3:8" ht="13.2">
      <c r="C464" s="75"/>
      <c r="D464" s="75"/>
      <c r="E464" s="75"/>
      <c r="F464" s="75"/>
      <c r="G464" s="75"/>
      <c r="H464" s="75"/>
    </row>
    <row r="465" spans="3:8" ht="13.2">
      <c r="C465" s="75"/>
      <c r="D465" s="75"/>
      <c r="E465" s="75"/>
      <c r="F465" s="75"/>
      <c r="G465" s="75"/>
      <c r="H465" s="75"/>
    </row>
    <row r="466" spans="3:8" ht="13.2">
      <c r="C466" s="75"/>
      <c r="D466" s="75"/>
      <c r="E466" s="75"/>
      <c r="F466" s="75"/>
      <c r="G466" s="75"/>
      <c r="H466" s="75"/>
    </row>
    <row r="467" spans="3:8" ht="13.2">
      <c r="C467" s="75"/>
      <c r="D467" s="75"/>
      <c r="E467" s="75"/>
      <c r="F467" s="75"/>
      <c r="G467" s="75"/>
      <c r="H467" s="75"/>
    </row>
    <row r="468" spans="3:8" ht="13.2">
      <c r="C468" s="75"/>
      <c r="D468" s="75"/>
      <c r="E468" s="75"/>
      <c r="F468" s="75"/>
      <c r="G468" s="75"/>
      <c r="H468" s="75"/>
    </row>
    <row r="469" spans="3:8" ht="13.2">
      <c r="C469" s="75"/>
      <c r="D469" s="75"/>
      <c r="E469" s="75"/>
      <c r="F469" s="75"/>
      <c r="G469" s="75"/>
      <c r="H469" s="75"/>
    </row>
    <row r="470" spans="3:8" ht="13.2">
      <c r="C470" s="75"/>
      <c r="D470" s="75"/>
      <c r="E470" s="75"/>
      <c r="F470" s="75"/>
      <c r="G470" s="75"/>
      <c r="H470" s="75"/>
    </row>
    <row r="471" spans="3:8" ht="13.2">
      <c r="C471" s="75"/>
      <c r="D471" s="75"/>
      <c r="E471" s="75"/>
      <c r="F471" s="75"/>
      <c r="G471" s="75"/>
      <c r="H471" s="75"/>
    </row>
    <row r="472" spans="3:8" ht="13.2">
      <c r="C472" s="75"/>
      <c r="D472" s="75"/>
      <c r="E472" s="75"/>
      <c r="F472" s="75"/>
      <c r="G472" s="75"/>
      <c r="H472" s="75"/>
    </row>
    <row r="473" spans="3:8" ht="13.2">
      <c r="C473" s="75"/>
      <c r="D473" s="75"/>
      <c r="E473" s="75"/>
      <c r="F473" s="75"/>
      <c r="G473" s="75"/>
      <c r="H473" s="75"/>
    </row>
    <row r="474" spans="3:8" ht="13.2">
      <c r="C474" s="75"/>
      <c r="D474" s="75"/>
      <c r="E474" s="75"/>
      <c r="F474" s="75"/>
      <c r="G474" s="75"/>
      <c r="H474" s="75"/>
    </row>
    <row r="475" spans="3:8" ht="13.2">
      <c r="C475" s="75"/>
      <c r="D475" s="75"/>
      <c r="E475" s="75"/>
      <c r="F475" s="75"/>
      <c r="G475" s="75"/>
      <c r="H475" s="75"/>
    </row>
    <row r="476" spans="3:8" ht="13.2">
      <c r="C476" s="75"/>
      <c r="D476" s="75"/>
      <c r="E476" s="75"/>
      <c r="F476" s="75"/>
      <c r="G476" s="75"/>
      <c r="H476" s="75"/>
    </row>
    <row r="477" spans="3:8" ht="13.2">
      <c r="C477" s="75"/>
      <c r="D477" s="75"/>
      <c r="E477" s="75"/>
      <c r="F477" s="75"/>
      <c r="G477" s="75"/>
      <c r="H477" s="75"/>
    </row>
    <row r="478" spans="3:8" ht="13.2">
      <c r="C478" s="75"/>
      <c r="D478" s="75"/>
      <c r="E478" s="75"/>
      <c r="F478" s="75"/>
      <c r="G478" s="75"/>
      <c r="H478" s="75"/>
    </row>
    <row r="479" spans="3:8" ht="13.2">
      <c r="C479" s="75"/>
      <c r="D479" s="75"/>
      <c r="E479" s="75"/>
      <c r="F479" s="75"/>
      <c r="G479" s="75"/>
      <c r="H479" s="75"/>
    </row>
    <row r="480" spans="3:8" ht="13.2">
      <c r="C480" s="75"/>
      <c r="D480" s="75"/>
      <c r="E480" s="75"/>
      <c r="F480" s="75"/>
      <c r="G480" s="75"/>
      <c r="H480" s="75"/>
    </row>
    <row r="481" spans="3:8" ht="13.2">
      <c r="C481" s="75"/>
      <c r="D481" s="75"/>
      <c r="E481" s="75"/>
      <c r="F481" s="75"/>
      <c r="G481" s="75"/>
      <c r="H481" s="75"/>
    </row>
    <row r="482" spans="3:8" ht="13.2">
      <c r="C482" s="75"/>
      <c r="D482" s="75"/>
      <c r="E482" s="75"/>
      <c r="F482" s="75"/>
      <c r="G482" s="75"/>
      <c r="H482" s="75"/>
    </row>
    <row r="483" spans="3:8" ht="13.2">
      <c r="C483" s="75"/>
      <c r="D483" s="75"/>
      <c r="E483" s="75"/>
      <c r="F483" s="75"/>
      <c r="G483" s="75"/>
      <c r="H483" s="75"/>
    </row>
    <row r="484" spans="3:8" ht="13.2">
      <c r="C484" s="75"/>
      <c r="D484" s="75"/>
      <c r="E484" s="75"/>
      <c r="F484" s="75"/>
      <c r="G484" s="75"/>
      <c r="H484" s="75"/>
    </row>
    <row r="485" spans="3:8" ht="13.2">
      <c r="C485" s="75"/>
      <c r="D485" s="75"/>
      <c r="E485" s="75"/>
      <c r="F485" s="75"/>
      <c r="G485" s="75"/>
      <c r="H485" s="75"/>
    </row>
    <row r="486" spans="3:8" ht="13.2">
      <c r="C486" s="75"/>
      <c r="D486" s="75"/>
      <c r="E486" s="75"/>
      <c r="F486" s="75"/>
      <c r="G486" s="75"/>
      <c r="H486" s="75"/>
    </row>
    <row r="487" spans="3:8" ht="13.2">
      <c r="C487" s="75"/>
      <c r="D487" s="75"/>
      <c r="E487" s="75"/>
      <c r="F487" s="75"/>
      <c r="G487" s="75"/>
      <c r="H487" s="75"/>
    </row>
    <row r="488" spans="3:8" ht="13.2">
      <c r="C488" s="75"/>
      <c r="D488" s="75"/>
      <c r="E488" s="75"/>
      <c r="F488" s="75"/>
      <c r="G488" s="75"/>
      <c r="H488" s="75"/>
    </row>
    <row r="489" spans="3:8" ht="13.2">
      <c r="C489" s="75"/>
      <c r="D489" s="75"/>
      <c r="E489" s="75"/>
      <c r="F489" s="75"/>
      <c r="G489" s="75"/>
      <c r="H489" s="75"/>
    </row>
    <row r="490" spans="3:8" ht="13.2">
      <c r="C490" s="75"/>
      <c r="D490" s="75"/>
      <c r="E490" s="75"/>
      <c r="F490" s="75"/>
      <c r="G490" s="75"/>
      <c r="H490" s="75"/>
    </row>
    <row r="491" spans="3:8" ht="13.2">
      <c r="C491" s="75"/>
      <c r="D491" s="75"/>
      <c r="E491" s="75"/>
      <c r="F491" s="75"/>
      <c r="G491" s="75"/>
      <c r="H491" s="75"/>
    </row>
    <row r="492" spans="3:8" ht="13.2">
      <c r="C492" s="75"/>
      <c r="D492" s="75"/>
      <c r="E492" s="75"/>
      <c r="F492" s="75"/>
      <c r="G492" s="75"/>
      <c r="H492" s="75"/>
    </row>
    <row r="493" spans="3:8" ht="13.2">
      <c r="C493" s="75"/>
      <c r="D493" s="75"/>
      <c r="E493" s="75"/>
      <c r="F493" s="75"/>
      <c r="G493" s="75"/>
      <c r="H493" s="75"/>
    </row>
    <row r="494" spans="3:8" ht="13.2">
      <c r="C494" s="75"/>
      <c r="D494" s="75"/>
      <c r="E494" s="75"/>
      <c r="F494" s="75"/>
      <c r="G494" s="75"/>
      <c r="H494" s="75"/>
    </row>
    <row r="495" spans="3:8" ht="13.2">
      <c r="C495" s="75"/>
      <c r="D495" s="75"/>
      <c r="E495" s="75"/>
      <c r="F495" s="75"/>
      <c r="G495" s="75"/>
      <c r="H495" s="75"/>
    </row>
    <row r="496" spans="3:8" ht="13.2">
      <c r="C496" s="75"/>
      <c r="D496" s="75"/>
      <c r="E496" s="75"/>
      <c r="F496" s="75"/>
      <c r="G496" s="75"/>
      <c r="H496" s="75"/>
    </row>
    <row r="497" spans="3:8" ht="13.2">
      <c r="C497" s="75"/>
      <c r="D497" s="75"/>
      <c r="E497" s="75"/>
      <c r="F497" s="75"/>
      <c r="G497" s="75"/>
      <c r="H497" s="75"/>
    </row>
    <row r="498" spans="3:8" ht="13.2">
      <c r="C498" s="75"/>
      <c r="D498" s="75"/>
      <c r="E498" s="75"/>
      <c r="F498" s="75"/>
      <c r="G498" s="75"/>
      <c r="H498" s="75"/>
    </row>
    <row r="499" spans="3:8" ht="13.2">
      <c r="C499" s="75"/>
      <c r="D499" s="75"/>
      <c r="E499" s="75"/>
      <c r="F499" s="75"/>
      <c r="G499" s="75"/>
      <c r="H499" s="75"/>
    </row>
    <row r="500" spans="3:8" ht="13.2">
      <c r="C500" s="75"/>
      <c r="D500" s="75"/>
      <c r="E500" s="75"/>
      <c r="F500" s="75"/>
      <c r="G500" s="75"/>
      <c r="H500" s="75"/>
    </row>
    <row r="501" spans="3:8" ht="13.2">
      <c r="C501" s="75"/>
      <c r="D501" s="75"/>
      <c r="E501" s="75"/>
      <c r="F501" s="75"/>
      <c r="G501" s="75"/>
      <c r="H501" s="75"/>
    </row>
    <row r="502" spans="3:8" ht="13.2">
      <c r="C502" s="75"/>
      <c r="D502" s="75"/>
      <c r="E502" s="75"/>
      <c r="F502" s="75"/>
      <c r="G502" s="75"/>
      <c r="H502" s="75"/>
    </row>
    <row r="503" spans="3:8" ht="13.2">
      <c r="C503" s="75"/>
      <c r="D503" s="75"/>
      <c r="E503" s="75"/>
      <c r="F503" s="75"/>
      <c r="G503" s="75"/>
      <c r="H503" s="75"/>
    </row>
    <row r="504" spans="3:8" ht="13.2">
      <c r="C504" s="75"/>
      <c r="D504" s="75"/>
      <c r="E504" s="75"/>
      <c r="F504" s="75"/>
      <c r="G504" s="75"/>
      <c r="H504" s="75"/>
    </row>
    <row r="505" spans="3:8" ht="13.2">
      <c r="C505" s="75"/>
      <c r="D505" s="75"/>
      <c r="E505" s="75"/>
      <c r="F505" s="75"/>
      <c r="G505" s="75"/>
      <c r="H505" s="75"/>
    </row>
    <row r="506" spans="3:8" ht="13.2">
      <c r="C506" s="75"/>
      <c r="D506" s="75"/>
      <c r="E506" s="75"/>
      <c r="F506" s="75"/>
      <c r="G506" s="75"/>
      <c r="H506" s="75"/>
    </row>
    <row r="507" spans="3:8" ht="13.2">
      <c r="C507" s="75"/>
      <c r="D507" s="75"/>
      <c r="E507" s="75"/>
      <c r="F507" s="75"/>
      <c r="G507" s="75"/>
      <c r="H507" s="75"/>
    </row>
    <row r="508" spans="3:8" ht="13.2">
      <c r="C508" s="75"/>
      <c r="D508" s="75"/>
      <c r="E508" s="75"/>
      <c r="F508" s="75"/>
      <c r="G508" s="75"/>
      <c r="H508" s="75"/>
    </row>
    <row r="509" spans="3:8" ht="13.2">
      <c r="C509" s="75"/>
      <c r="D509" s="75"/>
      <c r="E509" s="75"/>
      <c r="F509" s="75"/>
      <c r="G509" s="75"/>
      <c r="H509" s="75"/>
    </row>
    <row r="510" spans="3:8" ht="13.2">
      <c r="C510" s="75"/>
      <c r="D510" s="75"/>
      <c r="E510" s="75"/>
      <c r="F510" s="75"/>
      <c r="G510" s="75"/>
      <c r="H510" s="75"/>
    </row>
    <row r="511" spans="3:8" ht="13.2">
      <c r="C511" s="75"/>
      <c r="D511" s="75"/>
      <c r="E511" s="75"/>
      <c r="F511" s="75"/>
      <c r="G511" s="75"/>
      <c r="H511" s="75"/>
    </row>
    <row r="512" spans="3:8" ht="13.2">
      <c r="C512" s="75"/>
      <c r="D512" s="75"/>
      <c r="E512" s="75"/>
      <c r="F512" s="75"/>
      <c r="G512" s="75"/>
      <c r="H512" s="75"/>
    </row>
    <row r="513" spans="3:8" ht="13.2">
      <c r="C513" s="75"/>
      <c r="D513" s="75"/>
      <c r="E513" s="75"/>
      <c r="F513" s="75"/>
      <c r="G513" s="75"/>
      <c r="H513" s="75"/>
    </row>
    <row r="514" spans="3:8" ht="13.2">
      <c r="C514" s="75"/>
      <c r="D514" s="75"/>
      <c r="E514" s="75"/>
      <c r="F514" s="75"/>
      <c r="G514" s="75"/>
      <c r="H514" s="75"/>
    </row>
    <row r="515" spans="3:8" ht="13.2">
      <c r="C515" s="75"/>
      <c r="D515" s="75"/>
      <c r="E515" s="75"/>
      <c r="F515" s="75"/>
      <c r="G515" s="75"/>
      <c r="H515" s="75"/>
    </row>
    <row r="516" spans="3:8" ht="13.2">
      <c r="C516" s="75"/>
      <c r="D516" s="75"/>
      <c r="E516" s="75"/>
      <c r="F516" s="75"/>
      <c r="G516" s="75"/>
      <c r="H516" s="75"/>
    </row>
    <row r="517" spans="3:8" ht="13.2">
      <c r="C517" s="75"/>
      <c r="D517" s="75"/>
      <c r="E517" s="75"/>
      <c r="F517" s="75"/>
      <c r="G517" s="75"/>
      <c r="H517" s="75"/>
    </row>
    <row r="518" spans="3:8" ht="13.2">
      <c r="C518" s="75"/>
      <c r="D518" s="75"/>
      <c r="E518" s="75"/>
      <c r="F518" s="75"/>
      <c r="G518" s="75"/>
      <c r="H518" s="75"/>
    </row>
    <row r="519" spans="3:8" ht="13.2">
      <c r="C519" s="75"/>
      <c r="D519" s="75"/>
      <c r="E519" s="75"/>
      <c r="F519" s="75"/>
      <c r="G519" s="75"/>
      <c r="H519" s="75"/>
    </row>
    <row r="520" spans="3:8" ht="13.2">
      <c r="C520" s="75"/>
      <c r="D520" s="75"/>
      <c r="E520" s="75"/>
      <c r="F520" s="75"/>
      <c r="G520" s="75"/>
      <c r="H520" s="75"/>
    </row>
    <row r="521" spans="3:8" ht="13.2">
      <c r="C521" s="75"/>
      <c r="D521" s="75"/>
      <c r="E521" s="75"/>
      <c r="F521" s="75"/>
      <c r="G521" s="75"/>
      <c r="H521" s="75"/>
    </row>
    <row r="522" spans="3:8" ht="13.2">
      <c r="C522" s="75"/>
      <c r="D522" s="75"/>
      <c r="E522" s="75"/>
      <c r="F522" s="75"/>
      <c r="G522" s="75"/>
      <c r="H522" s="75"/>
    </row>
    <row r="523" spans="3:8" ht="13.2">
      <c r="C523" s="75"/>
      <c r="D523" s="75"/>
      <c r="E523" s="75"/>
      <c r="F523" s="75"/>
      <c r="G523" s="75"/>
      <c r="H523" s="75"/>
    </row>
    <row r="524" spans="3:8" ht="13.2">
      <c r="C524" s="75"/>
      <c r="D524" s="75"/>
      <c r="E524" s="75"/>
      <c r="F524" s="75"/>
      <c r="G524" s="75"/>
      <c r="H524" s="75"/>
    </row>
    <row r="525" spans="3:8" ht="13.2">
      <c r="C525" s="75"/>
      <c r="D525" s="75"/>
      <c r="E525" s="75"/>
      <c r="F525" s="75"/>
      <c r="G525" s="75"/>
      <c r="H525" s="75"/>
    </row>
    <row r="526" spans="3:8" ht="13.2">
      <c r="C526" s="75"/>
      <c r="D526" s="75"/>
      <c r="E526" s="75"/>
      <c r="F526" s="75"/>
      <c r="G526" s="75"/>
      <c r="H526" s="75"/>
    </row>
    <row r="527" spans="3:8" ht="13.2">
      <c r="C527" s="75"/>
      <c r="D527" s="75"/>
      <c r="E527" s="75"/>
      <c r="F527" s="75"/>
      <c r="G527" s="75"/>
      <c r="H527" s="75"/>
    </row>
    <row r="528" spans="3:8" ht="13.2">
      <c r="C528" s="75"/>
      <c r="D528" s="75"/>
      <c r="E528" s="75"/>
      <c r="F528" s="75"/>
      <c r="G528" s="75"/>
      <c r="H528" s="75"/>
    </row>
    <row r="529" spans="3:8" ht="13.2">
      <c r="C529" s="75"/>
      <c r="D529" s="75"/>
      <c r="E529" s="75"/>
      <c r="F529" s="75"/>
      <c r="G529" s="75"/>
      <c r="H529" s="75"/>
    </row>
    <row r="530" spans="3:8" ht="13.2">
      <c r="C530" s="75"/>
      <c r="D530" s="75"/>
      <c r="E530" s="75"/>
      <c r="F530" s="75"/>
      <c r="G530" s="75"/>
      <c r="H530" s="75"/>
    </row>
    <row r="531" spans="3:8" ht="13.2">
      <c r="C531" s="75"/>
      <c r="D531" s="75"/>
      <c r="E531" s="75"/>
      <c r="F531" s="75"/>
      <c r="G531" s="75"/>
      <c r="H531" s="75"/>
    </row>
    <row r="532" spans="3:8" ht="13.2">
      <c r="C532" s="75"/>
      <c r="D532" s="75"/>
      <c r="E532" s="75"/>
      <c r="F532" s="75"/>
      <c r="G532" s="75"/>
      <c r="H532" s="75"/>
    </row>
    <row r="533" spans="3:8" ht="13.2">
      <c r="C533" s="75"/>
      <c r="D533" s="75"/>
      <c r="E533" s="75"/>
      <c r="F533" s="75"/>
      <c r="G533" s="75"/>
      <c r="H533" s="75"/>
    </row>
    <row r="534" spans="3:8" ht="13.2">
      <c r="C534" s="75"/>
      <c r="D534" s="75"/>
      <c r="E534" s="75"/>
      <c r="F534" s="75"/>
      <c r="G534" s="75"/>
      <c r="H534" s="75"/>
    </row>
    <row r="535" spans="3:8" ht="13.2">
      <c r="C535" s="75"/>
      <c r="D535" s="75"/>
      <c r="E535" s="75"/>
      <c r="F535" s="75"/>
      <c r="G535" s="75"/>
      <c r="H535" s="75"/>
    </row>
    <row r="536" spans="3:8" ht="13.2">
      <c r="C536" s="75"/>
      <c r="D536" s="75"/>
      <c r="E536" s="75"/>
      <c r="F536" s="75"/>
      <c r="G536" s="75"/>
      <c r="H536" s="75"/>
    </row>
    <row r="537" spans="3:8" ht="13.2">
      <c r="C537" s="75"/>
      <c r="D537" s="75"/>
      <c r="E537" s="75"/>
      <c r="F537" s="75"/>
      <c r="G537" s="75"/>
      <c r="H537" s="75"/>
    </row>
    <row r="538" spans="3:8" ht="13.2">
      <c r="C538" s="75"/>
      <c r="D538" s="75"/>
      <c r="E538" s="75"/>
      <c r="F538" s="75"/>
      <c r="G538" s="75"/>
      <c r="H538" s="75"/>
    </row>
    <row r="539" spans="3:8" ht="13.2">
      <c r="C539" s="75"/>
      <c r="D539" s="75"/>
      <c r="E539" s="75"/>
      <c r="F539" s="75"/>
      <c r="G539" s="75"/>
      <c r="H539" s="75"/>
    </row>
    <row r="540" spans="3:8" ht="13.2">
      <c r="C540" s="75"/>
      <c r="D540" s="75"/>
      <c r="E540" s="75"/>
      <c r="F540" s="75"/>
      <c r="G540" s="75"/>
      <c r="H540" s="75"/>
    </row>
    <row r="541" spans="3:8" ht="13.2">
      <c r="C541" s="75"/>
      <c r="D541" s="75"/>
      <c r="E541" s="75"/>
      <c r="F541" s="75"/>
      <c r="G541" s="75"/>
      <c r="H541" s="75"/>
    </row>
    <row r="542" spans="3:8" ht="13.2">
      <c r="C542" s="75"/>
      <c r="D542" s="75"/>
      <c r="E542" s="75"/>
      <c r="F542" s="75"/>
      <c r="G542" s="75"/>
      <c r="H542" s="75"/>
    </row>
    <row r="543" spans="3:8" ht="13.2">
      <c r="C543" s="75"/>
      <c r="D543" s="75"/>
      <c r="E543" s="75"/>
      <c r="F543" s="75"/>
      <c r="G543" s="75"/>
      <c r="H543" s="75"/>
    </row>
    <row r="544" spans="3:8" ht="13.2">
      <c r="C544" s="75"/>
      <c r="D544" s="75"/>
      <c r="E544" s="75"/>
      <c r="F544" s="75"/>
      <c r="G544" s="75"/>
      <c r="H544" s="75"/>
    </row>
    <row r="545" spans="3:8" ht="13.2">
      <c r="C545" s="75"/>
      <c r="D545" s="75"/>
      <c r="E545" s="75"/>
      <c r="F545" s="75"/>
      <c r="G545" s="75"/>
      <c r="H545" s="75"/>
    </row>
    <row r="546" spans="3:8" ht="13.2">
      <c r="C546" s="75"/>
      <c r="D546" s="75"/>
      <c r="E546" s="75"/>
      <c r="F546" s="75"/>
      <c r="G546" s="75"/>
      <c r="H546" s="75"/>
    </row>
    <row r="547" spans="3:8" ht="13.2">
      <c r="C547" s="75"/>
      <c r="D547" s="75"/>
      <c r="E547" s="75"/>
      <c r="F547" s="75"/>
      <c r="G547" s="75"/>
      <c r="H547" s="75"/>
    </row>
    <row r="548" spans="3:8" ht="13.2">
      <c r="C548" s="75"/>
      <c r="D548" s="75"/>
      <c r="E548" s="75"/>
      <c r="F548" s="75"/>
      <c r="G548" s="75"/>
      <c r="H548" s="75"/>
    </row>
    <row r="549" spans="3:8" ht="13.2">
      <c r="C549" s="75"/>
      <c r="D549" s="75"/>
      <c r="E549" s="75"/>
      <c r="F549" s="75"/>
      <c r="G549" s="75"/>
      <c r="H549" s="75"/>
    </row>
    <row r="550" spans="3:8" ht="13.2">
      <c r="C550" s="75"/>
      <c r="D550" s="75"/>
      <c r="E550" s="75"/>
      <c r="F550" s="75"/>
      <c r="G550" s="75"/>
      <c r="H550" s="75"/>
    </row>
    <row r="551" spans="3:8" ht="13.2">
      <c r="C551" s="75"/>
      <c r="D551" s="75"/>
      <c r="E551" s="75"/>
      <c r="F551" s="75"/>
      <c r="G551" s="75"/>
      <c r="H551" s="75"/>
    </row>
    <row r="552" spans="3:8" ht="13.2">
      <c r="C552" s="75"/>
      <c r="D552" s="75"/>
      <c r="E552" s="75"/>
      <c r="F552" s="75"/>
      <c r="G552" s="75"/>
      <c r="H552" s="75"/>
    </row>
    <row r="553" spans="3:8" ht="13.2">
      <c r="C553" s="75"/>
      <c r="D553" s="75"/>
      <c r="E553" s="75"/>
      <c r="F553" s="75"/>
      <c r="G553" s="75"/>
      <c r="H553" s="75"/>
    </row>
    <row r="554" spans="3:8" ht="13.2">
      <c r="C554" s="75"/>
      <c r="D554" s="75"/>
      <c r="E554" s="75"/>
      <c r="F554" s="75"/>
      <c r="G554" s="75"/>
      <c r="H554" s="75"/>
    </row>
    <row r="555" spans="3:8" ht="13.2">
      <c r="C555" s="75"/>
      <c r="D555" s="75"/>
      <c r="E555" s="75"/>
      <c r="F555" s="75"/>
      <c r="G555" s="75"/>
      <c r="H555" s="75"/>
    </row>
    <row r="556" spans="3:8" ht="13.2">
      <c r="C556" s="75"/>
      <c r="D556" s="75"/>
      <c r="E556" s="75"/>
      <c r="F556" s="75"/>
      <c r="G556" s="75"/>
      <c r="H556" s="75"/>
    </row>
    <row r="557" spans="3:8" ht="13.2">
      <c r="C557" s="75"/>
      <c r="D557" s="75"/>
      <c r="E557" s="75"/>
      <c r="F557" s="75"/>
      <c r="G557" s="75"/>
      <c r="H557" s="75"/>
    </row>
    <row r="558" spans="3:8" ht="13.2">
      <c r="C558" s="75"/>
      <c r="D558" s="75"/>
      <c r="E558" s="75"/>
      <c r="F558" s="75"/>
      <c r="G558" s="75"/>
      <c r="H558" s="75"/>
    </row>
    <row r="559" spans="3:8" ht="13.2">
      <c r="C559" s="75"/>
      <c r="D559" s="75"/>
      <c r="E559" s="75"/>
      <c r="F559" s="75"/>
      <c r="G559" s="75"/>
      <c r="H559" s="75"/>
    </row>
    <row r="560" spans="3:8" ht="13.2">
      <c r="C560" s="75"/>
      <c r="D560" s="75"/>
      <c r="E560" s="75"/>
      <c r="F560" s="75"/>
      <c r="G560" s="75"/>
      <c r="H560" s="75"/>
    </row>
    <row r="561" spans="3:8" ht="13.2">
      <c r="C561" s="75"/>
      <c r="D561" s="75"/>
      <c r="E561" s="75"/>
      <c r="F561" s="75"/>
      <c r="G561" s="75"/>
      <c r="H561" s="75"/>
    </row>
    <row r="562" spans="3:8" ht="13.2">
      <c r="C562" s="75"/>
      <c r="D562" s="75"/>
      <c r="E562" s="75"/>
      <c r="F562" s="75"/>
      <c r="G562" s="75"/>
      <c r="H562" s="75"/>
    </row>
    <row r="563" spans="3:8" ht="13.2">
      <c r="C563" s="75"/>
      <c r="D563" s="75"/>
      <c r="E563" s="75"/>
      <c r="F563" s="75"/>
      <c r="G563" s="75"/>
      <c r="H563" s="75"/>
    </row>
    <row r="564" spans="3:8" ht="13.2">
      <c r="C564" s="75"/>
      <c r="D564" s="75"/>
      <c r="E564" s="75"/>
      <c r="F564" s="75"/>
      <c r="G564" s="75"/>
      <c r="H564" s="75"/>
    </row>
    <row r="565" spans="3:8" ht="13.2">
      <c r="C565" s="75"/>
      <c r="D565" s="75"/>
      <c r="E565" s="75"/>
      <c r="F565" s="75"/>
      <c r="G565" s="75"/>
      <c r="H565" s="75"/>
    </row>
    <row r="566" spans="3:8" ht="13.2">
      <c r="C566" s="75"/>
      <c r="D566" s="75"/>
      <c r="E566" s="75"/>
      <c r="F566" s="75"/>
      <c r="G566" s="75"/>
      <c r="H566" s="75"/>
    </row>
    <row r="567" spans="3:8" ht="13.2">
      <c r="C567" s="75"/>
      <c r="D567" s="75"/>
      <c r="E567" s="75"/>
      <c r="F567" s="75"/>
      <c r="G567" s="75"/>
      <c r="H567" s="75"/>
    </row>
    <row r="568" spans="3:8" ht="13.2">
      <c r="C568" s="75"/>
      <c r="D568" s="75"/>
      <c r="E568" s="75"/>
      <c r="F568" s="75"/>
      <c r="G568" s="75"/>
      <c r="H568" s="75"/>
    </row>
    <row r="569" spans="3:8" ht="13.2">
      <c r="C569" s="75"/>
      <c r="D569" s="75"/>
      <c r="E569" s="75"/>
      <c r="F569" s="75"/>
      <c r="G569" s="75"/>
      <c r="H569" s="75"/>
    </row>
    <row r="570" spans="3:8" ht="13.2">
      <c r="C570" s="75"/>
      <c r="D570" s="75"/>
      <c r="E570" s="75"/>
      <c r="F570" s="75"/>
      <c r="G570" s="75"/>
      <c r="H570" s="75"/>
    </row>
    <row r="571" spans="3:8" ht="13.2">
      <c r="C571" s="75"/>
      <c r="D571" s="75"/>
      <c r="E571" s="75"/>
      <c r="F571" s="75"/>
      <c r="G571" s="75"/>
      <c r="H571" s="75"/>
    </row>
    <row r="572" spans="3:8" ht="13.2">
      <c r="C572" s="75"/>
      <c r="D572" s="75"/>
      <c r="E572" s="75"/>
      <c r="F572" s="75"/>
      <c r="G572" s="75"/>
      <c r="H572" s="75"/>
    </row>
    <row r="573" spans="3:8" ht="13.2">
      <c r="C573" s="75"/>
      <c r="D573" s="75"/>
      <c r="E573" s="75"/>
      <c r="F573" s="75"/>
      <c r="G573" s="75"/>
      <c r="H573" s="75"/>
    </row>
    <row r="574" spans="3:8" ht="13.2">
      <c r="C574" s="75"/>
      <c r="D574" s="75"/>
      <c r="E574" s="75"/>
      <c r="F574" s="75"/>
      <c r="G574" s="75"/>
      <c r="H574" s="75"/>
    </row>
    <row r="575" spans="3:8" ht="13.2">
      <c r="C575" s="75"/>
      <c r="D575" s="75"/>
      <c r="E575" s="75"/>
      <c r="F575" s="75"/>
      <c r="G575" s="75"/>
      <c r="H575" s="75"/>
    </row>
    <row r="576" spans="3:8" ht="13.2">
      <c r="C576" s="75"/>
      <c r="D576" s="75"/>
      <c r="E576" s="75"/>
      <c r="F576" s="75"/>
      <c r="G576" s="75"/>
      <c r="H576" s="75"/>
    </row>
    <row r="577" spans="3:8" ht="13.2">
      <c r="C577" s="75"/>
      <c r="D577" s="75"/>
      <c r="E577" s="75"/>
      <c r="F577" s="75"/>
      <c r="G577" s="75"/>
      <c r="H577" s="75"/>
    </row>
    <row r="578" spans="3:8" ht="13.2">
      <c r="C578" s="75"/>
      <c r="D578" s="75"/>
      <c r="E578" s="75"/>
      <c r="F578" s="75"/>
      <c r="G578" s="75"/>
      <c r="H578" s="75"/>
    </row>
    <row r="579" spans="3:8" ht="13.2">
      <c r="C579" s="75"/>
      <c r="D579" s="75"/>
      <c r="E579" s="75"/>
      <c r="F579" s="75"/>
      <c r="G579" s="75"/>
      <c r="H579" s="75"/>
    </row>
    <row r="580" spans="3:8" ht="13.2">
      <c r="C580" s="75"/>
      <c r="D580" s="75"/>
      <c r="E580" s="75"/>
      <c r="F580" s="75"/>
      <c r="G580" s="75"/>
      <c r="H580" s="75"/>
    </row>
    <row r="581" spans="3:8" ht="13.2">
      <c r="C581" s="75"/>
      <c r="D581" s="75"/>
      <c r="E581" s="75"/>
      <c r="F581" s="75"/>
      <c r="G581" s="75"/>
      <c r="H581" s="75"/>
    </row>
    <row r="582" spans="3:8" ht="13.2">
      <c r="C582" s="75"/>
      <c r="D582" s="75"/>
      <c r="E582" s="75"/>
      <c r="F582" s="75"/>
      <c r="G582" s="75"/>
      <c r="H582" s="75"/>
    </row>
    <row r="583" spans="3:8" ht="13.2">
      <c r="C583" s="75"/>
      <c r="D583" s="75"/>
      <c r="E583" s="75"/>
      <c r="F583" s="75"/>
      <c r="G583" s="75"/>
      <c r="H583" s="75"/>
    </row>
    <row r="584" spans="3:8" ht="13.2">
      <c r="C584" s="75"/>
      <c r="D584" s="75"/>
      <c r="E584" s="75"/>
      <c r="F584" s="75"/>
      <c r="G584" s="75"/>
      <c r="H584" s="75"/>
    </row>
    <row r="585" spans="3:8" ht="13.2">
      <c r="C585" s="75"/>
      <c r="D585" s="75"/>
      <c r="E585" s="75"/>
      <c r="F585" s="75"/>
      <c r="G585" s="75"/>
      <c r="H585" s="75"/>
    </row>
    <row r="586" spans="3:8" ht="13.2">
      <c r="C586" s="75"/>
      <c r="D586" s="75"/>
      <c r="E586" s="75"/>
      <c r="F586" s="75"/>
      <c r="G586" s="75"/>
      <c r="H586" s="75"/>
    </row>
    <row r="587" spans="3:8" ht="13.2">
      <c r="C587" s="75"/>
      <c r="D587" s="75"/>
      <c r="E587" s="75"/>
      <c r="F587" s="75"/>
      <c r="G587" s="75"/>
      <c r="H587" s="75"/>
    </row>
    <row r="588" spans="3:8" ht="13.2">
      <c r="C588" s="75"/>
      <c r="D588" s="75"/>
      <c r="E588" s="75"/>
      <c r="F588" s="75"/>
      <c r="G588" s="75"/>
      <c r="H588" s="75"/>
    </row>
    <row r="589" spans="3:8" ht="13.2">
      <c r="C589" s="75"/>
      <c r="D589" s="75"/>
      <c r="E589" s="75"/>
      <c r="F589" s="75"/>
      <c r="G589" s="75"/>
      <c r="H589" s="75"/>
    </row>
    <row r="590" spans="3:8" ht="13.2">
      <c r="C590" s="75"/>
      <c r="D590" s="75"/>
      <c r="E590" s="75"/>
      <c r="F590" s="75"/>
      <c r="G590" s="75"/>
      <c r="H590" s="75"/>
    </row>
    <row r="591" spans="3:8" ht="13.2">
      <c r="C591" s="75"/>
      <c r="D591" s="75"/>
      <c r="E591" s="75"/>
      <c r="F591" s="75"/>
      <c r="G591" s="75"/>
      <c r="H591" s="75"/>
    </row>
    <row r="592" spans="3:8" ht="13.2">
      <c r="C592" s="75"/>
      <c r="D592" s="75"/>
      <c r="E592" s="75"/>
      <c r="F592" s="75"/>
      <c r="G592" s="75"/>
      <c r="H592" s="75"/>
    </row>
    <row r="593" spans="3:8" ht="13.2">
      <c r="C593" s="75"/>
      <c r="D593" s="75"/>
      <c r="E593" s="75"/>
      <c r="F593" s="75"/>
      <c r="G593" s="75"/>
      <c r="H593" s="75"/>
    </row>
    <row r="594" spans="3:8" ht="13.2">
      <c r="C594" s="75"/>
      <c r="D594" s="75"/>
      <c r="E594" s="75"/>
      <c r="F594" s="75"/>
      <c r="G594" s="75"/>
      <c r="H594" s="75"/>
    </row>
    <row r="595" spans="3:8" ht="13.2">
      <c r="C595" s="75"/>
      <c r="D595" s="75"/>
      <c r="E595" s="75"/>
      <c r="F595" s="75"/>
      <c r="G595" s="75"/>
      <c r="H595" s="75"/>
    </row>
    <row r="596" spans="3:8" ht="13.2">
      <c r="C596" s="75"/>
      <c r="D596" s="75"/>
      <c r="E596" s="75"/>
      <c r="F596" s="75"/>
      <c r="G596" s="75"/>
      <c r="H596" s="75"/>
    </row>
    <row r="597" spans="3:8" ht="13.2">
      <c r="C597" s="75"/>
      <c r="D597" s="75"/>
      <c r="E597" s="75"/>
      <c r="F597" s="75"/>
      <c r="G597" s="75"/>
      <c r="H597" s="75"/>
    </row>
    <row r="598" spans="3:8" ht="13.2">
      <c r="C598" s="75"/>
      <c r="D598" s="75"/>
      <c r="E598" s="75"/>
      <c r="F598" s="75"/>
      <c r="G598" s="75"/>
      <c r="H598" s="75"/>
    </row>
    <row r="599" spans="3:8" ht="13.2">
      <c r="C599" s="75"/>
      <c r="D599" s="75"/>
      <c r="E599" s="75"/>
      <c r="F599" s="75"/>
      <c r="G599" s="75"/>
      <c r="H599" s="75"/>
    </row>
    <row r="600" spans="3:8" ht="13.2">
      <c r="C600" s="75"/>
      <c r="D600" s="75"/>
      <c r="E600" s="75"/>
      <c r="F600" s="75"/>
      <c r="G600" s="75"/>
      <c r="H600" s="75"/>
    </row>
    <row r="601" spans="3:8" ht="13.2">
      <c r="C601" s="75"/>
      <c r="D601" s="75"/>
      <c r="E601" s="75"/>
      <c r="F601" s="75"/>
      <c r="G601" s="75"/>
      <c r="H601" s="75"/>
    </row>
    <row r="602" spans="3:8" ht="13.2">
      <c r="C602" s="75"/>
      <c r="D602" s="75"/>
      <c r="E602" s="75"/>
      <c r="F602" s="75"/>
      <c r="G602" s="75"/>
      <c r="H602" s="75"/>
    </row>
    <row r="603" spans="3:8" ht="13.2">
      <c r="C603" s="75"/>
      <c r="D603" s="75"/>
      <c r="E603" s="75"/>
      <c r="F603" s="75"/>
      <c r="G603" s="75"/>
      <c r="H603" s="75"/>
    </row>
    <row r="604" spans="3:8" ht="13.2">
      <c r="C604" s="75"/>
      <c r="D604" s="75"/>
      <c r="E604" s="75"/>
      <c r="F604" s="75"/>
      <c r="G604" s="75"/>
      <c r="H604" s="75"/>
    </row>
    <row r="605" spans="3:8" ht="13.2">
      <c r="C605" s="75"/>
      <c r="D605" s="75"/>
      <c r="E605" s="75"/>
      <c r="F605" s="75"/>
      <c r="G605" s="75"/>
      <c r="H605" s="75"/>
    </row>
    <row r="606" spans="3:8" ht="13.2">
      <c r="C606" s="75"/>
      <c r="D606" s="75"/>
      <c r="E606" s="75"/>
      <c r="F606" s="75"/>
      <c r="G606" s="75"/>
      <c r="H606" s="75"/>
    </row>
    <row r="607" spans="3:8" ht="13.2">
      <c r="C607" s="75"/>
      <c r="D607" s="75"/>
      <c r="E607" s="75"/>
      <c r="F607" s="75"/>
      <c r="G607" s="75"/>
      <c r="H607" s="75"/>
    </row>
    <row r="608" spans="3:8" ht="13.2">
      <c r="C608" s="75"/>
      <c r="D608" s="75"/>
      <c r="E608" s="75"/>
      <c r="F608" s="75"/>
      <c r="G608" s="75"/>
      <c r="H608" s="75"/>
    </row>
    <row r="609" spans="3:8" ht="13.2">
      <c r="C609" s="75"/>
      <c r="D609" s="75"/>
      <c r="E609" s="75"/>
      <c r="F609" s="75"/>
      <c r="G609" s="75"/>
      <c r="H609" s="75"/>
    </row>
    <row r="610" spans="3:8" ht="13.2">
      <c r="C610" s="75"/>
      <c r="D610" s="75"/>
      <c r="E610" s="75"/>
      <c r="F610" s="75"/>
      <c r="G610" s="75"/>
      <c r="H610" s="75"/>
    </row>
    <row r="611" spans="3:8" ht="13.2">
      <c r="C611" s="75"/>
      <c r="D611" s="75"/>
      <c r="E611" s="75"/>
      <c r="F611" s="75"/>
      <c r="G611" s="75"/>
      <c r="H611" s="75"/>
    </row>
    <row r="612" spans="3:8" ht="13.2">
      <c r="C612" s="75"/>
      <c r="D612" s="75"/>
      <c r="E612" s="75"/>
      <c r="F612" s="75"/>
      <c r="G612" s="75"/>
      <c r="H612" s="75"/>
    </row>
    <row r="613" spans="3:8" ht="13.2">
      <c r="C613" s="75"/>
      <c r="D613" s="75"/>
      <c r="E613" s="75"/>
      <c r="F613" s="75"/>
      <c r="G613" s="75"/>
      <c r="H613" s="75"/>
    </row>
    <row r="614" spans="3:8" ht="13.2">
      <c r="C614" s="75"/>
      <c r="D614" s="75"/>
      <c r="E614" s="75"/>
      <c r="F614" s="75"/>
      <c r="G614" s="75"/>
      <c r="H614" s="75"/>
    </row>
    <row r="615" spans="3:8" ht="13.2">
      <c r="C615" s="75"/>
      <c r="D615" s="75"/>
      <c r="E615" s="75"/>
      <c r="F615" s="75"/>
      <c r="G615" s="75"/>
      <c r="H615" s="75"/>
    </row>
    <row r="616" spans="3:8" ht="13.2">
      <c r="C616" s="75"/>
      <c r="D616" s="75"/>
      <c r="E616" s="75"/>
      <c r="F616" s="75"/>
      <c r="G616" s="75"/>
      <c r="H616" s="75"/>
    </row>
    <row r="617" spans="3:8" ht="13.2">
      <c r="C617" s="75"/>
      <c r="D617" s="75"/>
      <c r="E617" s="75"/>
      <c r="F617" s="75"/>
      <c r="G617" s="75"/>
      <c r="H617" s="75"/>
    </row>
    <row r="618" spans="3:8" ht="13.2">
      <c r="C618" s="75"/>
      <c r="D618" s="75"/>
      <c r="E618" s="75"/>
      <c r="F618" s="75"/>
      <c r="G618" s="75"/>
      <c r="H618" s="75"/>
    </row>
    <row r="619" spans="3:8" ht="13.2">
      <c r="C619" s="75"/>
      <c r="D619" s="75"/>
      <c r="E619" s="75"/>
      <c r="F619" s="75"/>
      <c r="G619" s="75"/>
      <c r="H619" s="75"/>
    </row>
    <row r="620" spans="3:8" ht="13.2">
      <c r="C620" s="75"/>
      <c r="D620" s="75"/>
      <c r="E620" s="75"/>
      <c r="F620" s="75"/>
      <c r="G620" s="75"/>
      <c r="H620" s="75"/>
    </row>
    <row r="621" spans="3:8" ht="13.2">
      <c r="C621" s="75"/>
      <c r="D621" s="75"/>
      <c r="E621" s="75"/>
      <c r="F621" s="75"/>
      <c r="G621" s="75"/>
      <c r="H621" s="75"/>
    </row>
    <row r="622" spans="3:8" ht="13.2">
      <c r="C622" s="75"/>
      <c r="D622" s="75"/>
      <c r="E622" s="75"/>
      <c r="F622" s="75"/>
      <c r="G622" s="75"/>
      <c r="H622" s="75"/>
    </row>
    <row r="623" spans="3:8" ht="13.2">
      <c r="C623" s="75"/>
      <c r="D623" s="75"/>
      <c r="E623" s="75"/>
      <c r="F623" s="75"/>
      <c r="G623" s="75"/>
      <c r="H623" s="75"/>
    </row>
    <row r="624" spans="3:8" ht="13.2">
      <c r="C624" s="75"/>
      <c r="D624" s="75"/>
      <c r="E624" s="75"/>
      <c r="F624" s="75"/>
      <c r="G624" s="75"/>
      <c r="H624" s="75"/>
    </row>
    <row r="625" spans="3:8" ht="13.2">
      <c r="C625" s="75"/>
      <c r="D625" s="75"/>
      <c r="E625" s="75"/>
      <c r="F625" s="75"/>
      <c r="G625" s="75"/>
      <c r="H625" s="75"/>
    </row>
    <row r="626" spans="3:8" ht="13.2">
      <c r="C626" s="75"/>
      <c r="D626" s="75"/>
      <c r="E626" s="75"/>
      <c r="F626" s="75"/>
      <c r="G626" s="75"/>
      <c r="H626" s="75"/>
    </row>
    <row r="627" spans="3:8" ht="13.2">
      <c r="C627" s="75"/>
      <c r="D627" s="75"/>
      <c r="E627" s="75"/>
      <c r="F627" s="75"/>
      <c r="G627" s="75"/>
      <c r="H627" s="75"/>
    </row>
    <row r="628" spans="3:8" ht="13.2">
      <c r="C628" s="75"/>
      <c r="D628" s="75"/>
      <c r="E628" s="75"/>
      <c r="F628" s="75"/>
      <c r="G628" s="75"/>
      <c r="H628" s="75"/>
    </row>
    <row r="629" spans="3:8" ht="13.2">
      <c r="C629" s="75"/>
      <c r="D629" s="75"/>
      <c r="E629" s="75"/>
      <c r="F629" s="75"/>
      <c r="G629" s="75"/>
      <c r="H629" s="75"/>
    </row>
    <row r="630" spans="3:8" ht="13.2">
      <c r="C630" s="75"/>
      <c r="D630" s="75"/>
      <c r="E630" s="75"/>
      <c r="F630" s="75"/>
      <c r="G630" s="75"/>
      <c r="H630" s="75"/>
    </row>
    <row r="631" spans="3:8" ht="13.2">
      <c r="C631" s="75"/>
      <c r="D631" s="75"/>
      <c r="E631" s="75"/>
      <c r="F631" s="75"/>
      <c r="G631" s="75"/>
      <c r="H631" s="75"/>
    </row>
    <row r="632" spans="3:8" ht="13.2">
      <c r="C632" s="75"/>
      <c r="D632" s="75"/>
      <c r="E632" s="75"/>
      <c r="F632" s="75"/>
      <c r="G632" s="75"/>
      <c r="H632" s="75"/>
    </row>
    <row r="633" spans="3:8" ht="13.2">
      <c r="C633" s="75"/>
      <c r="D633" s="75"/>
      <c r="E633" s="75"/>
      <c r="F633" s="75"/>
      <c r="G633" s="75"/>
      <c r="H633" s="75"/>
    </row>
    <row r="634" spans="3:8" ht="13.2">
      <c r="C634" s="75"/>
      <c r="D634" s="75"/>
      <c r="E634" s="75"/>
      <c r="F634" s="75"/>
      <c r="G634" s="75"/>
      <c r="H634" s="75"/>
    </row>
    <row r="635" spans="3:8" ht="13.2">
      <c r="C635" s="75"/>
      <c r="D635" s="75"/>
      <c r="E635" s="75"/>
      <c r="F635" s="75"/>
      <c r="G635" s="75"/>
      <c r="H635" s="75"/>
    </row>
    <row r="636" spans="3:8" ht="13.2">
      <c r="C636" s="75"/>
      <c r="D636" s="75"/>
      <c r="E636" s="75"/>
      <c r="F636" s="75"/>
      <c r="G636" s="75"/>
      <c r="H636" s="75"/>
    </row>
    <row r="637" spans="3:8" ht="13.2">
      <c r="C637" s="75"/>
      <c r="D637" s="75"/>
      <c r="E637" s="75"/>
      <c r="F637" s="75"/>
      <c r="G637" s="75"/>
      <c r="H637" s="75"/>
    </row>
    <row r="638" spans="3:8" ht="13.2">
      <c r="C638" s="75"/>
      <c r="D638" s="75"/>
      <c r="E638" s="75"/>
      <c r="F638" s="75"/>
      <c r="G638" s="75"/>
      <c r="H638" s="75"/>
    </row>
    <row r="639" spans="3:8" ht="13.2">
      <c r="C639" s="75"/>
      <c r="D639" s="75"/>
      <c r="E639" s="75"/>
      <c r="F639" s="75"/>
      <c r="G639" s="75"/>
      <c r="H639" s="75"/>
    </row>
    <row r="640" spans="3:8" ht="13.2">
      <c r="C640" s="75"/>
      <c r="D640" s="75"/>
      <c r="E640" s="75"/>
      <c r="F640" s="75"/>
      <c r="G640" s="75"/>
      <c r="H640" s="75"/>
    </row>
    <row r="641" spans="3:8" ht="13.2">
      <c r="C641" s="75"/>
      <c r="D641" s="75"/>
      <c r="E641" s="75"/>
      <c r="F641" s="75"/>
      <c r="G641" s="75"/>
      <c r="H641" s="75"/>
    </row>
    <row r="642" spans="3:8" ht="13.2">
      <c r="C642" s="75"/>
      <c r="D642" s="75"/>
      <c r="E642" s="75"/>
      <c r="F642" s="75"/>
      <c r="G642" s="75"/>
      <c r="H642" s="75"/>
    </row>
    <row r="643" spans="3:8" ht="13.2">
      <c r="C643" s="75"/>
      <c r="D643" s="75"/>
      <c r="E643" s="75"/>
      <c r="F643" s="75"/>
      <c r="G643" s="75"/>
      <c r="H643" s="75"/>
    </row>
    <row r="644" spans="3:8" ht="13.2">
      <c r="C644" s="75"/>
      <c r="D644" s="75"/>
      <c r="E644" s="75"/>
      <c r="F644" s="75"/>
      <c r="G644" s="75"/>
      <c r="H644" s="75"/>
    </row>
    <row r="645" spans="3:8" ht="13.2">
      <c r="C645" s="75"/>
      <c r="D645" s="75"/>
      <c r="E645" s="75"/>
      <c r="F645" s="75"/>
      <c r="G645" s="75"/>
      <c r="H645" s="75"/>
    </row>
    <row r="646" spans="3:8" ht="13.2">
      <c r="C646" s="75"/>
      <c r="D646" s="75"/>
      <c r="E646" s="75"/>
      <c r="F646" s="75"/>
      <c r="G646" s="75"/>
      <c r="H646" s="75"/>
    </row>
    <row r="647" spans="3:8" ht="13.2">
      <c r="C647" s="75"/>
      <c r="D647" s="75"/>
      <c r="E647" s="75"/>
      <c r="F647" s="75"/>
      <c r="G647" s="75"/>
      <c r="H647" s="75"/>
    </row>
    <row r="648" spans="3:8" ht="13.2">
      <c r="C648" s="75"/>
      <c r="D648" s="75"/>
      <c r="E648" s="75"/>
      <c r="F648" s="75"/>
      <c r="G648" s="75"/>
      <c r="H648" s="75"/>
    </row>
    <row r="649" spans="3:8" ht="13.2">
      <c r="C649" s="75"/>
      <c r="D649" s="75"/>
      <c r="E649" s="75"/>
      <c r="F649" s="75"/>
      <c r="G649" s="75"/>
      <c r="H649" s="75"/>
    </row>
    <row r="650" spans="3:8" ht="13.2">
      <c r="C650" s="75"/>
      <c r="D650" s="75"/>
      <c r="E650" s="75"/>
      <c r="F650" s="75"/>
      <c r="G650" s="75"/>
      <c r="H650" s="75"/>
    </row>
    <row r="651" spans="3:8" ht="13.2">
      <c r="C651" s="75"/>
      <c r="D651" s="75"/>
      <c r="E651" s="75"/>
      <c r="F651" s="75"/>
      <c r="G651" s="75"/>
      <c r="H651" s="75"/>
    </row>
    <row r="652" spans="3:8" ht="13.2">
      <c r="C652" s="75"/>
      <c r="D652" s="75"/>
      <c r="E652" s="75"/>
      <c r="F652" s="75"/>
      <c r="G652" s="75"/>
      <c r="H652" s="75"/>
    </row>
    <row r="653" spans="3:8" ht="13.2">
      <c r="C653" s="75"/>
      <c r="D653" s="75"/>
      <c r="E653" s="75"/>
      <c r="F653" s="75"/>
      <c r="G653" s="75"/>
      <c r="H653" s="75"/>
    </row>
    <row r="654" spans="3:8" ht="13.2">
      <c r="C654" s="75"/>
      <c r="D654" s="75"/>
      <c r="E654" s="75"/>
      <c r="F654" s="75"/>
      <c r="G654" s="75"/>
      <c r="H654" s="75"/>
    </row>
    <row r="655" spans="3:8" ht="13.2">
      <c r="C655" s="75"/>
      <c r="D655" s="75"/>
      <c r="E655" s="75"/>
      <c r="F655" s="75"/>
      <c r="G655" s="75"/>
      <c r="H655" s="75"/>
    </row>
    <row r="656" spans="3:8" ht="13.2">
      <c r="C656" s="75"/>
      <c r="D656" s="75"/>
      <c r="E656" s="75"/>
      <c r="F656" s="75"/>
      <c r="G656" s="75"/>
      <c r="H656" s="75"/>
    </row>
    <row r="657" spans="3:8" ht="13.2">
      <c r="C657" s="75"/>
      <c r="D657" s="75"/>
      <c r="E657" s="75"/>
      <c r="F657" s="75"/>
      <c r="G657" s="75"/>
      <c r="H657" s="75"/>
    </row>
    <row r="658" spans="3:8" ht="13.2">
      <c r="C658" s="75"/>
      <c r="D658" s="75"/>
      <c r="E658" s="75"/>
      <c r="F658" s="75"/>
      <c r="G658" s="75"/>
      <c r="H658" s="75"/>
    </row>
    <row r="659" spans="3:8" ht="13.2">
      <c r="C659" s="75"/>
      <c r="D659" s="75"/>
      <c r="E659" s="75"/>
      <c r="F659" s="75"/>
      <c r="G659" s="75"/>
      <c r="H659" s="75"/>
    </row>
    <row r="660" spans="3:8" ht="13.2">
      <c r="C660" s="75"/>
      <c r="D660" s="75"/>
      <c r="E660" s="75"/>
      <c r="F660" s="75"/>
      <c r="G660" s="75"/>
      <c r="H660" s="75"/>
    </row>
    <row r="661" spans="3:8" ht="13.2">
      <c r="C661" s="75"/>
      <c r="D661" s="75"/>
      <c r="E661" s="75"/>
      <c r="F661" s="75"/>
      <c r="G661" s="75"/>
      <c r="H661" s="75"/>
    </row>
    <row r="662" spans="3:8" ht="13.2">
      <c r="C662" s="75"/>
      <c r="D662" s="75"/>
      <c r="E662" s="75"/>
      <c r="F662" s="75"/>
      <c r="G662" s="75"/>
      <c r="H662" s="75"/>
    </row>
    <row r="663" spans="3:8" ht="13.2">
      <c r="C663" s="75"/>
      <c r="D663" s="75"/>
      <c r="E663" s="75"/>
      <c r="F663" s="75"/>
      <c r="G663" s="75"/>
      <c r="H663" s="75"/>
    </row>
    <row r="664" spans="3:8" ht="13.2">
      <c r="C664" s="75"/>
      <c r="D664" s="75"/>
      <c r="E664" s="75"/>
      <c r="F664" s="75"/>
      <c r="G664" s="75"/>
      <c r="H664" s="75"/>
    </row>
    <row r="665" spans="3:8" ht="13.2">
      <c r="C665" s="75"/>
      <c r="D665" s="75"/>
      <c r="E665" s="75"/>
      <c r="F665" s="75"/>
      <c r="G665" s="75"/>
      <c r="H665" s="75"/>
    </row>
    <row r="666" spans="3:8" ht="13.2">
      <c r="C666" s="75"/>
      <c r="D666" s="75"/>
      <c r="E666" s="75"/>
      <c r="F666" s="75"/>
      <c r="G666" s="75"/>
      <c r="H666" s="75"/>
    </row>
    <row r="667" spans="3:8" ht="13.2">
      <c r="C667" s="75"/>
      <c r="D667" s="75"/>
      <c r="E667" s="75"/>
      <c r="F667" s="75"/>
      <c r="G667" s="75"/>
      <c r="H667" s="75"/>
    </row>
    <row r="668" spans="3:8" ht="13.2">
      <c r="C668" s="75"/>
      <c r="D668" s="75"/>
      <c r="E668" s="75"/>
      <c r="F668" s="75"/>
      <c r="G668" s="75"/>
      <c r="H668" s="75"/>
    </row>
    <row r="669" spans="3:8" ht="13.2">
      <c r="C669" s="75"/>
      <c r="D669" s="75"/>
      <c r="E669" s="75"/>
      <c r="F669" s="75"/>
      <c r="G669" s="75"/>
      <c r="H669" s="75"/>
    </row>
    <row r="670" spans="3:8" ht="13.2">
      <c r="C670" s="75"/>
      <c r="D670" s="75"/>
      <c r="E670" s="75"/>
      <c r="F670" s="75"/>
      <c r="G670" s="75"/>
      <c r="H670" s="75"/>
    </row>
    <row r="671" spans="3:8" ht="13.2">
      <c r="C671" s="75"/>
      <c r="D671" s="75"/>
      <c r="E671" s="75"/>
      <c r="F671" s="75"/>
      <c r="G671" s="75"/>
      <c r="H671" s="75"/>
    </row>
    <row r="672" spans="3:8" ht="13.2">
      <c r="C672" s="75"/>
      <c r="D672" s="75"/>
      <c r="E672" s="75"/>
      <c r="F672" s="75"/>
      <c r="G672" s="75"/>
      <c r="H672" s="75"/>
    </row>
    <row r="673" spans="3:8" ht="13.2">
      <c r="C673" s="75"/>
      <c r="D673" s="75"/>
      <c r="E673" s="75"/>
      <c r="F673" s="75"/>
      <c r="G673" s="75"/>
      <c r="H673" s="75"/>
    </row>
    <row r="674" spans="3:8" ht="13.2">
      <c r="C674" s="75"/>
      <c r="D674" s="75"/>
      <c r="E674" s="75"/>
      <c r="F674" s="75"/>
      <c r="G674" s="75"/>
      <c r="H674" s="75"/>
    </row>
    <row r="675" spans="3:8" ht="13.2">
      <c r="C675" s="75"/>
      <c r="D675" s="75"/>
      <c r="E675" s="75"/>
      <c r="F675" s="75"/>
      <c r="G675" s="75"/>
      <c r="H675" s="75"/>
    </row>
    <row r="676" spans="3:8" ht="13.2">
      <c r="C676" s="75"/>
      <c r="D676" s="75"/>
      <c r="E676" s="75"/>
      <c r="F676" s="75"/>
      <c r="G676" s="75"/>
      <c r="H676" s="75"/>
    </row>
    <row r="677" spans="3:8" ht="13.2">
      <c r="C677" s="75"/>
      <c r="D677" s="75"/>
      <c r="E677" s="75"/>
      <c r="F677" s="75"/>
      <c r="G677" s="75"/>
      <c r="H677" s="75"/>
    </row>
    <row r="678" spans="3:8" ht="13.2">
      <c r="C678" s="75"/>
      <c r="D678" s="75"/>
      <c r="E678" s="75"/>
      <c r="F678" s="75"/>
      <c r="G678" s="75"/>
      <c r="H678" s="75"/>
    </row>
    <row r="679" spans="3:8" ht="13.2">
      <c r="C679" s="75"/>
      <c r="D679" s="75"/>
      <c r="E679" s="75"/>
      <c r="F679" s="75"/>
      <c r="G679" s="75"/>
      <c r="H679" s="75"/>
    </row>
    <row r="680" spans="3:8" ht="13.2">
      <c r="C680" s="75"/>
      <c r="D680" s="75"/>
      <c r="E680" s="75"/>
      <c r="F680" s="75"/>
      <c r="G680" s="75"/>
      <c r="H680" s="75"/>
    </row>
    <row r="681" spans="3:8" ht="13.2">
      <c r="C681" s="75"/>
      <c r="D681" s="75"/>
      <c r="E681" s="75"/>
      <c r="F681" s="75"/>
      <c r="G681" s="75"/>
      <c r="H681" s="75"/>
    </row>
    <row r="682" spans="3:8" ht="13.2">
      <c r="C682" s="75"/>
      <c r="D682" s="75"/>
      <c r="E682" s="75"/>
      <c r="F682" s="75"/>
      <c r="G682" s="75"/>
      <c r="H682" s="75"/>
    </row>
    <row r="683" spans="3:8" ht="13.2">
      <c r="C683" s="75"/>
      <c r="D683" s="75"/>
      <c r="E683" s="75"/>
      <c r="F683" s="75"/>
      <c r="G683" s="75"/>
      <c r="H683" s="75"/>
    </row>
    <row r="684" spans="3:8" ht="13.2">
      <c r="C684" s="75"/>
      <c r="D684" s="75"/>
      <c r="E684" s="75"/>
      <c r="F684" s="75"/>
      <c r="G684" s="75"/>
      <c r="H684" s="75"/>
    </row>
    <row r="685" spans="3:8" ht="13.2">
      <c r="C685" s="75"/>
      <c r="D685" s="75"/>
      <c r="E685" s="75"/>
      <c r="F685" s="75"/>
      <c r="G685" s="75"/>
      <c r="H685" s="75"/>
    </row>
    <row r="686" spans="3:8" ht="13.2">
      <c r="C686" s="75"/>
      <c r="D686" s="75"/>
      <c r="E686" s="75"/>
      <c r="F686" s="75"/>
      <c r="G686" s="75"/>
      <c r="H686" s="75"/>
    </row>
    <row r="687" spans="3:8" ht="13.2">
      <c r="C687" s="75"/>
      <c r="D687" s="75"/>
      <c r="E687" s="75"/>
      <c r="F687" s="75"/>
      <c r="G687" s="75"/>
      <c r="H687" s="75"/>
    </row>
    <row r="688" spans="3:8" ht="13.2">
      <c r="C688" s="75"/>
      <c r="D688" s="75"/>
      <c r="E688" s="75"/>
      <c r="F688" s="75"/>
      <c r="G688" s="75"/>
      <c r="H688" s="75"/>
    </row>
    <row r="689" spans="3:8" ht="13.2">
      <c r="C689" s="75"/>
      <c r="D689" s="75"/>
      <c r="E689" s="75"/>
      <c r="F689" s="75"/>
      <c r="G689" s="75"/>
      <c r="H689" s="75"/>
    </row>
    <row r="690" spans="3:8" ht="13.2">
      <c r="C690" s="75"/>
      <c r="D690" s="75"/>
      <c r="E690" s="75"/>
      <c r="F690" s="75"/>
      <c r="G690" s="75"/>
      <c r="H690" s="75"/>
    </row>
    <row r="691" spans="3:8" ht="13.2">
      <c r="C691" s="75"/>
      <c r="D691" s="75"/>
      <c r="E691" s="75"/>
      <c r="F691" s="75"/>
      <c r="G691" s="75"/>
      <c r="H691" s="75"/>
    </row>
    <row r="692" spans="3:8" ht="13.2">
      <c r="C692" s="75"/>
      <c r="D692" s="75"/>
      <c r="E692" s="75"/>
      <c r="F692" s="75"/>
      <c r="G692" s="75"/>
      <c r="H692" s="75"/>
    </row>
    <row r="693" spans="3:8" ht="13.2">
      <c r="C693" s="75"/>
      <c r="D693" s="75"/>
      <c r="E693" s="75"/>
      <c r="F693" s="75"/>
      <c r="G693" s="75"/>
      <c r="H693" s="75"/>
    </row>
    <row r="694" spans="3:8" ht="13.2">
      <c r="C694" s="75"/>
      <c r="D694" s="75"/>
      <c r="E694" s="75"/>
      <c r="F694" s="75"/>
      <c r="G694" s="75"/>
      <c r="H694" s="75"/>
    </row>
    <row r="695" spans="3:8" ht="13.2">
      <c r="C695" s="75"/>
      <c r="D695" s="75"/>
      <c r="E695" s="75"/>
      <c r="F695" s="75"/>
      <c r="G695" s="75"/>
      <c r="H695" s="75"/>
    </row>
    <row r="696" spans="3:8" ht="13.2">
      <c r="C696" s="75"/>
      <c r="D696" s="75"/>
      <c r="E696" s="75"/>
      <c r="F696" s="75"/>
      <c r="G696" s="75"/>
      <c r="H696" s="75"/>
    </row>
    <row r="697" spans="3:8" ht="13.2">
      <c r="C697" s="75"/>
      <c r="D697" s="75"/>
      <c r="E697" s="75"/>
      <c r="F697" s="75"/>
      <c r="G697" s="75"/>
      <c r="H697" s="75"/>
    </row>
    <row r="698" spans="3:8" ht="13.2">
      <c r="C698" s="75"/>
      <c r="D698" s="75"/>
      <c r="E698" s="75"/>
      <c r="F698" s="75"/>
      <c r="G698" s="75"/>
      <c r="H698" s="75"/>
    </row>
    <row r="699" spans="3:8" ht="13.2">
      <c r="C699" s="75"/>
      <c r="D699" s="75"/>
      <c r="E699" s="75"/>
      <c r="F699" s="75"/>
      <c r="G699" s="75"/>
      <c r="H699" s="75"/>
    </row>
    <row r="700" spans="3:8" ht="13.2">
      <c r="C700" s="75"/>
      <c r="D700" s="75"/>
      <c r="E700" s="75"/>
      <c r="F700" s="75"/>
      <c r="G700" s="75"/>
      <c r="H700" s="75"/>
    </row>
    <row r="701" spans="3:8" ht="13.2">
      <c r="C701" s="75"/>
      <c r="D701" s="75"/>
      <c r="E701" s="75"/>
      <c r="F701" s="75"/>
      <c r="G701" s="75"/>
      <c r="H701" s="75"/>
    </row>
    <row r="702" spans="3:8" ht="13.2">
      <c r="C702" s="75"/>
      <c r="D702" s="75"/>
      <c r="E702" s="75"/>
      <c r="F702" s="75"/>
      <c r="G702" s="75"/>
      <c r="H702" s="75"/>
    </row>
    <row r="703" spans="3:8" ht="13.2">
      <c r="C703" s="75"/>
      <c r="D703" s="75"/>
      <c r="E703" s="75"/>
      <c r="F703" s="75"/>
      <c r="G703" s="75"/>
      <c r="H703" s="75"/>
    </row>
    <row r="704" spans="3:8" ht="13.2">
      <c r="C704" s="75"/>
      <c r="D704" s="75"/>
      <c r="E704" s="75"/>
      <c r="F704" s="75"/>
      <c r="G704" s="75"/>
      <c r="H704" s="75"/>
    </row>
    <row r="705" spans="3:8" ht="13.2">
      <c r="C705" s="75"/>
      <c r="D705" s="75"/>
      <c r="E705" s="75"/>
      <c r="F705" s="75"/>
      <c r="G705" s="75"/>
      <c r="H705" s="75"/>
    </row>
    <row r="706" spans="3:8" ht="13.2">
      <c r="C706" s="75"/>
      <c r="D706" s="75"/>
      <c r="E706" s="75"/>
      <c r="F706" s="75"/>
      <c r="G706" s="75"/>
      <c r="H706" s="75"/>
    </row>
    <row r="707" spans="3:8" ht="13.2">
      <c r="C707" s="75"/>
      <c r="D707" s="75"/>
      <c r="E707" s="75"/>
      <c r="F707" s="75"/>
      <c r="G707" s="75"/>
      <c r="H707" s="75"/>
    </row>
    <row r="708" spans="3:8" ht="13.2">
      <c r="C708" s="75"/>
      <c r="D708" s="75"/>
      <c r="E708" s="75"/>
      <c r="F708" s="75"/>
      <c r="G708" s="75"/>
      <c r="H708" s="75"/>
    </row>
    <row r="709" spans="3:8" ht="13.2">
      <c r="C709" s="75"/>
      <c r="D709" s="75"/>
      <c r="E709" s="75"/>
      <c r="F709" s="75"/>
      <c r="G709" s="75"/>
      <c r="H709" s="75"/>
    </row>
    <row r="710" spans="3:8" ht="13.2">
      <c r="C710" s="75"/>
      <c r="D710" s="75"/>
      <c r="E710" s="75"/>
      <c r="F710" s="75"/>
      <c r="G710" s="75"/>
      <c r="H710" s="75"/>
    </row>
    <row r="711" spans="3:8" ht="13.2">
      <c r="C711" s="75"/>
      <c r="D711" s="75"/>
      <c r="E711" s="75"/>
      <c r="F711" s="75"/>
      <c r="G711" s="75"/>
      <c r="H711" s="75"/>
    </row>
    <row r="712" spans="3:8" ht="13.2">
      <c r="C712" s="75"/>
      <c r="D712" s="75"/>
      <c r="E712" s="75"/>
      <c r="F712" s="75"/>
      <c r="G712" s="75"/>
      <c r="H712" s="75"/>
    </row>
    <row r="713" spans="3:8" ht="13.2">
      <c r="C713" s="75"/>
      <c r="D713" s="75"/>
      <c r="E713" s="75"/>
      <c r="F713" s="75"/>
      <c r="G713" s="75"/>
      <c r="H713" s="75"/>
    </row>
    <row r="714" spans="3:8" ht="13.2">
      <c r="C714" s="75"/>
      <c r="D714" s="75"/>
      <c r="E714" s="75"/>
      <c r="F714" s="75"/>
      <c r="G714" s="75"/>
      <c r="H714" s="75"/>
    </row>
    <row r="715" spans="3:8" ht="13.2">
      <c r="C715" s="75"/>
      <c r="D715" s="75"/>
      <c r="E715" s="75"/>
      <c r="F715" s="75"/>
      <c r="G715" s="75"/>
      <c r="H715" s="75"/>
    </row>
    <row r="716" spans="3:8" ht="13.2">
      <c r="C716" s="75"/>
      <c r="D716" s="75"/>
      <c r="E716" s="75"/>
      <c r="F716" s="75"/>
      <c r="G716" s="75"/>
      <c r="H716" s="75"/>
    </row>
    <row r="717" spans="3:8" ht="13.2">
      <c r="C717" s="75"/>
      <c r="D717" s="75"/>
      <c r="E717" s="75"/>
      <c r="F717" s="75"/>
      <c r="G717" s="75"/>
      <c r="H717" s="75"/>
    </row>
    <row r="718" spans="3:8" ht="13.2">
      <c r="C718" s="75"/>
      <c r="D718" s="75"/>
      <c r="E718" s="75"/>
      <c r="F718" s="75"/>
      <c r="G718" s="75"/>
      <c r="H718" s="75"/>
    </row>
    <row r="719" spans="3:8" ht="13.2">
      <c r="C719" s="75"/>
      <c r="D719" s="75"/>
      <c r="E719" s="75"/>
      <c r="F719" s="75"/>
      <c r="G719" s="75"/>
      <c r="H719" s="75"/>
    </row>
    <row r="720" spans="3:8" ht="13.2">
      <c r="C720" s="75"/>
      <c r="D720" s="75"/>
      <c r="E720" s="75"/>
      <c r="F720" s="75"/>
      <c r="G720" s="75"/>
      <c r="H720" s="75"/>
    </row>
    <row r="721" spans="3:8" ht="13.2">
      <c r="C721" s="75"/>
      <c r="D721" s="75"/>
      <c r="E721" s="75"/>
      <c r="F721" s="75"/>
      <c r="G721" s="75"/>
      <c r="H721" s="75"/>
    </row>
    <row r="722" spans="3:8" ht="13.2">
      <c r="C722" s="75"/>
      <c r="D722" s="75"/>
      <c r="E722" s="75"/>
      <c r="F722" s="75"/>
      <c r="G722" s="75"/>
      <c r="H722" s="75"/>
    </row>
    <row r="723" spans="3:8" ht="13.2">
      <c r="C723" s="75"/>
      <c r="D723" s="75"/>
      <c r="E723" s="75"/>
      <c r="F723" s="75"/>
      <c r="G723" s="75"/>
      <c r="H723" s="75"/>
    </row>
    <row r="724" spans="3:8" ht="13.2">
      <c r="C724" s="75"/>
      <c r="D724" s="75"/>
      <c r="E724" s="75"/>
      <c r="F724" s="75"/>
      <c r="G724" s="75"/>
      <c r="H724" s="75"/>
    </row>
    <row r="725" spans="3:8" ht="13.2">
      <c r="C725" s="75"/>
      <c r="D725" s="75"/>
      <c r="E725" s="75"/>
      <c r="F725" s="75"/>
      <c r="G725" s="75"/>
      <c r="H725" s="75"/>
    </row>
    <row r="726" spans="3:8" ht="13.2">
      <c r="C726" s="75"/>
      <c r="D726" s="75"/>
      <c r="E726" s="75"/>
      <c r="F726" s="75"/>
      <c r="G726" s="75"/>
      <c r="H726" s="75"/>
    </row>
    <row r="727" spans="3:8" ht="13.2">
      <c r="C727" s="75"/>
      <c r="D727" s="75"/>
      <c r="E727" s="75"/>
      <c r="F727" s="75"/>
      <c r="G727" s="75"/>
      <c r="H727" s="75"/>
    </row>
    <row r="728" spans="3:8" ht="13.2">
      <c r="C728" s="75"/>
      <c r="D728" s="75"/>
      <c r="E728" s="75"/>
      <c r="F728" s="75"/>
      <c r="G728" s="75"/>
      <c r="H728" s="75"/>
    </row>
    <row r="729" spans="3:8" ht="13.2">
      <c r="C729" s="75"/>
      <c r="D729" s="75"/>
      <c r="E729" s="75"/>
      <c r="F729" s="75"/>
      <c r="G729" s="75"/>
      <c r="H729" s="75"/>
    </row>
    <row r="730" spans="3:8" ht="13.2">
      <c r="C730" s="75"/>
      <c r="D730" s="75"/>
      <c r="E730" s="75"/>
      <c r="F730" s="75"/>
      <c r="G730" s="75"/>
      <c r="H730" s="75"/>
    </row>
    <row r="731" spans="3:8" ht="13.2">
      <c r="C731" s="75"/>
      <c r="D731" s="75"/>
      <c r="E731" s="75"/>
      <c r="F731" s="75"/>
      <c r="G731" s="75"/>
      <c r="H731" s="75"/>
    </row>
    <row r="732" spans="3:8" ht="13.2">
      <c r="C732" s="75"/>
      <c r="D732" s="75"/>
      <c r="E732" s="75"/>
      <c r="F732" s="75"/>
      <c r="G732" s="75"/>
      <c r="H732" s="75"/>
    </row>
    <row r="733" spans="3:8" ht="13.2">
      <c r="C733" s="75"/>
      <c r="D733" s="75"/>
      <c r="E733" s="75"/>
      <c r="F733" s="75"/>
      <c r="G733" s="75"/>
      <c r="H733" s="75"/>
    </row>
    <row r="734" spans="3:8" ht="13.2">
      <c r="C734" s="75"/>
      <c r="D734" s="75"/>
      <c r="E734" s="75"/>
      <c r="F734" s="75"/>
      <c r="G734" s="75"/>
      <c r="H734" s="75"/>
    </row>
    <row r="735" spans="3:8" ht="13.2">
      <c r="C735" s="75"/>
      <c r="D735" s="75"/>
      <c r="E735" s="75"/>
      <c r="F735" s="75"/>
      <c r="G735" s="75"/>
      <c r="H735" s="75"/>
    </row>
    <row r="736" spans="3:8" ht="13.2">
      <c r="C736" s="75"/>
      <c r="D736" s="75"/>
      <c r="E736" s="75"/>
      <c r="F736" s="75"/>
      <c r="G736" s="75"/>
      <c r="H736" s="75"/>
    </row>
    <row r="737" spans="3:8" ht="13.2">
      <c r="C737" s="75"/>
      <c r="D737" s="75"/>
      <c r="E737" s="75"/>
      <c r="F737" s="75"/>
      <c r="G737" s="75"/>
      <c r="H737" s="75"/>
    </row>
    <row r="738" spans="3:8" ht="13.2">
      <c r="C738" s="75"/>
      <c r="D738" s="75"/>
      <c r="E738" s="75"/>
      <c r="F738" s="75"/>
      <c r="G738" s="75"/>
      <c r="H738" s="75"/>
    </row>
    <row r="739" spans="3:8" ht="13.2">
      <c r="C739" s="75"/>
      <c r="D739" s="75"/>
      <c r="E739" s="75"/>
      <c r="F739" s="75"/>
      <c r="G739" s="75"/>
      <c r="H739" s="75"/>
    </row>
    <row r="740" spans="3:8" ht="13.2">
      <c r="C740" s="75"/>
      <c r="D740" s="75"/>
      <c r="E740" s="75"/>
      <c r="F740" s="75"/>
      <c r="G740" s="75"/>
      <c r="H740" s="75"/>
    </row>
    <row r="741" spans="3:8" ht="13.2">
      <c r="C741" s="75"/>
      <c r="D741" s="75"/>
      <c r="E741" s="75"/>
      <c r="F741" s="75"/>
      <c r="G741" s="75"/>
      <c r="H741" s="75"/>
    </row>
    <row r="742" spans="3:8" ht="13.2">
      <c r="C742" s="75"/>
      <c r="D742" s="75"/>
      <c r="E742" s="75"/>
      <c r="F742" s="75"/>
      <c r="G742" s="75"/>
      <c r="H742" s="75"/>
    </row>
    <row r="743" spans="3:8" ht="13.2">
      <c r="C743" s="75"/>
      <c r="D743" s="75"/>
      <c r="E743" s="75"/>
      <c r="F743" s="75"/>
      <c r="G743" s="75"/>
      <c r="H743" s="75"/>
    </row>
    <row r="744" spans="3:8" ht="13.2">
      <c r="C744" s="75"/>
      <c r="D744" s="75"/>
      <c r="E744" s="75"/>
      <c r="F744" s="75"/>
      <c r="G744" s="75"/>
      <c r="H744" s="75"/>
    </row>
    <row r="745" spans="3:8" ht="13.2">
      <c r="C745" s="75"/>
      <c r="D745" s="75"/>
      <c r="E745" s="75"/>
      <c r="F745" s="75"/>
      <c r="G745" s="75"/>
      <c r="H745" s="75"/>
    </row>
    <row r="746" spans="3:8" ht="13.2">
      <c r="C746" s="75"/>
      <c r="D746" s="75"/>
      <c r="E746" s="75"/>
      <c r="F746" s="75"/>
      <c r="G746" s="75"/>
      <c r="H746" s="75"/>
    </row>
    <row r="747" spans="3:8" ht="13.2">
      <c r="C747" s="75"/>
      <c r="D747" s="75"/>
      <c r="E747" s="75"/>
      <c r="F747" s="75"/>
      <c r="G747" s="75"/>
      <c r="H747" s="75"/>
    </row>
    <row r="748" spans="3:8" ht="13.2">
      <c r="C748" s="75"/>
      <c r="D748" s="75"/>
      <c r="E748" s="75"/>
      <c r="F748" s="75"/>
      <c r="G748" s="75"/>
      <c r="H748" s="75"/>
    </row>
    <row r="749" spans="3:8" ht="13.2">
      <c r="C749" s="75"/>
      <c r="D749" s="75"/>
      <c r="E749" s="75"/>
      <c r="F749" s="75"/>
      <c r="G749" s="75"/>
      <c r="H749" s="75"/>
    </row>
    <row r="750" spans="3:8" ht="13.2">
      <c r="C750" s="75"/>
      <c r="D750" s="75"/>
      <c r="E750" s="75"/>
      <c r="F750" s="75"/>
      <c r="G750" s="75"/>
      <c r="H750" s="75"/>
    </row>
    <row r="751" spans="3:8" ht="13.2">
      <c r="C751" s="75"/>
      <c r="D751" s="75"/>
      <c r="E751" s="75"/>
      <c r="F751" s="75"/>
      <c r="G751" s="75"/>
      <c r="H751" s="75"/>
    </row>
    <row r="752" spans="3:8" ht="13.2">
      <c r="C752" s="75"/>
      <c r="D752" s="75"/>
      <c r="E752" s="75"/>
      <c r="F752" s="75"/>
      <c r="G752" s="75"/>
      <c r="H752" s="75"/>
    </row>
    <row r="753" spans="3:8" ht="13.2">
      <c r="C753" s="75"/>
      <c r="D753" s="75"/>
      <c r="E753" s="75"/>
      <c r="F753" s="75"/>
      <c r="G753" s="75"/>
      <c r="H753" s="75"/>
    </row>
    <row r="754" spans="3:8" ht="13.2">
      <c r="C754" s="75"/>
      <c r="D754" s="75"/>
      <c r="E754" s="75"/>
      <c r="F754" s="75"/>
      <c r="G754" s="75"/>
      <c r="H754" s="75"/>
    </row>
    <row r="755" spans="3:8" ht="13.2">
      <c r="C755" s="75"/>
      <c r="D755" s="75"/>
      <c r="E755" s="75"/>
      <c r="F755" s="75"/>
      <c r="G755" s="75"/>
      <c r="H755" s="75"/>
    </row>
    <row r="756" spans="3:8" ht="13.2">
      <c r="C756" s="75"/>
      <c r="D756" s="75"/>
      <c r="E756" s="75"/>
      <c r="F756" s="75"/>
      <c r="G756" s="75"/>
      <c r="H756" s="75"/>
    </row>
    <row r="757" spans="3:8" ht="13.2">
      <c r="C757" s="75"/>
      <c r="D757" s="75"/>
      <c r="E757" s="75"/>
      <c r="F757" s="75"/>
      <c r="G757" s="75"/>
      <c r="H757" s="75"/>
    </row>
    <row r="758" spans="3:8" ht="13.2">
      <c r="C758" s="75"/>
      <c r="D758" s="75"/>
      <c r="E758" s="75"/>
      <c r="F758" s="75"/>
      <c r="G758" s="75"/>
      <c r="H758" s="75"/>
    </row>
    <row r="759" spans="3:8" ht="13.2">
      <c r="C759" s="75"/>
      <c r="D759" s="75"/>
      <c r="E759" s="75"/>
      <c r="F759" s="75"/>
      <c r="G759" s="75"/>
      <c r="H759" s="75"/>
    </row>
    <row r="760" spans="3:8" ht="13.2">
      <c r="C760" s="75"/>
      <c r="D760" s="75"/>
      <c r="E760" s="75"/>
      <c r="F760" s="75"/>
      <c r="G760" s="75"/>
      <c r="H760" s="75"/>
    </row>
    <row r="761" spans="3:8" ht="13.2">
      <c r="C761" s="75"/>
      <c r="D761" s="75"/>
      <c r="E761" s="75"/>
      <c r="F761" s="75"/>
      <c r="G761" s="75"/>
      <c r="H761" s="75"/>
    </row>
    <row r="762" spans="3:8" ht="13.2">
      <c r="C762" s="75"/>
      <c r="D762" s="75"/>
      <c r="E762" s="75"/>
      <c r="F762" s="75"/>
      <c r="G762" s="75"/>
      <c r="H762" s="75"/>
    </row>
    <row r="763" spans="3:8" ht="13.2">
      <c r="C763" s="75"/>
      <c r="D763" s="75"/>
      <c r="E763" s="75"/>
      <c r="F763" s="75"/>
      <c r="G763" s="75"/>
      <c r="H763" s="75"/>
    </row>
    <row r="764" spans="3:8" ht="13.2">
      <c r="C764" s="75"/>
      <c r="D764" s="75"/>
      <c r="E764" s="75"/>
      <c r="F764" s="75"/>
      <c r="G764" s="75"/>
      <c r="H764" s="75"/>
    </row>
    <row r="765" spans="3:8" ht="13.2">
      <c r="C765" s="75"/>
      <c r="D765" s="75"/>
      <c r="E765" s="75"/>
      <c r="F765" s="75"/>
      <c r="G765" s="75"/>
      <c r="H765" s="75"/>
    </row>
    <row r="766" spans="3:8" ht="13.2">
      <c r="C766" s="75"/>
      <c r="D766" s="75"/>
      <c r="E766" s="75"/>
      <c r="F766" s="75"/>
      <c r="G766" s="75"/>
      <c r="H766" s="75"/>
    </row>
    <row r="767" spans="3:8" ht="13.2">
      <c r="C767" s="75"/>
      <c r="D767" s="75"/>
      <c r="E767" s="75"/>
      <c r="F767" s="75"/>
      <c r="G767" s="75"/>
      <c r="H767" s="75"/>
    </row>
    <row r="768" spans="3:8" ht="13.2">
      <c r="C768" s="75"/>
      <c r="D768" s="75"/>
      <c r="E768" s="75"/>
      <c r="F768" s="75"/>
      <c r="G768" s="75"/>
      <c r="H768" s="75"/>
    </row>
    <row r="769" spans="3:8" ht="13.2">
      <c r="C769" s="75"/>
      <c r="D769" s="75"/>
      <c r="E769" s="75"/>
      <c r="F769" s="75"/>
      <c r="G769" s="75"/>
      <c r="H769" s="75"/>
    </row>
    <row r="770" spans="3:8" ht="13.2">
      <c r="C770" s="75"/>
      <c r="D770" s="75"/>
      <c r="E770" s="75"/>
      <c r="F770" s="75"/>
      <c r="G770" s="75"/>
      <c r="H770" s="75"/>
    </row>
    <row r="771" spans="3:8" ht="13.2">
      <c r="C771" s="75"/>
      <c r="D771" s="75"/>
      <c r="E771" s="75"/>
      <c r="F771" s="75"/>
      <c r="G771" s="75"/>
      <c r="H771" s="75"/>
    </row>
    <row r="772" spans="3:8" ht="13.2">
      <c r="C772" s="75"/>
      <c r="D772" s="75"/>
      <c r="E772" s="75"/>
      <c r="F772" s="75"/>
      <c r="G772" s="75"/>
      <c r="H772" s="75"/>
    </row>
    <row r="773" spans="3:8" ht="13.2">
      <c r="C773" s="75"/>
      <c r="D773" s="75"/>
      <c r="E773" s="75"/>
      <c r="F773" s="75"/>
      <c r="G773" s="75"/>
      <c r="H773" s="75"/>
    </row>
    <row r="774" spans="3:8" ht="13.2">
      <c r="C774" s="75"/>
      <c r="D774" s="75"/>
      <c r="E774" s="75"/>
      <c r="F774" s="75"/>
      <c r="G774" s="75"/>
      <c r="H774" s="75"/>
    </row>
    <row r="775" spans="3:8" ht="13.2">
      <c r="C775" s="75"/>
      <c r="D775" s="75"/>
      <c r="E775" s="75"/>
      <c r="F775" s="75"/>
      <c r="G775" s="75"/>
      <c r="H775" s="75"/>
    </row>
    <row r="776" spans="3:8" ht="13.2">
      <c r="C776" s="75"/>
      <c r="D776" s="75"/>
      <c r="E776" s="75"/>
      <c r="F776" s="75"/>
      <c r="G776" s="75"/>
      <c r="H776" s="75"/>
    </row>
    <row r="777" spans="3:8" ht="13.2">
      <c r="C777" s="75"/>
      <c r="D777" s="75"/>
      <c r="E777" s="75"/>
      <c r="F777" s="75"/>
      <c r="G777" s="75"/>
      <c r="H777" s="75"/>
    </row>
    <row r="778" spans="3:8" ht="13.2">
      <c r="C778" s="75"/>
      <c r="D778" s="75"/>
      <c r="E778" s="75"/>
      <c r="F778" s="75"/>
      <c r="G778" s="75"/>
      <c r="H778" s="75"/>
    </row>
    <row r="779" spans="3:8" ht="13.2">
      <c r="C779" s="75"/>
      <c r="D779" s="75"/>
      <c r="E779" s="75"/>
      <c r="F779" s="75"/>
      <c r="G779" s="75"/>
      <c r="H779" s="75"/>
    </row>
    <row r="780" spans="3:8" ht="13.2">
      <c r="C780" s="75"/>
      <c r="D780" s="75"/>
      <c r="E780" s="75"/>
      <c r="F780" s="75"/>
      <c r="G780" s="75"/>
      <c r="H780" s="75"/>
    </row>
    <row r="781" spans="3:8" ht="13.2">
      <c r="C781" s="75"/>
      <c r="D781" s="75"/>
      <c r="E781" s="75"/>
      <c r="F781" s="75"/>
      <c r="G781" s="75"/>
      <c r="H781" s="75"/>
    </row>
    <row r="782" spans="3:8" ht="13.2">
      <c r="C782" s="75"/>
      <c r="D782" s="75"/>
      <c r="E782" s="75"/>
      <c r="F782" s="75"/>
      <c r="G782" s="75"/>
      <c r="H782" s="75"/>
    </row>
    <row r="783" spans="3:8" ht="13.2">
      <c r="C783" s="75"/>
      <c r="D783" s="75"/>
      <c r="E783" s="75"/>
      <c r="F783" s="75"/>
      <c r="G783" s="75"/>
      <c r="H783" s="75"/>
    </row>
    <row r="784" spans="3:8" ht="13.2">
      <c r="C784" s="75"/>
      <c r="D784" s="75"/>
      <c r="E784" s="75"/>
      <c r="F784" s="75"/>
      <c r="G784" s="75"/>
      <c r="H784" s="75"/>
    </row>
    <row r="785" spans="3:8" ht="13.2">
      <c r="C785" s="75"/>
      <c r="D785" s="75"/>
      <c r="E785" s="75"/>
      <c r="F785" s="75"/>
      <c r="G785" s="75"/>
      <c r="H785" s="75"/>
    </row>
    <row r="786" spans="3:8" ht="13.2">
      <c r="C786" s="75"/>
      <c r="D786" s="75"/>
      <c r="E786" s="75"/>
      <c r="F786" s="75"/>
      <c r="G786" s="75"/>
      <c r="H786" s="75"/>
    </row>
    <row r="787" spans="3:8" ht="13.2">
      <c r="C787" s="75"/>
      <c r="D787" s="75"/>
      <c r="E787" s="75"/>
      <c r="F787" s="75"/>
      <c r="G787" s="75"/>
      <c r="H787" s="75"/>
    </row>
    <row r="788" spans="3:8" ht="13.2">
      <c r="C788" s="75"/>
      <c r="D788" s="75"/>
      <c r="E788" s="75"/>
      <c r="F788" s="75"/>
      <c r="G788" s="75"/>
      <c r="H788" s="75"/>
    </row>
    <row r="789" spans="3:8" ht="13.2">
      <c r="C789" s="75"/>
      <c r="D789" s="75"/>
      <c r="E789" s="75"/>
      <c r="F789" s="75"/>
      <c r="G789" s="75"/>
      <c r="H789" s="75"/>
    </row>
    <row r="790" spans="3:8" ht="13.2">
      <c r="C790" s="75"/>
      <c r="D790" s="75"/>
      <c r="E790" s="75"/>
      <c r="F790" s="75"/>
      <c r="G790" s="75"/>
      <c r="H790" s="75"/>
    </row>
    <row r="791" spans="3:8" ht="13.2">
      <c r="C791" s="75"/>
      <c r="D791" s="75"/>
      <c r="E791" s="75"/>
      <c r="F791" s="75"/>
      <c r="G791" s="75"/>
      <c r="H791" s="75"/>
    </row>
    <row r="792" spans="3:8" ht="13.2">
      <c r="C792" s="75"/>
      <c r="D792" s="75"/>
      <c r="E792" s="75"/>
      <c r="F792" s="75"/>
      <c r="G792" s="75"/>
      <c r="H792" s="75"/>
    </row>
    <row r="793" spans="3:8" ht="13.2">
      <c r="C793" s="75"/>
      <c r="D793" s="75"/>
      <c r="E793" s="75"/>
      <c r="F793" s="75"/>
      <c r="G793" s="75"/>
      <c r="H793" s="75"/>
    </row>
    <row r="794" spans="3:8" ht="13.2">
      <c r="C794" s="75"/>
      <c r="D794" s="75"/>
      <c r="E794" s="75"/>
      <c r="F794" s="75"/>
      <c r="G794" s="75"/>
      <c r="H794" s="75"/>
    </row>
    <row r="795" spans="3:8" ht="13.2">
      <c r="C795" s="75"/>
      <c r="D795" s="75"/>
      <c r="E795" s="75"/>
      <c r="F795" s="75"/>
      <c r="G795" s="75"/>
      <c r="H795" s="75"/>
    </row>
    <row r="796" spans="3:8" ht="13.2">
      <c r="C796" s="75"/>
      <c r="D796" s="75"/>
      <c r="E796" s="75"/>
      <c r="F796" s="75"/>
      <c r="G796" s="75"/>
      <c r="H796" s="75"/>
    </row>
    <row r="797" spans="3:8" ht="13.2">
      <c r="C797" s="75"/>
      <c r="D797" s="75"/>
      <c r="E797" s="75"/>
      <c r="F797" s="75"/>
      <c r="G797" s="75"/>
      <c r="H797" s="75"/>
    </row>
    <row r="798" spans="3:8" ht="13.2">
      <c r="C798" s="75"/>
      <c r="D798" s="75"/>
      <c r="E798" s="75"/>
      <c r="F798" s="75"/>
      <c r="G798" s="75"/>
      <c r="H798" s="75"/>
    </row>
    <row r="799" spans="3:8" ht="13.2">
      <c r="C799" s="75"/>
      <c r="D799" s="75"/>
      <c r="E799" s="75"/>
      <c r="F799" s="75"/>
      <c r="G799" s="75"/>
      <c r="H799" s="75"/>
    </row>
    <row r="800" spans="3:8" ht="13.2">
      <c r="C800" s="75"/>
      <c r="D800" s="75"/>
      <c r="E800" s="75"/>
      <c r="F800" s="75"/>
      <c r="G800" s="75"/>
      <c r="H800" s="75"/>
    </row>
    <row r="801" spans="3:8" ht="13.2">
      <c r="C801" s="75"/>
      <c r="D801" s="75"/>
      <c r="E801" s="75"/>
      <c r="F801" s="75"/>
      <c r="G801" s="75"/>
      <c r="H801" s="75"/>
    </row>
    <row r="802" spans="3:8" ht="13.2">
      <c r="C802" s="75"/>
      <c r="D802" s="75"/>
      <c r="E802" s="75"/>
      <c r="F802" s="75"/>
      <c r="G802" s="75"/>
      <c r="H802" s="75"/>
    </row>
    <row r="803" spans="3:8" ht="13.2">
      <c r="C803" s="75"/>
      <c r="D803" s="75"/>
      <c r="E803" s="75"/>
      <c r="F803" s="75"/>
      <c r="G803" s="75"/>
      <c r="H803" s="75"/>
    </row>
    <row r="804" spans="3:8" ht="13.2">
      <c r="C804" s="75"/>
      <c r="D804" s="75"/>
      <c r="E804" s="75"/>
      <c r="F804" s="75"/>
      <c r="G804" s="75"/>
      <c r="H804" s="75"/>
    </row>
    <row r="805" spans="3:8" ht="13.2">
      <c r="C805" s="75"/>
      <c r="D805" s="75"/>
      <c r="E805" s="75"/>
      <c r="F805" s="75"/>
      <c r="G805" s="75"/>
      <c r="H805" s="75"/>
    </row>
    <row r="806" spans="3:8" ht="13.2">
      <c r="C806" s="75"/>
      <c r="D806" s="75"/>
      <c r="E806" s="75"/>
      <c r="F806" s="75"/>
      <c r="G806" s="75"/>
      <c r="H806" s="75"/>
    </row>
    <row r="807" spans="3:8" ht="13.2">
      <c r="C807" s="75"/>
      <c r="D807" s="75"/>
      <c r="E807" s="75"/>
      <c r="F807" s="75"/>
      <c r="G807" s="75"/>
      <c r="H807" s="75"/>
    </row>
    <row r="808" spans="3:8" ht="13.2">
      <c r="C808" s="75"/>
      <c r="D808" s="75"/>
      <c r="E808" s="75"/>
      <c r="F808" s="75"/>
      <c r="G808" s="75"/>
      <c r="H808" s="75"/>
    </row>
    <row r="809" spans="3:8" ht="13.2">
      <c r="C809" s="75"/>
      <c r="D809" s="75"/>
      <c r="E809" s="75"/>
      <c r="F809" s="75"/>
      <c r="G809" s="75"/>
      <c r="H809" s="75"/>
    </row>
    <row r="810" spans="3:8" ht="13.2">
      <c r="C810" s="75"/>
      <c r="D810" s="75"/>
      <c r="E810" s="75"/>
      <c r="F810" s="75"/>
      <c r="G810" s="75"/>
      <c r="H810" s="75"/>
    </row>
    <row r="811" spans="3:8" ht="13.2">
      <c r="C811" s="75"/>
      <c r="D811" s="75"/>
      <c r="E811" s="75"/>
      <c r="F811" s="75"/>
      <c r="G811" s="75"/>
      <c r="H811" s="75"/>
    </row>
    <row r="812" spans="3:8" ht="13.2">
      <c r="C812" s="75"/>
      <c r="D812" s="75"/>
      <c r="E812" s="75"/>
      <c r="F812" s="75"/>
      <c r="G812" s="75"/>
      <c r="H812" s="75"/>
    </row>
    <row r="813" spans="3:8" ht="13.2">
      <c r="C813" s="75"/>
      <c r="D813" s="75"/>
      <c r="E813" s="75"/>
      <c r="F813" s="75"/>
      <c r="G813" s="75"/>
      <c r="H813" s="75"/>
    </row>
    <row r="814" spans="3:8" ht="13.2">
      <c r="C814" s="75"/>
      <c r="D814" s="75"/>
      <c r="E814" s="75"/>
      <c r="F814" s="75"/>
      <c r="G814" s="75"/>
      <c r="H814" s="75"/>
    </row>
    <row r="815" spans="3:8" ht="13.2">
      <c r="C815" s="75"/>
      <c r="D815" s="75"/>
      <c r="E815" s="75"/>
      <c r="F815" s="75"/>
      <c r="G815" s="75"/>
      <c r="H815" s="75"/>
    </row>
    <row r="816" spans="3:8" ht="13.2">
      <c r="C816" s="75"/>
      <c r="D816" s="75"/>
      <c r="E816" s="75"/>
      <c r="F816" s="75"/>
      <c r="G816" s="75"/>
      <c r="H816" s="75"/>
    </row>
    <row r="817" spans="3:8" ht="13.2">
      <c r="C817" s="75"/>
      <c r="D817" s="75"/>
      <c r="E817" s="75"/>
      <c r="F817" s="75"/>
      <c r="G817" s="75"/>
      <c r="H817" s="75"/>
    </row>
    <row r="818" spans="3:8" ht="13.2">
      <c r="C818" s="75"/>
      <c r="D818" s="75"/>
      <c r="E818" s="75"/>
      <c r="F818" s="75"/>
      <c r="G818" s="75"/>
      <c r="H818" s="75"/>
    </row>
    <row r="819" spans="3:8" ht="13.2">
      <c r="C819" s="75"/>
      <c r="D819" s="75"/>
      <c r="E819" s="75"/>
      <c r="F819" s="75"/>
      <c r="G819" s="75"/>
      <c r="H819" s="75"/>
    </row>
    <row r="820" spans="3:8" ht="13.2">
      <c r="C820" s="75"/>
      <c r="D820" s="75"/>
      <c r="E820" s="75"/>
      <c r="F820" s="75"/>
      <c r="G820" s="75"/>
      <c r="H820" s="75"/>
    </row>
    <row r="821" spans="3:8" ht="13.2">
      <c r="C821" s="75"/>
      <c r="D821" s="75"/>
      <c r="E821" s="75"/>
      <c r="F821" s="75"/>
      <c r="G821" s="75"/>
      <c r="H821" s="75"/>
    </row>
    <row r="822" spans="3:8" ht="13.2">
      <c r="C822" s="75"/>
      <c r="D822" s="75"/>
      <c r="E822" s="75"/>
      <c r="F822" s="75"/>
      <c r="G822" s="75"/>
      <c r="H822" s="75"/>
    </row>
    <row r="823" spans="3:8" ht="13.2">
      <c r="C823" s="75"/>
      <c r="D823" s="75"/>
      <c r="E823" s="75"/>
      <c r="F823" s="75"/>
      <c r="G823" s="75"/>
      <c r="H823" s="75"/>
    </row>
    <row r="824" spans="3:8" ht="13.2">
      <c r="C824" s="75"/>
      <c r="D824" s="75"/>
      <c r="E824" s="75"/>
      <c r="F824" s="75"/>
      <c r="G824" s="75"/>
      <c r="H824" s="75"/>
    </row>
    <row r="825" spans="3:8" ht="13.2">
      <c r="C825" s="75"/>
      <c r="D825" s="75"/>
      <c r="E825" s="75"/>
      <c r="F825" s="75"/>
      <c r="G825" s="75"/>
      <c r="H825" s="75"/>
    </row>
    <row r="826" spans="3:8" ht="13.2">
      <c r="C826" s="75"/>
      <c r="D826" s="75"/>
      <c r="E826" s="75"/>
      <c r="F826" s="75"/>
      <c r="G826" s="75"/>
      <c r="H826" s="75"/>
    </row>
    <row r="827" spans="3:8" ht="13.2">
      <c r="C827" s="75"/>
      <c r="D827" s="75"/>
      <c r="E827" s="75"/>
      <c r="F827" s="75"/>
      <c r="G827" s="75"/>
      <c r="H827" s="75"/>
    </row>
    <row r="828" spans="3:8" ht="13.2">
      <c r="C828" s="75"/>
      <c r="D828" s="75"/>
      <c r="E828" s="75"/>
      <c r="F828" s="75"/>
      <c r="G828" s="75"/>
      <c r="H828" s="75"/>
    </row>
    <row r="829" spans="3:8" ht="13.2">
      <c r="C829" s="75"/>
      <c r="D829" s="75"/>
      <c r="E829" s="75"/>
      <c r="F829" s="75"/>
      <c r="G829" s="75"/>
      <c r="H829" s="75"/>
    </row>
    <row r="830" spans="3:8" ht="13.2">
      <c r="C830" s="75"/>
      <c r="D830" s="75"/>
      <c r="E830" s="75"/>
      <c r="F830" s="75"/>
      <c r="G830" s="75"/>
      <c r="H830" s="75"/>
    </row>
    <row r="831" spans="3:8" ht="13.2">
      <c r="C831" s="75"/>
      <c r="D831" s="75"/>
      <c r="E831" s="75"/>
      <c r="F831" s="75"/>
      <c r="G831" s="75"/>
      <c r="H831" s="75"/>
    </row>
    <row r="832" spans="3:8" ht="13.2">
      <c r="C832" s="75"/>
      <c r="D832" s="75"/>
      <c r="E832" s="75"/>
      <c r="F832" s="75"/>
      <c r="G832" s="75"/>
      <c r="H832" s="75"/>
    </row>
    <row r="833" spans="3:8" ht="13.2">
      <c r="C833" s="75"/>
      <c r="D833" s="75"/>
      <c r="E833" s="75"/>
      <c r="F833" s="75"/>
      <c r="G833" s="75"/>
      <c r="H833" s="75"/>
    </row>
    <row r="834" spans="3:8" ht="13.2">
      <c r="C834" s="75"/>
      <c r="D834" s="75"/>
      <c r="E834" s="75"/>
      <c r="F834" s="75"/>
      <c r="G834" s="75"/>
      <c r="H834" s="75"/>
    </row>
    <row r="835" spans="3:8" ht="13.2">
      <c r="C835" s="75"/>
      <c r="D835" s="75"/>
      <c r="E835" s="75"/>
      <c r="F835" s="75"/>
      <c r="G835" s="75"/>
      <c r="H835" s="75"/>
    </row>
    <row r="836" spans="3:8" ht="13.2">
      <c r="C836" s="75"/>
      <c r="D836" s="75"/>
      <c r="E836" s="75"/>
      <c r="F836" s="75"/>
      <c r="G836" s="75"/>
      <c r="H836" s="75"/>
    </row>
    <row r="837" spans="3:8" ht="13.2">
      <c r="C837" s="75"/>
      <c r="D837" s="75"/>
      <c r="E837" s="75"/>
      <c r="F837" s="75"/>
      <c r="G837" s="75"/>
      <c r="H837" s="75"/>
    </row>
    <row r="838" spans="3:8" ht="13.2">
      <c r="C838" s="75"/>
      <c r="D838" s="75"/>
      <c r="E838" s="75"/>
      <c r="F838" s="75"/>
      <c r="G838" s="75"/>
      <c r="H838" s="75"/>
    </row>
    <row r="839" spans="3:8" ht="13.2">
      <c r="C839" s="75"/>
      <c r="D839" s="75"/>
      <c r="E839" s="75"/>
      <c r="F839" s="75"/>
      <c r="G839" s="75"/>
      <c r="H839" s="75"/>
    </row>
    <row r="840" spans="3:8" ht="13.2">
      <c r="C840" s="75"/>
      <c r="D840" s="75"/>
      <c r="E840" s="75"/>
      <c r="F840" s="75"/>
      <c r="G840" s="75"/>
      <c r="H840" s="75"/>
    </row>
    <row r="841" spans="3:8" ht="13.2">
      <c r="C841" s="75"/>
      <c r="D841" s="75"/>
      <c r="E841" s="75"/>
      <c r="F841" s="75"/>
      <c r="G841" s="75"/>
      <c r="H841" s="75"/>
    </row>
    <row r="842" spans="3:8" ht="13.2">
      <c r="C842" s="75"/>
      <c r="D842" s="75"/>
      <c r="E842" s="75"/>
      <c r="F842" s="75"/>
      <c r="G842" s="75"/>
      <c r="H842" s="75"/>
    </row>
    <row r="843" spans="3:8" ht="13.2">
      <c r="C843" s="75"/>
      <c r="D843" s="75"/>
      <c r="E843" s="75"/>
      <c r="F843" s="75"/>
      <c r="G843" s="75"/>
      <c r="H843" s="75"/>
    </row>
    <row r="844" spans="3:8" ht="13.2">
      <c r="C844" s="75"/>
      <c r="D844" s="75"/>
      <c r="E844" s="75"/>
      <c r="F844" s="75"/>
      <c r="G844" s="75"/>
      <c r="H844" s="75"/>
    </row>
    <row r="845" spans="3:8" ht="13.2">
      <c r="C845" s="75"/>
      <c r="D845" s="75"/>
      <c r="E845" s="75"/>
      <c r="F845" s="75"/>
      <c r="G845" s="75"/>
      <c r="H845" s="75"/>
    </row>
    <row r="846" spans="3:8" ht="13.2">
      <c r="C846" s="75"/>
      <c r="D846" s="75"/>
      <c r="E846" s="75"/>
      <c r="F846" s="75"/>
      <c r="G846" s="75"/>
      <c r="H846" s="75"/>
    </row>
    <row r="847" spans="3:8" ht="13.2">
      <c r="C847" s="75"/>
      <c r="D847" s="75"/>
      <c r="E847" s="75"/>
      <c r="F847" s="75"/>
      <c r="G847" s="75"/>
      <c r="H847" s="75"/>
    </row>
    <row r="848" spans="3:8" ht="13.2">
      <c r="C848" s="75"/>
      <c r="D848" s="75"/>
      <c r="E848" s="75"/>
      <c r="F848" s="75"/>
      <c r="G848" s="75"/>
      <c r="H848" s="75"/>
    </row>
    <row r="849" spans="3:8" ht="13.2">
      <c r="C849" s="75"/>
      <c r="D849" s="75"/>
      <c r="E849" s="75"/>
      <c r="F849" s="75"/>
      <c r="G849" s="75"/>
      <c r="H849" s="75"/>
    </row>
    <row r="850" spans="3:8" ht="13.2">
      <c r="C850" s="75"/>
      <c r="D850" s="75"/>
      <c r="E850" s="75"/>
      <c r="F850" s="75"/>
      <c r="G850" s="75"/>
      <c r="H850" s="75"/>
    </row>
    <row r="851" spans="3:8" ht="13.2">
      <c r="C851" s="75"/>
      <c r="D851" s="75"/>
      <c r="E851" s="75"/>
      <c r="F851" s="75"/>
      <c r="G851" s="75"/>
      <c r="H851" s="75"/>
    </row>
    <row r="852" spans="3:8" ht="13.2">
      <c r="C852" s="75"/>
      <c r="D852" s="75"/>
      <c r="E852" s="75"/>
      <c r="F852" s="75"/>
      <c r="G852" s="75"/>
      <c r="H852" s="75"/>
    </row>
    <row r="853" spans="3:8" ht="13.2">
      <c r="C853" s="75"/>
      <c r="D853" s="75"/>
      <c r="E853" s="75"/>
      <c r="F853" s="75"/>
      <c r="G853" s="75"/>
      <c r="H853" s="75"/>
    </row>
    <row r="854" spans="3:8" ht="13.2">
      <c r="C854" s="75"/>
      <c r="D854" s="75"/>
      <c r="E854" s="75"/>
      <c r="F854" s="75"/>
      <c r="G854" s="75"/>
      <c r="H854" s="75"/>
    </row>
    <row r="855" spans="3:8" ht="13.2">
      <c r="C855" s="75"/>
      <c r="D855" s="75"/>
      <c r="E855" s="75"/>
      <c r="F855" s="75"/>
      <c r="G855" s="75"/>
      <c r="H855" s="75"/>
    </row>
    <row r="856" spans="3:8" ht="13.2">
      <c r="C856" s="75"/>
      <c r="D856" s="75"/>
      <c r="E856" s="75"/>
      <c r="F856" s="75"/>
      <c r="G856" s="75"/>
      <c r="H856" s="75"/>
    </row>
    <row r="857" spans="3:8" ht="13.2">
      <c r="C857" s="75"/>
      <c r="D857" s="75"/>
      <c r="E857" s="75"/>
      <c r="F857" s="75"/>
      <c r="G857" s="75"/>
      <c r="H857" s="75"/>
    </row>
    <row r="858" spans="3:8" ht="13.2">
      <c r="C858" s="75"/>
      <c r="D858" s="75"/>
      <c r="E858" s="75"/>
      <c r="F858" s="75"/>
      <c r="G858" s="75"/>
      <c r="H858" s="75"/>
    </row>
    <row r="859" spans="3:8" ht="13.2">
      <c r="C859" s="75"/>
      <c r="D859" s="75"/>
      <c r="E859" s="75"/>
      <c r="F859" s="75"/>
      <c r="G859" s="75"/>
      <c r="H859" s="75"/>
    </row>
    <row r="860" spans="3:8" ht="13.2">
      <c r="C860" s="75"/>
      <c r="D860" s="75"/>
      <c r="E860" s="75"/>
      <c r="F860" s="75"/>
      <c r="G860" s="75"/>
      <c r="H860" s="75"/>
    </row>
    <row r="861" spans="3:8" ht="13.2">
      <c r="C861" s="75"/>
      <c r="D861" s="75"/>
      <c r="E861" s="75"/>
      <c r="F861" s="75"/>
      <c r="G861" s="75"/>
      <c r="H861" s="75"/>
    </row>
    <row r="862" spans="3:8" ht="13.2">
      <c r="C862" s="75"/>
      <c r="D862" s="75"/>
      <c r="E862" s="75"/>
      <c r="F862" s="75"/>
      <c r="G862" s="75"/>
      <c r="H862" s="75"/>
    </row>
    <row r="863" spans="3:8" ht="13.2">
      <c r="C863" s="75"/>
      <c r="D863" s="75"/>
      <c r="E863" s="75"/>
      <c r="F863" s="75"/>
      <c r="G863" s="75"/>
      <c r="H863" s="75"/>
    </row>
    <row r="864" spans="3:8" ht="13.2">
      <c r="C864" s="75"/>
      <c r="D864" s="75"/>
      <c r="E864" s="75"/>
      <c r="F864" s="75"/>
      <c r="G864" s="75"/>
      <c r="H864" s="75"/>
    </row>
    <row r="865" spans="3:8" ht="13.2">
      <c r="C865" s="75"/>
      <c r="D865" s="75"/>
      <c r="E865" s="75"/>
      <c r="F865" s="75"/>
      <c r="G865" s="75"/>
      <c r="H865" s="75"/>
    </row>
    <row r="866" spans="3:8" ht="13.2">
      <c r="C866" s="75"/>
      <c r="D866" s="75"/>
      <c r="E866" s="75"/>
      <c r="F866" s="75"/>
      <c r="G866" s="75"/>
      <c r="H866" s="75"/>
    </row>
    <row r="867" spans="3:8" ht="13.2">
      <c r="C867" s="75"/>
      <c r="D867" s="75"/>
      <c r="E867" s="75"/>
      <c r="F867" s="75"/>
      <c r="G867" s="75"/>
      <c r="H867" s="75"/>
    </row>
    <row r="868" spans="3:8" ht="13.2">
      <c r="C868" s="75"/>
      <c r="D868" s="75"/>
      <c r="E868" s="75"/>
      <c r="F868" s="75"/>
      <c r="G868" s="75"/>
      <c r="H868" s="75"/>
    </row>
    <row r="869" spans="3:8" ht="13.2">
      <c r="C869" s="75"/>
      <c r="D869" s="75"/>
      <c r="E869" s="75"/>
      <c r="F869" s="75"/>
      <c r="G869" s="75"/>
      <c r="H869" s="75"/>
    </row>
    <row r="870" spans="3:8" ht="13.2">
      <c r="C870" s="75"/>
      <c r="D870" s="75"/>
      <c r="E870" s="75"/>
      <c r="F870" s="75"/>
      <c r="G870" s="75"/>
      <c r="H870" s="75"/>
    </row>
    <row r="871" spans="3:8" ht="13.2">
      <c r="C871" s="75"/>
      <c r="D871" s="75"/>
      <c r="E871" s="75"/>
      <c r="F871" s="75"/>
      <c r="G871" s="75"/>
      <c r="H871" s="75"/>
    </row>
    <row r="872" spans="3:8" ht="13.2">
      <c r="C872" s="75"/>
      <c r="D872" s="75"/>
      <c r="E872" s="75"/>
      <c r="F872" s="75"/>
      <c r="G872" s="75"/>
      <c r="H872" s="75"/>
    </row>
    <row r="873" spans="3:8" ht="13.2">
      <c r="C873" s="75"/>
      <c r="D873" s="75"/>
      <c r="E873" s="75"/>
      <c r="F873" s="75"/>
      <c r="G873" s="75"/>
      <c r="H873" s="75"/>
    </row>
    <row r="874" spans="3:8" ht="13.2">
      <c r="C874" s="75"/>
      <c r="D874" s="75"/>
      <c r="E874" s="75"/>
      <c r="F874" s="75"/>
      <c r="G874" s="75"/>
      <c r="H874" s="75"/>
    </row>
    <row r="875" spans="3:8" ht="13.2">
      <c r="C875" s="75"/>
      <c r="D875" s="75"/>
      <c r="E875" s="75"/>
      <c r="F875" s="75"/>
      <c r="G875" s="75"/>
      <c r="H875" s="75"/>
    </row>
    <row r="876" spans="3:8" ht="13.2">
      <c r="C876" s="75"/>
      <c r="D876" s="75"/>
      <c r="E876" s="75"/>
      <c r="F876" s="75"/>
      <c r="G876" s="75"/>
      <c r="H876" s="75"/>
    </row>
    <row r="877" spans="3:8" ht="13.2">
      <c r="C877" s="75"/>
      <c r="D877" s="75"/>
      <c r="E877" s="75"/>
      <c r="F877" s="75"/>
      <c r="G877" s="75"/>
      <c r="H877" s="75"/>
    </row>
    <row r="878" spans="3:8" ht="13.2">
      <c r="C878" s="75"/>
      <c r="D878" s="75"/>
      <c r="E878" s="75"/>
      <c r="F878" s="75"/>
      <c r="G878" s="75"/>
      <c r="H878" s="75"/>
    </row>
    <row r="879" spans="3:8" ht="13.2">
      <c r="C879" s="75"/>
      <c r="D879" s="75"/>
      <c r="E879" s="75"/>
      <c r="F879" s="75"/>
      <c r="G879" s="75"/>
      <c r="H879" s="75"/>
    </row>
    <row r="880" spans="3:8" ht="13.2">
      <c r="C880" s="75"/>
      <c r="D880" s="75"/>
      <c r="E880" s="75"/>
      <c r="F880" s="75"/>
      <c r="G880" s="75"/>
      <c r="H880" s="75"/>
    </row>
    <row r="881" spans="3:8" ht="13.2">
      <c r="C881" s="75"/>
      <c r="D881" s="75"/>
      <c r="E881" s="75"/>
      <c r="F881" s="75"/>
      <c r="G881" s="75"/>
      <c r="H881" s="75"/>
    </row>
    <row r="882" spans="3:8" ht="13.2">
      <c r="C882" s="75"/>
      <c r="D882" s="75"/>
      <c r="E882" s="75"/>
      <c r="F882" s="75"/>
      <c r="G882" s="75"/>
      <c r="H882" s="75"/>
    </row>
    <row r="883" spans="3:8" ht="13.2">
      <c r="C883" s="75"/>
      <c r="D883" s="75"/>
      <c r="E883" s="75"/>
      <c r="F883" s="75"/>
      <c r="G883" s="75"/>
      <c r="H883" s="75"/>
    </row>
    <row r="884" spans="3:8" ht="13.2">
      <c r="C884" s="75"/>
      <c r="D884" s="75"/>
      <c r="E884" s="75"/>
      <c r="F884" s="75"/>
      <c r="G884" s="75"/>
      <c r="H884" s="75"/>
    </row>
    <row r="885" spans="3:8" ht="13.2">
      <c r="C885" s="75"/>
      <c r="D885" s="75"/>
      <c r="E885" s="75"/>
      <c r="F885" s="75"/>
      <c r="G885" s="75"/>
      <c r="H885" s="75"/>
    </row>
    <row r="886" spans="3:8" ht="13.2">
      <c r="C886" s="75"/>
      <c r="D886" s="75"/>
      <c r="E886" s="75"/>
      <c r="F886" s="75"/>
      <c r="G886" s="75"/>
      <c r="H886" s="75"/>
    </row>
    <row r="887" spans="3:8" ht="13.2">
      <c r="C887" s="75"/>
      <c r="D887" s="75"/>
      <c r="E887" s="75"/>
      <c r="F887" s="75"/>
      <c r="G887" s="75"/>
      <c r="H887" s="75"/>
    </row>
    <row r="888" spans="3:8" ht="13.2">
      <c r="C888" s="75"/>
      <c r="D888" s="75"/>
      <c r="E888" s="75"/>
      <c r="F888" s="75"/>
      <c r="G888" s="75"/>
      <c r="H888" s="75"/>
    </row>
    <row r="889" spans="3:8" ht="13.2">
      <c r="C889" s="75"/>
      <c r="D889" s="75"/>
      <c r="E889" s="75"/>
      <c r="F889" s="75"/>
      <c r="G889" s="75"/>
      <c r="H889" s="75"/>
    </row>
    <row r="890" spans="3:8" ht="13.2">
      <c r="C890" s="75"/>
      <c r="D890" s="75"/>
      <c r="E890" s="75"/>
      <c r="F890" s="75"/>
      <c r="G890" s="75"/>
      <c r="H890" s="75"/>
    </row>
    <row r="891" spans="3:8" ht="13.2">
      <c r="C891" s="75"/>
      <c r="D891" s="75"/>
      <c r="E891" s="75"/>
      <c r="F891" s="75"/>
      <c r="G891" s="75"/>
      <c r="H891" s="75"/>
    </row>
    <row r="892" spans="3:8" ht="13.2">
      <c r="C892" s="75"/>
      <c r="D892" s="75"/>
      <c r="E892" s="75"/>
      <c r="F892" s="75"/>
      <c r="G892" s="75"/>
      <c r="H892" s="75"/>
    </row>
    <row r="893" spans="3:8" ht="13.2">
      <c r="C893" s="75"/>
      <c r="D893" s="75"/>
      <c r="E893" s="75"/>
      <c r="F893" s="75"/>
      <c r="G893" s="75"/>
      <c r="H893" s="75"/>
    </row>
    <row r="894" spans="3:8" ht="13.2">
      <c r="C894" s="75"/>
      <c r="D894" s="75"/>
      <c r="E894" s="75"/>
      <c r="F894" s="75"/>
      <c r="G894" s="75"/>
      <c r="H894" s="75"/>
    </row>
    <row r="895" spans="3:8" ht="13.2">
      <c r="C895" s="75"/>
      <c r="D895" s="75"/>
      <c r="E895" s="75"/>
      <c r="F895" s="75"/>
      <c r="G895" s="75"/>
      <c r="H895" s="75"/>
    </row>
    <row r="896" spans="3:8" ht="13.2">
      <c r="C896" s="75"/>
      <c r="D896" s="75"/>
      <c r="E896" s="75"/>
      <c r="F896" s="75"/>
      <c r="G896" s="75"/>
      <c r="H896" s="75"/>
    </row>
    <row r="897" spans="3:8" ht="13.2">
      <c r="C897" s="75"/>
      <c r="D897" s="75"/>
      <c r="E897" s="75"/>
      <c r="F897" s="75"/>
      <c r="G897" s="75"/>
      <c r="H897" s="75"/>
    </row>
    <row r="898" spans="3:8" ht="13.2">
      <c r="C898" s="75"/>
      <c r="D898" s="75"/>
      <c r="E898" s="75"/>
      <c r="F898" s="75"/>
      <c r="G898" s="75"/>
      <c r="H898" s="75"/>
    </row>
    <row r="899" spans="3:8" ht="13.2">
      <c r="C899" s="75"/>
      <c r="D899" s="75"/>
      <c r="E899" s="75"/>
      <c r="F899" s="75"/>
      <c r="G899" s="75"/>
      <c r="H899" s="75"/>
    </row>
    <row r="900" spans="3:8" ht="13.2">
      <c r="C900" s="75"/>
      <c r="D900" s="75"/>
      <c r="E900" s="75"/>
      <c r="F900" s="75"/>
      <c r="G900" s="75"/>
      <c r="H900" s="75"/>
    </row>
    <row r="901" spans="3:8" ht="13.2">
      <c r="C901" s="75"/>
      <c r="D901" s="75"/>
      <c r="E901" s="75"/>
      <c r="F901" s="75"/>
      <c r="G901" s="75"/>
      <c r="H901" s="75"/>
    </row>
    <row r="902" spans="3:8" ht="13.2">
      <c r="C902" s="75"/>
      <c r="D902" s="75"/>
      <c r="E902" s="75"/>
      <c r="F902" s="75"/>
      <c r="G902" s="75"/>
      <c r="H902" s="75"/>
    </row>
    <row r="903" spans="3:8" ht="13.2">
      <c r="C903" s="75"/>
      <c r="D903" s="75"/>
      <c r="E903" s="75"/>
      <c r="F903" s="75"/>
      <c r="G903" s="75"/>
      <c r="H903" s="75"/>
    </row>
    <row r="904" spans="3:8" ht="13.2">
      <c r="C904" s="75"/>
      <c r="D904" s="75"/>
      <c r="E904" s="75"/>
      <c r="F904" s="75"/>
      <c r="G904" s="75"/>
      <c r="H904" s="75"/>
    </row>
    <row r="905" spans="3:8" ht="13.2">
      <c r="C905" s="75"/>
      <c r="D905" s="75"/>
      <c r="E905" s="75"/>
      <c r="F905" s="75"/>
      <c r="G905" s="75"/>
      <c r="H905" s="75"/>
    </row>
    <row r="906" spans="3:8" ht="13.2">
      <c r="C906" s="75"/>
      <c r="D906" s="75"/>
      <c r="E906" s="75"/>
      <c r="F906" s="75"/>
      <c r="G906" s="75"/>
      <c r="H906" s="75"/>
    </row>
    <row r="907" spans="3:8" ht="13.2">
      <c r="C907" s="75"/>
      <c r="D907" s="75"/>
      <c r="E907" s="75"/>
      <c r="F907" s="75"/>
      <c r="G907" s="75"/>
      <c r="H907" s="75"/>
    </row>
    <row r="908" spans="3:8" ht="13.2">
      <c r="C908" s="75"/>
      <c r="D908" s="75"/>
      <c r="E908" s="75"/>
      <c r="F908" s="75"/>
      <c r="G908" s="75"/>
      <c r="H908" s="75"/>
    </row>
    <row r="909" spans="3:8" ht="13.2">
      <c r="C909" s="75"/>
      <c r="D909" s="75"/>
      <c r="E909" s="75"/>
      <c r="F909" s="75"/>
      <c r="G909" s="75"/>
      <c r="H909" s="75"/>
    </row>
    <row r="910" spans="3:8" ht="13.2">
      <c r="C910" s="75"/>
      <c r="D910" s="75"/>
      <c r="E910" s="75"/>
      <c r="F910" s="75"/>
      <c r="G910" s="75"/>
      <c r="H910" s="75"/>
    </row>
    <row r="911" spans="3:8" ht="13.2">
      <c r="C911" s="75"/>
      <c r="D911" s="75"/>
      <c r="E911" s="75"/>
      <c r="F911" s="75"/>
      <c r="G911" s="75"/>
      <c r="H911" s="75"/>
    </row>
    <row r="912" spans="3:8" ht="13.2">
      <c r="C912" s="75"/>
      <c r="D912" s="75"/>
      <c r="E912" s="75"/>
      <c r="F912" s="75"/>
      <c r="G912" s="75"/>
      <c r="H912" s="75"/>
    </row>
    <row r="913" spans="3:8" ht="13.2">
      <c r="C913" s="75"/>
      <c r="D913" s="75"/>
      <c r="E913" s="75"/>
      <c r="F913" s="75"/>
      <c r="G913" s="75"/>
      <c r="H913" s="75"/>
    </row>
    <row r="914" spans="3:8" ht="13.2">
      <c r="C914" s="75"/>
      <c r="D914" s="75"/>
      <c r="E914" s="75"/>
      <c r="F914" s="75"/>
      <c r="G914" s="75"/>
      <c r="H914" s="75"/>
    </row>
    <row r="915" spans="3:8" ht="13.2">
      <c r="C915" s="75"/>
      <c r="D915" s="75"/>
      <c r="E915" s="75"/>
      <c r="F915" s="75"/>
      <c r="G915" s="75"/>
      <c r="H915" s="75"/>
    </row>
    <row r="916" spans="3:8" ht="13.2">
      <c r="C916" s="75"/>
      <c r="D916" s="75"/>
      <c r="E916" s="75"/>
      <c r="F916" s="75"/>
      <c r="G916" s="75"/>
      <c r="H916" s="75"/>
    </row>
    <row r="917" spans="3:8" ht="13.2">
      <c r="C917" s="75"/>
      <c r="D917" s="75"/>
      <c r="E917" s="75"/>
      <c r="F917" s="75"/>
      <c r="G917" s="75"/>
      <c r="H917" s="75"/>
    </row>
    <row r="918" spans="3:8" ht="13.2">
      <c r="C918" s="75"/>
      <c r="D918" s="75"/>
      <c r="E918" s="75"/>
      <c r="F918" s="75"/>
      <c r="G918" s="75"/>
      <c r="H918" s="75"/>
    </row>
    <row r="919" spans="3:8" ht="13.2">
      <c r="C919" s="75"/>
      <c r="D919" s="75"/>
      <c r="E919" s="75"/>
      <c r="F919" s="75"/>
      <c r="G919" s="75"/>
      <c r="H919" s="75"/>
    </row>
    <row r="920" spans="3:8" ht="13.2">
      <c r="C920" s="75"/>
      <c r="D920" s="75"/>
      <c r="E920" s="75"/>
      <c r="F920" s="75"/>
      <c r="G920" s="75"/>
      <c r="H920" s="75"/>
    </row>
    <row r="921" spans="3:8" ht="13.2">
      <c r="C921" s="75"/>
      <c r="D921" s="75"/>
      <c r="E921" s="75"/>
      <c r="F921" s="75"/>
      <c r="G921" s="75"/>
      <c r="H921" s="75"/>
    </row>
    <row r="922" spans="3:8" ht="13.2">
      <c r="C922" s="75"/>
      <c r="D922" s="75"/>
      <c r="E922" s="75"/>
      <c r="F922" s="75"/>
      <c r="G922" s="75"/>
      <c r="H922" s="75"/>
    </row>
    <row r="923" spans="3:8" ht="13.2">
      <c r="C923" s="75"/>
      <c r="D923" s="75"/>
      <c r="E923" s="75"/>
      <c r="F923" s="75"/>
      <c r="G923" s="75"/>
      <c r="H923" s="75"/>
    </row>
    <row r="924" spans="3:8" ht="13.2">
      <c r="C924" s="75"/>
      <c r="D924" s="75"/>
      <c r="E924" s="75"/>
      <c r="F924" s="75"/>
      <c r="G924" s="75"/>
      <c r="H924" s="75"/>
    </row>
    <row r="925" spans="3:8" ht="13.2">
      <c r="C925" s="75"/>
      <c r="D925" s="75"/>
      <c r="E925" s="75"/>
      <c r="F925" s="75"/>
      <c r="G925" s="75"/>
      <c r="H925" s="75"/>
    </row>
    <row r="926" spans="3:8" ht="13.2">
      <c r="C926" s="75"/>
      <c r="D926" s="75"/>
      <c r="E926" s="75"/>
      <c r="F926" s="75"/>
      <c r="G926" s="75"/>
      <c r="H926" s="75"/>
    </row>
    <row r="927" spans="3:8" ht="13.2">
      <c r="C927" s="75"/>
      <c r="D927" s="75"/>
      <c r="E927" s="75"/>
      <c r="F927" s="75"/>
      <c r="G927" s="75"/>
      <c r="H927" s="75"/>
    </row>
    <row r="928" spans="3:8" ht="13.2">
      <c r="C928" s="75"/>
      <c r="D928" s="75"/>
      <c r="E928" s="75"/>
      <c r="F928" s="75"/>
      <c r="G928" s="75"/>
      <c r="H928" s="75"/>
    </row>
    <row r="929" spans="3:8" ht="13.2">
      <c r="C929" s="75"/>
      <c r="D929" s="75"/>
      <c r="E929" s="75"/>
      <c r="F929" s="75"/>
      <c r="G929" s="75"/>
      <c r="H929" s="75"/>
    </row>
    <row r="930" spans="3:8" ht="13.2">
      <c r="C930" s="75"/>
      <c r="D930" s="75"/>
      <c r="E930" s="75"/>
      <c r="F930" s="75"/>
      <c r="G930" s="75"/>
      <c r="H930" s="75"/>
    </row>
    <row r="931" spans="3:8" ht="13.2">
      <c r="C931" s="75"/>
      <c r="D931" s="75"/>
      <c r="E931" s="75"/>
      <c r="F931" s="75"/>
      <c r="G931" s="75"/>
      <c r="H931" s="75"/>
    </row>
    <row r="932" spans="3:8" ht="13.2">
      <c r="C932" s="75"/>
      <c r="D932" s="75"/>
      <c r="E932" s="75"/>
      <c r="F932" s="75"/>
      <c r="G932" s="75"/>
      <c r="H932" s="75"/>
    </row>
    <row r="933" spans="3:8" ht="13.2">
      <c r="C933" s="75"/>
      <c r="D933" s="75"/>
      <c r="E933" s="75"/>
      <c r="F933" s="75"/>
      <c r="G933" s="75"/>
      <c r="H933" s="75"/>
    </row>
    <row r="934" spans="3:8" ht="13.2">
      <c r="C934" s="75"/>
      <c r="D934" s="75"/>
      <c r="E934" s="75"/>
      <c r="F934" s="75"/>
      <c r="G934" s="75"/>
      <c r="H934" s="75"/>
    </row>
    <row r="935" spans="3:8" ht="13.2">
      <c r="C935" s="75"/>
      <c r="D935" s="75"/>
      <c r="E935" s="75"/>
      <c r="F935" s="75"/>
      <c r="G935" s="75"/>
      <c r="H935" s="75"/>
    </row>
    <row r="936" spans="3:8" ht="13.2">
      <c r="C936" s="75"/>
      <c r="D936" s="75"/>
      <c r="E936" s="75"/>
      <c r="F936" s="75"/>
      <c r="G936" s="75"/>
      <c r="H936" s="75"/>
    </row>
    <row r="937" spans="3:8" ht="13.2">
      <c r="C937" s="75"/>
      <c r="D937" s="75"/>
      <c r="E937" s="75"/>
      <c r="F937" s="75"/>
      <c r="G937" s="75"/>
      <c r="H937" s="75"/>
    </row>
    <row r="938" spans="3:8" ht="13.2">
      <c r="C938" s="75"/>
      <c r="D938" s="75"/>
      <c r="E938" s="75"/>
      <c r="F938" s="75"/>
      <c r="G938" s="75"/>
      <c r="H938" s="75"/>
    </row>
    <row r="939" spans="3:8" ht="13.2">
      <c r="C939" s="75"/>
      <c r="D939" s="75"/>
      <c r="E939" s="75"/>
      <c r="F939" s="75"/>
      <c r="G939" s="75"/>
      <c r="H939" s="75"/>
    </row>
    <row r="940" spans="3:8" ht="13.2">
      <c r="C940" s="75"/>
      <c r="D940" s="75"/>
      <c r="E940" s="75"/>
      <c r="F940" s="75"/>
      <c r="G940" s="75"/>
      <c r="H940" s="75"/>
    </row>
    <row r="941" spans="3:8" ht="13.2">
      <c r="C941" s="75"/>
      <c r="D941" s="75"/>
      <c r="E941" s="75"/>
      <c r="F941" s="75"/>
      <c r="G941" s="75"/>
      <c r="H941" s="75"/>
    </row>
    <row r="942" spans="3:8" ht="13.2">
      <c r="C942" s="75"/>
      <c r="D942" s="75"/>
      <c r="E942" s="75"/>
      <c r="F942" s="75"/>
      <c r="G942" s="75"/>
      <c r="H942" s="75"/>
    </row>
    <row r="943" spans="3:8" ht="13.2">
      <c r="C943" s="75"/>
      <c r="D943" s="75"/>
      <c r="E943" s="75"/>
      <c r="F943" s="75"/>
      <c r="G943" s="75"/>
      <c r="H943" s="75"/>
    </row>
    <row r="944" spans="3:8" ht="13.2">
      <c r="C944" s="75"/>
      <c r="D944" s="75"/>
      <c r="E944" s="75"/>
      <c r="F944" s="75"/>
      <c r="G944" s="75"/>
      <c r="H944" s="75"/>
    </row>
    <row r="945" spans="3:8" ht="13.2">
      <c r="C945" s="75"/>
      <c r="D945" s="75"/>
      <c r="E945" s="75"/>
      <c r="F945" s="75"/>
      <c r="G945" s="75"/>
      <c r="H945" s="75"/>
    </row>
    <row r="946" spans="3:8" ht="13.2">
      <c r="C946" s="75"/>
      <c r="D946" s="75"/>
      <c r="E946" s="75"/>
      <c r="F946" s="75"/>
      <c r="G946" s="75"/>
      <c r="H946" s="75"/>
    </row>
    <row r="947" spans="3:8" ht="13.2">
      <c r="C947" s="75"/>
      <c r="D947" s="75"/>
      <c r="E947" s="75"/>
      <c r="F947" s="75"/>
      <c r="G947" s="75"/>
      <c r="H947" s="75"/>
    </row>
    <row r="948" spans="3:8" ht="13.2">
      <c r="C948" s="75"/>
      <c r="D948" s="75"/>
      <c r="E948" s="75"/>
      <c r="F948" s="75"/>
      <c r="G948" s="75"/>
      <c r="H948" s="75"/>
    </row>
    <row r="949" spans="3:8" ht="13.2">
      <c r="C949" s="75"/>
      <c r="D949" s="75"/>
      <c r="E949" s="75"/>
      <c r="F949" s="75"/>
      <c r="G949" s="75"/>
      <c r="H949" s="75"/>
    </row>
    <row r="950" spans="3:8" ht="13.2">
      <c r="C950" s="75"/>
      <c r="D950" s="75"/>
      <c r="E950" s="75"/>
      <c r="F950" s="75"/>
      <c r="G950" s="75"/>
      <c r="H950" s="75"/>
    </row>
    <row r="951" spans="3:8" ht="13.2">
      <c r="C951" s="75"/>
      <c r="D951" s="75"/>
      <c r="E951" s="75"/>
      <c r="F951" s="75"/>
      <c r="G951" s="75"/>
      <c r="H951" s="75"/>
    </row>
    <row r="952" spans="3:8" ht="13.2">
      <c r="C952" s="75"/>
      <c r="D952" s="75"/>
      <c r="E952" s="75"/>
      <c r="F952" s="75"/>
      <c r="G952" s="75"/>
      <c r="H952" s="75"/>
    </row>
    <row r="953" spans="3:8" ht="13.2">
      <c r="C953" s="75"/>
      <c r="D953" s="75"/>
      <c r="E953" s="75"/>
      <c r="F953" s="75"/>
      <c r="G953" s="75"/>
      <c r="H953" s="75"/>
    </row>
    <row r="954" spans="3:8" ht="13.2">
      <c r="C954" s="75"/>
      <c r="D954" s="75"/>
      <c r="E954" s="75"/>
      <c r="F954" s="75"/>
      <c r="G954" s="75"/>
      <c r="H954" s="75"/>
    </row>
    <row r="955" spans="3:8" ht="13.2">
      <c r="C955" s="75"/>
      <c r="D955" s="75"/>
      <c r="E955" s="75"/>
      <c r="F955" s="75"/>
      <c r="G955" s="75"/>
      <c r="H955" s="75"/>
    </row>
    <row r="956" spans="3:8" ht="13.2">
      <c r="C956" s="75"/>
      <c r="D956" s="75"/>
      <c r="E956" s="75"/>
      <c r="F956" s="75"/>
      <c r="G956" s="75"/>
      <c r="H956" s="75"/>
    </row>
    <row r="957" spans="3:8" ht="13.2">
      <c r="C957" s="75"/>
      <c r="D957" s="75"/>
      <c r="E957" s="75"/>
      <c r="F957" s="75"/>
      <c r="G957" s="75"/>
      <c r="H957" s="75"/>
    </row>
    <row r="958" spans="3:8" ht="13.2">
      <c r="C958" s="75"/>
      <c r="D958" s="75"/>
      <c r="E958" s="75"/>
      <c r="F958" s="75"/>
      <c r="G958" s="75"/>
      <c r="H958" s="75"/>
    </row>
    <row r="959" spans="3:8" ht="13.2">
      <c r="C959" s="75"/>
      <c r="D959" s="75"/>
      <c r="E959" s="75"/>
      <c r="F959" s="75"/>
      <c r="G959" s="75"/>
      <c r="H959" s="75"/>
    </row>
    <row r="960" spans="3:8" ht="13.2">
      <c r="C960" s="75"/>
      <c r="D960" s="75"/>
      <c r="E960" s="75"/>
      <c r="F960" s="75"/>
      <c r="G960" s="75"/>
      <c r="H960" s="75"/>
    </row>
    <row r="961" spans="3:8" ht="13.2">
      <c r="C961" s="75"/>
      <c r="D961" s="75"/>
      <c r="E961" s="75"/>
      <c r="F961" s="75"/>
      <c r="G961" s="75"/>
      <c r="H961" s="75"/>
    </row>
    <row r="962" spans="3:8" ht="13.2">
      <c r="C962" s="75"/>
      <c r="D962" s="75"/>
      <c r="E962" s="75"/>
      <c r="F962" s="75"/>
      <c r="G962" s="75"/>
      <c r="H962" s="75"/>
    </row>
    <row r="963" spans="3:8" ht="13.2">
      <c r="C963" s="75"/>
      <c r="D963" s="75"/>
      <c r="E963" s="75"/>
      <c r="F963" s="75"/>
      <c r="G963" s="75"/>
      <c r="H963" s="75"/>
    </row>
    <row r="964" spans="3:8" ht="13.2">
      <c r="C964" s="75"/>
      <c r="D964" s="75"/>
      <c r="E964" s="75"/>
      <c r="F964" s="75"/>
      <c r="G964" s="75"/>
      <c r="H964" s="75"/>
    </row>
    <row r="965" spans="3:8" ht="13.2">
      <c r="C965" s="75"/>
      <c r="D965" s="75"/>
      <c r="E965" s="75"/>
      <c r="F965" s="75"/>
      <c r="G965" s="75"/>
      <c r="H965" s="75"/>
    </row>
    <row r="966" spans="3:8" ht="13.2">
      <c r="C966" s="75"/>
      <c r="D966" s="75"/>
      <c r="E966" s="75"/>
      <c r="F966" s="75"/>
      <c r="G966" s="75"/>
      <c r="H966" s="75"/>
    </row>
    <row r="967" spans="3:8" ht="13.2">
      <c r="C967" s="75"/>
      <c r="D967" s="75"/>
      <c r="E967" s="75"/>
      <c r="F967" s="75"/>
      <c r="G967" s="75"/>
      <c r="H967" s="75"/>
    </row>
    <row r="968" spans="3:8" ht="13.2">
      <c r="C968" s="75"/>
      <c r="D968" s="75"/>
      <c r="E968" s="75"/>
      <c r="F968" s="75"/>
      <c r="G968" s="75"/>
      <c r="H968" s="75"/>
    </row>
    <row r="969" spans="3:8" ht="13.2">
      <c r="C969" s="75"/>
      <c r="D969" s="75"/>
      <c r="E969" s="75"/>
      <c r="F969" s="75"/>
      <c r="G969" s="75"/>
      <c r="H969" s="75"/>
    </row>
    <row r="970" spans="3:8" ht="13.2">
      <c r="C970" s="75"/>
      <c r="D970" s="75"/>
      <c r="E970" s="75"/>
      <c r="F970" s="75"/>
      <c r="G970" s="75"/>
      <c r="H970" s="75"/>
    </row>
    <row r="971" spans="3:8" ht="13.2">
      <c r="C971" s="75"/>
      <c r="D971" s="75"/>
      <c r="E971" s="75"/>
      <c r="F971" s="75"/>
      <c r="G971" s="75"/>
      <c r="H971" s="75"/>
    </row>
    <row r="972" spans="3:8" ht="13.2">
      <c r="C972" s="75"/>
      <c r="D972" s="75"/>
      <c r="E972" s="75"/>
      <c r="F972" s="75"/>
      <c r="G972" s="75"/>
      <c r="H972" s="75"/>
    </row>
    <row r="973" spans="3:8" ht="13.2">
      <c r="C973" s="75"/>
      <c r="D973" s="75"/>
      <c r="E973" s="75"/>
      <c r="F973" s="75"/>
      <c r="G973" s="75"/>
      <c r="H973" s="75"/>
    </row>
    <row r="974" spans="3:8" ht="13.2">
      <c r="C974" s="75"/>
      <c r="D974" s="75"/>
      <c r="E974" s="75"/>
      <c r="F974" s="75"/>
      <c r="G974" s="75"/>
      <c r="H974" s="75"/>
    </row>
    <row r="975" spans="3:8" ht="13.2">
      <c r="C975" s="75"/>
      <c r="D975" s="75"/>
      <c r="E975" s="75"/>
      <c r="F975" s="75"/>
      <c r="G975" s="75"/>
      <c r="H975" s="75"/>
    </row>
    <row r="976" spans="3:8" ht="13.2">
      <c r="C976" s="75"/>
      <c r="D976" s="75"/>
      <c r="E976" s="75"/>
      <c r="F976" s="75"/>
      <c r="G976" s="75"/>
      <c r="H976" s="75"/>
    </row>
    <row r="977" spans="3:8" ht="13.2">
      <c r="C977" s="75"/>
      <c r="D977" s="75"/>
      <c r="E977" s="75"/>
      <c r="F977" s="75"/>
      <c r="G977" s="75"/>
      <c r="H977" s="75"/>
    </row>
    <row r="978" spans="3:8" ht="13.2">
      <c r="C978" s="75"/>
      <c r="D978" s="75"/>
      <c r="E978" s="75"/>
      <c r="F978" s="75"/>
      <c r="G978" s="75"/>
      <c r="H978" s="75"/>
    </row>
    <row r="979" spans="3:8" ht="13.2">
      <c r="C979" s="75"/>
      <c r="D979" s="75"/>
      <c r="E979" s="75"/>
      <c r="F979" s="75"/>
      <c r="G979" s="75"/>
      <c r="H979" s="75"/>
    </row>
    <row r="980" spans="3:8" ht="13.2">
      <c r="C980" s="75"/>
      <c r="D980" s="75"/>
      <c r="E980" s="75"/>
      <c r="F980" s="75"/>
      <c r="G980" s="75"/>
      <c r="H980" s="75"/>
    </row>
    <row r="981" spans="3:8" ht="13.2">
      <c r="C981" s="75"/>
      <c r="D981" s="75"/>
      <c r="E981" s="75"/>
      <c r="F981" s="75"/>
      <c r="G981" s="75"/>
      <c r="H981" s="75"/>
    </row>
    <row r="982" spans="3:8" ht="13.2">
      <c r="C982" s="75"/>
      <c r="D982" s="75"/>
      <c r="E982" s="75"/>
      <c r="F982" s="75"/>
      <c r="G982" s="75"/>
      <c r="H982" s="75"/>
    </row>
    <row r="983" spans="3:8" ht="13.2">
      <c r="C983" s="75"/>
      <c r="D983" s="75"/>
      <c r="E983" s="75"/>
      <c r="F983" s="75"/>
      <c r="G983" s="75"/>
      <c r="H983" s="75"/>
    </row>
    <row r="984" spans="3:8" ht="13.2">
      <c r="C984" s="75"/>
      <c r="D984" s="75"/>
      <c r="E984" s="75"/>
      <c r="F984" s="75"/>
      <c r="G984" s="75"/>
      <c r="H984" s="75"/>
    </row>
    <row r="985" spans="3:8" ht="13.2">
      <c r="C985" s="75"/>
      <c r="D985" s="75"/>
      <c r="E985" s="75"/>
      <c r="F985" s="75"/>
      <c r="G985" s="75"/>
      <c r="H985" s="75"/>
    </row>
    <row r="986" spans="3:8" ht="13.2">
      <c r="C986" s="75"/>
      <c r="D986" s="75"/>
      <c r="E986" s="75"/>
      <c r="F986" s="75"/>
      <c r="G986" s="75"/>
      <c r="H986" s="75"/>
    </row>
    <row r="987" spans="3:8" ht="13.2">
      <c r="C987" s="75"/>
      <c r="D987" s="75"/>
      <c r="E987" s="75"/>
      <c r="F987" s="75"/>
      <c r="G987" s="75"/>
      <c r="H987" s="75"/>
    </row>
    <row r="988" spans="3:8" ht="13.2">
      <c r="C988" s="75"/>
      <c r="D988" s="75"/>
      <c r="E988" s="75"/>
      <c r="F988" s="75"/>
      <c r="G988" s="75"/>
      <c r="H988" s="75"/>
    </row>
    <row r="989" spans="3:8" ht="13.2">
      <c r="C989" s="75"/>
      <c r="D989" s="75"/>
      <c r="E989" s="75"/>
      <c r="F989" s="75"/>
      <c r="G989" s="75"/>
      <c r="H989" s="75"/>
    </row>
    <row r="990" spans="3:8" ht="13.2">
      <c r="C990" s="75"/>
      <c r="D990" s="75"/>
      <c r="E990" s="75"/>
      <c r="F990" s="75"/>
      <c r="G990" s="75"/>
      <c r="H990" s="75"/>
    </row>
    <row r="991" spans="3:8" ht="13.2">
      <c r="C991" s="75"/>
      <c r="D991" s="75"/>
      <c r="E991" s="75"/>
      <c r="F991" s="75"/>
      <c r="G991" s="75"/>
      <c r="H991" s="75"/>
    </row>
    <row r="992" spans="3:8" ht="13.2">
      <c r="C992" s="75"/>
      <c r="D992" s="75"/>
      <c r="E992" s="75"/>
      <c r="F992" s="75"/>
      <c r="G992" s="75"/>
      <c r="H992" s="75"/>
    </row>
    <row r="993" spans="3:8" ht="13.2">
      <c r="C993" s="75"/>
      <c r="D993" s="75"/>
      <c r="E993" s="75"/>
      <c r="F993" s="75"/>
      <c r="G993" s="75"/>
      <c r="H993" s="75"/>
    </row>
    <row r="994" spans="3:8" ht="13.2">
      <c r="C994" s="75"/>
      <c r="D994" s="75"/>
      <c r="E994" s="75"/>
      <c r="F994" s="75"/>
      <c r="G994" s="75"/>
      <c r="H994" s="75"/>
    </row>
    <row r="995" spans="3:8" ht="13.2">
      <c r="C995" s="75"/>
      <c r="D995" s="75"/>
      <c r="E995" s="75"/>
      <c r="F995" s="75"/>
      <c r="G995" s="75"/>
      <c r="H995" s="75"/>
    </row>
    <row r="996" spans="3:8" ht="13.2">
      <c r="C996" s="75"/>
      <c r="D996" s="75"/>
      <c r="E996" s="75"/>
      <c r="F996" s="75"/>
      <c r="G996" s="75"/>
      <c r="H996" s="75"/>
    </row>
    <row r="997" spans="3:8" ht="13.2">
      <c r="C997" s="75"/>
      <c r="D997" s="75"/>
      <c r="E997" s="75"/>
      <c r="F997" s="75"/>
      <c r="G997" s="75"/>
      <c r="H997" s="75"/>
    </row>
    <row r="998" spans="3:8" ht="13.2">
      <c r="C998" s="75"/>
      <c r="D998" s="75"/>
      <c r="E998" s="75"/>
      <c r="F998" s="75"/>
      <c r="G998" s="75"/>
      <c r="H998" s="75"/>
    </row>
    <row r="999" spans="3:8" ht="13.2">
      <c r="C999" s="75"/>
      <c r="D999" s="75"/>
      <c r="E999" s="75"/>
      <c r="F999" s="75"/>
      <c r="G999" s="75"/>
      <c r="H999" s="75"/>
    </row>
    <row r="1000" spans="3:8" ht="13.2">
      <c r="C1000" s="75"/>
      <c r="D1000" s="75"/>
      <c r="E1000" s="75"/>
      <c r="F1000" s="75"/>
      <c r="G1000" s="75"/>
      <c r="H1000" s="75"/>
    </row>
    <row r="1001" spans="3:8" ht="13.2">
      <c r="C1001" s="75"/>
      <c r="D1001" s="75"/>
      <c r="E1001" s="75"/>
      <c r="F1001" s="75"/>
      <c r="G1001" s="75"/>
      <c r="H1001" s="75"/>
    </row>
    <row r="1002" spans="3:8" ht="13.2">
      <c r="C1002" s="75"/>
      <c r="D1002" s="75"/>
      <c r="E1002" s="75"/>
      <c r="F1002" s="75"/>
      <c r="G1002" s="75"/>
      <c r="H1002" s="75"/>
    </row>
    <row r="1003" spans="3:8" ht="13.2">
      <c r="C1003" s="75"/>
      <c r="D1003" s="75"/>
      <c r="E1003" s="75"/>
      <c r="F1003" s="75"/>
      <c r="G1003" s="75"/>
      <c r="H1003" s="75"/>
    </row>
    <row r="1004" spans="3:8" ht="13.2">
      <c r="C1004" s="75"/>
      <c r="D1004" s="75"/>
      <c r="E1004" s="75"/>
      <c r="F1004" s="75"/>
      <c r="G1004" s="75"/>
      <c r="H1004" s="75"/>
    </row>
    <row r="1005" spans="3:8" ht="13.2">
      <c r="C1005" s="75"/>
      <c r="D1005" s="75"/>
      <c r="E1005" s="75"/>
      <c r="F1005" s="75"/>
      <c r="G1005" s="75"/>
      <c r="H1005" s="75"/>
    </row>
    <row r="1006" spans="3:8" ht="13.2">
      <c r="C1006" s="75"/>
      <c r="D1006" s="75"/>
      <c r="E1006" s="75"/>
      <c r="F1006" s="75"/>
      <c r="G1006" s="75"/>
      <c r="H1006" s="75"/>
    </row>
    <row r="1007" spans="3:8" ht="13.2">
      <c r="C1007" s="75"/>
      <c r="D1007" s="75"/>
      <c r="E1007" s="75"/>
      <c r="F1007" s="75"/>
      <c r="G1007" s="75"/>
      <c r="H1007" s="75"/>
    </row>
    <row r="1008" spans="3:8" ht="13.2">
      <c r="C1008" s="75"/>
      <c r="D1008" s="75"/>
      <c r="E1008" s="75"/>
      <c r="F1008" s="75"/>
      <c r="G1008" s="75"/>
      <c r="H1008" s="75"/>
    </row>
    <row r="1009" spans="3:8" ht="13.2">
      <c r="C1009" s="75"/>
      <c r="D1009" s="75"/>
      <c r="E1009" s="75"/>
      <c r="F1009" s="75"/>
      <c r="G1009" s="75"/>
      <c r="H1009" s="75"/>
    </row>
    <row r="1010" spans="3:8" ht="13.2">
      <c r="C1010" s="75"/>
      <c r="D1010" s="75"/>
      <c r="E1010" s="75"/>
      <c r="F1010" s="75"/>
      <c r="G1010" s="75"/>
      <c r="H1010" s="75"/>
    </row>
    <row r="1011" spans="3:8" ht="13.2">
      <c r="C1011" s="75"/>
      <c r="D1011" s="75"/>
      <c r="E1011" s="75"/>
      <c r="F1011" s="75"/>
      <c r="G1011" s="75"/>
      <c r="H1011" s="75"/>
    </row>
    <row r="1012" spans="3:8" ht="13.2">
      <c r="C1012" s="75"/>
      <c r="D1012" s="75"/>
      <c r="E1012" s="75"/>
      <c r="F1012" s="75"/>
      <c r="G1012" s="75"/>
      <c r="H1012" s="75"/>
    </row>
    <row r="1013" spans="3:8" ht="13.2">
      <c r="C1013" s="75"/>
      <c r="D1013" s="75"/>
      <c r="E1013" s="75"/>
      <c r="F1013" s="75"/>
      <c r="G1013" s="75"/>
      <c r="H1013" s="75"/>
    </row>
    <row r="1014" spans="3:8" ht="13.2">
      <c r="C1014" s="75"/>
      <c r="D1014" s="75"/>
      <c r="E1014" s="75"/>
      <c r="F1014" s="75"/>
      <c r="G1014" s="75"/>
      <c r="H1014" s="75"/>
    </row>
    <row r="1015" spans="3:8" ht="13.2">
      <c r="C1015" s="75"/>
      <c r="D1015" s="75"/>
      <c r="E1015" s="75"/>
      <c r="F1015" s="75"/>
      <c r="G1015" s="75"/>
      <c r="H1015" s="75"/>
    </row>
    <row r="1016" spans="3:8" ht="13.2">
      <c r="C1016" s="75"/>
      <c r="D1016" s="75"/>
      <c r="E1016" s="75"/>
      <c r="F1016" s="75"/>
      <c r="G1016" s="75"/>
      <c r="H1016" s="75"/>
    </row>
    <row r="1017" spans="3:8" ht="13.2">
      <c r="C1017" s="75"/>
      <c r="D1017" s="75"/>
      <c r="E1017" s="75"/>
      <c r="F1017" s="75"/>
      <c r="G1017" s="75"/>
      <c r="H1017" s="75"/>
    </row>
    <row r="1018" spans="3:8" ht="13.2">
      <c r="C1018" s="75"/>
      <c r="D1018" s="75"/>
      <c r="E1018" s="75"/>
      <c r="F1018" s="75"/>
      <c r="G1018" s="75"/>
      <c r="H1018" s="75"/>
    </row>
    <row r="1019" spans="3:8" ht="13.2">
      <c r="C1019" s="75"/>
      <c r="D1019" s="75"/>
      <c r="E1019" s="75"/>
      <c r="F1019" s="75"/>
      <c r="G1019" s="75"/>
      <c r="H1019" s="75"/>
    </row>
    <row r="1020" spans="3:8" ht="13.2">
      <c r="C1020" s="75"/>
      <c r="D1020" s="75"/>
      <c r="E1020" s="75"/>
      <c r="F1020" s="75"/>
      <c r="G1020" s="75"/>
      <c r="H1020" s="75"/>
    </row>
    <row r="1021" spans="3:8" ht="13.2">
      <c r="C1021" s="75"/>
      <c r="D1021" s="75"/>
      <c r="E1021" s="75"/>
      <c r="F1021" s="75"/>
      <c r="G1021" s="75"/>
      <c r="H1021" s="75"/>
    </row>
    <row r="1022" spans="3:8" ht="13.2">
      <c r="C1022" s="75"/>
      <c r="D1022" s="75"/>
      <c r="E1022" s="75"/>
      <c r="F1022" s="75"/>
      <c r="G1022" s="75"/>
      <c r="H1022" s="75"/>
    </row>
    <row r="1023" spans="3:8" ht="13.2">
      <c r="C1023" s="75"/>
      <c r="D1023" s="75"/>
      <c r="E1023" s="75"/>
      <c r="F1023" s="75"/>
      <c r="G1023" s="75"/>
      <c r="H1023" s="75"/>
    </row>
    <row r="1024" spans="3:8" ht="13.2">
      <c r="C1024" s="75"/>
      <c r="D1024" s="75"/>
      <c r="E1024" s="75"/>
      <c r="F1024" s="75"/>
      <c r="G1024" s="75"/>
      <c r="H1024" s="75"/>
    </row>
    <row r="1025" spans="3:8" ht="13.2">
      <c r="C1025" s="75"/>
      <c r="D1025" s="75"/>
      <c r="E1025" s="75"/>
      <c r="F1025" s="75"/>
      <c r="G1025" s="75"/>
      <c r="H1025" s="75"/>
    </row>
    <row r="1026" spans="3:8" ht="13.2">
      <c r="C1026" s="75"/>
      <c r="D1026" s="75"/>
      <c r="E1026" s="75"/>
      <c r="F1026" s="75"/>
      <c r="G1026" s="75"/>
      <c r="H1026" s="75"/>
    </row>
    <row r="1027" spans="3:8" ht="13.2">
      <c r="C1027" s="75"/>
      <c r="D1027" s="75"/>
      <c r="E1027" s="75"/>
      <c r="F1027" s="75"/>
      <c r="G1027" s="75"/>
      <c r="H1027" s="75"/>
    </row>
    <row r="1028" spans="3:8" ht="13.2">
      <c r="C1028" s="75"/>
      <c r="D1028" s="75"/>
      <c r="E1028" s="75"/>
      <c r="F1028" s="75"/>
      <c r="G1028" s="75"/>
      <c r="H1028" s="75"/>
    </row>
    <row r="1029" spans="3:8" ht="13.2">
      <c r="C1029" s="75"/>
      <c r="D1029" s="75"/>
      <c r="E1029" s="75"/>
      <c r="F1029" s="75"/>
      <c r="G1029" s="75"/>
      <c r="H1029" s="75"/>
    </row>
    <row r="1030" spans="3:8" ht="13.2">
      <c r="C1030" s="75"/>
      <c r="D1030" s="75"/>
      <c r="E1030" s="75"/>
      <c r="F1030" s="75"/>
      <c r="G1030" s="75"/>
      <c r="H1030" s="75"/>
    </row>
    <row r="1031" spans="3:8" ht="13.2">
      <c r="C1031" s="75"/>
      <c r="D1031" s="75"/>
      <c r="E1031" s="75"/>
      <c r="F1031" s="75"/>
      <c r="G1031" s="75"/>
      <c r="H1031" s="75"/>
    </row>
    <row r="1032" spans="3:8" ht="13.2">
      <c r="C1032" s="75"/>
      <c r="D1032" s="75"/>
      <c r="E1032" s="75"/>
      <c r="F1032" s="75"/>
      <c r="G1032" s="75"/>
      <c r="H1032" s="75"/>
    </row>
    <row r="1033" spans="3:8" ht="13.2">
      <c r="C1033" s="75"/>
      <c r="D1033" s="75"/>
      <c r="E1033" s="75"/>
      <c r="F1033" s="75"/>
      <c r="G1033" s="75"/>
      <c r="H1033" s="75"/>
    </row>
    <row r="1034" spans="3:8" ht="13.2">
      <c r="C1034" s="75"/>
      <c r="D1034" s="75"/>
      <c r="E1034" s="75"/>
      <c r="F1034" s="75"/>
      <c r="G1034" s="75"/>
      <c r="H1034" s="75"/>
    </row>
    <row r="1035" spans="3:8" ht="13.2">
      <c r="C1035" s="75"/>
      <c r="D1035" s="75"/>
      <c r="E1035" s="75"/>
      <c r="F1035" s="75"/>
      <c r="G1035" s="75"/>
      <c r="H1035" s="75"/>
    </row>
    <row r="1036" spans="3:8" ht="13.2">
      <c r="C1036" s="75"/>
      <c r="D1036" s="75"/>
      <c r="E1036" s="75"/>
      <c r="F1036" s="75"/>
      <c r="G1036" s="75"/>
      <c r="H1036" s="75"/>
    </row>
    <row r="1037" spans="3:8" ht="13.2">
      <c r="C1037" s="75"/>
      <c r="D1037" s="75"/>
      <c r="E1037" s="75"/>
      <c r="F1037" s="75"/>
      <c r="G1037" s="75"/>
      <c r="H1037" s="75"/>
    </row>
    <row r="1038" spans="3:8" ht="13.2">
      <c r="C1038" s="75"/>
      <c r="D1038" s="75"/>
      <c r="E1038" s="75"/>
      <c r="F1038" s="75"/>
      <c r="G1038" s="75"/>
      <c r="H1038" s="75"/>
    </row>
    <row r="1039" spans="3:8" ht="13.2">
      <c r="C1039" s="75"/>
      <c r="D1039" s="75"/>
      <c r="E1039" s="75"/>
      <c r="F1039" s="75"/>
      <c r="G1039" s="75"/>
      <c r="H1039" s="75"/>
    </row>
    <row r="1040" spans="3:8" ht="13.2">
      <c r="C1040" s="75"/>
      <c r="D1040" s="75"/>
      <c r="E1040" s="75"/>
      <c r="F1040" s="75"/>
      <c r="G1040" s="75"/>
      <c r="H1040" s="75"/>
    </row>
    <row r="1041" spans="3:8" ht="13.2">
      <c r="C1041" s="75"/>
      <c r="D1041" s="75"/>
      <c r="E1041" s="75"/>
      <c r="F1041" s="75"/>
      <c r="G1041" s="75"/>
      <c r="H1041" s="75"/>
    </row>
    <row r="1042" spans="3:8" ht="13.2">
      <c r="C1042" s="75"/>
      <c r="D1042" s="75"/>
      <c r="E1042" s="75"/>
      <c r="F1042" s="75"/>
      <c r="G1042" s="75"/>
      <c r="H1042" s="75"/>
    </row>
    <row r="1043" spans="3:8" ht="13.2">
      <c r="C1043" s="75"/>
      <c r="D1043" s="75"/>
      <c r="E1043" s="75"/>
      <c r="F1043" s="75"/>
      <c r="G1043" s="75"/>
      <c r="H1043" s="75"/>
    </row>
    <row r="1044" spans="3:8" ht="13.2">
      <c r="C1044" s="75"/>
      <c r="D1044" s="75"/>
      <c r="E1044" s="75"/>
      <c r="F1044" s="75"/>
      <c r="G1044" s="75"/>
      <c r="H1044" s="75"/>
    </row>
    <row r="1045" spans="3:8" ht="13.2">
      <c r="C1045" s="75"/>
      <c r="D1045" s="75"/>
      <c r="E1045" s="75"/>
      <c r="F1045" s="75"/>
      <c r="G1045" s="75"/>
      <c r="H1045" s="75"/>
    </row>
    <row r="1046" spans="3:8" ht="13.2">
      <c r="C1046" s="75"/>
      <c r="D1046" s="75"/>
      <c r="E1046" s="75"/>
      <c r="F1046" s="75"/>
      <c r="G1046" s="75"/>
      <c r="H1046" s="7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AD1171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3" max="3" width="15.109375" customWidth="1"/>
    <col min="4" max="4" width="40.88671875" customWidth="1"/>
    <col min="10" max="11" width="18.21875" customWidth="1"/>
  </cols>
  <sheetData>
    <row r="1" spans="1:14" ht="19.2">
      <c r="A1" s="92"/>
      <c r="B1" s="384" t="s">
        <v>380</v>
      </c>
      <c r="C1" s="385"/>
      <c r="D1" s="385"/>
      <c r="E1" s="385"/>
      <c r="F1" s="385"/>
      <c r="G1" s="385"/>
      <c r="H1" s="385"/>
      <c r="I1" s="385"/>
      <c r="J1" s="385"/>
      <c r="K1" s="386"/>
      <c r="L1" s="93"/>
      <c r="M1" s="93"/>
      <c r="N1" s="93"/>
    </row>
    <row r="2" spans="1:14" ht="13.2">
      <c r="A2" s="94"/>
      <c r="B2" s="95" t="s">
        <v>381</v>
      </c>
      <c r="C2" s="94" t="s">
        <v>382</v>
      </c>
      <c r="D2" s="94" t="s">
        <v>383</v>
      </c>
      <c r="E2" s="94" t="s">
        <v>384</v>
      </c>
      <c r="F2" s="96" t="s">
        <v>385</v>
      </c>
      <c r="G2" s="97" t="s">
        <v>336</v>
      </c>
      <c r="H2" s="95" t="s">
        <v>337</v>
      </c>
      <c r="I2" s="98" t="s">
        <v>338</v>
      </c>
      <c r="J2" s="99" t="s">
        <v>386</v>
      </c>
      <c r="K2" s="96" t="s">
        <v>387</v>
      </c>
      <c r="L2" s="100" t="s">
        <v>388</v>
      </c>
      <c r="M2" s="100" t="s">
        <v>389</v>
      </c>
      <c r="N2" s="100" t="s">
        <v>390</v>
      </c>
    </row>
    <row r="3" spans="1:14" ht="13.2">
      <c r="A3" s="387" t="s">
        <v>391</v>
      </c>
      <c r="B3" s="101">
        <v>1</v>
      </c>
      <c r="C3" s="28" t="s">
        <v>392</v>
      </c>
      <c r="D3" s="28" t="s">
        <v>393</v>
      </c>
      <c r="E3" s="101" t="s">
        <v>394</v>
      </c>
      <c r="F3" s="100">
        <v>101150</v>
      </c>
      <c r="G3" s="102">
        <f>+ SUMIF('Nhập kho T42024'!B:B, C3,'Nhập kho T42024'!F:F)</f>
        <v>4</v>
      </c>
      <c r="H3" s="101">
        <f>+ SUMIF('Doanh thu'!A:A, C3,'Doanh thu'!E:E) + SUMIF('Doanh thu 2025'!B:B, C3,'Doanh thu 2025'!E:E)</f>
        <v>5</v>
      </c>
      <c r="I3" s="101">
        <f>G3-H3</f>
        <v>-1</v>
      </c>
      <c r="J3" s="103">
        <f t="shared" ref="J3:J257" si="0">SUM(K3)</f>
        <v>404600</v>
      </c>
      <c r="K3" s="104">
        <f>+ SUMIF('Doanh thu'!A:A, C3,'Doanh thu'!F:F)</f>
        <v>404600</v>
      </c>
      <c r="L3" s="93"/>
      <c r="M3" s="93"/>
      <c r="N3" s="93"/>
    </row>
    <row r="4" spans="1:14" ht="13.2">
      <c r="A4" s="372"/>
      <c r="B4" s="101">
        <v>1</v>
      </c>
      <c r="C4" s="28" t="s">
        <v>395</v>
      </c>
      <c r="D4" s="28" t="s">
        <v>396</v>
      </c>
      <c r="E4" s="101" t="s">
        <v>394</v>
      </c>
      <c r="F4" s="100">
        <v>78200</v>
      </c>
      <c r="G4" s="102">
        <f>+ SUMIF('Nhập kho T42024'!B:B, C4,'Nhập kho T42024'!F:F)</f>
        <v>6</v>
      </c>
      <c r="H4" s="101">
        <f>+ SUMIF('Doanh thu'!A:A, C4,'Doanh thu'!E:E) + SUMIF('Doanh thu 2025'!B:B, C4,'Doanh thu 2025'!E:E)</f>
        <v>6</v>
      </c>
      <c r="I4" s="101">
        <f>G4-H4+1</f>
        <v>1</v>
      </c>
      <c r="J4" s="103">
        <f t="shared" si="0"/>
        <v>469200</v>
      </c>
      <c r="K4" s="104">
        <f>+ SUMIF('Doanh thu'!A:A, C4,'Doanh thu'!F:F)</f>
        <v>469200</v>
      </c>
      <c r="L4" s="93"/>
      <c r="M4" s="93"/>
      <c r="N4" s="93"/>
    </row>
    <row r="5" spans="1:14" ht="13.2">
      <c r="A5" s="372"/>
      <c r="B5" s="101">
        <v>1</v>
      </c>
      <c r="C5" s="28" t="s">
        <v>397</v>
      </c>
      <c r="D5" s="28" t="s">
        <v>398</v>
      </c>
      <c r="E5" s="101" t="s">
        <v>394</v>
      </c>
      <c r="F5" s="100">
        <v>101150</v>
      </c>
      <c r="G5" s="102">
        <f>+ SUMIF('Nhập kho T42024'!B:B, C5,'Nhập kho T42024'!F:F)</f>
        <v>4</v>
      </c>
      <c r="H5" s="101">
        <f>+ SUMIF('Doanh thu'!A:A, C5,'Doanh thu'!E:E) + SUMIF('Doanh thu 2025'!B:B, C5,'Doanh thu 2025'!E:E)</f>
        <v>7</v>
      </c>
      <c r="I5" s="101">
        <f>G5-H5+3</f>
        <v>0</v>
      </c>
      <c r="J5" s="103">
        <f t="shared" si="0"/>
        <v>708050</v>
      </c>
      <c r="K5" s="104">
        <f>+ SUMIF('Doanh thu'!A:A, C5,'Doanh thu'!F:F)</f>
        <v>708050</v>
      </c>
      <c r="L5" s="93"/>
      <c r="M5" s="93"/>
      <c r="N5" s="93"/>
    </row>
    <row r="6" spans="1:14" ht="13.2">
      <c r="A6" s="372"/>
      <c r="B6" s="101">
        <v>1</v>
      </c>
      <c r="C6" s="28" t="s">
        <v>399</v>
      </c>
      <c r="D6" s="28" t="s">
        <v>400</v>
      </c>
      <c r="E6" s="101" t="s">
        <v>394</v>
      </c>
      <c r="F6" s="100">
        <v>78200</v>
      </c>
      <c r="G6" s="102">
        <f>+ SUMIF('Nhập kho T42024'!B:B, C6,'Nhập kho T42024'!F:F)</f>
        <v>6</v>
      </c>
      <c r="H6" s="101">
        <f>+ SUMIF('Doanh thu'!A:A, C6,'Doanh thu'!E:E) + SUMIF('Doanh thu 2025'!B:B, C6,'Doanh thu 2025'!E:E)</f>
        <v>4</v>
      </c>
      <c r="I6" s="101">
        <f>G6-H6</f>
        <v>2</v>
      </c>
      <c r="J6" s="103">
        <f t="shared" si="0"/>
        <v>234600</v>
      </c>
      <c r="K6" s="104">
        <f>+ SUMIF('Doanh thu'!A:A, C6,'Doanh thu'!F:F)</f>
        <v>234600</v>
      </c>
      <c r="L6" s="93"/>
      <c r="M6" s="93"/>
      <c r="N6" s="93"/>
    </row>
    <row r="7" spans="1:14" ht="13.2">
      <c r="A7" s="372"/>
      <c r="B7" s="101">
        <v>1</v>
      </c>
      <c r="C7" s="28" t="s">
        <v>401</v>
      </c>
      <c r="D7" s="28" t="s">
        <v>402</v>
      </c>
      <c r="E7" s="101" t="s">
        <v>394</v>
      </c>
      <c r="F7" s="100">
        <v>101150</v>
      </c>
      <c r="G7" s="102">
        <f>+ SUMIF('Nhập kho T42024'!B:B, C7,'Nhập kho T42024'!F:F)</f>
        <v>3</v>
      </c>
      <c r="H7" s="101">
        <f>+ SUMIF('Doanh thu'!A:A, C7,'Doanh thu'!E:E) + SUMIF('Doanh thu 2025'!B:B, C7,'Doanh thu 2025'!E:E)</f>
        <v>8</v>
      </c>
      <c r="I7" s="101">
        <f>G7-H7+3</f>
        <v>-2</v>
      </c>
      <c r="J7" s="103">
        <f t="shared" si="0"/>
        <v>708050</v>
      </c>
      <c r="K7" s="104">
        <f>+ SUMIF('Doanh thu'!A:A, C7,'Doanh thu'!F:F)</f>
        <v>708050</v>
      </c>
      <c r="L7" s="93"/>
      <c r="M7" s="93"/>
      <c r="N7" s="93"/>
    </row>
    <row r="8" spans="1:14" ht="13.2">
      <c r="A8" s="372"/>
      <c r="B8" s="101">
        <v>1</v>
      </c>
      <c r="C8" s="28" t="s">
        <v>403</v>
      </c>
      <c r="D8" s="28" t="s">
        <v>404</v>
      </c>
      <c r="E8" s="101" t="s">
        <v>394</v>
      </c>
      <c r="F8" s="100">
        <v>78200</v>
      </c>
      <c r="G8" s="102">
        <f>+ SUMIF('Nhập kho T42024'!B:B, C8,'Nhập kho T42024'!F:F)</f>
        <v>6</v>
      </c>
      <c r="H8" s="101">
        <f>+ SUMIF('Doanh thu'!A:A, C8,'Doanh thu'!E:E) + SUMIF('Doanh thu 2025'!B:B, C8,'Doanh thu 2025'!E:E)</f>
        <v>0</v>
      </c>
      <c r="I8" s="101">
        <f>G8-H8</f>
        <v>6</v>
      </c>
      <c r="J8" s="103">
        <f t="shared" si="0"/>
        <v>0</v>
      </c>
      <c r="K8" s="104">
        <f>+ SUMIF('Doanh thu'!A:A, C8,'Doanh thu'!F:F)</f>
        <v>0</v>
      </c>
      <c r="L8" s="93"/>
      <c r="M8" s="93"/>
      <c r="N8" s="93"/>
    </row>
    <row r="9" spans="1:14" ht="13.2">
      <c r="A9" s="372"/>
      <c r="B9" s="101">
        <v>1</v>
      </c>
      <c r="C9" s="28" t="s">
        <v>405</v>
      </c>
      <c r="D9" s="28" t="s">
        <v>406</v>
      </c>
      <c r="E9" s="101" t="s">
        <v>394</v>
      </c>
      <c r="F9" s="100">
        <v>101150</v>
      </c>
      <c r="G9" s="102">
        <f>+ SUMIF('Nhập kho T42024'!B:B, C9,'Nhập kho T42024'!F:F)</f>
        <v>5</v>
      </c>
      <c r="H9" s="101">
        <f>+ SUMIF('Doanh thu'!A:A, C9,'Doanh thu'!E:E) + SUMIF('Doanh thu 2025'!B:B, C9,'Doanh thu 2025'!E:E)</f>
        <v>10</v>
      </c>
      <c r="I9" s="101">
        <f>G9-H9+1</f>
        <v>-4</v>
      </c>
      <c r="J9" s="103">
        <f t="shared" si="0"/>
        <v>910350</v>
      </c>
      <c r="K9" s="104">
        <f>+ SUMIF('Doanh thu'!A:A, C9,'Doanh thu'!F:F)</f>
        <v>910350</v>
      </c>
      <c r="L9" s="93"/>
      <c r="M9" s="93"/>
      <c r="N9" s="93"/>
    </row>
    <row r="10" spans="1:14" ht="13.2">
      <c r="A10" s="372"/>
      <c r="B10" s="101">
        <v>1</v>
      </c>
      <c r="C10" s="28" t="s">
        <v>407</v>
      </c>
      <c r="D10" s="28" t="s">
        <v>408</v>
      </c>
      <c r="E10" s="101" t="s">
        <v>394</v>
      </c>
      <c r="F10" s="100">
        <v>78200</v>
      </c>
      <c r="G10" s="102">
        <f>+ SUMIF('Nhập kho T42024'!B:B, C10,'Nhập kho T42024'!F:F)</f>
        <v>3</v>
      </c>
      <c r="H10" s="101">
        <f>+ SUMIF('Doanh thu'!A:A, C10,'Doanh thu'!E:E) + SUMIF('Doanh thu 2025'!B:B, C10,'Doanh thu 2025'!E:E)</f>
        <v>4</v>
      </c>
      <c r="I10" s="101">
        <f>G10-H10+3</f>
        <v>2</v>
      </c>
      <c r="J10" s="103">
        <f t="shared" si="0"/>
        <v>312800</v>
      </c>
      <c r="K10" s="104">
        <f>+ SUMIF('Doanh thu'!A:A, C10,'Doanh thu'!F:F)</f>
        <v>312800</v>
      </c>
      <c r="L10" s="93"/>
      <c r="M10" s="93"/>
      <c r="N10" s="93"/>
    </row>
    <row r="11" spans="1:14" ht="13.2">
      <c r="A11" s="372"/>
      <c r="B11" s="101">
        <v>1</v>
      </c>
      <c r="C11" s="28" t="s">
        <v>409</v>
      </c>
      <c r="D11" s="28" t="s">
        <v>410</v>
      </c>
      <c r="E11" s="101" t="s">
        <v>394</v>
      </c>
      <c r="F11" s="100">
        <v>101500</v>
      </c>
      <c r="G11" s="102">
        <f>+ SUMIF('Nhập kho T42024'!B:B, C11,'Nhập kho T42024'!F:F)</f>
        <v>5</v>
      </c>
      <c r="H11" s="101">
        <f>+ SUMIF('Doanh thu'!A:A, C11,'Doanh thu'!E:E) + SUMIF('Doanh thu 2025'!B:B, C11,'Doanh thu 2025'!E:E)</f>
        <v>4</v>
      </c>
      <c r="I11" s="101">
        <f>G11-H11-1</f>
        <v>0</v>
      </c>
      <c r="J11" s="103">
        <f t="shared" si="0"/>
        <v>406000</v>
      </c>
      <c r="K11" s="104">
        <f>+ SUMIF('Doanh thu'!A:A, C11,'Doanh thu'!F:F)</f>
        <v>406000</v>
      </c>
      <c r="L11" s="93"/>
      <c r="M11" s="93"/>
      <c r="N11" s="93"/>
    </row>
    <row r="12" spans="1:14" ht="13.2">
      <c r="A12" s="372"/>
      <c r="B12" s="101">
        <v>1</v>
      </c>
      <c r="C12" s="28" t="s">
        <v>411</v>
      </c>
      <c r="D12" s="28" t="s">
        <v>412</v>
      </c>
      <c r="E12" s="101" t="s">
        <v>394</v>
      </c>
      <c r="F12" s="100">
        <v>78200</v>
      </c>
      <c r="G12" s="102">
        <f>+ SUMIF('Nhập kho T42024'!B:B, C12,'Nhập kho T42024'!F:F)</f>
        <v>5</v>
      </c>
      <c r="H12" s="101">
        <f>+ SUMIF('Doanh thu'!A:A, C12,'Doanh thu'!E:E) + SUMIF('Doanh thu 2025'!B:B, C12,'Doanh thu 2025'!E:E)</f>
        <v>3</v>
      </c>
      <c r="I12" s="101">
        <f>G12-H12+1</f>
        <v>3</v>
      </c>
      <c r="J12" s="103">
        <f t="shared" si="0"/>
        <v>156400</v>
      </c>
      <c r="K12" s="104">
        <f>+ SUMIF('Doanh thu'!A:A, C12,'Doanh thu'!F:F)</f>
        <v>156400</v>
      </c>
      <c r="L12" s="93"/>
      <c r="M12" s="93"/>
      <c r="N12" s="93"/>
    </row>
    <row r="13" spans="1:14" ht="13.2">
      <c r="A13" s="372"/>
      <c r="B13" s="101">
        <v>1</v>
      </c>
      <c r="C13" s="28" t="s">
        <v>413</v>
      </c>
      <c r="D13" s="28" t="s">
        <v>396</v>
      </c>
      <c r="E13" s="101" t="s">
        <v>394</v>
      </c>
      <c r="F13" s="100">
        <v>72250</v>
      </c>
      <c r="G13" s="102">
        <f>+ SUMIF('Nhập kho T42024'!B:B, C13,'Nhập kho T42024'!F:F)</f>
        <v>0</v>
      </c>
      <c r="H13" s="101">
        <f>+ SUMIF('Doanh thu'!A:A, C13,'Doanh thu'!E:E) + SUMIF('Doanh thu 2025'!B:B, C13,'Doanh thu 2025'!E:E)</f>
        <v>0</v>
      </c>
      <c r="I13" s="101">
        <f t="shared" ref="I13:I17" si="1">G13-H13</f>
        <v>0</v>
      </c>
      <c r="J13" s="103">
        <f t="shared" si="0"/>
        <v>0</v>
      </c>
      <c r="K13" s="104">
        <f>+ SUMIF('Doanh thu'!A:A, C13,'Doanh thu'!F:F)</f>
        <v>0</v>
      </c>
      <c r="L13" s="93"/>
      <c r="M13" s="93"/>
      <c r="N13" s="93"/>
    </row>
    <row r="14" spans="1:14" ht="13.2">
      <c r="A14" s="372"/>
      <c r="B14" s="101">
        <v>1</v>
      </c>
      <c r="C14" s="28" t="s">
        <v>414</v>
      </c>
      <c r="D14" s="28" t="s">
        <v>415</v>
      </c>
      <c r="E14" s="101" t="s">
        <v>394</v>
      </c>
      <c r="F14" s="100">
        <v>72250</v>
      </c>
      <c r="G14" s="102">
        <f>+ SUMIF('Nhập kho T42024'!B:B, C14,'Nhập kho T42024'!F:F)</f>
        <v>0</v>
      </c>
      <c r="H14" s="101">
        <f>+ SUMIF('Doanh thu'!A:A, C14,'Doanh thu'!E:E) + SUMIF('Doanh thu 2025'!B:B, C14,'Doanh thu 2025'!E:E)</f>
        <v>0</v>
      </c>
      <c r="I14" s="101">
        <f t="shared" si="1"/>
        <v>0</v>
      </c>
      <c r="J14" s="103">
        <f t="shared" si="0"/>
        <v>0</v>
      </c>
      <c r="K14" s="104">
        <f>+ SUMIF('Doanh thu'!A:A, C14,'Doanh thu'!F:F)</f>
        <v>0</v>
      </c>
      <c r="L14" s="93"/>
      <c r="M14" s="93"/>
      <c r="N14" s="93"/>
    </row>
    <row r="15" spans="1:14" ht="13.2">
      <c r="A15" s="372"/>
      <c r="B15" s="101">
        <v>1</v>
      </c>
      <c r="C15" s="28" t="s">
        <v>416</v>
      </c>
      <c r="D15" s="28" t="s">
        <v>417</v>
      </c>
      <c r="E15" s="101" t="s">
        <v>394</v>
      </c>
      <c r="F15" s="100">
        <v>72250</v>
      </c>
      <c r="G15" s="102">
        <f>+ SUMIF('Nhập kho T42024'!B:B, C15,'Nhập kho T42024'!F:F)</f>
        <v>0</v>
      </c>
      <c r="H15" s="101">
        <f>+ SUMIF('Doanh thu'!A:A, C15,'Doanh thu'!E:E) + SUMIF('Doanh thu 2025'!B:B, C15,'Doanh thu 2025'!E:E)</f>
        <v>0</v>
      </c>
      <c r="I15" s="101">
        <f t="shared" si="1"/>
        <v>0</v>
      </c>
      <c r="J15" s="103">
        <f t="shared" si="0"/>
        <v>0</v>
      </c>
      <c r="K15" s="104">
        <f>+ SUMIF('Doanh thu'!A:A, C15,'Doanh thu'!F:F)</f>
        <v>0</v>
      </c>
      <c r="L15" s="93"/>
      <c r="M15" s="93"/>
      <c r="N15" s="93"/>
    </row>
    <row r="16" spans="1:14" ht="13.2">
      <c r="A16" s="372"/>
      <c r="B16" s="101">
        <v>1</v>
      </c>
      <c r="C16" s="28" t="s">
        <v>418</v>
      </c>
      <c r="D16" s="28" t="s">
        <v>419</v>
      </c>
      <c r="E16" s="101" t="s">
        <v>394</v>
      </c>
      <c r="F16" s="100">
        <v>72250</v>
      </c>
      <c r="G16" s="102">
        <f>+ SUMIF('Nhập kho T42024'!B:B, C16,'Nhập kho T42024'!F:F)</f>
        <v>0</v>
      </c>
      <c r="H16" s="101">
        <f>+ SUMIF('Doanh thu'!A:A, C16,'Doanh thu'!E:E) + SUMIF('Doanh thu 2025'!B:B, C16,'Doanh thu 2025'!E:E)</f>
        <v>0</v>
      </c>
      <c r="I16" s="101">
        <f t="shared" si="1"/>
        <v>0</v>
      </c>
      <c r="J16" s="103">
        <f t="shared" si="0"/>
        <v>0</v>
      </c>
      <c r="K16" s="104">
        <f>+ SUMIF('Doanh thu'!A:A, C16,'Doanh thu'!F:F)</f>
        <v>0</v>
      </c>
      <c r="L16" s="93"/>
      <c r="M16" s="93"/>
      <c r="N16" s="93"/>
    </row>
    <row r="17" spans="1:14" ht="13.2">
      <c r="A17" s="372"/>
      <c r="B17" s="101">
        <v>1</v>
      </c>
      <c r="C17" s="28" t="s">
        <v>420</v>
      </c>
      <c r="D17" s="28" t="s">
        <v>421</v>
      </c>
      <c r="E17" s="101" t="s">
        <v>394</v>
      </c>
      <c r="F17" s="100">
        <v>72250</v>
      </c>
      <c r="G17" s="102">
        <f>+ SUMIF('Nhập kho T42024'!B:B, C17,'Nhập kho T42024'!F:F)</f>
        <v>0</v>
      </c>
      <c r="H17" s="101">
        <f>+ SUMIF('Doanh thu'!A:A, C17,'Doanh thu'!E:E) + SUMIF('Doanh thu 2025'!B:B, C17,'Doanh thu 2025'!E:E)</f>
        <v>0</v>
      </c>
      <c r="I17" s="101">
        <f t="shared" si="1"/>
        <v>0</v>
      </c>
      <c r="J17" s="103">
        <f t="shared" si="0"/>
        <v>0</v>
      </c>
      <c r="K17" s="104">
        <f>+ SUMIF('Doanh thu'!A:A, C17,'Doanh thu'!F:F)</f>
        <v>0</v>
      </c>
      <c r="L17" s="93"/>
      <c r="M17" s="93"/>
      <c r="N17" s="93"/>
    </row>
    <row r="18" spans="1:14" ht="13.2">
      <c r="A18" s="372"/>
      <c r="B18" s="101">
        <v>1</v>
      </c>
      <c r="C18" s="45" t="s">
        <v>422</v>
      </c>
      <c r="D18" s="45" t="s">
        <v>423</v>
      </c>
      <c r="E18" s="105" t="s">
        <v>394</v>
      </c>
      <c r="F18" s="100">
        <v>72250</v>
      </c>
      <c r="G18" s="102">
        <f>+ SUMIF('Nhập kho T42024'!B:B, C18,'Nhập kho T42024'!F:F)</f>
        <v>0</v>
      </c>
      <c r="H18" s="101">
        <f>+ SUMIF('Doanh thu'!A:A, C18,'Doanh thu'!E:E) + SUMIF('Doanh thu 2025'!B:B, C18,'Doanh thu 2025'!E:E)</f>
        <v>8</v>
      </c>
      <c r="I18" s="101">
        <f>G18-H18+8</f>
        <v>0</v>
      </c>
      <c r="J18" s="103">
        <f t="shared" si="0"/>
        <v>578000</v>
      </c>
      <c r="K18" s="104">
        <f>+ SUMIF('Doanh thu'!A:A, C18,'Doanh thu'!F:F)</f>
        <v>578000</v>
      </c>
      <c r="L18" s="93"/>
      <c r="M18" s="93"/>
      <c r="N18" s="93"/>
    </row>
    <row r="19" spans="1:14" ht="13.2">
      <c r="A19" s="372"/>
      <c r="B19" s="101">
        <v>1</v>
      </c>
      <c r="C19" s="45" t="s">
        <v>424</v>
      </c>
      <c r="D19" s="45" t="s">
        <v>425</v>
      </c>
      <c r="E19" s="105" t="s">
        <v>394</v>
      </c>
      <c r="F19" s="100">
        <v>72250</v>
      </c>
      <c r="G19" s="102">
        <f>+ SUMIF('Nhập kho T42024'!B:B, C19,'Nhập kho T42024'!F:F)</f>
        <v>0</v>
      </c>
      <c r="H19" s="101">
        <f>+ SUMIF('Doanh thu'!A:A, C19,'Doanh thu'!E:E) + SUMIF('Doanh thu 2025'!B:B, C19,'Doanh thu 2025'!E:E)</f>
        <v>5</v>
      </c>
      <c r="I19" s="101">
        <f>G19-H19+6</f>
        <v>1</v>
      </c>
      <c r="J19" s="103">
        <f t="shared" si="0"/>
        <v>361250</v>
      </c>
      <c r="K19" s="104">
        <f>+ SUMIF('Doanh thu'!A:A, C19,'Doanh thu'!F:F)</f>
        <v>361250</v>
      </c>
      <c r="L19" s="93"/>
      <c r="M19" s="93"/>
      <c r="N19" s="93"/>
    </row>
    <row r="20" spans="1:14" ht="13.2">
      <c r="A20" s="372"/>
      <c r="B20" s="101">
        <v>1</v>
      </c>
      <c r="C20" s="45" t="s">
        <v>426</v>
      </c>
      <c r="D20" s="45" t="s">
        <v>427</v>
      </c>
      <c r="E20" s="105" t="s">
        <v>394</v>
      </c>
      <c r="F20" s="100">
        <v>72250</v>
      </c>
      <c r="G20" s="102">
        <f>+ SUMIF('Nhập kho T42024'!B:B, C20,'Nhập kho T42024'!F:F)</f>
        <v>0</v>
      </c>
      <c r="H20" s="101">
        <f>+ SUMIF('Doanh thu'!A:A, C20,'Doanh thu'!E:E) + SUMIF('Doanh thu 2025'!B:B, C20,'Doanh thu 2025'!E:E)</f>
        <v>9</v>
      </c>
      <c r="I20" s="101">
        <f>G20-H20+9</f>
        <v>0</v>
      </c>
      <c r="J20" s="103">
        <f t="shared" si="0"/>
        <v>650250</v>
      </c>
      <c r="K20" s="104">
        <f>+ SUMIF('Doanh thu'!A:A, C20,'Doanh thu'!F:F)</f>
        <v>650250</v>
      </c>
      <c r="L20" s="93"/>
      <c r="M20" s="93"/>
      <c r="N20" s="93"/>
    </row>
    <row r="21" spans="1:14" ht="13.2">
      <c r="A21" s="373"/>
      <c r="B21" s="101">
        <v>1</v>
      </c>
      <c r="C21" s="45" t="s">
        <v>428</v>
      </c>
      <c r="D21" s="45" t="s">
        <v>429</v>
      </c>
      <c r="E21" s="105" t="s">
        <v>394</v>
      </c>
      <c r="F21" s="100">
        <v>72250</v>
      </c>
      <c r="G21" s="102">
        <f>+ SUMIF('Nhập kho T42024'!B:B, C21,'Nhập kho T42024'!F:F)</f>
        <v>0</v>
      </c>
      <c r="H21" s="101">
        <f>+ SUMIF('Doanh thu'!A:A, C21,'Doanh thu'!E:E) + SUMIF('Doanh thu 2025'!B:B, C21,'Doanh thu 2025'!E:E)</f>
        <v>0</v>
      </c>
      <c r="I21" s="101">
        <f t="shared" ref="I21:I28" si="2">G21-H21</f>
        <v>0</v>
      </c>
      <c r="J21" s="103">
        <f t="shared" si="0"/>
        <v>0</v>
      </c>
      <c r="K21" s="104">
        <f>+ SUMIF('Doanh thu'!A:A, C21,'Doanh thu'!F:F)</f>
        <v>0</v>
      </c>
      <c r="L21" s="93"/>
      <c r="M21" s="93"/>
      <c r="N21" s="93"/>
    </row>
    <row r="22" spans="1:14" ht="13.2">
      <c r="A22" s="388" t="s">
        <v>430</v>
      </c>
      <c r="B22" s="101">
        <v>1</v>
      </c>
      <c r="C22" s="106" t="s">
        <v>431</v>
      </c>
      <c r="D22" s="106" t="s">
        <v>63</v>
      </c>
      <c r="E22" s="107" t="s">
        <v>432</v>
      </c>
      <c r="F22" s="108">
        <v>14500</v>
      </c>
      <c r="G22" s="102">
        <f>+ SUMIF('Nhập kho T42024'!B:B, C22,'Nhập kho T42024'!F:F)</f>
        <v>70</v>
      </c>
      <c r="H22" s="101">
        <f>+ SUMIF('Doanh thu'!A:A, C22,'Doanh thu'!E:E) + SUMIF('Doanh thu 2025'!B:B, C22,'Doanh thu 2025'!E:E)</f>
        <v>70</v>
      </c>
      <c r="I22" s="101">
        <f t="shared" si="2"/>
        <v>0</v>
      </c>
      <c r="J22" s="103">
        <f t="shared" si="0"/>
        <v>14500</v>
      </c>
      <c r="K22" s="104">
        <f>+ SUMIF('Doanh thu'!A:A, C22,'Doanh thu'!F:F)</f>
        <v>14500</v>
      </c>
      <c r="L22" s="93"/>
      <c r="M22" s="93"/>
      <c r="N22" s="93"/>
    </row>
    <row r="23" spans="1:14" ht="13.2">
      <c r="A23" s="372"/>
      <c r="B23" s="101">
        <v>1</v>
      </c>
      <c r="C23" s="106" t="s">
        <v>433</v>
      </c>
      <c r="D23" s="106" t="s">
        <v>434</v>
      </c>
      <c r="E23" s="107" t="s">
        <v>432</v>
      </c>
      <c r="F23" s="108">
        <v>14500</v>
      </c>
      <c r="G23" s="102">
        <f>+ SUMIF('Nhập kho T42024'!B:B, C23,'Nhập kho T42024'!F:F)</f>
        <v>70</v>
      </c>
      <c r="H23" s="101">
        <f>+ SUMIF('Doanh thu'!A:A, C23,'Doanh thu'!E:E) + SUMIF('Doanh thu 2025'!B:B, C23,'Doanh thu 2025'!E:E)</f>
        <v>71</v>
      </c>
      <c r="I23" s="101">
        <f t="shared" si="2"/>
        <v>-1</v>
      </c>
      <c r="J23" s="103">
        <f t="shared" si="0"/>
        <v>87000</v>
      </c>
      <c r="K23" s="104">
        <f>+ SUMIF('Doanh thu'!A:A, C23,'Doanh thu'!F:F)</f>
        <v>87000</v>
      </c>
      <c r="L23" s="93"/>
      <c r="M23" s="93"/>
      <c r="N23" s="93"/>
    </row>
    <row r="24" spans="1:14" ht="13.2">
      <c r="A24" s="372"/>
      <c r="B24" s="101">
        <v>1</v>
      </c>
      <c r="C24" s="106" t="s">
        <v>435</v>
      </c>
      <c r="D24" s="106" t="s">
        <v>434</v>
      </c>
      <c r="E24" s="107" t="s">
        <v>436</v>
      </c>
      <c r="F24" s="108">
        <v>14500</v>
      </c>
      <c r="G24" s="102">
        <f>+ SUMIF('Nhập kho T42024'!B:B, C24,'Nhập kho T42024'!F:F)</f>
        <v>150</v>
      </c>
      <c r="H24" s="101">
        <f>+ SUMIF('Doanh thu'!A:A, C24,'Doanh thu'!E:E) + SUMIF('Doanh thu 2025'!B:B, C24,'Doanh thu 2025'!E:E)</f>
        <v>69</v>
      </c>
      <c r="I24" s="101">
        <f t="shared" si="2"/>
        <v>81</v>
      </c>
      <c r="J24" s="103">
        <f t="shared" si="0"/>
        <v>203000</v>
      </c>
      <c r="K24" s="104">
        <f>+ SUMIF('Doanh thu'!A:A, C24,'Doanh thu'!F:F)</f>
        <v>203000</v>
      </c>
      <c r="L24" s="93"/>
      <c r="M24" s="93"/>
      <c r="N24" s="93"/>
    </row>
    <row r="25" spans="1:14" ht="13.2">
      <c r="A25" s="372"/>
      <c r="B25" s="101">
        <v>1</v>
      </c>
      <c r="C25" s="106" t="s">
        <v>437</v>
      </c>
      <c r="D25" s="106" t="s">
        <v>434</v>
      </c>
      <c r="E25" s="107" t="s">
        <v>436</v>
      </c>
      <c r="F25" s="108">
        <v>14500</v>
      </c>
      <c r="G25" s="102">
        <f>+ SUMIF('Nhập kho T42024'!B:B, C25,'Nhập kho T42024'!F:F)</f>
        <v>130</v>
      </c>
      <c r="H25" s="101">
        <f>+ SUMIF('Doanh thu'!A:A, C25,'Doanh thu'!E:E) + SUMIF('Doanh thu 2025'!B:B, C25,'Doanh thu 2025'!E:E)</f>
        <v>33</v>
      </c>
      <c r="I25" s="101">
        <f t="shared" si="2"/>
        <v>97</v>
      </c>
      <c r="J25" s="103">
        <f t="shared" si="0"/>
        <v>29000</v>
      </c>
      <c r="K25" s="104">
        <f>+ SUMIF('Doanh thu'!A:A, C25,'Doanh thu'!F:F)</f>
        <v>29000</v>
      </c>
      <c r="L25" s="93"/>
      <c r="M25" s="93"/>
      <c r="N25" s="93"/>
    </row>
    <row r="26" spans="1:14" ht="13.2">
      <c r="A26" s="372"/>
      <c r="B26" s="101">
        <v>1</v>
      </c>
      <c r="C26" s="106" t="s">
        <v>438</v>
      </c>
      <c r="D26" s="106" t="s">
        <v>434</v>
      </c>
      <c r="E26" s="107" t="s">
        <v>436</v>
      </c>
      <c r="F26" s="108">
        <v>14500</v>
      </c>
      <c r="G26" s="102">
        <f>+ SUMIF('Nhập kho T42024'!B:B, C26,'Nhập kho T42024'!F:F)</f>
        <v>110</v>
      </c>
      <c r="H26" s="101">
        <f>+ SUMIF('Doanh thu'!A:A, C26,'Doanh thu'!E:E) + SUMIF('Doanh thu 2025'!B:B, C26,'Doanh thu 2025'!E:E)</f>
        <v>49</v>
      </c>
      <c r="I26" s="101">
        <f t="shared" si="2"/>
        <v>61</v>
      </c>
      <c r="J26" s="103">
        <f t="shared" si="0"/>
        <v>58000</v>
      </c>
      <c r="K26" s="104">
        <f>+ SUMIF('Doanh thu'!A:A, C26,'Doanh thu'!F:F)</f>
        <v>58000</v>
      </c>
      <c r="L26" s="93"/>
      <c r="M26" s="93"/>
      <c r="N26" s="93"/>
    </row>
    <row r="27" spans="1:14" ht="13.2">
      <c r="A27" s="372"/>
      <c r="B27" s="101">
        <v>1</v>
      </c>
      <c r="C27" s="106" t="s">
        <v>439</v>
      </c>
      <c r="D27" s="106" t="s">
        <v>434</v>
      </c>
      <c r="E27" s="107" t="s">
        <v>436</v>
      </c>
      <c r="F27" s="108">
        <v>14500</v>
      </c>
      <c r="G27" s="102">
        <f>+ SUMIF('Nhập kho T42024'!B:B, C27,'Nhập kho T42024'!F:F)</f>
        <v>70</v>
      </c>
      <c r="H27" s="101">
        <f>+ SUMIF('Doanh thu'!A:A, C27,'Doanh thu'!E:E) + SUMIF('Doanh thu 2025'!B:B, C27,'Doanh thu 2025'!E:E)</f>
        <v>35</v>
      </c>
      <c r="I27" s="101">
        <f t="shared" si="2"/>
        <v>35</v>
      </c>
      <c r="J27" s="103">
        <f t="shared" si="0"/>
        <v>116000</v>
      </c>
      <c r="K27" s="104">
        <f>+ SUMIF('Doanh thu'!A:A, C27,'Doanh thu'!F:F)</f>
        <v>116000</v>
      </c>
      <c r="L27" s="93"/>
      <c r="M27" s="93"/>
      <c r="N27" s="93"/>
    </row>
    <row r="28" spans="1:14" ht="13.2">
      <c r="A28" s="373"/>
      <c r="B28" s="101">
        <v>1</v>
      </c>
      <c r="C28" s="106" t="s">
        <v>440</v>
      </c>
      <c r="D28" s="106" t="s">
        <v>434</v>
      </c>
      <c r="E28" s="107" t="s">
        <v>436</v>
      </c>
      <c r="F28" s="108">
        <v>14500</v>
      </c>
      <c r="G28" s="102">
        <f>+ SUMIF('Nhập kho T42024'!B:B, C28,'Nhập kho T42024'!F:F)</f>
        <v>92</v>
      </c>
      <c r="H28" s="101">
        <f>+ SUMIF('Doanh thu'!A:A, C28,'Doanh thu'!E:E) + SUMIF('Doanh thu 2025'!B:B, C28,'Doanh thu 2025'!E:E)</f>
        <v>4</v>
      </c>
      <c r="I28" s="101">
        <f t="shared" si="2"/>
        <v>88</v>
      </c>
      <c r="J28" s="103">
        <f t="shared" si="0"/>
        <v>0</v>
      </c>
      <c r="K28" s="104">
        <f>+ SUMIF('Doanh thu'!A:A, C28,'Doanh thu'!F:F)</f>
        <v>0</v>
      </c>
      <c r="L28" s="93"/>
      <c r="M28" s="93"/>
      <c r="N28" s="93"/>
    </row>
    <row r="29" spans="1:14" ht="15" customHeight="1">
      <c r="A29" s="389" t="s">
        <v>441</v>
      </c>
      <c r="B29" s="101">
        <v>1</v>
      </c>
      <c r="C29" s="33" t="s">
        <v>442</v>
      </c>
      <c r="D29" s="33" t="s">
        <v>443</v>
      </c>
      <c r="E29" s="109" t="s">
        <v>444</v>
      </c>
      <c r="F29" s="110">
        <v>39500</v>
      </c>
      <c r="G29" s="102">
        <f>+ SUMIF('Nhập kho T42024'!B:B, C29,'Nhập kho T42024'!F:F)</f>
        <v>0</v>
      </c>
      <c r="H29" s="101">
        <f>+ SUMIF('Doanh thu'!A:A, C29,'Doanh thu'!E:E) + SUMIF('Doanh thu 2025'!B:B, C29,'Doanh thu 2025'!E:E)</f>
        <v>1</v>
      </c>
      <c r="I29" s="101">
        <f t="shared" ref="I29:I30" si="3">G29-H29+3</f>
        <v>2</v>
      </c>
      <c r="J29" s="103">
        <f t="shared" si="0"/>
        <v>0</v>
      </c>
      <c r="K29" s="104">
        <f>+ SUMIF('Doanh thu'!A:A, C29,'Doanh thu'!F:F)</f>
        <v>0</v>
      </c>
      <c r="L29" s="93"/>
      <c r="M29" s="93"/>
      <c r="N29" s="93"/>
    </row>
    <row r="30" spans="1:14" ht="15" customHeight="1">
      <c r="A30" s="372"/>
      <c r="B30" s="101">
        <v>1</v>
      </c>
      <c r="C30" s="33" t="s">
        <v>445</v>
      </c>
      <c r="D30" s="33" t="s">
        <v>446</v>
      </c>
      <c r="E30" s="109" t="s">
        <v>444</v>
      </c>
      <c r="F30" s="110">
        <v>39500</v>
      </c>
      <c r="G30" s="102">
        <f>+ SUMIF('Nhập kho T42024'!B:B, C30,'Nhập kho T42024'!F:F)</f>
        <v>0</v>
      </c>
      <c r="H30" s="101">
        <f>+ SUMIF('Doanh thu'!A:A, C30,'Doanh thu'!E:E) + SUMIF('Doanh thu 2025'!B:B, C30,'Doanh thu 2025'!E:E)</f>
        <v>0</v>
      </c>
      <c r="I30" s="101">
        <f t="shared" si="3"/>
        <v>3</v>
      </c>
      <c r="J30" s="103">
        <f t="shared" si="0"/>
        <v>0</v>
      </c>
      <c r="K30" s="104">
        <f>+ SUMIF('Doanh thu'!A:A, C30,'Doanh thu'!F:F)</f>
        <v>0</v>
      </c>
      <c r="L30" s="93"/>
      <c r="M30" s="93"/>
      <c r="N30" s="93"/>
    </row>
    <row r="31" spans="1:14" ht="15" customHeight="1">
      <c r="A31" s="372"/>
      <c r="B31" s="101">
        <v>1</v>
      </c>
      <c r="C31" s="33" t="s">
        <v>447</v>
      </c>
      <c r="D31" s="33" t="s">
        <v>448</v>
      </c>
      <c r="E31" s="109" t="s">
        <v>444</v>
      </c>
      <c r="F31" s="110">
        <v>24900</v>
      </c>
      <c r="G31" s="102">
        <f>+ SUMIF('Nhập kho T42024'!B:B, C31,'Nhập kho T42024'!F:F)</f>
        <v>0</v>
      </c>
      <c r="H31" s="101">
        <f>+ SUMIF('Doanh thu'!A:A, C31,'Doanh thu'!E:E) + SUMIF('Doanh thu 2025'!B:B, C31,'Doanh thu 2025'!E:E)</f>
        <v>2</v>
      </c>
      <c r="I31" s="101">
        <f>G31-H31+2</f>
        <v>0</v>
      </c>
      <c r="J31" s="103">
        <f t="shared" si="0"/>
        <v>49800</v>
      </c>
      <c r="K31" s="104">
        <f>+ SUMIF('Doanh thu'!A:A, C31,'Doanh thu'!F:F)</f>
        <v>49800</v>
      </c>
      <c r="L31" s="93"/>
      <c r="M31" s="93"/>
      <c r="N31" s="93"/>
    </row>
    <row r="32" spans="1:14" ht="15" customHeight="1">
      <c r="A32" s="372"/>
      <c r="B32" s="101">
        <v>1</v>
      </c>
      <c r="C32" s="33" t="s">
        <v>449</v>
      </c>
      <c r="D32" s="33" t="s">
        <v>450</v>
      </c>
      <c r="E32" s="109" t="s">
        <v>444</v>
      </c>
      <c r="F32" s="110">
        <v>24900</v>
      </c>
      <c r="G32" s="102">
        <f>+ SUMIF('Nhập kho T42024'!B:B, C32,'Nhập kho T42024'!F:F)</f>
        <v>0</v>
      </c>
      <c r="H32" s="101">
        <f>+ SUMIF('Doanh thu'!A:A, C32,'Doanh thu'!E:E) + SUMIF('Doanh thu 2025'!B:B, C32,'Doanh thu 2025'!E:E)</f>
        <v>1</v>
      </c>
      <c r="I32" s="101">
        <f t="shared" ref="I32:I34" si="4">G32-H32+3</f>
        <v>2</v>
      </c>
      <c r="J32" s="103">
        <f t="shared" si="0"/>
        <v>24900</v>
      </c>
      <c r="K32" s="104">
        <f>+ SUMIF('Doanh thu'!A:A, C32,'Doanh thu'!F:F)</f>
        <v>24900</v>
      </c>
      <c r="L32" s="93"/>
      <c r="M32" s="93"/>
      <c r="N32" s="93"/>
    </row>
    <row r="33" spans="1:14" ht="15" customHeight="1">
      <c r="A33" s="372"/>
      <c r="B33" s="101">
        <v>1</v>
      </c>
      <c r="C33" s="33" t="s">
        <v>451</v>
      </c>
      <c r="D33" s="33" t="s">
        <v>452</v>
      </c>
      <c r="E33" s="109" t="s">
        <v>444</v>
      </c>
      <c r="F33" s="110">
        <v>23900</v>
      </c>
      <c r="G33" s="102">
        <f>+ SUMIF('Nhập kho T42024'!B:B, C33,'Nhập kho T42024'!F:F)</f>
        <v>0</v>
      </c>
      <c r="H33" s="101">
        <f>+ SUMIF('Doanh thu'!A:A, C33,'Doanh thu'!E:E) + SUMIF('Doanh thu 2025'!B:B, C33,'Doanh thu 2025'!E:E)</f>
        <v>1</v>
      </c>
      <c r="I33" s="101">
        <f t="shared" si="4"/>
        <v>2</v>
      </c>
      <c r="J33" s="103">
        <f t="shared" si="0"/>
        <v>23900</v>
      </c>
      <c r="K33" s="104">
        <f>+ SUMIF('Doanh thu'!A:A, C33,'Doanh thu'!F:F)</f>
        <v>23900</v>
      </c>
      <c r="L33" s="93"/>
      <c r="M33" s="93"/>
      <c r="N33" s="93"/>
    </row>
    <row r="34" spans="1:14" ht="13.2">
      <c r="A34" s="372"/>
      <c r="B34" s="101">
        <v>1</v>
      </c>
      <c r="C34" s="33" t="s">
        <v>453</v>
      </c>
      <c r="D34" s="33" t="s">
        <v>454</v>
      </c>
      <c r="E34" s="109" t="s">
        <v>444</v>
      </c>
      <c r="F34" s="110">
        <v>23900</v>
      </c>
      <c r="G34" s="102">
        <f>+ SUMIF('Nhập kho T42024'!B:B, C34,'Nhập kho T42024'!F:F)</f>
        <v>0</v>
      </c>
      <c r="H34" s="101">
        <f>+ SUMIF('Doanh thu'!A:A, C34,'Doanh thu'!E:E) + SUMIF('Doanh thu 2025'!B:B, C34,'Doanh thu 2025'!E:E)</f>
        <v>0</v>
      </c>
      <c r="I34" s="101">
        <f t="shared" si="4"/>
        <v>3</v>
      </c>
      <c r="J34" s="103">
        <f t="shared" si="0"/>
        <v>0</v>
      </c>
      <c r="K34" s="104">
        <f>+ SUMIF('Doanh thu'!A:A, C34,'Doanh thu'!F:F)</f>
        <v>0</v>
      </c>
      <c r="L34" s="93"/>
      <c r="M34" s="93"/>
      <c r="N34" s="93"/>
    </row>
    <row r="35" spans="1:14" ht="13.2">
      <c r="A35" s="372"/>
      <c r="B35" s="101">
        <v>1</v>
      </c>
      <c r="C35" s="33" t="s">
        <v>455</v>
      </c>
      <c r="D35" s="33" t="s">
        <v>456</v>
      </c>
      <c r="E35" s="109" t="s">
        <v>444</v>
      </c>
      <c r="F35" s="110">
        <v>23900</v>
      </c>
      <c r="G35" s="102">
        <f>+ SUMIF('Nhập kho T42024'!B:B, C35,'Nhập kho T42024'!F:F)</f>
        <v>0</v>
      </c>
      <c r="H35" s="101">
        <f>+ SUMIF('Doanh thu'!A:A, C35,'Doanh thu'!E:E) + SUMIF('Doanh thu 2025'!B:B, C35,'Doanh thu 2025'!E:E)</f>
        <v>0</v>
      </c>
      <c r="I35" s="101">
        <f t="shared" ref="I35:I36" si="5">G35-H35</f>
        <v>0</v>
      </c>
      <c r="J35" s="103">
        <f t="shared" si="0"/>
        <v>0</v>
      </c>
      <c r="K35" s="104">
        <f>+ SUMIF('Doanh thu'!A:A, C35,'Doanh thu'!F:F)</f>
        <v>0</v>
      </c>
      <c r="L35" s="93"/>
      <c r="M35" s="93"/>
      <c r="N35" s="93"/>
    </row>
    <row r="36" spans="1:14" ht="13.2">
      <c r="A36" s="372"/>
      <c r="B36" s="101">
        <v>1</v>
      </c>
      <c r="C36" s="33" t="s">
        <v>457</v>
      </c>
      <c r="D36" s="33" t="s">
        <v>458</v>
      </c>
      <c r="E36" s="109" t="s">
        <v>444</v>
      </c>
      <c r="F36" s="110">
        <v>23900</v>
      </c>
      <c r="G36" s="102">
        <f>+ SUMIF('Nhập kho T42024'!B:B, C36,'Nhập kho T42024'!F:F)</f>
        <v>0</v>
      </c>
      <c r="H36" s="101">
        <f>+ SUMIF('Doanh thu'!A:A, C36,'Doanh thu'!E:E) + SUMIF('Doanh thu 2025'!B:B, C36,'Doanh thu 2025'!E:E)</f>
        <v>0</v>
      </c>
      <c r="I36" s="101">
        <f t="shared" si="5"/>
        <v>0</v>
      </c>
      <c r="J36" s="103">
        <f t="shared" si="0"/>
        <v>0</v>
      </c>
      <c r="K36" s="104">
        <f>+ SUMIF('Doanh thu'!A:A, C36,'Doanh thu'!F:F)</f>
        <v>0</v>
      </c>
      <c r="L36" s="93"/>
      <c r="M36" s="93"/>
      <c r="N36" s="93"/>
    </row>
    <row r="37" spans="1:14" ht="13.2">
      <c r="A37" s="372"/>
      <c r="B37" s="101">
        <v>1</v>
      </c>
      <c r="C37" s="33" t="s">
        <v>459</v>
      </c>
      <c r="D37" s="33" t="s">
        <v>460</v>
      </c>
      <c r="E37" s="109" t="s">
        <v>444</v>
      </c>
      <c r="F37" s="110">
        <v>37500</v>
      </c>
      <c r="G37" s="102">
        <f>+ SUMIF('Nhập kho T42024'!B:B, C37,'Nhập kho T42024'!F:F)</f>
        <v>0</v>
      </c>
      <c r="H37" s="101">
        <f>+ SUMIF('Doanh thu'!A:A, C37,'Doanh thu'!E:E) + SUMIF('Doanh thu 2025'!B:B, C37,'Doanh thu 2025'!E:E)</f>
        <v>0</v>
      </c>
      <c r="I37" s="101">
        <f>G37-H37+2</f>
        <v>2</v>
      </c>
      <c r="J37" s="103">
        <f t="shared" si="0"/>
        <v>0</v>
      </c>
      <c r="K37" s="104">
        <f>+ SUMIF('Doanh thu'!A:A, C37,'Doanh thu'!F:F)</f>
        <v>0</v>
      </c>
      <c r="L37" s="93"/>
      <c r="M37" s="93"/>
      <c r="N37" s="93"/>
    </row>
    <row r="38" spans="1:14" ht="13.2">
      <c r="A38" s="372"/>
      <c r="B38" s="101">
        <v>1</v>
      </c>
      <c r="C38" s="33" t="s">
        <v>461</v>
      </c>
      <c r="D38" s="33" t="s">
        <v>462</v>
      </c>
      <c r="E38" s="109" t="s">
        <v>444</v>
      </c>
      <c r="F38" s="110">
        <v>22900</v>
      </c>
      <c r="G38" s="102">
        <f>+ SUMIF('Nhập kho T42024'!B:B, C38,'Nhập kho T42024'!F:F)</f>
        <v>0</v>
      </c>
      <c r="H38" s="101">
        <f>+ SUMIF('Doanh thu'!A:A, C38,'Doanh thu'!E:E) + SUMIF('Doanh thu 2025'!B:B, C38,'Doanh thu 2025'!E:E)</f>
        <v>1</v>
      </c>
      <c r="I38" s="101">
        <f>G38-H38+3</f>
        <v>2</v>
      </c>
      <c r="J38" s="103">
        <f t="shared" si="0"/>
        <v>0</v>
      </c>
      <c r="K38" s="104">
        <f>+ SUMIF('Doanh thu'!A:A, C38,'Doanh thu'!F:F)</f>
        <v>0</v>
      </c>
      <c r="L38" s="93"/>
      <c r="M38" s="93"/>
      <c r="N38" s="93"/>
    </row>
    <row r="39" spans="1:14" ht="13.2">
      <c r="A39" s="372"/>
      <c r="B39" s="101">
        <v>1</v>
      </c>
      <c r="C39" s="33" t="s">
        <v>463</v>
      </c>
      <c r="D39" s="33" t="s">
        <v>464</v>
      </c>
      <c r="E39" s="109" t="s">
        <v>444</v>
      </c>
      <c r="F39" s="110">
        <v>22900</v>
      </c>
      <c r="G39" s="102">
        <f>+ SUMIF('Nhập kho T42024'!B:B, C39,'Nhập kho T42024'!F:F)</f>
        <v>0</v>
      </c>
      <c r="H39" s="101">
        <f>+ SUMIF('Doanh thu'!A:A, C39,'Doanh thu'!E:E) + SUMIF('Doanh thu 2025'!B:B, C39,'Doanh thu 2025'!E:E)</f>
        <v>2</v>
      </c>
      <c r="I39" s="101">
        <f t="shared" ref="I39:I42" si="6">G39-H39+2</f>
        <v>0</v>
      </c>
      <c r="J39" s="103">
        <f t="shared" si="0"/>
        <v>22900</v>
      </c>
      <c r="K39" s="104">
        <f>+ SUMIF('Doanh thu'!A:A, C39,'Doanh thu'!F:F)</f>
        <v>22900</v>
      </c>
      <c r="L39" s="93"/>
      <c r="M39" s="93"/>
      <c r="N39" s="93"/>
    </row>
    <row r="40" spans="1:14" ht="13.2">
      <c r="A40" s="372"/>
      <c r="B40" s="101">
        <v>1</v>
      </c>
      <c r="C40" s="33" t="s">
        <v>465</v>
      </c>
      <c r="D40" s="33" t="s">
        <v>466</v>
      </c>
      <c r="E40" s="109" t="s">
        <v>444</v>
      </c>
      <c r="F40" s="110">
        <v>12500</v>
      </c>
      <c r="G40" s="102">
        <f>+ SUMIF('Nhập kho T42024'!B:B, C40,'Nhập kho T42024'!F:F)</f>
        <v>0</v>
      </c>
      <c r="H40" s="101">
        <f>+ SUMIF('Doanh thu'!A:A, C40,'Doanh thu'!E:E) + SUMIF('Doanh thu 2025'!B:B, C40,'Doanh thu 2025'!E:E)</f>
        <v>2</v>
      </c>
      <c r="I40" s="101">
        <f t="shared" si="6"/>
        <v>0</v>
      </c>
      <c r="J40" s="103">
        <f t="shared" si="0"/>
        <v>26500</v>
      </c>
      <c r="K40" s="104">
        <f>+ SUMIF('Doanh thu'!A:A, C40,'Doanh thu'!F:F)</f>
        <v>26500</v>
      </c>
      <c r="L40" s="93"/>
      <c r="M40" s="93"/>
      <c r="N40" s="93"/>
    </row>
    <row r="41" spans="1:14" ht="13.2">
      <c r="A41" s="372"/>
      <c r="B41" s="101">
        <v>1</v>
      </c>
      <c r="C41" s="33" t="s">
        <v>467</v>
      </c>
      <c r="D41" s="33" t="s">
        <v>468</v>
      </c>
      <c r="E41" s="109" t="s">
        <v>444</v>
      </c>
      <c r="F41" s="110">
        <v>12500</v>
      </c>
      <c r="G41" s="102">
        <f>+ SUMIF('Nhập kho T42024'!B:B, C41,'Nhập kho T42024'!F:F)</f>
        <v>0</v>
      </c>
      <c r="H41" s="101">
        <f>+ SUMIF('Doanh thu'!A:A, C41,'Doanh thu'!E:E) + SUMIF('Doanh thu 2025'!B:B, C41,'Doanh thu 2025'!E:E)</f>
        <v>2</v>
      </c>
      <c r="I41" s="101">
        <f t="shared" si="6"/>
        <v>0</v>
      </c>
      <c r="J41" s="103">
        <f t="shared" si="0"/>
        <v>25000</v>
      </c>
      <c r="K41" s="104">
        <f>+ SUMIF('Doanh thu'!A:A, C41,'Doanh thu'!F:F)</f>
        <v>25000</v>
      </c>
      <c r="L41" s="93"/>
      <c r="M41" s="93"/>
      <c r="N41" s="93"/>
    </row>
    <row r="42" spans="1:14" ht="13.2">
      <c r="A42" s="373"/>
      <c r="B42" s="101">
        <v>1</v>
      </c>
      <c r="C42" s="33" t="s">
        <v>469</v>
      </c>
      <c r="D42" s="33" t="s">
        <v>470</v>
      </c>
      <c r="E42" s="109" t="s">
        <v>444</v>
      </c>
      <c r="F42" s="110">
        <v>34900</v>
      </c>
      <c r="G42" s="102">
        <f>+ SUMIF('Nhập kho T42024'!B:B, C42,'Nhập kho T42024'!F:F)</f>
        <v>0</v>
      </c>
      <c r="H42" s="101">
        <f>+ SUMIF('Doanh thu'!A:A, C42,'Doanh thu'!E:E) + SUMIF('Doanh thu 2025'!B:B, C42,'Doanh thu 2025'!E:E)</f>
        <v>1</v>
      </c>
      <c r="I42" s="101">
        <f t="shared" si="6"/>
        <v>1</v>
      </c>
      <c r="J42" s="103">
        <f t="shared" si="0"/>
        <v>34900</v>
      </c>
      <c r="K42" s="104">
        <f>+ SUMIF('Doanh thu'!A:A, C42,'Doanh thu'!F:F)</f>
        <v>34900</v>
      </c>
      <c r="L42" s="93"/>
      <c r="M42" s="93"/>
      <c r="N42" s="93"/>
    </row>
    <row r="43" spans="1:14" ht="13.2">
      <c r="A43" s="390" t="s">
        <v>471</v>
      </c>
      <c r="B43" s="111">
        <v>1</v>
      </c>
      <c r="C43" s="112" t="s">
        <v>472</v>
      </c>
      <c r="D43" s="112" t="s">
        <v>473</v>
      </c>
      <c r="E43" s="111" t="s">
        <v>444</v>
      </c>
      <c r="F43" s="113">
        <v>33120</v>
      </c>
      <c r="G43" s="102">
        <f>+ SUMIF('Nhập kho T42024'!B:B, C43,'Nhập kho T42024'!F:F)</f>
        <v>0</v>
      </c>
      <c r="H43" s="101">
        <f>+ SUMIF('Doanh thu'!A:A, C43,'Doanh thu'!E:E) + SUMIF('Doanh thu 2025'!B:B, C43,'Doanh thu 2025'!E:E)</f>
        <v>0</v>
      </c>
      <c r="I43" s="101">
        <f t="shared" ref="I43:I47" si="7">G43-H43</f>
        <v>0</v>
      </c>
      <c r="J43" s="103">
        <f t="shared" si="0"/>
        <v>0</v>
      </c>
      <c r="K43" s="104">
        <f>+ SUMIF('Doanh thu'!A:A, C43,'Doanh thu'!F:F)</f>
        <v>0</v>
      </c>
      <c r="L43" s="93"/>
      <c r="M43" s="93"/>
      <c r="N43" s="93"/>
    </row>
    <row r="44" spans="1:14" ht="13.2">
      <c r="A44" s="372"/>
      <c r="B44" s="111">
        <v>1</v>
      </c>
      <c r="C44" s="112" t="s">
        <v>474</v>
      </c>
      <c r="D44" s="112" t="s">
        <v>475</v>
      </c>
      <c r="E44" s="111" t="s">
        <v>444</v>
      </c>
      <c r="F44" s="113">
        <v>33120</v>
      </c>
      <c r="G44" s="102">
        <f>+ SUMIF('Nhập kho T42024'!B:B, C44,'Nhập kho T42024'!F:F)</f>
        <v>0</v>
      </c>
      <c r="H44" s="101">
        <f>+ SUMIF('Doanh thu'!A:A, C44,'Doanh thu'!E:E) + SUMIF('Doanh thu 2025'!B:B, C44,'Doanh thu 2025'!E:E)</f>
        <v>0</v>
      </c>
      <c r="I44" s="101">
        <f t="shared" si="7"/>
        <v>0</v>
      </c>
      <c r="J44" s="103">
        <f t="shared" si="0"/>
        <v>0</v>
      </c>
      <c r="K44" s="104">
        <f>+ SUMIF('Doanh thu'!A:A, C44,'Doanh thu'!F:F)</f>
        <v>0</v>
      </c>
      <c r="L44" s="93"/>
      <c r="M44" s="93"/>
      <c r="N44" s="93"/>
    </row>
    <row r="45" spans="1:14" ht="13.2">
      <c r="A45" s="372"/>
      <c r="B45" s="111">
        <v>1</v>
      </c>
      <c r="C45" s="112" t="s">
        <v>476</v>
      </c>
      <c r="D45" s="112" t="s">
        <v>477</v>
      </c>
      <c r="E45" s="111" t="s">
        <v>444</v>
      </c>
      <c r="F45" s="113">
        <v>33120</v>
      </c>
      <c r="G45" s="102">
        <f>+ SUMIF('Nhập kho T42024'!B:B, C45,'Nhập kho T42024'!F:F)</f>
        <v>0</v>
      </c>
      <c r="H45" s="101">
        <f>+ SUMIF('Doanh thu'!A:A, C45,'Doanh thu'!E:E) + SUMIF('Doanh thu 2025'!B:B, C45,'Doanh thu 2025'!E:E)</f>
        <v>0</v>
      </c>
      <c r="I45" s="101">
        <f t="shared" si="7"/>
        <v>0</v>
      </c>
      <c r="J45" s="103">
        <f t="shared" si="0"/>
        <v>0</v>
      </c>
      <c r="K45" s="104">
        <f>+ SUMIF('Doanh thu'!A:A, C45,'Doanh thu'!F:F)</f>
        <v>0</v>
      </c>
      <c r="L45" s="93"/>
      <c r="M45" s="93"/>
      <c r="N45" s="93"/>
    </row>
    <row r="46" spans="1:14" ht="13.2">
      <c r="A46" s="372"/>
      <c r="B46" s="111">
        <v>1</v>
      </c>
      <c r="C46" s="112" t="s">
        <v>478</v>
      </c>
      <c r="D46" s="112" t="s">
        <v>479</v>
      </c>
      <c r="E46" s="111" t="s">
        <v>444</v>
      </c>
      <c r="F46" s="113">
        <v>33120</v>
      </c>
      <c r="G46" s="102">
        <f>+ SUMIF('Nhập kho T42024'!B:B, C46,'Nhập kho T42024'!F:F)</f>
        <v>0</v>
      </c>
      <c r="H46" s="101">
        <f>+ SUMIF('Doanh thu'!A:A, C46,'Doanh thu'!E:E) + SUMIF('Doanh thu 2025'!B:B, C46,'Doanh thu 2025'!E:E)</f>
        <v>0</v>
      </c>
      <c r="I46" s="101">
        <f t="shared" si="7"/>
        <v>0</v>
      </c>
      <c r="J46" s="103">
        <f t="shared" si="0"/>
        <v>0</v>
      </c>
      <c r="K46" s="104">
        <f>+ SUMIF('Doanh thu'!A:A, C46,'Doanh thu'!F:F)</f>
        <v>0</v>
      </c>
      <c r="L46" s="93"/>
      <c r="M46" s="93"/>
      <c r="N46" s="93"/>
    </row>
    <row r="47" spans="1:14" ht="13.2">
      <c r="A47" s="372"/>
      <c r="B47" s="111">
        <v>1</v>
      </c>
      <c r="C47" s="112" t="s">
        <v>480</v>
      </c>
      <c r="D47" s="112" t="s">
        <v>481</v>
      </c>
      <c r="E47" s="111" t="s">
        <v>444</v>
      </c>
      <c r="F47" s="113">
        <v>33120</v>
      </c>
      <c r="G47" s="102">
        <f>+ SUMIF('Nhập kho T42024'!B:B, C47,'Nhập kho T42024'!F:F)</f>
        <v>0</v>
      </c>
      <c r="H47" s="101">
        <f>+ SUMIF('Doanh thu'!A:A, C47,'Doanh thu'!E:E) + SUMIF('Doanh thu 2025'!B:B, C47,'Doanh thu 2025'!E:E)</f>
        <v>0</v>
      </c>
      <c r="I47" s="101">
        <f t="shared" si="7"/>
        <v>0</v>
      </c>
      <c r="J47" s="103">
        <f t="shared" si="0"/>
        <v>0</v>
      </c>
      <c r="K47" s="104">
        <f>+ SUMIF('Doanh thu'!A:A, C47,'Doanh thu'!F:F)</f>
        <v>0</v>
      </c>
      <c r="L47" s="93"/>
      <c r="M47" s="93"/>
      <c r="N47" s="93"/>
    </row>
    <row r="48" spans="1:14" ht="13.2">
      <c r="A48" s="372"/>
      <c r="B48" s="111">
        <v>1</v>
      </c>
      <c r="C48" s="112" t="s">
        <v>482</v>
      </c>
      <c r="D48" s="112" t="s">
        <v>483</v>
      </c>
      <c r="E48" s="111" t="s">
        <v>484</v>
      </c>
      <c r="F48" s="113">
        <v>31280</v>
      </c>
      <c r="G48" s="102">
        <f>+ SUMIF('Nhập kho T42024'!B:B, C48,'Nhập kho T42024'!F:F)</f>
        <v>0</v>
      </c>
      <c r="H48" s="101">
        <f>+ SUMIF('Doanh thu'!A:A, C48,'Doanh thu'!E:E) + SUMIF('Doanh thu 2025'!B:B, C48,'Doanh thu 2025'!E:E)</f>
        <v>0</v>
      </c>
      <c r="I48" s="101">
        <f>G48-H48+1</f>
        <v>1</v>
      </c>
      <c r="J48" s="103">
        <f t="shared" si="0"/>
        <v>0</v>
      </c>
      <c r="K48" s="104">
        <f>+ SUMIF('Doanh thu'!A:A, C48,'Doanh thu'!F:F)</f>
        <v>0</v>
      </c>
      <c r="L48" s="93"/>
      <c r="M48" s="93"/>
      <c r="N48" s="93"/>
    </row>
    <row r="49" spans="1:14" ht="13.2">
      <c r="A49" s="372"/>
      <c r="B49" s="111">
        <v>1</v>
      </c>
      <c r="C49" s="112" t="s">
        <v>485</v>
      </c>
      <c r="D49" s="112" t="s">
        <v>486</v>
      </c>
      <c r="E49" s="111" t="s">
        <v>484</v>
      </c>
      <c r="F49" s="113">
        <v>30360</v>
      </c>
      <c r="G49" s="102">
        <f>+ SUMIF('Nhập kho T42024'!B:B, C49,'Nhập kho T42024'!F:F)</f>
        <v>0</v>
      </c>
      <c r="H49" s="101">
        <f>+ SUMIF('Doanh thu'!A:A, C49,'Doanh thu'!E:E) + SUMIF('Doanh thu 2025'!B:B, C49,'Doanh thu 2025'!E:E)</f>
        <v>7</v>
      </c>
      <c r="I49" s="101">
        <f t="shared" ref="I49:I50" si="8">G49-H49+8</f>
        <v>1</v>
      </c>
      <c r="J49" s="103">
        <f t="shared" si="0"/>
        <v>182160</v>
      </c>
      <c r="K49" s="104">
        <f>+ SUMIF('Doanh thu'!A:A, C49,'Doanh thu'!F:F)</f>
        <v>182160</v>
      </c>
      <c r="L49" s="93"/>
      <c r="M49" s="93"/>
      <c r="N49" s="93"/>
    </row>
    <row r="50" spans="1:14" ht="13.2">
      <c r="A50" s="372"/>
      <c r="B50" s="111">
        <v>1</v>
      </c>
      <c r="C50" s="112" t="s">
        <v>487</v>
      </c>
      <c r="D50" s="112" t="s">
        <v>488</v>
      </c>
      <c r="E50" s="111" t="s">
        <v>484</v>
      </c>
      <c r="F50" s="113">
        <v>32200</v>
      </c>
      <c r="G50" s="102">
        <f>+ SUMIF('Nhập kho T42024'!B:B, C50,'Nhập kho T42024'!F:F)</f>
        <v>0</v>
      </c>
      <c r="H50" s="101">
        <f>+ SUMIF('Doanh thu'!A:A, C50,'Doanh thu'!E:E) + SUMIF('Doanh thu 2025'!B:B, C50,'Doanh thu 2025'!E:E)</f>
        <v>3</v>
      </c>
      <c r="I50" s="101">
        <f t="shared" si="8"/>
        <v>5</v>
      </c>
      <c r="J50" s="103">
        <f t="shared" si="0"/>
        <v>64400</v>
      </c>
      <c r="K50" s="104">
        <f>+ SUMIF('Doanh thu'!A:A, C50,'Doanh thu'!F:F)</f>
        <v>64400</v>
      </c>
      <c r="L50" s="93"/>
      <c r="M50" s="93"/>
      <c r="N50" s="93"/>
    </row>
    <row r="51" spans="1:14" ht="13.2">
      <c r="A51" s="372"/>
      <c r="B51" s="111">
        <v>1</v>
      </c>
      <c r="C51" s="112" t="s">
        <v>489</v>
      </c>
      <c r="D51" s="112" t="s">
        <v>490</v>
      </c>
      <c r="E51" s="111" t="s">
        <v>484</v>
      </c>
      <c r="F51" s="113">
        <v>11040</v>
      </c>
      <c r="G51" s="102">
        <f>+ SUMIF('Nhập kho T42024'!B:B, C51,'Nhập kho T42024'!F:F)</f>
        <v>0</v>
      </c>
      <c r="H51" s="101">
        <f>+ SUMIF('Doanh thu'!A:A, C51,'Doanh thu'!E:E) + SUMIF('Doanh thu 2025'!B:B, C51,'Doanh thu 2025'!E:E)</f>
        <v>6</v>
      </c>
      <c r="I51" s="101">
        <f>G51-H51+6</f>
        <v>0</v>
      </c>
      <c r="J51" s="103">
        <f t="shared" si="0"/>
        <v>66240</v>
      </c>
      <c r="K51" s="104">
        <f>+ SUMIF('Doanh thu'!A:A, C51,'Doanh thu'!F:F)</f>
        <v>66240</v>
      </c>
      <c r="L51" s="93"/>
      <c r="M51" s="93"/>
      <c r="N51" s="93"/>
    </row>
    <row r="52" spans="1:14" ht="13.2">
      <c r="A52" s="372"/>
      <c r="B52" s="111">
        <v>1</v>
      </c>
      <c r="C52" s="112" t="s">
        <v>491</v>
      </c>
      <c r="D52" s="112" t="s">
        <v>492</v>
      </c>
      <c r="E52" s="111" t="s">
        <v>484</v>
      </c>
      <c r="F52" s="113">
        <v>11040</v>
      </c>
      <c r="G52" s="102">
        <f>+ SUMIF('Nhập kho T42024'!B:B, C52,'Nhập kho T42024'!F:F)</f>
        <v>0</v>
      </c>
      <c r="H52" s="101">
        <f>+ SUMIF('Doanh thu'!A:A, C52,'Doanh thu'!E:E) + SUMIF('Doanh thu 2025'!B:B, C52,'Doanh thu 2025'!E:E)</f>
        <v>0</v>
      </c>
      <c r="I52" s="101">
        <f>G52-H52</f>
        <v>0</v>
      </c>
      <c r="J52" s="103">
        <f t="shared" si="0"/>
        <v>0</v>
      </c>
      <c r="K52" s="104">
        <f>+ SUMIF('Doanh thu'!A:A, C52,'Doanh thu'!F:F)</f>
        <v>0</v>
      </c>
      <c r="L52" s="93"/>
      <c r="M52" s="93"/>
      <c r="N52" s="93"/>
    </row>
    <row r="53" spans="1:14" ht="13.2">
      <c r="A53" s="372"/>
      <c r="B53" s="111">
        <v>1</v>
      </c>
      <c r="C53" s="112" t="s">
        <v>493</v>
      </c>
      <c r="D53" s="112" t="s">
        <v>494</v>
      </c>
      <c r="E53" s="111" t="s">
        <v>484</v>
      </c>
      <c r="F53" s="113">
        <v>12880</v>
      </c>
      <c r="G53" s="102">
        <f>+ SUMIF('Nhập kho T42024'!B:B, C53,'Nhập kho T42024'!F:F)</f>
        <v>0</v>
      </c>
      <c r="H53" s="101">
        <f>+ SUMIF('Doanh thu'!A:A, C53,'Doanh thu'!E:E) + SUMIF('Doanh thu 2025'!B:B, C53,'Doanh thu 2025'!E:E)</f>
        <v>3</v>
      </c>
      <c r="I53" s="101">
        <f>G53-H53+11</f>
        <v>8</v>
      </c>
      <c r="J53" s="103">
        <f t="shared" si="0"/>
        <v>38202.6</v>
      </c>
      <c r="K53" s="104">
        <f>+ SUMIF('Doanh thu'!A:A, C53,'Doanh thu'!F:F)</f>
        <v>38202.6</v>
      </c>
      <c r="L53" s="93"/>
      <c r="M53" s="93"/>
      <c r="N53" s="93"/>
    </row>
    <row r="54" spans="1:14" ht="13.2">
      <c r="A54" s="372"/>
      <c r="B54" s="111">
        <v>1</v>
      </c>
      <c r="C54" s="112" t="s">
        <v>495</v>
      </c>
      <c r="D54" s="112" t="s">
        <v>496</v>
      </c>
      <c r="E54" s="111" t="s">
        <v>484</v>
      </c>
      <c r="F54" s="113">
        <v>22080</v>
      </c>
      <c r="G54" s="102">
        <f>+ SUMIF('Nhập kho T42024'!B:B, C54,'Nhập kho T42024'!F:F)</f>
        <v>0</v>
      </c>
      <c r="H54" s="101">
        <f>+ SUMIF('Doanh thu'!A:A, C54,'Doanh thu'!E:E) + SUMIF('Doanh thu 2025'!B:B, C54,'Doanh thu 2025'!E:E)</f>
        <v>3</v>
      </c>
      <c r="I54" s="101">
        <f>G54-H54+10</f>
        <v>7</v>
      </c>
      <c r="J54" s="103">
        <f t="shared" si="0"/>
        <v>44160</v>
      </c>
      <c r="K54" s="104">
        <f>+ SUMIF('Doanh thu'!A:A, C54,'Doanh thu'!F:F)</f>
        <v>44160</v>
      </c>
      <c r="L54" s="93"/>
      <c r="M54" s="93"/>
      <c r="N54" s="93"/>
    </row>
    <row r="55" spans="1:14" ht="13.2">
      <c r="A55" s="372"/>
      <c r="B55" s="111">
        <v>1</v>
      </c>
      <c r="C55" s="112" t="s">
        <v>497</v>
      </c>
      <c r="D55" s="112" t="s">
        <v>498</v>
      </c>
      <c r="E55" s="111" t="s">
        <v>484</v>
      </c>
      <c r="F55" s="113">
        <v>52440</v>
      </c>
      <c r="G55" s="102">
        <f>+ SUMIF('Nhập kho T42024'!B:B, C55,'Nhập kho T42024'!F:F)</f>
        <v>0</v>
      </c>
      <c r="H55" s="101">
        <f>+ SUMIF('Doanh thu'!A:A, C55,'Doanh thu'!E:E) + SUMIF('Doanh thu 2025'!B:B, C55,'Doanh thu 2025'!E:E)</f>
        <v>2</v>
      </c>
      <c r="I55" s="101">
        <f>G55-H55+4</f>
        <v>2</v>
      </c>
      <c r="J55" s="103">
        <f t="shared" si="0"/>
        <v>52440</v>
      </c>
      <c r="K55" s="104">
        <f>+ SUMIF('Doanh thu'!A:A, C55,'Doanh thu'!F:F)</f>
        <v>52440</v>
      </c>
      <c r="L55" s="93"/>
      <c r="M55" s="93"/>
      <c r="N55" s="93"/>
    </row>
    <row r="56" spans="1:14" ht="13.2">
      <c r="A56" s="372"/>
      <c r="B56" s="111">
        <v>1</v>
      </c>
      <c r="C56" s="112" t="s">
        <v>499</v>
      </c>
      <c r="D56" s="112" t="s">
        <v>500</v>
      </c>
      <c r="E56" s="111" t="s">
        <v>484</v>
      </c>
      <c r="F56" s="113">
        <v>28520</v>
      </c>
      <c r="G56" s="102">
        <f>+ SUMIF('Nhập kho T42024'!B:B, C56,'Nhập kho T42024'!F:F)</f>
        <v>0</v>
      </c>
      <c r="H56" s="101">
        <f>+ SUMIF('Doanh thu'!A:A, C56,'Doanh thu'!E:E) + SUMIF('Doanh thu 2025'!B:B, C56,'Doanh thu 2025'!E:E)</f>
        <v>7</v>
      </c>
      <c r="I56" s="101">
        <f>G56-H56+12</f>
        <v>5</v>
      </c>
      <c r="J56" s="103">
        <f t="shared" si="0"/>
        <v>171120</v>
      </c>
      <c r="K56" s="104">
        <f>+ SUMIF('Doanh thu'!A:A, C56,'Doanh thu'!F:F)</f>
        <v>171120</v>
      </c>
      <c r="L56" s="93"/>
      <c r="M56" s="93"/>
      <c r="N56" s="93"/>
    </row>
    <row r="57" spans="1:14" ht="13.2">
      <c r="A57" s="372"/>
      <c r="B57" s="111">
        <v>1</v>
      </c>
      <c r="C57" s="112" t="s">
        <v>501</v>
      </c>
      <c r="D57" s="112" t="s">
        <v>502</v>
      </c>
      <c r="E57" s="111" t="s">
        <v>484</v>
      </c>
      <c r="F57" s="113">
        <v>11040</v>
      </c>
      <c r="G57" s="102">
        <f>+ SUMIF('Nhập kho T42024'!B:B, C57,'Nhập kho T42024'!F:F)</f>
        <v>0</v>
      </c>
      <c r="H57" s="101">
        <f>+ SUMIF('Doanh thu'!A:A, C57,'Doanh thu'!E:E) + SUMIF('Doanh thu 2025'!B:B, C57,'Doanh thu 2025'!E:E)</f>
        <v>4</v>
      </c>
      <c r="I57" s="101">
        <f>G57-H57+13</f>
        <v>9</v>
      </c>
      <c r="J57" s="103">
        <f t="shared" si="0"/>
        <v>19762</v>
      </c>
      <c r="K57" s="104">
        <f>+ SUMIF('Doanh thu'!A:A, C57,'Doanh thu'!F:F)</f>
        <v>19762</v>
      </c>
      <c r="L57" s="93"/>
      <c r="M57" s="93"/>
      <c r="N57" s="93"/>
    </row>
    <row r="58" spans="1:14" ht="13.2">
      <c r="A58" s="372"/>
      <c r="B58" s="111">
        <v>1</v>
      </c>
      <c r="C58" s="112" t="s">
        <v>503</v>
      </c>
      <c r="D58" s="112" t="s">
        <v>504</v>
      </c>
      <c r="E58" s="111" t="s">
        <v>484</v>
      </c>
      <c r="F58" s="113">
        <v>32200</v>
      </c>
      <c r="G58" s="102">
        <f>+ SUMIF('Nhập kho T42024'!B:B, C58,'Nhập kho T42024'!F:F)</f>
        <v>0</v>
      </c>
      <c r="H58" s="101">
        <f>+ SUMIF('Doanh thu'!A:A, C58,'Doanh thu'!E:E) + SUMIF('Doanh thu 2025'!B:B, C58,'Doanh thu 2025'!E:E)</f>
        <v>4</v>
      </c>
      <c r="I58" s="101">
        <f>G58-H58+6</f>
        <v>2</v>
      </c>
      <c r="J58" s="103">
        <f t="shared" si="0"/>
        <v>128800</v>
      </c>
      <c r="K58" s="104">
        <f>+ SUMIF('Doanh thu'!A:A, C58,'Doanh thu'!F:F)</f>
        <v>128800</v>
      </c>
      <c r="L58" s="93"/>
      <c r="M58" s="93"/>
      <c r="N58" s="93"/>
    </row>
    <row r="59" spans="1:14" ht="13.2">
      <c r="A59" s="372"/>
      <c r="B59" s="111">
        <v>1</v>
      </c>
      <c r="C59" s="112" t="s">
        <v>505</v>
      </c>
      <c r="D59" s="112" t="s">
        <v>506</v>
      </c>
      <c r="E59" s="111" t="s">
        <v>484</v>
      </c>
      <c r="F59" s="113">
        <v>32200</v>
      </c>
      <c r="G59" s="102">
        <f>+ SUMIF('Nhập kho T42024'!B:B, C59,'Nhập kho T42024'!F:F)</f>
        <v>0</v>
      </c>
      <c r="H59" s="101">
        <f>+ SUMIF('Doanh thu'!A:A, C59,'Doanh thu'!E:E) + SUMIF('Doanh thu 2025'!B:B, C59,'Doanh thu 2025'!E:E)</f>
        <v>0</v>
      </c>
      <c r="I59" s="101">
        <f t="shared" ref="I59:I62" si="9">G59-H59</f>
        <v>0</v>
      </c>
      <c r="J59" s="103">
        <f t="shared" si="0"/>
        <v>0</v>
      </c>
      <c r="K59" s="104">
        <f>+ SUMIF('Doanh thu'!A:A, C59,'Doanh thu'!F:F)</f>
        <v>0</v>
      </c>
      <c r="L59" s="93"/>
      <c r="M59" s="93"/>
      <c r="N59" s="93"/>
    </row>
    <row r="60" spans="1:14" ht="13.2">
      <c r="A60" s="372"/>
      <c r="B60" s="111">
        <v>1</v>
      </c>
      <c r="C60" s="112" t="s">
        <v>507</v>
      </c>
      <c r="D60" s="112" t="s">
        <v>508</v>
      </c>
      <c r="E60" s="111" t="s">
        <v>484</v>
      </c>
      <c r="F60" s="113">
        <v>32200</v>
      </c>
      <c r="G60" s="102">
        <f>+ SUMIF('Nhập kho T42024'!B:B, C60,'Nhập kho T42024'!F:F)</f>
        <v>0</v>
      </c>
      <c r="H60" s="101">
        <f>+ SUMIF('Doanh thu'!A:A, C60,'Doanh thu'!E:E) + SUMIF('Doanh thu 2025'!B:B, C60,'Doanh thu 2025'!E:E)</f>
        <v>0</v>
      </c>
      <c r="I60" s="101">
        <f t="shared" si="9"/>
        <v>0</v>
      </c>
      <c r="J60" s="103">
        <f t="shared" si="0"/>
        <v>0</v>
      </c>
      <c r="K60" s="104">
        <f>+ SUMIF('Doanh thu'!A:A, C60,'Doanh thu'!F:F)</f>
        <v>0</v>
      </c>
      <c r="L60" s="93"/>
      <c r="M60" s="93"/>
      <c r="N60" s="93"/>
    </row>
    <row r="61" spans="1:14" ht="13.2">
      <c r="A61" s="372"/>
      <c r="B61" s="111">
        <v>1</v>
      </c>
      <c r="C61" s="112" t="s">
        <v>509</v>
      </c>
      <c r="D61" s="112" t="s">
        <v>510</v>
      </c>
      <c r="E61" s="111" t="s">
        <v>484</v>
      </c>
      <c r="F61" s="113">
        <v>32200</v>
      </c>
      <c r="G61" s="102">
        <f>+ SUMIF('Nhập kho T42024'!B:B, C61,'Nhập kho T42024'!F:F)</f>
        <v>0</v>
      </c>
      <c r="H61" s="101">
        <f>+ SUMIF('Doanh thu'!A:A, C61,'Doanh thu'!E:E) + SUMIF('Doanh thu 2025'!B:B, C61,'Doanh thu 2025'!E:E)</f>
        <v>0</v>
      </c>
      <c r="I61" s="101">
        <f t="shared" si="9"/>
        <v>0</v>
      </c>
      <c r="J61" s="103">
        <f t="shared" si="0"/>
        <v>0</v>
      </c>
      <c r="K61" s="104">
        <f>+ SUMIF('Doanh thu'!A:A, C61,'Doanh thu'!F:F)</f>
        <v>0</v>
      </c>
      <c r="L61" s="93"/>
      <c r="M61" s="93"/>
      <c r="N61" s="93"/>
    </row>
    <row r="62" spans="1:14" ht="13.2">
      <c r="A62" s="372"/>
      <c r="B62" s="111">
        <v>1</v>
      </c>
      <c r="C62" s="112" t="s">
        <v>511</v>
      </c>
      <c r="D62" s="112" t="s">
        <v>512</v>
      </c>
      <c r="E62" s="111" t="s">
        <v>484</v>
      </c>
      <c r="F62" s="113">
        <v>32200</v>
      </c>
      <c r="G62" s="102">
        <f>+ SUMIF('Nhập kho T42024'!B:B, C62,'Nhập kho T42024'!F:F)</f>
        <v>0</v>
      </c>
      <c r="H62" s="101">
        <f>+ SUMIF('Doanh thu'!A:A, C62,'Doanh thu'!E:E) + SUMIF('Doanh thu 2025'!B:B, C62,'Doanh thu 2025'!E:E)</f>
        <v>0</v>
      </c>
      <c r="I62" s="101">
        <f t="shared" si="9"/>
        <v>0</v>
      </c>
      <c r="J62" s="103">
        <f t="shared" si="0"/>
        <v>0</v>
      </c>
      <c r="K62" s="104">
        <f>+ SUMIF('Doanh thu'!A:A, C62,'Doanh thu'!F:F)</f>
        <v>0</v>
      </c>
      <c r="L62" s="93"/>
      <c r="M62" s="93"/>
      <c r="N62" s="93"/>
    </row>
    <row r="63" spans="1:14" ht="13.2">
      <c r="A63" s="372"/>
      <c r="B63" s="111">
        <v>1</v>
      </c>
      <c r="C63" s="112" t="s">
        <v>513</v>
      </c>
      <c r="D63" s="112" t="s">
        <v>514</v>
      </c>
      <c r="E63" s="111" t="s">
        <v>484</v>
      </c>
      <c r="F63" s="113">
        <v>27508</v>
      </c>
      <c r="G63" s="102">
        <f>+ SUMIF('Nhập kho T42024'!B:B, C63,'Nhập kho T42024'!F:F)</f>
        <v>0</v>
      </c>
      <c r="H63" s="101">
        <f>+ SUMIF('Doanh thu'!A:A, C63,'Doanh thu'!E:E) + SUMIF('Doanh thu 2025'!B:B, C63,'Doanh thu 2025'!E:E)</f>
        <v>0</v>
      </c>
      <c r="I63" s="101">
        <f>G63-H63+4</f>
        <v>4</v>
      </c>
      <c r="J63" s="103">
        <f t="shared" si="0"/>
        <v>0</v>
      </c>
      <c r="K63" s="104">
        <f>+ SUMIF('Doanh thu'!A:A, C63,'Doanh thu'!F:F)</f>
        <v>0</v>
      </c>
      <c r="L63" s="93"/>
      <c r="M63" s="93"/>
      <c r="N63" s="93"/>
    </row>
    <row r="64" spans="1:14" ht="13.2">
      <c r="A64" s="372"/>
      <c r="B64" s="111">
        <v>1</v>
      </c>
      <c r="C64" s="112" t="s">
        <v>515</v>
      </c>
      <c r="D64" s="112" t="s">
        <v>516</v>
      </c>
      <c r="E64" s="111" t="s">
        <v>484</v>
      </c>
      <c r="F64" s="113">
        <v>27508</v>
      </c>
      <c r="G64" s="102">
        <f>+ SUMIF('Nhập kho T42024'!B:B, C64,'Nhập kho T42024'!F:F)</f>
        <v>0</v>
      </c>
      <c r="H64" s="101">
        <f>+ SUMIF('Doanh thu'!A:A, C64,'Doanh thu'!E:E) + SUMIF('Doanh thu 2025'!B:B, C64,'Doanh thu 2025'!E:E)</f>
        <v>0</v>
      </c>
      <c r="I64" s="101">
        <f t="shared" ref="I64:I66" si="10">G64-H64</f>
        <v>0</v>
      </c>
      <c r="J64" s="103">
        <f t="shared" si="0"/>
        <v>0</v>
      </c>
      <c r="K64" s="104">
        <f>+ SUMIF('Doanh thu'!A:A, C64,'Doanh thu'!F:F)</f>
        <v>0</v>
      </c>
      <c r="L64" s="93"/>
      <c r="M64" s="93"/>
      <c r="N64" s="93"/>
    </row>
    <row r="65" spans="1:14" ht="13.2">
      <c r="A65" s="372"/>
      <c r="B65" s="111">
        <v>1</v>
      </c>
      <c r="C65" s="112" t="s">
        <v>517</v>
      </c>
      <c r="D65" s="112" t="s">
        <v>518</v>
      </c>
      <c r="E65" s="111" t="s">
        <v>484</v>
      </c>
      <c r="F65" s="113">
        <v>27508</v>
      </c>
      <c r="G65" s="102">
        <f>+ SUMIF('Nhập kho T42024'!B:B, C65,'Nhập kho T42024'!F:F)</f>
        <v>0</v>
      </c>
      <c r="H65" s="101">
        <f>+ SUMIF('Doanh thu'!A:A, C65,'Doanh thu'!E:E) + SUMIF('Doanh thu 2025'!B:B, C65,'Doanh thu 2025'!E:E)</f>
        <v>0</v>
      </c>
      <c r="I65" s="101">
        <f t="shared" si="10"/>
        <v>0</v>
      </c>
      <c r="J65" s="103">
        <f t="shared" si="0"/>
        <v>0</v>
      </c>
      <c r="K65" s="104">
        <f>+ SUMIF('Doanh thu'!A:A, C65,'Doanh thu'!F:F)</f>
        <v>0</v>
      </c>
      <c r="L65" s="93"/>
      <c r="M65" s="93"/>
      <c r="N65" s="93"/>
    </row>
    <row r="66" spans="1:14" ht="13.2">
      <c r="A66" s="372"/>
      <c r="B66" s="111">
        <v>1</v>
      </c>
      <c r="C66" s="112" t="s">
        <v>519</v>
      </c>
      <c r="D66" s="112" t="s">
        <v>520</v>
      </c>
      <c r="E66" s="111" t="s">
        <v>484</v>
      </c>
      <c r="F66" s="113">
        <v>27508</v>
      </c>
      <c r="G66" s="102">
        <f>+ SUMIF('Nhập kho T42024'!B:B, C66,'Nhập kho T42024'!F:F)</f>
        <v>0</v>
      </c>
      <c r="H66" s="101">
        <f>+ SUMIF('Doanh thu'!A:A, C66,'Doanh thu'!E:E) + SUMIF('Doanh thu 2025'!B:B, C66,'Doanh thu 2025'!E:E)</f>
        <v>0</v>
      </c>
      <c r="I66" s="101">
        <f t="shared" si="10"/>
        <v>0</v>
      </c>
      <c r="J66" s="103">
        <f t="shared" si="0"/>
        <v>0</v>
      </c>
      <c r="K66" s="104">
        <f>+ SUMIF('Doanh thu'!A:A, C66,'Doanh thu'!F:F)</f>
        <v>0</v>
      </c>
      <c r="L66" s="93"/>
      <c r="M66" s="93"/>
      <c r="N66" s="93"/>
    </row>
    <row r="67" spans="1:14" ht="13.2">
      <c r="A67" s="372"/>
      <c r="B67" s="111">
        <v>1</v>
      </c>
      <c r="C67" s="112" t="s">
        <v>521</v>
      </c>
      <c r="D67" s="112" t="s">
        <v>522</v>
      </c>
      <c r="E67" s="111" t="s">
        <v>484</v>
      </c>
      <c r="F67" s="113">
        <v>27416</v>
      </c>
      <c r="G67" s="102">
        <f>+ SUMIF('Nhập kho T42024'!B:B, C67,'Nhập kho T42024'!F:F)</f>
        <v>0</v>
      </c>
      <c r="H67" s="101">
        <f>+ SUMIF('Doanh thu'!A:A, C67,'Doanh thu'!E:E) + SUMIF('Doanh thu 2025'!B:B, C67,'Doanh thu 2025'!E:E)</f>
        <v>1</v>
      </c>
      <c r="I67" s="101">
        <f>G67-H67+2</f>
        <v>1</v>
      </c>
      <c r="J67" s="103">
        <f t="shared" si="0"/>
        <v>0</v>
      </c>
      <c r="K67" s="104">
        <f>+ SUMIF('Doanh thu'!A:A, C67,'Doanh thu'!F:F)</f>
        <v>0</v>
      </c>
      <c r="L67" s="93"/>
      <c r="M67" s="93"/>
      <c r="N67" s="93"/>
    </row>
    <row r="68" spans="1:14" ht="13.2">
      <c r="A68" s="372"/>
      <c r="B68" s="111">
        <v>1</v>
      </c>
      <c r="C68" s="112" t="s">
        <v>523</v>
      </c>
      <c r="D68" s="112" t="s">
        <v>524</v>
      </c>
      <c r="E68" s="111" t="s">
        <v>484</v>
      </c>
      <c r="F68" s="113">
        <v>27416</v>
      </c>
      <c r="G68" s="102">
        <f>+ SUMIF('Nhập kho T42024'!B:B, C68,'Nhập kho T42024'!F:F)</f>
        <v>0</v>
      </c>
      <c r="H68" s="101">
        <f>+ SUMIF('Doanh thu'!A:A, C68,'Doanh thu'!E:E) + SUMIF('Doanh thu 2025'!B:B, C68,'Doanh thu 2025'!E:E)</f>
        <v>0</v>
      </c>
      <c r="I68" s="101">
        <f t="shared" ref="I68:I69" si="11">G68-H68</f>
        <v>0</v>
      </c>
      <c r="J68" s="103">
        <f t="shared" si="0"/>
        <v>0</v>
      </c>
      <c r="K68" s="104">
        <f>+ SUMIF('Doanh thu'!A:A, C68,'Doanh thu'!F:F)</f>
        <v>0</v>
      </c>
      <c r="L68" s="93"/>
      <c r="M68" s="93"/>
      <c r="N68" s="93"/>
    </row>
    <row r="69" spans="1:14" ht="13.2">
      <c r="A69" s="372"/>
      <c r="B69" s="111">
        <v>1</v>
      </c>
      <c r="C69" s="112" t="s">
        <v>525</v>
      </c>
      <c r="D69" s="112" t="s">
        <v>526</v>
      </c>
      <c r="E69" s="111" t="s">
        <v>484</v>
      </c>
      <c r="F69" s="113">
        <v>27416</v>
      </c>
      <c r="G69" s="102">
        <f>+ SUMIF('Nhập kho T42024'!B:B, C69,'Nhập kho T42024'!F:F)</f>
        <v>0</v>
      </c>
      <c r="H69" s="101">
        <f>+ SUMIF('Doanh thu'!A:A, C69,'Doanh thu'!E:E) + SUMIF('Doanh thu 2025'!B:B, C69,'Doanh thu 2025'!E:E)</f>
        <v>0</v>
      </c>
      <c r="I69" s="101">
        <f t="shared" si="11"/>
        <v>0</v>
      </c>
      <c r="J69" s="103">
        <f t="shared" si="0"/>
        <v>0</v>
      </c>
      <c r="K69" s="104">
        <f>+ SUMIF('Doanh thu'!A:A, C69,'Doanh thu'!F:F)</f>
        <v>0</v>
      </c>
      <c r="L69" s="93"/>
      <c r="M69" s="93"/>
      <c r="N69" s="93"/>
    </row>
    <row r="70" spans="1:14" ht="13.2">
      <c r="A70" s="372"/>
      <c r="B70" s="111">
        <v>1</v>
      </c>
      <c r="C70" s="112" t="s">
        <v>527</v>
      </c>
      <c r="D70" s="112" t="s">
        <v>528</v>
      </c>
      <c r="E70" s="111" t="s">
        <v>484</v>
      </c>
      <c r="F70" s="113">
        <v>33120</v>
      </c>
      <c r="G70" s="102">
        <f>+ SUMIF('Nhập kho T42024'!B:B, C70,'Nhập kho T42024'!F:F)</f>
        <v>0</v>
      </c>
      <c r="H70" s="101">
        <f>+ SUMIF('Doanh thu'!A:A, C70,'Doanh thu'!E:E) + SUMIF('Doanh thu 2025'!B:B, C70,'Doanh thu 2025'!E:E)</f>
        <v>2</v>
      </c>
      <c r="I70" s="101">
        <f t="shared" ref="I70:I77" si="12">G70-H70+10</f>
        <v>8</v>
      </c>
      <c r="J70" s="103">
        <f t="shared" si="0"/>
        <v>33120</v>
      </c>
      <c r="K70" s="104">
        <f>+ SUMIF('Doanh thu'!A:A, C70,'Doanh thu'!F:F)</f>
        <v>33120</v>
      </c>
      <c r="L70" s="93"/>
      <c r="M70" s="93"/>
      <c r="N70" s="93"/>
    </row>
    <row r="71" spans="1:14" ht="13.2">
      <c r="A71" s="372"/>
      <c r="B71" s="111">
        <v>1</v>
      </c>
      <c r="C71" s="112" t="s">
        <v>529</v>
      </c>
      <c r="D71" s="112" t="s">
        <v>530</v>
      </c>
      <c r="E71" s="111" t="s">
        <v>484</v>
      </c>
      <c r="F71" s="113">
        <v>33120</v>
      </c>
      <c r="G71" s="102">
        <f>+ SUMIF('Nhập kho T42024'!B:B, C71,'Nhập kho T42024'!F:F)</f>
        <v>0</v>
      </c>
      <c r="H71" s="101">
        <f>+ SUMIF('Doanh thu'!A:A, C71,'Doanh thu'!E:E) + SUMIF('Doanh thu 2025'!B:B, C71,'Doanh thu 2025'!E:E)</f>
        <v>1</v>
      </c>
      <c r="I71" s="101">
        <f t="shared" si="12"/>
        <v>9</v>
      </c>
      <c r="J71" s="103">
        <f t="shared" si="0"/>
        <v>33120</v>
      </c>
      <c r="K71" s="104">
        <f>+ SUMIF('Doanh thu'!A:A, C71,'Doanh thu'!F:F)</f>
        <v>33120</v>
      </c>
      <c r="L71" s="93"/>
      <c r="M71" s="93"/>
      <c r="N71" s="93"/>
    </row>
    <row r="72" spans="1:14" ht="13.2">
      <c r="A72" s="372"/>
      <c r="B72" s="111">
        <v>1</v>
      </c>
      <c r="C72" s="112" t="s">
        <v>531</v>
      </c>
      <c r="D72" s="112" t="s">
        <v>532</v>
      </c>
      <c r="E72" s="111" t="s">
        <v>484</v>
      </c>
      <c r="F72" s="113">
        <v>33120</v>
      </c>
      <c r="G72" s="102">
        <f>+ SUMIF('Nhập kho T42024'!B:B, C72,'Nhập kho T42024'!F:F)</f>
        <v>0</v>
      </c>
      <c r="H72" s="101">
        <f>+ SUMIF('Doanh thu'!A:A, C72,'Doanh thu'!E:E) + SUMIF('Doanh thu 2025'!B:B, C72,'Doanh thu 2025'!E:E)</f>
        <v>2</v>
      </c>
      <c r="I72" s="101">
        <f t="shared" si="12"/>
        <v>8</v>
      </c>
      <c r="J72" s="103">
        <f t="shared" si="0"/>
        <v>0</v>
      </c>
      <c r="K72" s="104">
        <f>+ SUMIF('Doanh thu'!A:A, C72,'Doanh thu'!F:F)</f>
        <v>0</v>
      </c>
      <c r="L72" s="93"/>
      <c r="M72" s="93"/>
      <c r="N72" s="93"/>
    </row>
    <row r="73" spans="1:14" ht="13.2">
      <c r="A73" s="372"/>
      <c r="B73" s="111">
        <v>1</v>
      </c>
      <c r="C73" s="112" t="s">
        <v>533</v>
      </c>
      <c r="D73" s="112" t="s">
        <v>534</v>
      </c>
      <c r="E73" s="111" t="s">
        <v>484</v>
      </c>
      <c r="F73" s="113">
        <v>33120</v>
      </c>
      <c r="G73" s="102">
        <f>+ SUMIF('Nhập kho T42024'!B:B, C73,'Nhập kho T42024'!F:F)</f>
        <v>0</v>
      </c>
      <c r="H73" s="101">
        <f>+ SUMIF('Doanh thu'!A:A, C73,'Doanh thu'!E:E) + SUMIF('Doanh thu 2025'!B:B, C73,'Doanh thu 2025'!E:E)</f>
        <v>8</v>
      </c>
      <c r="I73" s="101">
        <f t="shared" si="12"/>
        <v>2</v>
      </c>
      <c r="J73" s="103">
        <f t="shared" si="0"/>
        <v>231840</v>
      </c>
      <c r="K73" s="104">
        <f>+ SUMIF('Doanh thu'!A:A, C73,'Doanh thu'!F:F)</f>
        <v>231840</v>
      </c>
      <c r="L73" s="93"/>
      <c r="M73" s="93"/>
      <c r="N73" s="93"/>
    </row>
    <row r="74" spans="1:14" ht="13.2">
      <c r="A74" s="372"/>
      <c r="B74" s="111">
        <v>1</v>
      </c>
      <c r="C74" s="112" t="s">
        <v>535</v>
      </c>
      <c r="D74" s="112" t="s">
        <v>536</v>
      </c>
      <c r="E74" s="111" t="s">
        <v>484</v>
      </c>
      <c r="F74" s="113">
        <v>36340</v>
      </c>
      <c r="G74" s="102">
        <f>+ SUMIF('Nhập kho T42024'!B:B, C74,'Nhập kho T42024'!F:F)</f>
        <v>0</v>
      </c>
      <c r="H74" s="101">
        <f>+ SUMIF('Doanh thu'!A:A, C74,'Doanh thu'!E:E) + SUMIF('Doanh thu 2025'!B:B, C74,'Doanh thu 2025'!E:E)</f>
        <v>5</v>
      </c>
      <c r="I74" s="101">
        <f t="shared" si="12"/>
        <v>5</v>
      </c>
      <c r="J74" s="103">
        <f t="shared" si="0"/>
        <v>145360</v>
      </c>
      <c r="K74" s="104">
        <f>+ SUMIF('Doanh thu'!A:A, C74,'Doanh thu'!F:F)</f>
        <v>145360</v>
      </c>
      <c r="L74" s="93"/>
      <c r="M74" s="93"/>
      <c r="N74" s="93"/>
    </row>
    <row r="75" spans="1:14" ht="13.2">
      <c r="A75" s="372"/>
      <c r="B75" s="111">
        <v>1</v>
      </c>
      <c r="C75" s="112" t="s">
        <v>537</v>
      </c>
      <c r="D75" s="112" t="s">
        <v>538</v>
      </c>
      <c r="E75" s="111" t="s">
        <v>484</v>
      </c>
      <c r="F75" s="113">
        <v>34500</v>
      </c>
      <c r="G75" s="102">
        <f>+ SUMIF('Nhập kho T42024'!B:B, C75,'Nhập kho T42024'!F:F)</f>
        <v>0</v>
      </c>
      <c r="H75" s="101">
        <f>+ SUMIF('Doanh thu'!A:A, C75,'Doanh thu'!E:E) + SUMIF('Doanh thu 2025'!B:B, C75,'Doanh thu 2025'!E:E)</f>
        <v>0</v>
      </c>
      <c r="I75" s="101">
        <f t="shared" si="12"/>
        <v>10</v>
      </c>
      <c r="J75" s="103">
        <f t="shared" si="0"/>
        <v>0</v>
      </c>
      <c r="K75" s="104">
        <f>+ SUMIF('Doanh thu'!A:A, C75,'Doanh thu'!F:F)</f>
        <v>0</v>
      </c>
      <c r="L75" s="93"/>
      <c r="M75" s="93"/>
      <c r="N75" s="93"/>
    </row>
    <row r="76" spans="1:14" ht="13.2">
      <c r="A76" s="372"/>
      <c r="B76" s="111">
        <v>1</v>
      </c>
      <c r="C76" s="112" t="s">
        <v>539</v>
      </c>
      <c r="D76" s="112" t="s">
        <v>540</v>
      </c>
      <c r="E76" s="111" t="s">
        <v>484</v>
      </c>
      <c r="F76" s="113">
        <v>36340</v>
      </c>
      <c r="G76" s="102">
        <f>+ SUMIF('Nhập kho T42024'!B:B, C76,'Nhập kho T42024'!F:F)</f>
        <v>0</v>
      </c>
      <c r="H76" s="101">
        <f>+ SUMIF('Doanh thu'!A:A, C76,'Doanh thu'!E:E) + SUMIF('Doanh thu 2025'!B:B, C76,'Doanh thu 2025'!E:E)</f>
        <v>3</v>
      </c>
      <c r="I76" s="101">
        <f t="shared" si="12"/>
        <v>7</v>
      </c>
      <c r="J76" s="103">
        <f t="shared" si="0"/>
        <v>109020</v>
      </c>
      <c r="K76" s="104">
        <f>+ SUMIF('Doanh thu'!A:A, C76,'Doanh thu'!F:F)</f>
        <v>109020</v>
      </c>
      <c r="L76" s="93"/>
      <c r="M76" s="93"/>
      <c r="N76" s="93"/>
    </row>
    <row r="77" spans="1:14" ht="13.2">
      <c r="A77" s="372"/>
      <c r="B77" s="111">
        <v>1</v>
      </c>
      <c r="C77" s="112" t="s">
        <v>541</v>
      </c>
      <c r="D77" s="112" t="s">
        <v>542</v>
      </c>
      <c r="E77" s="111" t="s">
        <v>484</v>
      </c>
      <c r="F77" s="113">
        <v>27140</v>
      </c>
      <c r="G77" s="102">
        <f>+ SUMIF('Nhập kho T42024'!B:B, C77,'Nhập kho T42024'!F:F)</f>
        <v>0</v>
      </c>
      <c r="H77" s="101">
        <f>+ SUMIF('Doanh thu'!A:A, C77,'Doanh thu'!E:E) + SUMIF('Doanh thu 2025'!B:B, C77,'Doanh thu 2025'!E:E)</f>
        <v>1</v>
      </c>
      <c r="I77" s="101">
        <f t="shared" si="12"/>
        <v>9</v>
      </c>
      <c r="J77" s="103">
        <f t="shared" si="0"/>
        <v>27140</v>
      </c>
      <c r="K77" s="104">
        <f>+ SUMIF('Doanh thu'!A:A, C77,'Doanh thu'!F:F)</f>
        <v>27140</v>
      </c>
      <c r="L77" s="93"/>
      <c r="M77" s="93"/>
      <c r="N77" s="93"/>
    </row>
    <row r="78" spans="1:14" ht="13.2">
      <c r="A78" s="372"/>
      <c r="B78" s="111">
        <v>1</v>
      </c>
      <c r="C78" s="112" t="s">
        <v>543</v>
      </c>
      <c r="D78" s="112" t="s">
        <v>544</v>
      </c>
      <c r="E78" s="111" t="s">
        <v>444</v>
      </c>
      <c r="F78" s="113">
        <v>14000</v>
      </c>
      <c r="G78" s="102">
        <f>+ SUMIF('Nhập kho T42024'!B:B, C78,'Nhập kho T42024'!F:F)</f>
        <v>0</v>
      </c>
      <c r="H78" s="101">
        <f>+ SUMIF('Doanh thu'!A:A, C78,'Doanh thu'!E:E) + SUMIF('Doanh thu 2025'!B:B, C78,'Doanh thu 2025'!E:E)</f>
        <v>8</v>
      </c>
      <c r="I78" s="101">
        <f>G78-H78+6</f>
        <v>-2</v>
      </c>
      <c r="J78" s="103">
        <f t="shared" si="0"/>
        <v>112127.4</v>
      </c>
      <c r="K78" s="104">
        <f>+ SUMIF('Doanh thu'!A:A, C78,'Doanh thu'!F:F)</f>
        <v>112127.4</v>
      </c>
      <c r="L78" s="93"/>
      <c r="M78" s="93"/>
      <c r="N78" s="93"/>
    </row>
    <row r="79" spans="1:14" ht="13.2">
      <c r="A79" s="372"/>
      <c r="B79" s="111">
        <v>1</v>
      </c>
      <c r="C79" s="112" t="s">
        <v>545</v>
      </c>
      <c r="D79" s="112" t="s">
        <v>546</v>
      </c>
      <c r="E79" s="111" t="s">
        <v>444</v>
      </c>
      <c r="F79" s="113">
        <v>14000</v>
      </c>
      <c r="G79" s="102">
        <f>+ SUMIF('Nhập kho T42024'!B:B, C79,'Nhập kho T42024'!F:F)</f>
        <v>0</v>
      </c>
      <c r="H79" s="101">
        <f>+ SUMIF('Doanh thu'!A:A, C79,'Doanh thu'!E:E) + SUMIF('Doanh thu 2025'!B:B, C79,'Doanh thu 2025'!E:E)</f>
        <v>6</v>
      </c>
      <c r="I79" s="101">
        <f>G79-H79+9</f>
        <v>3</v>
      </c>
      <c r="J79" s="103">
        <f t="shared" si="0"/>
        <v>70127.399999999994</v>
      </c>
      <c r="K79" s="104">
        <f>+ SUMIF('Doanh thu'!A:A, C79,'Doanh thu'!F:F)</f>
        <v>70127.399999999994</v>
      </c>
      <c r="L79" s="93"/>
      <c r="M79" s="93"/>
      <c r="N79" s="93"/>
    </row>
    <row r="80" spans="1:14" ht="13.2">
      <c r="A80" s="372"/>
      <c r="B80" s="111">
        <v>1</v>
      </c>
      <c r="C80" s="112" t="s">
        <v>547</v>
      </c>
      <c r="D80" s="112" t="s">
        <v>548</v>
      </c>
      <c r="E80" s="111" t="s">
        <v>444</v>
      </c>
      <c r="F80" s="113">
        <v>14000</v>
      </c>
      <c r="G80" s="102">
        <f>+ SUMIF('Nhập kho T42024'!B:B, C80,'Nhập kho T42024'!F:F)</f>
        <v>0</v>
      </c>
      <c r="H80" s="101">
        <f>+ SUMIF('Doanh thu'!A:A, C80,'Doanh thu'!E:E) + SUMIF('Doanh thu 2025'!B:B, C80,'Doanh thu 2025'!E:E)</f>
        <v>4</v>
      </c>
      <c r="I80" s="101">
        <f>G80-H80+10</f>
        <v>6</v>
      </c>
      <c r="J80" s="103">
        <f t="shared" si="0"/>
        <v>56254.8</v>
      </c>
      <c r="K80" s="104">
        <f>+ SUMIF('Doanh thu'!A:A, C80,'Doanh thu'!F:F)</f>
        <v>56254.8</v>
      </c>
      <c r="L80" s="93"/>
      <c r="M80" s="93"/>
      <c r="N80" s="93"/>
    </row>
    <row r="81" spans="1:30" ht="13.2">
      <c r="A81" s="372"/>
      <c r="B81" s="111">
        <v>1</v>
      </c>
      <c r="C81" s="112" t="s">
        <v>549</v>
      </c>
      <c r="D81" s="112" t="s">
        <v>550</v>
      </c>
      <c r="E81" s="111" t="s">
        <v>551</v>
      </c>
      <c r="F81" s="113">
        <v>19000</v>
      </c>
      <c r="G81" s="102">
        <f>+ SUMIF('Nhập kho T42024'!B:B, C81,'Nhập kho T42024'!F:F)</f>
        <v>0</v>
      </c>
      <c r="H81" s="101">
        <f>+ SUMIF('Doanh thu'!A:A, C81,'Doanh thu'!E:E) + SUMIF('Doanh thu 2025'!B:B, C81,'Doanh thu 2025'!E:E)</f>
        <v>3</v>
      </c>
      <c r="I81" s="101">
        <f t="shared" ref="I81:I82" si="13">G81-H81+3</f>
        <v>0</v>
      </c>
      <c r="J81" s="103">
        <f t="shared" si="0"/>
        <v>38000</v>
      </c>
      <c r="K81" s="104">
        <f>+ SUMIF('Doanh thu'!A:A, C81,'Doanh thu'!F:F)</f>
        <v>38000</v>
      </c>
      <c r="L81" s="93"/>
      <c r="M81" s="93"/>
      <c r="N81" s="93"/>
    </row>
    <row r="82" spans="1:30" ht="13.2">
      <c r="A82" s="372"/>
      <c r="B82" s="111">
        <v>1</v>
      </c>
      <c r="C82" s="112" t="s">
        <v>552</v>
      </c>
      <c r="D82" s="112" t="s">
        <v>553</v>
      </c>
      <c r="E82" s="111" t="s">
        <v>551</v>
      </c>
      <c r="F82" s="113">
        <v>19000</v>
      </c>
      <c r="G82" s="102">
        <f>+ SUMIF('Nhập kho T42024'!B:B, C82,'Nhập kho T42024'!F:F)</f>
        <v>0</v>
      </c>
      <c r="H82" s="101">
        <f>+ SUMIF('Doanh thu'!A:A, C82,'Doanh thu'!E:E) + SUMIF('Doanh thu 2025'!B:B, C82,'Doanh thu 2025'!E:E)</f>
        <v>3</v>
      </c>
      <c r="I82" s="101">
        <f t="shared" si="13"/>
        <v>0</v>
      </c>
      <c r="J82" s="103">
        <f t="shared" si="0"/>
        <v>57000</v>
      </c>
      <c r="K82" s="104">
        <f>+ SUMIF('Doanh thu'!A:A, C82,'Doanh thu'!F:F)</f>
        <v>57000</v>
      </c>
      <c r="L82" s="93"/>
      <c r="M82" s="93"/>
      <c r="N82" s="93"/>
    </row>
    <row r="83" spans="1:30" ht="13.2">
      <c r="A83" s="372"/>
      <c r="B83" s="111">
        <v>1</v>
      </c>
      <c r="C83" s="112" t="s">
        <v>554</v>
      </c>
      <c r="D83" s="112" t="s">
        <v>555</v>
      </c>
      <c r="E83" s="111" t="s">
        <v>551</v>
      </c>
      <c r="F83" s="113">
        <v>20000</v>
      </c>
      <c r="G83" s="102">
        <f>+ SUMIF('Nhập kho T42024'!B:B, C83,'Nhập kho T42024'!F:F)</f>
        <v>0</v>
      </c>
      <c r="H83" s="101">
        <f>+ SUMIF('Doanh thu'!A:A, C83,'Doanh thu'!E:E) + SUMIF('Doanh thu 2025'!B:B, C83,'Doanh thu 2025'!E:E)</f>
        <v>7</v>
      </c>
      <c r="I83" s="101">
        <f>G83-H83+10</f>
        <v>3</v>
      </c>
      <c r="J83" s="103">
        <f t="shared" si="0"/>
        <v>120000</v>
      </c>
      <c r="K83" s="104">
        <f>+ SUMIF('Doanh thu'!A:A, C83,'Doanh thu'!F:F)</f>
        <v>120000</v>
      </c>
      <c r="L83" s="93"/>
      <c r="M83" s="93"/>
      <c r="N83" s="93"/>
    </row>
    <row r="84" spans="1:30" ht="13.2">
      <c r="A84" s="372"/>
      <c r="B84" s="111">
        <v>1</v>
      </c>
      <c r="C84" s="112" t="s">
        <v>556</v>
      </c>
      <c r="D84" s="112" t="s">
        <v>557</v>
      </c>
      <c r="E84" s="111" t="s">
        <v>551</v>
      </c>
      <c r="F84" s="113">
        <v>23000</v>
      </c>
      <c r="G84" s="102">
        <f>+ SUMIF('Nhập kho T42024'!B:B, C84,'Nhập kho T42024'!F:F)</f>
        <v>0</v>
      </c>
      <c r="H84" s="101">
        <f>+ SUMIF('Doanh thu'!A:A, C84,'Doanh thu'!E:E) + SUMIF('Doanh thu 2025'!B:B, C84,'Doanh thu 2025'!E:E)</f>
        <v>3</v>
      </c>
      <c r="I84" s="101">
        <f>G84-H84+4</f>
        <v>1</v>
      </c>
      <c r="J84" s="103">
        <f t="shared" si="0"/>
        <v>69000</v>
      </c>
      <c r="K84" s="104">
        <f>+ SUMIF('Doanh thu'!A:A, C84,'Doanh thu'!F:F)</f>
        <v>69000</v>
      </c>
      <c r="L84" s="93"/>
      <c r="M84" s="93"/>
      <c r="N84" s="93"/>
    </row>
    <row r="85" spans="1:30" ht="13.2">
      <c r="A85" s="372"/>
      <c r="B85" s="111">
        <v>1</v>
      </c>
      <c r="C85" s="112" t="s">
        <v>558</v>
      </c>
      <c r="D85" s="112" t="s">
        <v>559</v>
      </c>
      <c r="E85" s="111" t="s">
        <v>551</v>
      </c>
      <c r="F85" s="113">
        <v>23000</v>
      </c>
      <c r="G85" s="102">
        <f>+ SUMIF('Nhập kho T42024'!B:B, C85,'Nhập kho T42024'!F:F)</f>
        <v>0</v>
      </c>
      <c r="H85" s="101">
        <f>+ SUMIF('Doanh thu'!A:A, C85,'Doanh thu'!E:E) + SUMIF('Doanh thu 2025'!B:B, C85,'Doanh thu 2025'!E:E)</f>
        <v>2</v>
      </c>
      <c r="I85" s="101">
        <f>G85-H85+3</f>
        <v>1</v>
      </c>
      <c r="J85" s="103">
        <f t="shared" si="0"/>
        <v>46000</v>
      </c>
      <c r="K85" s="104">
        <f>+ SUMIF('Doanh thu'!A:A, C85,'Doanh thu'!F:F)</f>
        <v>46000</v>
      </c>
      <c r="L85" s="93"/>
      <c r="M85" s="93"/>
      <c r="N85" s="93"/>
    </row>
    <row r="86" spans="1:30" ht="13.2">
      <c r="A86" s="372"/>
      <c r="B86" s="111">
        <v>1</v>
      </c>
      <c r="C86" s="112" t="s">
        <v>560</v>
      </c>
      <c r="D86" s="112" t="s">
        <v>561</v>
      </c>
      <c r="E86" s="111" t="s">
        <v>551</v>
      </c>
      <c r="F86" s="113">
        <v>23000</v>
      </c>
      <c r="G86" s="114">
        <f>+ SUMIF('Nhập kho T42024'!B:B, C86,'Nhập kho T42024'!F:F)</f>
        <v>0</v>
      </c>
      <c r="H86" s="101">
        <f>+ SUMIF('Doanh thu'!A:A, C86,'Doanh thu'!E:E) + SUMIF('Doanh thu 2025'!B:B, C86,'Doanh thu 2025'!E:E)</f>
        <v>0</v>
      </c>
      <c r="I86" s="115">
        <f>G86-H86</f>
        <v>0</v>
      </c>
      <c r="J86" s="103">
        <f t="shared" si="0"/>
        <v>0</v>
      </c>
      <c r="K86" s="104">
        <f>+ SUMIF('Doanh thu'!A:A, C86,'Doanh thu'!F:F)</f>
        <v>0</v>
      </c>
      <c r="L86" s="116"/>
      <c r="M86" s="116"/>
      <c r="N86" s="116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</row>
    <row r="87" spans="1:30" ht="13.2">
      <c r="A87" s="372"/>
      <c r="B87" s="111">
        <v>1</v>
      </c>
      <c r="C87" s="112" t="s">
        <v>562</v>
      </c>
      <c r="D87" s="112" t="s">
        <v>563</v>
      </c>
      <c r="E87" s="111" t="s">
        <v>551</v>
      </c>
      <c r="F87" s="113">
        <v>30000</v>
      </c>
      <c r="G87" s="102">
        <f>+ SUMIF('Nhập kho T42024'!B:B, C87,'Nhập kho T42024'!F:F)</f>
        <v>0</v>
      </c>
      <c r="H87" s="101">
        <f>+ SUMIF('Doanh thu'!A:A, C87,'Doanh thu'!E:E) + SUMIF('Doanh thu 2025'!B:B, C87,'Doanh thu 2025'!E:E)</f>
        <v>10</v>
      </c>
      <c r="I87" s="101">
        <f>G87-H87+5</f>
        <v>-5</v>
      </c>
      <c r="J87" s="103">
        <f t="shared" si="0"/>
        <v>120000</v>
      </c>
      <c r="K87" s="104">
        <f>+ SUMIF('Doanh thu'!A:A, C87,'Doanh thu'!F:F)</f>
        <v>120000</v>
      </c>
      <c r="L87" s="93"/>
      <c r="M87" s="93"/>
      <c r="N87" s="93"/>
    </row>
    <row r="88" spans="1:30" ht="13.2">
      <c r="A88" s="372"/>
      <c r="B88" s="111">
        <v>1</v>
      </c>
      <c r="C88" s="112" t="s">
        <v>564</v>
      </c>
      <c r="D88" s="112" t="s">
        <v>565</v>
      </c>
      <c r="E88" s="111" t="s">
        <v>551</v>
      </c>
      <c r="F88" s="113">
        <v>28000</v>
      </c>
      <c r="G88" s="102">
        <f>+ SUMIF('Nhập kho T42024'!B:B, C88,'Nhập kho T42024'!F:F)</f>
        <v>0</v>
      </c>
      <c r="H88" s="101">
        <f>+ SUMIF('Doanh thu'!A:A, C88,'Doanh thu'!E:E) + SUMIF('Doanh thu 2025'!B:B, C88,'Doanh thu 2025'!E:E)</f>
        <v>2</v>
      </c>
      <c r="I88" s="101">
        <f t="shared" ref="I88:I89" si="14">G88-H88</f>
        <v>-2</v>
      </c>
      <c r="J88" s="103">
        <f t="shared" si="0"/>
        <v>28000</v>
      </c>
      <c r="K88" s="104">
        <f>+ SUMIF('Doanh thu'!A:A, C88,'Doanh thu'!F:F)</f>
        <v>28000</v>
      </c>
      <c r="L88" s="93"/>
      <c r="M88" s="93"/>
      <c r="N88" s="93"/>
    </row>
    <row r="89" spans="1:30" ht="13.2">
      <c r="A89" s="372"/>
      <c r="B89" s="111">
        <v>1</v>
      </c>
      <c r="C89" s="112" t="s">
        <v>566</v>
      </c>
      <c r="D89" s="112" t="s">
        <v>567</v>
      </c>
      <c r="E89" s="111" t="s">
        <v>551</v>
      </c>
      <c r="F89" s="113">
        <v>28000</v>
      </c>
      <c r="G89" s="102">
        <f>+ SUMIF('Nhập kho T42024'!B:B, C89,'Nhập kho T42024'!F:F)</f>
        <v>0</v>
      </c>
      <c r="H89" s="101">
        <f>+ SUMIF('Doanh thu'!A:A, C89,'Doanh thu'!E:E) + SUMIF('Doanh thu 2025'!B:B, C89,'Doanh thu 2025'!E:E)</f>
        <v>1</v>
      </c>
      <c r="I89" s="101">
        <f t="shared" si="14"/>
        <v>-1</v>
      </c>
      <c r="J89" s="103">
        <f t="shared" si="0"/>
        <v>28000</v>
      </c>
      <c r="K89" s="104">
        <f>+ SUMIF('Doanh thu'!A:A, C89,'Doanh thu'!F:F)</f>
        <v>28000</v>
      </c>
      <c r="L89" s="93"/>
      <c r="M89" s="93"/>
      <c r="N89" s="93"/>
    </row>
    <row r="90" spans="1:30" ht="13.2">
      <c r="A90" s="372"/>
      <c r="B90" s="111">
        <v>1</v>
      </c>
      <c r="C90" s="112" t="s">
        <v>568</v>
      </c>
      <c r="D90" s="112" t="s">
        <v>569</v>
      </c>
      <c r="E90" s="111" t="s">
        <v>551</v>
      </c>
      <c r="F90" s="113">
        <v>30000</v>
      </c>
      <c r="G90" s="102">
        <f>+ SUMIF('Nhập kho T42024'!B:B, C90,'Nhập kho T42024'!F:F)</f>
        <v>0</v>
      </c>
      <c r="H90" s="101">
        <f>+ SUMIF('Doanh thu'!A:A, C90,'Doanh thu'!E:E) + SUMIF('Doanh thu 2025'!B:B, C90,'Doanh thu 2025'!E:E)</f>
        <v>6</v>
      </c>
      <c r="I90" s="101">
        <f>G90-H90+6</f>
        <v>0</v>
      </c>
      <c r="J90" s="103">
        <f t="shared" si="0"/>
        <v>90000</v>
      </c>
      <c r="K90" s="104">
        <f>+ SUMIF('Doanh thu'!A:A, C90,'Doanh thu'!F:F)</f>
        <v>90000</v>
      </c>
      <c r="L90" s="93"/>
      <c r="M90" s="93"/>
      <c r="N90" s="93"/>
    </row>
    <row r="91" spans="1:30" ht="13.2">
      <c r="A91" s="372"/>
      <c r="B91" s="111">
        <v>1</v>
      </c>
      <c r="C91" s="112" t="s">
        <v>570</v>
      </c>
      <c r="D91" s="112" t="s">
        <v>571</v>
      </c>
      <c r="E91" s="111" t="s">
        <v>551</v>
      </c>
      <c r="F91" s="113">
        <v>30000</v>
      </c>
      <c r="G91" s="102">
        <f>+ SUMIF('Nhập kho T42024'!B:B, C91,'Nhập kho T42024'!F:F)</f>
        <v>0</v>
      </c>
      <c r="H91" s="101">
        <f>+ SUMIF('Doanh thu'!A:A, C91,'Doanh thu'!E:E) + SUMIF('Doanh thu 2025'!B:B, C91,'Doanh thu 2025'!E:E)</f>
        <v>1</v>
      </c>
      <c r="I91" s="101">
        <f>G91-H91</f>
        <v>-1</v>
      </c>
      <c r="J91" s="103">
        <f t="shared" si="0"/>
        <v>30000</v>
      </c>
      <c r="K91" s="104">
        <f>+ SUMIF('Doanh thu'!A:A, C91,'Doanh thu'!F:F)</f>
        <v>30000</v>
      </c>
      <c r="L91" s="93"/>
      <c r="M91" s="93"/>
      <c r="N91" s="93"/>
    </row>
    <row r="92" spans="1:30" ht="13.2">
      <c r="A92" s="372"/>
      <c r="B92" s="111">
        <v>1</v>
      </c>
      <c r="C92" s="112" t="s">
        <v>572</v>
      </c>
      <c r="D92" s="112" t="s">
        <v>573</v>
      </c>
      <c r="E92" s="111" t="s">
        <v>551</v>
      </c>
      <c r="F92" s="113">
        <v>30000</v>
      </c>
      <c r="G92" s="102">
        <f>+ SUMIF('Nhập kho T42024'!B:B, C92,'Nhập kho T42024'!F:F)</f>
        <v>0</v>
      </c>
      <c r="H92" s="101">
        <f>+ SUMIF('Doanh thu'!A:A, C92,'Doanh thu'!E:E) + SUMIF('Doanh thu 2025'!B:B, C92,'Doanh thu 2025'!E:E)</f>
        <v>3</v>
      </c>
      <c r="I92" s="101">
        <f>G92-H92+2</f>
        <v>-1</v>
      </c>
      <c r="J92" s="103">
        <f t="shared" si="0"/>
        <v>90000</v>
      </c>
      <c r="K92" s="104">
        <f>+ SUMIF('Doanh thu'!A:A, C92,'Doanh thu'!F:F)</f>
        <v>90000</v>
      </c>
      <c r="L92" s="93"/>
      <c r="M92" s="93"/>
      <c r="N92" s="93"/>
    </row>
    <row r="93" spans="1:30" ht="13.2">
      <c r="A93" s="372"/>
      <c r="B93" s="111">
        <v>1</v>
      </c>
      <c r="C93" s="112" t="s">
        <v>574</v>
      </c>
      <c r="D93" s="112" t="s">
        <v>575</v>
      </c>
      <c r="E93" s="111" t="s">
        <v>551</v>
      </c>
      <c r="F93" s="113">
        <v>30000</v>
      </c>
      <c r="G93" s="102">
        <f>+ SUMIF('Nhập kho T42024'!B:B, C93,'Nhập kho T42024'!F:F)</f>
        <v>0</v>
      </c>
      <c r="H93" s="101">
        <f>+ SUMIF('Doanh thu'!A:A, C93,'Doanh thu'!E:E) + SUMIF('Doanh thu 2025'!B:B, C93,'Doanh thu 2025'!E:E)</f>
        <v>0</v>
      </c>
      <c r="I93" s="101">
        <f>G93-H93+1</f>
        <v>1</v>
      </c>
      <c r="J93" s="103">
        <f t="shared" si="0"/>
        <v>0</v>
      </c>
      <c r="K93" s="104">
        <f>+ SUMIF('Doanh thu'!A:A, C93,'Doanh thu'!F:F)</f>
        <v>0</v>
      </c>
      <c r="L93" s="93"/>
      <c r="M93" s="93"/>
      <c r="N93" s="93"/>
    </row>
    <row r="94" spans="1:30" ht="13.2">
      <c r="A94" s="372"/>
      <c r="B94" s="111">
        <v>1</v>
      </c>
      <c r="C94" s="112" t="s">
        <v>576</v>
      </c>
      <c r="D94" s="112" t="s">
        <v>577</v>
      </c>
      <c r="E94" s="111" t="s">
        <v>551</v>
      </c>
      <c r="F94" s="113">
        <v>20000</v>
      </c>
      <c r="G94" s="102">
        <f>+ SUMIF('Nhập kho T42024'!B:B, C94,'Nhập kho T42024'!F:F)</f>
        <v>0</v>
      </c>
      <c r="H94" s="101">
        <f>+ SUMIF('Doanh thu'!A:A, C94,'Doanh thu'!E:E) + SUMIF('Doanh thu 2025'!B:B, C94,'Doanh thu 2025'!E:E)</f>
        <v>1</v>
      </c>
      <c r="I94" s="101">
        <f>G94-H94+6</f>
        <v>5</v>
      </c>
      <c r="J94" s="103">
        <f t="shared" si="0"/>
        <v>20000</v>
      </c>
      <c r="K94" s="104">
        <f>+ SUMIF('Doanh thu'!A:A, C94,'Doanh thu'!F:F)</f>
        <v>20000</v>
      </c>
      <c r="L94" s="93"/>
      <c r="M94" s="93"/>
      <c r="N94" s="93"/>
    </row>
    <row r="95" spans="1:30" ht="13.2">
      <c r="A95" s="372"/>
      <c r="B95" s="111">
        <v>1</v>
      </c>
      <c r="C95" s="112" t="s">
        <v>578</v>
      </c>
      <c r="D95" s="112" t="s">
        <v>579</v>
      </c>
      <c r="E95" s="111" t="s">
        <v>551</v>
      </c>
      <c r="F95" s="113">
        <v>20000</v>
      </c>
      <c r="G95" s="102">
        <f>+ SUMIF('Nhập kho T42024'!B:B, C95,'Nhập kho T42024'!F:F)</f>
        <v>0</v>
      </c>
      <c r="H95" s="101">
        <f>+ SUMIF('Doanh thu'!A:A, C95,'Doanh thu'!E:E) + SUMIF('Doanh thu 2025'!B:B, C95,'Doanh thu 2025'!E:E)</f>
        <v>3</v>
      </c>
      <c r="I95" s="101">
        <f>G95-H95+8</f>
        <v>5</v>
      </c>
      <c r="J95" s="103">
        <f t="shared" si="0"/>
        <v>60000</v>
      </c>
      <c r="K95" s="104">
        <f>+ SUMIF('Doanh thu'!A:A, C95,'Doanh thu'!F:F)</f>
        <v>60000</v>
      </c>
      <c r="L95" s="93"/>
      <c r="M95" s="93"/>
      <c r="N95" s="93"/>
    </row>
    <row r="96" spans="1:30" ht="13.2">
      <c r="A96" s="372"/>
      <c r="B96" s="111">
        <v>1</v>
      </c>
      <c r="C96" s="112" t="s">
        <v>580</v>
      </c>
      <c r="D96" s="112" t="s">
        <v>581</v>
      </c>
      <c r="E96" s="111" t="s">
        <v>551</v>
      </c>
      <c r="F96" s="113">
        <v>20000</v>
      </c>
      <c r="G96" s="102">
        <f>+ SUMIF('Nhập kho T42024'!B:B, C96,'Nhập kho T42024'!F:F)</f>
        <v>0</v>
      </c>
      <c r="H96" s="101">
        <f>+ SUMIF('Doanh thu'!A:A, C96,'Doanh thu'!E:E) + SUMIF('Doanh thu 2025'!B:B, C96,'Doanh thu 2025'!E:E)</f>
        <v>4</v>
      </c>
      <c r="I96" s="101">
        <f>G96-H96+9</f>
        <v>5</v>
      </c>
      <c r="J96" s="103">
        <f t="shared" si="0"/>
        <v>80000</v>
      </c>
      <c r="K96" s="104">
        <f>+ SUMIF('Doanh thu'!A:A, C96,'Doanh thu'!F:F)</f>
        <v>80000</v>
      </c>
      <c r="L96" s="93"/>
      <c r="M96" s="93"/>
      <c r="N96" s="93"/>
    </row>
    <row r="97" spans="1:14" ht="13.2">
      <c r="A97" s="372"/>
      <c r="B97" s="111">
        <v>1</v>
      </c>
      <c r="C97" s="112" t="s">
        <v>582</v>
      </c>
      <c r="D97" s="112" t="s">
        <v>583</v>
      </c>
      <c r="E97" s="111" t="s">
        <v>444</v>
      </c>
      <c r="F97" s="113">
        <v>13000</v>
      </c>
      <c r="G97" s="102">
        <f>+ SUMIF('Nhập kho T42024'!B:B, C97,'Nhập kho T42024'!F:F)</f>
        <v>0</v>
      </c>
      <c r="H97" s="101">
        <f>+ SUMIF('Doanh thu'!A:A, C97,'Doanh thu'!E:E) + SUMIF('Doanh thu 2025'!B:B, C97,'Doanh thu 2025'!E:E)</f>
        <v>2</v>
      </c>
      <c r="I97" s="101">
        <f>G97-H97+3</f>
        <v>1</v>
      </c>
      <c r="J97" s="103">
        <f t="shared" si="0"/>
        <v>26000</v>
      </c>
      <c r="K97" s="104">
        <f>+ SUMIF('Doanh thu'!A:A, C97,'Doanh thu'!F:F)</f>
        <v>26000</v>
      </c>
      <c r="L97" s="93"/>
      <c r="M97" s="93"/>
      <c r="N97" s="93"/>
    </row>
    <row r="98" spans="1:14" ht="13.2">
      <c r="A98" s="372"/>
      <c r="B98" s="111">
        <v>1</v>
      </c>
      <c r="C98" s="112" t="s">
        <v>584</v>
      </c>
      <c r="D98" s="112" t="s">
        <v>585</v>
      </c>
      <c r="E98" s="111" t="s">
        <v>444</v>
      </c>
      <c r="F98" s="113">
        <v>13000</v>
      </c>
      <c r="G98" s="102">
        <f>+ SUMIF('Nhập kho T42024'!B:B, C98,'Nhập kho T42024'!F:F)</f>
        <v>0</v>
      </c>
      <c r="H98" s="101">
        <f>+ SUMIF('Doanh thu'!A:A, C98,'Doanh thu'!E:E) + SUMIF('Doanh thu 2025'!B:B, C98,'Doanh thu 2025'!E:E)</f>
        <v>0</v>
      </c>
      <c r="I98" s="101">
        <f>G98-H98+1</f>
        <v>1</v>
      </c>
      <c r="J98" s="103">
        <f t="shared" si="0"/>
        <v>0</v>
      </c>
      <c r="K98" s="104">
        <f>+ SUMIF('Doanh thu'!A:A, C98,'Doanh thu'!F:F)</f>
        <v>0</v>
      </c>
      <c r="L98" s="93"/>
      <c r="M98" s="93"/>
      <c r="N98" s="93"/>
    </row>
    <row r="99" spans="1:14" ht="13.2">
      <c r="A99" s="372"/>
      <c r="B99" s="111">
        <v>1</v>
      </c>
      <c r="C99" s="112" t="s">
        <v>586</v>
      </c>
      <c r="D99" s="112" t="s">
        <v>587</v>
      </c>
      <c r="E99" s="111" t="s">
        <v>444</v>
      </c>
      <c r="F99" s="113">
        <v>13000</v>
      </c>
      <c r="G99" s="102">
        <f>+ SUMIF('Nhập kho T42024'!B:B, C99,'Nhập kho T42024'!F:F)</f>
        <v>0</v>
      </c>
      <c r="H99" s="101">
        <f>+ SUMIF('Doanh thu'!A:A, C99,'Doanh thu'!E:E) + SUMIF('Doanh thu 2025'!B:B, C99,'Doanh thu 2025'!E:E)</f>
        <v>0</v>
      </c>
      <c r="I99" s="101">
        <f t="shared" ref="I99:I100" si="15">G99-H99</f>
        <v>0</v>
      </c>
      <c r="J99" s="103">
        <f t="shared" si="0"/>
        <v>0</v>
      </c>
      <c r="K99" s="104">
        <f>+ SUMIF('Doanh thu'!A:A, C99,'Doanh thu'!F:F)</f>
        <v>0</v>
      </c>
      <c r="L99" s="93"/>
      <c r="M99" s="93"/>
      <c r="N99" s="93"/>
    </row>
    <row r="100" spans="1:14" ht="13.2">
      <c r="A100" s="372"/>
      <c r="B100" s="111">
        <v>1</v>
      </c>
      <c r="C100" s="112" t="s">
        <v>588</v>
      </c>
      <c r="D100" s="112" t="s">
        <v>589</v>
      </c>
      <c r="E100" s="111" t="s">
        <v>444</v>
      </c>
      <c r="F100" s="113">
        <v>13000</v>
      </c>
      <c r="G100" s="102">
        <f>+ SUMIF('Nhập kho T42024'!B:B, C100,'Nhập kho T42024'!F:F)</f>
        <v>0</v>
      </c>
      <c r="H100" s="101">
        <f>+ SUMIF('Doanh thu'!A:A, C100,'Doanh thu'!E:E) + SUMIF('Doanh thu 2025'!B:B, C100,'Doanh thu 2025'!E:E)</f>
        <v>0</v>
      </c>
      <c r="I100" s="101">
        <f t="shared" si="15"/>
        <v>0</v>
      </c>
      <c r="J100" s="103">
        <f t="shared" si="0"/>
        <v>0</v>
      </c>
      <c r="K100" s="104">
        <f>+ SUMIF('Doanh thu'!A:A, C100,'Doanh thu'!F:F)</f>
        <v>0</v>
      </c>
      <c r="L100" s="93"/>
      <c r="M100" s="93"/>
      <c r="N100" s="93"/>
    </row>
    <row r="101" spans="1:14" ht="13.2">
      <c r="A101" s="372"/>
      <c r="B101" s="111">
        <v>1</v>
      </c>
      <c r="C101" s="112" t="s">
        <v>590</v>
      </c>
      <c r="D101" s="112" t="s">
        <v>591</v>
      </c>
      <c r="E101" s="111" t="s">
        <v>444</v>
      </c>
      <c r="F101" s="113">
        <v>13000</v>
      </c>
      <c r="G101" s="102">
        <f>+ SUMIF('Nhập kho T42024'!B:B, C101,'Nhập kho T42024'!F:F)</f>
        <v>0</v>
      </c>
      <c r="H101" s="101">
        <f>+ SUMIF('Doanh thu'!A:A, C101,'Doanh thu'!E:E) + SUMIF('Doanh thu 2025'!B:B, C101,'Doanh thu 2025'!E:E)</f>
        <v>4</v>
      </c>
      <c r="I101" s="101">
        <f>G101-H101+3</f>
        <v>-1</v>
      </c>
      <c r="J101" s="103">
        <f t="shared" si="0"/>
        <v>56000</v>
      </c>
      <c r="K101" s="104">
        <f>+ SUMIF('Doanh thu'!A:A, C101,'Doanh thu'!F:F)</f>
        <v>56000</v>
      </c>
      <c r="L101" s="93"/>
      <c r="M101" s="93"/>
      <c r="N101" s="93"/>
    </row>
    <row r="102" spans="1:14" ht="13.2">
      <c r="A102" s="372"/>
      <c r="B102" s="111"/>
      <c r="C102" s="112" t="s">
        <v>592</v>
      </c>
      <c r="D102" s="112" t="s">
        <v>593</v>
      </c>
      <c r="E102" s="111" t="s">
        <v>444</v>
      </c>
      <c r="F102" s="113">
        <v>14000</v>
      </c>
      <c r="G102" s="102">
        <f>+ SUMIF('Nhập kho T42024'!B:B, C102,'Nhập kho T42024'!F:F)</f>
        <v>10</v>
      </c>
      <c r="H102" s="101">
        <f>+ SUMIF('Doanh thu'!A:A, C102,'Doanh thu'!E:E) + SUMIF('Doanh thu 2025'!B:B, C102,'Doanh thu 2025'!E:E)</f>
        <v>8</v>
      </c>
      <c r="I102" s="101">
        <f t="shared" ref="I102:I122" si="16">G102-H102</f>
        <v>2</v>
      </c>
      <c r="J102" s="103">
        <f t="shared" si="0"/>
        <v>112000</v>
      </c>
      <c r="K102" s="104">
        <f>+ SUMIF('Doanh thu'!A:A, C102,'Doanh thu'!F:F)</f>
        <v>112000</v>
      </c>
      <c r="L102" s="93"/>
      <c r="M102" s="93"/>
      <c r="N102" s="93"/>
    </row>
    <row r="103" spans="1:14" ht="13.2">
      <c r="A103" s="372"/>
      <c r="B103" s="111"/>
      <c r="C103" s="112" t="s">
        <v>594</v>
      </c>
      <c r="D103" s="112" t="s">
        <v>595</v>
      </c>
      <c r="E103" s="111" t="s">
        <v>444</v>
      </c>
      <c r="F103" s="113">
        <v>14000</v>
      </c>
      <c r="G103" s="102">
        <f>+ SUMIF('Nhập kho T42024'!B:B, C103,'Nhập kho T42024'!F:F)</f>
        <v>10</v>
      </c>
      <c r="H103" s="101">
        <f>+ SUMIF('Doanh thu'!A:A, C103,'Doanh thu'!E:E) + SUMIF('Doanh thu 2025'!B:B, C103,'Doanh thu 2025'!E:E)</f>
        <v>6</v>
      </c>
      <c r="I103" s="101">
        <f t="shared" si="16"/>
        <v>4</v>
      </c>
      <c r="J103" s="103">
        <f t="shared" si="0"/>
        <v>84000</v>
      </c>
      <c r="K103" s="104">
        <f>+ SUMIF('Doanh thu'!A:A, C103,'Doanh thu'!F:F)</f>
        <v>84000</v>
      </c>
      <c r="L103" s="93"/>
      <c r="M103" s="93"/>
      <c r="N103" s="93"/>
    </row>
    <row r="104" spans="1:14" ht="13.2">
      <c r="A104" s="372"/>
      <c r="B104" s="111"/>
      <c r="C104" s="112" t="s">
        <v>596</v>
      </c>
      <c r="D104" s="112" t="s">
        <v>597</v>
      </c>
      <c r="E104" s="111" t="s">
        <v>444</v>
      </c>
      <c r="F104" s="113">
        <v>14000</v>
      </c>
      <c r="G104" s="102">
        <f>+ SUMIF('Nhập kho T42024'!B:B, C104,'Nhập kho T42024'!F:F)</f>
        <v>10</v>
      </c>
      <c r="H104" s="101">
        <f>+ SUMIF('Doanh thu'!A:A, C104,'Doanh thu'!E:E) + SUMIF('Doanh thu 2025'!B:B, C104,'Doanh thu 2025'!E:E)</f>
        <v>2</v>
      </c>
      <c r="I104" s="101">
        <f t="shared" si="16"/>
        <v>8</v>
      </c>
      <c r="J104" s="103">
        <f t="shared" si="0"/>
        <v>28000</v>
      </c>
      <c r="K104" s="104">
        <f>+ SUMIF('Doanh thu'!A:A, C104,'Doanh thu'!F:F)</f>
        <v>28000</v>
      </c>
      <c r="L104" s="93"/>
      <c r="M104" s="93"/>
      <c r="N104" s="93"/>
    </row>
    <row r="105" spans="1:14" ht="13.2">
      <c r="A105" s="372"/>
      <c r="B105" s="111"/>
      <c r="C105" s="112" t="s">
        <v>598</v>
      </c>
      <c r="D105" s="112" t="s">
        <v>599</v>
      </c>
      <c r="E105" s="111" t="s">
        <v>444</v>
      </c>
      <c r="F105" s="113">
        <v>14000</v>
      </c>
      <c r="G105" s="102">
        <f>+ SUMIF('Nhập kho T42024'!B:B, C105,'Nhập kho T42024'!F:F)</f>
        <v>10</v>
      </c>
      <c r="H105" s="101">
        <f>+ SUMIF('Doanh thu'!A:A, C105,'Doanh thu'!E:E) + SUMIF('Doanh thu 2025'!B:B, C105,'Doanh thu 2025'!E:E)</f>
        <v>4</v>
      </c>
      <c r="I105" s="101">
        <f t="shared" si="16"/>
        <v>6</v>
      </c>
      <c r="J105" s="103">
        <f t="shared" si="0"/>
        <v>56000</v>
      </c>
      <c r="K105" s="104">
        <f>+ SUMIF('Doanh thu'!A:A, C105,'Doanh thu'!F:F)</f>
        <v>56000</v>
      </c>
      <c r="L105" s="93"/>
      <c r="M105" s="93"/>
      <c r="N105" s="93"/>
    </row>
    <row r="106" spans="1:14" ht="13.2">
      <c r="A106" s="372"/>
      <c r="B106" s="111"/>
      <c r="C106" s="112" t="s">
        <v>600</v>
      </c>
      <c r="D106" s="112" t="s">
        <v>601</v>
      </c>
      <c r="E106" s="111" t="s">
        <v>444</v>
      </c>
      <c r="F106" s="113">
        <v>14000</v>
      </c>
      <c r="G106" s="102">
        <f>+ SUMIF('Nhập kho T42024'!B:B, C106,'Nhập kho T42024'!F:F)</f>
        <v>10</v>
      </c>
      <c r="H106" s="101">
        <f>+ SUMIF('Doanh thu'!A:A, C106,'Doanh thu'!E:E) + SUMIF('Doanh thu 2025'!B:B, C106,'Doanh thu 2025'!E:E)</f>
        <v>10</v>
      </c>
      <c r="I106" s="101">
        <f t="shared" si="16"/>
        <v>0</v>
      </c>
      <c r="J106" s="103">
        <f t="shared" si="0"/>
        <v>140000</v>
      </c>
      <c r="K106" s="104">
        <f>+ SUMIF('Doanh thu'!A:A, C106,'Doanh thu'!F:F)</f>
        <v>140000</v>
      </c>
      <c r="L106" s="93"/>
      <c r="M106" s="93"/>
      <c r="N106" s="93"/>
    </row>
    <row r="107" spans="1:14" ht="13.2">
      <c r="A107" s="372"/>
      <c r="B107" s="111"/>
      <c r="C107" s="112" t="s">
        <v>602</v>
      </c>
      <c r="D107" s="112" t="s">
        <v>603</v>
      </c>
      <c r="E107" s="111" t="s">
        <v>444</v>
      </c>
      <c r="F107" s="113">
        <v>15000</v>
      </c>
      <c r="G107" s="102">
        <f>+ SUMIF('Nhập kho T42024'!B:B, C107,'Nhập kho T42024'!F:F)</f>
        <v>20</v>
      </c>
      <c r="H107" s="101">
        <f>+ SUMIF('Doanh thu'!A:A, C107,'Doanh thu'!E:E) + SUMIF('Doanh thu 2025'!B:B, C107,'Doanh thu 2025'!E:E)</f>
        <v>6</v>
      </c>
      <c r="I107" s="101">
        <f t="shared" si="16"/>
        <v>14</v>
      </c>
      <c r="J107" s="103">
        <f t="shared" si="0"/>
        <v>90000</v>
      </c>
      <c r="K107" s="104">
        <f>+ SUMIF('Doanh thu'!A:A, C107,'Doanh thu'!F:F)</f>
        <v>90000</v>
      </c>
      <c r="L107" s="93"/>
      <c r="M107" s="93"/>
      <c r="N107" s="93"/>
    </row>
    <row r="108" spans="1:14" ht="13.2">
      <c r="A108" s="372"/>
      <c r="B108" s="111"/>
      <c r="C108" s="112" t="s">
        <v>604</v>
      </c>
      <c r="D108" s="112" t="s">
        <v>605</v>
      </c>
      <c r="E108" s="111" t="s">
        <v>444</v>
      </c>
      <c r="F108" s="113">
        <v>15000</v>
      </c>
      <c r="G108" s="102">
        <f>+ SUMIF('Nhập kho T42024'!B:B, C108,'Nhập kho T42024'!F:F)</f>
        <v>10</v>
      </c>
      <c r="H108" s="101">
        <f>+ SUMIF('Doanh thu'!A:A, C108,'Doanh thu'!E:E) + SUMIF('Doanh thu 2025'!B:B, C108,'Doanh thu 2025'!E:E)</f>
        <v>1</v>
      </c>
      <c r="I108" s="101">
        <f t="shared" si="16"/>
        <v>9</v>
      </c>
      <c r="J108" s="103">
        <f t="shared" si="0"/>
        <v>15000</v>
      </c>
      <c r="K108" s="104">
        <f>+ SUMIF('Doanh thu'!A:A, C108,'Doanh thu'!F:F)</f>
        <v>15000</v>
      </c>
      <c r="L108" s="93"/>
      <c r="M108" s="93"/>
      <c r="N108" s="93"/>
    </row>
    <row r="109" spans="1:14" ht="13.2">
      <c r="A109" s="372"/>
      <c r="B109" s="111"/>
      <c r="C109" s="112" t="s">
        <v>606</v>
      </c>
      <c r="D109" s="112" t="s">
        <v>607</v>
      </c>
      <c r="E109" s="111" t="s">
        <v>444</v>
      </c>
      <c r="F109" s="113">
        <v>15000</v>
      </c>
      <c r="G109" s="102">
        <f>+ SUMIF('Nhập kho T42024'!B:B, C109,'Nhập kho T42024'!F:F)</f>
        <v>10</v>
      </c>
      <c r="H109" s="101">
        <f>+ SUMIF('Doanh thu'!A:A, C109,'Doanh thu'!E:E) + SUMIF('Doanh thu 2025'!B:B, C109,'Doanh thu 2025'!E:E)</f>
        <v>0</v>
      </c>
      <c r="I109" s="101">
        <f t="shared" si="16"/>
        <v>10</v>
      </c>
      <c r="J109" s="103">
        <f t="shared" si="0"/>
        <v>0</v>
      </c>
      <c r="K109" s="104">
        <f>+ SUMIF('Doanh thu'!A:A, C109,'Doanh thu'!F:F)</f>
        <v>0</v>
      </c>
      <c r="L109" s="93"/>
      <c r="M109" s="93"/>
      <c r="N109" s="93"/>
    </row>
    <row r="110" spans="1:14" ht="13.2">
      <c r="A110" s="372"/>
      <c r="B110" s="111"/>
      <c r="C110" s="112" t="s">
        <v>608</v>
      </c>
      <c r="D110" s="112" t="s">
        <v>609</v>
      </c>
      <c r="E110" s="111" t="s">
        <v>444</v>
      </c>
      <c r="F110" s="113">
        <v>14000</v>
      </c>
      <c r="G110" s="102">
        <f>+ SUMIF('Nhập kho T42024'!B:B, C110,'Nhập kho T42024'!F:F)</f>
        <v>10</v>
      </c>
      <c r="H110" s="101">
        <f>+ SUMIF('Doanh thu'!A:A, C110,'Doanh thu'!E:E) + SUMIF('Doanh thu 2025'!B:B, C110,'Doanh thu 2025'!E:E)</f>
        <v>9</v>
      </c>
      <c r="I110" s="101">
        <f t="shared" si="16"/>
        <v>1</v>
      </c>
      <c r="J110" s="103">
        <f t="shared" si="0"/>
        <v>126000</v>
      </c>
      <c r="K110" s="104">
        <f>+ SUMIF('Doanh thu'!A:A, C110,'Doanh thu'!F:F)</f>
        <v>126000</v>
      </c>
      <c r="L110" s="93"/>
      <c r="M110" s="93"/>
      <c r="N110" s="93"/>
    </row>
    <row r="111" spans="1:14" ht="13.2">
      <c r="A111" s="372"/>
      <c r="B111" s="111"/>
      <c r="C111" s="112" t="s">
        <v>610</v>
      </c>
      <c r="D111" s="112" t="s">
        <v>611</v>
      </c>
      <c r="E111" s="111" t="s">
        <v>444</v>
      </c>
      <c r="F111" s="113">
        <v>14000</v>
      </c>
      <c r="G111" s="102">
        <f>+ SUMIF('Nhập kho T42024'!B:B, C111,'Nhập kho T42024'!F:F)</f>
        <v>10</v>
      </c>
      <c r="H111" s="101">
        <f>+ SUMIF('Doanh thu'!A:A, C111,'Doanh thu'!E:E) + SUMIF('Doanh thu 2025'!B:B, C111,'Doanh thu 2025'!E:E)</f>
        <v>5</v>
      </c>
      <c r="I111" s="101">
        <f t="shared" si="16"/>
        <v>5</v>
      </c>
      <c r="J111" s="103">
        <f t="shared" si="0"/>
        <v>70000</v>
      </c>
      <c r="K111" s="104">
        <f>+ SUMIF('Doanh thu'!A:A, C111,'Doanh thu'!F:F)</f>
        <v>70000</v>
      </c>
      <c r="L111" s="93"/>
      <c r="M111" s="93"/>
      <c r="N111" s="93"/>
    </row>
    <row r="112" spans="1:14" ht="13.2">
      <c r="A112" s="372"/>
      <c r="B112" s="111"/>
      <c r="C112" s="112" t="s">
        <v>612</v>
      </c>
      <c r="D112" s="112" t="s">
        <v>613</v>
      </c>
      <c r="E112" s="111" t="s">
        <v>444</v>
      </c>
      <c r="F112" s="113">
        <v>14000</v>
      </c>
      <c r="G112" s="102">
        <f>+ SUMIF('Nhập kho T42024'!B:B, C112,'Nhập kho T42024'!F:F)</f>
        <v>10</v>
      </c>
      <c r="H112" s="101">
        <f>+ SUMIF('Doanh thu'!A:A, C112,'Doanh thu'!E:E) + SUMIF('Doanh thu 2025'!B:B, C112,'Doanh thu 2025'!E:E)</f>
        <v>4</v>
      </c>
      <c r="I112" s="101">
        <f t="shared" si="16"/>
        <v>6</v>
      </c>
      <c r="J112" s="103">
        <f t="shared" si="0"/>
        <v>56000</v>
      </c>
      <c r="K112" s="104">
        <f>+ SUMIF('Doanh thu'!A:A, C112,'Doanh thu'!F:F)</f>
        <v>56000</v>
      </c>
      <c r="L112" s="93"/>
      <c r="M112" s="93"/>
      <c r="N112" s="93"/>
    </row>
    <row r="113" spans="1:14" ht="13.2">
      <c r="A113" s="372"/>
      <c r="B113" s="111"/>
      <c r="C113" s="112" t="s">
        <v>614</v>
      </c>
      <c r="D113" s="112" t="s">
        <v>603</v>
      </c>
      <c r="E113" s="111" t="s">
        <v>444</v>
      </c>
      <c r="F113" s="113">
        <v>14000</v>
      </c>
      <c r="G113" s="102">
        <f>+ SUMIF('Nhập kho T42024'!B:B, C113,'Nhập kho T42024'!F:F)</f>
        <v>10</v>
      </c>
      <c r="H113" s="101">
        <f>+ SUMIF('Doanh thu'!A:A, C113,'Doanh thu'!E:E) + SUMIF('Doanh thu 2025'!B:B, C113,'Doanh thu 2025'!E:E)</f>
        <v>5</v>
      </c>
      <c r="I113" s="101">
        <f t="shared" si="16"/>
        <v>5</v>
      </c>
      <c r="J113" s="103">
        <f t="shared" si="0"/>
        <v>70000</v>
      </c>
      <c r="K113" s="104">
        <f>+ SUMIF('Doanh thu'!A:A, C113,'Doanh thu'!F:F)</f>
        <v>70000</v>
      </c>
      <c r="L113" s="93"/>
      <c r="M113" s="93"/>
      <c r="N113" s="93"/>
    </row>
    <row r="114" spans="1:14" ht="13.2">
      <c r="A114" s="372"/>
      <c r="B114" s="111"/>
      <c r="C114" s="112" t="s">
        <v>615</v>
      </c>
      <c r="D114" s="112" t="s">
        <v>616</v>
      </c>
      <c r="E114" s="111" t="s">
        <v>444</v>
      </c>
      <c r="F114" s="113">
        <v>14000</v>
      </c>
      <c r="G114" s="102">
        <f>+ SUMIF('Nhập kho T42024'!B:B, C114,'Nhập kho T42024'!F:F)</f>
        <v>10</v>
      </c>
      <c r="H114" s="101">
        <f>+ SUMIF('Doanh thu'!A:A, C114,'Doanh thu'!E:E) + SUMIF('Doanh thu 2025'!B:B, C114,'Doanh thu 2025'!E:E)</f>
        <v>1</v>
      </c>
      <c r="I114" s="101">
        <f t="shared" si="16"/>
        <v>9</v>
      </c>
      <c r="J114" s="103">
        <f t="shared" si="0"/>
        <v>14000</v>
      </c>
      <c r="K114" s="104">
        <f>+ SUMIF('Doanh thu'!A:A, C114,'Doanh thu'!F:F)</f>
        <v>14000</v>
      </c>
      <c r="L114" s="93"/>
      <c r="M114" s="93"/>
      <c r="N114" s="93"/>
    </row>
    <row r="115" spans="1:14" ht="13.2">
      <c r="A115" s="372"/>
      <c r="B115" s="111"/>
      <c r="C115" s="112" t="s">
        <v>617</v>
      </c>
      <c r="D115" s="112" t="s">
        <v>618</v>
      </c>
      <c r="E115" s="111" t="s">
        <v>444</v>
      </c>
      <c r="F115" s="113">
        <v>15000</v>
      </c>
      <c r="G115" s="102">
        <f>+ SUMIF('Nhập kho T42024'!B:B, C115,'Nhập kho T42024'!F:F)</f>
        <v>10</v>
      </c>
      <c r="H115" s="101">
        <f>+ SUMIF('Doanh thu'!A:A, C115,'Doanh thu'!E:E) + SUMIF('Doanh thu 2025'!B:B, C115,'Doanh thu 2025'!E:E)</f>
        <v>1</v>
      </c>
      <c r="I115" s="101">
        <f t="shared" si="16"/>
        <v>9</v>
      </c>
      <c r="J115" s="103">
        <f t="shared" si="0"/>
        <v>15000</v>
      </c>
      <c r="K115" s="104">
        <f>+ SUMIF('Doanh thu'!A:A, C115,'Doanh thu'!F:F)</f>
        <v>15000</v>
      </c>
      <c r="L115" s="93"/>
      <c r="M115" s="93"/>
      <c r="N115" s="93"/>
    </row>
    <row r="116" spans="1:14" ht="13.2">
      <c r="A116" s="372"/>
      <c r="B116" s="111"/>
      <c r="C116" s="112" t="s">
        <v>619</v>
      </c>
      <c r="D116" s="112" t="s">
        <v>607</v>
      </c>
      <c r="E116" s="111" t="s">
        <v>444</v>
      </c>
      <c r="F116" s="113">
        <v>15000</v>
      </c>
      <c r="G116" s="102">
        <f>+ SUMIF('Nhập kho T42024'!B:B, C116,'Nhập kho T42024'!F:F)</f>
        <v>10</v>
      </c>
      <c r="H116" s="101">
        <f>+ SUMIF('Doanh thu'!A:A, C116,'Doanh thu'!E:E) + SUMIF('Doanh thu 2025'!B:B, C116,'Doanh thu 2025'!E:E)</f>
        <v>3</v>
      </c>
      <c r="I116" s="101">
        <f t="shared" si="16"/>
        <v>7</v>
      </c>
      <c r="J116" s="103">
        <f t="shared" si="0"/>
        <v>45000</v>
      </c>
      <c r="K116" s="104">
        <f>+ SUMIF('Doanh thu'!A:A, C116,'Doanh thu'!F:F)</f>
        <v>45000</v>
      </c>
      <c r="L116" s="93"/>
      <c r="M116" s="93"/>
      <c r="N116" s="93"/>
    </row>
    <row r="117" spans="1:14" ht="13.2">
      <c r="A117" s="372"/>
      <c r="B117" s="111"/>
      <c r="C117" s="112" t="s">
        <v>620</v>
      </c>
      <c r="D117" s="112" t="s">
        <v>621</v>
      </c>
      <c r="E117" s="111" t="s">
        <v>444</v>
      </c>
      <c r="F117" s="113">
        <v>15000</v>
      </c>
      <c r="G117" s="102">
        <f>+ SUMIF('Nhập kho T42024'!B:B, C117,'Nhập kho T42024'!F:F)</f>
        <v>10</v>
      </c>
      <c r="H117" s="101">
        <f>+ SUMIF('Doanh thu'!A:A, C117,'Doanh thu'!E:E) + SUMIF('Doanh thu 2025'!B:B, C117,'Doanh thu 2025'!E:E)</f>
        <v>1</v>
      </c>
      <c r="I117" s="101">
        <f t="shared" si="16"/>
        <v>9</v>
      </c>
      <c r="J117" s="103">
        <f t="shared" si="0"/>
        <v>15000</v>
      </c>
      <c r="K117" s="104">
        <f>+ SUMIF('Doanh thu'!A:A, C117,'Doanh thu'!F:F)</f>
        <v>15000</v>
      </c>
      <c r="L117" s="93"/>
      <c r="M117" s="93"/>
      <c r="N117" s="93"/>
    </row>
    <row r="118" spans="1:14" ht="13.2">
      <c r="A118" s="372"/>
      <c r="B118" s="111"/>
      <c r="C118" s="112" t="s">
        <v>622</v>
      </c>
      <c r="D118" s="112" t="s">
        <v>597</v>
      </c>
      <c r="E118" s="111" t="s">
        <v>444</v>
      </c>
      <c r="F118" s="113">
        <v>14000</v>
      </c>
      <c r="G118" s="102">
        <f>+ SUMIF('Nhập kho T42024'!B:B, C118,'Nhập kho T42024'!F:F)</f>
        <v>30</v>
      </c>
      <c r="H118" s="101">
        <f>+ SUMIF('Doanh thu'!A:A, C118,'Doanh thu'!E:E) + SUMIF('Doanh thu 2025'!B:B, C118,'Doanh thu 2025'!E:E)</f>
        <v>9</v>
      </c>
      <c r="I118" s="101">
        <f t="shared" si="16"/>
        <v>21</v>
      </c>
      <c r="J118" s="103">
        <f t="shared" si="0"/>
        <v>126000</v>
      </c>
      <c r="K118" s="104">
        <f>+ SUMIF('Doanh thu'!A:A, C118,'Doanh thu'!F:F)</f>
        <v>126000</v>
      </c>
      <c r="L118" s="93"/>
      <c r="M118" s="93"/>
      <c r="N118" s="93"/>
    </row>
    <row r="119" spans="1:14" ht="13.2">
      <c r="A119" s="372"/>
      <c r="B119" s="111"/>
      <c r="C119" s="112" t="s">
        <v>623</v>
      </c>
      <c r="D119" s="112" t="s">
        <v>616</v>
      </c>
      <c r="E119" s="111" t="s">
        <v>444</v>
      </c>
      <c r="F119" s="113">
        <v>14000</v>
      </c>
      <c r="G119" s="102">
        <f>+ SUMIF('Nhập kho T42024'!B:B, C119,'Nhập kho T42024'!F:F)</f>
        <v>20</v>
      </c>
      <c r="H119" s="101">
        <f>+ SUMIF('Doanh thu'!A:A, C119,'Doanh thu'!E:E) + SUMIF('Doanh thu 2025'!B:B, C119,'Doanh thu 2025'!E:E)</f>
        <v>3</v>
      </c>
      <c r="I119" s="101">
        <f t="shared" si="16"/>
        <v>17</v>
      </c>
      <c r="J119" s="103">
        <f t="shared" si="0"/>
        <v>42000</v>
      </c>
      <c r="K119" s="104">
        <f>+ SUMIF('Doanh thu'!A:A, C119,'Doanh thu'!F:F)</f>
        <v>42000</v>
      </c>
      <c r="L119" s="93"/>
      <c r="M119" s="93"/>
      <c r="N119" s="93"/>
    </row>
    <row r="120" spans="1:14" ht="13.2">
      <c r="A120" s="372"/>
      <c r="B120" s="111"/>
      <c r="C120" s="112" t="s">
        <v>624</v>
      </c>
      <c r="D120" s="112" t="s">
        <v>607</v>
      </c>
      <c r="E120" s="111" t="s">
        <v>444</v>
      </c>
      <c r="F120" s="113">
        <v>14000</v>
      </c>
      <c r="G120" s="102">
        <f>+ SUMIF('Nhập kho T42024'!B:B, C120,'Nhập kho T42024'!F:F)</f>
        <v>10</v>
      </c>
      <c r="H120" s="101">
        <f>+ SUMIF('Doanh thu'!A:A, C120,'Doanh thu'!E:E) + SUMIF('Doanh thu 2025'!B:B, C120,'Doanh thu 2025'!E:E)</f>
        <v>5</v>
      </c>
      <c r="I120" s="101">
        <f t="shared" si="16"/>
        <v>5</v>
      </c>
      <c r="J120" s="103">
        <f t="shared" si="0"/>
        <v>70000</v>
      </c>
      <c r="K120" s="104">
        <f>+ SUMIF('Doanh thu'!A:A, C120,'Doanh thu'!F:F)</f>
        <v>70000</v>
      </c>
      <c r="L120" s="93"/>
      <c r="M120" s="93"/>
      <c r="N120" s="93"/>
    </row>
    <row r="121" spans="1:14" ht="13.2">
      <c r="A121" s="372"/>
      <c r="B121" s="111"/>
      <c r="C121" s="112" t="s">
        <v>625</v>
      </c>
      <c r="D121" s="112" t="s">
        <v>626</v>
      </c>
      <c r="E121" s="111" t="s">
        <v>444</v>
      </c>
      <c r="F121" s="113">
        <v>14000</v>
      </c>
      <c r="G121" s="102">
        <f>+ SUMIF('Nhập kho T42024'!B:B, C121,'Nhập kho T42024'!F:F)</f>
        <v>10</v>
      </c>
      <c r="H121" s="101">
        <f>+ SUMIF('Doanh thu'!A:A, C121,'Doanh thu'!E:E) + SUMIF('Doanh thu 2025'!B:B, C121,'Doanh thu 2025'!E:E)</f>
        <v>2</v>
      </c>
      <c r="I121" s="101">
        <f t="shared" si="16"/>
        <v>8</v>
      </c>
      <c r="J121" s="103">
        <f t="shared" si="0"/>
        <v>28000</v>
      </c>
      <c r="K121" s="104">
        <f>+ SUMIF('Doanh thu'!A:A, C121,'Doanh thu'!F:F)</f>
        <v>28000</v>
      </c>
      <c r="L121" s="93"/>
      <c r="M121" s="93"/>
      <c r="N121" s="93"/>
    </row>
    <row r="122" spans="1:14" ht="13.2">
      <c r="A122" s="372"/>
      <c r="B122" s="111"/>
      <c r="C122" s="112" t="s">
        <v>627</v>
      </c>
      <c r="D122" s="112" t="s">
        <v>628</v>
      </c>
      <c r="E122" s="111" t="s">
        <v>444</v>
      </c>
      <c r="F122" s="113">
        <v>15000</v>
      </c>
      <c r="G122" s="102">
        <f>+ SUMIF('Nhập kho T42024'!B:B, C122,'Nhập kho T42024'!F:F)</f>
        <v>10</v>
      </c>
      <c r="H122" s="101">
        <f>+ SUMIF('Doanh thu'!A:A, C122,'Doanh thu'!E:E) + SUMIF('Doanh thu 2025'!B:B, C122,'Doanh thu 2025'!E:E)</f>
        <v>0</v>
      </c>
      <c r="I122" s="101">
        <f t="shared" si="16"/>
        <v>10</v>
      </c>
      <c r="J122" s="103">
        <f t="shared" si="0"/>
        <v>0</v>
      </c>
      <c r="K122" s="104">
        <f>+ SUMIF('Doanh thu'!A:A, C122,'Doanh thu'!F:F)</f>
        <v>0</v>
      </c>
      <c r="L122" s="93"/>
      <c r="M122" s="93"/>
      <c r="N122" s="93"/>
    </row>
    <row r="123" spans="1:14" ht="13.2">
      <c r="A123" s="372"/>
      <c r="B123" s="111">
        <v>1</v>
      </c>
      <c r="C123" s="112" t="s">
        <v>629</v>
      </c>
      <c r="D123" s="112" t="s">
        <v>630</v>
      </c>
      <c r="E123" s="111" t="s">
        <v>444</v>
      </c>
      <c r="F123" s="113">
        <v>32500</v>
      </c>
      <c r="G123" s="102">
        <f>+ SUMIF('Nhập kho T42024'!B:B, C123,'Nhập kho T42024'!F:F)</f>
        <v>0</v>
      </c>
      <c r="H123" s="101">
        <f>+ SUMIF('Doanh thu'!A:A, C123,'Doanh thu'!E:E) + SUMIF('Doanh thu 2025'!B:B, C123,'Doanh thu 2025'!E:E)</f>
        <v>2</v>
      </c>
      <c r="I123" s="101">
        <f>G123-H123+7</f>
        <v>5</v>
      </c>
      <c r="J123" s="103">
        <f t="shared" si="0"/>
        <v>65000</v>
      </c>
      <c r="K123" s="104">
        <f>+ SUMIF('Doanh thu'!A:A, C123,'Doanh thu'!F:F)</f>
        <v>65000</v>
      </c>
      <c r="L123" s="93"/>
      <c r="M123" s="93"/>
      <c r="N123" s="93"/>
    </row>
    <row r="124" spans="1:14" ht="13.2">
      <c r="A124" s="372"/>
      <c r="B124" s="111">
        <v>1</v>
      </c>
      <c r="C124" s="112" t="s">
        <v>631</v>
      </c>
      <c r="D124" s="112" t="s">
        <v>632</v>
      </c>
      <c r="E124" s="111" t="s">
        <v>444</v>
      </c>
      <c r="F124" s="113">
        <v>32500</v>
      </c>
      <c r="G124" s="102">
        <f>+ SUMIF('Nhập kho T42024'!B:B, C124,'Nhập kho T42024'!F:F)</f>
        <v>0</v>
      </c>
      <c r="H124" s="101">
        <f>+ SUMIF('Doanh thu'!A:A, C124,'Doanh thu'!E:E) + SUMIF('Doanh thu 2025'!B:B, C124,'Doanh thu 2025'!E:E)</f>
        <v>1</v>
      </c>
      <c r="I124" s="101">
        <f>G124-H124+1</f>
        <v>0</v>
      </c>
      <c r="J124" s="103">
        <f t="shared" si="0"/>
        <v>19000</v>
      </c>
      <c r="K124" s="104">
        <f>+ SUMIF('Doanh thu'!A:A, C124,'Doanh thu'!F:F)</f>
        <v>19000</v>
      </c>
      <c r="L124" s="93"/>
      <c r="M124" s="93"/>
      <c r="N124" s="93"/>
    </row>
    <row r="125" spans="1:14" ht="13.2">
      <c r="A125" s="372"/>
      <c r="B125" s="111">
        <v>1</v>
      </c>
      <c r="C125" s="112" t="s">
        <v>633</v>
      </c>
      <c r="D125" s="112" t="s">
        <v>634</v>
      </c>
      <c r="E125" s="111" t="s">
        <v>444</v>
      </c>
      <c r="F125" s="113">
        <v>32500</v>
      </c>
      <c r="G125" s="102">
        <f>+ SUMIF('Nhập kho T42024'!B:B, C125,'Nhập kho T42024'!F:F)</f>
        <v>0</v>
      </c>
      <c r="H125" s="101">
        <f>+ SUMIF('Doanh thu'!A:A, C125,'Doanh thu'!E:E) + SUMIF('Doanh thu 2025'!B:B, C125,'Doanh thu 2025'!E:E)</f>
        <v>2</v>
      </c>
      <c r="I125" s="101">
        <f>G125-H125+2</f>
        <v>0</v>
      </c>
      <c r="J125" s="103">
        <f t="shared" si="0"/>
        <v>65000</v>
      </c>
      <c r="K125" s="104">
        <f>+ SUMIF('Doanh thu'!A:A, C125,'Doanh thu'!F:F)</f>
        <v>65000</v>
      </c>
      <c r="L125" s="93"/>
      <c r="M125" s="93"/>
      <c r="N125" s="93"/>
    </row>
    <row r="126" spans="1:14" ht="13.2">
      <c r="A126" s="372"/>
      <c r="B126" s="111">
        <v>1</v>
      </c>
      <c r="C126" s="112" t="s">
        <v>635</v>
      </c>
      <c r="D126" s="112" t="s">
        <v>636</v>
      </c>
      <c r="E126" s="111" t="s">
        <v>444</v>
      </c>
      <c r="F126" s="113">
        <v>32500</v>
      </c>
      <c r="G126" s="102">
        <f>+ SUMIF('Nhập kho T42024'!B:B, C126,'Nhập kho T42024'!F:F)</f>
        <v>0</v>
      </c>
      <c r="H126" s="101">
        <f>+ SUMIF('Doanh thu'!A:A, C126,'Doanh thu'!E:E) + SUMIF('Doanh thu 2025'!B:B, C126,'Doanh thu 2025'!E:E)</f>
        <v>0</v>
      </c>
      <c r="I126" s="101">
        <f t="shared" ref="I126:I128" si="17">G126-H126</f>
        <v>0</v>
      </c>
      <c r="J126" s="103">
        <f t="shared" si="0"/>
        <v>0</v>
      </c>
      <c r="K126" s="104">
        <f>+ SUMIF('Doanh thu'!A:A, C126,'Doanh thu'!F:F)</f>
        <v>0</v>
      </c>
      <c r="L126" s="93"/>
      <c r="M126" s="93"/>
      <c r="N126" s="93"/>
    </row>
    <row r="127" spans="1:14" ht="13.2">
      <c r="A127" s="372"/>
      <c r="B127" s="111">
        <v>1</v>
      </c>
      <c r="C127" s="112" t="s">
        <v>637</v>
      </c>
      <c r="D127" s="112" t="s">
        <v>638</v>
      </c>
      <c r="E127" s="111" t="s">
        <v>444</v>
      </c>
      <c r="F127" s="113">
        <v>32500</v>
      </c>
      <c r="G127" s="102">
        <f>+ SUMIF('Nhập kho T42024'!B:B, C127,'Nhập kho T42024'!F:F)</f>
        <v>0</v>
      </c>
      <c r="H127" s="101">
        <f>+ SUMIF('Doanh thu'!A:A, C127,'Doanh thu'!E:E) + SUMIF('Doanh thu 2025'!B:B, C127,'Doanh thu 2025'!E:E)</f>
        <v>0</v>
      </c>
      <c r="I127" s="101">
        <f t="shared" si="17"/>
        <v>0</v>
      </c>
      <c r="J127" s="103">
        <f t="shared" si="0"/>
        <v>0</v>
      </c>
      <c r="K127" s="104">
        <f>+ SUMIF('Doanh thu'!A:A, C127,'Doanh thu'!F:F)</f>
        <v>0</v>
      </c>
      <c r="L127" s="93"/>
      <c r="M127" s="93"/>
      <c r="N127" s="93"/>
    </row>
    <row r="128" spans="1:14" ht="13.2">
      <c r="A128" s="372"/>
      <c r="B128" s="111">
        <v>1</v>
      </c>
      <c r="C128" s="112" t="s">
        <v>639</v>
      </c>
      <c r="D128" s="112" t="s">
        <v>640</v>
      </c>
      <c r="E128" s="111" t="s">
        <v>444</v>
      </c>
      <c r="F128" s="113">
        <v>32500</v>
      </c>
      <c r="G128" s="102">
        <f>+ SUMIF('Nhập kho T42024'!B:B, C128,'Nhập kho T42024'!F:F)</f>
        <v>0</v>
      </c>
      <c r="H128" s="101">
        <f>+ SUMIF('Doanh thu'!A:A, C128,'Doanh thu'!E:E) + SUMIF('Doanh thu 2025'!B:B, C128,'Doanh thu 2025'!E:E)</f>
        <v>0</v>
      </c>
      <c r="I128" s="101">
        <f t="shared" si="17"/>
        <v>0</v>
      </c>
      <c r="J128" s="103">
        <f t="shared" si="0"/>
        <v>0</v>
      </c>
      <c r="K128" s="104">
        <f>+ SUMIF('Doanh thu'!A:A, C128,'Doanh thu'!F:F)</f>
        <v>0</v>
      </c>
      <c r="L128" s="93"/>
      <c r="M128" s="93"/>
      <c r="N128" s="93"/>
    </row>
    <row r="129" spans="1:14" ht="13.2">
      <c r="A129" s="372"/>
      <c r="B129" s="111">
        <v>1</v>
      </c>
      <c r="C129" s="112" t="s">
        <v>641</v>
      </c>
      <c r="D129" s="112" t="s">
        <v>642</v>
      </c>
      <c r="E129" s="111" t="s">
        <v>444</v>
      </c>
      <c r="F129" s="113">
        <v>21000</v>
      </c>
      <c r="G129" s="102">
        <f>+ SUMIF('Nhập kho T42024'!B:B, C129,'Nhập kho T42024'!F:F)</f>
        <v>0</v>
      </c>
      <c r="H129" s="101">
        <f>+ SUMIF('Doanh thu'!A:A, C129,'Doanh thu'!E:E) + SUMIF('Doanh thu 2025'!B:B, C129,'Doanh thu 2025'!E:E)</f>
        <v>3</v>
      </c>
      <c r="I129" s="101">
        <f t="shared" ref="I129:I130" si="18">G129-H129+3</f>
        <v>0</v>
      </c>
      <c r="J129" s="103">
        <f t="shared" si="0"/>
        <v>64000</v>
      </c>
      <c r="K129" s="104">
        <f>+ SUMIF('Doanh thu'!A:A, C129,'Doanh thu'!F:F)</f>
        <v>64000</v>
      </c>
      <c r="L129" s="93"/>
      <c r="M129" s="93"/>
      <c r="N129" s="93"/>
    </row>
    <row r="130" spans="1:14" ht="13.2">
      <c r="A130" s="372"/>
      <c r="B130" s="111">
        <v>1</v>
      </c>
      <c r="C130" s="112" t="s">
        <v>643</v>
      </c>
      <c r="D130" s="112" t="s">
        <v>644</v>
      </c>
      <c r="E130" s="111" t="s">
        <v>444</v>
      </c>
      <c r="F130" s="113">
        <v>21000</v>
      </c>
      <c r="G130" s="102">
        <f>+ SUMIF('Nhập kho T42024'!B:B, C130,'Nhập kho T42024'!F:F)</f>
        <v>0</v>
      </c>
      <c r="H130" s="101">
        <f>+ SUMIF('Doanh thu'!A:A, C130,'Doanh thu'!E:E) + SUMIF('Doanh thu 2025'!B:B, C130,'Doanh thu 2025'!E:E)</f>
        <v>3</v>
      </c>
      <c r="I130" s="101">
        <f t="shared" si="18"/>
        <v>0</v>
      </c>
      <c r="J130" s="103">
        <f t="shared" si="0"/>
        <v>63000</v>
      </c>
      <c r="K130" s="104">
        <f>+ SUMIF('Doanh thu'!A:A, C130,'Doanh thu'!F:F)</f>
        <v>63000</v>
      </c>
      <c r="L130" s="93"/>
      <c r="M130" s="93"/>
      <c r="N130" s="93"/>
    </row>
    <row r="131" spans="1:14" ht="13.2">
      <c r="A131" s="372"/>
      <c r="B131" s="111">
        <v>1</v>
      </c>
      <c r="C131" s="112" t="s">
        <v>645</v>
      </c>
      <c r="D131" s="112" t="s">
        <v>646</v>
      </c>
      <c r="E131" s="111" t="s">
        <v>444</v>
      </c>
      <c r="F131" s="113">
        <v>21000</v>
      </c>
      <c r="G131" s="102">
        <f>+ SUMIF('Nhập kho T42024'!B:B, C131,'Nhập kho T42024'!F:F)</f>
        <v>0</v>
      </c>
      <c r="H131" s="101">
        <f>+ SUMIF('Doanh thu'!A:A, C131,'Doanh thu'!E:E) + SUMIF('Doanh thu 2025'!B:B, C131,'Doanh thu 2025'!E:E)</f>
        <v>1</v>
      </c>
      <c r="I131" s="101">
        <f>G131-H131+1</f>
        <v>0</v>
      </c>
      <c r="J131" s="103">
        <f t="shared" si="0"/>
        <v>21000</v>
      </c>
      <c r="K131" s="104">
        <f>+ SUMIF('Doanh thu'!A:A, C131,'Doanh thu'!F:F)</f>
        <v>21000</v>
      </c>
      <c r="L131" s="93"/>
      <c r="M131" s="93"/>
      <c r="N131" s="93"/>
    </row>
    <row r="132" spans="1:14" ht="13.2">
      <c r="A132" s="372"/>
      <c r="B132" s="111">
        <v>1</v>
      </c>
      <c r="C132" s="112" t="s">
        <v>647</v>
      </c>
      <c r="D132" s="112" t="s">
        <v>648</v>
      </c>
      <c r="E132" s="111" t="s">
        <v>444</v>
      </c>
      <c r="F132" s="113">
        <v>21000</v>
      </c>
      <c r="G132" s="102">
        <f>+ SUMIF('Nhập kho T42024'!B:B, C132,'Nhập kho T42024'!F:F)</f>
        <v>0</v>
      </c>
      <c r="H132" s="101">
        <f>+ SUMIF('Doanh thu'!A:A, C132,'Doanh thu'!E:E) + SUMIF('Doanh thu 2025'!B:B, C132,'Doanh thu 2025'!E:E)</f>
        <v>2</v>
      </c>
      <c r="I132" s="101">
        <f>G132-H132+2</f>
        <v>0</v>
      </c>
      <c r="J132" s="103">
        <f t="shared" si="0"/>
        <v>42000</v>
      </c>
      <c r="K132" s="104">
        <f>+ SUMIF('Doanh thu'!A:A, C132,'Doanh thu'!F:F)</f>
        <v>42000</v>
      </c>
      <c r="L132" s="93"/>
      <c r="M132" s="93"/>
      <c r="N132" s="93"/>
    </row>
    <row r="133" spans="1:14" ht="13.2">
      <c r="A133" s="372"/>
      <c r="B133" s="111">
        <v>1</v>
      </c>
      <c r="C133" s="112" t="s">
        <v>649</v>
      </c>
      <c r="D133" s="112" t="s">
        <v>650</v>
      </c>
      <c r="E133" s="111" t="s">
        <v>444</v>
      </c>
      <c r="F133" s="113">
        <v>12900</v>
      </c>
      <c r="G133" s="102">
        <f>+ SUMIF('Nhập kho T42024'!B:B, C133,'Nhập kho T42024'!F:F)</f>
        <v>0</v>
      </c>
      <c r="H133" s="101">
        <f>+ SUMIF('Doanh thu'!A:A, C133,'Doanh thu'!E:E) + SUMIF('Doanh thu 2025'!B:B, C133,'Doanh thu 2025'!E:E)</f>
        <v>0</v>
      </c>
      <c r="I133" s="101">
        <f>G133-H133</f>
        <v>0</v>
      </c>
      <c r="J133" s="103">
        <f t="shared" si="0"/>
        <v>0</v>
      </c>
      <c r="K133" s="104">
        <f>+ SUMIF('Doanh thu'!A:A, C133,'Doanh thu'!F:F)</f>
        <v>0</v>
      </c>
      <c r="L133" s="93"/>
      <c r="M133" s="93"/>
      <c r="N133" s="93"/>
    </row>
    <row r="134" spans="1:14" ht="13.2">
      <c r="A134" s="372"/>
      <c r="B134" s="111">
        <v>1</v>
      </c>
      <c r="C134" s="112" t="s">
        <v>651</v>
      </c>
      <c r="D134" s="112" t="s">
        <v>652</v>
      </c>
      <c r="E134" s="111" t="s">
        <v>444</v>
      </c>
      <c r="F134" s="113">
        <v>12900</v>
      </c>
      <c r="G134" s="102">
        <f>+ SUMIF('Nhập kho T42024'!B:B, C134,'Nhập kho T42024'!F:F)</f>
        <v>0</v>
      </c>
      <c r="H134" s="101">
        <f>+ SUMIF('Doanh thu'!A:A, C134,'Doanh thu'!E:E) + SUMIF('Doanh thu 2025'!B:B, C134,'Doanh thu 2025'!E:E)</f>
        <v>0</v>
      </c>
      <c r="I134" s="101">
        <f>G134-H134+1</f>
        <v>1</v>
      </c>
      <c r="J134" s="103">
        <f t="shared" si="0"/>
        <v>0</v>
      </c>
      <c r="K134" s="104">
        <f>+ SUMIF('Doanh thu'!A:A, C134,'Doanh thu'!F:F)</f>
        <v>0</v>
      </c>
      <c r="L134" s="93"/>
      <c r="M134" s="93"/>
      <c r="N134" s="93"/>
    </row>
    <row r="135" spans="1:14" ht="13.2">
      <c r="A135" s="372"/>
      <c r="B135" s="111">
        <v>1</v>
      </c>
      <c r="C135" s="112" t="s">
        <v>653</v>
      </c>
      <c r="D135" s="112" t="s">
        <v>654</v>
      </c>
      <c r="E135" s="111" t="s">
        <v>444</v>
      </c>
      <c r="F135" s="113">
        <v>12900</v>
      </c>
      <c r="G135" s="102">
        <f>+ SUMIF('Nhập kho T42024'!B:B, C135,'Nhập kho T42024'!F:F)</f>
        <v>0</v>
      </c>
      <c r="H135" s="101">
        <f>+ SUMIF('Doanh thu'!A:A, C135,'Doanh thu'!E:E) + SUMIF('Doanh thu 2025'!B:B, C135,'Doanh thu 2025'!E:E)</f>
        <v>0</v>
      </c>
      <c r="I135" s="101">
        <f t="shared" ref="I135:I137" si="19">G135-H135</f>
        <v>0</v>
      </c>
      <c r="J135" s="103">
        <f t="shared" si="0"/>
        <v>0</v>
      </c>
      <c r="K135" s="104">
        <f>+ SUMIF('Doanh thu'!A:A, C135,'Doanh thu'!F:F)</f>
        <v>0</v>
      </c>
      <c r="L135" s="93"/>
      <c r="M135" s="93"/>
      <c r="N135" s="93"/>
    </row>
    <row r="136" spans="1:14" ht="13.2">
      <c r="A136" s="372"/>
      <c r="B136" s="111">
        <v>1</v>
      </c>
      <c r="C136" s="112" t="s">
        <v>655</v>
      </c>
      <c r="D136" s="112" t="s">
        <v>656</v>
      </c>
      <c r="E136" s="111" t="s">
        <v>444</v>
      </c>
      <c r="F136" s="113">
        <v>12900</v>
      </c>
      <c r="G136" s="102">
        <f>+ SUMIF('Nhập kho T42024'!B:B, C136,'Nhập kho T42024'!F:F)</f>
        <v>0</v>
      </c>
      <c r="H136" s="101">
        <f>+ SUMIF('Doanh thu'!A:A, C136,'Doanh thu'!E:E) + SUMIF('Doanh thu 2025'!B:B, C136,'Doanh thu 2025'!E:E)</f>
        <v>0</v>
      </c>
      <c r="I136" s="101">
        <f t="shared" si="19"/>
        <v>0</v>
      </c>
      <c r="J136" s="103">
        <f t="shared" si="0"/>
        <v>0</v>
      </c>
      <c r="K136" s="104">
        <f>+ SUMIF('Doanh thu'!A:A, C136,'Doanh thu'!F:F)</f>
        <v>0</v>
      </c>
      <c r="L136" s="93"/>
      <c r="M136" s="93"/>
      <c r="N136" s="93"/>
    </row>
    <row r="137" spans="1:14" ht="13.2">
      <c r="A137" s="372"/>
      <c r="B137" s="111">
        <v>1</v>
      </c>
      <c r="C137" s="112" t="s">
        <v>657</v>
      </c>
      <c r="D137" s="112" t="s">
        <v>658</v>
      </c>
      <c r="E137" s="111" t="s">
        <v>444</v>
      </c>
      <c r="F137" s="113">
        <v>12900</v>
      </c>
      <c r="G137" s="102">
        <f>+ SUMIF('Nhập kho T42024'!B:B, C137,'Nhập kho T42024'!F:F)</f>
        <v>0</v>
      </c>
      <c r="H137" s="101">
        <f>+ SUMIF('Doanh thu'!A:A, C137,'Doanh thu'!E:E) + SUMIF('Doanh thu 2025'!B:B, C137,'Doanh thu 2025'!E:E)</f>
        <v>0</v>
      </c>
      <c r="I137" s="101">
        <f t="shared" si="19"/>
        <v>0</v>
      </c>
      <c r="J137" s="103">
        <f t="shared" si="0"/>
        <v>0</v>
      </c>
      <c r="K137" s="104">
        <f>+ SUMIF('Doanh thu'!A:A, C137,'Doanh thu'!F:F)</f>
        <v>0</v>
      </c>
      <c r="L137" s="93"/>
      <c r="M137" s="93"/>
      <c r="N137" s="93"/>
    </row>
    <row r="138" spans="1:14" ht="13.2">
      <c r="A138" s="372"/>
      <c r="B138" s="111">
        <v>1</v>
      </c>
      <c r="C138" s="112" t="s">
        <v>659</v>
      </c>
      <c r="D138" s="112" t="s">
        <v>660</v>
      </c>
      <c r="E138" s="111" t="s">
        <v>444</v>
      </c>
      <c r="F138" s="113">
        <v>29000</v>
      </c>
      <c r="G138" s="102">
        <f>+ SUMIF('Nhập kho T42024'!B:B, C138,'Nhập kho T42024'!F:F)</f>
        <v>0</v>
      </c>
      <c r="H138" s="101">
        <f>+ SUMIF('Doanh thu'!A:A, C138,'Doanh thu'!E:E) + SUMIF('Doanh thu 2025'!B:B, C138,'Doanh thu 2025'!E:E)</f>
        <v>1</v>
      </c>
      <c r="I138" s="101">
        <f t="shared" ref="I138:I139" si="20">G138-H138+2</f>
        <v>1</v>
      </c>
      <c r="J138" s="103">
        <f t="shared" si="0"/>
        <v>29000</v>
      </c>
      <c r="K138" s="104">
        <f>+ SUMIF('Doanh thu'!A:A, C138,'Doanh thu'!F:F)</f>
        <v>29000</v>
      </c>
      <c r="L138" s="93"/>
      <c r="M138" s="93"/>
      <c r="N138" s="93"/>
    </row>
    <row r="139" spans="1:14" ht="13.2">
      <c r="A139" s="372"/>
      <c r="B139" s="111">
        <v>1</v>
      </c>
      <c r="C139" s="112" t="s">
        <v>661</v>
      </c>
      <c r="D139" s="112" t="s">
        <v>662</v>
      </c>
      <c r="E139" s="111" t="s">
        <v>444</v>
      </c>
      <c r="F139" s="113">
        <v>29000</v>
      </c>
      <c r="G139" s="102">
        <f>+ SUMIF('Nhập kho T42024'!B:B, C139,'Nhập kho T42024'!F:F)</f>
        <v>0</v>
      </c>
      <c r="H139" s="101">
        <f>+ SUMIF('Doanh thu'!A:A, C139,'Doanh thu'!E:E) + SUMIF('Doanh thu 2025'!B:B, C139,'Doanh thu 2025'!E:E)</f>
        <v>2</v>
      </c>
      <c r="I139" s="101">
        <f t="shared" si="20"/>
        <v>0</v>
      </c>
      <c r="J139" s="103">
        <f t="shared" si="0"/>
        <v>55000</v>
      </c>
      <c r="K139" s="104">
        <f>+ SUMIF('Doanh thu'!A:A, C139,'Doanh thu'!F:F)</f>
        <v>55000</v>
      </c>
      <c r="L139" s="93"/>
      <c r="M139" s="93"/>
      <c r="N139" s="93"/>
    </row>
    <row r="140" spans="1:14" ht="13.2">
      <c r="A140" s="372"/>
      <c r="B140" s="111">
        <v>1</v>
      </c>
      <c r="C140" s="112" t="s">
        <v>663</v>
      </c>
      <c r="D140" s="112" t="s">
        <v>664</v>
      </c>
      <c r="E140" s="111" t="s">
        <v>444</v>
      </c>
      <c r="F140" s="113">
        <v>10000</v>
      </c>
      <c r="G140" s="102">
        <f>+ SUMIF('Nhập kho T42024'!B:B, C140,'Nhập kho T42024'!F:F)</f>
        <v>0</v>
      </c>
      <c r="H140" s="101">
        <f>+ SUMIF('Doanh thu'!A:A, C140,'Doanh thu'!E:E) + SUMIF('Doanh thu 2025'!B:B, C140,'Doanh thu 2025'!E:E)</f>
        <v>0</v>
      </c>
      <c r="I140" s="101">
        <f>G140-H140</f>
        <v>0</v>
      </c>
      <c r="J140" s="103">
        <f t="shared" si="0"/>
        <v>0</v>
      </c>
      <c r="K140" s="104">
        <f>+ SUMIF('Doanh thu'!A:A, C140,'Doanh thu'!F:F)</f>
        <v>0</v>
      </c>
      <c r="L140" s="93"/>
      <c r="M140" s="93"/>
      <c r="N140" s="93"/>
    </row>
    <row r="141" spans="1:14" ht="13.2">
      <c r="A141" s="372"/>
      <c r="B141" s="111">
        <v>1</v>
      </c>
      <c r="C141" s="112" t="s">
        <v>665</v>
      </c>
      <c r="D141" s="112" t="s">
        <v>666</v>
      </c>
      <c r="E141" s="111" t="s">
        <v>444</v>
      </c>
      <c r="F141" s="113">
        <v>10000</v>
      </c>
      <c r="G141" s="102">
        <f>+ SUMIF('Nhập kho T42024'!B:B, C141,'Nhập kho T42024'!F:F)</f>
        <v>0</v>
      </c>
      <c r="H141" s="101">
        <f>+ SUMIF('Doanh thu'!A:A, C141,'Doanh thu'!E:E) + SUMIF('Doanh thu 2025'!B:B, C141,'Doanh thu 2025'!E:E)</f>
        <v>2</v>
      </c>
      <c r="I141" s="101">
        <f>G141-H141+2</f>
        <v>0</v>
      </c>
      <c r="J141" s="103">
        <f t="shared" si="0"/>
        <v>20000</v>
      </c>
      <c r="K141" s="104">
        <f>+ SUMIF('Doanh thu'!A:A, C141,'Doanh thu'!F:F)</f>
        <v>20000</v>
      </c>
      <c r="L141" s="93"/>
      <c r="M141" s="93"/>
      <c r="N141" s="93"/>
    </row>
    <row r="142" spans="1:14" ht="13.2">
      <c r="A142" s="372"/>
      <c r="B142" s="111">
        <v>1</v>
      </c>
      <c r="C142" s="112" t="s">
        <v>667</v>
      </c>
      <c r="D142" s="112" t="s">
        <v>668</v>
      </c>
      <c r="E142" s="111" t="s">
        <v>444</v>
      </c>
      <c r="F142" s="113">
        <v>11000</v>
      </c>
      <c r="G142" s="102">
        <f>+ SUMIF('Nhập kho T42024'!B:B, C142,'Nhập kho T42024'!F:F)</f>
        <v>0</v>
      </c>
      <c r="H142" s="101">
        <f>+ SUMIF('Doanh thu'!A:A, C142,'Doanh thu'!E:E) + SUMIF('Doanh thu 2025'!B:B, C142,'Doanh thu 2025'!E:E)</f>
        <v>1</v>
      </c>
      <c r="I142" s="101">
        <f t="shared" ref="I142:I144" si="21">G142-H142+1</f>
        <v>0</v>
      </c>
      <c r="J142" s="103">
        <f t="shared" si="0"/>
        <v>11000</v>
      </c>
      <c r="K142" s="104">
        <f>+ SUMIF('Doanh thu'!A:A, C142,'Doanh thu'!F:F)</f>
        <v>11000</v>
      </c>
      <c r="L142" s="93"/>
      <c r="M142" s="93"/>
      <c r="N142" s="93"/>
    </row>
    <row r="143" spans="1:14" ht="13.2">
      <c r="A143" s="372"/>
      <c r="B143" s="111">
        <v>1</v>
      </c>
      <c r="C143" s="112" t="s">
        <v>669</v>
      </c>
      <c r="D143" s="112" t="s">
        <v>670</v>
      </c>
      <c r="E143" s="111" t="s">
        <v>444</v>
      </c>
      <c r="F143" s="113">
        <v>13000</v>
      </c>
      <c r="G143" s="102">
        <f>+ SUMIF('Nhập kho T42024'!B:B, C143,'Nhập kho T42024'!F:F)</f>
        <v>0</v>
      </c>
      <c r="H143" s="101">
        <f>+ SUMIF('Doanh thu'!A:A, C143,'Doanh thu'!E:E) + SUMIF('Doanh thu 2025'!B:B, C143,'Doanh thu 2025'!E:E)</f>
        <v>1</v>
      </c>
      <c r="I143" s="101">
        <f t="shared" si="21"/>
        <v>0</v>
      </c>
      <c r="J143" s="103">
        <f t="shared" si="0"/>
        <v>13000</v>
      </c>
      <c r="K143" s="104">
        <f>+ SUMIF('Doanh thu'!A:A, C143,'Doanh thu'!F:F)</f>
        <v>13000</v>
      </c>
      <c r="L143" s="93"/>
      <c r="M143" s="93"/>
      <c r="N143" s="93"/>
    </row>
    <row r="144" spans="1:14" ht="13.2">
      <c r="A144" s="372"/>
      <c r="B144" s="111">
        <v>1</v>
      </c>
      <c r="C144" s="112" t="s">
        <v>671</v>
      </c>
      <c r="D144" s="112" t="s">
        <v>672</v>
      </c>
      <c r="E144" s="111" t="s">
        <v>444</v>
      </c>
      <c r="F144" s="113">
        <v>11000</v>
      </c>
      <c r="G144" s="102">
        <f>+ SUMIF('Nhập kho T42024'!B:B, C144,'Nhập kho T42024'!F:F)</f>
        <v>0</v>
      </c>
      <c r="H144" s="101">
        <f>+ SUMIF('Doanh thu'!A:A, C144,'Doanh thu'!E:E) + SUMIF('Doanh thu 2025'!B:B, C144,'Doanh thu 2025'!E:E)</f>
        <v>1</v>
      </c>
      <c r="I144" s="101">
        <f t="shared" si="21"/>
        <v>0</v>
      </c>
      <c r="J144" s="103">
        <f t="shared" si="0"/>
        <v>11000</v>
      </c>
      <c r="K144" s="104">
        <f>+ SUMIF('Doanh thu'!A:A, C144,'Doanh thu'!F:F)</f>
        <v>11000</v>
      </c>
      <c r="L144" s="93"/>
      <c r="M144" s="93"/>
      <c r="N144" s="93"/>
    </row>
    <row r="145" spans="1:14" ht="13.2">
      <c r="A145" s="372"/>
      <c r="B145" s="111">
        <v>1</v>
      </c>
      <c r="C145" s="112" t="s">
        <v>673</v>
      </c>
      <c r="D145" s="112" t="s">
        <v>674</v>
      </c>
      <c r="E145" s="111" t="s">
        <v>444</v>
      </c>
      <c r="F145" s="113">
        <v>12000</v>
      </c>
      <c r="G145" s="102">
        <f>+ SUMIF('Nhập kho T42024'!B:B, C145,'Nhập kho T42024'!F:F)</f>
        <v>0</v>
      </c>
      <c r="H145" s="101">
        <f>+ SUMIF('Doanh thu'!A:A, C145,'Doanh thu'!E:E) + SUMIF('Doanh thu 2025'!B:B, C145,'Doanh thu 2025'!E:E)</f>
        <v>3</v>
      </c>
      <c r="I145" s="101">
        <f>G145-H145+3</f>
        <v>0</v>
      </c>
      <c r="J145" s="103">
        <f t="shared" si="0"/>
        <v>36000</v>
      </c>
      <c r="K145" s="104">
        <f>+ SUMIF('Doanh thu'!A:A, C145,'Doanh thu'!F:F)</f>
        <v>36000</v>
      </c>
      <c r="L145" s="93"/>
      <c r="M145" s="93"/>
      <c r="N145" s="93"/>
    </row>
    <row r="146" spans="1:14" ht="13.2">
      <c r="A146" s="372"/>
      <c r="B146" s="111">
        <v>1</v>
      </c>
      <c r="C146" s="112" t="s">
        <v>675</v>
      </c>
      <c r="D146" s="112" t="s">
        <v>676</v>
      </c>
      <c r="E146" s="111" t="s">
        <v>444</v>
      </c>
      <c r="F146" s="113">
        <v>14000</v>
      </c>
      <c r="G146" s="102">
        <f>+ SUMIF('Nhập kho T42024'!B:B, C146,'Nhập kho T42024'!F:F)</f>
        <v>0</v>
      </c>
      <c r="H146" s="101">
        <f>+ SUMIF('Doanh thu'!A:A, C146,'Doanh thu'!E:E) + SUMIF('Doanh thu 2025'!B:B, C146,'Doanh thu 2025'!E:E)</f>
        <v>1</v>
      </c>
      <c r="I146" s="101">
        <f>G146-H146+2</f>
        <v>1</v>
      </c>
      <c r="J146" s="103">
        <f t="shared" si="0"/>
        <v>14000</v>
      </c>
      <c r="K146" s="104">
        <f>+ SUMIF('Doanh thu'!A:A, C146,'Doanh thu'!F:F)</f>
        <v>14000</v>
      </c>
      <c r="L146" s="93"/>
      <c r="M146" s="93"/>
      <c r="N146" s="93"/>
    </row>
    <row r="147" spans="1:14" ht="13.2">
      <c r="A147" s="372"/>
      <c r="B147" s="111">
        <v>1</v>
      </c>
      <c r="C147" s="112" t="s">
        <v>677</v>
      </c>
      <c r="D147" s="112" t="s">
        <v>678</v>
      </c>
      <c r="E147" s="111" t="s">
        <v>444</v>
      </c>
      <c r="F147" s="113">
        <v>10000</v>
      </c>
      <c r="G147" s="102">
        <f>+ SUMIF('Nhập kho T42024'!B:B, C147,'Nhập kho T42024'!F:F)</f>
        <v>0</v>
      </c>
      <c r="H147" s="101">
        <f>+ SUMIF('Doanh thu'!A:A, C147,'Doanh thu'!E:E) + SUMIF('Doanh thu 2025'!B:B, C147,'Doanh thu 2025'!E:E)</f>
        <v>0</v>
      </c>
      <c r="I147" s="101">
        <f t="shared" ref="I147:I153" si="22">G147-H147</f>
        <v>0</v>
      </c>
      <c r="J147" s="103">
        <f t="shared" si="0"/>
        <v>0</v>
      </c>
      <c r="K147" s="104">
        <f>+ SUMIF('Doanh thu'!A:A, C147,'Doanh thu'!F:F)</f>
        <v>0</v>
      </c>
      <c r="L147" s="93"/>
      <c r="M147" s="93"/>
      <c r="N147" s="93"/>
    </row>
    <row r="148" spans="1:14" ht="13.2">
      <c r="A148" s="372"/>
      <c r="B148" s="111">
        <v>1</v>
      </c>
      <c r="C148" s="112" t="s">
        <v>679</v>
      </c>
      <c r="D148" s="112" t="s">
        <v>680</v>
      </c>
      <c r="E148" s="111" t="s">
        <v>444</v>
      </c>
      <c r="F148" s="113">
        <v>10000</v>
      </c>
      <c r="G148" s="102">
        <f>+ SUMIF('Nhập kho T42024'!B:B, C148,'Nhập kho T42024'!F:F)</f>
        <v>0</v>
      </c>
      <c r="H148" s="101">
        <f>+ SUMIF('Doanh thu'!A:A, C148,'Doanh thu'!E:E) + SUMIF('Doanh thu 2025'!B:B, C148,'Doanh thu 2025'!E:E)</f>
        <v>0</v>
      </c>
      <c r="I148" s="101">
        <f t="shared" si="22"/>
        <v>0</v>
      </c>
      <c r="J148" s="103">
        <f t="shared" si="0"/>
        <v>0</v>
      </c>
      <c r="K148" s="104">
        <f>+ SUMIF('Doanh thu'!A:A, C148,'Doanh thu'!F:F)</f>
        <v>0</v>
      </c>
      <c r="L148" s="93"/>
      <c r="M148" s="93"/>
      <c r="N148" s="93"/>
    </row>
    <row r="149" spans="1:14" ht="13.2">
      <c r="A149" s="372"/>
      <c r="B149" s="111">
        <v>1</v>
      </c>
      <c r="C149" s="112" t="s">
        <v>681</v>
      </c>
      <c r="D149" s="112" t="s">
        <v>682</v>
      </c>
      <c r="E149" s="111" t="s">
        <v>444</v>
      </c>
      <c r="F149" s="113">
        <v>10000</v>
      </c>
      <c r="G149" s="102">
        <f>+ SUMIF('Nhập kho T42024'!B:B, C149,'Nhập kho T42024'!F:F)</f>
        <v>0</v>
      </c>
      <c r="H149" s="101">
        <f>+ SUMIF('Doanh thu'!A:A, C149,'Doanh thu'!E:E) + SUMIF('Doanh thu 2025'!B:B, C149,'Doanh thu 2025'!E:E)</f>
        <v>0</v>
      </c>
      <c r="I149" s="101">
        <f t="shared" si="22"/>
        <v>0</v>
      </c>
      <c r="J149" s="103">
        <f t="shared" si="0"/>
        <v>0</v>
      </c>
      <c r="K149" s="104">
        <f>+ SUMIF('Doanh thu'!A:A, C149,'Doanh thu'!F:F)</f>
        <v>0</v>
      </c>
      <c r="L149" s="93"/>
      <c r="M149" s="93"/>
      <c r="N149" s="93"/>
    </row>
    <row r="150" spans="1:14" ht="13.2">
      <c r="A150" s="372"/>
      <c r="B150" s="111">
        <v>1</v>
      </c>
      <c r="C150" s="112" t="s">
        <v>683</v>
      </c>
      <c r="D150" s="112" t="s">
        <v>684</v>
      </c>
      <c r="E150" s="111" t="s">
        <v>444</v>
      </c>
      <c r="F150" s="113">
        <v>10000</v>
      </c>
      <c r="G150" s="102">
        <f>+ SUMIF('Nhập kho T42024'!B:B, C150,'Nhập kho T42024'!F:F)</f>
        <v>0</v>
      </c>
      <c r="H150" s="101">
        <f>+ SUMIF('Doanh thu'!A:A, C150,'Doanh thu'!E:E) + SUMIF('Doanh thu 2025'!B:B, C150,'Doanh thu 2025'!E:E)</f>
        <v>0</v>
      </c>
      <c r="I150" s="101">
        <f t="shared" si="22"/>
        <v>0</v>
      </c>
      <c r="J150" s="103">
        <f t="shared" si="0"/>
        <v>0</v>
      </c>
      <c r="K150" s="104">
        <f>+ SUMIF('Doanh thu'!A:A, C150,'Doanh thu'!F:F)</f>
        <v>0</v>
      </c>
      <c r="L150" s="93"/>
      <c r="M150" s="93"/>
      <c r="N150" s="93"/>
    </row>
    <row r="151" spans="1:14" ht="13.2">
      <c r="A151" s="372"/>
      <c r="B151" s="111">
        <v>1</v>
      </c>
      <c r="C151" s="112" t="s">
        <v>685</v>
      </c>
      <c r="D151" s="112" t="s">
        <v>686</v>
      </c>
      <c r="E151" s="111" t="s">
        <v>444</v>
      </c>
      <c r="F151" s="113">
        <v>10000</v>
      </c>
      <c r="G151" s="102">
        <f>+ SUMIF('Nhập kho T42024'!B:B, C151,'Nhập kho T42024'!F:F)</f>
        <v>0</v>
      </c>
      <c r="H151" s="101">
        <f>+ SUMIF('Doanh thu'!A:A, C151,'Doanh thu'!E:E) + SUMIF('Doanh thu 2025'!B:B, C151,'Doanh thu 2025'!E:E)</f>
        <v>0</v>
      </c>
      <c r="I151" s="101">
        <f t="shared" si="22"/>
        <v>0</v>
      </c>
      <c r="J151" s="103">
        <f t="shared" si="0"/>
        <v>0</v>
      </c>
      <c r="K151" s="104">
        <f>+ SUMIF('Doanh thu'!A:A, C151,'Doanh thu'!F:F)</f>
        <v>0</v>
      </c>
      <c r="L151" s="93"/>
      <c r="M151" s="93"/>
      <c r="N151" s="93"/>
    </row>
    <row r="152" spans="1:14" ht="13.2">
      <c r="A152" s="372"/>
      <c r="B152" s="111">
        <v>1</v>
      </c>
      <c r="C152" s="112" t="s">
        <v>687</v>
      </c>
      <c r="D152" s="112" t="s">
        <v>688</v>
      </c>
      <c r="E152" s="111" t="s">
        <v>444</v>
      </c>
      <c r="F152" s="113">
        <v>10000</v>
      </c>
      <c r="G152" s="102">
        <f>+ SUMIF('Nhập kho T42024'!B:B, C152,'Nhập kho T42024'!F:F)</f>
        <v>0</v>
      </c>
      <c r="H152" s="101">
        <f>+ SUMIF('Doanh thu'!A:A, C152,'Doanh thu'!E:E) + SUMIF('Doanh thu 2025'!B:B, C152,'Doanh thu 2025'!E:E)</f>
        <v>0</v>
      </c>
      <c r="I152" s="101">
        <f t="shared" si="22"/>
        <v>0</v>
      </c>
      <c r="J152" s="103">
        <f t="shared" si="0"/>
        <v>0</v>
      </c>
      <c r="K152" s="104">
        <f>+ SUMIF('Doanh thu'!A:A, C152,'Doanh thu'!F:F)</f>
        <v>0</v>
      </c>
      <c r="L152" s="93"/>
      <c r="M152" s="93"/>
      <c r="N152" s="93"/>
    </row>
    <row r="153" spans="1:14" ht="13.2">
      <c r="A153" s="372"/>
      <c r="B153" s="111">
        <v>1</v>
      </c>
      <c r="C153" s="112" t="s">
        <v>689</v>
      </c>
      <c r="D153" s="112" t="s">
        <v>690</v>
      </c>
      <c r="E153" s="111" t="s">
        <v>444</v>
      </c>
      <c r="F153" s="113">
        <v>10000</v>
      </c>
      <c r="G153" s="102">
        <f>+ SUMIF('Nhập kho T42024'!B:B, C153,'Nhập kho T42024'!F:F)</f>
        <v>0</v>
      </c>
      <c r="H153" s="101">
        <f>+ SUMIF('Doanh thu'!A:A, C153,'Doanh thu'!E:E) + SUMIF('Doanh thu 2025'!B:B, C153,'Doanh thu 2025'!E:E)</f>
        <v>0</v>
      </c>
      <c r="I153" s="101">
        <f t="shared" si="22"/>
        <v>0</v>
      </c>
      <c r="J153" s="103">
        <f t="shared" si="0"/>
        <v>0</v>
      </c>
      <c r="K153" s="104">
        <f>+ SUMIF('Doanh thu'!A:A, C153,'Doanh thu'!F:F)</f>
        <v>0</v>
      </c>
      <c r="L153" s="93"/>
      <c r="M153" s="93"/>
      <c r="N153" s="93"/>
    </row>
    <row r="154" spans="1:14" ht="13.2">
      <c r="A154" s="372"/>
      <c r="B154" s="111">
        <v>1</v>
      </c>
      <c r="C154" s="112" t="s">
        <v>691</v>
      </c>
      <c r="D154" s="112" t="s">
        <v>692</v>
      </c>
      <c r="E154" s="111" t="s">
        <v>444</v>
      </c>
      <c r="F154" s="113">
        <v>14000</v>
      </c>
      <c r="G154" s="102">
        <f>+ SUMIF('Nhập kho T42024'!B:B, C154,'Nhập kho T42024'!F:F)</f>
        <v>0</v>
      </c>
      <c r="H154" s="101">
        <f>+ SUMIF('Doanh thu'!A:A, C154,'Doanh thu'!E:E) + SUMIF('Doanh thu 2025'!B:B, C154,'Doanh thu 2025'!E:E)</f>
        <v>0</v>
      </c>
      <c r="I154" s="101">
        <f>G154-H154+1</f>
        <v>1</v>
      </c>
      <c r="J154" s="103">
        <f t="shared" si="0"/>
        <v>0</v>
      </c>
      <c r="K154" s="104">
        <f>+ SUMIF('Doanh thu'!A:A, C154,'Doanh thu'!F:F)</f>
        <v>0</v>
      </c>
      <c r="L154" s="93"/>
      <c r="M154" s="93"/>
      <c r="N154" s="93"/>
    </row>
    <row r="155" spans="1:14" ht="13.2">
      <c r="A155" s="372"/>
      <c r="B155" s="111">
        <v>1</v>
      </c>
      <c r="C155" s="112" t="s">
        <v>693</v>
      </c>
      <c r="D155" s="112" t="s">
        <v>694</v>
      </c>
      <c r="E155" s="111" t="s">
        <v>444</v>
      </c>
      <c r="F155" s="113">
        <v>14000</v>
      </c>
      <c r="G155" s="102">
        <f>+ SUMIF('Nhập kho T42024'!B:B, C155,'Nhập kho T42024'!F:F)</f>
        <v>0</v>
      </c>
      <c r="H155" s="101">
        <f>+ SUMIF('Doanh thu'!A:A, C155,'Doanh thu'!E:E) + SUMIF('Doanh thu 2025'!B:B, C155,'Doanh thu 2025'!E:E)</f>
        <v>1</v>
      </c>
      <c r="I155" s="101">
        <f>G155-H155+2</f>
        <v>1</v>
      </c>
      <c r="J155" s="103">
        <f t="shared" si="0"/>
        <v>14000</v>
      </c>
      <c r="K155" s="104">
        <f>+ SUMIF('Doanh thu'!A:A, C155,'Doanh thu'!F:F)</f>
        <v>14000</v>
      </c>
      <c r="L155" s="93"/>
      <c r="M155" s="93"/>
      <c r="N155" s="93"/>
    </row>
    <row r="156" spans="1:14" ht="13.2">
      <c r="A156" s="372"/>
      <c r="B156" s="111">
        <v>1</v>
      </c>
      <c r="C156" s="112" t="s">
        <v>695</v>
      </c>
      <c r="D156" s="112" t="s">
        <v>696</v>
      </c>
      <c r="E156" s="111" t="s">
        <v>444</v>
      </c>
      <c r="F156" s="113">
        <v>29500</v>
      </c>
      <c r="G156" s="102">
        <f>+ SUMIF('Nhập kho T42024'!B:B, C156,'Nhập kho T42024'!F:F)</f>
        <v>0</v>
      </c>
      <c r="H156" s="101">
        <f>+ SUMIF('Doanh thu'!A:A, C156,'Doanh thu'!E:E) + SUMIF('Doanh thu 2025'!B:B, C156,'Doanh thu 2025'!E:E)</f>
        <v>1</v>
      </c>
      <c r="I156" s="101">
        <f t="shared" ref="I156:I159" si="23">G156-H156+1</f>
        <v>0</v>
      </c>
      <c r="J156" s="103">
        <f t="shared" si="0"/>
        <v>29500</v>
      </c>
      <c r="K156" s="104">
        <f>+ SUMIF('Doanh thu'!A:A, C156,'Doanh thu'!F:F)</f>
        <v>29500</v>
      </c>
      <c r="L156" s="93"/>
      <c r="M156" s="93"/>
      <c r="N156" s="93"/>
    </row>
    <row r="157" spans="1:14" ht="13.2">
      <c r="A157" s="372"/>
      <c r="B157" s="111">
        <v>1</v>
      </c>
      <c r="C157" s="112" t="s">
        <v>697</v>
      </c>
      <c r="D157" s="112" t="s">
        <v>698</v>
      </c>
      <c r="E157" s="111" t="s">
        <v>444</v>
      </c>
      <c r="F157" s="113">
        <v>29500</v>
      </c>
      <c r="G157" s="102">
        <f>+ SUMIF('Nhập kho T42024'!B:B, C157,'Nhập kho T42024'!F:F)</f>
        <v>0</v>
      </c>
      <c r="H157" s="101">
        <f>+ SUMIF('Doanh thu'!A:A, C157,'Doanh thu'!E:E) + SUMIF('Doanh thu 2025'!B:B, C157,'Doanh thu 2025'!E:E)</f>
        <v>1</v>
      </c>
      <c r="I157" s="101">
        <f t="shared" si="23"/>
        <v>0</v>
      </c>
      <c r="J157" s="103">
        <f t="shared" si="0"/>
        <v>29500</v>
      </c>
      <c r="K157" s="104">
        <f>+ SUMIF('Doanh thu'!A:A, C157,'Doanh thu'!F:F)</f>
        <v>29500</v>
      </c>
      <c r="L157" s="93"/>
      <c r="M157" s="93"/>
      <c r="N157" s="93"/>
    </row>
    <row r="158" spans="1:14" ht="13.2">
      <c r="A158" s="372"/>
      <c r="B158" s="111">
        <v>1</v>
      </c>
      <c r="C158" s="112" t="s">
        <v>699</v>
      </c>
      <c r="D158" s="112" t="s">
        <v>700</v>
      </c>
      <c r="E158" s="111" t="s">
        <v>444</v>
      </c>
      <c r="F158" s="113">
        <v>29500</v>
      </c>
      <c r="G158" s="102">
        <f>+ SUMIF('Nhập kho T42024'!B:B, C158,'Nhập kho T42024'!F:F)</f>
        <v>0</v>
      </c>
      <c r="H158" s="101">
        <f>+ SUMIF('Doanh thu'!A:A, C158,'Doanh thu'!E:E) + SUMIF('Doanh thu 2025'!B:B, C158,'Doanh thu 2025'!E:E)</f>
        <v>0</v>
      </c>
      <c r="I158" s="101">
        <f t="shared" si="23"/>
        <v>1</v>
      </c>
      <c r="J158" s="103">
        <f t="shared" si="0"/>
        <v>0</v>
      </c>
      <c r="K158" s="104">
        <f>+ SUMIF('Doanh thu'!A:A, C158,'Doanh thu'!F:F)</f>
        <v>0</v>
      </c>
      <c r="L158" s="93"/>
      <c r="M158" s="93"/>
      <c r="N158" s="93"/>
    </row>
    <row r="159" spans="1:14" ht="13.2">
      <c r="A159" s="372"/>
      <c r="B159" s="111">
        <v>1</v>
      </c>
      <c r="C159" s="112" t="s">
        <v>701</v>
      </c>
      <c r="D159" s="112" t="s">
        <v>702</v>
      </c>
      <c r="E159" s="111" t="s">
        <v>444</v>
      </c>
      <c r="F159" s="113">
        <v>12000</v>
      </c>
      <c r="G159" s="102">
        <f>+ SUMIF('Nhập kho T42024'!B:B, C159,'Nhập kho T42024'!F:F)</f>
        <v>0</v>
      </c>
      <c r="H159" s="101">
        <f>+ SUMIF('Doanh thu'!A:A, C159,'Doanh thu'!E:E) + SUMIF('Doanh thu 2025'!B:B, C159,'Doanh thu 2025'!E:E)</f>
        <v>1</v>
      </c>
      <c r="I159" s="101">
        <f t="shared" si="23"/>
        <v>0</v>
      </c>
      <c r="J159" s="103">
        <f t="shared" si="0"/>
        <v>12000</v>
      </c>
      <c r="K159" s="104">
        <f>+ SUMIF('Doanh thu'!A:A, C159,'Doanh thu'!F:F)</f>
        <v>12000</v>
      </c>
      <c r="L159" s="93"/>
      <c r="M159" s="93"/>
      <c r="N159" s="93"/>
    </row>
    <row r="160" spans="1:14" ht="13.2">
      <c r="A160" s="372"/>
      <c r="B160" s="111">
        <v>1</v>
      </c>
      <c r="C160" s="112" t="s">
        <v>703</v>
      </c>
      <c r="D160" s="112" t="s">
        <v>704</v>
      </c>
      <c r="E160" s="111" t="s">
        <v>444</v>
      </c>
      <c r="F160" s="113">
        <v>12000</v>
      </c>
      <c r="G160" s="102">
        <f>+ SUMIF('Nhập kho T42024'!B:B, C160,'Nhập kho T42024'!F:F)</f>
        <v>0</v>
      </c>
      <c r="H160" s="101">
        <f>+ SUMIF('Doanh thu'!A:A, C160,'Doanh thu'!E:E) + SUMIF('Doanh thu 2025'!B:B, C160,'Doanh thu 2025'!E:E)</f>
        <v>0</v>
      </c>
      <c r="I160" s="101">
        <f>G160-H160</f>
        <v>0</v>
      </c>
      <c r="J160" s="103">
        <f t="shared" si="0"/>
        <v>0</v>
      </c>
      <c r="K160" s="104">
        <f>+ SUMIF('Doanh thu'!A:A, C160,'Doanh thu'!F:F)</f>
        <v>0</v>
      </c>
      <c r="L160" s="93"/>
      <c r="M160" s="93"/>
      <c r="N160" s="93"/>
    </row>
    <row r="161" spans="1:14" ht="13.2">
      <c r="A161" s="372"/>
      <c r="B161" s="111">
        <v>1</v>
      </c>
      <c r="C161" s="112" t="s">
        <v>705</v>
      </c>
      <c r="D161" s="112" t="s">
        <v>706</v>
      </c>
      <c r="E161" s="111" t="s">
        <v>444</v>
      </c>
      <c r="F161" s="113">
        <v>12000</v>
      </c>
      <c r="G161" s="102">
        <f>+ SUMIF('Nhập kho T42024'!B:B, C161,'Nhập kho T42024'!F:F)</f>
        <v>0</v>
      </c>
      <c r="H161" s="101">
        <f>+ SUMIF('Doanh thu'!A:A, C161,'Doanh thu'!E:E) + SUMIF('Doanh thu 2025'!B:B, C161,'Doanh thu 2025'!E:E)</f>
        <v>1</v>
      </c>
      <c r="I161" s="101">
        <f>G161-H161+1</f>
        <v>0</v>
      </c>
      <c r="J161" s="103">
        <f t="shared" si="0"/>
        <v>12000</v>
      </c>
      <c r="K161" s="104">
        <f>+ SUMIF('Doanh thu'!A:A, C161,'Doanh thu'!F:F)</f>
        <v>12000</v>
      </c>
      <c r="L161" s="93"/>
      <c r="M161" s="93"/>
      <c r="N161" s="93"/>
    </row>
    <row r="162" spans="1:14" ht="13.2">
      <c r="A162" s="372"/>
      <c r="B162" s="111">
        <v>1</v>
      </c>
      <c r="C162" s="112" t="s">
        <v>707</v>
      </c>
      <c r="D162" s="112" t="s">
        <v>708</v>
      </c>
      <c r="E162" s="111" t="s">
        <v>444</v>
      </c>
      <c r="F162" s="113">
        <v>12000</v>
      </c>
      <c r="G162" s="102">
        <f>+ SUMIF('Nhập kho T42024'!B:B, C162,'Nhập kho T42024'!F:F)</f>
        <v>0</v>
      </c>
      <c r="H162" s="101">
        <f>+ SUMIF('Doanh thu'!A:A, C162,'Doanh thu'!E:E) + SUMIF('Doanh thu 2025'!B:B, C162,'Doanh thu 2025'!E:E)</f>
        <v>0</v>
      </c>
      <c r="I162" s="101">
        <f t="shared" ref="I162:I164" si="24">G162-H162</f>
        <v>0</v>
      </c>
      <c r="J162" s="103">
        <f t="shared" si="0"/>
        <v>0</v>
      </c>
      <c r="K162" s="104">
        <f>+ SUMIF('Doanh thu'!A:A, C162,'Doanh thu'!F:F)</f>
        <v>0</v>
      </c>
      <c r="L162" s="93"/>
      <c r="M162" s="93"/>
      <c r="N162" s="93"/>
    </row>
    <row r="163" spans="1:14" ht="13.2">
      <c r="A163" s="372"/>
      <c r="B163" s="111">
        <v>1</v>
      </c>
      <c r="C163" s="112" t="s">
        <v>709</v>
      </c>
      <c r="D163" s="112" t="s">
        <v>710</v>
      </c>
      <c r="E163" s="111" t="s">
        <v>444</v>
      </c>
      <c r="F163" s="113">
        <v>12000</v>
      </c>
      <c r="G163" s="102">
        <f>+ SUMIF('Nhập kho T42024'!B:B, C163,'Nhập kho T42024'!F:F)</f>
        <v>0</v>
      </c>
      <c r="H163" s="101">
        <f>+ SUMIF('Doanh thu'!A:A, C163,'Doanh thu'!E:E) + SUMIF('Doanh thu 2025'!B:B, C163,'Doanh thu 2025'!E:E)</f>
        <v>1</v>
      </c>
      <c r="I163" s="101">
        <f t="shared" si="24"/>
        <v>-1</v>
      </c>
      <c r="J163" s="103">
        <f t="shared" si="0"/>
        <v>12000</v>
      </c>
      <c r="K163" s="104">
        <f>+ SUMIF('Doanh thu'!A:A, C163,'Doanh thu'!F:F)</f>
        <v>12000</v>
      </c>
      <c r="L163" s="93"/>
      <c r="M163" s="93"/>
      <c r="N163" s="93"/>
    </row>
    <row r="164" spans="1:14" ht="13.2">
      <c r="A164" s="372"/>
      <c r="B164" s="111">
        <v>1</v>
      </c>
      <c r="C164" s="112" t="s">
        <v>711</v>
      </c>
      <c r="D164" s="112" t="s">
        <v>712</v>
      </c>
      <c r="E164" s="111" t="s">
        <v>444</v>
      </c>
      <c r="F164" s="113">
        <v>12000</v>
      </c>
      <c r="G164" s="102">
        <f>+ SUMIF('Nhập kho T42024'!B:B, C164,'Nhập kho T42024'!F:F)</f>
        <v>0</v>
      </c>
      <c r="H164" s="101">
        <f>+ SUMIF('Doanh thu'!A:A, C164,'Doanh thu'!E:E) + SUMIF('Doanh thu 2025'!B:B, C164,'Doanh thu 2025'!E:E)</f>
        <v>0</v>
      </c>
      <c r="I164" s="101">
        <f t="shared" si="24"/>
        <v>0</v>
      </c>
      <c r="J164" s="103">
        <f t="shared" si="0"/>
        <v>0</v>
      </c>
      <c r="K164" s="104">
        <f>+ SUMIF('Doanh thu'!A:A, C164,'Doanh thu'!F:F)</f>
        <v>0</v>
      </c>
      <c r="L164" s="93"/>
      <c r="M164" s="93"/>
      <c r="N164" s="93"/>
    </row>
    <row r="165" spans="1:14" ht="13.2">
      <c r="A165" s="372"/>
      <c r="B165" s="111">
        <v>1</v>
      </c>
      <c r="C165" s="112" t="s">
        <v>713</v>
      </c>
      <c r="D165" s="112" t="s">
        <v>714</v>
      </c>
      <c r="E165" s="111" t="s">
        <v>444</v>
      </c>
      <c r="F165" s="113">
        <v>12000</v>
      </c>
      <c r="G165" s="102">
        <f>+ SUMIF('Nhập kho T42024'!B:B, C165,'Nhập kho T42024'!F:F)</f>
        <v>0</v>
      </c>
      <c r="H165" s="101">
        <f>+ SUMIF('Doanh thu'!A:A, C165,'Doanh thu'!E:E) + SUMIF('Doanh thu 2025'!B:B, C165,'Doanh thu 2025'!E:E)</f>
        <v>1</v>
      </c>
      <c r="I165" s="101">
        <f>G165-H165+1</f>
        <v>0</v>
      </c>
      <c r="J165" s="103">
        <f t="shared" si="0"/>
        <v>12000</v>
      </c>
      <c r="K165" s="104">
        <f>+ SUMIF('Doanh thu'!A:A, C165,'Doanh thu'!F:F)</f>
        <v>12000</v>
      </c>
      <c r="L165" s="93"/>
      <c r="M165" s="93"/>
      <c r="N165" s="93"/>
    </row>
    <row r="166" spans="1:14" ht="13.2">
      <c r="A166" s="372"/>
      <c r="B166" s="111">
        <v>1</v>
      </c>
      <c r="C166" s="112" t="s">
        <v>715</v>
      </c>
      <c r="D166" s="112" t="s">
        <v>716</v>
      </c>
      <c r="E166" s="111" t="s">
        <v>444</v>
      </c>
      <c r="F166" s="113">
        <v>12000</v>
      </c>
      <c r="G166" s="102">
        <f>+ SUMIF('Nhập kho T42024'!B:B, C166,'Nhập kho T42024'!F:F)</f>
        <v>0</v>
      </c>
      <c r="H166" s="101">
        <f>+ SUMIF('Doanh thu'!A:A, C166,'Doanh thu'!E:E) + SUMIF('Doanh thu 2025'!B:B, C166,'Doanh thu 2025'!E:E)</f>
        <v>0</v>
      </c>
      <c r="I166" s="101">
        <f t="shared" ref="I166:I173" si="25">G166-H166</f>
        <v>0</v>
      </c>
      <c r="J166" s="103">
        <f t="shared" si="0"/>
        <v>0</v>
      </c>
      <c r="K166" s="104">
        <f>+ SUMIF('Doanh thu'!A:A, C166,'Doanh thu'!F:F)</f>
        <v>0</v>
      </c>
      <c r="L166" s="93"/>
      <c r="M166" s="93"/>
      <c r="N166" s="93"/>
    </row>
    <row r="167" spans="1:14" ht="13.2">
      <c r="A167" s="372"/>
      <c r="B167" s="111">
        <v>1</v>
      </c>
      <c r="C167" s="112" t="s">
        <v>717</v>
      </c>
      <c r="D167" s="112" t="s">
        <v>718</v>
      </c>
      <c r="E167" s="111" t="s">
        <v>444</v>
      </c>
      <c r="F167" s="113">
        <v>20000</v>
      </c>
      <c r="G167" s="102">
        <f>+ SUMIF('Nhập kho T42024'!B:B, C167,'Nhập kho T42024'!F:F)</f>
        <v>0</v>
      </c>
      <c r="H167" s="101">
        <f>+ SUMIF('Doanh thu'!A:A, C167,'Doanh thu'!E:E) + SUMIF('Doanh thu 2025'!B:B, C167,'Doanh thu 2025'!E:E)</f>
        <v>0</v>
      </c>
      <c r="I167" s="101">
        <f t="shared" si="25"/>
        <v>0</v>
      </c>
      <c r="J167" s="103">
        <f t="shared" si="0"/>
        <v>0</v>
      </c>
      <c r="K167" s="104">
        <f>+ SUMIF('Doanh thu'!A:A, C167,'Doanh thu'!F:F)</f>
        <v>0</v>
      </c>
      <c r="L167" s="93"/>
      <c r="M167" s="93"/>
      <c r="N167" s="93"/>
    </row>
    <row r="168" spans="1:14" ht="13.2">
      <c r="A168" s="372"/>
      <c r="B168" s="111">
        <v>1</v>
      </c>
      <c r="C168" s="112" t="s">
        <v>719</v>
      </c>
      <c r="D168" s="112" t="s">
        <v>718</v>
      </c>
      <c r="E168" s="111" t="s">
        <v>444</v>
      </c>
      <c r="F168" s="113">
        <v>22000</v>
      </c>
      <c r="G168" s="102">
        <f>+ SUMIF('Nhập kho T42024'!B:B, C168,'Nhập kho T42024'!F:F)</f>
        <v>50</v>
      </c>
      <c r="H168" s="101">
        <f>+ SUMIF('Doanh thu'!A:A, C168,'Doanh thu'!E:E) + SUMIF('Doanh thu 2025'!B:B, C168,'Doanh thu 2025'!E:E)</f>
        <v>39</v>
      </c>
      <c r="I168" s="101">
        <f t="shared" si="25"/>
        <v>11</v>
      </c>
      <c r="J168" s="103">
        <f t="shared" si="0"/>
        <v>858000</v>
      </c>
      <c r="K168" s="104">
        <f>+ SUMIF('Doanh thu'!A:A, C168,'Doanh thu'!F:F)</f>
        <v>858000</v>
      </c>
      <c r="L168" s="93"/>
      <c r="M168" s="93"/>
      <c r="N168" s="93"/>
    </row>
    <row r="169" spans="1:14" ht="13.2">
      <c r="A169" s="372"/>
      <c r="B169" s="111">
        <v>1</v>
      </c>
      <c r="C169" s="112" t="s">
        <v>720</v>
      </c>
      <c r="D169" s="112" t="s">
        <v>721</v>
      </c>
      <c r="E169" s="111" t="s">
        <v>444</v>
      </c>
      <c r="F169" s="113">
        <v>22000</v>
      </c>
      <c r="G169" s="102">
        <f>+ SUMIF('Nhập kho T42024'!B:B, C169,'Nhập kho T42024'!F:F)</f>
        <v>17</v>
      </c>
      <c r="H169" s="101">
        <f>+ SUMIF('Doanh thu'!A:A, C169,'Doanh thu'!E:E) + SUMIF('Doanh thu 2025'!B:B, C169,'Doanh thu 2025'!E:E)</f>
        <v>16</v>
      </c>
      <c r="I169" s="101">
        <f t="shared" si="25"/>
        <v>1</v>
      </c>
      <c r="J169" s="103">
        <f t="shared" si="0"/>
        <v>352000</v>
      </c>
      <c r="K169" s="104">
        <f>+ SUMIF('Doanh thu'!A:A, C169,'Doanh thu'!F:F)</f>
        <v>352000</v>
      </c>
      <c r="L169" s="93"/>
      <c r="M169" s="93"/>
      <c r="N169" s="93"/>
    </row>
    <row r="170" spans="1:14" ht="13.2">
      <c r="A170" s="372"/>
      <c r="B170" s="111">
        <v>1</v>
      </c>
      <c r="C170" s="112" t="s">
        <v>722</v>
      </c>
      <c r="D170" s="112" t="s">
        <v>723</v>
      </c>
      <c r="E170" s="111" t="s">
        <v>444</v>
      </c>
      <c r="F170" s="113">
        <v>22000</v>
      </c>
      <c r="G170" s="102">
        <f>+ SUMIF('Nhập kho T42024'!B:B, C170,'Nhập kho T42024'!F:F)</f>
        <v>5</v>
      </c>
      <c r="H170" s="101">
        <f>+ SUMIF('Doanh thu'!A:A, C170,'Doanh thu'!E:E) + SUMIF('Doanh thu 2025'!B:B, C170,'Doanh thu 2025'!E:E)</f>
        <v>0</v>
      </c>
      <c r="I170" s="101">
        <f t="shared" si="25"/>
        <v>5</v>
      </c>
      <c r="J170" s="103">
        <f t="shared" si="0"/>
        <v>0</v>
      </c>
      <c r="K170" s="104">
        <f>+ SUMIF('Doanh thu'!A:A, C170,'Doanh thu'!F:F)</f>
        <v>0</v>
      </c>
      <c r="L170" s="93"/>
      <c r="M170" s="93"/>
      <c r="N170" s="93"/>
    </row>
    <row r="171" spans="1:14" ht="13.2">
      <c r="A171" s="372"/>
      <c r="B171" s="111">
        <v>1</v>
      </c>
      <c r="C171" s="112" t="s">
        <v>724</v>
      </c>
      <c r="D171" s="112" t="s">
        <v>725</v>
      </c>
      <c r="E171" s="111" t="s">
        <v>444</v>
      </c>
      <c r="F171" s="113">
        <v>22000</v>
      </c>
      <c r="G171" s="102">
        <f>+ SUMIF('Nhập kho T42024'!B:B, C171,'Nhập kho T42024'!F:F)</f>
        <v>5</v>
      </c>
      <c r="H171" s="101">
        <f>+ SUMIF('Doanh thu'!A:A, C171,'Doanh thu'!E:E) + SUMIF('Doanh thu 2025'!B:B, C171,'Doanh thu 2025'!E:E)</f>
        <v>2</v>
      </c>
      <c r="I171" s="101">
        <f t="shared" si="25"/>
        <v>3</v>
      </c>
      <c r="J171" s="103">
        <f t="shared" si="0"/>
        <v>44000</v>
      </c>
      <c r="K171" s="104">
        <f>+ SUMIF('Doanh thu'!A:A, C171,'Doanh thu'!F:F)</f>
        <v>44000</v>
      </c>
      <c r="L171" s="93"/>
      <c r="M171" s="93"/>
      <c r="N171" s="93"/>
    </row>
    <row r="172" spans="1:14" ht="13.2">
      <c r="A172" s="372"/>
      <c r="B172" s="111">
        <v>1</v>
      </c>
      <c r="C172" s="112" t="s">
        <v>726</v>
      </c>
      <c r="D172" s="112" t="s">
        <v>727</v>
      </c>
      <c r="E172" s="111" t="s">
        <v>444</v>
      </c>
      <c r="F172" s="113">
        <v>22000</v>
      </c>
      <c r="G172" s="102">
        <f>+ SUMIF('Nhập kho T42024'!B:B, C172,'Nhập kho T42024'!F:F)</f>
        <v>5</v>
      </c>
      <c r="H172" s="101">
        <f>+ SUMIF('Doanh thu'!A:A, C172,'Doanh thu'!E:E) + SUMIF('Doanh thu 2025'!B:B, C172,'Doanh thu 2025'!E:E)</f>
        <v>2</v>
      </c>
      <c r="I172" s="101">
        <f t="shared" si="25"/>
        <v>3</v>
      </c>
      <c r="J172" s="103">
        <f t="shared" si="0"/>
        <v>44000</v>
      </c>
      <c r="K172" s="104">
        <f>+ SUMIF('Doanh thu'!A:A, C172,'Doanh thu'!F:F)</f>
        <v>44000</v>
      </c>
      <c r="L172" s="93"/>
      <c r="M172" s="93"/>
      <c r="N172" s="93"/>
    </row>
    <row r="173" spans="1:14" ht="13.2">
      <c r="A173" s="372"/>
      <c r="B173" s="111">
        <v>1</v>
      </c>
      <c r="C173" s="112" t="s">
        <v>728</v>
      </c>
      <c r="D173" s="112" t="s">
        <v>729</v>
      </c>
      <c r="E173" s="111" t="s">
        <v>444</v>
      </c>
      <c r="F173" s="113">
        <v>22000</v>
      </c>
      <c r="G173" s="102">
        <f>+ SUMIF('Nhập kho T42024'!B:B, C173,'Nhập kho T42024'!F:F)</f>
        <v>5</v>
      </c>
      <c r="H173" s="101">
        <f>+ SUMIF('Doanh thu'!A:A, C173,'Doanh thu'!E:E) + SUMIF('Doanh thu 2025'!B:B, C173,'Doanh thu 2025'!E:E)</f>
        <v>2</v>
      </c>
      <c r="I173" s="101">
        <f t="shared" si="25"/>
        <v>3</v>
      </c>
      <c r="J173" s="103">
        <f t="shared" si="0"/>
        <v>44000</v>
      </c>
      <c r="K173" s="104">
        <f>+ SUMIF('Doanh thu'!A:A, C173,'Doanh thu'!F:F)</f>
        <v>44000</v>
      </c>
      <c r="L173" s="93"/>
      <c r="M173" s="93"/>
      <c r="N173" s="93"/>
    </row>
    <row r="174" spans="1:14" ht="13.2">
      <c r="A174" s="372"/>
      <c r="B174" s="111">
        <v>1</v>
      </c>
      <c r="C174" s="112" t="s">
        <v>730</v>
      </c>
      <c r="D174" s="112" t="s">
        <v>731</v>
      </c>
      <c r="E174" s="111" t="s">
        <v>444</v>
      </c>
      <c r="F174" s="113">
        <v>22000</v>
      </c>
      <c r="G174" s="102">
        <f>+ SUMIF('Nhập kho T42024'!B:B, C174,'Nhập kho T42024'!F:F)</f>
        <v>1</v>
      </c>
      <c r="H174" s="101">
        <f>+ SUMIF('Doanh thu'!A:A, C174,'Doanh thu'!E:E) + SUMIF('Doanh thu 2025'!B:B, C174,'Doanh thu 2025'!E:E)</f>
        <v>0</v>
      </c>
      <c r="I174" s="101">
        <f>G174-H174-1</f>
        <v>0</v>
      </c>
      <c r="J174" s="103">
        <f t="shared" si="0"/>
        <v>0</v>
      </c>
      <c r="K174" s="104">
        <f>+ SUMIF('Doanh thu'!A:A, C174,'Doanh thu'!F:F)</f>
        <v>0</v>
      </c>
      <c r="L174" s="93"/>
      <c r="M174" s="93"/>
      <c r="N174" s="93"/>
    </row>
    <row r="175" spans="1:14" ht="13.2">
      <c r="A175" s="372"/>
      <c r="B175" s="111">
        <v>1</v>
      </c>
      <c r="C175" s="112" t="s">
        <v>732</v>
      </c>
      <c r="D175" s="112" t="s">
        <v>733</v>
      </c>
      <c r="E175" s="111" t="s">
        <v>444</v>
      </c>
      <c r="F175" s="113">
        <v>18500</v>
      </c>
      <c r="G175" s="102">
        <f>+ SUMIF('Nhập kho T42024'!B:B, C175,'Nhập kho T42024'!F:F)</f>
        <v>20</v>
      </c>
      <c r="H175" s="101">
        <f>+ SUMIF('Doanh thu'!A:A, C175,'Doanh thu'!E:E) + SUMIF('Doanh thu 2025'!B:B, C175,'Doanh thu 2025'!E:E)</f>
        <v>16</v>
      </c>
      <c r="I175" s="101">
        <f>G175-H175+11</f>
        <v>15</v>
      </c>
      <c r="J175" s="103">
        <f t="shared" si="0"/>
        <v>296000</v>
      </c>
      <c r="K175" s="104">
        <f>+ SUMIF('Doanh thu'!A:A, C175,'Doanh thu'!F:F)</f>
        <v>296000</v>
      </c>
      <c r="L175" s="93"/>
      <c r="M175" s="93"/>
      <c r="N175" s="93"/>
    </row>
    <row r="176" spans="1:14" ht="13.2">
      <c r="A176" s="372"/>
      <c r="B176" s="111">
        <v>1</v>
      </c>
      <c r="C176" s="112" t="s">
        <v>734</v>
      </c>
      <c r="D176" s="112" t="s">
        <v>735</v>
      </c>
      <c r="E176" s="111" t="s">
        <v>444</v>
      </c>
      <c r="F176" s="113">
        <v>18500</v>
      </c>
      <c r="G176" s="102">
        <f>+ SUMIF('Nhập kho T42024'!B:B, C176,'Nhập kho T42024'!F:F)</f>
        <v>20</v>
      </c>
      <c r="H176" s="101">
        <f>+ SUMIF('Doanh thu'!A:A, C176,'Doanh thu'!E:E) + SUMIF('Doanh thu 2025'!B:B, C176,'Doanh thu 2025'!E:E)</f>
        <v>34</v>
      </c>
      <c r="I176" s="101">
        <f>G176-H176+12</f>
        <v>-2</v>
      </c>
      <c r="J176" s="103">
        <f t="shared" si="0"/>
        <v>629000</v>
      </c>
      <c r="K176" s="104">
        <f>+ SUMIF('Doanh thu'!A:A, C176,'Doanh thu'!F:F)</f>
        <v>629000</v>
      </c>
      <c r="L176" s="93"/>
      <c r="M176" s="93"/>
      <c r="N176" s="93"/>
    </row>
    <row r="177" spans="1:14" ht="13.2">
      <c r="A177" s="372"/>
      <c r="B177" s="111">
        <v>1</v>
      </c>
      <c r="C177" s="112" t="s">
        <v>736</v>
      </c>
      <c r="D177" s="112" t="s">
        <v>737</v>
      </c>
      <c r="E177" s="111" t="s">
        <v>444</v>
      </c>
      <c r="F177" s="113">
        <v>18500</v>
      </c>
      <c r="G177" s="102">
        <f>+ SUMIF('Nhập kho T42024'!B:B, C177,'Nhập kho T42024'!F:F)</f>
        <v>20</v>
      </c>
      <c r="H177" s="101">
        <f>+ SUMIF('Doanh thu'!A:A, C177,'Doanh thu'!E:E) + SUMIF('Doanh thu 2025'!B:B, C177,'Doanh thu 2025'!E:E)</f>
        <v>28</v>
      </c>
      <c r="I177" s="101">
        <f>G177-H177+8</f>
        <v>0</v>
      </c>
      <c r="J177" s="103">
        <f t="shared" si="0"/>
        <v>499500</v>
      </c>
      <c r="K177" s="104">
        <f>+ SUMIF('Doanh thu'!A:A, C177,'Doanh thu'!F:F)</f>
        <v>499500</v>
      </c>
      <c r="L177" s="93"/>
      <c r="M177" s="93"/>
      <c r="N177" s="93"/>
    </row>
    <row r="178" spans="1:14" ht="13.2">
      <c r="A178" s="372"/>
      <c r="B178" s="111">
        <v>1</v>
      </c>
      <c r="C178" s="112" t="s">
        <v>738</v>
      </c>
      <c r="D178" s="112" t="s">
        <v>739</v>
      </c>
      <c r="E178" s="111" t="s">
        <v>444</v>
      </c>
      <c r="F178" s="113">
        <v>18500</v>
      </c>
      <c r="G178" s="102">
        <f>+ SUMIF('Nhập kho T42024'!B:B, C178,'Nhập kho T42024'!F:F)</f>
        <v>20</v>
      </c>
      <c r="H178" s="101">
        <f>+ SUMIF('Doanh thu'!A:A, C178,'Doanh thu'!E:E) + SUMIF('Doanh thu 2025'!B:B, C178,'Doanh thu 2025'!E:E)</f>
        <v>40</v>
      </c>
      <c r="I178" s="101">
        <f>G178-H178+18</f>
        <v>-2</v>
      </c>
      <c r="J178" s="103">
        <f t="shared" si="0"/>
        <v>740000</v>
      </c>
      <c r="K178" s="104">
        <f>+ SUMIF('Doanh thu'!A:A, C178,'Doanh thu'!F:F)</f>
        <v>740000</v>
      </c>
      <c r="L178" s="93"/>
      <c r="M178" s="93"/>
      <c r="N178" s="93"/>
    </row>
    <row r="179" spans="1:14" ht="13.2">
      <c r="A179" s="372"/>
      <c r="B179" s="111">
        <v>1</v>
      </c>
      <c r="C179" s="112" t="s">
        <v>740</v>
      </c>
      <c r="D179" s="112" t="s">
        <v>741</v>
      </c>
      <c r="E179" s="111" t="s">
        <v>444</v>
      </c>
      <c r="F179" s="113">
        <v>18500</v>
      </c>
      <c r="G179" s="102">
        <f>+ SUMIF('Nhập kho T42024'!B:B, C179,'Nhập kho T42024'!F:F)</f>
        <v>20</v>
      </c>
      <c r="H179" s="101">
        <f>+ SUMIF('Doanh thu'!A:A, C179,'Doanh thu'!E:E) + SUMIF('Doanh thu 2025'!B:B, C179,'Doanh thu 2025'!E:E)</f>
        <v>18</v>
      </c>
      <c r="I179" s="101">
        <f>G179-H179+9</f>
        <v>11</v>
      </c>
      <c r="J179" s="103">
        <f t="shared" si="0"/>
        <v>314500</v>
      </c>
      <c r="K179" s="104">
        <f>+ SUMIF('Doanh thu'!A:A, C179,'Doanh thu'!F:F)</f>
        <v>314500</v>
      </c>
      <c r="L179" s="93"/>
      <c r="M179" s="93"/>
      <c r="N179" s="93"/>
    </row>
    <row r="180" spans="1:14" ht="13.2">
      <c r="A180" s="372"/>
      <c r="B180" s="111">
        <v>1</v>
      </c>
      <c r="C180" s="112" t="s">
        <v>742</v>
      </c>
      <c r="D180" s="112" t="s">
        <v>743</v>
      </c>
      <c r="E180" s="111" t="s">
        <v>444</v>
      </c>
      <c r="F180" s="113">
        <v>18500</v>
      </c>
      <c r="G180" s="102">
        <f>+ SUMIF('Nhập kho T42024'!B:B, C180,'Nhập kho T42024'!F:F)</f>
        <v>20</v>
      </c>
      <c r="H180" s="101">
        <f>+ SUMIF('Doanh thu'!A:A, C180,'Doanh thu'!E:E) + SUMIF('Doanh thu 2025'!B:B, C180,'Doanh thu 2025'!E:E)</f>
        <v>28</v>
      </c>
      <c r="I180" s="101">
        <f>G180-H180+11</f>
        <v>3</v>
      </c>
      <c r="J180" s="103">
        <f t="shared" si="0"/>
        <v>518000</v>
      </c>
      <c r="K180" s="104">
        <f>+ SUMIF('Doanh thu'!A:A, C180,'Doanh thu'!F:F)</f>
        <v>518000</v>
      </c>
      <c r="L180" s="93"/>
      <c r="M180" s="93"/>
      <c r="N180" s="93"/>
    </row>
    <row r="181" spans="1:14" ht="13.2">
      <c r="A181" s="372"/>
      <c r="B181" s="111">
        <v>1</v>
      </c>
      <c r="C181" s="112" t="s">
        <v>744</v>
      </c>
      <c r="D181" s="112" t="s">
        <v>745</v>
      </c>
      <c r="E181" s="111" t="s">
        <v>444</v>
      </c>
      <c r="F181" s="113">
        <v>18500</v>
      </c>
      <c r="G181" s="102">
        <f>+ SUMIF('Nhập kho T42024'!B:B, C181,'Nhập kho T42024'!F:F)</f>
        <v>5</v>
      </c>
      <c r="H181" s="101">
        <f>+ SUMIF('Doanh thu'!A:A, C181,'Doanh thu'!E:E) + SUMIF('Doanh thu 2025'!B:B, C181,'Doanh thu 2025'!E:E)</f>
        <v>20</v>
      </c>
      <c r="I181" s="101">
        <f>G181-H181+17</f>
        <v>2</v>
      </c>
      <c r="J181" s="103">
        <f t="shared" si="0"/>
        <v>351500</v>
      </c>
      <c r="K181" s="104">
        <f>+ SUMIF('Doanh thu'!A:A, C181,'Doanh thu'!F:F)</f>
        <v>351500</v>
      </c>
      <c r="L181" s="93"/>
      <c r="M181" s="93"/>
      <c r="N181" s="93"/>
    </row>
    <row r="182" spans="1:14" ht="13.2">
      <c r="A182" s="372"/>
      <c r="B182" s="111">
        <v>1</v>
      </c>
      <c r="C182" s="112" t="s">
        <v>746</v>
      </c>
      <c r="D182" s="112" t="s">
        <v>747</v>
      </c>
      <c r="E182" s="111" t="s">
        <v>444</v>
      </c>
      <c r="F182" s="113">
        <v>18500</v>
      </c>
      <c r="G182" s="102">
        <f>+ SUMIF('Nhập kho T42024'!B:B, C182,'Nhập kho T42024'!F:F)</f>
        <v>0</v>
      </c>
      <c r="H182" s="101">
        <f>+ SUMIF('Doanh thu'!A:A, C182,'Doanh thu'!E:E) + SUMIF('Doanh thu 2025'!B:B, C182,'Doanh thu 2025'!E:E)</f>
        <v>0</v>
      </c>
      <c r="I182" s="101">
        <f>G182-H182</f>
        <v>0</v>
      </c>
      <c r="J182" s="103">
        <f t="shared" si="0"/>
        <v>0</v>
      </c>
      <c r="K182" s="104">
        <f>+ SUMIF('Doanh thu'!A:A, C182,'Doanh thu'!F:F)</f>
        <v>0</v>
      </c>
      <c r="L182" s="93"/>
      <c r="M182" s="93"/>
      <c r="N182" s="93"/>
    </row>
    <row r="183" spans="1:14" ht="13.2">
      <c r="A183" s="372"/>
      <c r="B183" s="111">
        <v>1</v>
      </c>
      <c r="C183" s="112" t="s">
        <v>748</v>
      </c>
      <c r="D183" s="112" t="s">
        <v>749</v>
      </c>
      <c r="E183" s="111" t="s">
        <v>444</v>
      </c>
      <c r="F183" s="113">
        <v>18500</v>
      </c>
      <c r="G183" s="102">
        <f>+ SUMIF('Nhập kho T42024'!B:B, C183,'Nhập kho T42024'!F:F)</f>
        <v>0</v>
      </c>
      <c r="H183" s="101">
        <f>+ SUMIF('Doanh thu'!A:A, C183,'Doanh thu'!E:E) + SUMIF('Doanh thu 2025'!B:B, C183,'Doanh thu 2025'!E:E)</f>
        <v>3</v>
      </c>
      <c r="I183" s="101">
        <f>G183-H183+3</f>
        <v>0</v>
      </c>
      <c r="J183" s="103">
        <f t="shared" si="0"/>
        <v>55500</v>
      </c>
      <c r="K183" s="104">
        <f>+ SUMIF('Doanh thu'!A:A, C183,'Doanh thu'!F:F)</f>
        <v>55500</v>
      </c>
      <c r="L183" s="93"/>
      <c r="M183" s="93"/>
      <c r="N183" s="93"/>
    </row>
    <row r="184" spans="1:14" ht="13.2">
      <c r="A184" s="372"/>
      <c r="B184" s="111">
        <v>1</v>
      </c>
      <c r="C184" s="112" t="s">
        <v>750</v>
      </c>
      <c r="D184" s="112" t="s">
        <v>751</v>
      </c>
      <c r="E184" s="111" t="s">
        <v>444</v>
      </c>
      <c r="F184" s="113">
        <v>19500</v>
      </c>
      <c r="G184" s="102">
        <f>+ SUMIF('Nhập kho T42024'!B:B, C184,'Nhập kho T42024'!F:F)</f>
        <v>0</v>
      </c>
      <c r="H184" s="101">
        <f>+ SUMIF('Doanh thu'!A:A, C184,'Doanh thu'!E:E) + SUMIF('Doanh thu 2025'!B:B, C184,'Doanh thu 2025'!E:E)</f>
        <v>0</v>
      </c>
      <c r="I184" s="101">
        <f>G184-H184+1</f>
        <v>1</v>
      </c>
      <c r="J184" s="103">
        <f t="shared" si="0"/>
        <v>0</v>
      </c>
      <c r="K184" s="104">
        <f>+ SUMIF('Doanh thu'!A:A, C184,'Doanh thu'!F:F)</f>
        <v>0</v>
      </c>
      <c r="L184" s="93"/>
      <c r="M184" s="93"/>
      <c r="N184" s="93"/>
    </row>
    <row r="185" spans="1:14" ht="13.2">
      <c r="A185" s="372"/>
      <c r="B185" s="111">
        <v>1</v>
      </c>
      <c r="C185" s="112" t="s">
        <v>752</v>
      </c>
      <c r="D185" s="112" t="s">
        <v>753</v>
      </c>
      <c r="E185" s="111" t="s">
        <v>444</v>
      </c>
      <c r="F185" s="113">
        <v>19500</v>
      </c>
      <c r="G185" s="102">
        <f>+ SUMIF('Nhập kho T42024'!B:B, C185,'Nhập kho T42024'!F:F)</f>
        <v>0</v>
      </c>
      <c r="H185" s="101">
        <f>+ SUMIF('Doanh thu'!A:A, C185,'Doanh thu'!E:E) + SUMIF('Doanh thu 2025'!B:B, C185,'Doanh thu 2025'!E:E)</f>
        <v>0</v>
      </c>
      <c r="I185" s="101">
        <f t="shared" ref="I185:I186" si="26">G185-H185</f>
        <v>0</v>
      </c>
      <c r="J185" s="103">
        <f t="shared" si="0"/>
        <v>0</v>
      </c>
      <c r="K185" s="104">
        <f>+ SUMIF('Doanh thu'!A:A, C185,'Doanh thu'!F:F)</f>
        <v>0</v>
      </c>
      <c r="L185" s="93"/>
      <c r="M185" s="93"/>
      <c r="N185" s="93"/>
    </row>
    <row r="186" spans="1:14" ht="13.2">
      <c r="A186" s="372"/>
      <c r="B186" s="111">
        <v>1</v>
      </c>
      <c r="C186" s="112" t="s">
        <v>754</v>
      </c>
      <c r="D186" s="112" t="s">
        <v>755</v>
      </c>
      <c r="E186" s="111" t="s">
        <v>444</v>
      </c>
      <c r="F186" s="113">
        <v>18500</v>
      </c>
      <c r="G186" s="102">
        <f>+ SUMIF('Nhập kho T42024'!B:B, C186,'Nhập kho T42024'!F:F)</f>
        <v>0</v>
      </c>
      <c r="H186" s="101">
        <f>+ SUMIF('Doanh thu'!A:A, C186,'Doanh thu'!E:E) + SUMIF('Doanh thu 2025'!B:B, C186,'Doanh thu 2025'!E:E)</f>
        <v>0</v>
      </c>
      <c r="I186" s="101">
        <f t="shared" si="26"/>
        <v>0</v>
      </c>
      <c r="J186" s="103">
        <f t="shared" si="0"/>
        <v>0</v>
      </c>
      <c r="K186" s="104">
        <f>+ SUMIF('Doanh thu'!A:A, C186,'Doanh thu'!F:F)</f>
        <v>0</v>
      </c>
      <c r="L186" s="93"/>
      <c r="M186" s="93"/>
      <c r="N186" s="93"/>
    </row>
    <row r="187" spans="1:14" ht="13.2">
      <c r="A187" s="372"/>
      <c r="B187" s="111">
        <v>1</v>
      </c>
      <c r="C187" s="112" t="s">
        <v>756</v>
      </c>
      <c r="D187" s="112" t="s">
        <v>757</v>
      </c>
      <c r="E187" s="111" t="s">
        <v>444</v>
      </c>
      <c r="F187" s="113">
        <v>14500</v>
      </c>
      <c r="G187" s="102">
        <f>+ SUMIF('Nhập kho T42024'!B:B, C187,'Nhập kho T42024'!F:F)</f>
        <v>0</v>
      </c>
      <c r="H187" s="101">
        <f>+ SUMIF('Doanh thu'!A:A, C187,'Doanh thu'!E:E) + SUMIF('Doanh thu 2025'!B:B, C187,'Doanh thu 2025'!E:E)</f>
        <v>1</v>
      </c>
      <c r="I187" s="101">
        <f>G187-H187+1</f>
        <v>0</v>
      </c>
      <c r="J187" s="103">
        <f t="shared" si="0"/>
        <v>14500</v>
      </c>
      <c r="K187" s="104">
        <f>+ SUMIF('Doanh thu'!A:A, C187,'Doanh thu'!F:F)</f>
        <v>14500</v>
      </c>
      <c r="L187" s="93"/>
      <c r="M187" s="93"/>
      <c r="N187" s="93"/>
    </row>
    <row r="188" spans="1:14" ht="13.2">
      <c r="A188" s="372"/>
      <c r="B188" s="111">
        <v>1</v>
      </c>
      <c r="C188" s="112" t="s">
        <v>758</v>
      </c>
      <c r="D188" s="112" t="s">
        <v>759</v>
      </c>
      <c r="E188" s="111" t="s">
        <v>444</v>
      </c>
      <c r="F188" s="113">
        <v>18500</v>
      </c>
      <c r="G188" s="102">
        <f>+ SUMIF('Nhập kho T42024'!B:B, C188,'Nhập kho T42024'!F:F)</f>
        <v>0</v>
      </c>
      <c r="H188" s="101">
        <f>+ SUMIF('Doanh thu'!A:A, C188,'Doanh thu'!E:E) + SUMIF('Doanh thu 2025'!B:B, C188,'Doanh thu 2025'!E:E)</f>
        <v>0</v>
      </c>
      <c r="I188" s="101">
        <f t="shared" ref="I188:I189" si="27">G188-H188</f>
        <v>0</v>
      </c>
      <c r="J188" s="103">
        <f t="shared" si="0"/>
        <v>0</v>
      </c>
      <c r="K188" s="104">
        <f>+ SUMIF('Doanh thu'!A:A, C188,'Doanh thu'!F:F)</f>
        <v>0</v>
      </c>
      <c r="L188" s="93"/>
      <c r="M188" s="93"/>
      <c r="N188" s="93"/>
    </row>
    <row r="189" spans="1:14" ht="13.2">
      <c r="A189" s="372"/>
      <c r="B189" s="111">
        <v>1</v>
      </c>
      <c r="C189" s="112" t="s">
        <v>760</v>
      </c>
      <c r="D189" s="112" t="s">
        <v>761</v>
      </c>
      <c r="E189" s="111" t="s">
        <v>444</v>
      </c>
      <c r="F189" s="113">
        <v>18500</v>
      </c>
      <c r="G189" s="102">
        <f>+ SUMIF('Nhập kho T42024'!B:B, C189,'Nhập kho T42024'!F:F)</f>
        <v>0</v>
      </c>
      <c r="H189" s="101">
        <f>+ SUMIF('Doanh thu'!A:A, C189,'Doanh thu'!E:E) + SUMIF('Doanh thu 2025'!B:B, C189,'Doanh thu 2025'!E:E)</f>
        <v>0</v>
      </c>
      <c r="I189" s="101">
        <f t="shared" si="27"/>
        <v>0</v>
      </c>
      <c r="J189" s="103">
        <f t="shared" si="0"/>
        <v>0</v>
      </c>
      <c r="K189" s="104">
        <f>+ SUMIF('Doanh thu'!A:A, C189,'Doanh thu'!F:F)</f>
        <v>0</v>
      </c>
      <c r="L189" s="93"/>
      <c r="M189" s="93"/>
      <c r="N189" s="93"/>
    </row>
    <row r="190" spans="1:14" ht="13.2">
      <c r="A190" s="372"/>
      <c r="B190" s="111">
        <v>1</v>
      </c>
      <c r="C190" s="112" t="s">
        <v>762</v>
      </c>
      <c r="D190" s="112" t="s">
        <v>763</v>
      </c>
      <c r="E190" s="111" t="s">
        <v>444</v>
      </c>
      <c r="F190" s="113">
        <v>14500</v>
      </c>
      <c r="G190" s="102">
        <f>+ SUMIF('Nhập kho T42024'!B:B, C190,'Nhập kho T42024'!F:F)</f>
        <v>0</v>
      </c>
      <c r="H190" s="101">
        <f>+ SUMIF('Doanh thu'!A:A, C190,'Doanh thu'!E:E) + SUMIF('Doanh thu 2025'!B:B, C190,'Doanh thu 2025'!E:E)</f>
        <v>1</v>
      </c>
      <c r="I190" s="101">
        <f>G190-H190+1</f>
        <v>0</v>
      </c>
      <c r="J190" s="103">
        <f t="shared" si="0"/>
        <v>14500</v>
      </c>
      <c r="K190" s="104">
        <f>+ SUMIF('Doanh thu'!A:A, C190,'Doanh thu'!F:F)</f>
        <v>14500</v>
      </c>
      <c r="L190" s="93"/>
      <c r="M190" s="93"/>
      <c r="N190" s="93"/>
    </row>
    <row r="191" spans="1:14" ht="13.2">
      <c r="A191" s="372"/>
      <c r="B191" s="111">
        <v>1</v>
      </c>
      <c r="C191" s="112" t="s">
        <v>764</v>
      </c>
      <c r="D191" s="112" t="s">
        <v>765</v>
      </c>
      <c r="E191" s="111" t="s">
        <v>444</v>
      </c>
      <c r="F191" s="113">
        <v>18500</v>
      </c>
      <c r="G191" s="102">
        <f>+ SUMIF('Nhập kho T42024'!B:B, C191,'Nhập kho T42024'!F:F)</f>
        <v>0</v>
      </c>
      <c r="H191" s="101">
        <f>+ SUMIF('Doanh thu'!A:A, C191,'Doanh thu'!E:E) + SUMIF('Doanh thu 2025'!B:B, C191,'Doanh thu 2025'!E:E)</f>
        <v>0</v>
      </c>
      <c r="I191" s="101">
        <f t="shared" ref="I191:I193" si="28">G191-H191</f>
        <v>0</v>
      </c>
      <c r="J191" s="103">
        <f t="shared" si="0"/>
        <v>0</v>
      </c>
      <c r="K191" s="104">
        <f>+ SUMIF('Doanh thu'!A:A, C191,'Doanh thu'!F:F)</f>
        <v>0</v>
      </c>
      <c r="L191" s="93"/>
      <c r="M191" s="93"/>
      <c r="N191" s="93"/>
    </row>
    <row r="192" spans="1:14" ht="13.2">
      <c r="A192" s="372"/>
      <c r="B192" s="111">
        <v>1</v>
      </c>
      <c r="C192" s="112" t="s">
        <v>766</v>
      </c>
      <c r="D192" s="112" t="s">
        <v>767</v>
      </c>
      <c r="E192" s="111" t="s">
        <v>444</v>
      </c>
      <c r="F192" s="113">
        <v>18500</v>
      </c>
      <c r="G192" s="102">
        <f>+ SUMIF('Nhập kho T42024'!B:B, C192,'Nhập kho T42024'!F:F)</f>
        <v>0</v>
      </c>
      <c r="H192" s="101">
        <f>+ SUMIF('Doanh thu'!A:A, C192,'Doanh thu'!E:E) + SUMIF('Doanh thu 2025'!B:B, C192,'Doanh thu 2025'!E:E)</f>
        <v>0</v>
      </c>
      <c r="I192" s="101">
        <f t="shared" si="28"/>
        <v>0</v>
      </c>
      <c r="J192" s="103">
        <f t="shared" si="0"/>
        <v>0</v>
      </c>
      <c r="K192" s="104">
        <f>+ SUMIF('Doanh thu'!A:A, C192,'Doanh thu'!F:F)</f>
        <v>0</v>
      </c>
      <c r="L192" s="93"/>
      <c r="M192" s="93"/>
      <c r="N192" s="93"/>
    </row>
    <row r="193" spans="1:14" ht="13.2">
      <c r="A193" s="372"/>
      <c r="B193" s="111">
        <v>1</v>
      </c>
      <c r="C193" s="112" t="s">
        <v>768</v>
      </c>
      <c r="D193" s="112" t="s">
        <v>769</v>
      </c>
      <c r="E193" s="111" t="s">
        <v>444</v>
      </c>
      <c r="F193" s="113">
        <v>14500</v>
      </c>
      <c r="G193" s="102">
        <f>+ SUMIF('Nhập kho T42024'!B:B, C193,'Nhập kho T42024'!F:F)</f>
        <v>0</v>
      </c>
      <c r="H193" s="101">
        <f>+ SUMIF('Doanh thu'!A:A, C193,'Doanh thu'!E:E) + SUMIF('Doanh thu 2025'!B:B, C193,'Doanh thu 2025'!E:E)</f>
        <v>0</v>
      </c>
      <c r="I193" s="101">
        <f t="shared" si="28"/>
        <v>0</v>
      </c>
      <c r="J193" s="103">
        <f t="shared" si="0"/>
        <v>0</v>
      </c>
      <c r="K193" s="104">
        <f>+ SUMIF('Doanh thu'!A:A, C193,'Doanh thu'!F:F)</f>
        <v>0</v>
      </c>
      <c r="L193" s="93"/>
      <c r="M193" s="93"/>
      <c r="N193" s="93"/>
    </row>
    <row r="194" spans="1:14" ht="13.2">
      <c r="A194" s="372"/>
      <c r="B194" s="111">
        <v>1</v>
      </c>
      <c r="C194" s="112" t="s">
        <v>770</v>
      </c>
      <c r="D194" s="112" t="s">
        <v>771</v>
      </c>
      <c r="E194" s="111" t="s">
        <v>444</v>
      </c>
      <c r="F194" s="113">
        <v>19500</v>
      </c>
      <c r="G194" s="102">
        <f>+ SUMIF('Nhập kho T42024'!B:B, C194,'Nhập kho T42024'!F:F)</f>
        <v>0</v>
      </c>
      <c r="H194" s="101">
        <f>+ SUMIF('Doanh thu'!A:A, C194,'Doanh thu'!E:E) + SUMIF('Doanh thu 2025'!B:B, C194,'Doanh thu 2025'!E:E)</f>
        <v>1</v>
      </c>
      <c r="I194" s="101">
        <f>G194-H194+2</f>
        <v>1</v>
      </c>
      <c r="J194" s="103">
        <f t="shared" si="0"/>
        <v>19500</v>
      </c>
      <c r="K194" s="104">
        <f>+ SUMIF('Doanh thu'!A:A, C194,'Doanh thu'!F:F)</f>
        <v>19500</v>
      </c>
      <c r="L194" s="93"/>
      <c r="M194" s="93"/>
      <c r="N194" s="93"/>
    </row>
    <row r="195" spans="1:14" ht="13.2">
      <c r="A195" s="372"/>
      <c r="B195" s="111">
        <v>1</v>
      </c>
      <c r="C195" s="112" t="s">
        <v>772</v>
      </c>
      <c r="D195" s="112" t="s">
        <v>773</v>
      </c>
      <c r="E195" s="111" t="s">
        <v>444</v>
      </c>
      <c r="F195" s="113">
        <v>19680</v>
      </c>
      <c r="G195" s="102">
        <f>+ SUMIF('Nhập kho T42024'!B:B, C195,'Nhập kho T42024'!F:F)</f>
        <v>0</v>
      </c>
      <c r="H195" s="101">
        <f>+ SUMIF('Doanh thu'!A:A, C195,'Doanh thu'!E:E) + SUMIF('Doanh thu 2025'!B:B, C195,'Doanh thu 2025'!E:E)</f>
        <v>1</v>
      </c>
      <c r="I195" s="101">
        <f t="shared" ref="I195:I198" si="29">G195-H195</f>
        <v>-1</v>
      </c>
      <c r="J195" s="103">
        <f t="shared" si="0"/>
        <v>19680</v>
      </c>
      <c r="K195" s="104">
        <f>+ SUMIF('Doanh thu'!A:A, C195,'Doanh thu'!F:F)</f>
        <v>19680</v>
      </c>
      <c r="L195" s="93"/>
      <c r="M195" s="93"/>
      <c r="N195" s="93"/>
    </row>
    <row r="196" spans="1:14" ht="13.2">
      <c r="A196" s="372"/>
      <c r="B196" s="111">
        <v>1</v>
      </c>
      <c r="C196" s="112" t="s">
        <v>774</v>
      </c>
      <c r="D196" s="112" t="s">
        <v>775</v>
      </c>
      <c r="E196" s="111" t="s">
        <v>444</v>
      </c>
      <c r="F196" s="113">
        <v>19680</v>
      </c>
      <c r="G196" s="102">
        <f>+ SUMIF('Nhập kho T42024'!B:B, C196,'Nhập kho T42024'!F:F)</f>
        <v>0</v>
      </c>
      <c r="H196" s="101">
        <f>+ SUMIF('Doanh thu'!A:A, C196,'Doanh thu'!E:E) + SUMIF('Doanh thu 2025'!B:B, C196,'Doanh thu 2025'!E:E)</f>
        <v>0</v>
      </c>
      <c r="I196" s="101">
        <f t="shared" si="29"/>
        <v>0</v>
      </c>
      <c r="J196" s="103">
        <f t="shared" si="0"/>
        <v>0</v>
      </c>
      <c r="K196" s="104">
        <f>+ SUMIF('Doanh thu'!A:A, C196,'Doanh thu'!F:F)</f>
        <v>0</v>
      </c>
      <c r="L196" s="93"/>
      <c r="M196" s="93"/>
      <c r="N196" s="93"/>
    </row>
    <row r="197" spans="1:14" ht="13.2">
      <c r="A197" s="372"/>
      <c r="B197" s="111">
        <v>1</v>
      </c>
      <c r="C197" s="112" t="s">
        <v>776</v>
      </c>
      <c r="D197" s="112" t="s">
        <v>777</v>
      </c>
      <c r="E197" s="111" t="s">
        <v>444</v>
      </c>
      <c r="F197" s="113">
        <v>19680</v>
      </c>
      <c r="G197" s="102">
        <f>+ SUMIF('Nhập kho T42024'!B:B, C197,'Nhập kho T42024'!F:F)</f>
        <v>0</v>
      </c>
      <c r="H197" s="101">
        <f>+ SUMIF('Doanh thu'!A:A, C197,'Doanh thu'!E:E) + SUMIF('Doanh thu 2025'!B:B, C197,'Doanh thu 2025'!E:E)</f>
        <v>0</v>
      </c>
      <c r="I197" s="101">
        <f t="shared" si="29"/>
        <v>0</v>
      </c>
      <c r="J197" s="103">
        <f t="shared" si="0"/>
        <v>0</v>
      </c>
      <c r="K197" s="104">
        <f>+ SUMIF('Doanh thu'!A:A, C197,'Doanh thu'!F:F)</f>
        <v>0</v>
      </c>
      <c r="L197" s="93"/>
      <c r="M197" s="93"/>
      <c r="N197" s="93"/>
    </row>
    <row r="198" spans="1:14" ht="13.2">
      <c r="A198" s="372"/>
      <c r="B198" s="111">
        <v>1</v>
      </c>
      <c r="C198" s="112" t="s">
        <v>778</v>
      </c>
      <c r="D198" s="112" t="s">
        <v>779</v>
      </c>
      <c r="E198" s="111" t="s">
        <v>444</v>
      </c>
      <c r="F198" s="113">
        <v>19680</v>
      </c>
      <c r="G198" s="102">
        <f>+ SUMIF('Nhập kho T42024'!B:B, C198,'Nhập kho T42024'!F:F)</f>
        <v>0</v>
      </c>
      <c r="H198" s="101">
        <f>+ SUMIF('Doanh thu'!A:A, C198,'Doanh thu'!E:E) + SUMIF('Doanh thu 2025'!B:B, C198,'Doanh thu 2025'!E:E)</f>
        <v>0</v>
      </c>
      <c r="I198" s="101">
        <f t="shared" si="29"/>
        <v>0</v>
      </c>
      <c r="J198" s="103">
        <f t="shared" si="0"/>
        <v>0</v>
      </c>
      <c r="K198" s="104">
        <f>+ SUMIF('Doanh thu'!A:A, C198,'Doanh thu'!F:F)</f>
        <v>0</v>
      </c>
      <c r="L198" s="93"/>
      <c r="M198" s="93"/>
      <c r="N198" s="93"/>
    </row>
    <row r="199" spans="1:14" ht="13.2">
      <c r="A199" s="372"/>
      <c r="B199" s="111">
        <v>1</v>
      </c>
      <c r="C199" s="112" t="s">
        <v>780</v>
      </c>
      <c r="D199" s="112" t="s">
        <v>781</v>
      </c>
      <c r="E199" s="111" t="s">
        <v>444</v>
      </c>
      <c r="F199" s="113">
        <v>19680</v>
      </c>
      <c r="G199" s="102">
        <f>+ SUMIF('Nhập kho T42024'!B:B, C199,'Nhập kho T42024'!F:F)</f>
        <v>0</v>
      </c>
      <c r="H199" s="101">
        <f>+ SUMIF('Doanh thu'!A:A, C199,'Doanh thu'!E:E) + SUMIF('Doanh thu 2025'!B:B, C199,'Doanh thu 2025'!E:E)</f>
        <v>0</v>
      </c>
      <c r="I199" s="101">
        <f t="shared" ref="I199:I200" si="30">G199-H199+11</f>
        <v>11</v>
      </c>
      <c r="J199" s="103">
        <f t="shared" si="0"/>
        <v>0</v>
      </c>
      <c r="K199" s="104">
        <f>+ SUMIF('Doanh thu'!A:A, C199,'Doanh thu'!F:F)</f>
        <v>0</v>
      </c>
      <c r="L199" s="93"/>
      <c r="M199" s="93"/>
      <c r="N199" s="93"/>
    </row>
    <row r="200" spans="1:14" ht="13.2">
      <c r="A200" s="372"/>
      <c r="B200" s="111">
        <v>1</v>
      </c>
      <c r="C200" s="112" t="s">
        <v>782</v>
      </c>
      <c r="D200" s="112" t="s">
        <v>783</v>
      </c>
      <c r="E200" s="111" t="s">
        <v>444</v>
      </c>
      <c r="F200" s="113">
        <v>19680</v>
      </c>
      <c r="G200" s="102">
        <f>+ SUMIF('Nhập kho T42024'!B:B, C200,'Nhập kho T42024'!F:F)</f>
        <v>0</v>
      </c>
      <c r="H200" s="101">
        <f>+ SUMIF('Doanh thu'!A:A, C200,'Doanh thu'!E:E) + SUMIF('Doanh thu 2025'!B:B, C200,'Doanh thu 2025'!E:E)</f>
        <v>2</v>
      </c>
      <c r="I200" s="101">
        <f t="shared" si="30"/>
        <v>9</v>
      </c>
      <c r="J200" s="103">
        <f t="shared" si="0"/>
        <v>37000</v>
      </c>
      <c r="K200" s="104">
        <f>+ SUMIF('Doanh thu'!A:A, C200,'Doanh thu'!F:F)</f>
        <v>37000</v>
      </c>
      <c r="L200" s="93"/>
      <c r="M200" s="93"/>
      <c r="N200" s="93"/>
    </row>
    <row r="201" spans="1:14" ht="13.2">
      <c r="A201" s="372"/>
      <c r="B201" s="111">
        <v>1</v>
      </c>
      <c r="C201" s="112" t="s">
        <v>784</v>
      </c>
      <c r="D201" s="112" t="s">
        <v>785</v>
      </c>
      <c r="E201" s="111" t="s">
        <v>444</v>
      </c>
      <c r="F201" s="113">
        <v>19680</v>
      </c>
      <c r="G201" s="102">
        <f>+ SUMIF('Nhập kho T42024'!B:B, C201,'Nhập kho T42024'!F:F)</f>
        <v>0</v>
      </c>
      <c r="H201" s="101">
        <f>+ SUMIF('Doanh thu'!A:A, C201,'Doanh thu'!E:E) + SUMIF('Doanh thu 2025'!B:B, C201,'Doanh thu 2025'!E:E)</f>
        <v>0</v>
      </c>
      <c r="I201" s="101">
        <f t="shared" ref="I201:I202" si="31">G201-H201</f>
        <v>0</v>
      </c>
      <c r="J201" s="103">
        <f t="shared" si="0"/>
        <v>0</v>
      </c>
      <c r="K201" s="104">
        <f>+ SUMIF('Doanh thu'!A:A, C201,'Doanh thu'!F:F)</f>
        <v>0</v>
      </c>
      <c r="L201" s="93"/>
      <c r="M201" s="93"/>
      <c r="N201" s="93"/>
    </row>
    <row r="202" spans="1:14" ht="13.2">
      <c r="A202" s="372"/>
      <c r="B202" s="111">
        <v>1</v>
      </c>
      <c r="C202" s="112" t="s">
        <v>786</v>
      </c>
      <c r="D202" s="112" t="s">
        <v>787</v>
      </c>
      <c r="E202" s="111" t="s">
        <v>444</v>
      </c>
      <c r="F202" s="113">
        <v>19680</v>
      </c>
      <c r="G202" s="102">
        <f>+ SUMIF('Nhập kho T42024'!B:B, C202,'Nhập kho T42024'!F:F)</f>
        <v>0</v>
      </c>
      <c r="H202" s="101">
        <f>+ SUMIF('Doanh thu'!A:A, C202,'Doanh thu'!E:E) + SUMIF('Doanh thu 2025'!B:B, C202,'Doanh thu 2025'!E:E)</f>
        <v>0</v>
      </c>
      <c r="I202" s="101">
        <f t="shared" si="31"/>
        <v>0</v>
      </c>
      <c r="J202" s="103">
        <f t="shared" si="0"/>
        <v>0</v>
      </c>
      <c r="K202" s="104">
        <f>+ SUMIF('Doanh thu'!A:A, C202,'Doanh thu'!F:F)</f>
        <v>0</v>
      </c>
      <c r="L202" s="93"/>
      <c r="M202" s="93"/>
      <c r="N202" s="93"/>
    </row>
    <row r="203" spans="1:14" ht="13.2">
      <c r="A203" s="372"/>
      <c r="B203" s="111">
        <v>1</v>
      </c>
      <c r="C203" s="112" t="s">
        <v>788</v>
      </c>
      <c r="D203" s="112" t="s">
        <v>789</v>
      </c>
      <c r="E203" s="111" t="s">
        <v>444</v>
      </c>
      <c r="F203" s="113">
        <v>40000</v>
      </c>
      <c r="G203" s="102">
        <f>+ SUMIF('Nhập kho T42024'!B:B, C203,'Nhập kho T42024'!F:F)</f>
        <v>90</v>
      </c>
      <c r="H203" s="101">
        <f>+ SUMIF('Doanh thu'!A:A, C203,'Doanh thu'!E:E) + SUMIF('Doanh thu 2025'!B:B, C203,'Doanh thu 2025'!E:E)</f>
        <v>93</v>
      </c>
      <c r="I203" s="101">
        <f>G203-H203+7</f>
        <v>4</v>
      </c>
      <c r="J203" s="103">
        <f t="shared" si="0"/>
        <v>3608000</v>
      </c>
      <c r="K203" s="104">
        <f>+ SUMIF('Doanh thu'!A:A, C203,'Doanh thu'!F:F)</f>
        <v>3608000</v>
      </c>
      <c r="L203" s="93"/>
      <c r="M203" s="93"/>
      <c r="N203" s="93"/>
    </row>
    <row r="204" spans="1:14" ht="13.2">
      <c r="A204" s="372"/>
      <c r="B204" s="111">
        <v>1</v>
      </c>
      <c r="C204" s="112" t="s">
        <v>790</v>
      </c>
      <c r="D204" s="112" t="s">
        <v>791</v>
      </c>
      <c r="E204" s="111" t="s">
        <v>444</v>
      </c>
      <c r="F204" s="113">
        <v>40000</v>
      </c>
      <c r="G204" s="102">
        <f>+ SUMIF('Nhập kho T42024'!B:B, C204,'Nhập kho T42024'!F:F)</f>
        <v>55</v>
      </c>
      <c r="H204" s="101">
        <f>+ SUMIF('Doanh thu'!A:A, C204,'Doanh thu'!E:E) + SUMIF('Doanh thu 2025'!B:B, C204,'Doanh thu 2025'!E:E)</f>
        <v>42</v>
      </c>
      <c r="I204" s="101">
        <f>G204-H204-8</f>
        <v>5</v>
      </c>
      <c r="J204" s="103">
        <f t="shared" si="0"/>
        <v>1680000</v>
      </c>
      <c r="K204" s="104">
        <f>+ SUMIF('Doanh thu'!A:A, C204,'Doanh thu'!F:F)</f>
        <v>1680000</v>
      </c>
      <c r="L204" s="93"/>
      <c r="M204" s="93"/>
      <c r="N204" s="93"/>
    </row>
    <row r="205" spans="1:14" ht="13.2">
      <c r="A205" s="372"/>
      <c r="B205" s="111">
        <v>1</v>
      </c>
      <c r="C205" s="112" t="s">
        <v>792</v>
      </c>
      <c r="D205" s="112" t="s">
        <v>793</v>
      </c>
      <c r="E205" s="111" t="s">
        <v>444</v>
      </c>
      <c r="F205" s="113">
        <v>38000</v>
      </c>
      <c r="G205" s="102">
        <f>+ SUMIF('Nhập kho T42024'!B:B, C205,'Nhập kho T42024'!F:F)</f>
        <v>55</v>
      </c>
      <c r="H205" s="101">
        <f>+ SUMIF('Doanh thu'!A:A, C205,'Doanh thu'!E:E) + SUMIF('Doanh thu 2025'!B:B, C205,'Doanh thu 2025'!E:E)</f>
        <v>69</v>
      </c>
      <c r="I205" s="101">
        <f>G205-H205+13</f>
        <v>-1</v>
      </c>
      <c r="J205" s="103">
        <f t="shared" si="0"/>
        <v>2622000</v>
      </c>
      <c r="K205" s="104">
        <f>+ SUMIF('Doanh thu'!A:A, C205,'Doanh thu'!F:F)</f>
        <v>2622000</v>
      </c>
      <c r="L205" s="93"/>
      <c r="M205" s="93"/>
      <c r="N205" s="93"/>
    </row>
    <row r="206" spans="1:14" ht="13.2">
      <c r="A206" s="372"/>
      <c r="B206" s="111">
        <v>1</v>
      </c>
      <c r="C206" s="112" t="s">
        <v>794</v>
      </c>
      <c r="D206" s="112" t="s">
        <v>795</v>
      </c>
      <c r="E206" s="111" t="s">
        <v>444</v>
      </c>
      <c r="F206" s="113">
        <v>40000</v>
      </c>
      <c r="G206" s="102">
        <f>+ SUMIF('Nhập kho T42024'!B:B, C206,'Nhập kho T42024'!F:F)</f>
        <v>67</v>
      </c>
      <c r="H206" s="101">
        <f>+ SUMIF('Doanh thu'!A:A, C206,'Doanh thu'!E:E) + SUMIF('Doanh thu 2025'!B:B, C206,'Doanh thu 2025'!E:E)</f>
        <v>70</v>
      </c>
      <c r="I206" s="101">
        <f>G206-H206+6</f>
        <v>3</v>
      </c>
      <c r="J206" s="103">
        <f t="shared" si="0"/>
        <v>2760000</v>
      </c>
      <c r="K206" s="104">
        <f>+ SUMIF('Doanh thu'!A:A, C206,'Doanh thu'!F:F)</f>
        <v>2760000</v>
      </c>
      <c r="L206" s="93"/>
      <c r="M206" s="93"/>
      <c r="N206" s="93"/>
    </row>
    <row r="207" spans="1:14" ht="13.2">
      <c r="A207" s="372"/>
      <c r="B207" s="111">
        <v>1</v>
      </c>
      <c r="C207" s="112" t="s">
        <v>796</v>
      </c>
      <c r="D207" s="112" t="s">
        <v>797</v>
      </c>
      <c r="E207" s="111" t="s">
        <v>444</v>
      </c>
      <c r="F207" s="113">
        <v>40000</v>
      </c>
      <c r="G207" s="102">
        <f>+ SUMIF('Nhập kho T42024'!B:B, C207,'Nhập kho T42024'!F:F)</f>
        <v>25</v>
      </c>
      <c r="H207" s="101">
        <f>+ SUMIF('Doanh thu'!A:A, C207,'Doanh thu'!E:E) + SUMIF('Doanh thu 2025'!B:B, C207,'Doanh thu 2025'!E:E)</f>
        <v>104</v>
      </c>
      <c r="I207" s="101">
        <f>G207-H207+80</f>
        <v>1</v>
      </c>
      <c r="J207" s="103">
        <f t="shared" si="0"/>
        <v>4010000</v>
      </c>
      <c r="K207" s="104">
        <f>+ SUMIF('Doanh thu'!A:A, C207,'Doanh thu'!F:F)</f>
        <v>4010000</v>
      </c>
      <c r="L207" s="93"/>
      <c r="M207" s="93"/>
      <c r="N207" s="93"/>
    </row>
    <row r="208" spans="1:14" ht="13.2">
      <c r="A208" s="372"/>
      <c r="B208" s="111">
        <v>1</v>
      </c>
      <c r="C208" s="112" t="s">
        <v>798</v>
      </c>
      <c r="D208" s="112" t="s">
        <v>799</v>
      </c>
      <c r="E208" s="111" t="s">
        <v>444</v>
      </c>
      <c r="F208" s="113">
        <v>40000</v>
      </c>
      <c r="G208" s="102">
        <f>+ SUMIF('Nhập kho T42024'!B:B, C208,'Nhập kho T42024'!F:F)</f>
        <v>60</v>
      </c>
      <c r="H208" s="101">
        <f>+ SUMIF('Doanh thu'!A:A, C208,'Doanh thu'!E:E) + SUMIF('Doanh thu 2025'!B:B, C208,'Doanh thu 2025'!E:E)</f>
        <v>62</v>
      </c>
      <c r="I208" s="101">
        <f>G208-H208-7</f>
        <v>-9</v>
      </c>
      <c r="J208" s="103">
        <f t="shared" si="0"/>
        <v>2480000</v>
      </c>
      <c r="K208" s="104">
        <f>+ SUMIF('Doanh thu'!A:A, C208,'Doanh thu'!F:F)</f>
        <v>2480000</v>
      </c>
      <c r="L208" s="93"/>
      <c r="M208" s="93"/>
      <c r="N208" s="93"/>
    </row>
    <row r="209" spans="1:14" ht="13.2">
      <c r="A209" s="372"/>
      <c r="B209" s="111">
        <v>1</v>
      </c>
      <c r="C209" s="112" t="s">
        <v>800</v>
      </c>
      <c r="D209" s="112" t="s">
        <v>801</v>
      </c>
      <c r="E209" s="111" t="s">
        <v>444</v>
      </c>
      <c r="F209" s="113">
        <v>38000</v>
      </c>
      <c r="G209" s="102">
        <f>+ SUMIF('Nhập kho T42024'!B:B, C209,'Nhập kho T42024'!F:F)</f>
        <v>17</v>
      </c>
      <c r="H209" s="101">
        <f>+ SUMIF('Doanh thu'!A:A, C209,'Doanh thu'!E:E) + SUMIF('Doanh thu 2025'!B:B, C209,'Doanh thu 2025'!E:E)</f>
        <v>29</v>
      </c>
      <c r="I209" s="101">
        <f>G209-H209+13</f>
        <v>1</v>
      </c>
      <c r="J209" s="103">
        <f t="shared" si="0"/>
        <v>1102000</v>
      </c>
      <c r="K209" s="104">
        <f>+ SUMIF('Doanh thu'!A:A, C209,'Doanh thu'!F:F)</f>
        <v>1102000</v>
      </c>
      <c r="L209" s="93"/>
      <c r="M209" s="93"/>
      <c r="N209" s="93"/>
    </row>
    <row r="210" spans="1:14" ht="13.2">
      <c r="A210" s="372"/>
      <c r="B210" s="111">
        <v>1</v>
      </c>
      <c r="C210" s="112" t="s">
        <v>802</v>
      </c>
      <c r="D210" s="112" t="s">
        <v>803</v>
      </c>
      <c r="E210" s="111" t="s">
        <v>444</v>
      </c>
      <c r="F210" s="113">
        <v>19000</v>
      </c>
      <c r="G210" s="102">
        <f>+ SUMIF('Nhập kho T42024'!B:B, C210,'Nhập kho T42024'!F:F)</f>
        <v>9</v>
      </c>
      <c r="H210" s="101">
        <f>+ SUMIF('Doanh thu'!A:A, C210,'Doanh thu'!E:E) + SUMIF('Doanh thu 2025'!B:B, C210,'Doanh thu 2025'!E:E)</f>
        <v>8</v>
      </c>
      <c r="I210" s="101">
        <f>G210-H210-6</f>
        <v>-5</v>
      </c>
      <c r="J210" s="103">
        <f t="shared" si="0"/>
        <v>152000</v>
      </c>
      <c r="K210" s="104">
        <f>+ SUMIF('Doanh thu'!A:A, C210,'Doanh thu'!F:F)</f>
        <v>152000</v>
      </c>
      <c r="L210" s="93"/>
      <c r="M210" s="93"/>
      <c r="N210" s="93"/>
    </row>
    <row r="211" spans="1:14" ht="13.2">
      <c r="A211" s="372"/>
      <c r="B211" s="111">
        <v>1</v>
      </c>
      <c r="C211" s="112" t="s">
        <v>804</v>
      </c>
      <c r="D211" s="112" t="s">
        <v>797</v>
      </c>
      <c r="E211" s="111" t="s">
        <v>444</v>
      </c>
      <c r="F211" s="113">
        <v>19000</v>
      </c>
      <c r="G211" s="102">
        <f>+ SUMIF('Nhập kho T42024'!B:B, C211,'Nhập kho T42024'!F:F)</f>
        <v>9</v>
      </c>
      <c r="H211" s="101">
        <f>+ SUMIF('Doanh thu'!A:A, C211,'Doanh thu'!E:E) + SUMIF('Doanh thu 2025'!B:B, C211,'Doanh thu 2025'!E:E)</f>
        <v>6</v>
      </c>
      <c r="I211" s="101">
        <f>G211-H211-5</f>
        <v>-2</v>
      </c>
      <c r="J211" s="103">
        <f t="shared" si="0"/>
        <v>110000</v>
      </c>
      <c r="K211" s="104">
        <f>+ SUMIF('Doanh thu'!A:A, C211,'Doanh thu'!F:F)</f>
        <v>110000</v>
      </c>
      <c r="L211" s="93"/>
      <c r="M211" s="93"/>
      <c r="N211" s="93"/>
    </row>
    <row r="212" spans="1:14" ht="13.2">
      <c r="A212" s="372"/>
      <c r="B212" s="111">
        <v>1</v>
      </c>
      <c r="C212" s="112" t="s">
        <v>805</v>
      </c>
      <c r="D212" s="112" t="s">
        <v>806</v>
      </c>
      <c r="E212" s="111" t="s">
        <v>444</v>
      </c>
      <c r="F212" s="113">
        <v>19000</v>
      </c>
      <c r="G212" s="102">
        <f>+ SUMIF('Nhập kho T42024'!B:B, C212,'Nhập kho T42024'!F:F)</f>
        <v>9</v>
      </c>
      <c r="H212" s="101">
        <f>+ SUMIF('Doanh thu'!A:A, C212,'Doanh thu'!E:E) + SUMIF('Doanh thu 2025'!B:B, C212,'Doanh thu 2025'!E:E)</f>
        <v>2</v>
      </c>
      <c r="I212" s="101">
        <f t="shared" ref="I212:I213" si="32">G212-H212-6</f>
        <v>1</v>
      </c>
      <c r="J212" s="103">
        <f t="shared" si="0"/>
        <v>38000</v>
      </c>
      <c r="K212" s="104">
        <f>+ SUMIF('Doanh thu'!A:A, C212,'Doanh thu'!F:F)</f>
        <v>38000</v>
      </c>
      <c r="L212" s="93"/>
      <c r="M212" s="93"/>
      <c r="N212" s="93"/>
    </row>
    <row r="213" spans="1:14" ht="13.2">
      <c r="A213" s="372"/>
      <c r="B213" s="111">
        <v>1</v>
      </c>
      <c r="C213" s="112" t="s">
        <v>807</v>
      </c>
      <c r="D213" s="112" t="s">
        <v>799</v>
      </c>
      <c r="E213" s="111" t="s">
        <v>444</v>
      </c>
      <c r="F213" s="113">
        <v>19000</v>
      </c>
      <c r="G213" s="102">
        <f>+ SUMIF('Nhập kho T42024'!B:B, C213,'Nhập kho T42024'!F:F)</f>
        <v>9</v>
      </c>
      <c r="H213" s="101">
        <f>+ SUMIF('Doanh thu'!A:A, C213,'Doanh thu'!E:E) + SUMIF('Doanh thu 2025'!B:B, C213,'Doanh thu 2025'!E:E)</f>
        <v>7</v>
      </c>
      <c r="I213" s="101">
        <f t="shared" si="32"/>
        <v>-4</v>
      </c>
      <c r="J213" s="103">
        <f t="shared" si="0"/>
        <v>133000</v>
      </c>
      <c r="K213" s="104">
        <f>+ SUMIF('Doanh thu'!A:A, C213,'Doanh thu'!F:F)</f>
        <v>133000</v>
      </c>
      <c r="L213" s="93"/>
      <c r="M213" s="93"/>
      <c r="N213" s="93"/>
    </row>
    <row r="214" spans="1:14" ht="13.2">
      <c r="A214" s="372"/>
      <c r="B214" s="111">
        <v>1</v>
      </c>
      <c r="C214" s="112" t="s">
        <v>808</v>
      </c>
      <c r="D214" s="112" t="s">
        <v>809</v>
      </c>
      <c r="E214" s="111" t="s">
        <v>444</v>
      </c>
      <c r="F214" s="113">
        <v>18000</v>
      </c>
      <c r="G214" s="102">
        <f>+ SUMIF('Nhập kho T42024'!B:B, C214,'Nhập kho T42024'!F:F)</f>
        <v>15</v>
      </c>
      <c r="H214" s="101">
        <f>+ SUMIF('Doanh thu'!A:A, C214,'Doanh thu'!E:E) + SUMIF('Doanh thu 2025'!B:B, C214,'Doanh thu 2025'!E:E)</f>
        <v>2</v>
      </c>
      <c r="I214" s="101">
        <f t="shared" ref="I214:I216" si="33">G214-H214-12</f>
        <v>1</v>
      </c>
      <c r="J214" s="103">
        <f t="shared" si="0"/>
        <v>36000</v>
      </c>
      <c r="K214" s="104">
        <f>+ SUMIF('Doanh thu'!A:A, C214,'Doanh thu'!F:F)</f>
        <v>36000</v>
      </c>
      <c r="L214" s="93"/>
      <c r="M214" s="93"/>
      <c r="N214" s="93"/>
    </row>
    <row r="215" spans="1:14" ht="13.2">
      <c r="A215" s="372"/>
      <c r="B215" s="111">
        <v>1</v>
      </c>
      <c r="C215" s="112" t="s">
        <v>810</v>
      </c>
      <c r="D215" s="112" t="s">
        <v>811</v>
      </c>
      <c r="E215" s="111" t="s">
        <v>444</v>
      </c>
      <c r="F215" s="113">
        <v>18000</v>
      </c>
      <c r="G215" s="102">
        <f>+ SUMIF('Nhập kho T42024'!B:B, C215,'Nhập kho T42024'!F:F)</f>
        <v>15</v>
      </c>
      <c r="H215" s="101">
        <f>+ SUMIF('Doanh thu'!A:A, C215,'Doanh thu'!E:E) + SUMIF('Doanh thu 2025'!B:B, C215,'Doanh thu 2025'!E:E)</f>
        <v>2</v>
      </c>
      <c r="I215" s="101">
        <f t="shared" si="33"/>
        <v>1</v>
      </c>
      <c r="J215" s="103">
        <f t="shared" si="0"/>
        <v>36000</v>
      </c>
      <c r="K215" s="104">
        <f>+ SUMIF('Doanh thu'!A:A, C215,'Doanh thu'!F:F)</f>
        <v>36000</v>
      </c>
      <c r="L215" s="93"/>
      <c r="M215" s="93"/>
      <c r="N215" s="93"/>
    </row>
    <row r="216" spans="1:14" ht="13.2">
      <c r="A216" s="372"/>
      <c r="B216" s="111">
        <v>1</v>
      </c>
      <c r="C216" s="112" t="s">
        <v>812</v>
      </c>
      <c r="D216" s="112" t="s">
        <v>797</v>
      </c>
      <c r="E216" s="111" t="s">
        <v>444</v>
      </c>
      <c r="F216" s="113">
        <v>18000</v>
      </c>
      <c r="G216" s="102">
        <f>+ SUMIF('Nhập kho T42024'!B:B, C216,'Nhập kho T42024'!F:F)</f>
        <v>15</v>
      </c>
      <c r="H216" s="101">
        <f>+ SUMIF('Doanh thu'!A:A, C216,'Doanh thu'!E:E) + SUMIF('Doanh thu 2025'!B:B, C216,'Doanh thu 2025'!E:E)</f>
        <v>5</v>
      </c>
      <c r="I216" s="101">
        <f t="shared" si="33"/>
        <v>-2</v>
      </c>
      <c r="J216" s="103">
        <f t="shared" si="0"/>
        <v>90000</v>
      </c>
      <c r="K216" s="104">
        <f>+ SUMIF('Doanh thu'!A:A, C216,'Doanh thu'!F:F)</f>
        <v>90000</v>
      </c>
      <c r="L216" s="93"/>
      <c r="M216" s="93"/>
      <c r="N216" s="93"/>
    </row>
    <row r="217" spans="1:14" ht="13.2">
      <c r="A217" s="372"/>
      <c r="B217" s="111">
        <v>1</v>
      </c>
      <c r="C217" s="112" t="s">
        <v>813</v>
      </c>
      <c r="D217" s="112" t="s">
        <v>814</v>
      </c>
      <c r="E217" s="111" t="s">
        <v>444</v>
      </c>
      <c r="F217" s="113">
        <v>18000</v>
      </c>
      <c r="G217" s="102">
        <f>+ SUMIF('Nhập kho T42024'!B:B, C217,'Nhập kho T42024'!F:F)</f>
        <v>15</v>
      </c>
      <c r="H217" s="101">
        <f>+ SUMIF('Doanh thu'!A:A, C217,'Doanh thu'!E:E) + SUMIF('Doanh thu 2025'!B:B, C217,'Doanh thu 2025'!E:E)</f>
        <v>4</v>
      </c>
      <c r="I217" s="101">
        <f>G217-H217-11</f>
        <v>0</v>
      </c>
      <c r="J217" s="103">
        <f t="shared" si="0"/>
        <v>69000</v>
      </c>
      <c r="K217" s="104">
        <f>+ SUMIF('Doanh thu'!A:A, C217,'Doanh thu'!F:F)</f>
        <v>69000</v>
      </c>
      <c r="L217" s="93"/>
      <c r="M217" s="93"/>
      <c r="N217" s="93"/>
    </row>
    <row r="218" spans="1:14" ht="13.2">
      <c r="A218" s="372"/>
      <c r="B218" s="111">
        <v>1</v>
      </c>
      <c r="C218" s="112" t="s">
        <v>815</v>
      </c>
      <c r="D218" s="112" t="s">
        <v>816</v>
      </c>
      <c r="E218" s="111" t="s">
        <v>444</v>
      </c>
      <c r="F218" s="113">
        <v>18000</v>
      </c>
      <c r="G218" s="102">
        <f>+ SUMIF('Nhập kho T42024'!B:B, C218,'Nhập kho T42024'!F:F)</f>
        <v>15</v>
      </c>
      <c r="H218" s="101">
        <f>+ SUMIF('Doanh thu'!A:A, C218,'Doanh thu'!E:E) + SUMIF('Doanh thu 2025'!B:B, C218,'Doanh thu 2025'!E:E)</f>
        <v>2</v>
      </c>
      <c r="I218" s="101">
        <f>G218-H218-12</f>
        <v>1</v>
      </c>
      <c r="J218" s="103">
        <f t="shared" si="0"/>
        <v>36000</v>
      </c>
      <c r="K218" s="104">
        <f>+ SUMIF('Doanh thu'!A:A, C218,'Doanh thu'!F:F)</f>
        <v>36000</v>
      </c>
      <c r="L218" s="93"/>
      <c r="M218" s="93"/>
      <c r="N218" s="93"/>
    </row>
    <row r="219" spans="1:14" ht="13.2">
      <c r="A219" s="372"/>
      <c r="B219" s="111">
        <v>1</v>
      </c>
      <c r="C219" s="112" t="s">
        <v>817</v>
      </c>
      <c r="D219" s="112" t="s">
        <v>818</v>
      </c>
      <c r="E219" s="111" t="s">
        <v>444</v>
      </c>
      <c r="F219" s="113">
        <v>52000</v>
      </c>
      <c r="G219" s="102">
        <f>+ SUMIF('Nhập kho T42024'!B:B, C219,'Nhập kho T42024'!F:F)</f>
        <v>56</v>
      </c>
      <c r="H219" s="101">
        <f>+ SUMIF('Doanh thu'!A:A, C219,'Doanh thu'!E:E) + SUMIF('Doanh thu 2025'!B:B, C219,'Doanh thu 2025'!E:E)</f>
        <v>50</v>
      </c>
      <c r="I219" s="101">
        <f>G219-H219-4</f>
        <v>2</v>
      </c>
      <c r="J219" s="103">
        <f t="shared" si="0"/>
        <v>2600000</v>
      </c>
      <c r="K219" s="104">
        <f>+ SUMIF('Doanh thu'!A:A, C219,'Doanh thu'!F:F)</f>
        <v>2600000</v>
      </c>
      <c r="L219" s="93"/>
      <c r="M219" s="93"/>
      <c r="N219" s="93"/>
    </row>
    <row r="220" spans="1:14" ht="13.2">
      <c r="A220" s="372"/>
      <c r="B220" s="111">
        <v>1</v>
      </c>
      <c r="C220" s="112" t="s">
        <v>819</v>
      </c>
      <c r="D220" s="112" t="s">
        <v>820</v>
      </c>
      <c r="E220" s="111" t="s">
        <v>444</v>
      </c>
      <c r="F220" s="113">
        <v>52000</v>
      </c>
      <c r="G220" s="102">
        <f>+ SUMIF('Nhập kho T42024'!B:B, C220,'Nhập kho T42024'!F:F)</f>
        <v>50</v>
      </c>
      <c r="H220" s="101">
        <f>+ SUMIF('Doanh thu'!A:A, C220,'Doanh thu'!E:E) + SUMIF('Doanh thu 2025'!B:B, C220,'Doanh thu 2025'!E:E)</f>
        <v>37</v>
      </c>
      <c r="I220" s="101">
        <f>G220-H220-6</f>
        <v>7</v>
      </c>
      <c r="J220" s="103">
        <f t="shared" si="0"/>
        <v>1924000</v>
      </c>
      <c r="K220" s="104">
        <f>+ SUMIF('Doanh thu'!A:A, C220,'Doanh thu'!F:F)</f>
        <v>1924000</v>
      </c>
      <c r="L220" s="93"/>
      <c r="M220" s="93"/>
      <c r="N220" s="93"/>
    </row>
    <row r="221" spans="1:14" ht="13.2">
      <c r="A221" s="372"/>
      <c r="B221" s="111">
        <v>1</v>
      </c>
      <c r="C221" s="112" t="s">
        <v>821</v>
      </c>
      <c r="D221" s="112" t="s">
        <v>822</v>
      </c>
      <c r="E221" s="111" t="s">
        <v>444</v>
      </c>
      <c r="F221" s="113">
        <v>52000</v>
      </c>
      <c r="G221" s="102">
        <f>+ SUMIF('Nhập kho T42024'!B:B, C221,'Nhập kho T42024'!F:F)</f>
        <v>25</v>
      </c>
      <c r="H221" s="101">
        <f>+ SUMIF('Doanh thu'!A:A, C221,'Doanh thu'!E:E) + SUMIF('Doanh thu 2025'!B:B, C221,'Doanh thu 2025'!E:E)</f>
        <v>27</v>
      </c>
      <c r="I221" s="101">
        <f>G221-H221+2</f>
        <v>0</v>
      </c>
      <c r="J221" s="103">
        <f t="shared" si="0"/>
        <v>1404000</v>
      </c>
      <c r="K221" s="104">
        <f>+ SUMIF('Doanh thu'!A:A, C221,'Doanh thu'!F:F)</f>
        <v>1404000</v>
      </c>
      <c r="L221" s="93"/>
      <c r="M221" s="93"/>
      <c r="N221" s="93"/>
    </row>
    <row r="222" spans="1:14" ht="13.2">
      <c r="A222" s="372"/>
      <c r="B222" s="111">
        <v>1</v>
      </c>
      <c r="C222" s="112" t="s">
        <v>823</v>
      </c>
      <c r="D222" s="112" t="s">
        <v>824</v>
      </c>
      <c r="E222" s="111" t="s">
        <v>444</v>
      </c>
      <c r="F222" s="113">
        <v>52000</v>
      </c>
      <c r="G222" s="102">
        <f>+ SUMIF('Nhập kho T42024'!B:B, C222,'Nhập kho T42024'!F:F)</f>
        <v>33</v>
      </c>
      <c r="H222" s="101">
        <f>+ SUMIF('Doanh thu'!A:A, C222,'Doanh thu'!E:E) + SUMIF('Doanh thu 2025'!B:B, C222,'Doanh thu 2025'!E:E)</f>
        <v>30</v>
      </c>
      <c r="I222" s="101">
        <f>G222-H222-4</f>
        <v>-1</v>
      </c>
      <c r="J222" s="103">
        <f t="shared" si="0"/>
        <v>1560000</v>
      </c>
      <c r="K222" s="104">
        <f>+ SUMIF('Doanh thu'!A:A, C222,'Doanh thu'!F:F)</f>
        <v>1560000</v>
      </c>
      <c r="L222" s="93"/>
      <c r="M222" s="93"/>
      <c r="N222" s="93"/>
    </row>
    <row r="223" spans="1:14" ht="13.2">
      <c r="A223" s="372"/>
      <c r="B223" s="111">
        <v>1</v>
      </c>
      <c r="C223" s="112" t="s">
        <v>825</v>
      </c>
      <c r="D223" s="112" t="s">
        <v>826</v>
      </c>
      <c r="E223" s="111" t="s">
        <v>444</v>
      </c>
      <c r="F223" s="113">
        <v>52000</v>
      </c>
      <c r="G223" s="102">
        <f>+ SUMIF('Nhập kho T42024'!B:B, C223,'Nhập kho T42024'!F:F)</f>
        <v>25</v>
      </c>
      <c r="H223" s="101">
        <f>+ SUMIF('Doanh thu'!A:A, C223,'Doanh thu'!E:E) + SUMIF('Doanh thu 2025'!B:B, C223,'Doanh thu 2025'!E:E)</f>
        <v>23</v>
      </c>
      <c r="I223" s="101">
        <f>G223-H223-3</f>
        <v>-1</v>
      </c>
      <c r="J223" s="103">
        <f t="shared" si="0"/>
        <v>1196000</v>
      </c>
      <c r="K223" s="104">
        <f>+ SUMIF('Doanh thu'!A:A, C223,'Doanh thu'!F:F)</f>
        <v>1196000</v>
      </c>
      <c r="L223" s="93"/>
      <c r="M223" s="93"/>
      <c r="N223" s="93"/>
    </row>
    <row r="224" spans="1:14" ht="13.2">
      <c r="A224" s="372"/>
      <c r="B224" s="111">
        <v>1</v>
      </c>
      <c r="C224" s="112" t="s">
        <v>827</v>
      </c>
      <c r="D224" s="112" t="s">
        <v>828</v>
      </c>
      <c r="E224" s="111" t="s">
        <v>444</v>
      </c>
      <c r="F224" s="113">
        <v>52000</v>
      </c>
      <c r="G224" s="102">
        <f>+ SUMIF('Nhập kho T42024'!B:B, C224,'Nhập kho T42024'!F:F)</f>
        <v>60</v>
      </c>
      <c r="H224" s="101">
        <f>+ SUMIF('Doanh thu'!A:A, C224,'Doanh thu'!E:E) + SUMIF('Doanh thu 2025'!B:B, C224,'Doanh thu 2025'!E:E)</f>
        <v>15</v>
      </c>
      <c r="I224" s="101">
        <f>G224-H224-51+1</f>
        <v>-5</v>
      </c>
      <c r="J224" s="103">
        <f t="shared" si="0"/>
        <v>780000</v>
      </c>
      <c r="K224" s="104">
        <f>+ SUMIF('Doanh thu'!A:A, C224,'Doanh thu'!F:F)</f>
        <v>780000</v>
      </c>
      <c r="L224" s="93"/>
      <c r="M224" s="93"/>
      <c r="N224" s="93"/>
    </row>
    <row r="225" spans="1:14" ht="13.2">
      <c r="A225" s="372"/>
      <c r="B225" s="111">
        <v>1</v>
      </c>
      <c r="C225" s="112" t="s">
        <v>829</v>
      </c>
      <c r="D225" s="112" t="s">
        <v>799</v>
      </c>
      <c r="E225" s="111" t="s">
        <v>444</v>
      </c>
      <c r="F225" s="113">
        <v>52000</v>
      </c>
      <c r="G225" s="102">
        <f>+ SUMIF('Nhập kho T42024'!B:B, C225,'Nhập kho T42024'!F:F)</f>
        <v>10</v>
      </c>
      <c r="H225" s="101">
        <f>+ SUMIF('Doanh thu'!A:A, C225,'Doanh thu'!E:E) + SUMIF('Doanh thu 2025'!B:B, C225,'Doanh thu 2025'!E:E)</f>
        <v>11</v>
      </c>
      <c r="I225" s="101">
        <f>G225-H225-1</f>
        <v>-2</v>
      </c>
      <c r="J225" s="103">
        <f t="shared" si="0"/>
        <v>572000</v>
      </c>
      <c r="K225" s="104">
        <f>+ SUMIF('Doanh thu'!A:A, C225,'Doanh thu'!F:F)</f>
        <v>572000</v>
      </c>
      <c r="L225" s="93"/>
      <c r="M225" s="93"/>
      <c r="N225" s="93"/>
    </row>
    <row r="226" spans="1:14" ht="13.2">
      <c r="A226" s="372"/>
      <c r="B226" s="111"/>
      <c r="C226" s="112" t="s">
        <v>830</v>
      </c>
      <c r="D226" s="112" t="s">
        <v>831</v>
      </c>
      <c r="E226" s="111" t="s">
        <v>444</v>
      </c>
      <c r="F226" s="113">
        <v>18000</v>
      </c>
      <c r="G226" s="102">
        <f>+ SUMIF('Nhập kho T42024'!B:B, C226,'Nhập kho T42024'!F:F)</f>
        <v>14</v>
      </c>
      <c r="H226" s="101">
        <f>+ SUMIF('Doanh thu'!A:A, C226,'Doanh thu'!E:E) + SUMIF('Doanh thu 2025'!B:B, C226,'Doanh thu 2025'!E:E)</f>
        <v>5</v>
      </c>
      <c r="I226" s="101">
        <f t="shared" ref="I226:I229" si="34">G226-H226</f>
        <v>9</v>
      </c>
      <c r="J226" s="103">
        <f t="shared" si="0"/>
        <v>90000</v>
      </c>
      <c r="K226" s="104">
        <f>+ SUMIF('Doanh thu'!A:A, C226,'Doanh thu'!F:F)</f>
        <v>90000</v>
      </c>
      <c r="L226" s="93"/>
      <c r="M226" s="93"/>
      <c r="N226" s="93"/>
    </row>
    <row r="227" spans="1:14" ht="13.2">
      <c r="A227" s="372"/>
      <c r="B227" s="111"/>
      <c r="C227" s="112" t="s">
        <v>832</v>
      </c>
      <c r="D227" s="112" t="s">
        <v>833</v>
      </c>
      <c r="E227" s="111" t="s">
        <v>444</v>
      </c>
      <c r="F227" s="113">
        <v>18000</v>
      </c>
      <c r="G227" s="102">
        <f>+ SUMIF('Nhập kho T42024'!B:B, C227,'Nhập kho T42024'!F:F)</f>
        <v>14</v>
      </c>
      <c r="H227" s="101">
        <f>+ SUMIF('Doanh thu'!A:A, C227,'Doanh thu'!E:E) + SUMIF('Doanh thu 2025'!B:B, C227,'Doanh thu 2025'!E:E)</f>
        <v>6</v>
      </c>
      <c r="I227" s="101">
        <f t="shared" si="34"/>
        <v>8</v>
      </c>
      <c r="J227" s="103">
        <f t="shared" si="0"/>
        <v>108000</v>
      </c>
      <c r="K227" s="104">
        <f>+ SUMIF('Doanh thu'!A:A, C227,'Doanh thu'!F:F)</f>
        <v>108000</v>
      </c>
      <c r="L227" s="93"/>
      <c r="M227" s="93"/>
      <c r="N227" s="93"/>
    </row>
    <row r="228" spans="1:14" ht="13.2">
      <c r="A228" s="372"/>
      <c r="B228" s="111"/>
      <c r="C228" s="112" t="s">
        <v>834</v>
      </c>
      <c r="D228" s="118" t="s">
        <v>835</v>
      </c>
      <c r="E228" s="111" t="s">
        <v>444</v>
      </c>
      <c r="F228" s="113">
        <v>18000</v>
      </c>
      <c r="G228" s="102">
        <f>+ SUMIF('Nhập kho T42024'!B:B, C228,'Nhập kho T42024'!F:F)</f>
        <v>14</v>
      </c>
      <c r="H228" s="101">
        <f>+ SUMIF('Doanh thu'!A:A, C228,'Doanh thu'!E:E) + SUMIF('Doanh thu 2025'!B:B, C228,'Doanh thu 2025'!E:E)</f>
        <v>8</v>
      </c>
      <c r="I228" s="101">
        <f t="shared" si="34"/>
        <v>6</v>
      </c>
      <c r="J228" s="103">
        <f t="shared" si="0"/>
        <v>144000</v>
      </c>
      <c r="K228" s="104">
        <f>+ SUMIF('Doanh thu'!A:A, C228,'Doanh thu'!F:F)</f>
        <v>144000</v>
      </c>
      <c r="L228" s="93"/>
      <c r="M228" s="93"/>
      <c r="N228" s="93"/>
    </row>
    <row r="229" spans="1:14" ht="13.2">
      <c r="A229" s="373"/>
      <c r="B229" s="111"/>
      <c r="C229" s="112" t="s">
        <v>836</v>
      </c>
      <c r="D229" s="118" t="s">
        <v>837</v>
      </c>
      <c r="E229" s="111" t="s">
        <v>444</v>
      </c>
      <c r="F229" s="113">
        <v>18000</v>
      </c>
      <c r="G229" s="102">
        <f>+ SUMIF('Nhập kho T42024'!B:B, C229,'Nhập kho T42024'!F:F)</f>
        <v>12</v>
      </c>
      <c r="H229" s="101">
        <f>+ SUMIF('Doanh thu'!A:A, C229,'Doanh thu'!E:E) + SUMIF('Doanh thu 2025'!B:B, C229,'Doanh thu 2025'!E:E)</f>
        <v>4</v>
      </c>
      <c r="I229" s="101">
        <f t="shared" si="34"/>
        <v>8</v>
      </c>
      <c r="J229" s="103">
        <f t="shared" si="0"/>
        <v>72000</v>
      </c>
      <c r="K229" s="104">
        <f>+ SUMIF('Doanh thu'!A:A, C229,'Doanh thu'!F:F)</f>
        <v>72000</v>
      </c>
      <c r="L229" s="93"/>
      <c r="M229" s="93"/>
      <c r="N229" s="93"/>
    </row>
    <row r="230" spans="1:14" ht="13.2">
      <c r="A230" s="391" t="s">
        <v>838</v>
      </c>
      <c r="B230" s="101">
        <v>1</v>
      </c>
      <c r="C230" s="119" t="s">
        <v>839</v>
      </c>
      <c r="D230" s="119" t="s">
        <v>840</v>
      </c>
      <c r="E230" s="120" t="s">
        <v>841</v>
      </c>
      <c r="F230" s="121">
        <v>11000</v>
      </c>
      <c r="G230" s="102">
        <f>+ SUMIF('Nhập kho T42024'!B:B, C230,'Nhập kho T42024'!F:F)</f>
        <v>0</v>
      </c>
      <c r="H230" s="101">
        <f>+ SUMIF('Doanh thu'!A:A, C230,'Doanh thu'!E:E) + SUMIF('Doanh thu 2025'!B:B, C230,'Doanh thu 2025'!E:E)</f>
        <v>0</v>
      </c>
      <c r="I230" s="101">
        <f>G230-H230+5</f>
        <v>5</v>
      </c>
      <c r="J230" s="103">
        <f t="shared" si="0"/>
        <v>0</v>
      </c>
      <c r="K230" s="104">
        <f>+ SUMIF('Doanh thu'!A:A, C230,'Doanh thu'!F:F)</f>
        <v>0</v>
      </c>
      <c r="L230" s="93"/>
      <c r="M230" s="93"/>
      <c r="N230" s="93"/>
    </row>
    <row r="231" spans="1:14" ht="13.2">
      <c r="A231" s="372"/>
      <c r="B231" s="101">
        <v>1</v>
      </c>
      <c r="C231" s="119" t="s">
        <v>842</v>
      </c>
      <c r="D231" s="119" t="s">
        <v>843</v>
      </c>
      <c r="E231" s="122" t="s">
        <v>841</v>
      </c>
      <c r="F231" s="121">
        <v>11000</v>
      </c>
      <c r="G231" s="102">
        <f>+ SUMIF('Nhập kho T42024'!B:B, C231,'Nhập kho T42024'!F:F)</f>
        <v>0</v>
      </c>
      <c r="H231" s="101">
        <f>+ SUMIF('Doanh thu'!A:A, C231,'Doanh thu'!E:E) + SUMIF('Doanh thu 2025'!B:B, C231,'Doanh thu 2025'!E:E)</f>
        <v>2</v>
      </c>
      <c r="I231" s="101">
        <f>G231-H231+6</f>
        <v>4</v>
      </c>
      <c r="J231" s="103">
        <f t="shared" si="0"/>
        <v>22000</v>
      </c>
      <c r="K231" s="104">
        <f>+ SUMIF('Doanh thu'!A:A, C231,'Doanh thu'!F:F)</f>
        <v>22000</v>
      </c>
      <c r="L231" s="93"/>
      <c r="M231" s="93"/>
      <c r="N231" s="93"/>
    </row>
    <row r="232" spans="1:14" ht="13.2">
      <c r="A232" s="372"/>
      <c r="B232" s="101">
        <v>1</v>
      </c>
      <c r="C232" s="119" t="s">
        <v>844</v>
      </c>
      <c r="D232" s="119" t="s">
        <v>845</v>
      </c>
      <c r="E232" s="122" t="s">
        <v>841</v>
      </c>
      <c r="F232" s="121">
        <v>11000</v>
      </c>
      <c r="G232" s="102">
        <f>+ SUMIF('Nhập kho T42024'!B:B, C232,'Nhập kho T42024'!F:F)</f>
        <v>0</v>
      </c>
      <c r="H232" s="101">
        <f>+ SUMIF('Doanh thu'!A:A, C232,'Doanh thu'!E:E) + SUMIF('Doanh thu 2025'!B:B, C232,'Doanh thu 2025'!E:E)</f>
        <v>5</v>
      </c>
      <c r="I232" s="101">
        <f>G232-H232+5</f>
        <v>0</v>
      </c>
      <c r="J232" s="103">
        <f t="shared" si="0"/>
        <v>33000</v>
      </c>
      <c r="K232" s="104">
        <f>+ SUMIF('Doanh thu'!A:A, C232,'Doanh thu'!F:F)</f>
        <v>33000</v>
      </c>
      <c r="L232" s="93"/>
      <c r="M232" s="93"/>
      <c r="N232" s="93"/>
    </row>
    <row r="233" spans="1:14" ht="13.2">
      <c r="A233" s="372"/>
      <c r="B233" s="101">
        <v>1</v>
      </c>
      <c r="C233" s="119" t="s">
        <v>846</v>
      </c>
      <c r="D233" s="119" t="s">
        <v>847</v>
      </c>
      <c r="E233" s="122" t="s">
        <v>841</v>
      </c>
      <c r="F233" s="121">
        <v>11000</v>
      </c>
      <c r="G233" s="102">
        <f>+ SUMIF('Nhập kho T42024'!B:B, C233,'Nhập kho T42024'!F:F)</f>
        <v>0</v>
      </c>
      <c r="H233" s="101">
        <f>+ SUMIF('Doanh thu'!A:A, C233,'Doanh thu'!E:E) + SUMIF('Doanh thu 2025'!B:B, C233,'Doanh thu 2025'!E:E)</f>
        <v>4</v>
      </c>
      <c r="I233" s="101">
        <f>G233-H233+4</f>
        <v>0</v>
      </c>
      <c r="J233" s="103">
        <f t="shared" si="0"/>
        <v>0</v>
      </c>
      <c r="K233" s="104">
        <f>+ SUMIF('Doanh thu'!A:A, C233,'Doanh thu'!F:F)</f>
        <v>0</v>
      </c>
      <c r="L233" s="93"/>
      <c r="M233" s="93"/>
      <c r="N233" s="93"/>
    </row>
    <row r="234" spans="1:14" ht="13.2">
      <c r="A234" s="372"/>
      <c r="B234" s="101">
        <v>1</v>
      </c>
      <c r="C234" s="119" t="s">
        <v>848</v>
      </c>
      <c r="D234" s="119" t="s">
        <v>849</v>
      </c>
      <c r="E234" s="122" t="s">
        <v>841</v>
      </c>
      <c r="F234" s="121">
        <v>11000</v>
      </c>
      <c r="G234" s="102">
        <f>+ SUMIF('Nhập kho T42024'!B:B, C234,'Nhập kho T42024'!F:F)</f>
        <v>0</v>
      </c>
      <c r="H234" s="101">
        <f>+ SUMIF('Doanh thu'!A:A, C234,'Doanh thu'!E:E) + SUMIF('Doanh thu 2025'!B:B, C234,'Doanh thu 2025'!E:E)</f>
        <v>3</v>
      </c>
      <c r="I234" s="101">
        <f t="shared" ref="I234:I235" si="35">G234-H234+3</f>
        <v>0</v>
      </c>
      <c r="J234" s="103">
        <f t="shared" si="0"/>
        <v>11000</v>
      </c>
      <c r="K234" s="104">
        <f>+ SUMIF('Doanh thu'!A:A, C234,'Doanh thu'!F:F)</f>
        <v>11000</v>
      </c>
      <c r="L234" s="93"/>
      <c r="M234" s="93"/>
      <c r="N234" s="93"/>
    </row>
    <row r="235" spans="1:14" ht="13.2">
      <c r="A235" s="372"/>
      <c r="B235" s="101">
        <v>1</v>
      </c>
      <c r="C235" s="119" t="s">
        <v>850</v>
      </c>
      <c r="D235" s="119" t="s">
        <v>851</v>
      </c>
      <c r="E235" s="122" t="s">
        <v>841</v>
      </c>
      <c r="F235" s="121">
        <v>11000</v>
      </c>
      <c r="G235" s="102">
        <f>+ SUMIF('Nhập kho T42024'!B:B, C235,'Nhập kho T42024'!F:F)</f>
        <v>0</v>
      </c>
      <c r="H235" s="101">
        <f>+ SUMIF('Doanh thu'!A:A, C235,'Doanh thu'!E:E) + SUMIF('Doanh thu 2025'!B:B, C235,'Doanh thu 2025'!E:E)</f>
        <v>3</v>
      </c>
      <c r="I235" s="101">
        <f t="shared" si="35"/>
        <v>0</v>
      </c>
      <c r="J235" s="103">
        <f t="shared" si="0"/>
        <v>22000</v>
      </c>
      <c r="K235" s="104">
        <f>+ SUMIF('Doanh thu'!A:A, C235,'Doanh thu'!F:F)</f>
        <v>22000</v>
      </c>
      <c r="L235" s="93"/>
      <c r="M235" s="93"/>
      <c r="N235" s="93"/>
    </row>
    <row r="236" spans="1:14" ht="13.2">
      <c r="A236" s="372"/>
      <c r="B236" s="101">
        <v>1</v>
      </c>
      <c r="C236" s="119" t="s">
        <v>852</v>
      </c>
      <c r="D236" s="119" t="s">
        <v>853</v>
      </c>
      <c r="E236" s="122" t="s">
        <v>841</v>
      </c>
      <c r="F236" s="121">
        <v>11000</v>
      </c>
      <c r="G236" s="102">
        <f>+ SUMIF('Nhập kho T42024'!B:B, C236,'Nhập kho T42024'!F:F)</f>
        <v>0</v>
      </c>
      <c r="H236" s="101">
        <f>+ SUMIF('Doanh thu'!A:A, C236,'Doanh thu'!E:E) + SUMIF('Doanh thu 2025'!B:B, C236,'Doanh thu 2025'!E:E)</f>
        <v>10</v>
      </c>
      <c r="I236" s="101">
        <f>G236-H236+10</f>
        <v>0</v>
      </c>
      <c r="J236" s="103">
        <f t="shared" si="0"/>
        <v>77000</v>
      </c>
      <c r="K236" s="104">
        <f>+ SUMIF('Doanh thu'!A:A, C236,'Doanh thu'!F:F)</f>
        <v>77000</v>
      </c>
      <c r="L236" s="93"/>
      <c r="M236" s="93"/>
      <c r="N236" s="93"/>
    </row>
    <row r="237" spans="1:14" ht="13.2">
      <c r="A237" s="372"/>
      <c r="B237" s="101">
        <v>1</v>
      </c>
      <c r="C237" s="119" t="s">
        <v>854</v>
      </c>
      <c r="D237" s="119" t="s">
        <v>855</v>
      </c>
      <c r="E237" s="120" t="s">
        <v>841</v>
      </c>
      <c r="F237" s="121">
        <v>11000</v>
      </c>
      <c r="G237" s="102">
        <f>+ SUMIF('Nhập kho T42024'!B:B, C237,'Nhập kho T42024'!F:F)</f>
        <v>0</v>
      </c>
      <c r="H237" s="101">
        <f>+ SUMIF('Doanh thu'!A:A, C237,'Doanh thu'!E:E) + SUMIF('Doanh thu 2025'!B:B, C237,'Doanh thu 2025'!E:E)</f>
        <v>1</v>
      </c>
      <c r="I237" s="101">
        <f>G237-H237+3</f>
        <v>2</v>
      </c>
      <c r="J237" s="103">
        <f t="shared" si="0"/>
        <v>11000</v>
      </c>
      <c r="K237" s="104">
        <f>+ SUMIF('Doanh thu'!A:A, C237,'Doanh thu'!F:F)</f>
        <v>11000</v>
      </c>
      <c r="L237" s="93"/>
      <c r="M237" s="93"/>
      <c r="N237" s="93"/>
    </row>
    <row r="238" spans="1:14" ht="13.2">
      <c r="A238" s="372"/>
      <c r="B238" s="101">
        <v>1</v>
      </c>
      <c r="C238" s="119" t="s">
        <v>856</v>
      </c>
      <c r="D238" s="119" t="s">
        <v>857</v>
      </c>
      <c r="E238" s="120" t="s">
        <v>841</v>
      </c>
      <c r="F238" s="121">
        <v>11000</v>
      </c>
      <c r="G238" s="102">
        <f>+ SUMIF('Nhập kho T42024'!B:B, C238,'Nhập kho T42024'!F:F)</f>
        <v>0</v>
      </c>
      <c r="H238" s="101">
        <f>+ SUMIF('Doanh thu'!A:A, C238,'Doanh thu'!E:E) + SUMIF('Doanh thu 2025'!B:B, C238,'Doanh thu 2025'!E:E)</f>
        <v>3</v>
      </c>
      <c r="I238" s="101">
        <f>G238-H238+7</f>
        <v>4</v>
      </c>
      <c r="J238" s="103">
        <f t="shared" si="0"/>
        <v>0</v>
      </c>
      <c r="K238" s="104">
        <f>+ SUMIF('Doanh thu'!A:A, C238,'Doanh thu'!F:F)</f>
        <v>0</v>
      </c>
      <c r="L238" s="93"/>
      <c r="M238" s="93"/>
      <c r="N238" s="93"/>
    </row>
    <row r="239" spans="1:14" ht="13.2">
      <c r="A239" s="372"/>
      <c r="B239" s="101">
        <v>1</v>
      </c>
      <c r="C239" s="119" t="s">
        <v>858</v>
      </c>
      <c r="D239" s="119" t="s">
        <v>859</v>
      </c>
      <c r="E239" s="120" t="s">
        <v>841</v>
      </c>
      <c r="F239" s="121">
        <v>11000</v>
      </c>
      <c r="G239" s="102">
        <f>+ SUMIF('Nhập kho T42024'!B:B, C239,'Nhập kho T42024'!F:F)</f>
        <v>0</v>
      </c>
      <c r="H239" s="101">
        <f>+ SUMIF('Doanh thu'!A:A, C239,'Doanh thu'!E:E) + SUMIF('Doanh thu 2025'!B:B, C239,'Doanh thu 2025'!E:E)</f>
        <v>2</v>
      </c>
      <c r="I239" s="101">
        <f>G239-H239+3</f>
        <v>1</v>
      </c>
      <c r="J239" s="103">
        <f t="shared" si="0"/>
        <v>21000</v>
      </c>
      <c r="K239" s="104">
        <f>+ SUMIF('Doanh thu'!A:A, C239,'Doanh thu'!F:F)</f>
        <v>21000</v>
      </c>
      <c r="L239" s="93"/>
      <c r="M239" s="93"/>
      <c r="N239" s="93"/>
    </row>
    <row r="240" spans="1:14" ht="13.2">
      <c r="A240" s="372"/>
      <c r="B240" s="101">
        <v>1</v>
      </c>
      <c r="C240" s="119" t="s">
        <v>860</v>
      </c>
      <c r="D240" s="119" t="s">
        <v>861</v>
      </c>
      <c r="E240" s="123" t="s">
        <v>444</v>
      </c>
      <c r="F240" s="121">
        <v>9000</v>
      </c>
      <c r="G240" s="102">
        <f>+ SUMIF('Nhập kho T42024'!B:B, C240,'Nhập kho T42024'!F:F)</f>
        <v>20</v>
      </c>
      <c r="H240" s="101">
        <f>+ SUMIF('Doanh thu'!A:A, C240,'Doanh thu'!E:E) + SUMIF('Doanh thu 2025'!B:B, C240,'Doanh thu 2025'!E:E)</f>
        <v>3</v>
      </c>
      <c r="I240" s="101">
        <f>G240-H240+2</f>
        <v>19</v>
      </c>
      <c r="J240" s="103">
        <f t="shared" si="0"/>
        <v>18000</v>
      </c>
      <c r="K240" s="104">
        <f>+ SUMIF('Doanh thu'!A:A, C240,'Doanh thu'!F:F)</f>
        <v>18000</v>
      </c>
      <c r="L240" s="93"/>
      <c r="M240" s="93"/>
      <c r="N240" s="93"/>
    </row>
    <row r="241" spans="1:30" ht="13.2">
      <c r="A241" s="372"/>
      <c r="B241" s="101">
        <v>1</v>
      </c>
      <c r="C241" s="119" t="s">
        <v>862</v>
      </c>
      <c r="D241" s="119" t="s">
        <v>863</v>
      </c>
      <c r="E241" s="123" t="s">
        <v>444</v>
      </c>
      <c r="F241" s="121">
        <v>9000</v>
      </c>
      <c r="G241" s="102">
        <f>+ SUMIF('Nhập kho T42024'!B:B, C241,'Nhập kho T42024'!F:F)</f>
        <v>20</v>
      </c>
      <c r="H241" s="101">
        <f>+ SUMIF('Doanh thu'!A:A, C241,'Doanh thu'!E:E) + SUMIF('Doanh thu 2025'!B:B, C241,'Doanh thu 2025'!E:E)</f>
        <v>2</v>
      </c>
      <c r="I241" s="101">
        <f t="shared" ref="I241:I242" si="36">G241-H241+1</f>
        <v>19</v>
      </c>
      <c r="J241" s="103">
        <f t="shared" si="0"/>
        <v>9000</v>
      </c>
      <c r="K241" s="104">
        <f>+ SUMIF('Doanh thu'!A:A, C241,'Doanh thu'!F:F)</f>
        <v>9000</v>
      </c>
      <c r="L241" s="93"/>
      <c r="M241" s="93"/>
      <c r="N241" s="93"/>
    </row>
    <row r="242" spans="1:30" ht="13.2">
      <c r="A242" s="372"/>
      <c r="B242" s="101">
        <v>1</v>
      </c>
      <c r="C242" s="119" t="s">
        <v>864</v>
      </c>
      <c r="D242" s="119" t="s">
        <v>865</v>
      </c>
      <c r="E242" s="123" t="s">
        <v>444</v>
      </c>
      <c r="F242" s="121">
        <v>9000</v>
      </c>
      <c r="G242" s="102">
        <f>+ SUMIF('Nhập kho T42024'!B:B, C242,'Nhập kho T42024'!F:F)</f>
        <v>20</v>
      </c>
      <c r="H242" s="101">
        <f>+ SUMIF('Doanh thu'!A:A, C242,'Doanh thu'!E:E) + SUMIF('Doanh thu 2025'!B:B, C242,'Doanh thu 2025'!E:E)</f>
        <v>6</v>
      </c>
      <c r="I242" s="101">
        <f t="shared" si="36"/>
        <v>15</v>
      </c>
      <c r="J242" s="103">
        <f t="shared" si="0"/>
        <v>36000</v>
      </c>
      <c r="K242" s="104">
        <f>+ SUMIF('Doanh thu'!A:A, C242,'Doanh thu'!F:F)</f>
        <v>36000</v>
      </c>
      <c r="L242" s="93"/>
      <c r="M242" s="93"/>
      <c r="N242" s="93"/>
    </row>
    <row r="243" spans="1:30" ht="13.2">
      <c r="A243" s="372"/>
      <c r="B243" s="101">
        <v>1</v>
      </c>
      <c r="C243" s="119" t="s">
        <v>866</v>
      </c>
      <c r="D243" s="119" t="s">
        <v>867</v>
      </c>
      <c r="E243" s="123" t="s">
        <v>444</v>
      </c>
      <c r="F243" s="121">
        <v>9000</v>
      </c>
      <c r="G243" s="102">
        <f>+ SUMIF('Nhập kho T42024'!B:B, C243,'Nhập kho T42024'!F:F)</f>
        <v>20</v>
      </c>
      <c r="H243" s="101">
        <f>+ SUMIF('Doanh thu'!A:A, C243,'Doanh thu'!E:E) + SUMIF('Doanh thu 2025'!B:B, C243,'Doanh thu 2025'!E:E)</f>
        <v>14</v>
      </c>
      <c r="I243" s="101">
        <f>G243-H243+2</f>
        <v>8</v>
      </c>
      <c r="J243" s="103">
        <f t="shared" si="0"/>
        <v>63000</v>
      </c>
      <c r="K243" s="104">
        <f>+ SUMIF('Doanh thu'!A:A, C243,'Doanh thu'!F:F)</f>
        <v>63000</v>
      </c>
      <c r="L243" s="93"/>
      <c r="M243" s="93"/>
      <c r="N243" s="93"/>
    </row>
    <row r="244" spans="1:30" ht="13.2">
      <c r="A244" s="372"/>
      <c r="B244" s="101">
        <v>1</v>
      </c>
      <c r="C244" s="119" t="s">
        <v>868</v>
      </c>
      <c r="D244" s="119" t="s">
        <v>869</v>
      </c>
      <c r="E244" s="123" t="s">
        <v>444</v>
      </c>
      <c r="F244" s="121">
        <v>9000</v>
      </c>
      <c r="G244" s="102">
        <f>+ SUMIF('Nhập kho T42024'!B:B, C244,'Nhập kho T42024'!F:F)</f>
        <v>20</v>
      </c>
      <c r="H244" s="101">
        <f>+ SUMIF('Doanh thu'!A:A, C244,'Doanh thu'!E:E) + SUMIF('Doanh thu 2025'!B:B, C244,'Doanh thu 2025'!E:E)</f>
        <v>0</v>
      </c>
      <c r="I244" s="101">
        <f>G244-H244</f>
        <v>20</v>
      </c>
      <c r="J244" s="103">
        <f t="shared" si="0"/>
        <v>0</v>
      </c>
      <c r="K244" s="104">
        <f>+ SUMIF('Doanh thu'!A:A, C244,'Doanh thu'!F:F)</f>
        <v>0</v>
      </c>
      <c r="L244" s="93"/>
      <c r="M244" s="93"/>
      <c r="N244" s="93"/>
    </row>
    <row r="245" spans="1:30" ht="13.2">
      <c r="A245" s="372"/>
      <c r="B245" s="101">
        <v>1</v>
      </c>
      <c r="C245" s="119" t="s">
        <v>870</v>
      </c>
      <c r="D245" s="119" t="s">
        <v>871</v>
      </c>
      <c r="E245" s="123" t="s">
        <v>444</v>
      </c>
      <c r="F245" s="121">
        <v>9000</v>
      </c>
      <c r="G245" s="102">
        <f>+ SUMIF('Nhập kho T42024'!B:B, C245,'Nhập kho T42024'!F:F)</f>
        <v>19</v>
      </c>
      <c r="H245" s="101">
        <f>+ SUMIF('Doanh thu'!A:A, C245,'Doanh thu'!E:E) + SUMIF('Doanh thu 2025'!B:B, C245,'Doanh thu 2025'!E:E)</f>
        <v>15</v>
      </c>
      <c r="I245" s="101">
        <f>G245-H245+2</f>
        <v>6</v>
      </c>
      <c r="J245" s="103">
        <f t="shared" si="0"/>
        <v>81000</v>
      </c>
      <c r="K245" s="104">
        <f>+ SUMIF('Doanh thu'!A:A, C245,'Doanh thu'!F:F)</f>
        <v>81000</v>
      </c>
      <c r="L245" s="93"/>
      <c r="M245" s="93"/>
      <c r="N245" s="93"/>
    </row>
    <row r="246" spans="1:30" ht="13.2">
      <c r="A246" s="372"/>
      <c r="B246" s="101">
        <v>1</v>
      </c>
      <c r="C246" s="119" t="s">
        <v>872</v>
      </c>
      <c r="D246" s="119" t="s">
        <v>873</v>
      </c>
      <c r="E246" s="123" t="s">
        <v>444</v>
      </c>
      <c r="F246" s="121">
        <v>9000</v>
      </c>
      <c r="G246" s="102">
        <f>+ SUMIF('Nhập kho T42024'!B:B, C246,'Nhập kho T42024'!F:F)</f>
        <v>0</v>
      </c>
      <c r="H246" s="101">
        <f>+ SUMIF('Doanh thu'!A:A, C246,'Doanh thu'!E:E) + SUMIF('Doanh thu 2025'!B:B, C246,'Doanh thu 2025'!E:E)</f>
        <v>3</v>
      </c>
      <c r="I246" s="101">
        <f>G246-H246+3</f>
        <v>0</v>
      </c>
      <c r="J246" s="103">
        <f t="shared" si="0"/>
        <v>27000</v>
      </c>
      <c r="K246" s="104">
        <f>+ SUMIF('Doanh thu'!A:A, C246,'Doanh thu'!F:F)</f>
        <v>27000</v>
      </c>
      <c r="L246" s="93"/>
      <c r="M246" s="93"/>
      <c r="N246" s="93"/>
    </row>
    <row r="247" spans="1:30" ht="13.2">
      <c r="A247" s="372"/>
      <c r="B247" s="101">
        <v>1</v>
      </c>
      <c r="C247" s="119" t="s">
        <v>874</v>
      </c>
      <c r="D247" s="119" t="s">
        <v>875</v>
      </c>
      <c r="E247" s="123" t="s">
        <v>444</v>
      </c>
      <c r="F247" s="121">
        <v>9000</v>
      </c>
      <c r="G247" s="102">
        <f>+ SUMIF('Nhập kho T42024'!B:B, C247,'Nhập kho T42024'!F:F)</f>
        <v>0</v>
      </c>
      <c r="H247" s="101">
        <f>+ SUMIF('Doanh thu'!A:A, C247,'Doanh thu'!E:E) + SUMIF('Doanh thu 2025'!B:B, C247,'Doanh thu 2025'!E:E)</f>
        <v>1</v>
      </c>
      <c r="I247" s="101">
        <f>G247-H247+1</f>
        <v>0</v>
      </c>
      <c r="J247" s="103">
        <f t="shared" si="0"/>
        <v>9000</v>
      </c>
      <c r="K247" s="104">
        <f>+ SUMIF('Doanh thu'!A:A, C247,'Doanh thu'!F:F)</f>
        <v>9000</v>
      </c>
      <c r="L247" s="93"/>
      <c r="M247" s="93"/>
      <c r="N247" s="93"/>
    </row>
    <row r="248" spans="1:30" ht="13.2">
      <c r="A248" s="372"/>
      <c r="B248" s="101">
        <v>1</v>
      </c>
      <c r="C248" s="119" t="s">
        <v>876</v>
      </c>
      <c r="D248" s="119" t="s">
        <v>877</v>
      </c>
      <c r="E248" s="123" t="s">
        <v>444</v>
      </c>
      <c r="F248" s="121">
        <v>9000</v>
      </c>
      <c r="G248" s="102">
        <f>+ SUMIF('Nhập kho T42024'!B:B, C248,'Nhập kho T42024'!F:F)</f>
        <v>0</v>
      </c>
      <c r="H248" s="101">
        <f>+ SUMIF('Doanh thu'!A:A, C248,'Doanh thu'!E:E) + SUMIF('Doanh thu 2025'!B:B, C248,'Doanh thu 2025'!E:E)</f>
        <v>4</v>
      </c>
      <c r="I248" s="101">
        <f>G248-H248+4</f>
        <v>0</v>
      </c>
      <c r="J248" s="103">
        <f t="shared" si="0"/>
        <v>36000</v>
      </c>
      <c r="K248" s="104">
        <f>+ SUMIF('Doanh thu'!A:A, C248,'Doanh thu'!F:F)</f>
        <v>36000</v>
      </c>
      <c r="L248" s="93"/>
      <c r="M248" s="93"/>
      <c r="N248" s="93"/>
    </row>
    <row r="249" spans="1:30" ht="13.2">
      <c r="A249" s="372"/>
      <c r="B249" s="101">
        <v>1</v>
      </c>
      <c r="C249" s="119" t="s">
        <v>878</v>
      </c>
      <c r="D249" s="119" t="s">
        <v>879</v>
      </c>
      <c r="E249" s="123" t="s">
        <v>444</v>
      </c>
      <c r="F249" s="121">
        <v>9000</v>
      </c>
      <c r="G249" s="102">
        <f>+ SUMIF('Nhập kho T42024'!B:B, C249,'Nhập kho T42024'!F:F)</f>
        <v>0</v>
      </c>
      <c r="H249" s="101">
        <f>+ SUMIF('Doanh thu'!A:A, C249,'Doanh thu'!E:E) + SUMIF('Doanh thu 2025'!B:B, C249,'Doanh thu 2025'!E:E)</f>
        <v>0</v>
      </c>
      <c r="I249" s="101">
        <f t="shared" ref="I249:I250" si="37">G249-H249</f>
        <v>0</v>
      </c>
      <c r="J249" s="103">
        <f t="shared" si="0"/>
        <v>0</v>
      </c>
      <c r="K249" s="104">
        <f>+ SUMIF('Doanh thu'!A:A, C249,'Doanh thu'!F:F)</f>
        <v>0</v>
      </c>
      <c r="L249" s="93"/>
      <c r="M249" s="93"/>
      <c r="N249" s="93"/>
    </row>
    <row r="250" spans="1:30" ht="13.2">
      <c r="A250" s="372"/>
      <c r="B250" s="101">
        <v>1</v>
      </c>
      <c r="C250" s="119" t="s">
        <v>880</v>
      </c>
      <c r="D250" s="119" t="s">
        <v>881</v>
      </c>
      <c r="E250" s="123" t="s">
        <v>444</v>
      </c>
      <c r="F250" s="121">
        <v>9000</v>
      </c>
      <c r="G250" s="102">
        <f>+ SUMIF('Nhập kho T42024'!B:B, C250,'Nhập kho T42024'!F:F)</f>
        <v>0</v>
      </c>
      <c r="H250" s="101">
        <f>+ SUMIF('Doanh thu'!A:A, C250,'Doanh thu'!E:E) + SUMIF('Doanh thu 2025'!B:B, C250,'Doanh thu 2025'!E:E)</f>
        <v>0</v>
      </c>
      <c r="I250" s="101">
        <f t="shared" si="37"/>
        <v>0</v>
      </c>
      <c r="J250" s="103">
        <f t="shared" si="0"/>
        <v>0</v>
      </c>
      <c r="K250" s="104">
        <f>+ SUMIF('Doanh thu'!A:A, C250,'Doanh thu'!F:F)</f>
        <v>0</v>
      </c>
      <c r="L250" s="93"/>
      <c r="M250" s="93"/>
      <c r="N250" s="93"/>
    </row>
    <row r="251" spans="1:30" ht="13.2">
      <c r="A251" s="373"/>
      <c r="B251" s="101">
        <v>1</v>
      </c>
      <c r="C251" s="119" t="s">
        <v>882</v>
      </c>
      <c r="D251" s="119" t="s">
        <v>883</v>
      </c>
      <c r="E251" s="123" t="s">
        <v>444</v>
      </c>
      <c r="F251" s="121">
        <v>9000</v>
      </c>
      <c r="G251" s="102">
        <f>+ SUMIF('Nhập kho T42024'!B:B, C251,'Nhập kho T42024'!F:F)</f>
        <v>0</v>
      </c>
      <c r="H251" s="101">
        <f>+ SUMIF('Doanh thu'!A:A, C251,'Doanh thu'!E:E) + SUMIF('Doanh thu 2025'!B:B, C251,'Doanh thu 2025'!E:E)</f>
        <v>3</v>
      </c>
      <c r="I251" s="101">
        <f>G251-H251+3</f>
        <v>0</v>
      </c>
      <c r="J251" s="103">
        <f t="shared" si="0"/>
        <v>27000</v>
      </c>
      <c r="K251" s="104">
        <f>+ SUMIF('Doanh thu'!A:A, C251,'Doanh thu'!F:F)</f>
        <v>27000</v>
      </c>
      <c r="L251" s="93"/>
      <c r="M251" s="93"/>
      <c r="N251" s="93"/>
    </row>
    <row r="252" spans="1:30" ht="13.2">
      <c r="A252" s="392" t="s">
        <v>884</v>
      </c>
      <c r="B252" s="101">
        <v>1</v>
      </c>
      <c r="C252" s="124" t="s">
        <v>885</v>
      </c>
      <c r="D252" s="124" t="s">
        <v>886</v>
      </c>
      <c r="E252" s="101" t="s">
        <v>444</v>
      </c>
      <c r="F252" s="100">
        <v>59500</v>
      </c>
      <c r="G252" s="102">
        <f>+ SUMIF('Nhập kho T42024'!B:B, C252,'Nhập kho T42024'!F:F)</f>
        <v>51</v>
      </c>
      <c r="H252" s="101">
        <f>+ SUMIF('Doanh thu'!A:A, C252,'Doanh thu'!E:E) + SUMIF('Doanh thu 2025'!B:B, C252,'Doanh thu 2025'!E:E)</f>
        <v>54</v>
      </c>
      <c r="I252" s="101">
        <f>G252-H252+3+2</f>
        <v>2</v>
      </c>
      <c r="J252" s="103">
        <f t="shared" si="0"/>
        <v>2490075</v>
      </c>
      <c r="K252" s="104">
        <f>+ SUMIF('Doanh thu'!A:A, C252,'Doanh thu'!F:F)</f>
        <v>2490075</v>
      </c>
      <c r="L252" s="93">
        <f>G252*3500*6.68</f>
        <v>1192380</v>
      </c>
      <c r="M252" s="93">
        <f t="shared" ref="M252:M253" si="38">H252*45000</f>
        <v>2430000</v>
      </c>
      <c r="N252" s="93">
        <f t="shared" ref="N252:N257" si="39">M252-L252</f>
        <v>1237620</v>
      </c>
    </row>
    <row r="253" spans="1:30" ht="13.2">
      <c r="A253" s="369"/>
      <c r="B253" s="101">
        <v>1</v>
      </c>
      <c r="C253" s="124" t="s">
        <v>887</v>
      </c>
      <c r="D253" s="124" t="s">
        <v>888</v>
      </c>
      <c r="E253" s="101" t="s">
        <v>444</v>
      </c>
      <c r="F253" s="100">
        <v>59500</v>
      </c>
      <c r="G253" s="102">
        <f>+ SUMIF('Nhập kho T42024'!B:B, C253,'Nhập kho T42024'!F:F)</f>
        <v>48</v>
      </c>
      <c r="H253" s="101">
        <f>+ SUMIF('Doanh thu'!A:A, C253,'Doanh thu'!E:E) + SUMIF('Doanh thu 2025'!B:B, C253,'Doanh thu 2025'!E:E)</f>
        <v>54</v>
      </c>
      <c r="I253" s="101">
        <f>G253-H253+5+4</f>
        <v>3</v>
      </c>
      <c r="J253" s="103">
        <f t="shared" si="0"/>
        <v>2484720</v>
      </c>
      <c r="K253" s="104">
        <f>+ SUMIF('Doanh thu'!A:A, C253,'Doanh thu'!F:F)</f>
        <v>2484720</v>
      </c>
      <c r="L253" s="93">
        <f>G253*6.68*3502.68</f>
        <v>1123099.3151999998</v>
      </c>
      <c r="M253" s="93">
        <f t="shared" si="38"/>
        <v>2430000</v>
      </c>
      <c r="N253" s="93">
        <f t="shared" si="39"/>
        <v>1306900.6848000002</v>
      </c>
    </row>
    <row r="254" spans="1:30" ht="13.2">
      <c r="A254" s="369"/>
      <c r="B254" s="101">
        <v>1</v>
      </c>
      <c r="C254" s="124" t="s">
        <v>889</v>
      </c>
      <c r="D254" s="124" t="s">
        <v>890</v>
      </c>
      <c r="E254" s="101" t="s">
        <v>444</v>
      </c>
      <c r="F254" s="100">
        <v>64500</v>
      </c>
      <c r="G254" s="102">
        <f>+ SUMIF('Nhập kho T42024'!B:B, C254,'Nhập kho T42024'!F:F)</f>
        <v>29</v>
      </c>
      <c r="H254" s="101">
        <f>+ SUMIF('Doanh thu'!A:A, C254,'Doanh thu'!E:E) + SUMIF('Doanh thu 2025'!B:B, C254,'Doanh thu 2025'!E:E)</f>
        <v>34</v>
      </c>
      <c r="I254" s="101">
        <f>G254-H254+6-2</f>
        <v>-1</v>
      </c>
      <c r="J254" s="103">
        <f t="shared" si="0"/>
        <v>1735050</v>
      </c>
      <c r="K254" s="104">
        <f>+ SUMIF('Doanh thu'!A:A, C254,'Doanh thu'!F:F)</f>
        <v>1735050</v>
      </c>
      <c r="L254" s="93"/>
      <c r="M254" s="93"/>
      <c r="N254" s="93">
        <f t="shared" si="39"/>
        <v>0</v>
      </c>
    </row>
    <row r="255" spans="1:30" ht="13.2">
      <c r="A255" s="369"/>
      <c r="B255" s="101">
        <v>1</v>
      </c>
      <c r="C255" s="124" t="s">
        <v>891</v>
      </c>
      <c r="D255" s="124" t="s">
        <v>892</v>
      </c>
      <c r="E255" s="101" t="s">
        <v>444</v>
      </c>
      <c r="F255" s="100">
        <v>59500</v>
      </c>
      <c r="G255" s="102">
        <f>+ SUMIF('Nhập kho T42024'!B:B, C255,'Nhập kho T42024'!F:F)</f>
        <v>169</v>
      </c>
      <c r="H255" s="101">
        <f>+ SUMIF('Doanh thu'!A:A, C255,'Doanh thu'!E:E) + SUMIF('Doanh thu 2025'!B:B, C255,'Doanh thu 2025'!E:E)</f>
        <v>179</v>
      </c>
      <c r="I255" s="101">
        <f>G255-H255+4+14</f>
        <v>8</v>
      </c>
      <c r="J255" s="103">
        <f t="shared" si="0"/>
        <v>9353925</v>
      </c>
      <c r="K255" s="104">
        <f>+ SUMIF('Doanh thu'!A:A, C255,'Doanh thu'!F:F)</f>
        <v>9353925</v>
      </c>
      <c r="L255" s="125">
        <f>G255*6.68*3500</f>
        <v>3951219.9999999995</v>
      </c>
      <c r="M255" s="125">
        <f>H255*46000</f>
        <v>8234000</v>
      </c>
      <c r="N255" s="93">
        <f t="shared" si="39"/>
        <v>4282780</v>
      </c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</row>
    <row r="256" spans="1:30" ht="13.2">
      <c r="A256" s="369"/>
      <c r="B256" s="101">
        <v>1</v>
      </c>
      <c r="C256" s="124" t="s">
        <v>893</v>
      </c>
      <c r="D256" s="124" t="s">
        <v>894</v>
      </c>
      <c r="E256" s="101" t="s">
        <v>444</v>
      </c>
      <c r="F256" s="100">
        <v>64500</v>
      </c>
      <c r="G256" s="102">
        <f>+ SUMIF('Nhập kho T42024'!B:B, C256,'Nhập kho T42024'!F:F)</f>
        <v>43</v>
      </c>
      <c r="H256" s="101">
        <f>+ SUMIF('Doanh thu'!A:A, C256,'Doanh thu'!E:E) + SUMIF('Doanh thu 2025'!B:B, C256,'Doanh thu 2025'!E:E)</f>
        <v>64</v>
      </c>
      <c r="I256" s="101">
        <f>G256-H256+11+4</f>
        <v>-6</v>
      </c>
      <c r="J256" s="103">
        <f t="shared" si="0"/>
        <v>3653925</v>
      </c>
      <c r="K256" s="104">
        <f>+ SUMIF('Doanh thu'!A:A, C256,'Doanh thu'!F:F)</f>
        <v>3653925</v>
      </c>
      <c r="L256" s="93"/>
      <c r="M256" s="93"/>
      <c r="N256" s="93">
        <f t="shared" si="39"/>
        <v>0</v>
      </c>
    </row>
    <row r="257" spans="1:14" ht="13.2">
      <c r="A257" s="369"/>
      <c r="B257" s="101">
        <v>1</v>
      </c>
      <c r="C257" s="124" t="s">
        <v>895</v>
      </c>
      <c r="D257" s="124" t="s">
        <v>896</v>
      </c>
      <c r="E257" s="101" t="s">
        <v>444</v>
      </c>
      <c r="F257" s="100">
        <v>59500</v>
      </c>
      <c r="G257" s="102">
        <f>+ SUMIF('Nhập kho T42024'!B:B, C257,'Nhập kho T42024'!F:F)</f>
        <v>90</v>
      </c>
      <c r="H257" s="101">
        <f>+ SUMIF('Doanh thu'!A:A, C257,'Doanh thu'!E:E) + SUMIF('Doanh thu 2025'!B:B, C257,'Doanh thu 2025'!E:E)</f>
        <v>101</v>
      </c>
      <c r="I257" s="101">
        <f>G257-H257+5+11</f>
        <v>5</v>
      </c>
      <c r="J257" s="103">
        <f t="shared" si="0"/>
        <v>5564440</v>
      </c>
      <c r="K257" s="104">
        <f>+ SUMIF('Doanh thu'!A:A, C257,'Doanh thu'!F:F)</f>
        <v>5564440</v>
      </c>
      <c r="L257" s="93">
        <f>G257*6.68*3500</f>
        <v>2104199.9999999995</v>
      </c>
      <c r="M257" s="93">
        <f>H257*44000</f>
        <v>4444000</v>
      </c>
      <c r="N257" s="93">
        <f t="shared" si="39"/>
        <v>2339800.0000000005</v>
      </c>
    </row>
    <row r="258" spans="1:14" ht="13.2">
      <c r="A258" s="369"/>
      <c r="B258" s="101">
        <v>1</v>
      </c>
      <c r="C258" s="124" t="s">
        <v>897</v>
      </c>
      <c r="D258" s="124" t="s">
        <v>898</v>
      </c>
      <c r="E258" s="101" t="s">
        <v>444</v>
      </c>
      <c r="F258" s="100">
        <v>64500</v>
      </c>
      <c r="G258" s="102">
        <f>+ SUMIF('Nhập kho T42024'!B:B, C258,'Nhập kho T42024'!F:F)</f>
        <v>31</v>
      </c>
      <c r="H258" s="101">
        <f>+ SUMIF('Doanh thu'!A:A, C258,'Doanh thu'!E:E) + SUMIF('Doanh thu 2025'!B:B, C258,'Doanh thu 2025'!E:E)</f>
        <v>51</v>
      </c>
      <c r="I258" s="101">
        <f>G258-H258+12+10</f>
        <v>2</v>
      </c>
      <c r="J258" s="103">
        <f t="shared" ref="J258:J512" si="40">SUM(K258)</f>
        <v>2441325</v>
      </c>
      <c r="K258" s="104">
        <f>+ SUMIF('Doanh thu'!A:A, C258,'Doanh thu'!F:F)</f>
        <v>2441325</v>
      </c>
      <c r="L258" s="93"/>
      <c r="M258" s="93"/>
      <c r="N258" s="93"/>
    </row>
    <row r="259" spans="1:14" ht="13.2">
      <c r="A259" s="369"/>
      <c r="B259" s="101"/>
      <c r="C259" s="28" t="s">
        <v>899</v>
      </c>
      <c r="D259" s="28" t="s">
        <v>900</v>
      </c>
      <c r="E259" s="101" t="s">
        <v>444</v>
      </c>
      <c r="F259" s="100">
        <v>64500</v>
      </c>
      <c r="G259" s="102">
        <f>+ SUMIF('Nhập kho T42024'!B:B, C259,'Nhập kho T42024'!F:F)</f>
        <v>11</v>
      </c>
      <c r="H259" s="101">
        <f>+ SUMIF('Doanh thu'!A:A, C259,'Doanh thu'!E:E) + SUMIF('Doanh thu 2025'!B:B, C259,'Doanh thu 2025'!E:E)</f>
        <v>14</v>
      </c>
      <c r="I259" s="101">
        <f>G259-H259+4</f>
        <v>1</v>
      </c>
      <c r="J259" s="103">
        <f t="shared" si="40"/>
        <v>774000</v>
      </c>
      <c r="K259" s="104">
        <f>+ SUMIF('Doanh thu'!A:A, C259,'Doanh thu'!F:F)</f>
        <v>774000</v>
      </c>
      <c r="L259" s="93"/>
      <c r="M259" s="93"/>
      <c r="N259" s="93"/>
    </row>
    <row r="260" spans="1:14" ht="13.2">
      <c r="A260" s="369"/>
      <c r="B260" s="101">
        <v>1</v>
      </c>
      <c r="C260" s="28" t="s">
        <v>901</v>
      </c>
      <c r="D260" s="28" t="s">
        <v>902</v>
      </c>
      <c r="E260" s="101" t="s">
        <v>444</v>
      </c>
      <c r="F260" s="100">
        <v>64500</v>
      </c>
      <c r="G260" s="102">
        <f>+ SUMIF('Nhập kho T42024'!B:B, C260,'Nhập kho T42024'!F:F)</f>
        <v>26</v>
      </c>
      <c r="H260" s="101">
        <f>+ SUMIF('Doanh thu'!A:A, C260,'Doanh thu'!E:E) + SUMIF('Doanh thu 2025'!B:B, C260,'Doanh thu 2025'!E:E)</f>
        <v>26</v>
      </c>
      <c r="I260" s="101">
        <f t="shared" ref="I260:I261" si="41">G260-H260</f>
        <v>0</v>
      </c>
      <c r="J260" s="103">
        <f t="shared" si="40"/>
        <v>1677000</v>
      </c>
      <c r="K260" s="104">
        <f>+ SUMIF('Doanh thu'!A:A, C260,'Doanh thu'!F:F)</f>
        <v>1677000</v>
      </c>
      <c r="L260" s="93"/>
      <c r="M260" s="93"/>
      <c r="N260" s="93"/>
    </row>
    <row r="261" spans="1:14" ht="13.2">
      <c r="A261" s="369"/>
      <c r="B261" s="101"/>
      <c r="C261" s="28" t="s">
        <v>903</v>
      </c>
      <c r="D261" s="28" t="s">
        <v>904</v>
      </c>
      <c r="E261" s="101" t="s">
        <v>444</v>
      </c>
      <c r="F261" s="100">
        <v>64500</v>
      </c>
      <c r="G261" s="102">
        <f>+ SUMIF('Nhập kho T42024'!B:B, C261,'Nhập kho T42024'!F:F)</f>
        <v>17</v>
      </c>
      <c r="H261" s="101">
        <f>+ SUMIF('Doanh thu'!A:A, C261,'Doanh thu'!E:E) + SUMIF('Doanh thu 2025'!B:B, C261,'Doanh thu 2025'!E:E)</f>
        <v>17</v>
      </c>
      <c r="I261" s="101">
        <f t="shared" si="41"/>
        <v>0</v>
      </c>
      <c r="J261" s="103">
        <f t="shared" si="40"/>
        <v>1096500</v>
      </c>
      <c r="K261" s="104">
        <f>+ SUMIF('Doanh thu'!A:A, C261,'Doanh thu'!F:F)</f>
        <v>1096500</v>
      </c>
      <c r="L261" s="93"/>
      <c r="M261" s="93"/>
      <c r="N261" s="93"/>
    </row>
    <row r="262" spans="1:14" ht="13.2">
      <c r="A262" s="369"/>
      <c r="B262" s="101">
        <v>1</v>
      </c>
      <c r="C262" s="28" t="s">
        <v>905</v>
      </c>
      <c r="D262" s="28" t="s">
        <v>906</v>
      </c>
      <c r="E262" s="101" t="s">
        <v>444</v>
      </c>
      <c r="F262" s="100">
        <v>64500</v>
      </c>
      <c r="G262" s="102">
        <f>+ SUMIF('Nhập kho T42024'!B:B, C262,'Nhập kho T42024'!F:F)</f>
        <v>35</v>
      </c>
      <c r="H262" s="101">
        <f>+ SUMIF('Doanh thu'!A:A, C262,'Doanh thu'!E:E) + SUMIF('Doanh thu 2025'!B:B, C262,'Doanh thu 2025'!E:E)</f>
        <v>36</v>
      </c>
      <c r="I262" s="101">
        <f>G262-H262+3</f>
        <v>2</v>
      </c>
      <c r="J262" s="103">
        <f t="shared" si="40"/>
        <v>1806000</v>
      </c>
      <c r="K262" s="104">
        <f>+ SUMIF('Doanh thu'!A:A, C262,'Doanh thu'!F:F)</f>
        <v>1806000</v>
      </c>
      <c r="L262" s="93"/>
      <c r="M262" s="93"/>
      <c r="N262" s="93"/>
    </row>
    <row r="263" spans="1:14" ht="13.2">
      <c r="A263" s="369"/>
      <c r="B263" s="101">
        <v>1</v>
      </c>
      <c r="C263" s="28" t="s">
        <v>907</v>
      </c>
      <c r="D263" s="28" t="s">
        <v>908</v>
      </c>
      <c r="E263" s="101" t="s">
        <v>444</v>
      </c>
      <c r="F263" s="100">
        <v>45000</v>
      </c>
      <c r="G263" s="102">
        <f>+ SUMIF('Nhập kho T42024'!B:B, C263,'Nhập kho T42024'!F:F)</f>
        <v>17</v>
      </c>
      <c r="H263" s="101">
        <f>+ SUMIF('Doanh thu'!A:A, C263,'Doanh thu'!E:E) + SUMIF('Doanh thu 2025'!B:B, C263,'Doanh thu 2025'!E:E)</f>
        <v>16</v>
      </c>
      <c r="I263" s="101">
        <f>G263-H263+14+15</f>
        <v>30</v>
      </c>
      <c r="J263" s="103">
        <f t="shared" si="40"/>
        <v>509340</v>
      </c>
      <c r="K263" s="104">
        <f>+ SUMIF('Doanh thu'!A:A, C263,'Doanh thu'!F:F)</f>
        <v>509340</v>
      </c>
      <c r="L263" s="93"/>
      <c r="M263" s="93"/>
      <c r="N263" s="93"/>
    </row>
    <row r="264" spans="1:14" ht="13.2">
      <c r="A264" s="369"/>
      <c r="B264" s="101">
        <v>1</v>
      </c>
      <c r="C264" s="28" t="s">
        <v>909</v>
      </c>
      <c r="D264" s="28" t="s">
        <v>910</v>
      </c>
      <c r="E264" s="101" t="s">
        <v>444</v>
      </c>
      <c r="F264" s="100">
        <v>45000</v>
      </c>
      <c r="G264" s="102">
        <f>+ SUMIF('Nhập kho T42024'!B:B, C264,'Nhập kho T42024'!F:F)</f>
        <v>2</v>
      </c>
      <c r="H264" s="101">
        <f>+ SUMIF('Doanh thu'!A:A, C264,'Doanh thu'!E:E) + SUMIF('Doanh thu 2025'!B:B, C264,'Doanh thu 2025'!E:E)</f>
        <v>3</v>
      </c>
      <c r="I264" s="101">
        <f>G264-H264+1</f>
        <v>0</v>
      </c>
      <c r="J264" s="103">
        <f t="shared" si="40"/>
        <v>135000</v>
      </c>
      <c r="K264" s="104">
        <f>+ SUMIF('Doanh thu'!A:A, C264,'Doanh thu'!F:F)</f>
        <v>135000</v>
      </c>
      <c r="L264" s="93"/>
      <c r="M264" s="93"/>
      <c r="N264" s="93"/>
    </row>
    <row r="265" spans="1:14" ht="13.2">
      <c r="A265" s="369"/>
      <c r="B265" s="101">
        <v>1</v>
      </c>
      <c r="C265" s="28" t="s">
        <v>911</v>
      </c>
      <c r="D265" s="28" t="s">
        <v>912</v>
      </c>
      <c r="E265" s="101" t="s">
        <v>444</v>
      </c>
      <c r="F265" s="100">
        <v>45000</v>
      </c>
      <c r="G265" s="102">
        <f>+ SUMIF('Nhập kho T42024'!B:B, C265,'Nhập kho T42024'!F:F)</f>
        <v>10</v>
      </c>
      <c r="H265" s="101">
        <f>+ SUMIF('Doanh thu'!A:A, C265,'Doanh thu'!E:E) + SUMIF('Doanh thu 2025'!B:B, C265,'Doanh thu 2025'!E:E)</f>
        <v>13</v>
      </c>
      <c r="I265" s="101">
        <f>G265-H265+17+2</f>
        <v>16</v>
      </c>
      <c r="J265" s="103">
        <f t="shared" si="40"/>
        <v>450000</v>
      </c>
      <c r="K265" s="104">
        <f>+ SUMIF('Doanh thu'!A:A, C265,'Doanh thu'!F:F)</f>
        <v>450000</v>
      </c>
      <c r="L265" s="93"/>
      <c r="M265" s="93"/>
      <c r="N265" s="93"/>
    </row>
    <row r="266" spans="1:14" ht="13.2">
      <c r="A266" s="369"/>
      <c r="B266" s="101">
        <v>1</v>
      </c>
      <c r="C266" s="28" t="s">
        <v>913</v>
      </c>
      <c r="D266" s="28" t="s">
        <v>914</v>
      </c>
      <c r="E266" s="101" t="s">
        <v>444</v>
      </c>
      <c r="F266" s="100">
        <v>45000</v>
      </c>
      <c r="G266" s="102">
        <f>+ SUMIF('Nhập kho T42024'!B:B, C266,'Nhập kho T42024'!F:F)</f>
        <v>21</v>
      </c>
      <c r="H266" s="101">
        <f>+ SUMIF('Doanh thu'!A:A, C266,'Doanh thu'!E:E) + SUMIF('Doanh thu 2025'!B:B, C266,'Doanh thu 2025'!E:E)</f>
        <v>44</v>
      </c>
      <c r="I266" s="101">
        <f>G266-H266+22+27</f>
        <v>26</v>
      </c>
      <c r="J266" s="103">
        <f t="shared" si="40"/>
        <v>1125000</v>
      </c>
      <c r="K266" s="104">
        <f>+ SUMIF('Doanh thu'!A:A, C266,'Doanh thu'!F:F)</f>
        <v>1125000</v>
      </c>
      <c r="L266" s="93"/>
      <c r="M266" s="93"/>
      <c r="N266" s="93"/>
    </row>
    <row r="267" spans="1:14" ht="13.2">
      <c r="A267" s="369"/>
      <c r="B267" s="101">
        <v>1</v>
      </c>
      <c r="C267" s="28" t="s">
        <v>915</v>
      </c>
      <c r="D267" s="28" t="s">
        <v>916</v>
      </c>
      <c r="E267" s="101" t="s">
        <v>444</v>
      </c>
      <c r="F267" s="100">
        <v>45000</v>
      </c>
      <c r="G267" s="102">
        <f>+ SUMIF('Nhập kho T42024'!B:B, C267,'Nhập kho T42024'!F:F)</f>
        <v>160</v>
      </c>
      <c r="H267" s="101">
        <f>+ SUMIF('Doanh thu'!A:A, C267,'Doanh thu'!E:E) + SUMIF('Doanh thu 2025'!B:B, C267,'Doanh thu 2025'!E:E)</f>
        <v>157</v>
      </c>
      <c r="I267" s="101">
        <f>G267-H267+173</f>
        <v>176</v>
      </c>
      <c r="J267" s="103">
        <f t="shared" si="40"/>
        <v>4557360</v>
      </c>
      <c r="K267" s="104">
        <f>+ SUMIF('Doanh thu'!A:A, C267,'Doanh thu'!F:F)</f>
        <v>4557360</v>
      </c>
      <c r="L267" s="93"/>
      <c r="M267" s="93"/>
      <c r="N267" s="93"/>
    </row>
    <row r="268" spans="1:14" ht="13.2">
      <c r="A268" s="369"/>
      <c r="B268" s="101">
        <v>1</v>
      </c>
      <c r="C268" s="28" t="s">
        <v>917</v>
      </c>
      <c r="D268" s="28" t="s">
        <v>918</v>
      </c>
      <c r="E268" s="101" t="s">
        <v>444</v>
      </c>
      <c r="F268" s="100">
        <v>45000</v>
      </c>
      <c r="G268" s="102">
        <f>+ SUMIF('Nhập kho T42024'!B:B, C268,'Nhập kho T42024'!F:F)</f>
        <v>24</v>
      </c>
      <c r="H268" s="101">
        <f>+ SUMIF('Doanh thu'!A:A, C268,'Doanh thu'!E:E) + SUMIF('Doanh thu 2025'!B:B, C268,'Doanh thu 2025'!E:E)</f>
        <v>51</v>
      </c>
      <c r="I268" s="101">
        <f>G268-H268+24+37</f>
        <v>34</v>
      </c>
      <c r="J268" s="103">
        <f t="shared" si="40"/>
        <v>1575000</v>
      </c>
      <c r="K268" s="104">
        <f>+ SUMIF('Doanh thu'!A:A, C268,'Doanh thu'!F:F)</f>
        <v>1575000</v>
      </c>
      <c r="L268" s="93"/>
      <c r="M268" s="93"/>
      <c r="N268" s="93"/>
    </row>
    <row r="269" spans="1:14" ht="13.2">
      <c r="A269" s="369"/>
      <c r="B269" s="101">
        <v>1</v>
      </c>
      <c r="C269" s="28" t="s">
        <v>919</v>
      </c>
      <c r="D269" s="28" t="s">
        <v>920</v>
      </c>
      <c r="E269" s="101" t="s">
        <v>444</v>
      </c>
      <c r="F269" s="100">
        <v>45000</v>
      </c>
      <c r="G269" s="102">
        <f>+ SUMIF('Nhập kho T42024'!B:B, C269,'Nhập kho T42024'!F:F)</f>
        <v>20</v>
      </c>
      <c r="H269" s="101">
        <f>+ SUMIF('Doanh thu'!A:A, C269,'Doanh thu'!E:E) + SUMIF('Doanh thu 2025'!B:B, C269,'Doanh thu 2025'!E:E)</f>
        <v>24</v>
      </c>
      <c r="I269" s="101">
        <f>G269-H269+27</f>
        <v>23</v>
      </c>
      <c r="J269" s="103">
        <f t="shared" si="40"/>
        <v>720000</v>
      </c>
      <c r="K269" s="104">
        <f>+ SUMIF('Doanh thu'!A:A, C269,'Doanh thu'!F:F)</f>
        <v>720000</v>
      </c>
      <c r="L269" s="93"/>
      <c r="M269" s="93"/>
      <c r="N269" s="93"/>
    </row>
    <row r="270" spans="1:14" ht="13.2">
      <c r="A270" s="369"/>
      <c r="B270" s="101"/>
      <c r="C270" s="28" t="s">
        <v>921</v>
      </c>
      <c r="D270" s="28" t="s">
        <v>922</v>
      </c>
      <c r="E270" s="101" t="s">
        <v>444</v>
      </c>
      <c r="F270" s="100">
        <v>45000</v>
      </c>
      <c r="G270" s="102">
        <f>+ SUMIF('Nhập kho T42024'!B:B, C270,'Nhập kho T42024'!F:F)</f>
        <v>12</v>
      </c>
      <c r="H270" s="101">
        <f>+ SUMIF('Doanh thu'!A:A, C270,'Doanh thu'!E:E) + SUMIF('Doanh thu 2025'!B:B, C270,'Doanh thu 2025'!E:E)</f>
        <v>9</v>
      </c>
      <c r="I270" s="101">
        <f>G270-H270-3</f>
        <v>0</v>
      </c>
      <c r="J270" s="103">
        <f t="shared" si="40"/>
        <v>405000</v>
      </c>
      <c r="K270" s="104">
        <f>+ SUMIF('Doanh thu'!A:A, C270,'Doanh thu'!F:F)</f>
        <v>405000</v>
      </c>
      <c r="L270" s="93"/>
      <c r="M270" s="93"/>
      <c r="N270" s="93"/>
    </row>
    <row r="271" spans="1:14" ht="13.2">
      <c r="A271" s="369"/>
      <c r="B271" s="101">
        <v>1</v>
      </c>
      <c r="C271" s="28" t="s">
        <v>923</v>
      </c>
      <c r="D271" s="28" t="s">
        <v>924</v>
      </c>
      <c r="E271" s="101" t="s">
        <v>444</v>
      </c>
      <c r="F271" s="100">
        <v>142400</v>
      </c>
      <c r="G271" s="102">
        <f>+ SUMIF('Nhập kho T42024'!B:B, C271,'Nhập kho T42024'!F:F)</f>
        <v>0</v>
      </c>
      <c r="H271" s="101">
        <f>+ SUMIF('Doanh thu'!A:A, C271,'Doanh thu'!E:E) + SUMIF('Doanh thu 2025'!B:B, C271,'Doanh thu 2025'!E:E)</f>
        <v>6</v>
      </c>
      <c r="I271" s="101">
        <f t="shared" ref="I271:I272" si="42">G271-H271+3</f>
        <v>-3</v>
      </c>
      <c r="J271" s="103">
        <f t="shared" si="40"/>
        <v>854400</v>
      </c>
      <c r="K271" s="104">
        <f>+ SUMIF('Doanh thu'!A:A, C271,'Doanh thu'!F:F)</f>
        <v>854400</v>
      </c>
      <c r="L271" s="93"/>
      <c r="M271" s="93"/>
      <c r="N271" s="93"/>
    </row>
    <row r="272" spans="1:14" ht="13.2">
      <c r="A272" s="369"/>
      <c r="B272" s="101">
        <v>1</v>
      </c>
      <c r="C272" s="28" t="s">
        <v>925</v>
      </c>
      <c r="D272" s="28" t="s">
        <v>926</v>
      </c>
      <c r="E272" s="101" t="s">
        <v>444</v>
      </c>
      <c r="F272" s="100">
        <v>142400</v>
      </c>
      <c r="G272" s="102">
        <f>+ SUMIF('Nhập kho T42024'!B:B, C272,'Nhập kho T42024'!F:F)</f>
        <v>0</v>
      </c>
      <c r="H272" s="101">
        <f>+ SUMIF('Doanh thu'!A:A, C272,'Doanh thu'!E:E) + SUMIF('Doanh thu 2025'!B:B, C272,'Doanh thu 2025'!E:E)</f>
        <v>7</v>
      </c>
      <c r="I272" s="101">
        <f t="shared" si="42"/>
        <v>-4</v>
      </c>
      <c r="J272" s="103">
        <f t="shared" si="40"/>
        <v>996800</v>
      </c>
      <c r="K272" s="104">
        <f>+ SUMIF('Doanh thu'!A:A, C272,'Doanh thu'!F:F)</f>
        <v>996800</v>
      </c>
      <c r="L272" s="93"/>
      <c r="M272" s="93"/>
      <c r="N272" s="93"/>
    </row>
    <row r="273" spans="1:14" ht="13.2">
      <c r="A273" s="369"/>
      <c r="B273" s="101">
        <v>1</v>
      </c>
      <c r="C273" s="28" t="s">
        <v>927</v>
      </c>
      <c r="D273" s="28" t="s">
        <v>928</v>
      </c>
      <c r="E273" s="101" t="s">
        <v>444</v>
      </c>
      <c r="F273" s="100">
        <v>142400</v>
      </c>
      <c r="G273" s="102">
        <f>+ SUMIF('Nhập kho T42024'!B:B, C273,'Nhập kho T42024'!F:F)</f>
        <v>0</v>
      </c>
      <c r="H273" s="101">
        <f>+ SUMIF('Doanh thu'!A:A, C273,'Doanh thu'!E:E) + SUMIF('Doanh thu 2025'!B:B, C273,'Doanh thu 2025'!E:E)</f>
        <v>7</v>
      </c>
      <c r="I273" s="101">
        <f>G273-H273+5</f>
        <v>-2</v>
      </c>
      <c r="J273" s="103">
        <f t="shared" si="40"/>
        <v>996800</v>
      </c>
      <c r="K273" s="104">
        <f>+ SUMIF('Doanh thu'!A:A, C273,'Doanh thu'!F:F)</f>
        <v>996800</v>
      </c>
      <c r="L273" s="93"/>
      <c r="M273" s="93"/>
      <c r="N273" s="93"/>
    </row>
    <row r="274" spans="1:14" ht="13.2">
      <c r="A274" s="369"/>
      <c r="B274" s="101">
        <v>1</v>
      </c>
      <c r="C274" s="28" t="s">
        <v>929</v>
      </c>
      <c r="D274" s="28" t="s">
        <v>930</v>
      </c>
      <c r="E274" s="101" t="s">
        <v>444</v>
      </c>
      <c r="F274" s="100">
        <v>142400</v>
      </c>
      <c r="G274" s="102">
        <f>+ SUMIF('Nhập kho T42024'!B:B, C274,'Nhập kho T42024'!F:F)</f>
        <v>0</v>
      </c>
      <c r="H274" s="101">
        <f>+ SUMIF('Doanh thu'!A:A, C274,'Doanh thu'!E:E) + SUMIF('Doanh thu 2025'!B:B, C274,'Doanh thu 2025'!E:E)</f>
        <v>6</v>
      </c>
      <c r="I274" s="101">
        <f t="shared" ref="I274:I275" si="43">G274-H274+4</f>
        <v>-2</v>
      </c>
      <c r="J274" s="103">
        <f t="shared" si="40"/>
        <v>854400</v>
      </c>
      <c r="K274" s="104">
        <f>+ SUMIF('Doanh thu'!A:A, C274,'Doanh thu'!F:F)</f>
        <v>854400</v>
      </c>
      <c r="L274" s="93"/>
      <c r="M274" s="93"/>
      <c r="N274" s="93"/>
    </row>
    <row r="275" spans="1:14" ht="13.2">
      <c r="A275" s="369"/>
      <c r="B275" s="101">
        <v>1</v>
      </c>
      <c r="C275" s="28" t="s">
        <v>931</v>
      </c>
      <c r="D275" s="28" t="s">
        <v>932</v>
      </c>
      <c r="E275" s="101" t="s">
        <v>444</v>
      </c>
      <c r="F275" s="100">
        <v>142400</v>
      </c>
      <c r="G275" s="102">
        <f>+ SUMIF('Nhập kho T42024'!B:B, C275,'Nhập kho T42024'!F:F)</f>
        <v>0</v>
      </c>
      <c r="H275" s="101">
        <f>+ SUMIF('Doanh thu'!A:A, C275,'Doanh thu'!E:E) + SUMIF('Doanh thu 2025'!B:B, C275,'Doanh thu 2025'!E:E)</f>
        <v>5</v>
      </c>
      <c r="I275" s="101">
        <f t="shared" si="43"/>
        <v>-1</v>
      </c>
      <c r="J275" s="103">
        <f t="shared" si="40"/>
        <v>712000</v>
      </c>
      <c r="K275" s="104">
        <f>+ SUMIF('Doanh thu'!A:A, C275,'Doanh thu'!F:F)</f>
        <v>712000</v>
      </c>
      <c r="L275" s="93"/>
      <c r="M275" s="93"/>
      <c r="N275" s="93"/>
    </row>
    <row r="276" spans="1:14" ht="13.2">
      <c r="A276" s="369"/>
      <c r="B276" s="101">
        <v>1</v>
      </c>
      <c r="C276" s="28" t="s">
        <v>933</v>
      </c>
      <c r="D276" s="28" t="s">
        <v>934</v>
      </c>
      <c r="E276" s="101" t="s">
        <v>444</v>
      </c>
      <c r="F276" s="100">
        <v>173550</v>
      </c>
      <c r="G276" s="102">
        <f>+ SUMIF('Nhập kho T42024'!B:B, C276,'Nhập kho T42024'!F:F)</f>
        <v>0</v>
      </c>
      <c r="H276" s="101">
        <f>+ SUMIF('Doanh thu'!A:A, C276,'Doanh thu'!E:E) + SUMIF('Doanh thu 2025'!B:B, C276,'Doanh thu 2025'!E:E)</f>
        <v>2</v>
      </c>
      <c r="I276" s="101">
        <f>G276-H276+2</f>
        <v>0</v>
      </c>
      <c r="J276" s="103">
        <f t="shared" si="40"/>
        <v>347100</v>
      </c>
      <c r="K276" s="104">
        <f>+ SUMIF('Doanh thu'!A:A, C276,'Doanh thu'!F:F)</f>
        <v>347100</v>
      </c>
      <c r="L276" s="93"/>
      <c r="M276" s="93"/>
      <c r="N276" s="93"/>
    </row>
    <row r="277" spans="1:14" ht="13.2">
      <c r="A277" s="369"/>
      <c r="B277" s="101">
        <v>1</v>
      </c>
      <c r="C277" s="28" t="s">
        <v>935</v>
      </c>
      <c r="D277" s="28" t="s">
        <v>936</v>
      </c>
      <c r="E277" s="101" t="s">
        <v>444</v>
      </c>
      <c r="F277" s="100">
        <v>173550</v>
      </c>
      <c r="G277" s="102">
        <f>+ SUMIF('Nhập kho T42024'!B:B, C277,'Nhập kho T42024'!F:F)</f>
        <v>0</v>
      </c>
      <c r="H277" s="101">
        <f>+ SUMIF('Doanh thu'!A:A, C277,'Doanh thu'!E:E) + SUMIF('Doanh thu 2025'!B:B, C277,'Doanh thu 2025'!E:E)</f>
        <v>3</v>
      </c>
      <c r="I277" s="101">
        <f t="shared" ref="I277:I278" si="44">G277-H277+3</f>
        <v>0</v>
      </c>
      <c r="J277" s="103">
        <f t="shared" si="40"/>
        <v>520650</v>
      </c>
      <c r="K277" s="104">
        <f>+ SUMIF('Doanh thu'!A:A, C277,'Doanh thu'!F:F)</f>
        <v>520650</v>
      </c>
      <c r="L277" s="93"/>
      <c r="M277" s="93"/>
      <c r="N277" s="93"/>
    </row>
    <row r="278" spans="1:14" ht="13.2">
      <c r="A278" s="369"/>
      <c r="B278" s="101">
        <v>1</v>
      </c>
      <c r="C278" s="28" t="s">
        <v>937</v>
      </c>
      <c r="D278" s="28" t="s">
        <v>938</v>
      </c>
      <c r="E278" s="101" t="s">
        <v>444</v>
      </c>
      <c r="F278" s="100">
        <v>204700</v>
      </c>
      <c r="G278" s="102">
        <f>+ SUMIF('Nhập kho T42024'!B:B, C278,'Nhập kho T42024'!F:F)</f>
        <v>0</v>
      </c>
      <c r="H278" s="101">
        <f>+ SUMIF('Doanh thu'!A:A, C278,'Doanh thu'!E:E) + SUMIF('Doanh thu 2025'!B:B, C278,'Doanh thu 2025'!E:E)</f>
        <v>3</v>
      </c>
      <c r="I278" s="101">
        <f t="shared" si="44"/>
        <v>0</v>
      </c>
      <c r="J278" s="103">
        <f t="shared" si="40"/>
        <v>614100</v>
      </c>
      <c r="K278" s="104">
        <f>+ SUMIF('Doanh thu'!A:A, C278,'Doanh thu'!F:F)</f>
        <v>614100</v>
      </c>
      <c r="L278" s="93"/>
      <c r="M278" s="93"/>
      <c r="N278" s="93"/>
    </row>
    <row r="279" spans="1:14" ht="13.2">
      <c r="A279" s="369"/>
      <c r="B279" s="101"/>
      <c r="C279" s="28" t="s">
        <v>939</v>
      </c>
      <c r="D279" s="28" t="s">
        <v>940</v>
      </c>
      <c r="E279" s="101" t="s">
        <v>394</v>
      </c>
      <c r="F279" s="100">
        <v>45000</v>
      </c>
      <c r="G279" s="102">
        <f>+ SUMIF('Nhập kho T42024'!B:B, C279,'Nhập kho T42024'!F:F)</f>
        <v>0</v>
      </c>
      <c r="H279" s="101">
        <f>+ SUMIF('Doanh thu'!A:A, C279,'Doanh thu'!E:E) + SUMIF('Doanh thu 2025'!B:B, C279,'Doanh thu 2025'!E:E)</f>
        <v>2</v>
      </c>
      <c r="I279" s="101">
        <f>G279-H279+1</f>
        <v>-1</v>
      </c>
      <c r="J279" s="103">
        <f t="shared" si="40"/>
        <v>90000</v>
      </c>
      <c r="K279" s="104">
        <f>+ SUMIF('Doanh thu'!A:A, C279,'Doanh thu'!F:F)</f>
        <v>90000</v>
      </c>
      <c r="L279" s="93"/>
      <c r="M279" s="93"/>
      <c r="N279" s="93"/>
    </row>
    <row r="280" spans="1:14" ht="13.2">
      <c r="A280" s="369"/>
      <c r="B280" s="101">
        <v>1</v>
      </c>
      <c r="C280" s="28" t="s">
        <v>941</v>
      </c>
      <c r="D280" s="28" t="s">
        <v>942</v>
      </c>
      <c r="E280" s="101" t="s">
        <v>444</v>
      </c>
      <c r="F280" s="100">
        <v>8000</v>
      </c>
      <c r="G280" s="102">
        <f>+ SUMIF('Nhập kho T42024'!B:B, C280,'Nhập kho T42024'!F:F)</f>
        <v>0</v>
      </c>
      <c r="H280" s="101">
        <f>+ SUMIF('Doanh thu'!A:A, C280,'Doanh thu'!E:E) + SUMIF('Doanh thu 2025'!B:B, C280,'Doanh thu 2025'!E:E)</f>
        <v>8</v>
      </c>
      <c r="I280" s="101">
        <f t="shared" ref="I280:I282" si="45">G280-H280+6</f>
        <v>-2</v>
      </c>
      <c r="J280" s="103">
        <f t="shared" si="40"/>
        <v>64000</v>
      </c>
      <c r="K280" s="104">
        <f>+ SUMIF('Doanh thu'!A:A, C280,'Doanh thu'!F:F)</f>
        <v>64000</v>
      </c>
      <c r="L280" s="93"/>
      <c r="M280" s="93"/>
      <c r="N280" s="93"/>
    </row>
    <row r="281" spans="1:14" ht="13.2">
      <c r="A281" s="369"/>
      <c r="B281" s="101">
        <v>1</v>
      </c>
      <c r="C281" s="28" t="s">
        <v>943</v>
      </c>
      <c r="D281" s="28" t="s">
        <v>944</v>
      </c>
      <c r="E281" s="101" t="s">
        <v>444</v>
      </c>
      <c r="F281" s="100">
        <v>8000</v>
      </c>
      <c r="G281" s="102">
        <f>+ SUMIF('Nhập kho T42024'!B:B, C281,'Nhập kho T42024'!F:F)</f>
        <v>0</v>
      </c>
      <c r="H281" s="101">
        <f>+ SUMIF('Doanh thu'!A:A, C281,'Doanh thu'!E:E) + SUMIF('Doanh thu 2025'!B:B, C281,'Doanh thu 2025'!E:E)</f>
        <v>2</v>
      </c>
      <c r="I281" s="101">
        <f t="shared" si="45"/>
        <v>4</v>
      </c>
      <c r="J281" s="103">
        <f t="shared" si="40"/>
        <v>16000</v>
      </c>
      <c r="K281" s="104">
        <f>+ SUMIF('Doanh thu'!A:A, C281,'Doanh thu'!F:F)</f>
        <v>16000</v>
      </c>
      <c r="L281" s="93"/>
      <c r="M281" s="93"/>
      <c r="N281" s="93"/>
    </row>
    <row r="282" spans="1:14" ht="13.2">
      <c r="A282" s="369"/>
      <c r="B282" s="101">
        <v>1</v>
      </c>
      <c r="C282" s="28" t="s">
        <v>945</v>
      </c>
      <c r="D282" s="28" t="s">
        <v>946</v>
      </c>
      <c r="E282" s="101" t="s">
        <v>444</v>
      </c>
      <c r="F282" s="100">
        <v>8000</v>
      </c>
      <c r="G282" s="102">
        <f>+ SUMIF('Nhập kho T42024'!B:B, C282,'Nhập kho T42024'!F:F)</f>
        <v>0</v>
      </c>
      <c r="H282" s="101">
        <f>+ SUMIF('Doanh thu'!A:A, C282,'Doanh thu'!E:E) + SUMIF('Doanh thu 2025'!B:B, C282,'Doanh thu 2025'!E:E)</f>
        <v>2</v>
      </c>
      <c r="I282" s="101">
        <f t="shared" si="45"/>
        <v>4</v>
      </c>
      <c r="J282" s="103">
        <f t="shared" si="40"/>
        <v>16000</v>
      </c>
      <c r="K282" s="104">
        <f>+ SUMIF('Doanh thu'!A:A, C282,'Doanh thu'!F:F)</f>
        <v>16000</v>
      </c>
      <c r="L282" s="93"/>
      <c r="M282" s="93"/>
      <c r="N282" s="93"/>
    </row>
    <row r="283" spans="1:14" ht="13.2">
      <c r="A283" s="369"/>
      <c r="B283" s="101">
        <v>1</v>
      </c>
      <c r="C283" s="28" t="s">
        <v>947</v>
      </c>
      <c r="D283" s="28" t="s">
        <v>948</v>
      </c>
      <c r="E283" s="101" t="s">
        <v>444</v>
      </c>
      <c r="F283" s="100">
        <v>8000</v>
      </c>
      <c r="G283" s="102">
        <f>+ SUMIF('Nhập kho T42024'!B:B, C283,'Nhập kho T42024'!F:F)</f>
        <v>0</v>
      </c>
      <c r="H283" s="101">
        <f>+ SUMIF('Doanh thu'!A:A, C283,'Doanh thu'!E:E) + SUMIF('Doanh thu 2025'!B:B, C283,'Doanh thu 2025'!E:E)</f>
        <v>2</v>
      </c>
      <c r="I283" s="101">
        <f t="shared" ref="I283:I284" si="46">G283-H283+5</f>
        <v>3</v>
      </c>
      <c r="J283" s="103">
        <f t="shared" si="40"/>
        <v>16000</v>
      </c>
      <c r="K283" s="104">
        <f>+ SUMIF('Doanh thu'!A:A, C283,'Doanh thu'!F:F)</f>
        <v>16000</v>
      </c>
      <c r="L283" s="93"/>
      <c r="M283" s="93"/>
      <c r="N283" s="93"/>
    </row>
    <row r="284" spans="1:14" ht="13.2">
      <c r="A284" s="369"/>
      <c r="B284" s="101">
        <v>1</v>
      </c>
      <c r="C284" s="28" t="s">
        <v>949</v>
      </c>
      <c r="D284" s="28" t="s">
        <v>950</v>
      </c>
      <c r="E284" s="101" t="s">
        <v>444</v>
      </c>
      <c r="F284" s="100">
        <v>8000</v>
      </c>
      <c r="G284" s="102">
        <f>+ SUMIF('Nhập kho T42024'!B:B, C284,'Nhập kho T42024'!F:F)</f>
        <v>0</v>
      </c>
      <c r="H284" s="101">
        <f>+ SUMIF('Doanh thu'!A:A, C284,'Doanh thu'!E:E) + SUMIF('Doanh thu 2025'!B:B, C284,'Doanh thu 2025'!E:E)</f>
        <v>5</v>
      </c>
      <c r="I284" s="101">
        <f t="shared" si="46"/>
        <v>0</v>
      </c>
      <c r="J284" s="103">
        <f t="shared" si="40"/>
        <v>40000</v>
      </c>
      <c r="K284" s="104">
        <f>+ SUMIF('Doanh thu'!A:A, C284,'Doanh thu'!F:F)</f>
        <v>40000</v>
      </c>
      <c r="L284" s="93"/>
      <c r="M284" s="93"/>
      <c r="N284" s="93"/>
    </row>
    <row r="285" spans="1:14" ht="13.2">
      <c r="A285" s="369"/>
      <c r="B285" s="101">
        <v>1</v>
      </c>
      <c r="C285" s="28" t="s">
        <v>951</v>
      </c>
      <c r="D285" s="28" t="s">
        <v>952</v>
      </c>
      <c r="E285" s="101" t="s">
        <v>444</v>
      </c>
      <c r="F285" s="100">
        <v>8000</v>
      </c>
      <c r="G285" s="102">
        <f>+ SUMIF('Nhập kho T42024'!B:B, C285,'Nhập kho T42024'!F:F)</f>
        <v>0</v>
      </c>
      <c r="H285" s="101">
        <f>+ SUMIF('Doanh thu'!A:A, C285,'Doanh thu'!E:E) + SUMIF('Doanh thu 2025'!B:B, C285,'Doanh thu 2025'!E:E)</f>
        <v>0</v>
      </c>
      <c r="I285" s="101">
        <f t="shared" ref="I285:I287" si="47">G285-H285</f>
        <v>0</v>
      </c>
      <c r="J285" s="103">
        <f t="shared" si="40"/>
        <v>0</v>
      </c>
      <c r="K285" s="104">
        <f>+ SUMIF('Doanh thu'!A:A, C285,'Doanh thu'!F:F)</f>
        <v>0</v>
      </c>
      <c r="L285" s="93"/>
      <c r="M285" s="93"/>
      <c r="N285" s="93"/>
    </row>
    <row r="286" spans="1:14" ht="13.2">
      <c r="A286" s="369"/>
      <c r="B286" s="101">
        <v>1</v>
      </c>
      <c r="C286" s="28" t="s">
        <v>953</v>
      </c>
      <c r="D286" s="28" t="s">
        <v>954</v>
      </c>
      <c r="E286" s="101" t="s">
        <v>444</v>
      </c>
      <c r="F286" s="100">
        <v>8000</v>
      </c>
      <c r="G286" s="102">
        <f>+ SUMIF('Nhập kho T42024'!B:B, C286,'Nhập kho T42024'!F:F)</f>
        <v>0</v>
      </c>
      <c r="H286" s="101">
        <f>+ SUMIF('Doanh thu'!A:A, C286,'Doanh thu'!E:E) + SUMIF('Doanh thu 2025'!B:B, C286,'Doanh thu 2025'!E:E)</f>
        <v>0</v>
      </c>
      <c r="I286" s="101">
        <f t="shared" si="47"/>
        <v>0</v>
      </c>
      <c r="J286" s="103">
        <f t="shared" si="40"/>
        <v>0</v>
      </c>
      <c r="K286" s="104">
        <f>+ SUMIF('Doanh thu'!A:A, C286,'Doanh thu'!F:F)</f>
        <v>0</v>
      </c>
      <c r="L286" s="93"/>
      <c r="M286" s="93"/>
      <c r="N286" s="93"/>
    </row>
    <row r="287" spans="1:14" ht="13.2">
      <c r="A287" s="369"/>
      <c r="B287" s="101">
        <v>1</v>
      </c>
      <c r="C287" s="28" t="s">
        <v>955</v>
      </c>
      <c r="D287" s="28" t="s">
        <v>956</v>
      </c>
      <c r="E287" s="101" t="s">
        <v>444</v>
      </c>
      <c r="F287" s="100">
        <v>8000</v>
      </c>
      <c r="G287" s="102">
        <f>+ SUMIF('Nhập kho T42024'!B:B, C287,'Nhập kho T42024'!F:F)</f>
        <v>0</v>
      </c>
      <c r="H287" s="101">
        <f>+ SUMIF('Doanh thu'!A:A, C287,'Doanh thu'!E:E) + SUMIF('Doanh thu 2025'!B:B, C287,'Doanh thu 2025'!E:E)</f>
        <v>0</v>
      </c>
      <c r="I287" s="101">
        <f t="shared" si="47"/>
        <v>0</v>
      </c>
      <c r="J287" s="103">
        <f t="shared" si="40"/>
        <v>0</v>
      </c>
      <c r="K287" s="104">
        <f>+ SUMIF('Doanh thu'!A:A, C287,'Doanh thu'!F:F)</f>
        <v>0</v>
      </c>
      <c r="L287" s="93"/>
      <c r="M287" s="93"/>
      <c r="N287" s="93"/>
    </row>
    <row r="288" spans="1:14" ht="13.2">
      <c r="A288" s="127"/>
      <c r="B288" s="101">
        <v>1</v>
      </c>
      <c r="C288" s="28" t="s">
        <v>957</v>
      </c>
      <c r="D288" s="28" t="s">
        <v>958</v>
      </c>
      <c r="E288" s="101" t="s">
        <v>444</v>
      </c>
      <c r="F288" s="100">
        <v>155000</v>
      </c>
      <c r="G288" s="102">
        <f>+ SUMIF('Nhập kho T42024'!B:B, C288,'Nhập kho T42024'!F:F)</f>
        <v>0</v>
      </c>
      <c r="H288" s="101">
        <f>+ SUMIF('Doanh thu'!A:A, C288,'Doanh thu'!E:E) + SUMIF('Doanh thu 2025'!B:B, C288,'Doanh thu 2025'!E:E)</f>
        <v>3</v>
      </c>
      <c r="I288" s="101">
        <f>G288-H288+4</f>
        <v>1</v>
      </c>
      <c r="J288" s="103">
        <f t="shared" si="40"/>
        <v>465000</v>
      </c>
      <c r="K288" s="104">
        <f>+ SUMIF('Doanh thu'!A:A, C288,'Doanh thu'!F:F)</f>
        <v>465000</v>
      </c>
      <c r="L288" s="93"/>
      <c r="M288" s="93"/>
      <c r="N288" s="93"/>
    </row>
    <row r="289" spans="1:14" ht="13.2">
      <c r="A289" s="127"/>
      <c r="B289" s="101">
        <v>1</v>
      </c>
      <c r="C289" s="28" t="s">
        <v>959</v>
      </c>
      <c r="D289" s="28" t="s">
        <v>960</v>
      </c>
      <c r="E289" s="101" t="s">
        <v>444</v>
      </c>
      <c r="F289" s="100">
        <v>155000</v>
      </c>
      <c r="G289" s="102">
        <f>+ SUMIF('Nhập kho T42024'!B:B, C289,'Nhập kho T42024'!F:F)</f>
        <v>0</v>
      </c>
      <c r="H289" s="101">
        <f>+ SUMIF('Doanh thu'!A:A, C289,'Doanh thu'!E:E) + SUMIF('Doanh thu 2025'!B:B, C289,'Doanh thu 2025'!E:E)</f>
        <v>3</v>
      </c>
      <c r="I289" s="101">
        <f>G289-H289+3</f>
        <v>0</v>
      </c>
      <c r="J289" s="103">
        <f t="shared" si="40"/>
        <v>465000</v>
      </c>
      <c r="K289" s="104">
        <f>+ SUMIF('Doanh thu'!A:A, C289,'Doanh thu'!F:F)</f>
        <v>465000</v>
      </c>
      <c r="L289" s="93"/>
      <c r="M289" s="93"/>
      <c r="N289" s="93"/>
    </row>
    <row r="290" spans="1:14" ht="13.2">
      <c r="A290" s="127"/>
      <c r="B290" s="101">
        <v>1</v>
      </c>
      <c r="C290" s="28" t="s">
        <v>961</v>
      </c>
      <c r="D290" s="28" t="s">
        <v>962</v>
      </c>
      <c r="E290" s="101" t="s">
        <v>444</v>
      </c>
      <c r="F290" s="100">
        <v>155000</v>
      </c>
      <c r="G290" s="102">
        <f>+ SUMIF('Nhập kho T42024'!B:B, C290,'Nhập kho T42024'!F:F)</f>
        <v>0</v>
      </c>
      <c r="H290" s="101">
        <f>+ SUMIF('Doanh thu'!A:A, C290,'Doanh thu'!E:E) + SUMIF('Doanh thu 2025'!B:B, C290,'Doanh thu 2025'!E:E)</f>
        <v>4</v>
      </c>
      <c r="I290" s="101">
        <f t="shared" ref="I290:I291" si="48">G290-H290+4</f>
        <v>0</v>
      </c>
      <c r="J290" s="103">
        <f t="shared" si="40"/>
        <v>620000</v>
      </c>
      <c r="K290" s="104">
        <f>+ SUMIF('Doanh thu'!A:A, C290,'Doanh thu'!F:F)</f>
        <v>620000</v>
      </c>
      <c r="L290" s="93"/>
      <c r="M290" s="93"/>
      <c r="N290" s="93"/>
    </row>
    <row r="291" spans="1:14" ht="13.2">
      <c r="A291" s="127"/>
      <c r="B291" s="101">
        <v>1</v>
      </c>
      <c r="C291" s="28" t="s">
        <v>963</v>
      </c>
      <c r="D291" s="28" t="s">
        <v>964</v>
      </c>
      <c r="E291" s="101" t="s">
        <v>444</v>
      </c>
      <c r="F291" s="100">
        <v>155000</v>
      </c>
      <c r="G291" s="102">
        <f>+ SUMIF('Nhập kho T42024'!B:B, C291,'Nhập kho T42024'!F:F)</f>
        <v>0</v>
      </c>
      <c r="H291" s="101">
        <f>+ SUMIF('Doanh thu'!A:A, C291,'Doanh thu'!E:E) + SUMIF('Doanh thu 2025'!B:B, C291,'Doanh thu 2025'!E:E)</f>
        <v>3</v>
      </c>
      <c r="I291" s="101">
        <f t="shared" si="48"/>
        <v>1</v>
      </c>
      <c r="J291" s="103">
        <f t="shared" si="40"/>
        <v>310000</v>
      </c>
      <c r="K291" s="104">
        <f>+ SUMIF('Doanh thu'!A:A, C291,'Doanh thu'!F:F)</f>
        <v>310000</v>
      </c>
      <c r="L291" s="93"/>
      <c r="M291" s="93"/>
      <c r="N291" s="93"/>
    </row>
    <row r="292" spans="1:14" ht="13.2">
      <c r="A292" s="127"/>
      <c r="B292" s="101">
        <v>1</v>
      </c>
      <c r="C292" s="28" t="s">
        <v>965</v>
      </c>
      <c r="D292" s="28" t="s">
        <v>966</v>
      </c>
      <c r="E292" s="101" t="s">
        <v>444</v>
      </c>
      <c r="F292" s="100">
        <v>155000</v>
      </c>
      <c r="G292" s="102">
        <f>+ SUMIF('Nhập kho T42024'!B:B, C292,'Nhập kho T42024'!F:F)</f>
        <v>0</v>
      </c>
      <c r="H292" s="101">
        <f>+ SUMIF('Doanh thu'!A:A, C292,'Doanh thu'!E:E) + SUMIF('Doanh thu 2025'!B:B, C292,'Doanh thu 2025'!E:E)</f>
        <v>3</v>
      </c>
      <c r="I292" s="101">
        <f t="shared" ref="I292:I293" si="49">G292-H292+3</f>
        <v>0</v>
      </c>
      <c r="J292" s="103">
        <f t="shared" si="40"/>
        <v>465000</v>
      </c>
      <c r="K292" s="104">
        <f>+ SUMIF('Doanh thu'!A:A, C292,'Doanh thu'!F:F)</f>
        <v>465000</v>
      </c>
      <c r="L292" s="93"/>
      <c r="M292" s="93"/>
      <c r="N292" s="93"/>
    </row>
    <row r="293" spans="1:14" ht="13.2">
      <c r="A293" s="127"/>
      <c r="B293" s="101">
        <v>1</v>
      </c>
      <c r="C293" s="28" t="s">
        <v>967</v>
      </c>
      <c r="D293" s="28" t="s">
        <v>968</v>
      </c>
      <c r="E293" s="101" t="s">
        <v>444</v>
      </c>
      <c r="F293" s="100">
        <v>155000</v>
      </c>
      <c r="G293" s="102">
        <f>+ SUMIF('Nhập kho T42024'!B:B, C293,'Nhập kho T42024'!F:F)</f>
        <v>0</v>
      </c>
      <c r="H293" s="101">
        <f>+ SUMIF('Doanh thu'!A:A, C293,'Doanh thu'!E:E) + SUMIF('Doanh thu 2025'!B:B, C293,'Doanh thu 2025'!E:E)</f>
        <v>3</v>
      </c>
      <c r="I293" s="101">
        <f t="shared" si="49"/>
        <v>0</v>
      </c>
      <c r="J293" s="103">
        <f t="shared" si="40"/>
        <v>465000</v>
      </c>
      <c r="K293" s="104">
        <f>+ SUMIF('Doanh thu'!A:A, C293,'Doanh thu'!F:F)</f>
        <v>465000</v>
      </c>
      <c r="L293" s="93"/>
      <c r="M293" s="93"/>
      <c r="N293" s="93"/>
    </row>
    <row r="294" spans="1:14" ht="13.2">
      <c r="A294" s="127"/>
      <c r="B294" s="101">
        <v>1</v>
      </c>
      <c r="C294" s="28" t="s">
        <v>969</v>
      </c>
      <c r="D294" s="28" t="s">
        <v>970</v>
      </c>
      <c r="E294" s="101" t="s">
        <v>444</v>
      </c>
      <c r="F294" s="100">
        <v>71500</v>
      </c>
      <c r="G294" s="102">
        <f>+ SUMIF('Nhập kho T42024'!B:B, C294,'Nhập kho T42024'!F:F)</f>
        <v>0</v>
      </c>
      <c r="H294" s="101">
        <f>+ SUMIF('Doanh thu'!A:A, C294,'Doanh thu'!E:E) + SUMIF('Doanh thu 2025'!B:B, C294,'Doanh thu 2025'!E:E)</f>
        <v>10</v>
      </c>
      <c r="I294" s="101">
        <f>G294-H294+10</f>
        <v>0</v>
      </c>
      <c r="J294" s="103">
        <f t="shared" si="40"/>
        <v>643500</v>
      </c>
      <c r="K294" s="104">
        <f>+ SUMIF('Doanh thu'!A:A, C294,'Doanh thu'!F:F)</f>
        <v>643500</v>
      </c>
      <c r="L294" s="93"/>
      <c r="M294" s="93"/>
      <c r="N294" s="93"/>
    </row>
    <row r="295" spans="1:14" ht="13.2">
      <c r="A295" s="127"/>
      <c r="B295" s="101">
        <v>1</v>
      </c>
      <c r="C295" s="28" t="s">
        <v>971</v>
      </c>
      <c r="D295" s="28" t="s">
        <v>972</v>
      </c>
      <c r="E295" s="101" t="s">
        <v>444</v>
      </c>
      <c r="F295" s="100">
        <v>71500</v>
      </c>
      <c r="G295" s="102">
        <f>+ SUMIF('Nhập kho T42024'!B:B, C295,'Nhập kho T42024'!F:F)</f>
        <v>0</v>
      </c>
      <c r="H295" s="101">
        <f>+ SUMIF('Doanh thu'!A:A, C295,'Doanh thu'!E:E) + SUMIF('Doanh thu 2025'!B:B, C295,'Doanh thu 2025'!E:E)</f>
        <v>8</v>
      </c>
      <c r="I295" s="101">
        <f>G295-H295+11</f>
        <v>3</v>
      </c>
      <c r="J295" s="103">
        <f t="shared" si="40"/>
        <v>500500</v>
      </c>
      <c r="K295" s="104">
        <f>+ SUMIF('Doanh thu'!A:A, C295,'Doanh thu'!F:F)</f>
        <v>500500</v>
      </c>
      <c r="L295" s="93"/>
      <c r="M295" s="93"/>
      <c r="N295" s="93"/>
    </row>
    <row r="296" spans="1:14" ht="13.2">
      <c r="A296" s="127"/>
      <c r="B296" s="101">
        <v>1</v>
      </c>
      <c r="C296" s="28" t="s">
        <v>973</v>
      </c>
      <c r="D296" s="28" t="s">
        <v>974</v>
      </c>
      <c r="E296" s="101" t="s">
        <v>444</v>
      </c>
      <c r="F296" s="100">
        <v>71500</v>
      </c>
      <c r="G296" s="102">
        <f>+ SUMIF('Nhập kho T42024'!B:B, C296,'Nhập kho T42024'!F:F)</f>
        <v>0</v>
      </c>
      <c r="H296" s="101">
        <f>+ SUMIF('Doanh thu'!A:A, C296,'Doanh thu'!E:E) + SUMIF('Doanh thu 2025'!B:B, C296,'Doanh thu 2025'!E:E)</f>
        <v>5</v>
      </c>
      <c r="I296" s="101">
        <f>G296-H296+15</f>
        <v>10</v>
      </c>
      <c r="J296" s="103">
        <f t="shared" si="40"/>
        <v>286000</v>
      </c>
      <c r="K296" s="104">
        <f>+ SUMIF('Doanh thu'!A:A, C296,'Doanh thu'!F:F)</f>
        <v>286000</v>
      </c>
      <c r="L296" s="93"/>
      <c r="M296" s="93"/>
      <c r="N296" s="93"/>
    </row>
    <row r="297" spans="1:14" ht="13.2">
      <c r="A297" s="127"/>
      <c r="B297" s="101">
        <v>1</v>
      </c>
      <c r="C297" s="28" t="s">
        <v>975</v>
      </c>
      <c r="D297" s="28" t="s">
        <v>976</v>
      </c>
      <c r="E297" s="101" t="s">
        <v>444</v>
      </c>
      <c r="F297" s="100">
        <v>71500</v>
      </c>
      <c r="G297" s="102">
        <f>+ SUMIF('Nhập kho T42024'!B:B, C297,'Nhập kho T42024'!F:F)</f>
        <v>0</v>
      </c>
      <c r="H297" s="101">
        <f>+ SUMIF('Doanh thu'!A:A, C297,'Doanh thu'!E:E) + SUMIF('Doanh thu 2025'!B:B, C297,'Doanh thu 2025'!E:E)</f>
        <v>6</v>
      </c>
      <c r="I297" s="101">
        <f>G297-H297+10</f>
        <v>4</v>
      </c>
      <c r="J297" s="103">
        <f t="shared" si="40"/>
        <v>286000</v>
      </c>
      <c r="K297" s="104">
        <f>+ SUMIF('Doanh thu'!A:A, C297,'Doanh thu'!F:F)</f>
        <v>286000</v>
      </c>
      <c r="L297" s="93"/>
      <c r="M297" s="93"/>
      <c r="N297" s="93"/>
    </row>
    <row r="298" spans="1:14" ht="13.2">
      <c r="A298" s="393" t="s">
        <v>343</v>
      </c>
      <c r="B298" s="101">
        <v>1</v>
      </c>
      <c r="C298" s="28" t="s">
        <v>977</v>
      </c>
      <c r="D298" s="28" t="s">
        <v>978</v>
      </c>
      <c r="E298" s="101" t="s">
        <v>444</v>
      </c>
      <c r="F298" s="100">
        <v>56580</v>
      </c>
      <c r="G298" s="102">
        <f>+ SUMIF('Nhập kho T42024'!B:B, C298,'Nhập kho T42024'!F:F)</f>
        <v>179</v>
      </c>
      <c r="H298" s="101">
        <f>+ SUMIF('Doanh thu'!A:A, C298,'Doanh thu'!E:E) + SUMIF('Doanh thu 2025'!B:B, C298,'Doanh thu 2025'!E:E)</f>
        <v>184</v>
      </c>
      <c r="I298" s="101">
        <f>G298-H298+5-12</f>
        <v>-12</v>
      </c>
      <c r="J298" s="103">
        <f t="shared" si="40"/>
        <v>7411980</v>
      </c>
      <c r="K298" s="104">
        <f>+ SUMIF('Doanh thu'!A:A, C298,'Doanh thu'!F:F)</f>
        <v>7411980</v>
      </c>
      <c r="L298" s="93">
        <f t="shared" ref="L298:L305" si="50">G298*3500*6.08</f>
        <v>3809120</v>
      </c>
      <c r="M298" s="93">
        <f t="shared" ref="M298:M304" si="51">H298*44000</f>
        <v>8096000</v>
      </c>
      <c r="N298" s="93">
        <f t="shared" ref="N298:N310" si="52">M298-L298</f>
        <v>4286880</v>
      </c>
    </row>
    <row r="299" spans="1:14" ht="13.2">
      <c r="A299" s="369"/>
      <c r="B299" s="101">
        <v>1</v>
      </c>
      <c r="C299" s="28" t="s">
        <v>979</v>
      </c>
      <c r="D299" s="28" t="s">
        <v>980</v>
      </c>
      <c r="E299" s="101" t="s">
        <v>444</v>
      </c>
      <c r="F299" s="100">
        <v>48300</v>
      </c>
      <c r="G299" s="102">
        <f>+ SUMIF('Nhập kho T42024'!B:B, C299,'Nhập kho T42024'!F:F)</f>
        <v>0</v>
      </c>
      <c r="H299" s="101">
        <f>+ SUMIF('Doanh thu'!A:A, C299,'Doanh thu'!E:E) + SUMIF('Doanh thu 2025'!B:B, C299,'Doanh thu 2025'!E:E)</f>
        <v>10</v>
      </c>
      <c r="I299" s="101">
        <f>G299-H299+5+5</f>
        <v>0</v>
      </c>
      <c r="J299" s="103">
        <f t="shared" si="40"/>
        <v>507840</v>
      </c>
      <c r="K299" s="104">
        <f>+ SUMIF('Doanh thu'!A:A, C299,'Doanh thu'!F:F)</f>
        <v>507840</v>
      </c>
      <c r="L299" s="93">
        <f t="shared" si="50"/>
        <v>0</v>
      </c>
      <c r="M299" s="93">
        <f t="shared" si="51"/>
        <v>440000</v>
      </c>
      <c r="N299" s="93">
        <f t="shared" si="52"/>
        <v>440000</v>
      </c>
    </row>
    <row r="300" spans="1:14" ht="13.2">
      <c r="A300" s="369"/>
      <c r="B300" s="101">
        <v>1</v>
      </c>
      <c r="C300" s="28" t="s">
        <v>981</v>
      </c>
      <c r="D300" s="28" t="s">
        <v>982</v>
      </c>
      <c r="E300" s="101" t="s">
        <v>444</v>
      </c>
      <c r="F300" s="100">
        <v>56580</v>
      </c>
      <c r="G300" s="102">
        <f>+ SUMIF('Nhập kho T42024'!B:B, C300,'Nhập kho T42024'!F:F)</f>
        <v>119</v>
      </c>
      <c r="H300" s="101">
        <f>+ SUMIF('Doanh thu'!A:A, C300,'Doanh thu'!E:E) + SUMIF('Doanh thu 2025'!B:B, C300,'Doanh thu 2025'!E:E)</f>
        <v>76</v>
      </c>
      <c r="I300" s="101">
        <f>G300-H300-4+1</f>
        <v>40</v>
      </c>
      <c r="J300" s="103">
        <f t="shared" si="40"/>
        <v>2263200</v>
      </c>
      <c r="K300" s="104">
        <f>+ SUMIF('Doanh thu'!A:A, C300,'Doanh thu'!F:F)</f>
        <v>2263200</v>
      </c>
      <c r="L300" s="93">
        <f t="shared" si="50"/>
        <v>2532320</v>
      </c>
      <c r="M300" s="93">
        <f t="shared" si="51"/>
        <v>3344000</v>
      </c>
      <c r="N300" s="93">
        <f t="shared" si="52"/>
        <v>811680</v>
      </c>
    </row>
    <row r="301" spans="1:14" ht="13.2">
      <c r="A301" s="369"/>
      <c r="B301" s="101">
        <v>1</v>
      </c>
      <c r="C301" s="28" t="s">
        <v>983</v>
      </c>
      <c r="D301" s="28" t="s">
        <v>984</v>
      </c>
      <c r="E301" s="101" t="s">
        <v>444</v>
      </c>
      <c r="F301" s="100">
        <v>48300</v>
      </c>
      <c r="G301" s="102">
        <f>+ SUMIF('Nhập kho T42024'!B:B, C301,'Nhập kho T42024'!F:F)</f>
        <v>0</v>
      </c>
      <c r="H301" s="101">
        <f>+ SUMIF('Doanh thu'!A:A, C301,'Doanh thu'!E:E) + SUMIF('Doanh thu 2025'!B:B, C301,'Doanh thu 2025'!E:E)</f>
        <v>0</v>
      </c>
      <c r="I301" s="101">
        <f>G301-H301</f>
        <v>0</v>
      </c>
      <c r="J301" s="103">
        <f t="shared" si="40"/>
        <v>0</v>
      </c>
      <c r="K301" s="104">
        <f>+ SUMIF('Doanh thu'!A:A, C301,'Doanh thu'!F:F)</f>
        <v>0</v>
      </c>
      <c r="L301" s="93">
        <f t="shared" si="50"/>
        <v>0</v>
      </c>
      <c r="M301" s="93">
        <f t="shared" si="51"/>
        <v>0</v>
      </c>
      <c r="N301" s="93">
        <f t="shared" si="52"/>
        <v>0</v>
      </c>
    </row>
    <row r="302" spans="1:14" ht="13.2">
      <c r="A302" s="369"/>
      <c r="B302" s="101">
        <v>1</v>
      </c>
      <c r="C302" s="28" t="s">
        <v>985</v>
      </c>
      <c r="D302" s="28" t="s">
        <v>986</v>
      </c>
      <c r="E302" s="101" t="s">
        <v>444</v>
      </c>
      <c r="F302" s="100">
        <v>56580</v>
      </c>
      <c r="G302" s="102">
        <f>+ SUMIF('Nhập kho T42024'!B:B, C302,'Nhập kho T42024'!F:F)</f>
        <v>30</v>
      </c>
      <c r="H302" s="101">
        <f>+ SUMIF('Doanh thu'!A:A, C302,'Doanh thu'!E:E) + SUMIF('Doanh thu 2025'!B:B, C302,'Doanh thu 2025'!E:E)</f>
        <v>27</v>
      </c>
      <c r="I302" s="101">
        <f>G302-H302+4+9</f>
        <v>16</v>
      </c>
      <c r="J302" s="103">
        <f t="shared" si="40"/>
        <v>622380</v>
      </c>
      <c r="K302" s="104">
        <f>+ SUMIF('Doanh thu'!A:A, C302,'Doanh thu'!F:F)</f>
        <v>622380</v>
      </c>
      <c r="L302" s="93">
        <f t="shared" si="50"/>
        <v>638400</v>
      </c>
      <c r="M302" s="93">
        <f t="shared" si="51"/>
        <v>1188000</v>
      </c>
      <c r="N302" s="93">
        <f t="shared" si="52"/>
        <v>549600</v>
      </c>
    </row>
    <row r="303" spans="1:14" ht="13.2">
      <c r="A303" s="369"/>
      <c r="B303" s="101">
        <v>1</v>
      </c>
      <c r="C303" s="28" t="s">
        <v>987</v>
      </c>
      <c r="D303" s="28" t="s">
        <v>988</v>
      </c>
      <c r="E303" s="101" t="s">
        <v>444</v>
      </c>
      <c r="F303" s="100">
        <v>56580</v>
      </c>
      <c r="G303" s="102">
        <f>+ SUMIF('Nhập kho T42024'!B:B, C303,'Nhập kho T42024'!F:F)</f>
        <v>51</v>
      </c>
      <c r="H303" s="101">
        <f>+ SUMIF('Doanh thu'!A:A, C303,'Doanh thu'!E:E) + SUMIF('Doanh thu 2025'!B:B, C303,'Doanh thu 2025'!E:E)</f>
        <v>45</v>
      </c>
      <c r="I303" s="101">
        <f>G303-H303-12+12</f>
        <v>6</v>
      </c>
      <c r="J303" s="103">
        <f t="shared" si="40"/>
        <v>1188180</v>
      </c>
      <c r="K303" s="104">
        <f>+ SUMIF('Doanh thu'!A:A, C303,'Doanh thu'!F:F)</f>
        <v>1188180</v>
      </c>
      <c r="L303" s="93">
        <f t="shared" si="50"/>
        <v>1085280</v>
      </c>
      <c r="M303" s="93">
        <f t="shared" si="51"/>
        <v>1980000</v>
      </c>
      <c r="N303" s="93">
        <f t="shared" si="52"/>
        <v>894720</v>
      </c>
    </row>
    <row r="304" spans="1:14" ht="13.2">
      <c r="B304" s="101">
        <v>1</v>
      </c>
      <c r="C304" s="28" t="s">
        <v>989</v>
      </c>
      <c r="D304" s="28" t="s">
        <v>990</v>
      </c>
      <c r="E304" s="101" t="s">
        <v>444</v>
      </c>
      <c r="F304" s="100">
        <v>59000</v>
      </c>
      <c r="G304" s="102">
        <f>+ SUMIF('Nhập kho T42024'!B:B, C304,'Nhập kho T42024'!F:F)</f>
        <v>136</v>
      </c>
      <c r="H304" s="101">
        <f>+ SUMIF('Doanh thu'!A:A, C304,'Doanh thu'!E:E) + SUMIF('Doanh thu 2025'!B:B, C304,'Doanh thu 2025'!E:E)</f>
        <v>60</v>
      </c>
      <c r="I304" s="101">
        <f>G304-H304-10</f>
        <v>66</v>
      </c>
      <c r="J304" s="103">
        <f t="shared" si="40"/>
        <v>3422000</v>
      </c>
      <c r="K304" s="104">
        <f>+ SUMIF('Doanh thu'!A:A, C304,'Doanh thu'!F:F)</f>
        <v>3422000</v>
      </c>
      <c r="L304" s="93">
        <f t="shared" si="50"/>
        <v>2894080</v>
      </c>
      <c r="M304" s="93">
        <f t="shared" si="51"/>
        <v>2640000</v>
      </c>
      <c r="N304" s="93">
        <f t="shared" si="52"/>
        <v>-254080</v>
      </c>
    </row>
    <row r="305" spans="2:14" ht="13.2">
      <c r="B305" s="101"/>
      <c r="C305" s="28" t="s">
        <v>991</v>
      </c>
      <c r="D305" s="28" t="s">
        <v>992</v>
      </c>
      <c r="E305" s="101" t="s">
        <v>444</v>
      </c>
      <c r="F305" s="100">
        <v>59000</v>
      </c>
      <c r="G305" s="102">
        <f>+ SUMIF('Nhập kho T42024'!B:B, C305,'Nhập kho T42024'!F:F)</f>
        <v>109</v>
      </c>
      <c r="H305" s="101">
        <f>+ SUMIF('Doanh thu'!A:A, C305,'Doanh thu'!E:E) + SUMIF('Doanh thu 2025'!B:B, C305,'Doanh thu 2025'!E:E)</f>
        <v>104</v>
      </c>
      <c r="I305" s="101">
        <f t="shared" ref="I305:I306" si="53">G305-H305</f>
        <v>5</v>
      </c>
      <c r="J305" s="103">
        <f t="shared" si="40"/>
        <v>6077000</v>
      </c>
      <c r="K305" s="104">
        <f>+ SUMIF('Doanh thu'!A:A, C305,'Doanh thu'!F:F)</f>
        <v>6077000</v>
      </c>
      <c r="L305" s="93">
        <f t="shared" si="50"/>
        <v>2319520</v>
      </c>
      <c r="M305" s="93">
        <f>H305*46000</f>
        <v>4784000</v>
      </c>
      <c r="N305" s="93">
        <f t="shared" si="52"/>
        <v>2464480</v>
      </c>
    </row>
    <row r="306" spans="2:14" ht="13.2">
      <c r="B306" s="101"/>
      <c r="C306" s="28" t="s">
        <v>993</v>
      </c>
      <c r="D306" s="28" t="s">
        <v>994</v>
      </c>
      <c r="E306" s="101" t="s">
        <v>444</v>
      </c>
      <c r="F306" s="100">
        <v>59000</v>
      </c>
      <c r="G306" s="102">
        <f>+ SUMIF('Nhập kho T42024'!B:B, C306,'Nhập kho T42024'!F:F)</f>
        <v>41</v>
      </c>
      <c r="H306" s="101">
        <f>+ SUMIF('Doanh thu'!A:A, C306,'Doanh thu'!E:E) + SUMIF('Doanh thu 2025'!B:B, C306,'Doanh thu 2025'!E:E)</f>
        <v>39</v>
      </c>
      <c r="I306" s="101">
        <f t="shared" si="53"/>
        <v>2</v>
      </c>
      <c r="J306" s="103">
        <f t="shared" si="40"/>
        <v>2301000</v>
      </c>
      <c r="K306" s="104">
        <f>+ SUMIF('Doanh thu'!A:A, C306,'Doanh thu'!F:F)</f>
        <v>2301000</v>
      </c>
      <c r="L306" s="93">
        <f>G306*3500*6.8</f>
        <v>975800</v>
      </c>
      <c r="M306" s="93">
        <f>H306*44000</f>
        <v>1716000</v>
      </c>
      <c r="N306" s="93">
        <f t="shared" si="52"/>
        <v>740200</v>
      </c>
    </row>
    <row r="307" spans="2:14" ht="13.2">
      <c r="B307" s="101">
        <v>1</v>
      </c>
      <c r="C307" s="28" t="s">
        <v>995</v>
      </c>
      <c r="D307" s="28" t="s">
        <v>996</v>
      </c>
      <c r="E307" s="101" t="s">
        <v>444</v>
      </c>
      <c r="F307" s="100">
        <v>39000</v>
      </c>
      <c r="G307" s="102">
        <f>+ SUMIF('Nhập kho T42024'!B:B, C307,'Nhập kho T42024'!F:F)</f>
        <v>0</v>
      </c>
      <c r="H307" s="101">
        <f>+ SUMIF('Doanh thu'!A:A, C307,'Doanh thu'!E:E) + SUMIF('Doanh thu 2025'!B:B, C307,'Doanh thu 2025'!E:E)</f>
        <v>8</v>
      </c>
      <c r="I307" s="101">
        <f>G307-H307+16</f>
        <v>8</v>
      </c>
      <c r="J307" s="103">
        <f t="shared" si="40"/>
        <v>312000</v>
      </c>
      <c r="K307" s="104">
        <f>+ SUMIF('Doanh thu'!A:A, C307,'Doanh thu'!F:F)</f>
        <v>312000</v>
      </c>
      <c r="L307" s="93">
        <f t="shared" ref="L307:L310" si="54">G307*3500*6.08</f>
        <v>0</v>
      </c>
      <c r="M307" s="93">
        <f>H307*33000</f>
        <v>264000</v>
      </c>
      <c r="N307" s="93">
        <f t="shared" si="52"/>
        <v>264000</v>
      </c>
    </row>
    <row r="308" spans="2:14" ht="13.2">
      <c r="B308" s="101">
        <v>1</v>
      </c>
      <c r="C308" s="28" t="s">
        <v>997</v>
      </c>
      <c r="D308" s="28" t="s">
        <v>998</v>
      </c>
      <c r="E308" s="101" t="s">
        <v>444</v>
      </c>
      <c r="F308" s="100">
        <v>39000</v>
      </c>
      <c r="G308" s="102">
        <f>+ SUMIF('Nhập kho T42024'!B:B, C308,'Nhập kho T42024'!F:F)</f>
        <v>0</v>
      </c>
      <c r="H308" s="101">
        <f>+ SUMIF('Doanh thu'!A:A, C308,'Doanh thu'!E:E) + SUMIF('Doanh thu 2025'!B:B, C308,'Doanh thu 2025'!E:E)</f>
        <v>7</v>
      </c>
      <c r="I308" s="101">
        <f>G308-H308+17</f>
        <v>10</v>
      </c>
      <c r="J308" s="103">
        <f t="shared" si="40"/>
        <v>273000</v>
      </c>
      <c r="K308" s="104">
        <f>+ SUMIF('Doanh thu'!A:A, C308,'Doanh thu'!F:F)</f>
        <v>273000</v>
      </c>
      <c r="L308" s="93">
        <f t="shared" si="54"/>
        <v>0</v>
      </c>
      <c r="M308" s="93">
        <f t="shared" ref="M308:M310" si="55">H308</f>
        <v>7</v>
      </c>
      <c r="N308" s="93">
        <f t="shared" si="52"/>
        <v>7</v>
      </c>
    </row>
    <row r="309" spans="2:14" ht="13.2">
      <c r="B309" s="101">
        <v>1</v>
      </c>
      <c r="C309" s="28" t="s">
        <v>999</v>
      </c>
      <c r="D309" s="28" t="s">
        <v>1000</v>
      </c>
      <c r="E309" s="101" t="s">
        <v>444</v>
      </c>
      <c r="F309" s="100">
        <v>39000</v>
      </c>
      <c r="G309" s="102">
        <f>+ SUMIF('Nhập kho T42024'!B:B, C309,'Nhập kho T42024'!F:F)</f>
        <v>0</v>
      </c>
      <c r="H309" s="101">
        <f>+ SUMIF('Doanh thu'!A:A, C309,'Doanh thu'!E:E) + SUMIF('Doanh thu 2025'!B:B, C309,'Doanh thu 2025'!E:E)</f>
        <v>5</v>
      </c>
      <c r="I309" s="101">
        <f>G309-H309+16</f>
        <v>11</v>
      </c>
      <c r="J309" s="103">
        <f t="shared" si="40"/>
        <v>195000</v>
      </c>
      <c r="K309" s="104">
        <f>+ SUMIF('Doanh thu'!A:A, C309,'Doanh thu'!F:F)</f>
        <v>195000</v>
      </c>
      <c r="L309" s="93">
        <f t="shared" si="54"/>
        <v>0</v>
      </c>
      <c r="M309" s="93">
        <f t="shared" si="55"/>
        <v>5</v>
      </c>
      <c r="N309" s="93">
        <f t="shared" si="52"/>
        <v>5</v>
      </c>
    </row>
    <row r="310" spans="2:14" ht="13.2">
      <c r="B310" s="101">
        <v>1</v>
      </c>
      <c r="C310" s="28" t="s">
        <v>1001</v>
      </c>
      <c r="D310" s="28" t="s">
        <v>1002</v>
      </c>
      <c r="E310" s="101" t="s">
        <v>444</v>
      </c>
      <c r="F310" s="100">
        <v>39000</v>
      </c>
      <c r="G310" s="102">
        <f>+ SUMIF('Nhập kho T42024'!B:B, C310,'Nhập kho T42024'!F:F)</f>
        <v>0</v>
      </c>
      <c r="H310" s="101">
        <f>+ SUMIF('Doanh thu'!A:A, C310,'Doanh thu'!E:E) + SUMIF('Doanh thu 2025'!B:B, C310,'Doanh thu 2025'!E:E)</f>
        <v>7</v>
      </c>
      <c r="I310" s="101">
        <f>G310-H310+15</f>
        <v>8</v>
      </c>
      <c r="J310" s="103">
        <f t="shared" si="40"/>
        <v>273000</v>
      </c>
      <c r="K310" s="104">
        <f>+ SUMIF('Doanh thu'!A:A, C310,'Doanh thu'!F:F)</f>
        <v>273000</v>
      </c>
      <c r="L310" s="93">
        <f t="shared" si="54"/>
        <v>0</v>
      </c>
      <c r="M310" s="93">
        <f t="shared" si="55"/>
        <v>7</v>
      </c>
      <c r="N310" s="93">
        <f t="shared" si="52"/>
        <v>7</v>
      </c>
    </row>
    <row r="311" spans="2:14" ht="13.2">
      <c r="B311" s="101">
        <v>1</v>
      </c>
      <c r="C311" s="28" t="s">
        <v>1003</v>
      </c>
      <c r="D311" s="28" t="s">
        <v>1004</v>
      </c>
      <c r="E311" s="101" t="s">
        <v>444</v>
      </c>
      <c r="F311" s="100">
        <v>39000</v>
      </c>
      <c r="G311" s="102">
        <f>+ SUMIF('Nhập kho T42024'!B:B, C311,'Nhập kho T42024'!F:F)</f>
        <v>0</v>
      </c>
      <c r="H311" s="101">
        <f>+ SUMIF('Doanh thu'!A:A, C311,'Doanh thu'!E:E) + SUMIF('Doanh thu 2025'!B:B, C311,'Doanh thu 2025'!E:E)</f>
        <v>2</v>
      </c>
      <c r="I311" s="101">
        <f>G311-H311+1</f>
        <v>-1</v>
      </c>
      <c r="J311" s="103">
        <f t="shared" si="40"/>
        <v>39000</v>
      </c>
      <c r="K311" s="104">
        <f>+ SUMIF('Doanh thu'!A:A, C311,'Doanh thu'!F:F)</f>
        <v>39000</v>
      </c>
      <c r="L311" s="93"/>
      <c r="M311" s="93"/>
      <c r="N311" s="93"/>
    </row>
    <row r="312" spans="2:14" ht="13.2">
      <c r="B312" s="101">
        <v>1</v>
      </c>
      <c r="C312" s="28" t="s">
        <v>1005</v>
      </c>
      <c r="D312" s="28" t="s">
        <v>1006</v>
      </c>
      <c r="E312" s="101" t="s">
        <v>444</v>
      </c>
      <c r="F312" s="100">
        <v>39000</v>
      </c>
      <c r="G312" s="102">
        <f>+ SUMIF('Nhập kho T42024'!B:B, C312,'Nhập kho T42024'!F:F)</f>
        <v>0</v>
      </c>
      <c r="H312" s="101">
        <f>+ SUMIF('Doanh thu'!A:A, C312,'Doanh thu'!E:E) + SUMIF('Doanh thu 2025'!B:B, C312,'Doanh thu 2025'!E:E)</f>
        <v>2</v>
      </c>
      <c r="I312" s="101">
        <f t="shared" ref="I312:I321" si="56">G312-H312+14</f>
        <v>12</v>
      </c>
      <c r="J312" s="103">
        <f t="shared" si="40"/>
        <v>78000</v>
      </c>
      <c r="K312" s="104">
        <f>+ SUMIF('Doanh thu'!A:A, C312,'Doanh thu'!F:F)</f>
        <v>78000</v>
      </c>
      <c r="L312" s="93"/>
      <c r="M312" s="93"/>
      <c r="N312" s="93"/>
    </row>
    <row r="313" spans="2:14" ht="13.2">
      <c r="B313" s="101">
        <v>1</v>
      </c>
      <c r="C313" s="28" t="s">
        <v>1007</v>
      </c>
      <c r="D313" s="28" t="s">
        <v>1008</v>
      </c>
      <c r="E313" s="101" t="s">
        <v>444</v>
      </c>
      <c r="F313" s="100">
        <v>39000</v>
      </c>
      <c r="G313" s="102">
        <f>+ SUMIF('Nhập kho T42024'!B:B, C313,'Nhập kho T42024'!F:F)</f>
        <v>0</v>
      </c>
      <c r="H313" s="101">
        <f>+ SUMIF('Doanh thu'!A:A, C313,'Doanh thu'!E:E) + SUMIF('Doanh thu 2025'!B:B, C313,'Doanh thu 2025'!E:E)</f>
        <v>2</v>
      </c>
      <c r="I313" s="101">
        <f t="shared" si="56"/>
        <v>12</v>
      </c>
      <c r="J313" s="103">
        <f t="shared" si="40"/>
        <v>78000</v>
      </c>
      <c r="K313" s="104">
        <f>+ SUMIF('Doanh thu'!A:A, C313,'Doanh thu'!F:F)</f>
        <v>78000</v>
      </c>
      <c r="L313" s="93"/>
      <c r="M313" s="93"/>
      <c r="N313" s="93"/>
    </row>
    <row r="314" spans="2:14" ht="13.2">
      <c r="B314" s="101">
        <v>1</v>
      </c>
      <c r="C314" s="28" t="s">
        <v>1009</v>
      </c>
      <c r="D314" s="28" t="s">
        <v>1010</v>
      </c>
      <c r="E314" s="101" t="s">
        <v>444</v>
      </c>
      <c r="F314" s="100">
        <v>39000</v>
      </c>
      <c r="G314" s="102">
        <f>+ SUMIF('Nhập kho T42024'!B:B, C314,'Nhập kho T42024'!F:F)</f>
        <v>0</v>
      </c>
      <c r="H314" s="101">
        <f>+ SUMIF('Doanh thu'!A:A, C314,'Doanh thu'!E:E) + SUMIF('Doanh thu 2025'!B:B, C314,'Doanh thu 2025'!E:E)</f>
        <v>4</v>
      </c>
      <c r="I314" s="101">
        <f t="shared" si="56"/>
        <v>10</v>
      </c>
      <c r="J314" s="103">
        <f t="shared" si="40"/>
        <v>156000</v>
      </c>
      <c r="K314" s="104">
        <f>+ SUMIF('Doanh thu'!A:A, C314,'Doanh thu'!F:F)</f>
        <v>156000</v>
      </c>
      <c r="L314" s="93"/>
      <c r="M314" s="93"/>
      <c r="N314" s="93"/>
    </row>
    <row r="315" spans="2:14" ht="13.2">
      <c r="B315" s="101">
        <v>1</v>
      </c>
      <c r="C315" s="28" t="s">
        <v>1011</v>
      </c>
      <c r="D315" s="28" t="s">
        <v>1012</v>
      </c>
      <c r="E315" s="101" t="s">
        <v>444</v>
      </c>
      <c r="F315" s="100">
        <v>39000</v>
      </c>
      <c r="G315" s="102">
        <f>+ SUMIF('Nhập kho T42024'!B:B, C315,'Nhập kho T42024'!F:F)</f>
        <v>0</v>
      </c>
      <c r="H315" s="101">
        <f>+ SUMIF('Doanh thu'!A:A, C315,'Doanh thu'!E:E) + SUMIF('Doanh thu 2025'!B:B, C315,'Doanh thu 2025'!E:E)</f>
        <v>2</v>
      </c>
      <c r="I315" s="101">
        <f t="shared" si="56"/>
        <v>12</v>
      </c>
      <c r="J315" s="103">
        <f t="shared" si="40"/>
        <v>78000</v>
      </c>
      <c r="K315" s="104">
        <f>+ SUMIF('Doanh thu'!A:A, C315,'Doanh thu'!F:F)</f>
        <v>78000</v>
      </c>
      <c r="L315" s="93"/>
      <c r="M315" s="93"/>
      <c r="N315" s="93"/>
    </row>
    <row r="316" spans="2:14" ht="13.2">
      <c r="B316" s="101">
        <v>1</v>
      </c>
      <c r="C316" s="28" t="s">
        <v>1013</v>
      </c>
      <c r="D316" s="28" t="s">
        <v>1014</v>
      </c>
      <c r="E316" s="101" t="s">
        <v>444</v>
      </c>
      <c r="F316" s="100">
        <v>39000</v>
      </c>
      <c r="G316" s="102">
        <f>+ SUMIF('Nhập kho T42024'!B:B, C316,'Nhập kho T42024'!F:F)</f>
        <v>0</v>
      </c>
      <c r="H316" s="101">
        <f>+ SUMIF('Doanh thu'!A:A, C316,'Doanh thu'!E:E) + SUMIF('Doanh thu 2025'!B:B, C316,'Doanh thu 2025'!E:E)</f>
        <v>1</v>
      </c>
      <c r="I316" s="101">
        <f t="shared" si="56"/>
        <v>13</v>
      </c>
      <c r="J316" s="103">
        <f t="shared" si="40"/>
        <v>39000</v>
      </c>
      <c r="K316" s="104">
        <f>+ SUMIF('Doanh thu'!A:A, C316,'Doanh thu'!F:F)</f>
        <v>39000</v>
      </c>
      <c r="L316" s="93"/>
      <c r="M316" s="93"/>
      <c r="N316" s="93"/>
    </row>
    <row r="317" spans="2:14" ht="13.2">
      <c r="B317" s="101">
        <v>1</v>
      </c>
      <c r="C317" s="28" t="s">
        <v>1015</v>
      </c>
      <c r="D317" s="28" t="s">
        <v>1016</v>
      </c>
      <c r="E317" s="101" t="s">
        <v>444</v>
      </c>
      <c r="F317" s="100">
        <v>39000</v>
      </c>
      <c r="G317" s="102">
        <f>+ SUMIF('Nhập kho T42024'!B:B, C317,'Nhập kho T42024'!F:F)</f>
        <v>0</v>
      </c>
      <c r="H317" s="101">
        <f>+ SUMIF('Doanh thu'!A:A, C317,'Doanh thu'!E:E) + SUMIF('Doanh thu 2025'!B:B, C317,'Doanh thu 2025'!E:E)</f>
        <v>1</v>
      </c>
      <c r="I317" s="101">
        <f t="shared" si="56"/>
        <v>13</v>
      </c>
      <c r="J317" s="103">
        <f t="shared" si="40"/>
        <v>39000</v>
      </c>
      <c r="K317" s="104">
        <f>+ SUMIF('Doanh thu'!A:A, C317,'Doanh thu'!F:F)</f>
        <v>39000</v>
      </c>
      <c r="L317" s="93"/>
      <c r="M317" s="93"/>
      <c r="N317" s="93"/>
    </row>
    <row r="318" spans="2:14" ht="13.2">
      <c r="B318" s="101">
        <v>1</v>
      </c>
      <c r="C318" s="28" t="s">
        <v>1017</v>
      </c>
      <c r="D318" s="28" t="s">
        <v>1018</v>
      </c>
      <c r="E318" s="101" t="s">
        <v>444</v>
      </c>
      <c r="F318" s="100">
        <v>39000</v>
      </c>
      <c r="G318" s="102">
        <f>+ SUMIF('Nhập kho T42024'!B:B, C318,'Nhập kho T42024'!F:F)</f>
        <v>0</v>
      </c>
      <c r="H318" s="101">
        <f>+ SUMIF('Doanh thu'!A:A, C318,'Doanh thu'!E:E) + SUMIF('Doanh thu 2025'!B:B, C318,'Doanh thu 2025'!E:E)</f>
        <v>3</v>
      </c>
      <c r="I318" s="101">
        <f t="shared" si="56"/>
        <v>11</v>
      </c>
      <c r="J318" s="103">
        <f t="shared" si="40"/>
        <v>117000</v>
      </c>
      <c r="K318" s="104">
        <f>+ SUMIF('Doanh thu'!A:A, C318,'Doanh thu'!F:F)</f>
        <v>117000</v>
      </c>
      <c r="L318" s="93"/>
      <c r="M318" s="93"/>
      <c r="N318" s="93"/>
    </row>
    <row r="319" spans="2:14" ht="13.2">
      <c r="B319" s="101">
        <v>1</v>
      </c>
      <c r="C319" s="28" t="s">
        <v>1019</v>
      </c>
      <c r="D319" s="28" t="s">
        <v>1020</v>
      </c>
      <c r="E319" s="101" t="s">
        <v>444</v>
      </c>
      <c r="F319" s="100">
        <v>39000</v>
      </c>
      <c r="G319" s="102">
        <f>+ SUMIF('Nhập kho T42024'!B:B, C319,'Nhập kho T42024'!F:F)</f>
        <v>0</v>
      </c>
      <c r="H319" s="101">
        <f>+ SUMIF('Doanh thu'!A:A, C319,'Doanh thu'!E:E) + SUMIF('Doanh thu 2025'!B:B, C319,'Doanh thu 2025'!E:E)</f>
        <v>1</v>
      </c>
      <c r="I319" s="101">
        <f t="shared" si="56"/>
        <v>13</v>
      </c>
      <c r="J319" s="103">
        <f t="shared" si="40"/>
        <v>39000</v>
      </c>
      <c r="K319" s="104">
        <f>+ SUMIF('Doanh thu'!A:A, C319,'Doanh thu'!F:F)</f>
        <v>39000</v>
      </c>
      <c r="L319" s="93"/>
      <c r="M319" s="93"/>
      <c r="N319" s="93"/>
    </row>
    <row r="320" spans="2:14" ht="13.2">
      <c r="B320" s="101">
        <v>1</v>
      </c>
      <c r="C320" s="28" t="s">
        <v>1021</v>
      </c>
      <c r="D320" s="28" t="s">
        <v>1022</v>
      </c>
      <c r="E320" s="101" t="s">
        <v>444</v>
      </c>
      <c r="F320" s="100">
        <v>39000</v>
      </c>
      <c r="G320" s="102">
        <f>+ SUMIF('Nhập kho T42024'!B:B, C320,'Nhập kho T42024'!F:F)</f>
        <v>0</v>
      </c>
      <c r="H320" s="101">
        <f>+ SUMIF('Doanh thu'!A:A, C320,'Doanh thu'!E:E) + SUMIF('Doanh thu 2025'!B:B, C320,'Doanh thu 2025'!E:E)</f>
        <v>1</v>
      </c>
      <c r="I320" s="101">
        <f t="shared" si="56"/>
        <v>13</v>
      </c>
      <c r="J320" s="103">
        <f t="shared" si="40"/>
        <v>39000</v>
      </c>
      <c r="K320" s="104">
        <f>+ SUMIF('Doanh thu'!A:A, C320,'Doanh thu'!F:F)</f>
        <v>39000</v>
      </c>
      <c r="L320" s="93"/>
      <c r="M320" s="93"/>
      <c r="N320" s="93"/>
    </row>
    <row r="321" spans="2:14" ht="13.2">
      <c r="B321" s="101">
        <v>1</v>
      </c>
      <c r="C321" s="28" t="s">
        <v>1023</v>
      </c>
      <c r="D321" s="28" t="s">
        <v>1024</v>
      </c>
      <c r="E321" s="101" t="s">
        <v>444</v>
      </c>
      <c r="F321" s="100">
        <v>39000</v>
      </c>
      <c r="G321" s="102">
        <f>+ SUMIF('Nhập kho T42024'!B:B, C321,'Nhập kho T42024'!F:F)</f>
        <v>0</v>
      </c>
      <c r="H321" s="101">
        <f>+ SUMIF('Doanh thu'!A:A, C321,'Doanh thu'!E:E) + SUMIF('Doanh thu 2025'!B:B, C321,'Doanh thu 2025'!E:E)</f>
        <v>1</v>
      </c>
      <c r="I321" s="101">
        <f t="shared" si="56"/>
        <v>13</v>
      </c>
      <c r="J321" s="103">
        <f t="shared" si="40"/>
        <v>39000</v>
      </c>
      <c r="K321" s="104">
        <f>+ SUMIF('Doanh thu'!A:A, C321,'Doanh thu'!F:F)</f>
        <v>39000</v>
      </c>
      <c r="L321" s="93"/>
      <c r="M321" s="93"/>
      <c r="N321" s="93"/>
    </row>
    <row r="322" spans="2:14" ht="13.2">
      <c r="B322" s="101">
        <v>1</v>
      </c>
      <c r="C322" s="28" t="s">
        <v>1025</v>
      </c>
      <c r="D322" s="28" t="s">
        <v>1026</v>
      </c>
      <c r="E322" s="101" t="s">
        <v>444</v>
      </c>
      <c r="F322" s="100">
        <v>37800</v>
      </c>
      <c r="G322" s="102">
        <f>+ SUMIF('Nhập kho T42024'!B:B, C322,'Nhập kho T42024'!F:F)</f>
        <v>56</v>
      </c>
      <c r="H322" s="101">
        <f>+ SUMIF('Doanh thu'!A:A, C322,'Doanh thu'!E:E) + SUMIF('Doanh thu 2025'!B:B, C322,'Doanh thu 2025'!E:E)</f>
        <v>63</v>
      </c>
      <c r="I322" s="101">
        <f>G322-H322+16</f>
        <v>9</v>
      </c>
      <c r="J322" s="103">
        <f t="shared" si="40"/>
        <v>2381400</v>
      </c>
      <c r="K322" s="104">
        <f>+ SUMIF('Doanh thu'!A:A, C322,'Doanh thu'!F:F)</f>
        <v>2381400</v>
      </c>
      <c r="L322" s="93"/>
      <c r="M322" s="93"/>
      <c r="N322" s="93"/>
    </row>
    <row r="323" spans="2:14" ht="13.2">
      <c r="B323" s="101">
        <v>1</v>
      </c>
      <c r="C323" s="28" t="s">
        <v>1027</v>
      </c>
      <c r="D323" s="28" t="s">
        <v>1028</v>
      </c>
      <c r="E323" s="101" t="s">
        <v>444</v>
      </c>
      <c r="F323" s="100">
        <v>37800</v>
      </c>
      <c r="G323" s="102">
        <f>+ SUMIF('Nhập kho T42024'!B:B, C323,'Nhập kho T42024'!F:F)</f>
        <v>61</v>
      </c>
      <c r="H323" s="101">
        <f>+ SUMIF('Doanh thu'!A:A, C323,'Doanh thu'!E:E) + SUMIF('Doanh thu 2025'!B:B, C323,'Doanh thu 2025'!E:E)</f>
        <v>72</v>
      </c>
      <c r="I323" s="101">
        <f>G323-H323+17</f>
        <v>6</v>
      </c>
      <c r="J323" s="103">
        <f t="shared" si="40"/>
        <v>2419200</v>
      </c>
      <c r="K323" s="104">
        <f>+ SUMIF('Doanh thu'!A:A, C323,'Doanh thu'!F:F)</f>
        <v>2419200</v>
      </c>
      <c r="L323" s="93"/>
      <c r="M323" s="93"/>
      <c r="N323" s="93"/>
    </row>
    <row r="324" spans="2:14" ht="13.2">
      <c r="B324" s="101">
        <v>1</v>
      </c>
      <c r="C324" s="28" t="s">
        <v>1029</v>
      </c>
      <c r="D324" s="28" t="s">
        <v>1030</v>
      </c>
      <c r="E324" s="101" t="s">
        <v>444</v>
      </c>
      <c r="F324" s="100">
        <v>37800</v>
      </c>
      <c r="G324" s="102">
        <f>+ SUMIF('Nhập kho T42024'!B:B, C324,'Nhập kho T42024'!F:F)</f>
        <v>41</v>
      </c>
      <c r="H324" s="101">
        <f>+ SUMIF('Doanh thu'!A:A, C324,'Doanh thu'!E:E) + SUMIF('Doanh thu 2025'!B:B, C324,'Doanh thu 2025'!E:E)</f>
        <v>45</v>
      </c>
      <c r="I324" s="101">
        <f>G324-H324+16</f>
        <v>12</v>
      </c>
      <c r="J324" s="103">
        <f t="shared" si="40"/>
        <v>1512000</v>
      </c>
      <c r="K324" s="104">
        <f>+ SUMIF('Doanh thu'!A:A, C324,'Doanh thu'!F:F)</f>
        <v>1512000</v>
      </c>
      <c r="L324" s="93"/>
      <c r="M324" s="93"/>
      <c r="N324" s="93"/>
    </row>
    <row r="325" spans="2:14" ht="13.2">
      <c r="B325" s="101">
        <v>1</v>
      </c>
      <c r="C325" s="28" t="s">
        <v>1031</v>
      </c>
      <c r="D325" s="28" t="s">
        <v>1032</v>
      </c>
      <c r="E325" s="101" t="s">
        <v>444</v>
      </c>
      <c r="F325" s="100">
        <v>37800</v>
      </c>
      <c r="G325" s="102">
        <f>+ SUMIF('Nhập kho T42024'!B:B, C325,'Nhập kho T42024'!F:F)</f>
        <v>54</v>
      </c>
      <c r="H325" s="101">
        <f>+ SUMIF('Doanh thu'!A:A, C325,'Doanh thu'!E:E) + SUMIF('Doanh thu 2025'!B:B, C325,'Doanh thu 2025'!E:E)</f>
        <v>61</v>
      </c>
      <c r="I325" s="101">
        <f>G325-H325+17</f>
        <v>10</v>
      </c>
      <c r="J325" s="103">
        <f t="shared" si="40"/>
        <v>2041200</v>
      </c>
      <c r="K325" s="104">
        <f>+ SUMIF('Doanh thu'!A:A, C325,'Doanh thu'!F:F)</f>
        <v>2041200</v>
      </c>
      <c r="L325" s="93"/>
      <c r="M325" s="93"/>
      <c r="N325" s="93"/>
    </row>
    <row r="326" spans="2:14" ht="13.2">
      <c r="B326" s="101">
        <v>1</v>
      </c>
      <c r="C326" s="28" t="s">
        <v>1033</v>
      </c>
      <c r="D326" s="28" t="s">
        <v>1034</v>
      </c>
      <c r="E326" s="101" t="s">
        <v>444</v>
      </c>
      <c r="F326" s="100">
        <v>37800</v>
      </c>
      <c r="G326" s="102">
        <f>+ SUMIF('Nhập kho T42024'!B:B, C326,'Nhập kho T42024'!F:F)</f>
        <v>73</v>
      </c>
      <c r="H326" s="101">
        <f>+ SUMIF('Doanh thu'!A:A, C326,'Doanh thu'!E:E) + SUMIF('Doanh thu 2025'!B:B, C326,'Doanh thu 2025'!E:E)</f>
        <v>76</v>
      </c>
      <c r="I326" s="101">
        <f>G326-H326+13</f>
        <v>10</v>
      </c>
      <c r="J326" s="103">
        <f t="shared" si="40"/>
        <v>2494800</v>
      </c>
      <c r="K326" s="104">
        <f>+ SUMIF('Doanh thu'!A:A, C326,'Doanh thu'!F:F)</f>
        <v>2494800</v>
      </c>
      <c r="L326" s="93"/>
      <c r="M326" s="93"/>
      <c r="N326" s="93"/>
    </row>
    <row r="327" spans="2:14" ht="13.2">
      <c r="B327" s="101">
        <v>1</v>
      </c>
      <c r="C327" s="28" t="s">
        <v>1035</v>
      </c>
      <c r="D327" s="28" t="s">
        <v>1036</v>
      </c>
      <c r="E327" s="101" t="s">
        <v>1037</v>
      </c>
      <c r="F327" s="100">
        <v>9800</v>
      </c>
      <c r="G327" s="102">
        <f>+ SUMIF('Nhập kho T42024'!B:B, C327,'Nhập kho T42024'!F:F)</f>
        <v>0</v>
      </c>
      <c r="H327" s="101">
        <f>+ SUMIF('Doanh thu'!A:A, C327,'Doanh thu'!E:E) + SUMIF('Doanh thu 2025'!B:B, C327,'Doanh thu 2025'!E:E)</f>
        <v>0</v>
      </c>
      <c r="I327" s="101">
        <f t="shared" ref="I327:I331" si="57">G327-H327</f>
        <v>0</v>
      </c>
      <c r="J327" s="103">
        <f t="shared" si="40"/>
        <v>0</v>
      </c>
      <c r="K327" s="104">
        <f>+ SUMIF('Doanh thu'!A:A, C327,'Doanh thu'!F:F)</f>
        <v>0</v>
      </c>
      <c r="L327" s="93"/>
      <c r="M327" s="93"/>
      <c r="N327" s="93"/>
    </row>
    <row r="328" spans="2:14" ht="13.2">
      <c r="B328" s="101">
        <v>1</v>
      </c>
      <c r="C328" s="28" t="s">
        <v>1038</v>
      </c>
      <c r="D328" s="28" t="s">
        <v>1039</v>
      </c>
      <c r="E328" s="101" t="s">
        <v>1037</v>
      </c>
      <c r="F328" s="100">
        <v>9800</v>
      </c>
      <c r="G328" s="102">
        <f>+ SUMIF('Nhập kho T42024'!B:B, C328,'Nhập kho T42024'!F:F)</f>
        <v>0</v>
      </c>
      <c r="H328" s="101">
        <f>+ SUMIF('Doanh thu'!A:A, C328,'Doanh thu'!E:E) + SUMIF('Doanh thu 2025'!B:B, C328,'Doanh thu 2025'!E:E)</f>
        <v>0</v>
      </c>
      <c r="I328" s="101">
        <f t="shared" si="57"/>
        <v>0</v>
      </c>
      <c r="J328" s="103">
        <f t="shared" si="40"/>
        <v>0</v>
      </c>
      <c r="K328" s="104">
        <f>+ SUMIF('Doanh thu'!A:A, C328,'Doanh thu'!F:F)</f>
        <v>0</v>
      </c>
      <c r="L328" s="93"/>
      <c r="M328" s="93"/>
      <c r="N328" s="93"/>
    </row>
    <row r="329" spans="2:14" ht="13.2">
      <c r="B329" s="101">
        <v>1</v>
      </c>
      <c r="C329" s="28" t="s">
        <v>1040</v>
      </c>
      <c r="D329" s="28" t="s">
        <v>1041</v>
      </c>
      <c r="E329" s="101" t="s">
        <v>1037</v>
      </c>
      <c r="F329" s="100">
        <v>9800</v>
      </c>
      <c r="G329" s="102">
        <f>+ SUMIF('Nhập kho T42024'!B:B, C329,'Nhập kho T42024'!F:F)</f>
        <v>0</v>
      </c>
      <c r="H329" s="101">
        <f>+ SUMIF('Doanh thu'!A:A, C329,'Doanh thu'!E:E) + SUMIF('Doanh thu 2025'!B:B, C329,'Doanh thu 2025'!E:E)</f>
        <v>0</v>
      </c>
      <c r="I329" s="101">
        <f t="shared" si="57"/>
        <v>0</v>
      </c>
      <c r="J329" s="103">
        <f t="shared" si="40"/>
        <v>0</v>
      </c>
      <c r="K329" s="104">
        <f>+ SUMIF('Doanh thu'!A:A, C329,'Doanh thu'!F:F)</f>
        <v>0</v>
      </c>
      <c r="L329" s="93"/>
      <c r="M329" s="93"/>
      <c r="N329" s="93"/>
    </row>
    <row r="330" spans="2:14" ht="13.2">
      <c r="B330" s="101">
        <v>1</v>
      </c>
      <c r="C330" s="28" t="s">
        <v>1042</v>
      </c>
      <c r="D330" s="28" t="s">
        <v>1043</v>
      </c>
      <c r="E330" s="101" t="s">
        <v>1037</v>
      </c>
      <c r="F330" s="100">
        <v>9800</v>
      </c>
      <c r="G330" s="102">
        <f>+ SUMIF('Nhập kho T42024'!B:B, C330,'Nhập kho T42024'!F:F)</f>
        <v>0</v>
      </c>
      <c r="H330" s="101">
        <f>+ SUMIF('Doanh thu'!A:A, C330,'Doanh thu'!E:E) + SUMIF('Doanh thu 2025'!B:B, C330,'Doanh thu 2025'!E:E)</f>
        <v>0</v>
      </c>
      <c r="I330" s="101">
        <f t="shared" si="57"/>
        <v>0</v>
      </c>
      <c r="J330" s="103">
        <f t="shared" si="40"/>
        <v>0</v>
      </c>
      <c r="K330" s="104">
        <f>+ SUMIF('Doanh thu'!A:A, C330,'Doanh thu'!F:F)</f>
        <v>0</v>
      </c>
      <c r="L330" s="93"/>
      <c r="M330" s="93"/>
      <c r="N330" s="93"/>
    </row>
    <row r="331" spans="2:14" ht="13.2">
      <c r="B331" s="101">
        <v>1</v>
      </c>
      <c r="C331" s="28" t="s">
        <v>1044</v>
      </c>
      <c r="D331" s="28" t="s">
        <v>1045</v>
      </c>
      <c r="E331" s="101" t="s">
        <v>1037</v>
      </c>
      <c r="F331" s="100">
        <v>9800</v>
      </c>
      <c r="G331" s="102">
        <f>+ SUMIF('Nhập kho T42024'!B:B, C331,'Nhập kho T42024'!F:F)</f>
        <v>0</v>
      </c>
      <c r="H331" s="101">
        <f>+ SUMIF('Doanh thu'!A:A, C331,'Doanh thu'!E:E) + SUMIF('Doanh thu 2025'!B:B, C331,'Doanh thu 2025'!E:E)</f>
        <v>0</v>
      </c>
      <c r="I331" s="101">
        <f t="shared" si="57"/>
        <v>0</v>
      </c>
      <c r="J331" s="103">
        <f t="shared" si="40"/>
        <v>0</v>
      </c>
      <c r="K331" s="104">
        <f>+ SUMIF('Doanh thu'!A:A, C331,'Doanh thu'!F:F)</f>
        <v>0</v>
      </c>
      <c r="L331" s="93"/>
      <c r="M331" s="93"/>
      <c r="N331" s="93"/>
    </row>
    <row r="332" spans="2:14" ht="13.2">
      <c r="B332" s="101">
        <v>1</v>
      </c>
      <c r="C332" s="28" t="s">
        <v>1046</v>
      </c>
      <c r="D332" s="28" t="s">
        <v>1047</v>
      </c>
      <c r="E332" s="101" t="s">
        <v>1037</v>
      </c>
      <c r="F332" s="100">
        <v>9800</v>
      </c>
      <c r="G332" s="102">
        <f>+ SUMIF('Nhập kho T42024'!B:B, C332,'Nhập kho T42024'!F:F)</f>
        <v>0</v>
      </c>
      <c r="H332" s="101">
        <f>+ SUMIF('Doanh thu'!A:A, C332,'Doanh thu'!E:E) + SUMIF('Doanh thu 2025'!B:B, C332,'Doanh thu 2025'!E:E)</f>
        <v>3</v>
      </c>
      <c r="I332" s="101">
        <f>G332-H332+3</f>
        <v>0</v>
      </c>
      <c r="J332" s="103">
        <f t="shared" si="40"/>
        <v>29400</v>
      </c>
      <c r="K332" s="104">
        <f>+ SUMIF('Doanh thu'!A:A, C332,'Doanh thu'!F:F)</f>
        <v>29400</v>
      </c>
      <c r="L332" s="93"/>
      <c r="M332" s="93"/>
      <c r="N332" s="93"/>
    </row>
    <row r="333" spans="2:14" ht="13.2">
      <c r="B333" s="101">
        <v>1</v>
      </c>
      <c r="C333" s="28" t="s">
        <v>1048</v>
      </c>
      <c r="D333" s="28" t="s">
        <v>1049</v>
      </c>
      <c r="E333" s="101" t="s">
        <v>1037</v>
      </c>
      <c r="F333" s="100">
        <v>9800</v>
      </c>
      <c r="G333" s="102">
        <f>+ SUMIF('Nhập kho T42024'!B:B, C333,'Nhập kho T42024'!F:F)</f>
        <v>0</v>
      </c>
      <c r="H333" s="101">
        <f>+ SUMIF('Doanh thu'!A:A, C333,'Doanh thu'!E:E) + SUMIF('Doanh thu 2025'!B:B, C333,'Doanh thu 2025'!E:E)</f>
        <v>1</v>
      </c>
      <c r="I333" s="101">
        <f>G333-H333+1</f>
        <v>0</v>
      </c>
      <c r="J333" s="103">
        <f t="shared" si="40"/>
        <v>9800</v>
      </c>
      <c r="K333" s="104">
        <f>+ SUMIF('Doanh thu'!A:A, C333,'Doanh thu'!F:F)</f>
        <v>9800</v>
      </c>
      <c r="L333" s="93"/>
      <c r="M333" s="93"/>
      <c r="N333" s="93"/>
    </row>
    <row r="334" spans="2:14" ht="13.2">
      <c r="B334" s="101">
        <v>1</v>
      </c>
      <c r="C334" s="28" t="s">
        <v>1050</v>
      </c>
      <c r="D334" s="28" t="s">
        <v>1051</v>
      </c>
      <c r="E334" s="101" t="s">
        <v>1037</v>
      </c>
      <c r="F334" s="100">
        <v>9800</v>
      </c>
      <c r="G334" s="102">
        <f>+ SUMIF('Nhập kho T42024'!B:B, C334,'Nhập kho T42024'!F:F)</f>
        <v>0</v>
      </c>
      <c r="H334" s="101">
        <f>+ SUMIF('Doanh thu'!A:A, C334,'Doanh thu'!E:E) + SUMIF('Doanh thu 2025'!B:B, C334,'Doanh thu 2025'!E:E)</f>
        <v>2</v>
      </c>
      <c r="I334" s="101">
        <f>G334-H334+2</f>
        <v>0</v>
      </c>
      <c r="J334" s="103">
        <f t="shared" si="40"/>
        <v>19600</v>
      </c>
      <c r="K334" s="104">
        <f>+ SUMIF('Doanh thu'!A:A, C334,'Doanh thu'!F:F)</f>
        <v>19600</v>
      </c>
      <c r="L334" s="93"/>
      <c r="M334" s="93"/>
      <c r="N334" s="93"/>
    </row>
    <row r="335" spans="2:14" ht="13.2">
      <c r="B335" s="101">
        <v>1</v>
      </c>
      <c r="C335" s="28" t="s">
        <v>1052</v>
      </c>
      <c r="D335" s="28" t="s">
        <v>1053</v>
      </c>
      <c r="E335" s="101" t="s">
        <v>1037</v>
      </c>
      <c r="F335" s="100">
        <v>9800</v>
      </c>
      <c r="G335" s="102">
        <f>+ SUMIF('Nhập kho T42024'!B:B, C335,'Nhập kho T42024'!F:F)</f>
        <v>0</v>
      </c>
      <c r="H335" s="101">
        <f>+ SUMIF('Doanh thu'!A:A, C335,'Doanh thu'!E:E) + SUMIF('Doanh thu 2025'!B:B, C335,'Doanh thu 2025'!E:E)</f>
        <v>0</v>
      </c>
      <c r="I335" s="101">
        <f>G335-H335</f>
        <v>0</v>
      </c>
      <c r="J335" s="103">
        <f t="shared" si="40"/>
        <v>0</v>
      </c>
      <c r="K335" s="104">
        <f>+ SUMIF('Doanh thu'!A:A, C335,'Doanh thu'!F:F)</f>
        <v>0</v>
      </c>
      <c r="L335" s="93"/>
      <c r="M335" s="93"/>
      <c r="N335" s="93"/>
    </row>
    <row r="336" spans="2:14" ht="13.2">
      <c r="B336" s="101">
        <v>1</v>
      </c>
      <c r="C336" s="28" t="s">
        <v>1054</v>
      </c>
      <c r="D336" s="28" t="s">
        <v>1055</v>
      </c>
      <c r="E336" s="101" t="s">
        <v>1037</v>
      </c>
      <c r="F336" s="100">
        <v>9800</v>
      </c>
      <c r="G336" s="102">
        <f>+ SUMIF('Nhập kho T42024'!B:B, C336,'Nhập kho T42024'!F:F)</f>
        <v>0</v>
      </c>
      <c r="H336" s="101">
        <f>+ SUMIF('Doanh thu'!A:A, C336,'Doanh thu'!E:E) + SUMIF('Doanh thu 2025'!B:B, C336,'Doanh thu 2025'!E:E)</f>
        <v>1</v>
      </c>
      <c r="I336" s="101">
        <f>G336-H336+1</f>
        <v>0</v>
      </c>
      <c r="J336" s="103">
        <f t="shared" si="40"/>
        <v>9800</v>
      </c>
      <c r="K336" s="104">
        <f>+ SUMIF('Doanh thu'!A:A, C336,'Doanh thu'!F:F)</f>
        <v>9800</v>
      </c>
      <c r="L336" s="93"/>
      <c r="M336" s="93"/>
      <c r="N336" s="93"/>
    </row>
    <row r="337" spans="2:14" ht="13.2">
      <c r="B337" s="101">
        <v>1</v>
      </c>
      <c r="C337" s="28" t="s">
        <v>1056</v>
      </c>
      <c r="D337" s="28" t="s">
        <v>1057</v>
      </c>
      <c r="E337" s="101" t="s">
        <v>1037</v>
      </c>
      <c r="F337" s="100">
        <v>9400</v>
      </c>
      <c r="G337" s="102">
        <f>+ SUMIF('Nhập kho T42024'!B:B, C337,'Nhập kho T42024'!F:F)</f>
        <v>0</v>
      </c>
      <c r="H337" s="101">
        <f>+ SUMIF('Doanh thu'!A:A, C337,'Doanh thu'!E:E) + SUMIF('Doanh thu 2025'!B:B, C337,'Doanh thu 2025'!E:E)</f>
        <v>4</v>
      </c>
      <c r="I337" s="101">
        <f>G337-H337+4</f>
        <v>0</v>
      </c>
      <c r="J337" s="103">
        <f t="shared" si="40"/>
        <v>37600</v>
      </c>
      <c r="K337" s="104">
        <f>+ SUMIF('Doanh thu'!A:A, C337,'Doanh thu'!F:F)</f>
        <v>37600</v>
      </c>
      <c r="L337" s="93"/>
      <c r="M337" s="93"/>
      <c r="N337" s="93"/>
    </row>
    <row r="338" spans="2:14" ht="13.2">
      <c r="B338" s="101">
        <v>1</v>
      </c>
      <c r="C338" s="28" t="s">
        <v>1058</v>
      </c>
      <c r="D338" s="28" t="s">
        <v>1059</v>
      </c>
      <c r="E338" s="101" t="s">
        <v>1037</v>
      </c>
      <c r="F338" s="100">
        <v>9400</v>
      </c>
      <c r="G338" s="102">
        <f>+ SUMIF('Nhập kho T42024'!B:B, C338,'Nhập kho T42024'!F:F)</f>
        <v>0</v>
      </c>
      <c r="H338" s="101">
        <f>+ SUMIF('Doanh thu'!A:A, C338,'Doanh thu'!E:E) + SUMIF('Doanh thu 2025'!B:B, C338,'Doanh thu 2025'!E:E)</f>
        <v>2</v>
      </c>
      <c r="I338" s="101">
        <f>G338-H338+2</f>
        <v>0</v>
      </c>
      <c r="J338" s="103">
        <f t="shared" si="40"/>
        <v>18800</v>
      </c>
      <c r="K338" s="104">
        <f>+ SUMIF('Doanh thu'!A:A, C338,'Doanh thu'!F:F)</f>
        <v>18800</v>
      </c>
      <c r="L338" s="93"/>
      <c r="M338" s="93"/>
      <c r="N338" s="93"/>
    </row>
    <row r="339" spans="2:14" ht="13.2">
      <c r="B339" s="101">
        <v>1</v>
      </c>
      <c r="C339" s="28" t="s">
        <v>1060</v>
      </c>
      <c r="D339" s="28" t="s">
        <v>1061</v>
      </c>
      <c r="E339" s="101" t="s">
        <v>1037</v>
      </c>
      <c r="F339" s="100">
        <v>9400</v>
      </c>
      <c r="G339" s="102">
        <f>+ SUMIF('Nhập kho T42024'!B:B, C339,'Nhập kho T42024'!F:F)</f>
        <v>0</v>
      </c>
      <c r="H339" s="101">
        <f>+ SUMIF('Doanh thu'!A:A, C339,'Doanh thu'!E:E) + SUMIF('Doanh thu 2025'!B:B, C339,'Doanh thu 2025'!E:E)</f>
        <v>3</v>
      </c>
      <c r="I339" s="101">
        <f>G339-H339+3</f>
        <v>0</v>
      </c>
      <c r="J339" s="103">
        <f t="shared" si="40"/>
        <v>28200</v>
      </c>
      <c r="K339" s="104">
        <f>+ SUMIF('Doanh thu'!A:A, C339,'Doanh thu'!F:F)</f>
        <v>28200</v>
      </c>
      <c r="L339" s="93"/>
      <c r="M339" s="93"/>
      <c r="N339" s="93"/>
    </row>
    <row r="340" spans="2:14" ht="13.2">
      <c r="B340" s="101">
        <v>1</v>
      </c>
      <c r="C340" s="28" t="s">
        <v>1062</v>
      </c>
      <c r="D340" s="28" t="s">
        <v>1063</v>
      </c>
      <c r="E340" s="101" t="s">
        <v>1037</v>
      </c>
      <c r="F340" s="100">
        <v>9400</v>
      </c>
      <c r="G340" s="102">
        <f>+ SUMIF('Nhập kho T42024'!B:B, C340,'Nhập kho T42024'!F:F)</f>
        <v>0</v>
      </c>
      <c r="H340" s="101">
        <f>+ SUMIF('Doanh thu'!A:A, C340,'Doanh thu'!E:E) + SUMIF('Doanh thu 2025'!B:B, C340,'Doanh thu 2025'!E:E)</f>
        <v>0</v>
      </c>
      <c r="I340" s="101">
        <f>G340-H340</f>
        <v>0</v>
      </c>
      <c r="J340" s="103">
        <f t="shared" si="40"/>
        <v>0</v>
      </c>
      <c r="K340" s="104">
        <f>+ SUMIF('Doanh thu'!A:A, C340,'Doanh thu'!F:F)</f>
        <v>0</v>
      </c>
      <c r="L340" s="93"/>
      <c r="M340" s="93"/>
      <c r="N340" s="93"/>
    </row>
    <row r="341" spans="2:14" ht="13.2">
      <c r="B341" s="101">
        <v>1</v>
      </c>
      <c r="C341" s="28" t="s">
        <v>1064</v>
      </c>
      <c r="D341" s="28" t="s">
        <v>1065</v>
      </c>
      <c r="E341" s="101" t="s">
        <v>1037</v>
      </c>
      <c r="F341" s="100">
        <v>9900</v>
      </c>
      <c r="G341" s="102">
        <f>+ SUMIF('Nhập kho T42024'!B:B, C341,'Nhập kho T42024'!F:F)</f>
        <v>0</v>
      </c>
      <c r="H341" s="101">
        <f>+ SUMIF('Doanh thu'!A:A, C341,'Doanh thu'!E:E) + SUMIF('Doanh thu 2025'!B:B, C341,'Doanh thu 2025'!E:E)</f>
        <v>4</v>
      </c>
      <c r="I341" s="101">
        <f t="shared" ref="I341:I342" si="58">G341-H341+3</f>
        <v>-1</v>
      </c>
      <c r="J341" s="103">
        <f t="shared" si="40"/>
        <v>39600</v>
      </c>
      <c r="K341" s="104">
        <f>+ SUMIF('Doanh thu'!A:A, C341,'Doanh thu'!F:F)</f>
        <v>39600</v>
      </c>
      <c r="L341" s="93"/>
      <c r="M341" s="93"/>
      <c r="N341" s="93"/>
    </row>
    <row r="342" spans="2:14" ht="13.2">
      <c r="B342" s="101">
        <v>1</v>
      </c>
      <c r="C342" s="28" t="s">
        <v>1066</v>
      </c>
      <c r="D342" s="28" t="s">
        <v>1067</v>
      </c>
      <c r="E342" s="101" t="s">
        <v>1037</v>
      </c>
      <c r="F342" s="100">
        <v>9900</v>
      </c>
      <c r="G342" s="102">
        <f>+ SUMIF('Nhập kho T42024'!B:B, C342,'Nhập kho T42024'!F:F)</f>
        <v>0</v>
      </c>
      <c r="H342" s="101">
        <f>+ SUMIF('Doanh thu'!A:A, C342,'Doanh thu'!E:E) + SUMIF('Doanh thu 2025'!B:B, C342,'Doanh thu 2025'!E:E)</f>
        <v>4</v>
      </c>
      <c r="I342" s="101">
        <f t="shared" si="58"/>
        <v>-1</v>
      </c>
      <c r="J342" s="103">
        <f t="shared" si="40"/>
        <v>37947.800000000003</v>
      </c>
      <c r="K342" s="104">
        <f>+ SUMIF('Doanh thu'!A:A, C342,'Doanh thu'!F:F)</f>
        <v>37947.800000000003</v>
      </c>
      <c r="L342" s="93"/>
      <c r="M342" s="93"/>
      <c r="N342" s="93"/>
    </row>
    <row r="343" spans="2:14" ht="13.2">
      <c r="B343" s="101">
        <v>1</v>
      </c>
      <c r="C343" s="28" t="s">
        <v>1068</v>
      </c>
      <c r="D343" s="28" t="s">
        <v>1069</v>
      </c>
      <c r="E343" s="101" t="s">
        <v>1037</v>
      </c>
      <c r="F343" s="100">
        <v>9900</v>
      </c>
      <c r="G343" s="102">
        <f>+ SUMIF('Nhập kho T42024'!B:B, C343,'Nhập kho T42024'!F:F)</f>
        <v>0</v>
      </c>
      <c r="H343" s="101">
        <f>+ SUMIF('Doanh thu'!A:A, C343,'Doanh thu'!E:E) + SUMIF('Doanh thu 2025'!B:B, C343,'Doanh thu 2025'!E:E)</f>
        <v>1</v>
      </c>
      <c r="I343" s="101">
        <f>G343-H343</f>
        <v>-1</v>
      </c>
      <c r="J343" s="103">
        <f t="shared" si="40"/>
        <v>9900</v>
      </c>
      <c r="K343" s="104">
        <f>+ SUMIF('Doanh thu'!A:A, C343,'Doanh thu'!F:F)</f>
        <v>9900</v>
      </c>
      <c r="L343" s="93"/>
      <c r="M343" s="93"/>
      <c r="N343" s="93"/>
    </row>
    <row r="344" spans="2:14" ht="13.2">
      <c r="B344" s="101">
        <v>1</v>
      </c>
      <c r="C344" s="28" t="s">
        <v>1070</v>
      </c>
      <c r="D344" s="28" t="s">
        <v>1071</v>
      </c>
      <c r="E344" s="101" t="s">
        <v>1037</v>
      </c>
      <c r="F344" s="100">
        <v>9900</v>
      </c>
      <c r="G344" s="102">
        <f>+ SUMIF('Nhập kho T42024'!B:B, C344,'Nhập kho T42024'!F:F)</f>
        <v>0</v>
      </c>
      <c r="H344" s="101">
        <f>+ SUMIF('Doanh thu'!A:A, C344,'Doanh thu'!E:E) + SUMIF('Doanh thu 2025'!B:B, C344,'Doanh thu 2025'!E:E)</f>
        <v>3</v>
      </c>
      <c r="I344" s="101">
        <f>G344-H344+2</f>
        <v>-1</v>
      </c>
      <c r="J344" s="103">
        <f t="shared" si="40"/>
        <v>26395.599999999999</v>
      </c>
      <c r="K344" s="104">
        <f>+ SUMIF('Doanh thu'!A:A, C344,'Doanh thu'!F:F)</f>
        <v>26395.599999999999</v>
      </c>
      <c r="L344" s="93"/>
      <c r="M344" s="93"/>
      <c r="N344" s="93"/>
    </row>
    <row r="345" spans="2:14" ht="13.2">
      <c r="B345" s="101">
        <v>1</v>
      </c>
      <c r="C345" s="28" t="s">
        <v>1072</v>
      </c>
      <c r="D345" s="28" t="s">
        <v>1073</v>
      </c>
      <c r="E345" s="101" t="s">
        <v>1037</v>
      </c>
      <c r="F345" s="100">
        <v>9900</v>
      </c>
      <c r="G345" s="102">
        <f>+ SUMIF('Nhập kho T42024'!B:B, C345,'Nhập kho T42024'!F:F)</f>
        <v>0</v>
      </c>
      <c r="H345" s="101">
        <f>+ SUMIF('Doanh thu'!A:A, C345,'Doanh thu'!E:E) + SUMIF('Doanh thu 2025'!B:B, C345,'Doanh thu 2025'!E:E)</f>
        <v>1</v>
      </c>
      <c r="I345" s="101">
        <f>G345-H345</f>
        <v>-1</v>
      </c>
      <c r="J345" s="103">
        <f t="shared" si="40"/>
        <v>9900</v>
      </c>
      <c r="K345" s="104">
        <f>+ SUMIF('Doanh thu'!A:A, C345,'Doanh thu'!F:F)</f>
        <v>9900</v>
      </c>
      <c r="L345" s="93"/>
      <c r="M345" s="93"/>
      <c r="N345" s="93"/>
    </row>
    <row r="346" spans="2:14" ht="13.2">
      <c r="B346" s="101">
        <v>1</v>
      </c>
      <c r="C346" s="28" t="s">
        <v>1074</v>
      </c>
      <c r="D346" s="28" t="s">
        <v>1075</v>
      </c>
      <c r="E346" s="101" t="s">
        <v>1037</v>
      </c>
      <c r="F346" s="100">
        <v>9900</v>
      </c>
      <c r="G346" s="102">
        <f>+ SUMIF('Nhập kho T42024'!B:B, C346,'Nhập kho T42024'!F:F)</f>
        <v>0</v>
      </c>
      <c r="H346" s="101">
        <f>+ SUMIF('Doanh thu'!A:A, C346,'Doanh thu'!E:E) + SUMIF('Doanh thu 2025'!B:B, C346,'Doanh thu 2025'!E:E)</f>
        <v>2</v>
      </c>
      <c r="I346" s="101">
        <f>G346-H346+2</f>
        <v>0</v>
      </c>
      <c r="J346" s="103">
        <f t="shared" si="40"/>
        <v>19800</v>
      </c>
      <c r="K346" s="104">
        <f>+ SUMIF('Doanh thu'!A:A, C346,'Doanh thu'!F:F)</f>
        <v>19800</v>
      </c>
      <c r="L346" s="93"/>
      <c r="M346" s="93"/>
      <c r="N346" s="93"/>
    </row>
    <row r="347" spans="2:14" ht="13.2">
      <c r="B347" s="101">
        <v>1</v>
      </c>
      <c r="C347" s="28" t="s">
        <v>1076</v>
      </c>
      <c r="D347" s="28" t="s">
        <v>1077</v>
      </c>
      <c r="E347" s="101" t="s">
        <v>1037</v>
      </c>
      <c r="F347" s="100">
        <v>9900</v>
      </c>
      <c r="G347" s="102">
        <f>+ SUMIF('Nhập kho T42024'!B:B, C347,'Nhập kho T42024'!F:F)</f>
        <v>0</v>
      </c>
      <c r="H347" s="101">
        <f>+ SUMIF('Doanh thu'!A:A, C347,'Doanh thu'!E:E) + SUMIF('Doanh thu 2025'!B:B, C347,'Doanh thu 2025'!E:E)</f>
        <v>1</v>
      </c>
      <c r="I347" s="101">
        <f>G347-H347+1</f>
        <v>0</v>
      </c>
      <c r="J347" s="103">
        <f t="shared" si="40"/>
        <v>9900</v>
      </c>
      <c r="K347" s="104">
        <f>+ SUMIF('Doanh thu'!A:A, C347,'Doanh thu'!F:F)</f>
        <v>9900</v>
      </c>
      <c r="L347" s="93"/>
      <c r="M347" s="93"/>
      <c r="N347" s="93"/>
    </row>
    <row r="348" spans="2:14" ht="13.2">
      <c r="B348" s="101">
        <v>1</v>
      </c>
      <c r="C348" s="28" t="s">
        <v>1078</v>
      </c>
      <c r="D348" s="28" t="s">
        <v>1079</v>
      </c>
      <c r="E348" s="101" t="s">
        <v>1037</v>
      </c>
      <c r="F348" s="100">
        <v>9900</v>
      </c>
      <c r="G348" s="102">
        <f>+ SUMIF('Nhập kho T42024'!B:B, C348,'Nhập kho T42024'!F:F)</f>
        <v>0</v>
      </c>
      <c r="H348" s="101">
        <f>+ SUMIF('Doanh thu'!A:A, C348,'Doanh thu'!E:E) + SUMIF('Doanh thu 2025'!B:B, C348,'Doanh thu 2025'!E:E)</f>
        <v>0</v>
      </c>
      <c r="I348" s="101">
        <f>G348-H348</f>
        <v>0</v>
      </c>
      <c r="J348" s="103">
        <f t="shared" si="40"/>
        <v>0</v>
      </c>
      <c r="K348" s="104">
        <f>+ SUMIF('Doanh thu'!A:A, C348,'Doanh thu'!F:F)</f>
        <v>0</v>
      </c>
      <c r="L348" s="93"/>
      <c r="M348" s="93"/>
      <c r="N348" s="93"/>
    </row>
    <row r="349" spans="2:14" ht="13.2">
      <c r="B349" s="101">
        <v>1</v>
      </c>
      <c r="C349" s="28" t="s">
        <v>1080</v>
      </c>
      <c r="D349" s="28" t="s">
        <v>1081</v>
      </c>
      <c r="E349" s="101" t="s">
        <v>1037</v>
      </c>
      <c r="F349" s="100">
        <v>9900</v>
      </c>
      <c r="G349" s="102">
        <f>+ SUMIF('Nhập kho T42024'!B:B, C349,'Nhập kho T42024'!F:F)</f>
        <v>0</v>
      </c>
      <c r="H349" s="101">
        <f>+ SUMIF('Doanh thu'!A:A, C349,'Doanh thu'!E:E) + SUMIF('Doanh thu 2025'!B:B, C349,'Doanh thu 2025'!E:E)</f>
        <v>2</v>
      </c>
      <c r="I349" s="101">
        <f t="shared" ref="I349:I350" si="59">G349-H349+2</f>
        <v>0</v>
      </c>
      <c r="J349" s="103">
        <f t="shared" si="40"/>
        <v>19800</v>
      </c>
      <c r="K349" s="104">
        <f>+ SUMIF('Doanh thu'!A:A, C349,'Doanh thu'!F:F)</f>
        <v>19800</v>
      </c>
      <c r="L349" s="93"/>
      <c r="M349" s="93"/>
      <c r="N349" s="93"/>
    </row>
    <row r="350" spans="2:14" ht="13.2">
      <c r="B350" s="101">
        <v>1</v>
      </c>
      <c r="C350" s="28" t="s">
        <v>1082</v>
      </c>
      <c r="D350" s="28" t="s">
        <v>1083</v>
      </c>
      <c r="E350" s="101" t="s">
        <v>1037</v>
      </c>
      <c r="F350" s="100">
        <v>9900</v>
      </c>
      <c r="G350" s="102">
        <f>+ SUMIF('Nhập kho T42024'!B:B, C350,'Nhập kho T42024'!F:F)</f>
        <v>0</v>
      </c>
      <c r="H350" s="101">
        <f>+ SUMIF('Doanh thu'!A:A, C350,'Doanh thu'!E:E) + SUMIF('Doanh thu 2025'!B:B, C350,'Doanh thu 2025'!E:E)</f>
        <v>2</v>
      </c>
      <c r="I350" s="101">
        <f t="shared" si="59"/>
        <v>0</v>
      </c>
      <c r="J350" s="103">
        <f t="shared" si="40"/>
        <v>19800</v>
      </c>
      <c r="K350" s="104">
        <f>+ SUMIF('Doanh thu'!A:A, C350,'Doanh thu'!F:F)</f>
        <v>19800</v>
      </c>
      <c r="L350" s="93"/>
      <c r="M350" s="93"/>
      <c r="N350" s="93"/>
    </row>
    <row r="351" spans="2:14" ht="13.2">
      <c r="B351" s="101">
        <v>1</v>
      </c>
      <c r="C351" s="28" t="s">
        <v>1084</v>
      </c>
      <c r="D351" s="28" t="s">
        <v>1085</v>
      </c>
      <c r="E351" s="101" t="s">
        <v>1037</v>
      </c>
      <c r="F351" s="100">
        <v>9900</v>
      </c>
      <c r="G351" s="102">
        <f>+ SUMIF('Nhập kho T42024'!B:B, C351,'Nhập kho T42024'!F:F)</f>
        <v>0</v>
      </c>
      <c r="H351" s="101">
        <f>+ SUMIF('Doanh thu'!A:A, C351,'Doanh thu'!E:E) + SUMIF('Doanh thu 2025'!B:B, C351,'Doanh thu 2025'!E:E)</f>
        <v>1</v>
      </c>
      <c r="I351" s="101">
        <f t="shared" ref="I351:I355" si="60">G351-H351</f>
        <v>-1</v>
      </c>
      <c r="J351" s="103">
        <f t="shared" si="40"/>
        <v>9900</v>
      </c>
      <c r="K351" s="104">
        <f>+ SUMIF('Doanh thu'!A:A, C351,'Doanh thu'!F:F)</f>
        <v>9900</v>
      </c>
      <c r="L351" s="93"/>
      <c r="M351" s="93"/>
      <c r="N351" s="93"/>
    </row>
    <row r="352" spans="2:14" ht="13.2">
      <c r="B352" s="101">
        <v>1</v>
      </c>
      <c r="C352" s="28" t="s">
        <v>1086</v>
      </c>
      <c r="D352" s="28" t="s">
        <v>1087</v>
      </c>
      <c r="E352" s="101" t="s">
        <v>1037</v>
      </c>
      <c r="F352" s="100">
        <v>9900</v>
      </c>
      <c r="G352" s="102">
        <f>+ SUMIF('Nhập kho T42024'!B:B, C352,'Nhập kho T42024'!F:F)</f>
        <v>0</v>
      </c>
      <c r="H352" s="101">
        <f>+ SUMIF('Doanh thu'!A:A, C352,'Doanh thu'!E:E) + SUMIF('Doanh thu 2025'!B:B, C352,'Doanh thu 2025'!E:E)</f>
        <v>1</v>
      </c>
      <c r="I352" s="101">
        <f t="shared" si="60"/>
        <v>-1</v>
      </c>
      <c r="J352" s="103">
        <f t="shared" si="40"/>
        <v>9900</v>
      </c>
      <c r="K352" s="104">
        <f>+ SUMIF('Doanh thu'!A:A, C352,'Doanh thu'!F:F)</f>
        <v>9900</v>
      </c>
      <c r="L352" s="93"/>
      <c r="M352" s="93"/>
      <c r="N352" s="93"/>
    </row>
    <row r="353" spans="2:14" ht="13.2">
      <c r="B353" s="101">
        <v>1</v>
      </c>
      <c r="C353" s="28" t="s">
        <v>1088</v>
      </c>
      <c r="D353" s="28" t="s">
        <v>1089</v>
      </c>
      <c r="E353" s="101" t="s">
        <v>1037</v>
      </c>
      <c r="F353" s="100">
        <v>9900</v>
      </c>
      <c r="G353" s="102">
        <f>+ SUMIF('Nhập kho T42024'!B:B, C353,'Nhập kho T42024'!F:F)</f>
        <v>0</v>
      </c>
      <c r="H353" s="101">
        <f>+ SUMIF('Doanh thu'!A:A, C353,'Doanh thu'!E:E) + SUMIF('Doanh thu 2025'!B:B, C353,'Doanh thu 2025'!E:E)</f>
        <v>1</v>
      </c>
      <c r="I353" s="101">
        <f t="shared" si="60"/>
        <v>-1</v>
      </c>
      <c r="J353" s="103">
        <f t="shared" si="40"/>
        <v>9900</v>
      </c>
      <c r="K353" s="104">
        <f>+ SUMIF('Doanh thu'!A:A, C353,'Doanh thu'!F:F)</f>
        <v>9900</v>
      </c>
      <c r="L353" s="93"/>
      <c r="M353" s="93"/>
      <c r="N353" s="93"/>
    </row>
    <row r="354" spans="2:14" ht="13.2">
      <c r="B354" s="101">
        <v>1</v>
      </c>
      <c r="C354" s="28" t="s">
        <v>1090</v>
      </c>
      <c r="D354" s="28" t="s">
        <v>1091</v>
      </c>
      <c r="E354" s="101" t="s">
        <v>1037</v>
      </c>
      <c r="F354" s="100">
        <v>9900</v>
      </c>
      <c r="G354" s="102">
        <f>+ SUMIF('Nhập kho T42024'!B:B, C354,'Nhập kho T42024'!F:F)</f>
        <v>0</v>
      </c>
      <c r="H354" s="101">
        <f>+ SUMIF('Doanh thu'!A:A, C354,'Doanh thu'!E:E) + SUMIF('Doanh thu 2025'!B:B, C354,'Doanh thu 2025'!E:E)</f>
        <v>1</v>
      </c>
      <c r="I354" s="101">
        <f t="shared" si="60"/>
        <v>-1</v>
      </c>
      <c r="J354" s="103">
        <f t="shared" si="40"/>
        <v>9900</v>
      </c>
      <c r="K354" s="104">
        <f>+ SUMIF('Doanh thu'!A:A, C354,'Doanh thu'!F:F)</f>
        <v>9900</v>
      </c>
      <c r="L354" s="93"/>
      <c r="M354" s="93"/>
      <c r="N354" s="93"/>
    </row>
    <row r="355" spans="2:14" ht="13.2">
      <c r="B355" s="101">
        <v>1</v>
      </c>
      <c r="C355" s="28" t="s">
        <v>1092</v>
      </c>
      <c r="D355" s="28" t="s">
        <v>1093</v>
      </c>
      <c r="E355" s="101" t="s">
        <v>1037</v>
      </c>
      <c r="F355" s="100">
        <v>9900</v>
      </c>
      <c r="G355" s="102">
        <f>+ SUMIF('Nhập kho T42024'!B:B, C355,'Nhập kho T42024'!F:F)</f>
        <v>0</v>
      </c>
      <c r="H355" s="101">
        <f>+ SUMIF('Doanh thu'!A:A, C355,'Doanh thu'!E:E) + SUMIF('Doanh thu 2025'!B:B, C355,'Doanh thu 2025'!E:E)</f>
        <v>1</v>
      </c>
      <c r="I355" s="101">
        <f t="shared" si="60"/>
        <v>-1</v>
      </c>
      <c r="J355" s="103">
        <f t="shared" si="40"/>
        <v>9900</v>
      </c>
      <c r="K355" s="104">
        <f>+ SUMIF('Doanh thu'!A:A, C355,'Doanh thu'!F:F)</f>
        <v>9900</v>
      </c>
      <c r="L355" s="93"/>
      <c r="M355" s="93"/>
      <c r="N355" s="93"/>
    </row>
    <row r="356" spans="2:14" ht="13.2">
      <c r="B356" s="101">
        <v>1</v>
      </c>
      <c r="C356" s="28" t="s">
        <v>1094</v>
      </c>
      <c r="D356" s="28" t="s">
        <v>1095</v>
      </c>
      <c r="E356" s="101" t="s">
        <v>1037</v>
      </c>
      <c r="F356" s="100">
        <v>15900</v>
      </c>
      <c r="G356" s="102">
        <f>+ SUMIF('Nhập kho T42024'!B:B, C356,'Nhập kho T42024'!F:F)</f>
        <v>0</v>
      </c>
      <c r="H356" s="101">
        <f>+ SUMIF('Doanh thu'!A:A, C356,'Doanh thu'!E:E) + SUMIF('Doanh thu 2025'!B:B, C356,'Doanh thu 2025'!E:E)</f>
        <v>3</v>
      </c>
      <c r="I356" s="101">
        <f>G356-H356+3</f>
        <v>0</v>
      </c>
      <c r="J356" s="103">
        <f t="shared" si="40"/>
        <v>47700</v>
      </c>
      <c r="K356" s="104">
        <f>+ SUMIF('Doanh thu'!A:A, C356,'Doanh thu'!F:F)</f>
        <v>47700</v>
      </c>
      <c r="L356" s="93"/>
      <c r="M356" s="93"/>
      <c r="N356" s="93"/>
    </row>
    <row r="357" spans="2:14" ht="13.2">
      <c r="B357" s="101">
        <v>1</v>
      </c>
      <c r="C357" s="28" t="s">
        <v>1096</v>
      </c>
      <c r="D357" s="28" t="s">
        <v>1097</v>
      </c>
      <c r="E357" s="101" t="s">
        <v>1037</v>
      </c>
      <c r="F357" s="100">
        <v>15900</v>
      </c>
      <c r="G357" s="102">
        <f>+ SUMIF('Nhập kho T42024'!B:B, C357,'Nhập kho T42024'!F:F)</f>
        <v>0</v>
      </c>
      <c r="H357" s="101">
        <f>+ SUMIF('Doanh thu'!A:A, C357,'Doanh thu'!E:E) + SUMIF('Doanh thu 2025'!B:B, C357,'Doanh thu 2025'!E:E)</f>
        <v>2</v>
      </c>
      <c r="I357" s="101">
        <f>G357-H357+2</f>
        <v>0</v>
      </c>
      <c r="J357" s="103">
        <f t="shared" si="40"/>
        <v>31800</v>
      </c>
      <c r="K357" s="104">
        <f>+ SUMIF('Doanh thu'!A:A, C357,'Doanh thu'!F:F)</f>
        <v>31800</v>
      </c>
      <c r="L357" s="93"/>
      <c r="M357" s="93"/>
      <c r="N357" s="93"/>
    </row>
    <row r="358" spans="2:14" ht="13.2">
      <c r="B358" s="101">
        <v>1</v>
      </c>
      <c r="C358" s="28" t="s">
        <v>1098</v>
      </c>
      <c r="D358" s="28" t="s">
        <v>1099</v>
      </c>
      <c r="E358" s="101" t="s">
        <v>1037</v>
      </c>
      <c r="F358" s="100">
        <v>15900</v>
      </c>
      <c r="G358" s="102">
        <f>+ SUMIF('Nhập kho T42024'!B:B, C358,'Nhập kho T42024'!F:F)</f>
        <v>0</v>
      </c>
      <c r="H358" s="101">
        <f>+ SUMIF('Doanh thu'!A:A, C358,'Doanh thu'!E:E) + SUMIF('Doanh thu 2025'!B:B, C358,'Doanh thu 2025'!E:E)</f>
        <v>3</v>
      </c>
      <c r="I358" s="101">
        <f t="shared" ref="I358:I360" si="61">G358-H358+3</f>
        <v>0</v>
      </c>
      <c r="J358" s="103">
        <f t="shared" si="40"/>
        <v>47700</v>
      </c>
      <c r="K358" s="104">
        <f>+ SUMIF('Doanh thu'!A:A, C358,'Doanh thu'!F:F)</f>
        <v>47700</v>
      </c>
      <c r="L358" s="93"/>
      <c r="M358" s="93"/>
      <c r="N358" s="93"/>
    </row>
    <row r="359" spans="2:14" ht="13.2">
      <c r="B359" s="101">
        <v>1</v>
      </c>
      <c r="C359" s="28" t="s">
        <v>1100</v>
      </c>
      <c r="D359" s="28" t="s">
        <v>1101</v>
      </c>
      <c r="E359" s="101" t="s">
        <v>1037</v>
      </c>
      <c r="F359" s="100">
        <v>15900</v>
      </c>
      <c r="G359" s="102">
        <f>+ SUMIF('Nhập kho T42024'!B:B, C359,'Nhập kho T42024'!F:F)</f>
        <v>0</v>
      </c>
      <c r="H359" s="101">
        <f>+ SUMIF('Doanh thu'!A:A, C359,'Doanh thu'!E:E) + SUMIF('Doanh thu 2025'!B:B, C359,'Doanh thu 2025'!E:E)</f>
        <v>3</v>
      </c>
      <c r="I359" s="101">
        <f t="shared" si="61"/>
        <v>0</v>
      </c>
      <c r="J359" s="103">
        <f t="shared" si="40"/>
        <v>47138</v>
      </c>
      <c r="K359" s="104">
        <f>+ SUMIF('Doanh thu'!A:A, C359,'Doanh thu'!F:F)</f>
        <v>47138</v>
      </c>
      <c r="L359" s="93"/>
      <c r="M359" s="93"/>
      <c r="N359" s="93"/>
    </row>
    <row r="360" spans="2:14" ht="13.2">
      <c r="B360" s="101">
        <v>1</v>
      </c>
      <c r="C360" s="28" t="s">
        <v>1102</v>
      </c>
      <c r="D360" s="28" t="s">
        <v>1103</v>
      </c>
      <c r="E360" s="101" t="s">
        <v>1037</v>
      </c>
      <c r="F360" s="100">
        <v>19800</v>
      </c>
      <c r="G360" s="102">
        <f>+ SUMIF('Nhập kho T42024'!B:B, C360,'Nhập kho T42024'!F:F)</f>
        <v>0</v>
      </c>
      <c r="H360" s="101">
        <f>+ SUMIF('Doanh thu'!A:A, C360,'Doanh thu'!E:E) + SUMIF('Doanh thu 2025'!B:B, C360,'Doanh thu 2025'!E:E)</f>
        <v>3</v>
      </c>
      <c r="I360" s="101">
        <f t="shared" si="61"/>
        <v>0</v>
      </c>
      <c r="J360" s="103">
        <f t="shared" si="40"/>
        <v>59400</v>
      </c>
      <c r="K360" s="104">
        <f>+ SUMIF('Doanh thu'!A:A, C360,'Doanh thu'!F:F)</f>
        <v>59400</v>
      </c>
      <c r="L360" s="93"/>
      <c r="M360" s="93"/>
      <c r="N360" s="93"/>
    </row>
    <row r="361" spans="2:14" ht="13.2">
      <c r="B361" s="101">
        <v>1</v>
      </c>
      <c r="C361" s="28" t="s">
        <v>1104</v>
      </c>
      <c r="D361" s="28" t="s">
        <v>1105</v>
      </c>
      <c r="E361" s="101" t="s">
        <v>1037</v>
      </c>
      <c r="F361" s="100">
        <v>19800</v>
      </c>
      <c r="G361" s="102">
        <f>+ SUMIF('Nhập kho T42024'!B:B, C361,'Nhập kho T42024'!F:F)</f>
        <v>0</v>
      </c>
      <c r="H361" s="101">
        <f>+ SUMIF('Doanh thu'!A:A, C361,'Doanh thu'!E:E) + SUMIF('Doanh thu 2025'!B:B, C361,'Doanh thu 2025'!E:E)</f>
        <v>4</v>
      </c>
      <c r="I361" s="101">
        <f>G361-H361+4</f>
        <v>0</v>
      </c>
      <c r="J361" s="103">
        <f t="shared" si="40"/>
        <v>79200</v>
      </c>
      <c r="K361" s="104">
        <f>+ SUMIF('Doanh thu'!A:A, C361,'Doanh thu'!F:F)</f>
        <v>79200</v>
      </c>
      <c r="L361" s="93"/>
      <c r="M361" s="93"/>
      <c r="N361" s="93"/>
    </row>
    <row r="362" spans="2:14" ht="13.2">
      <c r="B362" s="101">
        <v>1</v>
      </c>
      <c r="C362" s="28" t="s">
        <v>1106</v>
      </c>
      <c r="D362" s="28" t="s">
        <v>1107</v>
      </c>
      <c r="E362" s="101" t="s">
        <v>1037</v>
      </c>
      <c r="F362" s="100">
        <v>19800</v>
      </c>
      <c r="G362" s="102">
        <f>+ SUMIF('Nhập kho T42024'!B:B, C362,'Nhập kho T42024'!F:F)</f>
        <v>0</v>
      </c>
      <c r="H362" s="101">
        <f>+ SUMIF('Doanh thu'!A:A, C362,'Doanh thu'!E:E) + SUMIF('Doanh thu 2025'!B:B, C362,'Doanh thu 2025'!E:E)</f>
        <v>5</v>
      </c>
      <c r="I362" s="101">
        <f>G362-H362+5</f>
        <v>0</v>
      </c>
      <c r="J362" s="103">
        <f t="shared" si="40"/>
        <v>99000</v>
      </c>
      <c r="K362" s="104">
        <f>+ SUMIF('Doanh thu'!A:A, C362,'Doanh thu'!F:F)</f>
        <v>99000</v>
      </c>
      <c r="L362" s="93"/>
      <c r="M362" s="93"/>
      <c r="N362" s="93"/>
    </row>
    <row r="363" spans="2:14" ht="13.2">
      <c r="B363" s="101">
        <v>1</v>
      </c>
      <c r="C363" s="28" t="s">
        <v>1108</v>
      </c>
      <c r="D363" s="28" t="s">
        <v>1099</v>
      </c>
      <c r="E363" s="101" t="s">
        <v>1037</v>
      </c>
      <c r="F363" s="100">
        <v>19800</v>
      </c>
      <c r="G363" s="102">
        <f>+ SUMIF('Nhập kho T42024'!B:B, C363,'Nhập kho T42024'!F:F)</f>
        <v>0</v>
      </c>
      <c r="H363" s="101">
        <f>+ SUMIF('Doanh thu'!A:A, C363,'Doanh thu'!E:E) + SUMIF('Doanh thu 2025'!B:B, C363,'Doanh thu 2025'!E:E)</f>
        <v>4</v>
      </c>
      <c r="I363" s="101">
        <f>G363-H363+4</f>
        <v>0</v>
      </c>
      <c r="J363" s="103">
        <f t="shared" si="40"/>
        <v>79200</v>
      </c>
      <c r="K363" s="104">
        <f>+ SUMIF('Doanh thu'!A:A, C363,'Doanh thu'!F:F)</f>
        <v>79200</v>
      </c>
      <c r="L363" s="93"/>
      <c r="M363" s="93"/>
      <c r="N363" s="93"/>
    </row>
    <row r="364" spans="2:14" ht="13.2">
      <c r="B364" s="101">
        <v>1</v>
      </c>
      <c r="C364" s="28" t="s">
        <v>1109</v>
      </c>
      <c r="D364" s="28" t="s">
        <v>1110</v>
      </c>
      <c r="E364" s="101" t="s">
        <v>1037</v>
      </c>
      <c r="F364" s="100">
        <v>19800</v>
      </c>
      <c r="G364" s="102">
        <f>+ SUMIF('Nhập kho T42024'!B:B, C364,'Nhập kho T42024'!F:F)</f>
        <v>0</v>
      </c>
      <c r="H364" s="101">
        <f>+ SUMIF('Doanh thu'!A:A, C364,'Doanh thu'!E:E) + SUMIF('Doanh thu 2025'!B:B, C364,'Doanh thu 2025'!E:E)</f>
        <v>2</v>
      </c>
      <c r="I364" s="101">
        <f>G364-H364+2</f>
        <v>0</v>
      </c>
      <c r="J364" s="103">
        <f t="shared" si="40"/>
        <v>39600</v>
      </c>
      <c r="K364" s="104">
        <f>+ SUMIF('Doanh thu'!A:A, C364,'Doanh thu'!F:F)</f>
        <v>39600</v>
      </c>
      <c r="L364" s="93"/>
      <c r="M364" s="93"/>
      <c r="N364" s="93"/>
    </row>
    <row r="365" spans="2:14" ht="13.2">
      <c r="B365" s="101"/>
      <c r="C365" s="28" t="s">
        <v>1111</v>
      </c>
      <c r="D365" s="28" t="s">
        <v>1112</v>
      </c>
      <c r="E365" s="101" t="s">
        <v>444</v>
      </c>
      <c r="F365" s="100">
        <v>98000</v>
      </c>
      <c r="G365" s="102">
        <f>+ SUMIF('Nhập kho T42024'!B:B, C365,'Nhập kho T42024'!F:F)</f>
        <v>8</v>
      </c>
      <c r="H365" s="101">
        <f>+ SUMIF('Doanh thu'!A:A, C365,'Doanh thu'!E:E) + SUMIF('Doanh thu 2025'!B:B, C365,'Doanh thu 2025'!E:E)</f>
        <v>0</v>
      </c>
      <c r="I365" s="101">
        <f t="shared" ref="I365:I415" si="62">G365-H365</f>
        <v>8</v>
      </c>
      <c r="J365" s="103">
        <f t="shared" si="40"/>
        <v>0</v>
      </c>
      <c r="K365" s="104">
        <f>+ SUMIF('Doanh thu'!A:A, C365,'Doanh thu'!F:F)</f>
        <v>0</v>
      </c>
      <c r="L365" s="93"/>
      <c r="M365" s="93"/>
      <c r="N365" s="93"/>
    </row>
    <row r="366" spans="2:14" ht="13.2">
      <c r="B366" s="101">
        <v>242</v>
      </c>
      <c r="C366" s="28" t="s">
        <v>1113</v>
      </c>
      <c r="D366" s="28" t="s">
        <v>1114</v>
      </c>
      <c r="E366" s="101" t="s">
        <v>444</v>
      </c>
      <c r="F366" s="100">
        <v>98000</v>
      </c>
      <c r="G366" s="102">
        <f>+ SUMIF('Nhập kho T42024'!B:B, C366,'Nhập kho T42024'!F:F)</f>
        <v>4</v>
      </c>
      <c r="H366" s="101">
        <f>+ SUMIF('Doanh thu'!A:A, C366,'Doanh thu'!E:E) + SUMIF('Doanh thu 2025'!B:B, C366,'Doanh thu 2025'!E:E)</f>
        <v>2</v>
      </c>
      <c r="I366" s="101">
        <f t="shared" si="62"/>
        <v>2</v>
      </c>
      <c r="J366" s="103">
        <f t="shared" si="40"/>
        <v>196000</v>
      </c>
      <c r="K366" s="104">
        <f>+ SUMIF('Doanh thu'!A:A, C366,'Doanh thu'!F:F)</f>
        <v>196000</v>
      </c>
      <c r="L366" s="93"/>
      <c r="M366" s="93"/>
      <c r="N366" s="93"/>
    </row>
    <row r="367" spans="2:14" ht="13.2">
      <c r="B367" s="101">
        <v>243</v>
      </c>
      <c r="C367" s="28" t="s">
        <v>1115</v>
      </c>
      <c r="D367" s="28" t="s">
        <v>1116</v>
      </c>
      <c r="E367" s="101" t="s">
        <v>444</v>
      </c>
      <c r="F367" s="100">
        <v>98000</v>
      </c>
      <c r="G367" s="102">
        <f>+ SUMIF('Nhập kho T42024'!B:B, C367,'Nhập kho T42024'!F:F)</f>
        <v>2</v>
      </c>
      <c r="H367" s="101">
        <f>+ SUMIF('Doanh thu'!A:A, C367,'Doanh thu'!E:E) + SUMIF('Doanh thu 2025'!B:B, C367,'Doanh thu 2025'!E:E)</f>
        <v>2</v>
      </c>
      <c r="I367" s="101">
        <f t="shared" si="62"/>
        <v>0</v>
      </c>
      <c r="J367" s="103">
        <f t="shared" si="40"/>
        <v>196000</v>
      </c>
      <c r="K367" s="104">
        <f>+ SUMIF('Doanh thu'!A:A, C367,'Doanh thu'!F:F)</f>
        <v>196000</v>
      </c>
      <c r="L367" s="93"/>
      <c r="M367" s="93"/>
      <c r="N367" s="93"/>
    </row>
    <row r="368" spans="2:14" ht="13.2">
      <c r="B368" s="101">
        <v>244</v>
      </c>
      <c r="C368" s="28" t="s">
        <v>1117</v>
      </c>
      <c r="D368" s="28" t="s">
        <v>1118</v>
      </c>
      <c r="E368" s="101" t="s">
        <v>444</v>
      </c>
      <c r="F368" s="100">
        <v>98000</v>
      </c>
      <c r="G368" s="102">
        <f>+ SUMIF('Nhập kho T42024'!B:B, C368,'Nhập kho T42024'!F:F)</f>
        <v>2</v>
      </c>
      <c r="H368" s="101">
        <f>+ SUMIF('Doanh thu'!A:A, C368,'Doanh thu'!E:E) + SUMIF('Doanh thu 2025'!B:B, C368,'Doanh thu 2025'!E:E)</f>
        <v>1</v>
      </c>
      <c r="I368" s="101">
        <f t="shared" si="62"/>
        <v>1</v>
      </c>
      <c r="J368" s="103">
        <f t="shared" si="40"/>
        <v>98000</v>
      </c>
      <c r="K368" s="104">
        <f>+ SUMIF('Doanh thu'!A:A, C368,'Doanh thu'!F:F)</f>
        <v>98000</v>
      </c>
      <c r="L368" s="93"/>
      <c r="M368" s="93"/>
      <c r="N368" s="93"/>
    </row>
    <row r="369" spans="2:14" ht="13.2">
      <c r="B369" s="101">
        <v>245</v>
      </c>
      <c r="C369" s="28" t="s">
        <v>1119</v>
      </c>
      <c r="D369" s="28" t="s">
        <v>1120</v>
      </c>
      <c r="E369" s="101" t="s">
        <v>444</v>
      </c>
      <c r="F369" s="100">
        <v>98000</v>
      </c>
      <c r="G369" s="102">
        <f>+ SUMIF('Nhập kho T42024'!B:B, C369,'Nhập kho T42024'!F:F)</f>
        <v>3</v>
      </c>
      <c r="H369" s="101">
        <f>+ SUMIF('Doanh thu'!A:A, C369,'Doanh thu'!E:E) + SUMIF('Doanh thu 2025'!B:B, C369,'Doanh thu 2025'!E:E)</f>
        <v>1</v>
      </c>
      <c r="I369" s="101">
        <f t="shared" si="62"/>
        <v>2</v>
      </c>
      <c r="J369" s="103">
        <f t="shared" si="40"/>
        <v>98000</v>
      </c>
      <c r="K369" s="104">
        <f>+ SUMIF('Doanh thu'!A:A, C369,'Doanh thu'!F:F)</f>
        <v>98000</v>
      </c>
      <c r="L369" s="93"/>
      <c r="M369" s="93"/>
      <c r="N369" s="93"/>
    </row>
    <row r="370" spans="2:14" ht="13.2">
      <c r="B370" s="101">
        <v>246</v>
      </c>
      <c r="C370" s="28" t="s">
        <v>1121</v>
      </c>
      <c r="D370" s="28" t="s">
        <v>1122</v>
      </c>
      <c r="E370" s="101" t="s">
        <v>444</v>
      </c>
      <c r="F370" s="100">
        <v>98000</v>
      </c>
      <c r="G370" s="102">
        <f>+ SUMIF('Nhập kho T42024'!B:B, C370,'Nhập kho T42024'!F:F)</f>
        <v>0</v>
      </c>
      <c r="H370" s="101">
        <f>+ SUMIF('Doanh thu'!A:A, C370,'Doanh thu'!E:E) + SUMIF('Doanh thu 2025'!B:B, C370,'Doanh thu 2025'!E:E)</f>
        <v>0</v>
      </c>
      <c r="I370" s="101">
        <f t="shared" si="62"/>
        <v>0</v>
      </c>
      <c r="J370" s="103">
        <f t="shared" si="40"/>
        <v>0</v>
      </c>
      <c r="K370" s="104">
        <f>+ SUMIF('Doanh thu'!A:A, C370,'Doanh thu'!F:F)</f>
        <v>0</v>
      </c>
      <c r="L370" s="93"/>
      <c r="M370" s="93"/>
      <c r="N370" s="93"/>
    </row>
    <row r="371" spans="2:14" ht="13.2">
      <c r="B371" s="101">
        <v>247</v>
      </c>
      <c r="C371" s="28" t="s">
        <v>1123</v>
      </c>
      <c r="D371" s="28" t="s">
        <v>1124</v>
      </c>
      <c r="E371" s="101" t="s">
        <v>444</v>
      </c>
      <c r="F371" s="100">
        <v>58800</v>
      </c>
      <c r="G371" s="102">
        <f>+ SUMIF('Nhập kho T42024'!B:B, C371,'Nhập kho T42024'!F:F)</f>
        <v>5</v>
      </c>
      <c r="H371" s="101">
        <f>+ SUMIF('Doanh thu'!A:A, C371,'Doanh thu'!E:E) + SUMIF('Doanh thu 2025'!B:B, C371,'Doanh thu 2025'!E:E)</f>
        <v>7</v>
      </c>
      <c r="I371" s="101">
        <f t="shared" si="62"/>
        <v>-2</v>
      </c>
      <c r="J371" s="103">
        <f t="shared" si="40"/>
        <v>411600</v>
      </c>
      <c r="K371" s="104">
        <f>+ SUMIF('Doanh thu'!A:A, C371,'Doanh thu'!F:F)</f>
        <v>411600</v>
      </c>
      <c r="L371" s="93"/>
      <c r="M371" s="93"/>
      <c r="N371" s="93"/>
    </row>
    <row r="372" spans="2:14" ht="13.2">
      <c r="B372" s="101">
        <v>248</v>
      </c>
      <c r="C372" s="28" t="s">
        <v>1125</v>
      </c>
      <c r="D372" s="28" t="s">
        <v>1126</v>
      </c>
      <c r="E372" s="101" t="s">
        <v>444</v>
      </c>
      <c r="F372" s="100">
        <v>58800</v>
      </c>
      <c r="G372" s="102">
        <f>+ SUMIF('Nhập kho T42024'!B:B, C372,'Nhập kho T42024'!F:F)</f>
        <v>5</v>
      </c>
      <c r="H372" s="101">
        <f>+ SUMIF('Doanh thu'!A:A, C372,'Doanh thu'!E:E) + SUMIF('Doanh thu 2025'!B:B, C372,'Doanh thu 2025'!E:E)</f>
        <v>5</v>
      </c>
      <c r="I372" s="101">
        <f t="shared" si="62"/>
        <v>0</v>
      </c>
      <c r="J372" s="103">
        <f t="shared" si="40"/>
        <v>294000</v>
      </c>
      <c r="K372" s="104">
        <f>+ SUMIF('Doanh thu'!A:A, C372,'Doanh thu'!F:F)</f>
        <v>294000</v>
      </c>
      <c r="L372" s="93"/>
      <c r="M372" s="93"/>
      <c r="N372" s="93"/>
    </row>
    <row r="373" spans="2:14" ht="13.2">
      <c r="B373" s="101">
        <v>249</v>
      </c>
      <c r="C373" s="28" t="s">
        <v>1127</v>
      </c>
      <c r="D373" s="28" t="s">
        <v>1128</v>
      </c>
      <c r="E373" s="101" t="s">
        <v>444</v>
      </c>
      <c r="F373" s="100">
        <v>58800</v>
      </c>
      <c r="G373" s="102">
        <f>+ SUMIF('Nhập kho T42024'!B:B, C373,'Nhập kho T42024'!F:F)</f>
        <v>5</v>
      </c>
      <c r="H373" s="101">
        <f>+ SUMIF('Doanh thu'!A:A, C373,'Doanh thu'!E:E) + SUMIF('Doanh thu 2025'!B:B, C373,'Doanh thu 2025'!E:E)</f>
        <v>4</v>
      </c>
      <c r="I373" s="101">
        <f t="shared" si="62"/>
        <v>1</v>
      </c>
      <c r="J373" s="103">
        <f t="shared" si="40"/>
        <v>235200</v>
      </c>
      <c r="K373" s="104">
        <f>+ SUMIF('Doanh thu'!A:A, C373,'Doanh thu'!F:F)</f>
        <v>235200</v>
      </c>
      <c r="L373" s="93"/>
      <c r="M373" s="93"/>
      <c r="N373" s="93"/>
    </row>
    <row r="374" spans="2:14" ht="13.2">
      <c r="B374" s="101">
        <v>250</v>
      </c>
      <c r="C374" s="28" t="s">
        <v>1129</v>
      </c>
      <c r="D374" s="28" t="s">
        <v>1130</v>
      </c>
      <c r="E374" s="101" t="s">
        <v>444</v>
      </c>
      <c r="F374" s="100">
        <v>58800</v>
      </c>
      <c r="G374" s="102">
        <f>+ SUMIF('Nhập kho T42024'!B:B, C374,'Nhập kho T42024'!F:F)</f>
        <v>5</v>
      </c>
      <c r="H374" s="101">
        <f>+ SUMIF('Doanh thu'!A:A, C374,'Doanh thu'!E:E) + SUMIF('Doanh thu 2025'!B:B, C374,'Doanh thu 2025'!E:E)</f>
        <v>5</v>
      </c>
      <c r="I374" s="101">
        <f t="shared" si="62"/>
        <v>0</v>
      </c>
      <c r="J374" s="103">
        <f t="shared" si="40"/>
        <v>294000</v>
      </c>
      <c r="K374" s="104">
        <f>+ SUMIF('Doanh thu'!A:A, C374,'Doanh thu'!F:F)</f>
        <v>294000</v>
      </c>
      <c r="L374" s="93"/>
      <c r="M374" s="93"/>
      <c r="N374" s="93"/>
    </row>
    <row r="375" spans="2:14" ht="13.2">
      <c r="B375" s="101">
        <v>251</v>
      </c>
      <c r="C375" s="28" t="s">
        <v>1131</v>
      </c>
      <c r="D375" s="28" t="s">
        <v>1132</v>
      </c>
      <c r="E375" s="101" t="s">
        <v>444</v>
      </c>
      <c r="F375" s="100">
        <v>58800</v>
      </c>
      <c r="G375" s="102">
        <f>+ SUMIF('Nhập kho T42024'!B:B, C375,'Nhập kho T42024'!F:F)</f>
        <v>5</v>
      </c>
      <c r="H375" s="101">
        <f>+ SUMIF('Doanh thu'!A:A, C375,'Doanh thu'!E:E) + SUMIF('Doanh thu 2025'!B:B, C375,'Doanh thu 2025'!E:E)</f>
        <v>5</v>
      </c>
      <c r="I375" s="101">
        <f t="shared" si="62"/>
        <v>0</v>
      </c>
      <c r="J375" s="103">
        <f t="shared" si="40"/>
        <v>294000</v>
      </c>
      <c r="K375" s="104">
        <f>+ SUMIF('Doanh thu'!A:A, C375,'Doanh thu'!F:F)</f>
        <v>294000</v>
      </c>
      <c r="L375" s="93"/>
      <c r="M375" s="93"/>
      <c r="N375" s="93"/>
    </row>
    <row r="376" spans="2:14" ht="13.2">
      <c r="B376" s="101">
        <v>252</v>
      </c>
      <c r="C376" s="28" t="s">
        <v>1133</v>
      </c>
      <c r="D376" s="28" t="s">
        <v>1134</v>
      </c>
      <c r="E376" s="101" t="s">
        <v>444</v>
      </c>
      <c r="F376" s="100">
        <v>58800</v>
      </c>
      <c r="G376" s="102">
        <f>+ SUMIF('Nhập kho T42024'!B:B, C376,'Nhập kho T42024'!F:F)</f>
        <v>5</v>
      </c>
      <c r="H376" s="101">
        <f>+ SUMIF('Doanh thu'!A:A, C376,'Doanh thu'!E:E) + SUMIF('Doanh thu 2025'!B:B, C376,'Doanh thu 2025'!E:E)</f>
        <v>5</v>
      </c>
      <c r="I376" s="101">
        <f t="shared" si="62"/>
        <v>0</v>
      </c>
      <c r="J376" s="103">
        <f t="shared" si="40"/>
        <v>294000</v>
      </c>
      <c r="K376" s="104">
        <f>+ SUMIF('Doanh thu'!A:A, C376,'Doanh thu'!F:F)</f>
        <v>294000</v>
      </c>
      <c r="L376" s="93"/>
      <c r="M376" s="93"/>
      <c r="N376" s="93"/>
    </row>
    <row r="377" spans="2:14" ht="13.2">
      <c r="B377" s="101">
        <v>253</v>
      </c>
      <c r="C377" s="28" t="s">
        <v>1135</v>
      </c>
      <c r="D377" s="28" t="s">
        <v>1136</v>
      </c>
      <c r="E377" s="101" t="s">
        <v>444</v>
      </c>
      <c r="F377" s="100">
        <v>58800</v>
      </c>
      <c r="G377" s="102">
        <f>+ SUMIF('Nhập kho T42024'!B:B, C377,'Nhập kho T42024'!F:F)</f>
        <v>5</v>
      </c>
      <c r="H377" s="101">
        <f>+ SUMIF('Doanh thu'!A:A, C377,'Doanh thu'!E:E) + SUMIF('Doanh thu 2025'!B:B, C377,'Doanh thu 2025'!E:E)</f>
        <v>5</v>
      </c>
      <c r="I377" s="101">
        <f t="shared" si="62"/>
        <v>0</v>
      </c>
      <c r="J377" s="103">
        <f t="shared" si="40"/>
        <v>294000</v>
      </c>
      <c r="K377" s="104">
        <f>+ SUMIF('Doanh thu'!A:A, C377,'Doanh thu'!F:F)</f>
        <v>294000</v>
      </c>
      <c r="L377" s="93"/>
      <c r="M377" s="93"/>
      <c r="N377" s="93"/>
    </row>
    <row r="378" spans="2:14" ht="13.2">
      <c r="B378" s="101">
        <v>254</v>
      </c>
      <c r="C378" s="28" t="s">
        <v>1137</v>
      </c>
      <c r="D378" s="28" t="s">
        <v>1138</v>
      </c>
      <c r="E378" s="101" t="s">
        <v>444</v>
      </c>
      <c r="F378" s="100">
        <v>58800</v>
      </c>
      <c r="G378" s="102">
        <f>+ SUMIF('Nhập kho T42024'!B:B, C378,'Nhập kho T42024'!F:F)</f>
        <v>5</v>
      </c>
      <c r="H378" s="101">
        <f>+ SUMIF('Doanh thu'!A:A, C378,'Doanh thu'!E:E) + SUMIF('Doanh thu 2025'!B:B, C378,'Doanh thu 2025'!E:E)</f>
        <v>4</v>
      </c>
      <c r="I378" s="101">
        <f t="shared" si="62"/>
        <v>1</v>
      </c>
      <c r="J378" s="103">
        <f t="shared" si="40"/>
        <v>235200</v>
      </c>
      <c r="K378" s="104">
        <f>+ SUMIF('Doanh thu'!A:A, C378,'Doanh thu'!F:F)</f>
        <v>235200</v>
      </c>
      <c r="L378" s="93"/>
      <c r="M378" s="93"/>
      <c r="N378" s="93"/>
    </row>
    <row r="379" spans="2:14" ht="13.2">
      <c r="B379" s="101">
        <v>255</v>
      </c>
      <c r="C379" s="28" t="s">
        <v>1139</v>
      </c>
      <c r="D379" s="28" t="s">
        <v>1140</v>
      </c>
      <c r="E379" s="101" t="s">
        <v>444</v>
      </c>
      <c r="F379" s="100">
        <v>58800</v>
      </c>
      <c r="G379" s="102">
        <f>+ SUMIF('Nhập kho T42024'!B:B, C379,'Nhập kho T42024'!F:F)</f>
        <v>2</v>
      </c>
      <c r="H379" s="101">
        <f>+ SUMIF('Doanh thu'!A:A, C379,'Doanh thu'!E:E) + SUMIF('Doanh thu 2025'!B:B, C379,'Doanh thu 2025'!E:E)</f>
        <v>2</v>
      </c>
      <c r="I379" s="101">
        <f t="shared" si="62"/>
        <v>0</v>
      </c>
      <c r="J379" s="103">
        <f t="shared" si="40"/>
        <v>117600</v>
      </c>
      <c r="K379" s="104">
        <f>+ SUMIF('Doanh thu'!A:A, C379,'Doanh thu'!F:F)</f>
        <v>117600</v>
      </c>
      <c r="L379" s="93"/>
      <c r="M379" s="93"/>
      <c r="N379" s="93"/>
    </row>
    <row r="380" spans="2:14" ht="13.2">
      <c r="B380" s="101">
        <v>256</v>
      </c>
      <c r="C380" s="28" t="s">
        <v>1141</v>
      </c>
      <c r="D380" s="28" t="s">
        <v>1142</v>
      </c>
      <c r="E380" s="101" t="s">
        <v>444</v>
      </c>
      <c r="F380" s="100">
        <v>58800</v>
      </c>
      <c r="G380" s="102">
        <f>+ SUMIF('Nhập kho T42024'!B:B, C380,'Nhập kho T42024'!F:F)</f>
        <v>2</v>
      </c>
      <c r="H380" s="101">
        <f>+ SUMIF('Doanh thu'!A:A, C380,'Doanh thu'!E:E) + SUMIF('Doanh thu 2025'!B:B, C380,'Doanh thu 2025'!E:E)</f>
        <v>2</v>
      </c>
      <c r="I380" s="101">
        <f t="shared" si="62"/>
        <v>0</v>
      </c>
      <c r="J380" s="103">
        <f t="shared" si="40"/>
        <v>117600</v>
      </c>
      <c r="K380" s="104">
        <f>+ SUMIF('Doanh thu'!A:A, C380,'Doanh thu'!F:F)</f>
        <v>117600</v>
      </c>
      <c r="L380" s="93"/>
      <c r="M380" s="93"/>
      <c r="N380" s="93"/>
    </row>
    <row r="381" spans="2:14" ht="13.2">
      <c r="B381" s="101">
        <v>257</v>
      </c>
      <c r="C381" s="28" t="s">
        <v>1143</v>
      </c>
      <c r="D381" s="28" t="s">
        <v>1144</v>
      </c>
      <c r="E381" s="101" t="s">
        <v>444</v>
      </c>
      <c r="F381" s="100">
        <v>58800</v>
      </c>
      <c r="G381" s="102">
        <f>+ SUMIF('Nhập kho T42024'!B:B, C381,'Nhập kho T42024'!F:F)</f>
        <v>5</v>
      </c>
      <c r="H381" s="101">
        <f>+ SUMIF('Doanh thu'!A:A, C381,'Doanh thu'!E:E) + SUMIF('Doanh thu 2025'!B:B, C381,'Doanh thu 2025'!E:E)</f>
        <v>4</v>
      </c>
      <c r="I381" s="101">
        <f t="shared" si="62"/>
        <v>1</v>
      </c>
      <c r="J381" s="103">
        <f t="shared" si="40"/>
        <v>235200</v>
      </c>
      <c r="K381" s="104">
        <f>+ SUMIF('Doanh thu'!A:A, C381,'Doanh thu'!F:F)</f>
        <v>235200</v>
      </c>
      <c r="L381" s="93"/>
      <c r="M381" s="93"/>
      <c r="N381" s="93"/>
    </row>
    <row r="382" spans="2:14" ht="13.2">
      <c r="B382" s="101">
        <v>258</v>
      </c>
      <c r="C382" s="28" t="s">
        <v>1145</v>
      </c>
      <c r="D382" s="28" t="s">
        <v>1146</v>
      </c>
      <c r="E382" s="101" t="s">
        <v>444</v>
      </c>
      <c r="F382" s="100">
        <v>58800</v>
      </c>
      <c r="G382" s="102">
        <f>+ SUMIF('Nhập kho T42024'!B:B, C382,'Nhập kho T42024'!F:F)</f>
        <v>5</v>
      </c>
      <c r="H382" s="101">
        <f>+ SUMIF('Doanh thu'!A:A, C382,'Doanh thu'!E:E) + SUMIF('Doanh thu 2025'!B:B, C382,'Doanh thu 2025'!E:E)</f>
        <v>5</v>
      </c>
      <c r="I382" s="101">
        <f t="shared" si="62"/>
        <v>0</v>
      </c>
      <c r="J382" s="103">
        <f t="shared" si="40"/>
        <v>294000</v>
      </c>
      <c r="K382" s="104">
        <f>+ SUMIF('Doanh thu'!A:A, C382,'Doanh thu'!F:F)</f>
        <v>294000</v>
      </c>
      <c r="L382" s="93"/>
      <c r="M382" s="93"/>
      <c r="N382" s="93"/>
    </row>
    <row r="383" spans="2:14" ht="13.2">
      <c r="B383" s="101">
        <v>259</v>
      </c>
      <c r="C383" s="28" t="s">
        <v>1147</v>
      </c>
      <c r="D383" s="28" t="s">
        <v>1148</v>
      </c>
      <c r="E383" s="101" t="s">
        <v>444</v>
      </c>
      <c r="F383" s="100">
        <v>38000</v>
      </c>
      <c r="G383" s="102">
        <f>+ SUMIF('Nhập kho T42024'!B:B, C383,'Nhập kho T42024'!F:F)</f>
        <v>2</v>
      </c>
      <c r="H383" s="101">
        <f>+ SUMIF('Doanh thu'!A:A, C383,'Doanh thu'!E:E) + SUMIF('Doanh thu 2025'!B:B, C383,'Doanh thu 2025'!E:E)</f>
        <v>2</v>
      </c>
      <c r="I383" s="101">
        <f t="shared" si="62"/>
        <v>0</v>
      </c>
      <c r="J383" s="103">
        <f t="shared" si="40"/>
        <v>76000</v>
      </c>
      <c r="K383" s="104">
        <f>+ SUMIF('Doanh thu'!A:A, C383,'Doanh thu'!F:F)</f>
        <v>76000</v>
      </c>
      <c r="L383" s="93"/>
      <c r="M383" s="93"/>
      <c r="N383" s="93"/>
    </row>
    <row r="384" spans="2:14" ht="13.2">
      <c r="B384" s="101">
        <v>260</v>
      </c>
      <c r="C384" s="28" t="s">
        <v>1149</v>
      </c>
      <c r="D384" s="28" t="s">
        <v>1150</v>
      </c>
      <c r="E384" s="101" t="s">
        <v>444</v>
      </c>
      <c r="F384" s="100">
        <v>38000</v>
      </c>
      <c r="G384" s="102">
        <f>+ SUMIF('Nhập kho T42024'!B:B, C384,'Nhập kho T42024'!F:F)</f>
        <v>2</v>
      </c>
      <c r="H384" s="101">
        <f>+ SUMIF('Doanh thu'!A:A, C384,'Doanh thu'!E:E) + SUMIF('Doanh thu 2025'!B:B, C384,'Doanh thu 2025'!E:E)</f>
        <v>2</v>
      </c>
      <c r="I384" s="101">
        <f t="shared" si="62"/>
        <v>0</v>
      </c>
      <c r="J384" s="103">
        <f t="shared" si="40"/>
        <v>76000</v>
      </c>
      <c r="K384" s="104">
        <f>+ SUMIF('Doanh thu'!A:A, C384,'Doanh thu'!F:F)</f>
        <v>76000</v>
      </c>
      <c r="L384" s="93"/>
      <c r="M384" s="93"/>
      <c r="N384" s="93"/>
    </row>
    <row r="385" spans="2:14" ht="13.2">
      <c r="B385" s="101">
        <v>261</v>
      </c>
      <c r="C385" s="28" t="s">
        <v>1151</v>
      </c>
      <c r="D385" s="28" t="s">
        <v>1152</v>
      </c>
      <c r="E385" s="101" t="s">
        <v>444</v>
      </c>
      <c r="F385" s="100">
        <v>56500</v>
      </c>
      <c r="G385" s="102">
        <f>+ SUMIF('Nhập kho T42024'!B:B, C385,'Nhập kho T42024'!F:F)</f>
        <v>10</v>
      </c>
      <c r="H385" s="101">
        <f>+ SUMIF('Doanh thu'!A:A, C385,'Doanh thu'!E:E) + SUMIF('Doanh thu 2025'!B:B, C385,'Doanh thu 2025'!E:E)</f>
        <v>8</v>
      </c>
      <c r="I385" s="101">
        <f t="shared" si="62"/>
        <v>2</v>
      </c>
      <c r="J385" s="103">
        <f t="shared" si="40"/>
        <v>452000</v>
      </c>
      <c r="K385" s="104">
        <f>+ SUMIF('Doanh thu'!A:A, C385,'Doanh thu'!F:F)</f>
        <v>452000</v>
      </c>
      <c r="L385" s="93"/>
      <c r="M385" s="93"/>
      <c r="N385" s="93"/>
    </row>
    <row r="386" spans="2:14" ht="13.2">
      <c r="B386" s="101">
        <v>262</v>
      </c>
      <c r="C386" s="28" t="s">
        <v>1153</v>
      </c>
      <c r="D386" s="28" t="s">
        <v>1154</v>
      </c>
      <c r="E386" s="101" t="s">
        <v>444</v>
      </c>
      <c r="F386" s="100">
        <v>58800</v>
      </c>
      <c r="G386" s="102">
        <f>+ SUMIF('Nhập kho T42024'!B:B, C386,'Nhập kho T42024'!F:F)</f>
        <v>5</v>
      </c>
      <c r="H386" s="101">
        <f>+ SUMIF('Doanh thu'!A:A, C386,'Doanh thu'!E:E) + SUMIF('Doanh thu 2025'!B:B, C386,'Doanh thu 2025'!E:E)</f>
        <v>4</v>
      </c>
      <c r="I386" s="101">
        <f t="shared" si="62"/>
        <v>1</v>
      </c>
      <c r="J386" s="103">
        <f t="shared" si="40"/>
        <v>235200</v>
      </c>
      <c r="K386" s="104">
        <f>+ SUMIF('Doanh thu'!A:A, C386,'Doanh thu'!F:F)</f>
        <v>235200</v>
      </c>
      <c r="L386" s="93"/>
      <c r="M386" s="93"/>
      <c r="N386" s="93"/>
    </row>
    <row r="387" spans="2:14" ht="13.2">
      <c r="B387" s="101">
        <v>263</v>
      </c>
      <c r="C387" s="28" t="s">
        <v>1155</v>
      </c>
      <c r="D387" s="28" t="s">
        <v>1156</v>
      </c>
      <c r="E387" s="101" t="s">
        <v>444</v>
      </c>
      <c r="F387" s="100">
        <v>12000</v>
      </c>
      <c r="G387" s="102">
        <f>+ SUMIF('Nhập kho T42024'!B:B, C387,'Nhập kho T42024'!F:F)</f>
        <v>20</v>
      </c>
      <c r="H387" s="101">
        <f>+ SUMIF('Doanh thu'!A:A, C387,'Doanh thu'!E:E) + SUMIF('Doanh thu 2025'!B:B, C387,'Doanh thu 2025'!E:E)</f>
        <v>13</v>
      </c>
      <c r="I387" s="101">
        <f t="shared" si="62"/>
        <v>7</v>
      </c>
      <c r="J387" s="103">
        <f t="shared" si="40"/>
        <v>84000</v>
      </c>
      <c r="K387" s="104">
        <f>+ SUMIF('Doanh thu'!A:A, C387,'Doanh thu'!F:F)</f>
        <v>84000</v>
      </c>
      <c r="L387" s="93"/>
      <c r="M387" s="93"/>
      <c r="N387" s="93"/>
    </row>
    <row r="388" spans="2:14" ht="13.2">
      <c r="B388" s="101">
        <v>264</v>
      </c>
      <c r="C388" s="28" t="s">
        <v>1157</v>
      </c>
      <c r="D388" s="28" t="s">
        <v>1158</v>
      </c>
      <c r="E388" s="101" t="s">
        <v>444</v>
      </c>
      <c r="F388" s="100">
        <v>12000</v>
      </c>
      <c r="G388" s="102">
        <f>+ SUMIF('Nhập kho T42024'!B:B, C388,'Nhập kho T42024'!F:F)</f>
        <v>20</v>
      </c>
      <c r="H388" s="101">
        <f>+ SUMIF('Doanh thu'!A:A, C388,'Doanh thu'!E:E) + SUMIF('Doanh thu 2025'!B:B, C388,'Doanh thu 2025'!E:E)</f>
        <v>20</v>
      </c>
      <c r="I388" s="101">
        <f t="shared" si="62"/>
        <v>0</v>
      </c>
      <c r="J388" s="103">
        <f t="shared" si="40"/>
        <v>168000</v>
      </c>
      <c r="K388" s="104">
        <f>+ SUMIF('Doanh thu'!A:A, C388,'Doanh thu'!F:F)</f>
        <v>168000</v>
      </c>
      <c r="L388" s="93"/>
      <c r="M388" s="93"/>
      <c r="N388" s="93"/>
    </row>
    <row r="389" spans="2:14" ht="13.2">
      <c r="B389" s="101">
        <v>265</v>
      </c>
      <c r="C389" s="28" t="s">
        <v>1159</v>
      </c>
      <c r="D389" s="28" t="s">
        <v>1160</v>
      </c>
      <c r="E389" s="101" t="s">
        <v>444</v>
      </c>
      <c r="F389" s="100">
        <v>12000</v>
      </c>
      <c r="G389" s="102">
        <f>+ SUMIF('Nhập kho T42024'!B:B, C389,'Nhập kho T42024'!F:F)</f>
        <v>20</v>
      </c>
      <c r="H389" s="101">
        <f>+ SUMIF('Doanh thu'!A:A, C389,'Doanh thu'!E:E) + SUMIF('Doanh thu 2025'!B:B, C389,'Doanh thu 2025'!E:E)</f>
        <v>7</v>
      </c>
      <c r="I389" s="101">
        <f t="shared" si="62"/>
        <v>13</v>
      </c>
      <c r="J389" s="103">
        <f t="shared" si="40"/>
        <v>60000</v>
      </c>
      <c r="K389" s="104">
        <f>+ SUMIF('Doanh thu'!A:A, C389,'Doanh thu'!F:F)</f>
        <v>60000</v>
      </c>
      <c r="L389" s="93"/>
      <c r="M389" s="93"/>
      <c r="N389" s="93"/>
    </row>
    <row r="390" spans="2:14" ht="13.2">
      <c r="B390" s="101">
        <v>266</v>
      </c>
      <c r="C390" s="28" t="s">
        <v>1161</v>
      </c>
      <c r="D390" s="28" t="s">
        <v>1162</v>
      </c>
      <c r="E390" s="101" t="s">
        <v>444</v>
      </c>
      <c r="F390" s="100">
        <v>12000</v>
      </c>
      <c r="G390" s="102">
        <f>+ SUMIF('Nhập kho T42024'!B:B, C390,'Nhập kho T42024'!F:F)</f>
        <v>20</v>
      </c>
      <c r="H390" s="101">
        <f>+ SUMIF('Doanh thu'!A:A, C390,'Doanh thu'!E:E) + SUMIF('Doanh thu 2025'!B:B, C390,'Doanh thu 2025'!E:E)</f>
        <v>4</v>
      </c>
      <c r="I390" s="101">
        <f t="shared" si="62"/>
        <v>16</v>
      </c>
      <c r="J390" s="103">
        <f t="shared" si="40"/>
        <v>36000</v>
      </c>
      <c r="K390" s="104">
        <f>+ SUMIF('Doanh thu'!A:A, C390,'Doanh thu'!F:F)</f>
        <v>36000</v>
      </c>
      <c r="L390" s="93"/>
      <c r="M390" s="93"/>
      <c r="N390" s="93"/>
    </row>
    <row r="391" spans="2:14" ht="13.2">
      <c r="B391" s="101">
        <v>267</v>
      </c>
      <c r="C391" s="28" t="s">
        <v>1163</v>
      </c>
      <c r="D391" s="28" t="s">
        <v>1164</v>
      </c>
      <c r="E391" s="101" t="s">
        <v>444</v>
      </c>
      <c r="F391" s="100">
        <v>12000</v>
      </c>
      <c r="G391" s="102">
        <f>+ SUMIF('Nhập kho T42024'!B:B, C391,'Nhập kho T42024'!F:F)</f>
        <v>20</v>
      </c>
      <c r="H391" s="101">
        <f>+ SUMIF('Doanh thu'!A:A, C391,'Doanh thu'!E:E) + SUMIF('Doanh thu 2025'!B:B, C391,'Doanh thu 2025'!E:E)</f>
        <v>6</v>
      </c>
      <c r="I391" s="101">
        <f t="shared" si="62"/>
        <v>14</v>
      </c>
      <c r="J391" s="103">
        <f t="shared" si="40"/>
        <v>48000</v>
      </c>
      <c r="K391" s="104">
        <f>+ SUMIF('Doanh thu'!A:A, C391,'Doanh thu'!F:F)</f>
        <v>48000</v>
      </c>
      <c r="L391" s="93"/>
      <c r="M391" s="93"/>
      <c r="N391" s="93"/>
    </row>
    <row r="392" spans="2:14" ht="13.2">
      <c r="B392" s="101">
        <v>268</v>
      </c>
      <c r="C392" s="28" t="s">
        <v>1165</v>
      </c>
      <c r="D392" s="28" t="s">
        <v>1166</v>
      </c>
      <c r="E392" s="101" t="s">
        <v>444</v>
      </c>
      <c r="F392" s="100">
        <v>12000</v>
      </c>
      <c r="G392" s="102">
        <f>+ SUMIF('Nhập kho T42024'!B:B, C392,'Nhập kho T42024'!F:F)</f>
        <v>20</v>
      </c>
      <c r="H392" s="101">
        <f>+ SUMIF('Doanh thu'!A:A, C392,'Doanh thu'!E:E) + SUMIF('Doanh thu 2025'!B:B, C392,'Doanh thu 2025'!E:E)</f>
        <v>8</v>
      </c>
      <c r="I392" s="101">
        <f t="shared" si="62"/>
        <v>12</v>
      </c>
      <c r="J392" s="103">
        <f t="shared" si="40"/>
        <v>72000</v>
      </c>
      <c r="K392" s="104">
        <f>+ SUMIF('Doanh thu'!A:A, C392,'Doanh thu'!F:F)</f>
        <v>72000</v>
      </c>
      <c r="L392" s="93"/>
      <c r="M392" s="93"/>
      <c r="N392" s="93"/>
    </row>
    <row r="393" spans="2:14" ht="13.2">
      <c r="B393" s="101">
        <v>269</v>
      </c>
      <c r="C393" s="28" t="s">
        <v>1167</v>
      </c>
      <c r="D393" s="28" t="s">
        <v>1168</v>
      </c>
      <c r="E393" s="101" t="s">
        <v>444</v>
      </c>
      <c r="F393" s="100">
        <v>12000</v>
      </c>
      <c r="G393" s="102">
        <f>+ SUMIF('Nhập kho T42024'!B:B, C393,'Nhập kho T42024'!F:F)</f>
        <v>20</v>
      </c>
      <c r="H393" s="101">
        <f>+ SUMIF('Doanh thu'!A:A, C393,'Doanh thu'!E:E) + SUMIF('Doanh thu 2025'!B:B, C393,'Doanh thu 2025'!E:E)</f>
        <v>10</v>
      </c>
      <c r="I393" s="101">
        <f t="shared" si="62"/>
        <v>10</v>
      </c>
      <c r="J393" s="103">
        <f t="shared" si="40"/>
        <v>96000</v>
      </c>
      <c r="K393" s="104">
        <f>+ SUMIF('Doanh thu'!A:A, C393,'Doanh thu'!F:F)</f>
        <v>96000</v>
      </c>
      <c r="L393" s="93"/>
      <c r="M393" s="93"/>
      <c r="N393" s="93"/>
    </row>
    <row r="394" spans="2:14" ht="13.2">
      <c r="B394" s="101">
        <v>270</v>
      </c>
      <c r="C394" s="28" t="s">
        <v>1169</v>
      </c>
      <c r="D394" s="28" t="s">
        <v>1170</v>
      </c>
      <c r="E394" s="101" t="s">
        <v>444</v>
      </c>
      <c r="F394" s="100">
        <v>12000</v>
      </c>
      <c r="G394" s="102">
        <f>+ SUMIF('Nhập kho T42024'!B:B, C394,'Nhập kho T42024'!F:F)</f>
        <v>20</v>
      </c>
      <c r="H394" s="101">
        <f>+ SUMIF('Doanh thu'!A:A, C394,'Doanh thu'!E:E) + SUMIF('Doanh thu 2025'!B:B, C394,'Doanh thu 2025'!E:E)</f>
        <v>8</v>
      </c>
      <c r="I394" s="101">
        <f t="shared" si="62"/>
        <v>12</v>
      </c>
      <c r="J394" s="103">
        <f t="shared" si="40"/>
        <v>48000</v>
      </c>
      <c r="K394" s="104">
        <f>+ SUMIF('Doanh thu'!A:A, C394,'Doanh thu'!F:F)</f>
        <v>48000</v>
      </c>
      <c r="L394" s="93"/>
      <c r="M394" s="93"/>
      <c r="N394" s="93"/>
    </row>
    <row r="395" spans="2:14" ht="13.2">
      <c r="B395" s="101">
        <v>271</v>
      </c>
      <c r="C395" s="28" t="s">
        <v>1171</v>
      </c>
      <c r="D395" s="28" t="s">
        <v>1172</v>
      </c>
      <c r="E395" s="101" t="s">
        <v>444</v>
      </c>
      <c r="F395" s="100">
        <v>12000</v>
      </c>
      <c r="G395" s="102">
        <f>+ SUMIF('Nhập kho T42024'!B:B, C395,'Nhập kho T42024'!F:F)</f>
        <v>20</v>
      </c>
      <c r="H395" s="101">
        <f>+ SUMIF('Doanh thu'!A:A, C395,'Doanh thu'!E:E) + SUMIF('Doanh thu 2025'!B:B, C395,'Doanh thu 2025'!E:E)</f>
        <v>6</v>
      </c>
      <c r="I395" s="101">
        <f t="shared" si="62"/>
        <v>14</v>
      </c>
      <c r="J395" s="103">
        <f t="shared" si="40"/>
        <v>60000</v>
      </c>
      <c r="K395" s="104">
        <f>+ SUMIF('Doanh thu'!A:A, C395,'Doanh thu'!F:F)</f>
        <v>60000</v>
      </c>
      <c r="L395" s="93"/>
      <c r="M395" s="93"/>
      <c r="N395" s="93"/>
    </row>
    <row r="396" spans="2:14" ht="13.2">
      <c r="B396" s="101">
        <v>272</v>
      </c>
      <c r="C396" s="28" t="s">
        <v>1173</v>
      </c>
      <c r="D396" s="28" t="s">
        <v>1174</v>
      </c>
      <c r="E396" s="101" t="s">
        <v>444</v>
      </c>
      <c r="F396" s="100">
        <v>12000</v>
      </c>
      <c r="G396" s="102">
        <f>+ SUMIF('Nhập kho T42024'!B:B, C396,'Nhập kho T42024'!F:F)</f>
        <v>20</v>
      </c>
      <c r="H396" s="101">
        <f>+ SUMIF('Doanh thu'!A:A, C396,'Doanh thu'!E:E) + SUMIF('Doanh thu 2025'!B:B, C396,'Doanh thu 2025'!E:E)</f>
        <v>1</v>
      </c>
      <c r="I396" s="101">
        <f t="shared" si="62"/>
        <v>19</v>
      </c>
      <c r="J396" s="103">
        <f t="shared" si="40"/>
        <v>12000</v>
      </c>
      <c r="K396" s="104">
        <f>+ SUMIF('Doanh thu'!A:A, C396,'Doanh thu'!F:F)</f>
        <v>12000</v>
      </c>
      <c r="L396" s="93"/>
      <c r="M396" s="93"/>
      <c r="N396" s="93"/>
    </row>
    <row r="397" spans="2:14" ht="13.2">
      <c r="B397" s="101">
        <v>273</v>
      </c>
      <c r="C397" s="28" t="s">
        <v>1175</v>
      </c>
      <c r="D397" s="28" t="s">
        <v>1176</v>
      </c>
      <c r="E397" s="101" t="s">
        <v>444</v>
      </c>
      <c r="F397" s="100">
        <v>12000</v>
      </c>
      <c r="G397" s="102">
        <f>+ SUMIF('Nhập kho T42024'!B:B, C397,'Nhập kho T42024'!F:F)</f>
        <v>20</v>
      </c>
      <c r="H397" s="101">
        <f>+ SUMIF('Doanh thu'!A:A, C397,'Doanh thu'!E:E) + SUMIF('Doanh thu 2025'!B:B, C397,'Doanh thu 2025'!E:E)</f>
        <v>7</v>
      </c>
      <c r="I397" s="101">
        <f t="shared" si="62"/>
        <v>13</v>
      </c>
      <c r="J397" s="103">
        <f t="shared" si="40"/>
        <v>60000</v>
      </c>
      <c r="K397" s="104">
        <f>+ SUMIF('Doanh thu'!A:A, C397,'Doanh thu'!F:F)</f>
        <v>60000</v>
      </c>
      <c r="L397" s="93"/>
      <c r="M397" s="93"/>
      <c r="N397" s="93"/>
    </row>
    <row r="398" spans="2:14" ht="13.2">
      <c r="B398" s="101">
        <v>274</v>
      </c>
      <c r="C398" s="28" t="s">
        <v>1177</v>
      </c>
      <c r="D398" s="28" t="s">
        <v>1178</v>
      </c>
      <c r="E398" s="101" t="s">
        <v>444</v>
      </c>
      <c r="F398" s="100">
        <v>12000</v>
      </c>
      <c r="G398" s="102">
        <f>+ SUMIF('Nhập kho T42024'!B:B, C398,'Nhập kho T42024'!F:F)</f>
        <v>20</v>
      </c>
      <c r="H398" s="101">
        <f>+ SUMIF('Doanh thu'!A:A, C398,'Doanh thu'!E:E) + SUMIF('Doanh thu 2025'!B:B, C398,'Doanh thu 2025'!E:E)</f>
        <v>10</v>
      </c>
      <c r="I398" s="101">
        <f t="shared" si="62"/>
        <v>10</v>
      </c>
      <c r="J398" s="103">
        <f t="shared" si="40"/>
        <v>72000</v>
      </c>
      <c r="K398" s="104">
        <f>+ SUMIF('Doanh thu'!A:A, C398,'Doanh thu'!F:F)</f>
        <v>72000</v>
      </c>
      <c r="L398" s="93"/>
      <c r="M398" s="93"/>
      <c r="N398" s="93"/>
    </row>
    <row r="399" spans="2:14" ht="13.2">
      <c r="B399" s="101">
        <v>275</v>
      </c>
      <c r="C399" s="28" t="s">
        <v>1179</v>
      </c>
      <c r="D399" s="28" t="s">
        <v>1180</v>
      </c>
      <c r="E399" s="101" t="s">
        <v>444</v>
      </c>
      <c r="F399" s="100">
        <v>12000</v>
      </c>
      <c r="G399" s="102">
        <f>+ SUMIF('Nhập kho T42024'!B:B, C399,'Nhập kho T42024'!F:F)</f>
        <v>20</v>
      </c>
      <c r="H399" s="101">
        <f>+ SUMIF('Doanh thu'!A:A, C399,'Doanh thu'!E:E) + SUMIF('Doanh thu 2025'!B:B, C399,'Doanh thu 2025'!E:E)</f>
        <v>3</v>
      </c>
      <c r="I399" s="101">
        <f t="shared" si="62"/>
        <v>17</v>
      </c>
      <c r="J399" s="103">
        <f t="shared" si="40"/>
        <v>12000</v>
      </c>
      <c r="K399" s="104">
        <f>+ SUMIF('Doanh thu'!A:A, C399,'Doanh thu'!F:F)</f>
        <v>12000</v>
      </c>
      <c r="L399" s="93"/>
      <c r="M399" s="93"/>
      <c r="N399" s="93"/>
    </row>
    <row r="400" spans="2:14" ht="13.2">
      <c r="B400" s="101">
        <v>276</v>
      </c>
      <c r="C400" s="128" t="s">
        <v>1181</v>
      </c>
      <c r="D400" s="129" t="s">
        <v>1182</v>
      </c>
      <c r="E400" s="101" t="s">
        <v>444</v>
      </c>
      <c r="F400" s="100">
        <v>12000</v>
      </c>
      <c r="G400" s="102">
        <f>+ SUMIF('Nhập kho T42024'!B:B, C400,'Nhập kho T42024'!F:F)</f>
        <v>50</v>
      </c>
      <c r="H400" s="101">
        <f>+ SUMIF('Doanh thu'!A:A, C400,'Doanh thu'!E:E) + SUMIF('Doanh thu 2025'!B:B, C400,'Doanh thu 2025'!E:E)</f>
        <v>26</v>
      </c>
      <c r="I400" s="101">
        <f t="shared" si="62"/>
        <v>24</v>
      </c>
      <c r="J400" s="103">
        <f t="shared" si="40"/>
        <v>300000</v>
      </c>
      <c r="K400" s="104">
        <f>+ SUMIF('Doanh thu'!A:A, C400,'Doanh thu'!F:F)</f>
        <v>300000</v>
      </c>
      <c r="L400" s="93"/>
      <c r="M400" s="93"/>
      <c r="N400" s="93"/>
    </row>
    <row r="401" spans="2:14" ht="13.2">
      <c r="B401" s="101">
        <v>277</v>
      </c>
      <c r="C401" s="130" t="s">
        <v>1183</v>
      </c>
      <c r="D401" s="131" t="s">
        <v>1184</v>
      </c>
      <c r="E401" s="101" t="s">
        <v>444</v>
      </c>
      <c r="F401" s="100">
        <v>12000</v>
      </c>
      <c r="G401" s="102">
        <f>+ SUMIF('Nhập kho T42024'!B:B, C401,'Nhập kho T42024'!F:F)</f>
        <v>50</v>
      </c>
      <c r="H401" s="101">
        <f>+ SUMIF('Doanh thu'!A:A, C401,'Doanh thu'!E:E) + SUMIF('Doanh thu 2025'!B:B, C401,'Doanh thu 2025'!E:E)</f>
        <v>3</v>
      </c>
      <c r="I401" s="101">
        <f t="shared" si="62"/>
        <v>47</v>
      </c>
      <c r="J401" s="103">
        <f t="shared" si="40"/>
        <v>36000</v>
      </c>
      <c r="K401" s="104">
        <f>+ SUMIF('Doanh thu'!A:A, C401,'Doanh thu'!F:F)</f>
        <v>36000</v>
      </c>
      <c r="L401" s="93"/>
      <c r="M401" s="93"/>
      <c r="N401" s="93"/>
    </row>
    <row r="402" spans="2:14" ht="13.2">
      <c r="C402" s="28" t="s">
        <v>1185</v>
      </c>
      <c r="D402" s="28" t="s">
        <v>1186</v>
      </c>
      <c r="E402" s="101" t="s">
        <v>444</v>
      </c>
      <c r="F402" s="100">
        <v>12000</v>
      </c>
      <c r="G402" s="102">
        <f>+ SUMIF('Nhập kho T42024'!B:B, C402,'Nhập kho T42024'!F:F)</f>
        <v>5</v>
      </c>
      <c r="H402" s="101">
        <f>+ SUMIF('Doanh thu'!A:A, C402,'Doanh thu'!E:E) + SUMIF('Doanh thu 2025'!B:B, C402,'Doanh thu 2025'!E:E)</f>
        <v>0</v>
      </c>
      <c r="I402" s="101">
        <f t="shared" si="62"/>
        <v>5</v>
      </c>
      <c r="J402" s="103">
        <f t="shared" si="40"/>
        <v>0</v>
      </c>
      <c r="K402" s="104">
        <f>+ SUMIF('Doanh thu'!A:A, C402,'Doanh thu'!F:F)</f>
        <v>0</v>
      </c>
      <c r="L402" s="93"/>
      <c r="M402" s="93"/>
      <c r="N402" s="93"/>
    </row>
    <row r="403" spans="2:14" ht="13.2">
      <c r="C403" s="28" t="s">
        <v>1187</v>
      </c>
      <c r="D403" s="28" t="s">
        <v>1188</v>
      </c>
      <c r="E403" s="101" t="s">
        <v>444</v>
      </c>
      <c r="F403" s="100">
        <v>0</v>
      </c>
      <c r="G403" s="102">
        <f>+ SUMIF('Nhập kho T42024'!B:B, C403,'Nhập kho T42024'!F:F)</f>
        <v>5</v>
      </c>
      <c r="H403" s="101">
        <f>+ SUMIF('Doanh thu'!A:A, C403,'Doanh thu'!E:E) + SUMIF('Doanh thu 2025'!B:B, C403,'Doanh thu 2025'!E:E)</f>
        <v>2</v>
      </c>
      <c r="I403" s="101">
        <f t="shared" si="62"/>
        <v>3</v>
      </c>
      <c r="J403" s="103">
        <f t="shared" si="40"/>
        <v>0</v>
      </c>
      <c r="K403" s="104">
        <f>+ SUMIF('Doanh thu'!A:A, C403,'Doanh thu'!F:F)</f>
        <v>0</v>
      </c>
      <c r="L403" s="93"/>
      <c r="M403" s="93"/>
      <c r="N403" s="93"/>
    </row>
    <row r="404" spans="2:14" ht="13.2">
      <c r="C404" s="28" t="s">
        <v>1189</v>
      </c>
      <c r="D404" s="28" t="s">
        <v>1190</v>
      </c>
      <c r="E404" s="101" t="s">
        <v>444</v>
      </c>
      <c r="F404" s="100">
        <v>0</v>
      </c>
      <c r="G404" s="102">
        <f>+ SUMIF('Nhập kho T42024'!B:B, C404,'Nhập kho T42024'!F:F)</f>
        <v>5</v>
      </c>
      <c r="H404" s="101">
        <f>+ SUMIF('Doanh thu'!A:A, C404,'Doanh thu'!E:E) + SUMIF('Doanh thu 2025'!B:B, C404,'Doanh thu 2025'!E:E)</f>
        <v>1</v>
      </c>
      <c r="I404" s="101">
        <f t="shared" si="62"/>
        <v>4</v>
      </c>
      <c r="J404" s="103">
        <f t="shared" si="40"/>
        <v>0</v>
      </c>
      <c r="K404" s="104">
        <f>+ SUMIF('Doanh thu'!A:A, C404,'Doanh thu'!F:F)</f>
        <v>0</v>
      </c>
      <c r="L404" s="93"/>
      <c r="M404" s="93"/>
      <c r="N404" s="93"/>
    </row>
    <row r="405" spans="2:14" ht="13.2">
      <c r="C405" s="28" t="s">
        <v>1191</v>
      </c>
      <c r="D405" s="28" t="s">
        <v>1192</v>
      </c>
      <c r="E405" s="101" t="s">
        <v>444</v>
      </c>
      <c r="F405" s="100">
        <v>0</v>
      </c>
      <c r="G405" s="102">
        <f>+ SUMIF('Nhập kho T42024'!B:B, C405,'Nhập kho T42024'!F:F)</f>
        <v>12</v>
      </c>
      <c r="H405" s="101">
        <f>+ SUMIF('Doanh thu'!A:A, C405,'Doanh thu'!E:E) + SUMIF('Doanh thu 2025'!B:B, C405,'Doanh thu 2025'!E:E)</f>
        <v>1</v>
      </c>
      <c r="I405" s="101">
        <f t="shared" si="62"/>
        <v>11</v>
      </c>
      <c r="J405" s="103">
        <f t="shared" si="40"/>
        <v>0</v>
      </c>
      <c r="K405" s="104">
        <f>+ SUMIF('Doanh thu'!A:A, C405,'Doanh thu'!F:F)</f>
        <v>0</v>
      </c>
      <c r="L405" s="93"/>
      <c r="M405" s="93"/>
      <c r="N405" s="93"/>
    </row>
    <row r="406" spans="2:14" ht="13.2">
      <c r="C406" s="28" t="s">
        <v>1193</v>
      </c>
      <c r="D406" s="28" t="s">
        <v>1194</v>
      </c>
      <c r="E406" s="101" t="s">
        <v>444</v>
      </c>
      <c r="F406" s="100">
        <v>0</v>
      </c>
      <c r="G406" s="102">
        <f>+ SUMIF('Nhập kho T42024'!B:B, C406,'Nhập kho T42024'!F:F)</f>
        <v>5</v>
      </c>
      <c r="H406" s="101">
        <f>+ SUMIF('Doanh thu'!A:A, C406,'Doanh thu'!E:E) + SUMIF('Doanh thu 2025'!B:B, C406,'Doanh thu 2025'!E:E)</f>
        <v>1</v>
      </c>
      <c r="I406" s="101">
        <f t="shared" si="62"/>
        <v>4</v>
      </c>
      <c r="J406" s="103">
        <f t="shared" si="40"/>
        <v>0</v>
      </c>
      <c r="K406" s="104">
        <f>+ SUMIF('Doanh thu'!A:A, C406,'Doanh thu'!F:F)</f>
        <v>0</v>
      </c>
      <c r="L406" s="93"/>
      <c r="M406" s="93"/>
      <c r="N406" s="93"/>
    </row>
    <row r="407" spans="2:14" ht="13.2">
      <c r="C407" s="28" t="s">
        <v>1195</v>
      </c>
      <c r="D407" s="28" t="s">
        <v>425</v>
      </c>
      <c r="E407" s="101" t="s">
        <v>394</v>
      </c>
      <c r="F407" s="100">
        <v>81000</v>
      </c>
      <c r="G407" s="102">
        <f>+ SUMIF('Nhập kho T42024'!B:B, C407,'Nhập kho T42024'!F:F)</f>
        <v>10</v>
      </c>
      <c r="H407" s="101">
        <f>+ SUMIF('Doanh thu'!A:A, C407,'Doanh thu'!E:E) + SUMIF('Doanh thu 2025'!B:B, C407,'Doanh thu 2025'!E:E)</f>
        <v>7</v>
      </c>
      <c r="I407" s="101">
        <f t="shared" si="62"/>
        <v>3</v>
      </c>
      <c r="J407" s="103">
        <f t="shared" si="40"/>
        <v>567000</v>
      </c>
      <c r="K407" s="104">
        <f>+ SUMIF('Doanh thu'!A:A, C407,'Doanh thu'!F:F)</f>
        <v>567000</v>
      </c>
      <c r="L407" s="93"/>
      <c r="M407" s="93"/>
      <c r="N407" s="93"/>
    </row>
    <row r="408" spans="2:14" ht="13.2">
      <c r="C408" s="28" t="s">
        <v>1196</v>
      </c>
      <c r="D408" s="28" t="s">
        <v>1197</v>
      </c>
      <c r="E408" s="101" t="s">
        <v>394</v>
      </c>
      <c r="F408" s="100">
        <v>81000</v>
      </c>
      <c r="G408" s="102">
        <f>+ SUMIF('Nhập kho T42024'!B:B, C408,'Nhập kho T42024'!F:F)</f>
        <v>10</v>
      </c>
      <c r="H408" s="101">
        <f>+ SUMIF('Doanh thu'!A:A, C408,'Doanh thu'!E:E) + SUMIF('Doanh thu 2025'!B:B, C408,'Doanh thu 2025'!E:E)</f>
        <v>7</v>
      </c>
      <c r="I408" s="101">
        <f t="shared" si="62"/>
        <v>3</v>
      </c>
      <c r="J408" s="103">
        <f t="shared" si="40"/>
        <v>567000</v>
      </c>
      <c r="K408" s="104">
        <f>+ SUMIF('Doanh thu'!A:A, C408,'Doanh thu'!F:F)</f>
        <v>567000</v>
      </c>
      <c r="L408" s="93"/>
      <c r="M408" s="93"/>
      <c r="N408" s="93"/>
    </row>
    <row r="409" spans="2:14" ht="13.2">
      <c r="C409" s="28" t="s">
        <v>1198</v>
      </c>
      <c r="D409" s="28" t="s">
        <v>1199</v>
      </c>
      <c r="E409" s="101" t="s">
        <v>394</v>
      </c>
      <c r="F409" s="100">
        <v>81000</v>
      </c>
      <c r="G409" s="102">
        <f>+ SUMIF('Nhập kho T42024'!B:B, C409,'Nhập kho T42024'!F:F)</f>
        <v>10</v>
      </c>
      <c r="H409" s="101">
        <f>+ SUMIF('Doanh thu'!A:A, C409,'Doanh thu'!E:E) + SUMIF('Doanh thu 2025'!B:B, C409,'Doanh thu 2025'!E:E)</f>
        <v>5</v>
      </c>
      <c r="I409" s="101">
        <f t="shared" si="62"/>
        <v>5</v>
      </c>
      <c r="J409" s="103">
        <f t="shared" si="40"/>
        <v>405000</v>
      </c>
      <c r="K409" s="104">
        <f>+ SUMIF('Doanh thu'!A:A, C409,'Doanh thu'!F:F)</f>
        <v>405000</v>
      </c>
      <c r="L409" s="93"/>
      <c r="M409" s="93"/>
      <c r="N409" s="93"/>
    </row>
    <row r="410" spans="2:14" ht="13.2">
      <c r="C410" s="28" t="s">
        <v>1200</v>
      </c>
      <c r="D410" s="28" t="s">
        <v>423</v>
      </c>
      <c r="E410" s="101" t="s">
        <v>394</v>
      </c>
      <c r="F410" s="100">
        <v>81000</v>
      </c>
      <c r="G410" s="102">
        <f>+ SUMIF('Nhập kho T42024'!B:B, C410,'Nhập kho T42024'!F:F)</f>
        <v>10</v>
      </c>
      <c r="H410" s="101">
        <f>+ SUMIF('Doanh thu'!A:A, C410,'Doanh thu'!E:E) + SUMIF('Doanh thu 2025'!B:B, C410,'Doanh thu 2025'!E:E)</f>
        <v>8</v>
      </c>
      <c r="I410" s="101">
        <f t="shared" si="62"/>
        <v>2</v>
      </c>
      <c r="J410" s="103">
        <f t="shared" si="40"/>
        <v>648000</v>
      </c>
      <c r="K410" s="104">
        <f>+ SUMIF('Doanh thu'!A:A, C410,'Doanh thu'!F:F)</f>
        <v>648000</v>
      </c>
      <c r="L410" s="93"/>
      <c r="M410" s="93"/>
      <c r="N410" s="93"/>
    </row>
    <row r="411" spans="2:14" ht="13.2">
      <c r="C411" s="28" t="s">
        <v>1201</v>
      </c>
      <c r="D411" s="28" t="s">
        <v>1202</v>
      </c>
      <c r="E411" s="101" t="s">
        <v>394</v>
      </c>
      <c r="F411" s="100">
        <v>81000</v>
      </c>
      <c r="G411" s="102">
        <f>+ SUMIF('Nhập kho T42024'!B:B, C411,'Nhập kho T42024'!F:F)</f>
        <v>10</v>
      </c>
      <c r="H411" s="101">
        <f>+ SUMIF('Doanh thu'!A:A, C411,'Doanh thu'!E:E) + SUMIF('Doanh thu 2025'!B:B, C411,'Doanh thu 2025'!E:E)</f>
        <v>9</v>
      </c>
      <c r="I411" s="101">
        <f t="shared" si="62"/>
        <v>1</v>
      </c>
      <c r="J411" s="103">
        <f t="shared" si="40"/>
        <v>729000</v>
      </c>
      <c r="K411" s="104">
        <f>+ SUMIF('Doanh thu'!A:A, C411,'Doanh thu'!F:F)</f>
        <v>729000</v>
      </c>
      <c r="L411" s="93"/>
      <c r="M411" s="93">
        <f>H411*64000</f>
        <v>576000</v>
      </c>
      <c r="N411" s="93"/>
    </row>
    <row r="412" spans="2:14" ht="13.2">
      <c r="C412" s="28" t="s">
        <v>1203</v>
      </c>
      <c r="D412" s="28" t="s">
        <v>427</v>
      </c>
      <c r="E412" s="101" t="s">
        <v>394</v>
      </c>
      <c r="F412" s="100">
        <v>81000</v>
      </c>
      <c r="G412" s="102">
        <f>+ SUMIF('Nhập kho T42024'!B:B, C412,'Nhập kho T42024'!F:F)</f>
        <v>10</v>
      </c>
      <c r="H412" s="101">
        <f>+ SUMIF('Doanh thu'!A:A, C412,'Doanh thu'!E:E) + SUMIF('Doanh thu 2025'!B:B, C412,'Doanh thu 2025'!E:E)</f>
        <v>11</v>
      </c>
      <c r="I412" s="101">
        <f t="shared" si="62"/>
        <v>-1</v>
      </c>
      <c r="J412" s="103">
        <f t="shared" si="40"/>
        <v>648000</v>
      </c>
      <c r="K412" s="104">
        <f>+ SUMIF('Doanh thu'!A:A, C412,'Doanh thu'!F:F)</f>
        <v>648000</v>
      </c>
      <c r="L412" s="93"/>
      <c r="M412" s="93"/>
      <c r="N412" s="93"/>
    </row>
    <row r="413" spans="2:14" ht="13.2">
      <c r="C413" s="28" t="s">
        <v>1204</v>
      </c>
      <c r="D413" s="28" t="s">
        <v>1205</v>
      </c>
      <c r="E413" s="101" t="s">
        <v>444</v>
      </c>
      <c r="F413" s="100">
        <v>64500</v>
      </c>
      <c r="G413" s="102">
        <f>+ SUMIF('Nhập kho T42024'!B:B, C413,'Nhập kho T42024'!F:F)</f>
        <v>6</v>
      </c>
      <c r="H413" s="101">
        <f>+ SUMIF('Doanh thu'!A:A, C413,'Doanh thu'!E:E) + SUMIF('Doanh thu 2025'!B:B, C413,'Doanh thu 2025'!E:E)</f>
        <v>1</v>
      </c>
      <c r="I413" s="101">
        <f t="shared" si="62"/>
        <v>5</v>
      </c>
      <c r="J413" s="103">
        <f t="shared" si="40"/>
        <v>64500</v>
      </c>
      <c r="K413" s="104">
        <f>+ SUMIF('Doanh thu'!A:A, C413,'Doanh thu'!F:F)</f>
        <v>64500</v>
      </c>
      <c r="L413" s="93"/>
      <c r="M413" s="93"/>
      <c r="N413" s="93"/>
    </row>
    <row r="414" spans="2:14" ht="13.2">
      <c r="C414" s="16" t="s">
        <v>1206</v>
      </c>
      <c r="D414" s="16" t="s">
        <v>1207</v>
      </c>
      <c r="E414" s="66" t="s">
        <v>444</v>
      </c>
      <c r="F414" s="100">
        <v>59000</v>
      </c>
      <c r="G414" s="102">
        <f>+ SUMIF('Nhập kho T42024'!B:B, C414,'Nhập kho T42024'!F:F)</f>
        <v>393</v>
      </c>
      <c r="H414" s="101">
        <f>+ SUMIF('Doanh thu'!A:A, C414,'Doanh thu'!E:E) + SUMIF('Doanh thu 2025'!B:B, C414,'Doanh thu 2025'!E:E)</f>
        <v>378</v>
      </c>
      <c r="I414" s="101">
        <f t="shared" si="62"/>
        <v>15</v>
      </c>
      <c r="J414" s="103">
        <f t="shared" si="40"/>
        <v>14927000</v>
      </c>
      <c r="K414" s="104">
        <f>+ SUMIF('Doanh thu'!A:A, C414,'Doanh thu'!F:F)</f>
        <v>14927000</v>
      </c>
      <c r="L414" s="93">
        <f>G414*6.12*3500</f>
        <v>8418060</v>
      </c>
      <c r="M414" s="93">
        <f>I414*46000</f>
        <v>690000</v>
      </c>
      <c r="N414" s="93">
        <f t="shared" ref="N414:N417" si="63">M414-L414</f>
        <v>-7728060</v>
      </c>
    </row>
    <row r="415" spans="2:14" ht="13.2">
      <c r="C415" s="16" t="s">
        <v>1208</v>
      </c>
      <c r="D415" s="16" t="s">
        <v>1209</v>
      </c>
      <c r="E415" s="66" t="s">
        <v>444</v>
      </c>
      <c r="F415" s="100">
        <v>59000</v>
      </c>
      <c r="G415" s="102">
        <f>+ SUMIF('Nhập kho T42024'!B:B, C415,'Nhập kho T42024'!F:F)</f>
        <v>163</v>
      </c>
      <c r="H415" s="101">
        <f>+ SUMIF('Doanh thu'!A:A, C415,'Doanh thu'!E:E) + SUMIF('Doanh thu 2025'!B:B, C415,'Doanh thu 2025'!E:E)</f>
        <v>161</v>
      </c>
      <c r="I415" s="101">
        <f t="shared" si="62"/>
        <v>2</v>
      </c>
      <c r="J415" s="103">
        <f t="shared" si="40"/>
        <v>8673000</v>
      </c>
      <c r="K415" s="104">
        <f>+ SUMIF('Doanh thu'!A:A, C415,'Doanh thu'!F:F)</f>
        <v>8673000</v>
      </c>
      <c r="L415" s="93"/>
      <c r="M415" s="93"/>
      <c r="N415" s="93">
        <f t="shared" si="63"/>
        <v>0</v>
      </c>
    </row>
    <row r="416" spans="2:14" ht="13.2">
      <c r="C416" s="16" t="s">
        <v>1210</v>
      </c>
      <c r="D416" s="16" t="s">
        <v>1211</v>
      </c>
      <c r="E416" s="16" t="s">
        <v>444</v>
      </c>
      <c r="F416" s="100">
        <v>64500</v>
      </c>
      <c r="G416" s="102">
        <f>+ SUMIF('Nhập kho T42024'!B:B, C416,'Nhập kho T42024'!F:F)</f>
        <v>45</v>
      </c>
      <c r="H416" s="101">
        <f>+ SUMIF('Doanh thu'!A:A, C416,'Doanh thu'!E:E) + SUMIF('Doanh thu 2025'!B:B, C416,'Doanh thu 2025'!E:E)</f>
        <v>38</v>
      </c>
      <c r="I416" s="101">
        <f>G416-H416-4</f>
        <v>3</v>
      </c>
      <c r="J416" s="103">
        <f t="shared" si="40"/>
        <v>1870500</v>
      </c>
      <c r="K416" s="104">
        <f>+ SUMIF('Doanh thu'!A:A, C416,'Doanh thu'!F:F)</f>
        <v>1870500</v>
      </c>
      <c r="L416" s="93">
        <f t="shared" ref="L416:L417" si="64">G416*6.98*3500</f>
        <v>1099350</v>
      </c>
      <c r="M416" s="93">
        <f t="shared" ref="M416:M417" si="65">H416*50000</f>
        <v>1900000</v>
      </c>
      <c r="N416" s="93">
        <f t="shared" si="63"/>
        <v>800650</v>
      </c>
    </row>
    <row r="417" spans="3:14" ht="13.2">
      <c r="C417" s="16" t="s">
        <v>116</v>
      </c>
      <c r="D417" s="16" t="s">
        <v>1212</v>
      </c>
      <c r="E417" s="16" t="s">
        <v>444</v>
      </c>
      <c r="F417" s="100">
        <v>64500</v>
      </c>
      <c r="G417" s="102">
        <f>+ SUMIF('Nhập kho T42024'!B:B, C417,'Nhập kho T42024'!F:F)</f>
        <v>55</v>
      </c>
      <c r="H417" s="101">
        <f>+ SUMIF('Doanh thu'!A:A, C417,'Doanh thu'!E:E) + SUMIF('Doanh thu 2025'!B:B, C417,'Doanh thu 2025'!E:E)</f>
        <v>47</v>
      </c>
      <c r="I417" s="101">
        <f>G417-H417-1</f>
        <v>7</v>
      </c>
      <c r="J417" s="103">
        <f t="shared" si="40"/>
        <v>1741500</v>
      </c>
      <c r="K417" s="104">
        <f>+ SUMIF('Doanh thu'!A:A, C417,'Doanh thu'!F:F)</f>
        <v>1741500</v>
      </c>
      <c r="L417" s="93">
        <f t="shared" si="64"/>
        <v>1343650.0000000002</v>
      </c>
      <c r="M417" s="93">
        <f t="shared" si="65"/>
        <v>2350000</v>
      </c>
      <c r="N417" s="93">
        <f t="shared" si="63"/>
        <v>1006349.9999999998</v>
      </c>
    </row>
    <row r="418" spans="3:14" ht="13.2">
      <c r="C418" s="16" t="s">
        <v>1213</v>
      </c>
      <c r="D418" s="28" t="s">
        <v>1214</v>
      </c>
      <c r="E418" s="16" t="s">
        <v>444</v>
      </c>
      <c r="F418" s="100">
        <v>58800</v>
      </c>
      <c r="G418" s="102">
        <f>+ SUMIF('Nhập kho T42024'!B:B, C418,'Nhập kho T42024'!F:F)</f>
        <v>1</v>
      </c>
      <c r="H418" s="101">
        <f>+ SUMIF('Doanh thu'!A:A, C418,'Doanh thu'!E:E) + SUMIF('Doanh thu 2025'!B:B, C418,'Doanh thu 2025'!E:E)</f>
        <v>0</v>
      </c>
      <c r="I418" s="101">
        <f t="shared" ref="I418:I429" si="66">G418-H418</f>
        <v>1</v>
      </c>
      <c r="J418" s="103">
        <f t="shared" si="40"/>
        <v>0</v>
      </c>
      <c r="K418" s="104">
        <f>+ SUMIF('Doanh thu'!A:A, C418,'Doanh thu'!F:F)</f>
        <v>0</v>
      </c>
      <c r="L418" s="93"/>
      <c r="M418" s="93"/>
      <c r="N418" s="93"/>
    </row>
    <row r="419" spans="3:14" ht="13.2">
      <c r="C419" s="16" t="s">
        <v>1215</v>
      </c>
      <c r="D419" s="28" t="s">
        <v>1214</v>
      </c>
      <c r="E419" s="16" t="s">
        <v>444</v>
      </c>
      <c r="F419" s="100">
        <v>58800</v>
      </c>
      <c r="G419" s="102">
        <f>+ SUMIF('Nhập kho T42024'!B:B, C419,'Nhập kho T42024'!F:F)</f>
        <v>4</v>
      </c>
      <c r="H419" s="101">
        <f>+ SUMIF('Doanh thu'!A:A, C419,'Doanh thu'!E:E) + SUMIF('Doanh thu 2025'!B:B, C419,'Doanh thu 2025'!E:E)</f>
        <v>0</v>
      </c>
      <c r="I419" s="101">
        <f t="shared" si="66"/>
        <v>4</v>
      </c>
      <c r="J419" s="103">
        <f t="shared" si="40"/>
        <v>0</v>
      </c>
      <c r="K419" s="104">
        <f>+ SUMIF('Doanh thu'!A:A, C419,'Doanh thu'!F:F)</f>
        <v>0</v>
      </c>
      <c r="L419" s="93"/>
      <c r="M419" s="93"/>
      <c r="N419" s="93"/>
    </row>
    <row r="420" spans="3:14" ht="13.2">
      <c r="C420" s="16" t="s">
        <v>1216</v>
      </c>
      <c r="D420" s="28" t="s">
        <v>1214</v>
      </c>
      <c r="E420" s="16" t="s">
        <v>444</v>
      </c>
      <c r="F420" s="100">
        <v>58800</v>
      </c>
      <c r="G420" s="102">
        <f>+ SUMIF('Nhập kho T42024'!B:B, C420,'Nhập kho T42024'!F:F)</f>
        <v>5</v>
      </c>
      <c r="H420" s="101">
        <f>+ SUMIF('Doanh thu'!A:A, C420,'Doanh thu'!E:E) + SUMIF('Doanh thu 2025'!B:B, C420,'Doanh thu 2025'!E:E)</f>
        <v>5</v>
      </c>
      <c r="I420" s="101">
        <f t="shared" si="66"/>
        <v>0</v>
      </c>
      <c r="J420" s="103">
        <f t="shared" si="40"/>
        <v>294000</v>
      </c>
      <c r="K420" s="104">
        <f>+ SUMIF('Doanh thu'!A:A, C420,'Doanh thu'!F:F)</f>
        <v>294000</v>
      </c>
      <c r="L420" s="93"/>
      <c r="M420" s="93"/>
      <c r="N420" s="93"/>
    </row>
    <row r="421" spans="3:14" ht="13.2">
      <c r="C421" s="16" t="s">
        <v>1217</v>
      </c>
      <c r="D421" s="28" t="s">
        <v>1214</v>
      </c>
      <c r="E421" s="16" t="s">
        <v>444</v>
      </c>
      <c r="F421" s="100">
        <v>58800</v>
      </c>
      <c r="G421" s="102">
        <f>+ SUMIF('Nhập kho T42024'!B:B, C421,'Nhập kho T42024'!F:F)</f>
        <v>5</v>
      </c>
      <c r="H421" s="101">
        <f>+ SUMIF('Doanh thu'!A:A, C421,'Doanh thu'!E:E) + SUMIF('Doanh thu 2025'!B:B, C421,'Doanh thu 2025'!E:E)</f>
        <v>5</v>
      </c>
      <c r="I421" s="101">
        <f t="shared" si="66"/>
        <v>0</v>
      </c>
      <c r="J421" s="103">
        <f t="shared" si="40"/>
        <v>294000</v>
      </c>
      <c r="K421" s="104">
        <f>+ SUMIF('Doanh thu'!A:A, C421,'Doanh thu'!F:F)</f>
        <v>294000</v>
      </c>
      <c r="L421" s="93"/>
      <c r="M421" s="93"/>
      <c r="N421" s="93"/>
    </row>
    <row r="422" spans="3:14" ht="13.2">
      <c r="C422" s="16" t="s">
        <v>1218</v>
      </c>
      <c r="D422" s="16" t="s">
        <v>1219</v>
      </c>
      <c r="E422" s="16" t="s">
        <v>444</v>
      </c>
      <c r="F422" s="100">
        <v>38000</v>
      </c>
      <c r="G422" s="102">
        <f>+ SUMIF('Nhập kho T42024'!B:B, C422,'Nhập kho T42024'!F:F)</f>
        <v>5</v>
      </c>
      <c r="H422" s="101">
        <f>+ SUMIF('Doanh thu'!A:A, C422,'Doanh thu'!E:E) + SUMIF('Doanh thu 2025'!B:B, C422,'Doanh thu 2025'!E:E)</f>
        <v>4</v>
      </c>
      <c r="I422" s="101">
        <f t="shared" si="66"/>
        <v>1</v>
      </c>
      <c r="J422" s="103">
        <f t="shared" si="40"/>
        <v>152000</v>
      </c>
      <c r="K422" s="104">
        <f>+ SUMIF('Doanh thu'!A:A, C422,'Doanh thu'!F:F)</f>
        <v>152000</v>
      </c>
      <c r="L422" s="93"/>
      <c r="M422" s="93"/>
      <c r="N422" s="93"/>
    </row>
    <row r="423" spans="3:14" ht="13.2">
      <c r="C423" s="16" t="s">
        <v>1220</v>
      </c>
      <c r="D423" s="16" t="s">
        <v>1221</v>
      </c>
      <c r="E423" s="16" t="s">
        <v>444</v>
      </c>
      <c r="F423" s="100">
        <v>38000</v>
      </c>
      <c r="G423" s="102">
        <f>+ SUMIF('Nhập kho T42024'!B:B, C423,'Nhập kho T42024'!F:F)</f>
        <v>10</v>
      </c>
      <c r="H423" s="101">
        <f>+ SUMIF('Doanh thu'!A:A, C423,'Doanh thu'!E:E) + SUMIF('Doanh thu 2025'!B:B, C423,'Doanh thu 2025'!E:E)</f>
        <v>4</v>
      </c>
      <c r="I423" s="101">
        <f t="shared" si="66"/>
        <v>6</v>
      </c>
      <c r="J423" s="103">
        <f t="shared" si="40"/>
        <v>76000</v>
      </c>
      <c r="K423" s="104">
        <f>+ SUMIF('Doanh thu'!A:A, C423,'Doanh thu'!F:F)</f>
        <v>76000</v>
      </c>
      <c r="L423" s="93"/>
      <c r="M423" s="93"/>
      <c r="N423" s="93"/>
    </row>
    <row r="424" spans="3:14" ht="13.2">
      <c r="C424" s="16" t="s">
        <v>1222</v>
      </c>
      <c r="D424" s="16" t="s">
        <v>1223</v>
      </c>
      <c r="E424" s="16" t="s">
        <v>444</v>
      </c>
      <c r="F424" s="100">
        <v>38000</v>
      </c>
      <c r="G424" s="102">
        <f>+ SUMIF('Nhập kho T42024'!B:B, C424,'Nhập kho T42024'!F:F)</f>
        <v>5</v>
      </c>
      <c r="H424" s="101">
        <f>+ SUMIF('Doanh thu'!A:A, C424,'Doanh thu'!E:E) + SUMIF('Doanh thu 2025'!B:B, C424,'Doanh thu 2025'!E:E)</f>
        <v>5</v>
      </c>
      <c r="I424" s="101">
        <f t="shared" si="66"/>
        <v>0</v>
      </c>
      <c r="J424" s="103">
        <f t="shared" si="40"/>
        <v>114000</v>
      </c>
      <c r="K424" s="104">
        <f>+ SUMIF('Doanh thu'!A:A, C424,'Doanh thu'!F:F)</f>
        <v>114000</v>
      </c>
      <c r="L424" s="93"/>
      <c r="M424" s="93"/>
      <c r="N424" s="93"/>
    </row>
    <row r="425" spans="3:14" ht="13.2">
      <c r="C425" s="16" t="s">
        <v>1224</v>
      </c>
      <c r="D425" s="16" t="s">
        <v>1225</v>
      </c>
      <c r="E425" s="16" t="s">
        <v>444</v>
      </c>
      <c r="F425" s="100">
        <v>38000</v>
      </c>
      <c r="G425" s="102">
        <f>+ SUMIF('Nhập kho T42024'!B:B, C425,'Nhập kho T42024'!F:F)</f>
        <v>20</v>
      </c>
      <c r="H425" s="101">
        <f>+ SUMIF('Doanh thu'!A:A, C425,'Doanh thu'!E:E) + SUMIF('Doanh thu 2025'!B:B, C425,'Doanh thu 2025'!E:E)</f>
        <v>7</v>
      </c>
      <c r="I425" s="101">
        <f t="shared" si="66"/>
        <v>13</v>
      </c>
      <c r="J425" s="103">
        <f t="shared" si="40"/>
        <v>228000</v>
      </c>
      <c r="K425" s="104">
        <f>+ SUMIF('Doanh thu'!A:A, C425,'Doanh thu'!F:F)</f>
        <v>228000</v>
      </c>
      <c r="L425" s="93"/>
      <c r="M425" s="93"/>
      <c r="N425" s="93"/>
    </row>
    <row r="426" spans="3:14" ht="13.2">
      <c r="C426" s="16" t="s">
        <v>1226</v>
      </c>
      <c r="D426" s="16" t="s">
        <v>1227</v>
      </c>
      <c r="E426" s="16" t="s">
        <v>444</v>
      </c>
      <c r="F426" s="100">
        <v>38000</v>
      </c>
      <c r="G426" s="102">
        <f>+ SUMIF('Nhập kho T42024'!B:B, C426,'Nhập kho T42024'!F:F)</f>
        <v>5</v>
      </c>
      <c r="H426" s="101">
        <f>+ SUMIF('Doanh thu'!A:A, C426,'Doanh thu'!E:E) + SUMIF('Doanh thu 2025'!B:B, C426,'Doanh thu 2025'!E:E)</f>
        <v>5</v>
      </c>
      <c r="I426" s="101">
        <f t="shared" si="66"/>
        <v>0</v>
      </c>
      <c r="J426" s="103">
        <f t="shared" si="40"/>
        <v>190000</v>
      </c>
      <c r="K426" s="104">
        <f>+ SUMIF('Doanh thu'!A:A, C426,'Doanh thu'!F:F)</f>
        <v>190000</v>
      </c>
      <c r="L426" s="93"/>
      <c r="M426" s="93"/>
      <c r="N426" s="93"/>
    </row>
    <row r="427" spans="3:14" ht="13.2">
      <c r="C427" s="16" t="s">
        <v>1228</v>
      </c>
      <c r="D427" s="16" t="s">
        <v>1229</v>
      </c>
      <c r="E427" s="16" t="s">
        <v>444</v>
      </c>
      <c r="F427" s="100">
        <v>38000</v>
      </c>
      <c r="G427" s="102">
        <f>+ SUMIF('Nhập kho T42024'!B:B, C427,'Nhập kho T42024'!F:F)</f>
        <v>24</v>
      </c>
      <c r="H427" s="101">
        <f>+ SUMIF('Doanh thu'!A:A, C427,'Doanh thu'!E:E) + SUMIF('Doanh thu 2025'!B:B, C427,'Doanh thu 2025'!E:E)</f>
        <v>14</v>
      </c>
      <c r="I427" s="101">
        <f t="shared" si="66"/>
        <v>10</v>
      </c>
      <c r="J427" s="103">
        <f t="shared" si="40"/>
        <v>380000</v>
      </c>
      <c r="K427" s="104">
        <f>+ SUMIF('Doanh thu'!A:A, C427,'Doanh thu'!F:F)</f>
        <v>380000</v>
      </c>
      <c r="L427" s="93"/>
      <c r="M427" s="93"/>
      <c r="N427" s="93"/>
    </row>
    <row r="428" spans="3:14" ht="13.2">
      <c r="C428" s="16" t="s">
        <v>1230</v>
      </c>
      <c r="D428" s="16" t="s">
        <v>1231</v>
      </c>
      <c r="E428" s="16" t="s">
        <v>444</v>
      </c>
      <c r="F428" s="100">
        <v>38000</v>
      </c>
      <c r="G428" s="102">
        <f>+ SUMIF('Nhập kho T42024'!B:B, C428,'Nhập kho T42024'!F:F)</f>
        <v>5</v>
      </c>
      <c r="H428" s="101">
        <f>+ SUMIF('Doanh thu'!A:A, C428,'Doanh thu'!E:E) + SUMIF('Doanh thu 2025'!B:B, C428,'Doanh thu 2025'!E:E)</f>
        <v>4</v>
      </c>
      <c r="I428" s="101">
        <f t="shared" si="66"/>
        <v>1</v>
      </c>
      <c r="J428" s="103">
        <f t="shared" si="40"/>
        <v>38000</v>
      </c>
      <c r="K428" s="104">
        <f>+ SUMIF('Doanh thu'!A:A, C428,'Doanh thu'!F:F)</f>
        <v>38000</v>
      </c>
      <c r="L428" s="93"/>
      <c r="M428" s="93"/>
      <c r="N428" s="93"/>
    </row>
    <row r="429" spans="3:14" ht="13.2">
      <c r="C429" s="16" t="s">
        <v>1232</v>
      </c>
      <c r="D429" s="16" t="s">
        <v>1233</v>
      </c>
      <c r="E429" s="16" t="s">
        <v>444</v>
      </c>
      <c r="F429" s="100">
        <v>38000</v>
      </c>
      <c r="G429" s="102">
        <f>+ SUMIF('Nhập kho T42024'!B:B, C429,'Nhập kho T42024'!F:F)</f>
        <v>7</v>
      </c>
      <c r="H429" s="101">
        <f>+ SUMIF('Doanh thu'!A:A, C429,'Doanh thu'!E:E) + SUMIF('Doanh thu 2025'!B:B, C429,'Doanh thu 2025'!E:E)</f>
        <v>5</v>
      </c>
      <c r="I429" s="101">
        <f t="shared" si="66"/>
        <v>2</v>
      </c>
      <c r="J429" s="103">
        <f t="shared" si="40"/>
        <v>152000</v>
      </c>
      <c r="K429" s="104">
        <f>+ SUMIF('Doanh thu'!A:A, C429,'Doanh thu'!F:F)</f>
        <v>152000</v>
      </c>
      <c r="L429" s="93"/>
      <c r="M429" s="93"/>
      <c r="N429" s="93"/>
    </row>
    <row r="430" spans="3:14" ht="13.2">
      <c r="C430" s="16" t="s">
        <v>1234</v>
      </c>
      <c r="D430" s="16" t="s">
        <v>1235</v>
      </c>
      <c r="E430" s="16" t="s">
        <v>444</v>
      </c>
      <c r="F430" s="132">
        <v>59000</v>
      </c>
      <c r="G430" s="102">
        <f>+ SUMIF('Nhập kho T42024'!B:B, C430,'Nhập kho T42024'!F:F)</f>
        <v>45</v>
      </c>
      <c r="H430" s="101">
        <f>+ SUMIF('Doanh thu'!A:A, C430,'Doanh thu'!E:E) + SUMIF('Doanh thu 2025'!B:B, C430,'Doanh thu 2025'!E:E)</f>
        <v>21</v>
      </c>
      <c r="I430" s="101">
        <f>G430-H430-2</f>
        <v>22</v>
      </c>
      <c r="J430" s="103">
        <f t="shared" si="40"/>
        <v>472000</v>
      </c>
      <c r="K430" s="104">
        <f>+ SUMIF('Doanh thu'!A:A, C430,'Doanh thu'!F:F)</f>
        <v>472000</v>
      </c>
      <c r="L430" s="93"/>
      <c r="M430" s="93"/>
      <c r="N430" s="93"/>
    </row>
    <row r="431" spans="3:14" ht="13.2">
      <c r="C431" s="35" t="s">
        <v>1236</v>
      </c>
      <c r="D431" s="35" t="s">
        <v>1237</v>
      </c>
      <c r="E431" s="35" t="s">
        <v>444</v>
      </c>
      <c r="F431" s="36">
        <v>92000</v>
      </c>
      <c r="G431" s="114">
        <f>+ SUMIF('Nhập kho T42024'!B:B, C431,'Nhập kho T42024'!F:F)</f>
        <v>20</v>
      </c>
      <c r="H431" s="101">
        <f>+ SUMIF('Doanh thu'!A:A, C431,'Doanh thu'!E:E) + SUMIF('Doanh thu 2025'!B:B, C431,'Doanh thu 2025'!E:E)</f>
        <v>2</v>
      </c>
      <c r="I431" s="115">
        <f t="shared" ref="I431:I465" si="67">G431-H431</f>
        <v>18</v>
      </c>
      <c r="J431" s="103">
        <f t="shared" si="40"/>
        <v>184000</v>
      </c>
      <c r="K431" s="103">
        <f>+ SUMIF('Doanh thu'!A:A, C431,'Doanh thu'!F:F)</f>
        <v>184000</v>
      </c>
      <c r="L431" s="116">
        <f>VLOOKUP(C431,'Nhập kho T42024'!$B$3:$H$678,7,0)</f>
        <v>1018432.7999999999</v>
      </c>
      <c r="M431" s="116">
        <f>H431*3500*1.5*'Nhập kho T42024'!E264</f>
        <v>152460</v>
      </c>
      <c r="N431" s="133">
        <f t="shared" ref="N431:N685" si="68">M431-L431</f>
        <v>-865972.79999999993</v>
      </c>
    </row>
    <row r="432" spans="3:14" ht="13.2">
      <c r="C432" s="35" t="s">
        <v>1238</v>
      </c>
      <c r="D432" s="35" t="s">
        <v>1239</v>
      </c>
      <c r="E432" s="35" t="s">
        <v>444</v>
      </c>
      <c r="F432" s="36">
        <v>92000</v>
      </c>
      <c r="G432" s="114">
        <f>+ SUMIF('Nhập kho T42024'!B:B, C432,'Nhập kho T42024'!F:F)</f>
        <v>7</v>
      </c>
      <c r="H432" s="101">
        <f>+ SUMIF('Doanh thu'!A:A, C432,'Doanh thu'!E:E) + SUMIF('Doanh thu 2025'!B:B, C432,'Doanh thu 2025'!E:E)</f>
        <v>2</v>
      </c>
      <c r="I432" s="115">
        <f t="shared" si="67"/>
        <v>5</v>
      </c>
      <c r="J432" s="103">
        <f t="shared" si="40"/>
        <v>184000</v>
      </c>
      <c r="K432" s="103">
        <f>+ SUMIF('Doanh thu'!A:A, C432,'Doanh thu'!F:F)</f>
        <v>184000</v>
      </c>
      <c r="L432" s="116">
        <f>VLOOKUP(C432,'Nhập kho T42024'!$B$3:$H$678,7,0)</f>
        <v>309808.37999999995</v>
      </c>
      <c r="M432" s="116">
        <f>H432*3500*1.5*'Nhập kho T42024'!E265</f>
        <v>132510</v>
      </c>
      <c r="N432" s="133">
        <f t="shared" si="68"/>
        <v>-177298.37999999995</v>
      </c>
    </row>
    <row r="433" spans="3:14" ht="13.2">
      <c r="C433" s="35" t="s">
        <v>1240</v>
      </c>
      <c r="D433" s="35" t="s">
        <v>1241</v>
      </c>
      <c r="E433" s="35" t="s">
        <v>444</v>
      </c>
      <c r="F433" s="36">
        <v>86000</v>
      </c>
      <c r="G433" s="114">
        <f>+ SUMIF('Nhập kho T42024'!B:B, C433,'Nhập kho T42024'!F:F)</f>
        <v>8</v>
      </c>
      <c r="H433" s="101">
        <f>+ SUMIF('Doanh thu'!A:A, C433,'Doanh thu'!E:E) + SUMIF('Doanh thu 2025'!B:B, C433,'Doanh thu 2025'!E:E)</f>
        <v>0</v>
      </c>
      <c r="I433" s="115">
        <f t="shared" si="67"/>
        <v>8</v>
      </c>
      <c r="J433" s="103">
        <f t="shared" si="40"/>
        <v>0</v>
      </c>
      <c r="K433" s="103">
        <f>+ SUMIF('Doanh thu'!A:A, C433,'Doanh thu'!F:F)</f>
        <v>0</v>
      </c>
      <c r="L433" s="116">
        <f>VLOOKUP(C433,'Nhập kho T42024'!$B$3:$H$678,7,0)</f>
        <v>354347.28</v>
      </c>
      <c r="M433" s="116">
        <f>H433*3500*1.5*'Nhập kho T42024'!E266</f>
        <v>0</v>
      </c>
      <c r="N433" s="133">
        <f t="shared" si="68"/>
        <v>-354347.28</v>
      </c>
    </row>
    <row r="434" spans="3:14" ht="13.2">
      <c r="C434" s="35" t="s">
        <v>1242</v>
      </c>
      <c r="D434" s="35" t="s">
        <v>1243</v>
      </c>
      <c r="E434" s="35" t="s">
        <v>444</v>
      </c>
      <c r="F434" s="36">
        <v>89000</v>
      </c>
      <c r="G434" s="114">
        <f>+ SUMIF('Nhập kho T42024'!B:B, C434,'Nhập kho T42024'!F:F)</f>
        <v>8</v>
      </c>
      <c r="H434" s="101">
        <f>+ SUMIF('Doanh thu'!A:A, C434,'Doanh thu'!E:E) + SUMIF('Doanh thu 2025'!B:B, C434,'Doanh thu 2025'!E:E)</f>
        <v>1</v>
      </c>
      <c r="I434" s="115">
        <f t="shared" si="67"/>
        <v>7</v>
      </c>
      <c r="J434" s="103">
        <f t="shared" si="40"/>
        <v>89000</v>
      </c>
      <c r="K434" s="103">
        <f>+ SUMIF('Doanh thu'!A:A, C434,'Doanh thu'!F:F)</f>
        <v>89000</v>
      </c>
      <c r="L434" s="116">
        <f>VLOOKUP(C434,'Nhập kho T42024'!$B$3:$H$678,7,0)</f>
        <v>389697.84</v>
      </c>
      <c r="M434" s="116">
        <f>H434*3500*1.5*'Nhập kho T42024'!E267</f>
        <v>72922.5</v>
      </c>
      <c r="N434" s="133">
        <f t="shared" si="68"/>
        <v>-316775.34000000003</v>
      </c>
    </row>
    <row r="435" spans="3:14" ht="13.2">
      <c r="C435" s="35" t="s">
        <v>1244</v>
      </c>
      <c r="D435" s="35" t="s">
        <v>1245</v>
      </c>
      <c r="E435" s="35" t="s">
        <v>444</v>
      </c>
      <c r="F435" s="36">
        <v>89000</v>
      </c>
      <c r="G435" s="114">
        <f>+ SUMIF('Nhập kho T42024'!B:B, C435,'Nhập kho T42024'!F:F)</f>
        <v>5</v>
      </c>
      <c r="H435" s="101">
        <f>+ SUMIF('Doanh thu'!A:A, C435,'Doanh thu'!E:E) + SUMIF('Doanh thu 2025'!B:B, C435,'Doanh thu 2025'!E:E)</f>
        <v>2</v>
      </c>
      <c r="I435" s="115">
        <f t="shared" si="67"/>
        <v>3</v>
      </c>
      <c r="J435" s="103">
        <f t="shared" si="40"/>
        <v>178000</v>
      </c>
      <c r="K435" s="103">
        <f>+ SUMIF('Doanh thu'!A:A, C435,'Doanh thu'!F:F)</f>
        <v>178000</v>
      </c>
      <c r="L435" s="116">
        <f>VLOOKUP(C435,'Nhập kho T42024'!$B$3:$H$678,7,0)</f>
        <v>221467.05000000002</v>
      </c>
      <c r="M435" s="116">
        <f>H435*3500*1.5*'Nhập kho T42024'!E268</f>
        <v>132615</v>
      </c>
      <c r="N435" s="133">
        <f t="shared" si="68"/>
        <v>-88852.050000000017</v>
      </c>
    </row>
    <row r="436" spans="3:14" ht="13.2">
      <c r="C436" s="35" t="s">
        <v>1246</v>
      </c>
      <c r="D436" s="35" t="s">
        <v>1247</v>
      </c>
      <c r="E436" s="35" t="s">
        <v>444</v>
      </c>
      <c r="F436" s="36">
        <v>89500</v>
      </c>
      <c r="G436" s="114">
        <f>+ SUMIF('Nhập kho T42024'!B:B, C436,'Nhập kho T42024'!F:F)</f>
        <v>5</v>
      </c>
      <c r="H436" s="101">
        <f>+ SUMIF('Doanh thu'!A:A, C436,'Doanh thu'!E:E) + SUMIF('Doanh thu 2025'!B:B, C436,'Doanh thu 2025'!E:E)</f>
        <v>3</v>
      </c>
      <c r="I436" s="115">
        <f t="shared" si="67"/>
        <v>2</v>
      </c>
      <c r="J436" s="103">
        <f t="shared" si="40"/>
        <v>268500</v>
      </c>
      <c r="K436" s="103">
        <f>+ SUMIF('Doanh thu'!A:A, C436,'Doanh thu'!F:F)</f>
        <v>268500</v>
      </c>
      <c r="L436" s="116">
        <f>VLOOKUP(C436,'Nhập kho T42024'!$B$3:$H$678,7,0)</f>
        <v>188150.55000000002</v>
      </c>
      <c r="M436" s="116">
        <f>H436*3500*1.5*'Nhập kho T42024'!E269</f>
        <v>168997.5</v>
      </c>
      <c r="N436" s="133">
        <f t="shared" si="68"/>
        <v>-19153.050000000017</v>
      </c>
    </row>
    <row r="437" spans="3:14" ht="13.2">
      <c r="C437" s="35" t="s">
        <v>1248</v>
      </c>
      <c r="D437" s="35" t="s">
        <v>1249</v>
      </c>
      <c r="E437" s="35" t="s">
        <v>444</v>
      </c>
      <c r="F437" s="36">
        <v>89500</v>
      </c>
      <c r="G437" s="114">
        <f>+ SUMIF('Nhập kho T42024'!B:B, C437,'Nhập kho T42024'!F:F)</f>
        <v>10</v>
      </c>
      <c r="H437" s="101">
        <f>+ SUMIF('Doanh thu'!A:A, C437,'Doanh thu'!E:E) + SUMIF('Doanh thu 2025'!B:B, C437,'Doanh thu 2025'!E:E)</f>
        <v>3</v>
      </c>
      <c r="I437" s="115">
        <f t="shared" si="67"/>
        <v>7</v>
      </c>
      <c r="J437" s="103">
        <f t="shared" si="40"/>
        <v>268500</v>
      </c>
      <c r="K437" s="103">
        <f>+ SUMIF('Doanh thu'!A:A, C437,'Doanh thu'!F:F)</f>
        <v>268500</v>
      </c>
      <c r="L437" s="116">
        <f>VLOOKUP(C437,'Nhập kho T42024'!$B$3:$H$678,7,0)</f>
        <v>376301.10000000003</v>
      </c>
      <c r="M437" s="116">
        <f>H437*3500*1.5*'Nhập kho T42024'!E270</f>
        <v>168997.5</v>
      </c>
      <c r="N437" s="133">
        <f t="shared" si="68"/>
        <v>-207303.60000000003</v>
      </c>
    </row>
    <row r="438" spans="3:14" ht="13.2">
      <c r="C438" s="35" t="s">
        <v>1250</v>
      </c>
      <c r="D438" s="35" t="s">
        <v>1251</v>
      </c>
      <c r="E438" s="35" t="s">
        <v>444</v>
      </c>
      <c r="F438" s="36">
        <v>79000</v>
      </c>
      <c r="G438" s="114">
        <f>+ SUMIF('Nhập kho T42024'!B:B, C438,'Nhập kho T42024'!F:F)</f>
        <v>4</v>
      </c>
      <c r="H438" s="101">
        <f>+ SUMIF('Doanh thu'!A:A, C438,'Doanh thu'!E:E) + SUMIF('Doanh thu 2025'!B:B, C438,'Doanh thu 2025'!E:E)</f>
        <v>1</v>
      </c>
      <c r="I438" s="115">
        <f t="shared" si="67"/>
        <v>3</v>
      </c>
      <c r="J438" s="103">
        <f t="shared" si="40"/>
        <v>79000</v>
      </c>
      <c r="K438" s="103">
        <f>+ SUMIF('Doanh thu'!A:A, C438,'Doanh thu'!F:F)</f>
        <v>79000</v>
      </c>
      <c r="L438" s="116">
        <f>VLOOKUP(C438,'Nhập kho T42024'!$B$3:$H$678,7,0)</f>
        <v>159358.07999999999</v>
      </c>
      <c r="M438" s="116">
        <f>H438*3500*1.5*'Nhập kho T42024'!E271</f>
        <v>59640</v>
      </c>
      <c r="N438" s="133">
        <f t="shared" si="68"/>
        <v>-99718.079999999987</v>
      </c>
    </row>
    <row r="439" spans="3:14" ht="13.2">
      <c r="C439" s="35" t="s">
        <v>1252</v>
      </c>
      <c r="D439" s="35" t="s">
        <v>1253</v>
      </c>
      <c r="E439" s="35" t="s">
        <v>444</v>
      </c>
      <c r="F439" s="36">
        <v>82000</v>
      </c>
      <c r="G439" s="114">
        <f>+ SUMIF('Nhập kho T42024'!B:B, C439,'Nhập kho T42024'!F:F)</f>
        <v>4</v>
      </c>
      <c r="H439" s="101">
        <f>+ SUMIF('Doanh thu'!A:A, C439,'Doanh thu'!E:E) + SUMIF('Doanh thu 2025'!B:B, C439,'Doanh thu 2025'!E:E)</f>
        <v>0</v>
      </c>
      <c r="I439" s="115">
        <f t="shared" si="67"/>
        <v>4</v>
      </c>
      <c r="J439" s="103">
        <f t="shared" si="40"/>
        <v>0</v>
      </c>
      <c r="K439" s="103">
        <f>+ SUMIF('Doanh thu'!A:A, C439,'Doanh thu'!F:F)</f>
        <v>0</v>
      </c>
      <c r="L439" s="116">
        <f>VLOOKUP(C439,'Nhập kho T42024'!$B$3:$H$678,7,0)</f>
        <v>150520.44</v>
      </c>
      <c r="M439" s="116">
        <f>H439*3500*1.5*'Nhập kho T42024'!E272</f>
        <v>0</v>
      </c>
      <c r="N439" s="133">
        <f t="shared" si="68"/>
        <v>-150520.44</v>
      </c>
    </row>
    <row r="440" spans="3:14" ht="13.2">
      <c r="C440" s="35" t="s">
        <v>1254</v>
      </c>
      <c r="D440" s="35" t="s">
        <v>1255</v>
      </c>
      <c r="E440" s="35" t="s">
        <v>444</v>
      </c>
      <c r="F440" s="36">
        <v>89000</v>
      </c>
      <c r="G440" s="114">
        <f>+ SUMIF('Nhập kho T42024'!B:B, C440,'Nhập kho T42024'!F:F)</f>
        <v>8</v>
      </c>
      <c r="H440" s="101">
        <f>+ SUMIF('Doanh thu'!A:A, C440,'Doanh thu'!E:E) + SUMIF('Doanh thu 2025'!B:B, C440,'Doanh thu 2025'!E:E)</f>
        <v>4</v>
      </c>
      <c r="I440" s="115">
        <f t="shared" si="67"/>
        <v>4</v>
      </c>
      <c r="J440" s="103">
        <f t="shared" si="40"/>
        <v>356000</v>
      </c>
      <c r="K440" s="103">
        <f>+ SUMIF('Doanh thu'!A:A, C440,'Doanh thu'!F:F)</f>
        <v>356000</v>
      </c>
      <c r="L440" s="116">
        <f>G440*11.36*3500</f>
        <v>318080</v>
      </c>
      <c r="M440" s="116">
        <f>H440*70000</f>
        <v>280000</v>
      </c>
      <c r="N440" s="133">
        <f t="shared" si="68"/>
        <v>-38080</v>
      </c>
    </row>
    <row r="441" spans="3:14" ht="13.2">
      <c r="C441" s="35" t="s">
        <v>1256</v>
      </c>
      <c r="D441" s="35" t="s">
        <v>1257</v>
      </c>
      <c r="E441" s="35" t="s">
        <v>444</v>
      </c>
      <c r="F441" s="36">
        <v>89000</v>
      </c>
      <c r="G441" s="114">
        <f>+ SUMIF('Nhập kho T42024'!B:B, C441,'Nhập kho T42024'!F:F)</f>
        <v>8</v>
      </c>
      <c r="H441" s="101">
        <f>+ SUMIF('Doanh thu'!A:A, C441,'Doanh thu'!E:E) + SUMIF('Doanh thu 2025'!B:B, C441,'Doanh thu 2025'!E:E)</f>
        <v>8</v>
      </c>
      <c r="I441" s="115">
        <f t="shared" si="67"/>
        <v>0</v>
      </c>
      <c r="J441" s="103">
        <f t="shared" si="40"/>
        <v>712000</v>
      </c>
      <c r="K441" s="103">
        <f>+ SUMIF('Doanh thu'!A:A, C441,'Doanh thu'!F:F)</f>
        <v>712000</v>
      </c>
      <c r="L441" s="116">
        <f>VLOOKUP(C441,'Nhập kho T42024'!$B$3:$H$678,7,0)</f>
        <v>318716.15999999997</v>
      </c>
      <c r="M441" s="116">
        <f>H441*3500*1.5*'Nhập kho T42024'!E274</f>
        <v>477120</v>
      </c>
      <c r="N441" s="133">
        <f t="shared" si="68"/>
        <v>158403.84000000003</v>
      </c>
    </row>
    <row r="442" spans="3:14" ht="13.2">
      <c r="C442" s="35" t="s">
        <v>1258</v>
      </c>
      <c r="D442" s="35" t="s">
        <v>1259</v>
      </c>
      <c r="E442" s="35" t="s">
        <v>444</v>
      </c>
      <c r="F442" s="36">
        <v>79000</v>
      </c>
      <c r="G442" s="114">
        <f>+ SUMIF('Nhập kho T42024'!B:B, C442,'Nhập kho T42024'!F:F)</f>
        <v>4</v>
      </c>
      <c r="H442" s="101">
        <f>+ SUMIF('Doanh thu'!A:A, C442,'Doanh thu'!E:E) + SUMIF('Doanh thu 2025'!B:B, C442,'Doanh thu 2025'!E:E)</f>
        <v>2</v>
      </c>
      <c r="I442" s="115">
        <f t="shared" si="67"/>
        <v>2</v>
      </c>
      <c r="J442" s="103">
        <f t="shared" si="40"/>
        <v>158000</v>
      </c>
      <c r="K442" s="103">
        <f>+ SUMIF('Doanh thu'!A:A, C442,'Doanh thu'!F:F)</f>
        <v>158000</v>
      </c>
      <c r="L442" s="116">
        <f>VLOOKUP(C442,'Nhập kho T42024'!$B$3:$H$678,7,0)</f>
        <v>177173.64</v>
      </c>
      <c r="M442" s="116">
        <f>H442*3500*1.5*'Nhập kho T42024'!E275</f>
        <v>132615</v>
      </c>
      <c r="N442" s="133">
        <f t="shared" si="68"/>
        <v>-44558.640000000014</v>
      </c>
    </row>
    <row r="443" spans="3:14" ht="13.2">
      <c r="C443" s="35" t="s">
        <v>1260</v>
      </c>
      <c r="D443" s="35" t="s">
        <v>1261</v>
      </c>
      <c r="E443" s="35" t="s">
        <v>444</v>
      </c>
      <c r="F443" s="36">
        <v>79000</v>
      </c>
      <c r="G443" s="114">
        <f>+ SUMIF('Nhập kho T42024'!B:B, C443,'Nhập kho T42024'!F:F)</f>
        <v>4</v>
      </c>
      <c r="H443" s="101">
        <f>+ SUMIF('Doanh thu'!A:A, C443,'Doanh thu'!E:E) + SUMIF('Doanh thu 2025'!B:B, C443,'Doanh thu 2025'!E:E)</f>
        <v>3</v>
      </c>
      <c r="I443" s="115">
        <f t="shared" si="67"/>
        <v>1</v>
      </c>
      <c r="J443" s="103">
        <f t="shared" si="40"/>
        <v>237000</v>
      </c>
      <c r="K443" s="103">
        <f>+ SUMIF('Doanh thu'!A:A, C443,'Doanh thu'!F:F)</f>
        <v>237000</v>
      </c>
      <c r="L443" s="116">
        <f>VLOOKUP(C443,'Nhập kho T42024'!$B$3:$H$678,7,0)</f>
        <v>177173.64</v>
      </c>
      <c r="M443" s="116">
        <f>H443*3500*1.5*'Nhập kho T42024'!E276</f>
        <v>198922.5</v>
      </c>
      <c r="N443" s="133">
        <f t="shared" si="68"/>
        <v>21748.859999999986</v>
      </c>
    </row>
    <row r="444" spans="3:14" ht="13.2">
      <c r="C444" s="35" t="s">
        <v>1262</v>
      </c>
      <c r="D444" s="35" t="s">
        <v>1263</v>
      </c>
      <c r="E444" s="35" t="s">
        <v>444</v>
      </c>
      <c r="F444" s="36">
        <v>86000</v>
      </c>
      <c r="G444" s="114">
        <f>+ SUMIF('Nhập kho T42024'!B:B, C444,'Nhập kho T42024'!F:F)</f>
        <v>4</v>
      </c>
      <c r="H444" s="101">
        <f>+ SUMIF('Doanh thu'!A:A, C444,'Doanh thu'!E:E) + SUMIF('Doanh thu 2025'!B:B, C444,'Doanh thu 2025'!E:E)</f>
        <v>0</v>
      </c>
      <c r="I444" s="115">
        <f t="shared" si="67"/>
        <v>4</v>
      </c>
      <c r="J444" s="103">
        <f t="shared" si="40"/>
        <v>0</v>
      </c>
      <c r="K444" s="103">
        <f>+ SUMIF('Doanh thu'!A:A, C444,'Doanh thu'!F:F)</f>
        <v>0</v>
      </c>
      <c r="L444" s="116">
        <f>VLOOKUP(C444,'Nhập kho T42024'!$B$3:$H$678,7,0)</f>
        <v>177173.64</v>
      </c>
      <c r="M444" s="116">
        <f>H444*3500*1.5*'Nhập kho T42024'!E277</f>
        <v>0</v>
      </c>
      <c r="N444" s="133">
        <f t="shared" si="68"/>
        <v>-177173.64</v>
      </c>
    </row>
    <row r="445" spans="3:14" ht="13.2">
      <c r="C445" s="35" t="s">
        <v>1264</v>
      </c>
      <c r="D445" s="35" t="s">
        <v>1265</v>
      </c>
      <c r="E445" s="35" t="s">
        <v>444</v>
      </c>
      <c r="F445" s="36">
        <v>82000</v>
      </c>
      <c r="G445" s="114">
        <f>+ SUMIF('Nhập kho T42024'!B:B, C445,'Nhập kho T42024'!F:F)</f>
        <v>4</v>
      </c>
      <c r="H445" s="101">
        <f>+ SUMIF('Doanh thu'!A:A, C445,'Doanh thu'!E:E) + SUMIF('Doanh thu 2025'!B:B, C445,'Doanh thu 2025'!E:E)</f>
        <v>4</v>
      </c>
      <c r="I445" s="115">
        <f t="shared" si="67"/>
        <v>0</v>
      </c>
      <c r="J445" s="103">
        <f t="shared" si="40"/>
        <v>328000</v>
      </c>
      <c r="K445" s="103">
        <f>+ SUMIF('Doanh thu'!A:A, C445,'Doanh thu'!F:F)</f>
        <v>328000</v>
      </c>
      <c r="L445" s="116">
        <f>VLOOKUP(C445,'Nhập kho T42024'!$B$3:$H$678,7,0)</f>
        <v>177173.64</v>
      </c>
      <c r="M445" s="116">
        <f>H445*3500*1.5*'Nhập kho T42024'!E278</f>
        <v>265230</v>
      </c>
      <c r="N445" s="133">
        <f t="shared" si="68"/>
        <v>88056.359999999986</v>
      </c>
    </row>
    <row r="446" spans="3:14" ht="13.2">
      <c r="C446" s="35" t="s">
        <v>1266</v>
      </c>
      <c r="D446" s="35" t="s">
        <v>1267</v>
      </c>
      <c r="E446" s="35" t="s">
        <v>444</v>
      </c>
      <c r="F446" s="36">
        <v>82000</v>
      </c>
      <c r="G446" s="114">
        <f>+ SUMIF('Nhập kho T42024'!B:B, C446,'Nhập kho T42024'!F:F)</f>
        <v>4</v>
      </c>
      <c r="H446" s="101">
        <f>+ SUMIF('Doanh thu'!A:A, C446,'Doanh thu'!E:E) + SUMIF('Doanh thu 2025'!B:B, C446,'Doanh thu 2025'!E:E)</f>
        <v>0</v>
      </c>
      <c r="I446" s="115">
        <f t="shared" si="67"/>
        <v>4</v>
      </c>
      <c r="J446" s="103">
        <f t="shared" si="40"/>
        <v>0</v>
      </c>
      <c r="K446" s="103">
        <f>+ SUMIF('Doanh thu'!A:A, C446,'Doanh thu'!F:F)</f>
        <v>0</v>
      </c>
      <c r="L446" s="116">
        <f>VLOOKUP(C446,'Nhập kho T42024'!$B$3:$H$678,7,0)</f>
        <v>150520.44</v>
      </c>
      <c r="M446" s="116">
        <f>H446*3500*1.5*'Nhập kho T42024'!E279</f>
        <v>0</v>
      </c>
      <c r="N446" s="133">
        <f t="shared" si="68"/>
        <v>-150520.44</v>
      </c>
    </row>
    <row r="447" spans="3:14" ht="13.2">
      <c r="C447" s="28" t="s">
        <v>1268</v>
      </c>
      <c r="D447" s="28" t="s">
        <v>1269</v>
      </c>
      <c r="E447" s="35" t="s">
        <v>444</v>
      </c>
      <c r="F447" s="36">
        <v>161850</v>
      </c>
      <c r="G447" s="102">
        <f>+ SUMIF('Nhập kho T42024'!B:B, C447,'Nhập kho T42024'!F:F)</f>
        <v>20</v>
      </c>
      <c r="H447" s="101">
        <f>+ SUMIF('Doanh thu'!A:A, C447,'Doanh thu'!E:E) + SUMIF('Doanh thu 2025'!B:B, C447,'Doanh thu 2025'!E:E)</f>
        <v>19</v>
      </c>
      <c r="I447" s="101">
        <f t="shared" si="67"/>
        <v>1</v>
      </c>
      <c r="J447" s="103">
        <f t="shared" si="40"/>
        <v>3075150</v>
      </c>
      <c r="K447" s="104">
        <f>+ SUMIF('Doanh thu'!A:A, C447,'Doanh thu'!F:F)</f>
        <v>3075150</v>
      </c>
      <c r="L447" s="116">
        <f>23.26*3500*G447</f>
        <v>1628200</v>
      </c>
      <c r="M447" s="116">
        <f t="shared" ref="M447:M448" si="69">H447*133000</f>
        <v>2527000</v>
      </c>
      <c r="N447" s="133">
        <f t="shared" si="68"/>
        <v>898800</v>
      </c>
    </row>
    <row r="448" spans="3:14" ht="13.2">
      <c r="C448" s="28" t="s">
        <v>1270</v>
      </c>
      <c r="D448" s="28" t="s">
        <v>1271</v>
      </c>
      <c r="E448" s="35" t="s">
        <v>444</v>
      </c>
      <c r="F448" s="36">
        <v>161850</v>
      </c>
      <c r="G448" s="102">
        <f>+ SUMIF('Nhập kho T42024'!B:B, C448,'Nhập kho T42024'!F:F)</f>
        <v>15</v>
      </c>
      <c r="H448" s="101">
        <f>+ SUMIF('Doanh thu'!A:A, C448,'Doanh thu'!E:E) + SUMIF('Doanh thu 2025'!B:B, C448,'Doanh thu 2025'!E:E)</f>
        <v>16</v>
      </c>
      <c r="I448" s="101">
        <f t="shared" si="67"/>
        <v>-1</v>
      </c>
      <c r="J448" s="103">
        <f t="shared" si="40"/>
        <v>2589600</v>
      </c>
      <c r="K448" s="104">
        <f>+ SUMIF('Doanh thu'!A:A, C448,'Doanh thu'!F:F)</f>
        <v>2589600</v>
      </c>
      <c r="L448" s="116">
        <f>VLOOKUP(C448,'Nhập kho T42024'!$B$3:$H$678,7,0)</f>
        <v>1223592.3</v>
      </c>
      <c r="M448" s="116">
        <f t="shared" si="69"/>
        <v>2128000</v>
      </c>
      <c r="N448" s="133">
        <f t="shared" si="68"/>
        <v>904407.7</v>
      </c>
    </row>
    <row r="449" spans="3:14" ht="13.2">
      <c r="C449" s="28" t="s">
        <v>1272</v>
      </c>
      <c r="D449" s="28" t="s">
        <v>1273</v>
      </c>
      <c r="E449" s="35" t="s">
        <v>444</v>
      </c>
      <c r="F449" s="36">
        <v>161850</v>
      </c>
      <c r="G449" s="102">
        <f>+ SUMIF('Nhập kho T42024'!B:B, C449,'Nhập kho T42024'!F:F)</f>
        <v>12</v>
      </c>
      <c r="H449" s="101">
        <f>+ SUMIF('Doanh thu'!A:A, C449,'Doanh thu'!E:E) + SUMIF('Doanh thu 2025'!B:B, C449,'Doanh thu 2025'!E:E)</f>
        <v>12</v>
      </c>
      <c r="I449" s="101">
        <f t="shared" si="67"/>
        <v>0</v>
      </c>
      <c r="J449" s="103">
        <f t="shared" si="40"/>
        <v>1942200</v>
      </c>
      <c r="K449" s="104">
        <f>+ SUMIF('Doanh thu'!A:A, C449,'Doanh thu'!F:F)</f>
        <v>1942200</v>
      </c>
      <c r="L449" s="116">
        <f>VLOOKUP(C449,'Nhập kho T42024'!$B$3:$H$678,7,0)</f>
        <v>880818.12</v>
      </c>
      <c r="M449" s="116">
        <f>H449*3500*1.5*'Nhập kho T42024'!E287</f>
        <v>1318590</v>
      </c>
      <c r="N449" s="133">
        <f t="shared" si="68"/>
        <v>437771.88</v>
      </c>
    </row>
    <row r="450" spans="3:14" ht="13.2">
      <c r="C450" s="28" t="s">
        <v>1274</v>
      </c>
      <c r="D450" s="28" t="s">
        <v>1275</v>
      </c>
      <c r="E450" s="35" t="s">
        <v>444</v>
      </c>
      <c r="F450" s="36">
        <v>161850</v>
      </c>
      <c r="G450" s="102">
        <f>+ SUMIF('Nhập kho T42024'!B:B, C450,'Nhập kho T42024'!F:F)</f>
        <v>10</v>
      </c>
      <c r="H450" s="101">
        <f>+ SUMIF('Doanh thu'!A:A, C450,'Doanh thu'!E:E) + SUMIF('Doanh thu 2025'!B:B, C450,'Doanh thu 2025'!E:E)</f>
        <v>9</v>
      </c>
      <c r="I450" s="101">
        <f t="shared" si="67"/>
        <v>1</v>
      </c>
      <c r="J450" s="103">
        <f t="shared" si="40"/>
        <v>1456650</v>
      </c>
      <c r="K450" s="104">
        <f>+ SUMIF('Doanh thu'!A:A, C450,'Doanh thu'!F:F)</f>
        <v>1456650</v>
      </c>
      <c r="L450" s="116">
        <f>VLOOKUP(C450,'Nhập kho T42024'!$B$3:$H$678,7,0)</f>
        <v>761019</v>
      </c>
      <c r="M450" s="116">
        <f>H450*3500*1.5*'Nhập kho T42024'!E288</f>
        <v>1025325</v>
      </c>
      <c r="N450" s="133">
        <f t="shared" si="68"/>
        <v>264306</v>
      </c>
    </row>
    <row r="451" spans="3:14" ht="13.2">
      <c r="C451" s="28" t="s">
        <v>1276</v>
      </c>
      <c r="D451" s="28" t="s">
        <v>1277</v>
      </c>
      <c r="E451" s="35" t="s">
        <v>444</v>
      </c>
      <c r="F451" s="36">
        <v>161850</v>
      </c>
      <c r="G451" s="102">
        <f>+ SUMIF('Nhập kho T42024'!B:B, C451,'Nhập kho T42024'!F:F)</f>
        <v>3</v>
      </c>
      <c r="H451" s="101">
        <f>+ SUMIF('Doanh thu'!A:A, C451,'Doanh thu'!E:E) + SUMIF('Doanh thu 2025'!B:B, C451,'Doanh thu 2025'!E:E)</f>
        <v>3</v>
      </c>
      <c r="I451" s="101">
        <f t="shared" si="67"/>
        <v>0</v>
      </c>
      <c r="J451" s="103">
        <f t="shared" si="40"/>
        <v>485550</v>
      </c>
      <c r="K451" s="104">
        <f>+ SUMIF('Doanh thu'!A:A, C451,'Doanh thu'!F:F)</f>
        <v>485550</v>
      </c>
      <c r="L451" s="116">
        <f>VLOOKUP(C451,'Nhập kho T42024'!$B$3:$H$678,7,0)</f>
        <v>220204.53</v>
      </c>
      <c r="M451" s="116">
        <f>H451*3500*1.5*'Nhập kho T42024'!E289</f>
        <v>329647.5</v>
      </c>
      <c r="N451" s="133">
        <f t="shared" si="68"/>
        <v>109442.97</v>
      </c>
    </row>
    <row r="452" spans="3:14" ht="13.2">
      <c r="C452" s="28" t="s">
        <v>1278</v>
      </c>
      <c r="D452" s="28" t="s">
        <v>1279</v>
      </c>
      <c r="E452" s="35" t="s">
        <v>444</v>
      </c>
      <c r="F452" s="36">
        <v>161850</v>
      </c>
      <c r="G452" s="102">
        <f>+ SUMIF('Nhập kho T42024'!B:B, C452,'Nhập kho T42024'!F:F)</f>
        <v>8</v>
      </c>
      <c r="H452" s="101">
        <f>+ SUMIF('Doanh thu'!A:A, C452,'Doanh thu'!E:E) + SUMIF('Doanh thu 2025'!B:B, C452,'Doanh thu 2025'!E:E)</f>
        <v>5</v>
      </c>
      <c r="I452" s="101">
        <f t="shared" si="67"/>
        <v>3</v>
      </c>
      <c r="J452" s="103">
        <f t="shared" si="40"/>
        <v>809250</v>
      </c>
      <c r="K452" s="104">
        <f>+ SUMIF('Doanh thu'!A:A, C452,'Doanh thu'!F:F)</f>
        <v>809250</v>
      </c>
      <c r="L452" s="116">
        <f>VLOOKUP(C452,'Nhập kho T42024'!$B$3:$H$678,7,0)</f>
        <v>367007.55000000005</v>
      </c>
      <c r="M452" s="116">
        <f>H452*3500*1.5*'Nhập kho T42024'!E290</f>
        <v>549412.5</v>
      </c>
      <c r="N452" s="133">
        <f t="shared" si="68"/>
        <v>182404.94999999995</v>
      </c>
    </row>
    <row r="453" spans="3:14" ht="13.2">
      <c r="C453" s="28" t="s">
        <v>1280</v>
      </c>
      <c r="D453" s="28" t="s">
        <v>1281</v>
      </c>
      <c r="E453" s="35" t="s">
        <v>444</v>
      </c>
      <c r="F453" s="36">
        <v>161850</v>
      </c>
      <c r="G453" s="102">
        <f>+ SUMIF('Nhập kho T42024'!B:B, C453,'Nhập kho T42024'!F:F)</f>
        <v>5</v>
      </c>
      <c r="H453" s="101">
        <f>+ SUMIF('Doanh thu'!A:A, C453,'Doanh thu'!E:E) + SUMIF('Doanh thu 2025'!B:B, C453,'Doanh thu 2025'!E:E)</f>
        <v>4</v>
      </c>
      <c r="I453" s="101">
        <f t="shared" si="67"/>
        <v>1</v>
      </c>
      <c r="J453" s="103">
        <f t="shared" si="40"/>
        <v>647400</v>
      </c>
      <c r="K453" s="104">
        <f>+ SUMIF('Doanh thu'!A:A, C453,'Doanh thu'!F:F)</f>
        <v>647400</v>
      </c>
      <c r="L453" s="116">
        <f>VLOOKUP(C453,'Nhập kho T42024'!$B$3:$H$678,7,0)</f>
        <v>367007.55000000005</v>
      </c>
      <c r="M453" s="116">
        <f>H453*3500*1.5*'Nhập kho T42024'!E291</f>
        <v>439530</v>
      </c>
      <c r="N453" s="133">
        <f t="shared" si="68"/>
        <v>72522.449999999953</v>
      </c>
    </row>
    <row r="454" spans="3:14" ht="13.2">
      <c r="C454" s="28" t="s">
        <v>1282</v>
      </c>
      <c r="D454" s="28" t="s">
        <v>1283</v>
      </c>
      <c r="E454" s="35" t="s">
        <v>444</v>
      </c>
      <c r="F454" s="36">
        <v>161850</v>
      </c>
      <c r="G454" s="102">
        <f>+ SUMIF('Nhập kho T42024'!B:B, C454,'Nhập kho T42024'!F:F)</f>
        <v>6</v>
      </c>
      <c r="H454" s="101">
        <f>+ SUMIF('Doanh thu'!A:A, C454,'Doanh thu'!E:E) + SUMIF('Doanh thu 2025'!B:B, C454,'Doanh thu 2025'!E:E)</f>
        <v>3</v>
      </c>
      <c r="I454" s="101">
        <f t="shared" si="67"/>
        <v>3</v>
      </c>
      <c r="J454" s="103">
        <f t="shared" si="40"/>
        <v>485550</v>
      </c>
      <c r="K454" s="104">
        <f>+ SUMIF('Doanh thu'!A:A, C454,'Doanh thu'!F:F)</f>
        <v>485550</v>
      </c>
      <c r="L454" s="116">
        <f>VLOOKUP(C454,'Nhập kho T42024'!$B$3:$H$678,7,0)</f>
        <v>220204.53</v>
      </c>
      <c r="M454" s="116">
        <f>H454*3500*1.5*'Nhập kho T42024'!E292</f>
        <v>329647.5</v>
      </c>
      <c r="N454" s="133">
        <f t="shared" si="68"/>
        <v>109442.97</v>
      </c>
    </row>
    <row r="455" spans="3:14" ht="13.2">
      <c r="C455" s="28" t="s">
        <v>1284</v>
      </c>
      <c r="D455" s="28" t="s">
        <v>1285</v>
      </c>
      <c r="E455" s="35" t="s">
        <v>444</v>
      </c>
      <c r="F455" s="36">
        <v>161850</v>
      </c>
      <c r="G455" s="102">
        <f>+ SUMIF('Nhập kho T42024'!B:B, C455,'Nhập kho T42024'!F:F)</f>
        <v>8</v>
      </c>
      <c r="H455" s="101">
        <f>+ SUMIF('Doanh thu'!A:A, C455,'Doanh thu'!E:E) + SUMIF('Doanh thu 2025'!B:B, C455,'Doanh thu 2025'!E:E)</f>
        <v>8</v>
      </c>
      <c r="I455" s="101">
        <f t="shared" si="67"/>
        <v>0</v>
      </c>
      <c r="J455" s="103">
        <f t="shared" si="40"/>
        <v>1294800</v>
      </c>
      <c r="K455" s="104">
        <f>+ SUMIF('Doanh thu'!A:A, C455,'Doanh thu'!F:F)</f>
        <v>1294800</v>
      </c>
      <c r="L455" s="116">
        <f>VLOOKUP(C455,'Nhập kho T42024'!$B$3:$H$678,7,0)</f>
        <v>587212.07999999996</v>
      </c>
      <c r="M455" s="116">
        <f>H455*3500*1.5*'Nhập kho T42024'!E293</f>
        <v>879060</v>
      </c>
      <c r="N455" s="133">
        <f t="shared" si="68"/>
        <v>291847.92000000004</v>
      </c>
    </row>
    <row r="456" spans="3:14" ht="13.2">
      <c r="C456" s="28" t="s">
        <v>1286</v>
      </c>
      <c r="D456" s="28" t="s">
        <v>1287</v>
      </c>
      <c r="E456" s="35" t="s">
        <v>444</v>
      </c>
      <c r="F456" s="36">
        <v>161850</v>
      </c>
      <c r="G456" s="102">
        <f>+ SUMIF('Nhập kho T42024'!B:B, C456,'Nhập kho T42024'!F:F)</f>
        <v>7</v>
      </c>
      <c r="H456" s="101">
        <f>+ SUMIF('Doanh thu'!A:A, C456,'Doanh thu'!E:E) + SUMIF('Doanh thu 2025'!B:B, C456,'Doanh thu 2025'!E:E)</f>
        <v>5</v>
      </c>
      <c r="I456" s="101">
        <f t="shared" si="67"/>
        <v>2</v>
      </c>
      <c r="J456" s="103">
        <f t="shared" si="40"/>
        <v>809250</v>
      </c>
      <c r="K456" s="104">
        <f>+ SUMIF('Doanh thu'!A:A, C456,'Doanh thu'!F:F)</f>
        <v>809250</v>
      </c>
      <c r="L456" s="116">
        <f>VLOOKUP(C456,'Nhập kho T42024'!$B$3:$H$678,7,0)</f>
        <v>367007.55000000005</v>
      </c>
      <c r="M456" s="116">
        <f>H456*3500*1.5*'Nhập kho T42024'!E294</f>
        <v>549412.5</v>
      </c>
      <c r="N456" s="133">
        <f t="shared" si="68"/>
        <v>182404.94999999995</v>
      </c>
    </row>
    <row r="457" spans="3:14" ht="13.2">
      <c r="C457" s="28" t="s">
        <v>1288</v>
      </c>
      <c r="D457" s="28" t="s">
        <v>1289</v>
      </c>
      <c r="E457" s="35" t="s">
        <v>444</v>
      </c>
      <c r="F457" s="36">
        <v>161850</v>
      </c>
      <c r="G457" s="102">
        <f>+ SUMIF('Nhập kho T42024'!B:B, C457,'Nhập kho T42024'!F:F)</f>
        <v>15</v>
      </c>
      <c r="H457" s="101">
        <f>+ SUMIF('Doanh thu'!A:A, C457,'Doanh thu'!E:E) + SUMIF('Doanh thu 2025'!B:B, C457,'Doanh thu 2025'!E:E)</f>
        <v>15</v>
      </c>
      <c r="I457" s="101">
        <f t="shared" si="67"/>
        <v>0</v>
      </c>
      <c r="J457" s="103">
        <f t="shared" si="40"/>
        <v>2427750</v>
      </c>
      <c r="K457" s="104">
        <f>+ SUMIF('Doanh thu'!A:A, C457,'Doanh thu'!F:F)</f>
        <v>2427750</v>
      </c>
      <c r="L457" s="116">
        <f>VLOOKUP(C457,'Nhập kho T42024'!$B$3:$H$678,7,0)</f>
        <v>1101022.6499999999</v>
      </c>
      <c r="M457" s="116">
        <f>H457*3500*1.5*'Nhập kho T42024'!E295</f>
        <v>1648237.5</v>
      </c>
      <c r="N457" s="133">
        <f t="shared" si="68"/>
        <v>547214.85000000009</v>
      </c>
    </row>
    <row r="458" spans="3:14" ht="13.2">
      <c r="C458" s="28" t="s">
        <v>1290</v>
      </c>
      <c r="D458" s="28" t="s">
        <v>1291</v>
      </c>
      <c r="E458" s="35" t="s">
        <v>444</v>
      </c>
      <c r="F458" s="36">
        <v>139000</v>
      </c>
      <c r="G458" s="102">
        <f>+ SUMIF('Nhập kho T42024'!B:B, C458,'Nhập kho T42024'!F:F)</f>
        <v>6</v>
      </c>
      <c r="H458" s="101">
        <f>+ SUMIF('Doanh thu'!A:A, C458,'Doanh thu'!E:E) + SUMIF('Doanh thu 2025'!B:B, C458,'Doanh thu 2025'!E:E)</f>
        <v>3</v>
      </c>
      <c r="I458" s="101">
        <f t="shared" si="67"/>
        <v>3</v>
      </c>
      <c r="J458" s="103">
        <f t="shared" si="40"/>
        <v>417000</v>
      </c>
      <c r="K458" s="104">
        <f>+ SUMIF('Doanh thu'!A:A, C458,'Doanh thu'!F:F)</f>
        <v>417000</v>
      </c>
      <c r="L458" s="116">
        <f>VLOOKUP(C458,'Nhập kho T42024'!$B$3:$H$678,7,0)</f>
        <v>220204.53</v>
      </c>
      <c r="M458" s="116">
        <f>H458*115000</f>
        <v>345000</v>
      </c>
      <c r="N458" s="133">
        <f t="shared" si="68"/>
        <v>124795.47</v>
      </c>
    </row>
    <row r="459" spans="3:14" ht="13.2">
      <c r="C459" s="28" t="s">
        <v>1292</v>
      </c>
      <c r="D459" s="28" t="s">
        <v>1293</v>
      </c>
      <c r="E459" s="35" t="s">
        <v>444</v>
      </c>
      <c r="F459" s="36">
        <v>139000</v>
      </c>
      <c r="G459" s="102">
        <f>+ SUMIF('Nhập kho T42024'!B:B, C459,'Nhập kho T42024'!F:F)</f>
        <v>3</v>
      </c>
      <c r="H459" s="101">
        <f>+ SUMIF('Doanh thu'!A:A, C459,'Doanh thu'!E:E) + SUMIF('Doanh thu 2025'!B:B, C459,'Doanh thu 2025'!E:E)</f>
        <v>3</v>
      </c>
      <c r="I459" s="101">
        <f t="shared" si="67"/>
        <v>0</v>
      </c>
      <c r="J459" s="103">
        <f t="shared" si="40"/>
        <v>417000</v>
      </c>
      <c r="K459" s="104">
        <f>+ SUMIF('Doanh thu'!A:A, C459,'Doanh thu'!F:F)</f>
        <v>417000</v>
      </c>
      <c r="L459" s="116">
        <f>VLOOKUP(C459,'Nhập kho T42024'!$B$3:$H$678,7,0)</f>
        <v>220204.53</v>
      </c>
      <c r="M459" s="116">
        <f>H459*3500*1.5*'Nhập kho T42024'!E297</f>
        <v>329647.5</v>
      </c>
      <c r="N459" s="133">
        <f t="shared" si="68"/>
        <v>109442.97</v>
      </c>
    </row>
    <row r="460" spans="3:14" ht="13.2">
      <c r="C460" s="28" t="s">
        <v>1294</v>
      </c>
      <c r="D460" s="28" t="s">
        <v>1295</v>
      </c>
      <c r="E460" s="35" t="s">
        <v>444</v>
      </c>
      <c r="F460" s="36">
        <v>139000</v>
      </c>
      <c r="G460" s="102">
        <f>+ SUMIF('Nhập kho T42024'!B:B, C460,'Nhập kho T42024'!F:F)</f>
        <v>3</v>
      </c>
      <c r="H460" s="101">
        <f>+ SUMIF('Doanh thu'!A:A, C460,'Doanh thu'!E:E) + SUMIF('Doanh thu 2025'!B:B, C460,'Doanh thu 2025'!E:E)</f>
        <v>3</v>
      </c>
      <c r="I460" s="101">
        <f t="shared" si="67"/>
        <v>0</v>
      </c>
      <c r="J460" s="103">
        <f t="shared" si="40"/>
        <v>417000</v>
      </c>
      <c r="K460" s="104">
        <f>+ SUMIF('Doanh thu'!A:A, C460,'Doanh thu'!F:F)</f>
        <v>417000</v>
      </c>
      <c r="L460" s="116">
        <f>VLOOKUP(C460,'Nhập kho T42024'!$B$3:$H$678,7,0)</f>
        <v>220204.53</v>
      </c>
      <c r="M460" s="116">
        <f>H460*3500*1.5*'Nhập kho T42024'!E298</f>
        <v>329647.5</v>
      </c>
      <c r="N460" s="133">
        <f t="shared" si="68"/>
        <v>109442.97</v>
      </c>
    </row>
    <row r="461" spans="3:14" ht="13.2">
      <c r="C461" s="28" t="s">
        <v>1296</v>
      </c>
      <c r="D461" s="28" t="s">
        <v>1297</v>
      </c>
      <c r="E461" s="35" t="s">
        <v>444</v>
      </c>
      <c r="F461" s="36">
        <v>139000</v>
      </c>
      <c r="G461" s="102">
        <f>+ SUMIF('Nhập kho T42024'!B:B, C461,'Nhập kho T42024'!F:F)</f>
        <v>3</v>
      </c>
      <c r="H461" s="101">
        <f>+ SUMIF('Doanh thu'!A:A, C461,'Doanh thu'!E:E) + SUMIF('Doanh thu 2025'!B:B, C461,'Doanh thu 2025'!E:E)</f>
        <v>3</v>
      </c>
      <c r="I461" s="101">
        <f t="shared" si="67"/>
        <v>0</v>
      </c>
      <c r="J461" s="103">
        <f t="shared" si="40"/>
        <v>417000</v>
      </c>
      <c r="K461" s="104">
        <f>+ SUMIF('Doanh thu'!A:A, C461,'Doanh thu'!F:F)</f>
        <v>417000</v>
      </c>
      <c r="L461" s="116">
        <f>VLOOKUP(C461,'Nhập kho T42024'!$B$3:$H$678,7,0)</f>
        <v>220204.53</v>
      </c>
      <c r="M461" s="116">
        <f>H461*3500*1.5*'Nhập kho T42024'!E299</f>
        <v>329647.5</v>
      </c>
      <c r="N461" s="133">
        <f t="shared" si="68"/>
        <v>109442.97</v>
      </c>
    </row>
    <row r="462" spans="3:14" ht="13.2">
      <c r="C462" s="16" t="s">
        <v>1298</v>
      </c>
      <c r="D462" s="16" t="s">
        <v>1299</v>
      </c>
      <c r="E462" s="16" t="s">
        <v>444</v>
      </c>
      <c r="F462" s="132">
        <v>59000</v>
      </c>
      <c r="G462" s="102">
        <f>+ SUMIF('Nhập kho T42024'!B:B, C462,'Nhập kho T42024'!F:F)</f>
        <v>25</v>
      </c>
      <c r="H462" s="101">
        <f>+ SUMIF('Doanh thu'!A:A, C462,'Doanh thu'!E:E) + SUMIF('Doanh thu 2025'!B:B, C462,'Doanh thu 2025'!E:E)</f>
        <v>24</v>
      </c>
      <c r="I462" s="101">
        <f t="shared" si="67"/>
        <v>1</v>
      </c>
      <c r="J462" s="103">
        <f t="shared" si="40"/>
        <v>1357000</v>
      </c>
      <c r="K462" s="104">
        <f>+ SUMIF('Doanh thu'!A:A, C462,'Doanh thu'!F:F)</f>
        <v>1357000</v>
      </c>
      <c r="L462" s="93">
        <f t="shared" ref="L462:L463" si="70">3580*6.56*G462</f>
        <v>587120</v>
      </c>
      <c r="M462" s="93">
        <f t="shared" ref="M462:M463" si="71">H462*44000</f>
        <v>1056000</v>
      </c>
      <c r="N462" s="93">
        <f t="shared" si="68"/>
        <v>468880</v>
      </c>
    </row>
    <row r="463" spans="3:14" ht="13.2">
      <c r="C463" s="16" t="s">
        <v>1300</v>
      </c>
      <c r="D463" s="16" t="s">
        <v>1301</v>
      </c>
      <c r="E463" s="16" t="s">
        <v>444</v>
      </c>
      <c r="F463" s="132">
        <v>59000</v>
      </c>
      <c r="G463" s="102">
        <f>+ SUMIF('Nhập kho T42024'!B:B, C463,'Nhập kho T42024'!F:F)</f>
        <v>30</v>
      </c>
      <c r="H463" s="101">
        <f>+ SUMIF('Doanh thu'!A:A, C463,'Doanh thu'!E:E) + SUMIF('Doanh thu 2025'!B:B, C463,'Doanh thu 2025'!E:E)</f>
        <v>24</v>
      </c>
      <c r="I463" s="101">
        <f t="shared" si="67"/>
        <v>6</v>
      </c>
      <c r="J463" s="103">
        <f t="shared" si="40"/>
        <v>1416000</v>
      </c>
      <c r="K463" s="104">
        <f>+ SUMIF('Doanh thu'!A:A, C463,'Doanh thu'!F:F)</f>
        <v>1416000</v>
      </c>
      <c r="L463" s="93">
        <f t="shared" si="70"/>
        <v>704544</v>
      </c>
      <c r="M463" s="93">
        <f t="shared" si="71"/>
        <v>1056000</v>
      </c>
      <c r="N463" s="93">
        <f t="shared" si="68"/>
        <v>351456</v>
      </c>
    </row>
    <row r="464" spans="3:14" ht="13.2">
      <c r="C464" s="16" t="s">
        <v>1302</v>
      </c>
      <c r="D464" s="28" t="s">
        <v>1303</v>
      </c>
      <c r="E464" s="16" t="s">
        <v>444</v>
      </c>
      <c r="F464" s="132">
        <v>155000</v>
      </c>
      <c r="G464" s="102">
        <f>+ SUMIF('Nhập kho T42024'!B:B, C464,'Nhập kho T42024'!F:F)</f>
        <v>2</v>
      </c>
      <c r="H464" s="101">
        <f>+ SUMIF('Doanh thu'!A:A, C464,'Doanh thu'!E:E) + SUMIF('Doanh thu 2025'!B:B, C464,'Doanh thu 2025'!E:E)</f>
        <v>2</v>
      </c>
      <c r="I464" s="101">
        <f t="shared" si="67"/>
        <v>0</v>
      </c>
      <c r="J464" s="103">
        <f t="shared" si="40"/>
        <v>310000</v>
      </c>
      <c r="K464" s="104">
        <f>+ SUMIF('Doanh thu'!A:A, C464,'Doanh thu'!F:F)</f>
        <v>310000</v>
      </c>
      <c r="L464" s="93">
        <f t="shared" ref="L464:L498" si="72">G464*58000</f>
        <v>116000</v>
      </c>
      <c r="M464" s="93">
        <f t="shared" ref="M464:M508" si="73">H464*100000</f>
        <v>200000</v>
      </c>
      <c r="N464" s="93">
        <f t="shared" si="68"/>
        <v>84000</v>
      </c>
    </row>
    <row r="465" spans="3:14" ht="13.2">
      <c r="C465" s="16" t="s">
        <v>1304</v>
      </c>
      <c r="D465" s="28" t="s">
        <v>1305</v>
      </c>
      <c r="E465" s="16" t="s">
        <v>444</v>
      </c>
      <c r="F465" s="132">
        <v>155000</v>
      </c>
      <c r="G465" s="102">
        <f>+ SUMIF('Nhập kho T42024'!B:B, C465,'Nhập kho T42024'!F:F)</f>
        <v>4</v>
      </c>
      <c r="H465" s="101">
        <f>+ SUMIF('Doanh thu'!A:A, C465,'Doanh thu'!E:E) + SUMIF('Doanh thu 2025'!B:B, C465,'Doanh thu 2025'!E:E)</f>
        <v>3</v>
      </c>
      <c r="I465" s="101">
        <f t="shared" si="67"/>
        <v>1</v>
      </c>
      <c r="J465" s="103">
        <f t="shared" si="40"/>
        <v>465000</v>
      </c>
      <c r="K465" s="104">
        <f>+ SUMIF('Doanh thu'!A:A, C465,'Doanh thu'!F:F)</f>
        <v>465000</v>
      </c>
      <c r="L465" s="93">
        <f t="shared" si="72"/>
        <v>232000</v>
      </c>
      <c r="M465" s="93">
        <f t="shared" si="73"/>
        <v>300000</v>
      </c>
      <c r="N465" s="93">
        <f t="shared" si="68"/>
        <v>68000</v>
      </c>
    </row>
    <row r="466" spans="3:14" ht="13.2">
      <c r="C466" s="16" t="s">
        <v>1306</v>
      </c>
      <c r="D466" s="28" t="s">
        <v>1307</v>
      </c>
      <c r="E466" s="16" t="s">
        <v>444</v>
      </c>
      <c r="F466" s="132">
        <v>155000</v>
      </c>
      <c r="G466" s="102">
        <f>+ SUMIF('Nhập kho T42024'!B:B, C466,'Nhập kho T42024'!F:F)</f>
        <v>5</v>
      </c>
      <c r="H466" s="101">
        <f>+ SUMIF('Doanh thu'!A:A, C466,'Doanh thu'!E:E) + SUMIF('Doanh thu 2025'!B:B, C466,'Doanh thu 2025'!E:E)</f>
        <v>4</v>
      </c>
      <c r="I466" s="101">
        <f>G466-H466-1</f>
        <v>0</v>
      </c>
      <c r="J466" s="103">
        <f t="shared" si="40"/>
        <v>620000</v>
      </c>
      <c r="K466" s="104">
        <f>+ SUMIF('Doanh thu'!A:A, C466,'Doanh thu'!F:F)</f>
        <v>620000</v>
      </c>
      <c r="L466" s="93">
        <f t="shared" si="72"/>
        <v>290000</v>
      </c>
      <c r="M466" s="93">
        <f t="shared" si="73"/>
        <v>400000</v>
      </c>
      <c r="N466" s="93">
        <f t="shared" si="68"/>
        <v>110000</v>
      </c>
    </row>
    <row r="467" spans="3:14" ht="13.2">
      <c r="C467" s="16" t="s">
        <v>1308</v>
      </c>
      <c r="D467" s="28" t="s">
        <v>1305</v>
      </c>
      <c r="E467" s="16" t="s">
        <v>444</v>
      </c>
      <c r="F467" s="132">
        <v>155000</v>
      </c>
      <c r="G467" s="102">
        <f>+ SUMIF('Nhập kho T42024'!B:B, C467,'Nhập kho T42024'!F:F)</f>
        <v>7</v>
      </c>
      <c r="H467" s="101">
        <f>+ SUMIF('Doanh thu'!A:A, C467,'Doanh thu'!E:E) + SUMIF('Doanh thu 2025'!B:B, C467,'Doanh thu 2025'!E:E)</f>
        <v>5</v>
      </c>
      <c r="I467" s="101">
        <f t="shared" ref="I467:I471" si="74">G467-H467</f>
        <v>2</v>
      </c>
      <c r="J467" s="103">
        <f t="shared" si="40"/>
        <v>775000</v>
      </c>
      <c r="K467" s="104">
        <f>+ SUMIF('Doanh thu'!A:A, C467,'Doanh thu'!F:F)</f>
        <v>775000</v>
      </c>
      <c r="L467" s="93">
        <f t="shared" si="72"/>
        <v>406000</v>
      </c>
      <c r="M467" s="93">
        <f t="shared" si="73"/>
        <v>500000</v>
      </c>
      <c r="N467" s="93">
        <f t="shared" si="68"/>
        <v>94000</v>
      </c>
    </row>
    <row r="468" spans="3:14" ht="13.2">
      <c r="C468" s="16" t="s">
        <v>1309</v>
      </c>
      <c r="D468" s="28" t="s">
        <v>1310</v>
      </c>
      <c r="E468" s="16" t="s">
        <v>444</v>
      </c>
      <c r="F468" s="132">
        <v>155000</v>
      </c>
      <c r="G468" s="102">
        <f>+ SUMIF('Nhập kho T42024'!B:B, C468,'Nhập kho T42024'!F:F)</f>
        <v>2</v>
      </c>
      <c r="H468" s="101">
        <f>+ SUMIF('Doanh thu'!A:A, C468,'Doanh thu'!E:E) + SUMIF('Doanh thu 2025'!B:B, C468,'Doanh thu 2025'!E:E)</f>
        <v>2</v>
      </c>
      <c r="I468" s="101">
        <f t="shared" si="74"/>
        <v>0</v>
      </c>
      <c r="J468" s="103">
        <f t="shared" si="40"/>
        <v>310000</v>
      </c>
      <c r="K468" s="104">
        <f>+ SUMIF('Doanh thu'!A:A, C468,'Doanh thu'!F:F)</f>
        <v>310000</v>
      </c>
      <c r="L468" s="93">
        <f t="shared" si="72"/>
        <v>116000</v>
      </c>
      <c r="M468" s="93">
        <f t="shared" si="73"/>
        <v>200000</v>
      </c>
      <c r="N468" s="93">
        <f t="shared" si="68"/>
        <v>84000</v>
      </c>
    </row>
    <row r="469" spans="3:14" ht="13.2">
      <c r="C469" s="16" t="s">
        <v>1311</v>
      </c>
      <c r="D469" s="28" t="s">
        <v>1312</v>
      </c>
      <c r="E469" s="16" t="s">
        <v>444</v>
      </c>
      <c r="F469" s="132">
        <v>155000</v>
      </c>
      <c r="G469" s="102">
        <f>+ SUMIF('Nhập kho T42024'!B:B, C469,'Nhập kho T42024'!F:F)</f>
        <v>7</v>
      </c>
      <c r="H469" s="101">
        <f>+ SUMIF('Doanh thu'!A:A, C469,'Doanh thu'!E:E) + SUMIF('Doanh thu 2025'!B:B, C469,'Doanh thu 2025'!E:E)</f>
        <v>8</v>
      </c>
      <c r="I469" s="101">
        <f t="shared" si="74"/>
        <v>-1</v>
      </c>
      <c r="J469" s="103">
        <f t="shared" si="40"/>
        <v>1240000</v>
      </c>
      <c r="K469" s="104">
        <f>+ SUMIF('Doanh thu'!A:A, C469,'Doanh thu'!F:F)</f>
        <v>1240000</v>
      </c>
      <c r="L469" s="93">
        <f t="shared" si="72"/>
        <v>406000</v>
      </c>
      <c r="M469" s="93">
        <f t="shared" si="73"/>
        <v>800000</v>
      </c>
      <c r="N469" s="93">
        <f t="shared" si="68"/>
        <v>394000</v>
      </c>
    </row>
    <row r="470" spans="3:14" ht="13.2">
      <c r="C470" s="16" t="s">
        <v>1313</v>
      </c>
      <c r="D470" s="28" t="s">
        <v>1314</v>
      </c>
      <c r="E470" s="16" t="s">
        <v>444</v>
      </c>
      <c r="F470" s="132">
        <v>155000</v>
      </c>
      <c r="G470" s="102">
        <f>+ SUMIF('Nhập kho T42024'!B:B, C470,'Nhập kho T42024'!F:F)</f>
        <v>4</v>
      </c>
      <c r="H470" s="101">
        <f>+ SUMIF('Doanh thu'!A:A, C470,'Doanh thu'!E:E) + SUMIF('Doanh thu 2025'!B:B, C470,'Doanh thu 2025'!E:E)</f>
        <v>4</v>
      </c>
      <c r="I470" s="101">
        <f t="shared" si="74"/>
        <v>0</v>
      </c>
      <c r="J470" s="103">
        <f t="shared" si="40"/>
        <v>620000</v>
      </c>
      <c r="K470" s="104">
        <f>+ SUMIF('Doanh thu'!A:A, C470,'Doanh thu'!F:F)</f>
        <v>620000</v>
      </c>
      <c r="L470" s="93">
        <f t="shared" si="72"/>
        <v>232000</v>
      </c>
      <c r="M470" s="93">
        <f t="shared" si="73"/>
        <v>400000</v>
      </c>
      <c r="N470" s="93">
        <f t="shared" si="68"/>
        <v>168000</v>
      </c>
    </row>
    <row r="471" spans="3:14" ht="13.2">
      <c r="C471" s="16" t="s">
        <v>1315</v>
      </c>
      <c r="D471" s="28" t="s">
        <v>1312</v>
      </c>
      <c r="E471" s="16" t="s">
        <v>444</v>
      </c>
      <c r="F471" s="132">
        <v>165000</v>
      </c>
      <c r="G471" s="102">
        <f>+ SUMIF('Nhập kho T42024'!B:B, C471,'Nhập kho T42024'!F:F)</f>
        <v>4</v>
      </c>
      <c r="H471" s="101">
        <f>+ SUMIF('Doanh thu'!A:A, C471,'Doanh thu'!E:E) + SUMIF('Doanh thu 2025'!B:B, C471,'Doanh thu 2025'!E:E)</f>
        <v>2</v>
      </c>
      <c r="I471" s="101">
        <f t="shared" si="74"/>
        <v>2</v>
      </c>
      <c r="J471" s="103">
        <f t="shared" si="40"/>
        <v>330000</v>
      </c>
      <c r="K471" s="104">
        <f>+ SUMIF('Doanh thu'!A:A, C471,'Doanh thu'!F:F)</f>
        <v>330000</v>
      </c>
      <c r="L471" s="93">
        <f t="shared" si="72"/>
        <v>232000</v>
      </c>
      <c r="M471" s="93">
        <f t="shared" si="73"/>
        <v>200000</v>
      </c>
      <c r="N471" s="93">
        <f t="shared" si="68"/>
        <v>-32000</v>
      </c>
    </row>
    <row r="472" spans="3:14" ht="13.2">
      <c r="C472" s="16" t="s">
        <v>1316</v>
      </c>
      <c r="D472" s="28" t="s">
        <v>1317</v>
      </c>
      <c r="E472" s="16" t="s">
        <v>444</v>
      </c>
      <c r="F472" s="132">
        <v>155000</v>
      </c>
      <c r="G472" s="102">
        <f>+ SUMIF('Nhập kho T42024'!B:B, C472,'Nhập kho T42024'!F:F)</f>
        <v>8</v>
      </c>
      <c r="H472" s="101">
        <f>+ SUMIF('Doanh thu'!A:A, C472,'Doanh thu'!E:E) + SUMIF('Doanh thu 2025'!B:B, C472,'Doanh thu 2025'!E:E)</f>
        <v>9</v>
      </c>
      <c r="I472" s="101">
        <f>G472-H472+2</f>
        <v>1</v>
      </c>
      <c r="J472" s="103">
        <f t="shared" si="40"/>
        <v>620000</v>
      </c>
      <c r="K472" s="104">
        <f>+ SUMIF('Doanh thu'!A:A, C472,'Doanh thu'!F:F)</f>
        <v>620000</v>
      </c>
      <c r="L472" s="93">
        <f t="shared" si="72"/>
        <v>464000</v>
      </c>
      <c r="M472" s="93">
        <f t="shared" si="73"/>
        <v>900000</v>
      </c>
      <c r="N472" s="93">
        <f t="shared" si="68"/>
        <v>436000</v>
      </c>
    </row>
    <row r="473" spans="3:14" ht="13.2">
      <c r="C473" s="16" t="s">
        <v>1318</v>
      </c>
      <c r="D473" s="28" t="s">
        <v>1319</v>
      </c>
      <c r="E473" s="16" t="s">
        <v>444</v>
      </c>
      <c r="F473" s="132">
        <v>155000</v>
      </c>
      <c r="G473" s="102">
        <f>+ SUMIF('Nhập kho T42024'!B:B, C473,'Nhập kho T42024'!F:F)</f>
        <v>27</v>
      </c>
      <c r="H473" s="101">
        <f>+ SUMIF('Doanh thu'!A:A, C473,'Doanh thu'!E:E) + SUMIF('Doanh thu 2025'!B:B, C473,'Doanh thu 2025'!E:E)</f>
        <v>70</v>
      </c>
      <c r="I473" s="101">
        <f>G473-H473+46+6</f>
        <v>9</v>
      </c>
      <c r="J473" s="103">
        <f t="shared" si="40"/>
        <v>9610000</v>
      </c>
      <c r="K473" s="104">
        <f>+ SUMIF('Doanh thu'!A:A, C473,'Doanh thu'!F:F)</f>
        <v>9610000</v>
      </c>
      <c r="L473" s="93">
        <f t="shared" si="72"/>
        <v>1566000</v>
      </c>
      <c r="M473" s="93">
        <f t="shared" si="73"/>
        <v>7000000</v>
      </c>
      <c r="N473" s="93">
        <f t="shared" si="68"/>
        <v>5434000</v>
      </c>
    </row>
    <row r="474" spans="3:14" ht="13.2">
      <c r="C474" s="16" t="s">
        <v>1320</v>
      </c>
      <c r="D474" s="28" t="s">
        <v>1321</v>
      </c>
      <c r="E474" s="16" t="s">
        <v>444</v>
      </c>
      <c r="F474" s="132">
        <v>148000</v>
      </c>
      <c r="G474" s="102">
        <f>+ SUMIF('Nhập kho T42024'!B:B, C474,'Nhập kho T42024'!F:F)</f>
        <v>27</v>
      </c>
      <c r="H474" s="101">
        <f>+ SUMIF('Doanh thu'!A:A, C474,'Doanh thu'!E:E) + SUMIF('Doanh thu 2025'!B:B, C474,'Doanh thu 2025'!E:E)</f>
        <v>28</v>
      </c>
      <c r="I474" s="101">
        <f>G474-H474+1</f>
        <v>0</v>
      </c>
      <c r="J474" s="103">
        <f t="shared" si="40"/>
        <v>3256000</v>
      </c>
      <c r="K474" s="104">
        <f>+ SUMIF('Doanh thu'!A:A, C474,'Doanh thu'!F:F)</f>
        <v>3256000</v>
      </c>
      <c r="L474" s="93">
        <f t="shared" si="72"/>
        <v>1566000</v>
      </c>
      <c r="M474" s="93">
        <f t="shared" si="73"/>
        <v>2800000</v>
      </c>
      <c r="N474" s="93">
        <f t="shared" si="68"/>
        <v>1234000</v>
      </c>
    </row>
    <row r="475" spans="3:14" ht="13.2">
      <c r="C475" s="16" t="s">
        <v>1322</v>
      </c>
      <c r="D475" s="28" t="s">
        <v>1314</v>
      </c>
      <c r="E475" s="16" t="s">
        <v>444</v>
      </c>
      <c r="F475" s="132">
        <v>148000</v>
      </c>
      <c r="G475" s="102">
        <f>+ SUMIF('Nhập kho T42024'!B:B, C475,'Nhập kho T42024'!F:F)</f>
        <v>28</v>
      </c>
      <c r="H475" s="101">
        <f>+ SUMIF('Doanh thu'!A:A, C475,'Doanh thu'!E:E) + SUMIF('Doanh thu 2025'!B:B, C475,'Doanh thu 2025'!E:E)</f>
        <v>23</v>
      </c>
      <c r="I475" s="101">
        <f>G475-H475-1</f>
        <v>4</v>
      </c>
      <c r="J475" s="103">
        <f t="shared" si="40"/>
        <v>1480000</v>
      </c>
      <c r="K475" s="104">
        <f>+ SUMIF('Doanh thu'!A:A, C475,'Doanh thu'!F:F)</f>
        <v>1480000</v>
      </c>
      <c r="L475" s="93">
        <f t="shared" si="72"/>
        <v>1624000</v>
      </c>
      <c r="M475" s="93">
        <f t="shared" si="73"/>
        <v>2300000</v>
      </c>
      <c r="N475" s="93">
        <f t="shared" si="68"/>
        <v>676000</v>
      </c>
    </row>
    <row r="476" spans="3:14" ht="13.2">
      <c r="C476" s="16" t="s">
        <v>1323</v>
      </c>
      <c r="D476" s="28" t="s">
        <v>1324</v>
      </c>
      <c r="E476" s="16" t="s">
        <v>444</v>
      </c>
      <c r="F476" s="132">
        <v>148000</v>
      </c>
      <c r="G476" s="102">
        <f>+ SUMIF('Nhập kho T42024'!B:B, C476,'Nhập kho T42024'!F:F)</f>
        <v>18</v>
      </c>
      <c r="H476" s="101">
        <f>+ SUMIF('Doanh thu'!A:A, C476,'Doanh thu'!E:E) + SUMIF('Doanh thu 2025'!B:B, C476,'Doanh thu 2025'!E:E)</f>
        <v>15</v>
      </c>
      <c r="I476" s="101">
        <f>G476-H476-3+2</f>
        <v>2</v>
      </c>
      <c r="J476" s="103">
        <f t="shared" si="40"/>
        <v>2072000</v>
      </c>
      <c r="K476" s="104">
        <f>+ SUMIF('Doanh thu'!A:A, C476,'Doanh thu'!F:F)</f>
        <v>2072000</v>
      </c>
      <c r="L476" s="93">
        <f t="shared" si="72"/>
        <v>1044000</v>
      </c>
      <c r="M476" s="93">
        <f t="shared" si="73"/>
        <v>1500000</v>
      </c>
      <c r="N476" s="93">
        <f t="shared" si="68"/>
        <v>456000</v>
      </c>
    </row>
    <row r="477" spans="3:14" ht="13.2">
      <c r="C477" s="16" t="s">
        <v>1325</v>
      </c>
      <c r="D477" s="28" t="s">
        <v>1326</v>
      </c>
      <c r="E477" s="16" t="s">
        <v>444</v>
      </c>
      <c r="F477" s="132">
        <v>148000</v>
      </c>
      <c r="G477" s="102">
        <f>+ SUMIF('Nhập kho T42024'!B:B, C477,'Nhập kho T42024'!F:F)</f>
        <v>14</v>
      </c>
      <c r="H477" s="101">
        <f>+ SUMIF('Doanh thu'!A:A, C477,'Doanh thu'!E:E) + SUMIF('Doanh thu 2025'!B:B, C477,'Doanh thu 2025'!E:E)</f>
        <v>6</v>
      </c>
      <c r="I477" s="101">
        <f>G477-H477</f>
        <v>8</v>
      </c>
      <c r="J477" s="103">
        <f t="shared" si="40"/>
        <v>740000</v>
      </c>
      <c r="K477" s="104">
        <f>+ SUMIF('Doanh thu'!A:A, C477,'Doanh thu'!F:F)</f>
        <v>740000</v>
      </c>
      <c r="L477" s="93">
        <f t="shared" si="72"/>
        <v>812000</v>
      </c>
      <c r="M477" s="93">
        <f t="shared" si="73"/>
        <v>600000</v>
      </c>
      <c r="N477" s="93">
        <f t="shared" si="68"/>
        <v>-212000</v>
      </c>
    </row>
    <row r="478" spans="3:14" ht="13.2">
      <c r="C478" s="28" t="s">
        <v>1327</v>
      </c>
      <c r="D478" s="28" t="s">
        <v>1328</v>
      </c>
      <c r="E478" s="16" t="s">
        <v>444</v>
      </c>
      <c r="F478" s="132">
        <v>148000</v>
      </c>
      <c r="G478" s="102">
        <f>+ SUMIF('Nhập kho T42024'!B:B, C478,'Nhập kho T42024'!F:F)</f>
        <v>4</v>
      </c>
      <c r="H478" s="101">
        <f>+ SUMIF('Doanh thu'!A:A, C478,'Doanh thu'!E:E) + SUMIF('Doanh thu 2025'!B:B, C478,'Doanh thu 2025'!E:E)</f>
        <v>2</v>
      </c>
      <c r="I478" s="101">
        <f>G478-H478-1</f>
        <v>1</v>
      </c>
      <c r="J478" s="103">
        <f t="shared" si="40"/>
        <v>148000</v>
      </c>
      <c r="K478" s="104">
        <f>+ SUMIF('Doanh thu'!A:A, C478,'Doanh thu'!F:F)</f>
        <v>148000</v>
      </c>
      <c r="L478" s="93">
        <f t="shared" si="72"/>
        <v>232000</v>
      </c>
      <c r="M478" s="93">
        <f t="shared" si="73"/>
        <v>200000</v>
      </c>
      <c r="N478" s="93">
        <f t="shared" si="68"/>
        <v>-32000</v>
      </c>
    </row>
    <row r="479" spans="3:14" ht="13.2">
      <c r="C479" s="28" t="s">
        <v>1329</v>
      </c>
      <c r="D479" s="28" t="s">
        <v>1328</v>
      </c>
      <c r="E479" s="16" t="s">
        <v>444</v>
      </c>
      <c r="F479" s="132">
        <v>148000</v>
      </c>
      <c r="G479" s="102">
        <f>+ SUMIF('Nhập kho T42024'!B:B, C479,'Nhập kho T42024'!F:F)</f>
        <v>19</v>
      </c>
      <c r="H479" s="101">
        <f>+ SUMIF('Doanh thu'!A:A, C479,'Doanh thu'!E:E) + SUMIF('Doanh thu 2025'!B:B, C479,'Doanh thu 2025'!E:E)</f>
        <v>19</v>
      </c>
      <c r="I479" s="101">
        <f>G479-H479</f>
        <v>0</v>
      </c>
      <c r="J479" s="103">
        <f t="shared" si="40"/>
        <v>2812000</v>
      </c>
      <c r="K479" s="104">
        <f>+ SUMIF('Doanh thu'!A:A, C479,'Doanh thu'!F:F)</f>
        <v>2812000</v>
      </c>
      <c r="L479" s="93">
        <f t="shared" si="72"/>
        <v>1102000</v>
      </c>
      <c r="M479" s="93">
        <f t="shared" si="73"/>
        <v>1900000</v>
      </c>
      <c r="N479" s="93">
        <f t="shared" si="68"/>
        <v>798000</v>
      </c>
    </row>
    <row r="480" spans="3:14" ht="13.2">
      <c r="C480" s="28" t="s">
        <v>1330</v>
      </c>
      <c r="D480" s="28" t="s">
        <v>1328</v>
      </c>
      <c r="E480" s="16" t="s">
        <v>444</v>
      </c>
      <c r="F480" s="132">
        <v>148000</v>
      </c>
      <c r="G480" s="102">
        <f>+ SUMIF('Nhập kho T42024'!B:B, C480,'Nhập kho T42024'!F:F)</f>
        <v>20</v>
      </c>
      <c r="H480" s="101">
        <f>+ SUMIF('Doanh thu'!A:A, C480,'Doanh thu'!E:E) + SUMIF('Doanh thu 2025'!B:B, C480,'Doanh thu 2025'!E:E)</f>
        <v>13</v>
      </c>
      <c r="I480" s="101">
        <f>G480-H480-1-2</f>
        <v>4</v>
      </c>
      <c r="J480" s="103">
        <f t="shared" si="40"/>
        <v>1480000</v>
      </c>
      <c r="K480" s="104">
        <f>+ SUMIF('Doanh thu'!A:A, C480,'Doanh thu'!F:F)</f>
        <v>1480000</v>
      </c>
      <c r="L480" s="93">
        <f t="shared" si="72"/>
        <v>1160000</v>
      </c>
      <c r="M480" s="93">
        <f t="shared" si="73"/>
        <v>1300000</v>
      </c>
      <c r="N480" s="93">
        <f t="shared" si="68"/>
        <v>140000</v>
      </c>
    </row>
    <row r="481" spans="3:14" ht="13.2">
      <c r="C481" s="28" t="s">
        <v>1331</v>
      </c>
      <c r="D481" s="28" t="s">
        <v>1328</v>
      </c>
      <c r="E481" s="16" t="s">
        <v>444</v>
      </c>
      <c r="F481" s="132">
        <v>148000</v>
      </c>
      <c r="G481" s="102">
        <f>+ SUMIF('Nhập kho T42024'!B:B, C481,'Nhập kho T42024'!F:F)</f>
        <v>2</v>
      </c>
      <c r="H481" s="101">
        <f>+ SUMIF('Doanh thu'!A:A, C481,'Doanh thu'!E:E) + SUMIF('Doanh thu 2025'!B:B, C481,'Doanh thu 2025'!E:E)</f>
        <v>2</v>
      </c>
      <c r="I481" s="101">
        <f t="shared" ref="I481:I482" si="75">G481-H481</f>
        <v>0</v>
      </c>
      <c r="J481" s="103">
        <f t="shared" si="40"/>
        <v>296000</v>
      </c>
      <c r="K481" s="104">
        <f>+ SUMIF('Doanh thu'!A:A, C481,'Doanh thu'!F:F)</f>
        <v>296000</v>
      </c>
      <c r="L481" s="93">
        <f t="shared" si="72"/>
        <v>116000</v>
      </c>
      <c r="M481" s="93">
        <f t="shared" si="73"/>
        <v>200000</v>
      </c>
      <c r="N481" s="93">
        <f t="shared" si="68"/>
        <v>84000</v>
      </c>
    </row>
    <row r="482" spans="3:14" ht="13.2">
      <c r="C482" s="28" t="s">
        <v>1332</v>
      </c>
      <c r="D482" s="28" t="s">
        <v>1328</v>
      </c>
      <c r="E482" s="16" t="s">
        <v>444</v>
      </c>
      <c r="F482" s="132">
        <v>148000</v>
      </c>
      <c r="G482" s="102">
        <f>+ SUMIF('Nhập kho T42024'!B:B, C482,'Nhập kho T42024'!F:F)</f>
        <v>1</v>
      </c>
      <c r="H482" s="101">
        <f>+ SUMIF('Doanh thu'!A:A, C482,'Doanh thu'!E:E) + SUMIF('Doanh thu 2025'!B:B, C482,'Doanh thu 2025'!E:E)</f>
        <v>1</v>
      </c>
      <c r="I482" s="101">
        <f t="shared" si="75"/>
        <v>0</v>
      </c>
      <c r="J482" s="103">
        <f t="shared" si="40"/>
        <v>148000</v>
      </c>
      <c r="K482" s="104">
        <f>+ SUMIF('Doanh thu'!A:A, C482,'Doanh thu'!F:F)</f>
        <v>148000</v>
      </c>
      <c r="L482" s="93">
        <f t="shared" si="72"/>
        <v>58000</v>
      </c>
      <c r="M482" s="93">
        <f t="shared" si="73"/>
        <v>100000</v>
      </c>
      <c r="N482" s="93">
        <f t="shared" si="68"/>
        <v>42000</v>
      </c>
    </row>
    <row r="483" spans="3:14" ht="13.2">
      <c r="C483" s="28" t="s">
        <v>1333</v>
      </c>
      <c r="D483" s="28" t="s">
        <v>1328</v>
      </c>
      <c r="E483" s="16" t="s">
        <v>444</v>
      </c>
      <c r="F483" s="132">
        <v>148000</v>
      </c>
      <c r="G483" s="102">
        <f>+ SUMIF('Nhập kho T42024'!B:B, C483,'Nhập kho T42024'!F:F)</f>
        <v>14</v>
      </c>
      <c r="H483" s="101">
        <f>+ SUMIF('Doanh thu'!A:A, C483,'Doanh thu'!E:E) + SUMIF('Doanh thu 2025'!B:B, C483,'Doanh thu 2025'!E:E)</f>
        <v>5</v>
      </c>
      <c r="I483" s="101">
        <f>G483-H483-6+1+4+1</f>
        <v>9</v>
      </c>
      <c r="J483" s="103">
        <f t="shared" si="40"/>
        <v>148000</v>
      </c>
      <c r="K483" s="104">
        <f>+ SUMIF('Doanh thu'!A:A, C483,'Doanh thu'!F:F)</f>
        <v>148000</v>
      </c>
      <c r="L483" s="93">
        <f t="shared" si="72"/>
        <v>812000</v>
      </c>
      <c r="M483" s="93">
        <f t="shared" si="73"/>
        <v>500000</v>
      </c>
      <c r="N483" s="93">
        <f t="shared" si="68"/>
        <v>-312000</v>
      </c>
    </row>
    <row r="484" spans="3:14" ht="13.2">
      <c r="C484" s="16" t="s">
        <v>1334</v>
      </c>
      <c r="D484" s="28" t="s">
        <v>1328</v>
      </c>
      <c r="E484" s="16" t="s">
        <v>444</v>
      </c>
      <c r="F484" s="132">
        <v>148000</v>
      </c>
      <c r="G484" s="102">
        <f>+ SUMIF('Nhập kho T42024'!B:B, C484,'Nhập kho T42024'!F:F)</f>
        <v>13</v>
      </c>
      <c r="H484" s="101">
        <f>+ SUMIF('Doanh thu'!A:A, C484,'Doanh thu'!E:E) + SUMIF('Doanh thu 2025'!B:B, C484,'Doanh thu 2025'!E:E)</f>
        <v>5</v>
      </c>
      <c r="I484" s="101">
        <f>G484-H484</f>
        <v>8</v>
      </c>
      <c r="J484" s="103">
        <f t="shared" si="40"/>
        <v>444000</v>
      </c>
      <c r="K484" s="104">
        <f>+ SUMIF('Doanh thu'!A:A, C484,'Doanh thu'!F:F)</f>
        <v>444000</v>
      </c>
      <c r="L484" s="93">
        <f t="shared" si="72"/>
        <v>754000</v>
      </c>
      <c r="M484" s="93">
        <f t="shared" si="73"/>
        <v>500000</v>
      </c>
      <c r="N484" s="93">
        <f t="shared" si="68"/>
        <v>-254000</v>
      </c>
    </row>
    <row r="485" spans="3:14" ht="13.2">
      <c r="C485" s="16" t="s">
        <v>1335</v>
      </c>
      <c r="D485" s="28" t="s">
        <v>1328</v>
      </c>
      <c r="E485" s="16" t="s">
        <v>444</v>
      </c>
      <c r="F485" s="132">
        <v>148000</v>
      </c>
      <c r="G485" s="102">
        <f>+ SUMIF('Nhập kho T42024'!B:B, C485,'Nhập kho T42024'!F:F)</f>
        <v>4</v>
      </c>
      <c r="H485" s="101">
        <f>+ SUMIF('Doanh thu'!A:A, C485,'Doanh thu'!E:E) + SUMIF('Doanh thu 2025'!B:B, C485,'Doanh thu 2025'!E:E)</f>
        <v>6</v>
      </c>
      <c r="I485" s="101">
        <f>G485-H485+4-1</f>
        <v>1</v>
      </c>
      <c r="J485" s="103">
        <f t="shared" si="40"/>
        <v>592000</v>
      </c>
      <c r="K485" s="104">
        <f>+ SUMIF('Doanh thu'!A:A, C485,'Doanh thu'!F:F)</f>
        <v>592000</v>
      </c>
      <c r="L485" s="93">
        <f t="shared" si="72"/>
        <v>232000</v>
      </c>
      <c r="M485" s="93">
        <f t="shared" si="73"/>
        <v>600000</v>
      </c>
      <c r="N485" s="93">
        <f t="shared" si="68"/>
        <v>368000</v>
      </c>
    </row>
    <row r="486" spans="3:14" ht="13.2">
      <c r="C486" s="16" t="s">
        <v>244</v>
      </c>
      <c r="D486" s="16" t="s">
        <v>1336</v>
      </c>
      <c r="E486" s="16" t="s">
        <v>444</v>
      </c>
      <c r="F486" s="132">
        <v>148000</v>
      </c>
      <c r="G486" s="102">
        <f>+ SUMIF('Nhập kho T42024'!B:B, C486,'Nhập kho T42024'!F:F)</f>
        <v>23</v>
      </c>
      <c r="H486" s="101">
        <f>+ SUMIF('Doanh thu'!A:A, C486,'Doanh thu'!E:E) + SUMIF('Doanh thu 2025'!B:B, C486,'Doanh thu 2025'!E:E)</f>
        <v>6</v>
      </c>
      <c r="I486" s="101">
        <f>G486-H486+2</f>
        <v>19</v>
      </c>
      <c r="J486" s="103">
        <f t="shared" si="40"/>
        <v>740000</v>
      </c>
      <c r="K486" s="104">
        <f>+ SUMIF('Doanh thu'!A:A, C486,'Doanh thu'!F:F)</f>
        <v>740000</v>
      </c>
      <c r="L486" s="93">
        <f t="shared" si="72"/>
        <v>1334000</v>
      </c>
      <c r="M486" s="93">
        <f t="shared" si="73"/>
        <v>600000</v>
      </c>
      <c r="N486" s="93">
        <f t="shared" si="68"/>
        <v>-734000</v>
      </c>
    </row>
    <row r="487" spans="3:14" ht="13.2">
      <c r="C487" s="16" t="s">
        <v>1337</v>
      </c>
      <c r="D487" s="16" t="s">
        <v>1336</v>
      </c>
      <c r="E487" s="16" t="s">
        <v>444</v>
      </c>
      <c r="F487" s="132">
        <v>148000</v>
      </c>
      <c r="G487" s="102">
        <f>+ SUMIF('Nhập kho T42024'!B:B, C487,'Nhập kho T42024'!F:F)</f>
        <v>11</v>
      </c>
      <c r="H487" s="101">
        <f>+ SUMIF('Doanh thu'!A:A, C487,'Doanh thu'!E:E) + SUMIF('Doanh thu 2025'!B:B, C487,'Doanh thu 2025'!E:E)</f>
        <v>11</v>
      </c>
      <c r="I487" s="101">
        <f>G487-H487+1+5</f>
        <v>6</v>
      </c>
      <c r="J487" s="103">
        <f t="shared" si="40"/>
        <v>1184000</v>
      </c>
      <c r="K487" s="104">
        <f>+ SUMIF('Doanh thu'!A:A, C487,'Doanh thu'!F:F)</f>
        <v>1184000</v>
      </c>
      <c r="L487" s="93">
        <f t="shared" si="72"/>
        <v>638000</v>
      </c>
      <c r="M487" s="93">
        <f t="shared" si="73"/>
        <v>1100000</v>
      </c>
      <c r="N487" s="93">
        <f t="shared" si="68"/>
        <v>462000</v>
      </c>
    </row>
    <row r="488" spans="3:14" ht="13.2">
      <c r="C488" s="16" t="s">
        <v>1338</v>
      </c>
      <c r="D488" s="16" t="s">
        <v>1336</v>
      </c>
      <c r="E488" s="16" t="s">
        <v>444</v>
      </c>
      <c r="F488" s="132">
        <v>148000</v>
      </c>
      <c r="G488" s="102">
        <f>+ SUMIF('Nhập kho T42024'!B:B, C488,'Nhập kho T42024'!F:F)</f>
        <v>21</v>
      </c>
      <c r="H488" s="101">
        <f>+ SUMIF('Doanh thu'!A:A, C488,'Doanh thu'!E:E) + SUMIF('Doanh thu 2025'!B:B, C488,'Doanh thu 2025'!E:E)</f>
        <v>3</v>
      </c>
      <c r="I488" s="101">
        <f>G488-H488-2</f>
        <v>16</v>
      </c>
      <c r="J488" s="103">
        <f t="shared" si="40"/>
        <v>444000</v>
      </c>
      <c r="K488" s="104">
        <f>+ SUMIF('Doanh thu'!A:A, C488,'Doanh thu'!F:F)</f>
        <v>444000</v>
      </c>
      <c r="L488" s="93">
        <f t="shared" si="72"/>
        <v>1218000</v>
      </c>
      <c r="M488" s="93">
        <f t="shared" si="73"/>
        <v>300000</v>
      </c>
      <c r="N488" s="93">
        <f t="shared" si="68"/>
        <v>-918000</v>
      </c>
    </row>
    <row r="489" spans="3:14" ht="13.2">
      <c r="C489" s="16" t="s">
        <v>1339</v>
      </c>
      <c r="D489" s="16" t="s">
        <v>1336</v>
      </c>
      <c r="E489" s="16" t="s">
        <v>444</v>
      </c>
      <c r="F489" s="132">
        <v>148000</v>
      </c>
      <c r="G489" s="102">
        <f>+ SUMIF('Nhập kho T42024'!B:B, C489,'Nhập kho T42024'!F:F)</f>
        <v>10</v>
      </c>
      <c r="H489" s="101">
        <f>+ SUMIF('Doanh thu'!A:A, C489,'Doanh thu'!E:E) + SUMIF('Doanh thu 2025'!B:B, C489,'Doanh thu 2025'!E:E)</f>
        <v>7</v>
      </c>
      <c r="I489" s="101">
        <f>G489-H489+7</f>
        <v>10</v>
      </c>
      <c r="J489" s="103">
        <f t="shared" si="40"/>
        <v>592000</v>
      </c>
      <c r="K489" s="104">
        <f>+ SUMIF('Doanh thu'!A:A, C489,'Doanh thu'!F:F)</f>
        <v>592000</v>
      </c>
      <c r="L489" s="93">
        <f t="shared" si="72"/>
        <v>580000</v>
      </c>
      <c r="M489" s="93">
        <f t="shared" si="73"/>
        <v>700000</v>
      </c>
      <c r="N489" s="93">
        <f t="shared" si="68"/>
        <v>120000</v>
      </c>
    </row>
    <row r="490" spans="3:14" ht="13.2">
      <c r="C490" s="16" t="s">
        <v>1340</v>
      </c>
      <c r="D490" s="16" t="s">
        <v>1336</v>
      </c>
      <c r="E490" s="16" t="s">
        <v>444</v>
      </c>
      <c r="F490" s="132">
        <v>148000</v>
      </c>
      <c r="G490" s="102">
        <f>+ SUMIF('Nhập kho T42024'!B:B, C490,'Nhập kho T42024'!F:F)</f>
        <v>22</v>
      </c>
      <c r="H490" s="101">
        <f>+ SUMIF('Doanh thu'!A:A, C490,'Doanh thu'!E:E) + SUMIF('Doanh thu 2025'!B:B, C490,'Doanh thu 2025'!E:E)</f>
        <v>10</v>
      </c>
      <c r="I490" s="101">
        <f>G490-H490+2-3</f>
        <v>11</v>
      </c>
      <c r="J490" s="103">
        <f t="shared" si="40"/>
        <v>592000</v>
      </c>
      <c r="K490" s="104">
        <f>+ SUMIF('Doanh thu'!A:A, C490,'Doanh thu'!F:F)</f>
        <v>592000</v>
      </c>
      <c r="L490" s="93">
        <f t="shared" si="72"/>
        <v>1276000</v>
      </c>
      <c r="M490" s="93">
        <f t="shared" si="73"/>
        <v>1000000</v>
      </c>
      <c r="N490" s="93">
        <f t="shared" si="68"/>
        <v>-276000</v>
      </c>
    </row>
    <row r="491" spans="3:14" ht="13.2">
      <c r="C491" s="16" t="s">
        <v>1341</v>
      </c>
      <c r="D491" s="16" t="s">
        <v>1336</v>
      </c>
      <c r="E491" s="16" t="s">
        <v>444</v>
      </c>
      <c r="F491" s="132">
        <v>148000</v>
      </c>
      <c r="G491" s="102">
        <f>+ SUMIF('Nhập kho T42024'!B:B, C491,'Nhập kho T42024'!F:F)</f>
        <v>8</v>
      </c>
      <c r="H491" s="101">
        <f>+ SUMIF('Doanh thu'!A:A, C491,'Doanh thu'!E:E) + SUMIF('Doanh thu 2025'!B:B, C491,'Doanh thu 2025'!E:E)</f>
        <v>14</v>
      </c>
      <c r="I491" s="101">
        <f>G491-H491+2+4</f>
        <v>0</v>
      </c>
      <c r="J491" s="103">
        <f t="shared" si="40"/>
        <v>1776000</v>
      </c>
      <c r="K491" s="104">
        <f>+ SUMIF('Doanh thu'!A:A, C491,'Doanh thu'!F:F)</f>
        <v>1776000</v>
      </c>
      <c r="L491" s="93">
        <f t="shared" si="72"/>
        <v>464000</v>
      </c>
      <c r="M491" s="93">
        <f t="shared" si="73"/>
        <v>1400000</v>
      </c>
      <c r="N491" s="93">
        <f t="shared" si="68"/>
        <v>936000</v>
      </c>
    </row>
    <row r="492" spans="3:14" ht="13.2">
      <c r="C492" s="16" t="s">
        <v>1342</v>
      </c>
      <c r="D492" s="16" t="s">
        <v>1336</v>
      </c>
      <c r="E492" s="16" t="s">
        <v>444</v>
      </c>
      <c r="F492" s="132">
        <v>148000</v>
      </c>
      <c r="G492" s="102">
        <f>+ SUMIF('Nhập kho T42024'!B:B, C492,'Nhập kho T42024'!F:F)</f>
        <v>21</v>
      </c>
      <c r="H492" s="101">
        <f>+ SUMIF('Doanh thu'!A:A, C492,'Doanh thu'!E:E) + SUMIF('Doanh thu 2025'!B:B, C492,'Doanh thu 2025'!E:E)</f>
        <v>25</v>
      </c>
      <c r="I492" s="101">
        <f>G492-H492-1+5</f>
        <v>0</v>
      </c>
      <c r="J492" s="103">
        <f t="shared" si="40"/>
        <v>2664000</v>
      </c>
      <c r="K492" s="104">
        <f>+ SUMIF('Doanh thu'!A:A, C492,'Doanh thu'!F:F)</f>
        <v>2664000</v>
      </c>
      <c r="L492" s="93">
        <f t="shared" si="72"/>
        <v>1218000</v>
      </c>
      <c r="M492" s="93">
        <f t="shared" si="73"/>
        <v>2500000</v>
      </c>
      <c r="N492" s="93">
        <f t="shared" si="68"/>
        <v>1282000</v>
      </c>
    </row>
    <row r="493" spans="3:14" ht="13.2">
      <c r="C493" s="16" t="s">
        <v>1343</v>
      </c>
      <c r="D493" s="16" t="s">
        <v>1336</v>
      </c>
      <c r="E493" s="16" t="s">
        <v>444</v>
      </c>
      <c r="F493" s="132">
        <v>148000</v>
      </c>
      <c r="G493" s="102">
        <f>+ SUMIF('Nhập kho T42024'!B:B, C493,'Nhập kho T42024'!F:F)</f>
        <v>11</v>
      </c>
      <c r="H493" s="101">
        <f>+ SUMIF('Doanh thu'!A:A, C493,'Doanh thu'!E:E) + SUMIF('Doanh thu 2025'!B:B, C493,'Doanh thu 2025'!E:E)</f>
        <v>15</v>
      </c>
      <c r="I493" s="101">
        <f>G493-H493-2+7</f>
        <v>1</v>
      </c>
      <c r="J493" s="103">
        <f t="shared" si="40"/>
        <v>1924000</v>
      </c>
      <c r="K493" s="104">
        <f>+ SUMIF('Doanh thu'!A:A, C493,'Doanh thu'!F:F)</f>
        <v>1924000</v>
      </c>
      <c r="L493" s="93">
        <f t="shared" si="72"/>
        <v>638000</v>
      </c>
      <c r="M493" s="93">
        <f t="shared" si="73"/>
        <v>1500000</v>
      </c>
      <c r="N493" s="93">
        <f t="shared" si="68"/>
        <v>862000</v>
      </c>
    </row>
    <row r="494" spans="3:14" ht="13.2">
      <c r="C494" s="16" t="s">
        <v>170</v>
      </c>
      <c r="D494" s="16" t="s">
        <v>1336</v>
      </c>
      <c r="E494" s="16" t="s">
        <v>444</v>
      </c>
      <c r="F494" s="132">
        <v>148000</v>
      </c>
      <c r="G494" s="102">
        <f>+ SUMIF('Nhập kho T42024'!B:B, C494,'Nhập kho T42024'!F:F)</f>
        <v>21</v>
      </c>
      <c r="H494" s="101">
        <f>+ SUMIF('Doanh thu'!A:A, C494,'Doanh thu'!E:E) + SUMIF('Doanh thu 2025'!B:B, C494,'Doanh thu 2025'!E:E)</f>
        <v>19</v>
      </c>
      <c r="I494" s="101">
        <f>G494-H494+2+1</f>
        <v>5</v>
      </c>
      <c r="J494" s="103">
        <f t="shared" si="40"/>
        <v>2220000</v>
      </c>
      <c r="K494" s="104">
        <f>+ SUMIF('Doanh thu'!A:A, C494,'Doanh thu'!F:F)</f>
        <v>2220000</v>
      </c>
      <c r="L494" s="93">
        <f t="shared" si="72"/>
        <v>1218000</v>
      </c>
      <c r="M494" s="93">
        <f t="shared" si="73"/>
        <v>1900000</v>
      </c>
      <c r="N494" s="93">
        <f t="shared" si="68"/>
        <v>682000</v>
      </c>
    </row>
    <row r="495" spans="3:14" ht="13.2">
      <c r="C495" s="16" t="s">
        <v>1344</v>
      </c>
      <c r="D495" s="16" t="s">
        <v>1336</v>
      </c>
      <c r="E495" s="16" t="s">
        <v>444</v>
      </c>
      <c r="F495" s="132">
        <v>148000</v>
      </c>
      <c r="G495" s="102">
        <f>+ SUMIF('Nhập kho T42024'!B:B, C495,'Nhập kho T42024'!F:F)</f>
        <v>7</v>
      </c>
      <c r="H495" s="101">
        <f>+ SUMIF('Doanh thu'!A:A, C495,'Doanh thu'!E:E) + SUMIF('Doanh thu 2025'!B:B, C495,'Doanh thu 2025'!E:E)</f>
        <v>11</v>
      </c>
      <c r="I495" s="101">
        <f>G495-H495-1+5</f>
        <v>0</v>
      </c>
      <c r="J495" s="103">
        <f t="shared" si="40"/>
        <v>1332000</v>
      </c>
      <c r="K495" s="104">
        <f>+ SUMIF('Doanh thu'!A:A, C495,'Doanh thu'!F:F)</f>
        <v>1332000</v>
      </c>
      <c r="L495" s="93">
        <f t="shared" si="72"/>
        <v>406000</v>
      </c>
      <c r="M495" s="93">
        <f t="shared" si="73"/>
        <v>1100000</v>
      </c>
      <c r="N495" s="93">
        <f t="shared" si="68"/>
        <v>694000</v>
      </c>
    </row>
    <row r="496" spans="3:14" ht="13.2">
      <c r="C496" s="16" t="s">
        <v>1345</v>
      </c>
      <c r="D496" s="16" t="s">
        <v>1336</v>
      </c>
      <c r="E496" s="16" t="s">
        <v>444</v>
      </c>
      <c r="F496" s="132">
        <v>148000</v>
      </c>
      <c r="G496" s="102">
        <f>+ SUMIF('Nhập kho T42024'!B:B, C496,'Nhập kho T42024'!F:F)</f>
        <v>21</v>
      </c>
      <c r="H496" s="101">
        <f>+ SUMIF('Doanh thu'!A:A, C496,'Doanh thu'!E:E) + SUMIF('Doanh thu 2025'!B:B, C496,'Doanh thu 2025'!E:E)</f>
        <v>9</v>
      </c>
      <c r="I496" s="101">
        <f>G496-H496+2</f>
        <v>14</v>
      </c>
      <c r="J496" s="103">
        <f t="shared" si="40"/>
        <v>1036000</v>
      </c>
      <c r="K496" s="104">
        <f>+ SUMIF('Doanh thu'!A:A, C496,'Doanh thu'!F:F)</f>
        <v>1036000</v>
      </c>
      <c r="L496" s="93">
        <f t="shared" si="72"/>
        <v>1218000</v>
      </c>
      <c r="M496" s="93">
        <f t="shared" si="73"/>
        <v>900000</v>
      </c>
      <c r="N496" s="93">
        <f t="shared" si="68"/>
        <v>-318000</v>
      </c>
    </row>
    <row r="497" spans="3:14" ht="13.2">
      <c r="C497" s="16" t="s">
        <v>1346</v>
      </c>
      <c r="D497" s="16" t="s">
        <v>1336</v>
      </c>
      <c r="E497" s="16" t="s">
        <v>444</v>
      </c>
      <c r="F497" s="132">
        <v>148000</v>
      </c>
      <c r="G497" s="102">
        <f>+ SUMIF('Nhập kho T42024'!B:B, C497,'Nhập kho T42024'!F:F)</f>
        <v>8</v>
      </c>
      <c r="H497" s="101">
        <f>+ SUMIF('Doanh thu'!A:A, C497,'Doanh thu'!E:E) + SUMIF('Doanh thu 2025'!B:B, C497,'Doanh thu 2025'!E:E)</f>
        <v>12</v>
      </c>
      <c r="I497" s="101">
        <f>G497-H497+4</f>
        <v>0</v>
      </c>
      <c r="J497" s="103">
        <f t="shared" si="40"/>
        <v>1628000</v>
      </c>
      <c r="K497" s="104">
        <f>+ SUMIF('Doanh thu'!A:A, C497,'Doanh thu'!F:F)</f>
        <v>1628000</v>
      </c>
      <c r="L497" s="93">
        <f t="shared" si="72"/>
        <v>464000</v>
      </c>
      <c r="M497" s="93">
        <f t="shared" si="73"/>
        <v>1200000</v>
      </c>
      <c r="N497" s="93">
        <f t="shared" si="68"/>
        <v>736000</v>
      </c>
    </row>
    <row r="498" spans="3:14" ht="13.2">
      <c r="C498" s="16" t="s">
        <v>1347</v>
      </c>
      <c r="D498" s="16" t="s">
        <v>1348</v>
      </c>
      <c r="E498" s="16" t="s">
        <v>394</v>
      </c>
      <c r="F498" s="132">
        <v>87400</v>
      </c>
      <c r="G498" s="102">
        <f>+ SUMIF('Nhập kho T42024'!B:B, C498,'Nhập kho T42024'!F:F)</f>
        <v>4</v>
      </c>
      <c r="H498" s="101">
        <f>+ SUMIF('Doanh thu'!A:A, C498,'Doanh thu'!E:E) + SUMIF('Doanh thu 2025'!B:B, C498,'Doanh thu 2025'!E:E)</f>
        <v>2</v>
      </c>
      <c r="I498" s="101">
        <f t="shared" ref="I498:I507" si="76">G498-H498</f>
        <v>2</v>
      </c>
      <c r="J498" s="103">
        <f t="shared" si="40"/>
        <v>174800</v>
      </c>
      <c r="K498" s="104">
        <f>+ SUMIF('Doanh thu'!A:A, C498,'Doanh thu'!F:F)</f>
        <v>174800</v>
      </c>
      <c r="L498" s="93">
        <f t="shared" si="72"/>
        <v>232000</v>
      </c>
      <c r="M498" s="93">
        <f t="shared" si="73"/>
        <v>200000</v>
      </c>
      <c r="N498" s="93">
        <f t="shared" si="68"/>
        <v>-32000</v>
      </c>
    </row>
    <row r="499" spans="3:14" ht="13.2">
      <c r="C499" s="16" t="s">
        <v>1349</v>
      </c>
      <c r="D499" s="16" t="s">
        <v>1350</v>
      </c>
      <c r="E499" s="16" t="s">
        <v>394</v>
      </c>
      <c r="F499" s="132">
        <v>119000</v>
      </c>
      <c r="G499" s="102">
        <f>+ SUMIF('Nhập kho T42024'!B:B, C499,'Nhập kho T42024'!F:F)</f>
        <v>0</v>
      </c>
      <c r="H499" s="101">
        <f>+ SUMIF('Doanh thu'!A:A, C499,'Doanh thu'!E:E) + SUMIF('Doanh thu 2025'!B:B, C499,'Doanh thu 2025'!E:E)</f>
        <v>6</v>
      </c>
      <c r="I499" s="101">
        <f t="shared" si="76"/>
        <v>-6</v>
      </c>
      <c r="J499" s="103">
        <f t="shared" si="40"/>
        <v>595000</v>
      </c>
      <c r="K499" s="104">
        <f>+ SUMIF('Doanh thu'!A:A, C499,'Doanh thu'!F:F)</f>
        <v>595000</v>
      </c>
      <c r="L499" s="93">
        <f t="shared" ref="L499:L727" si="77">G499</f>
        <v>0</v>
      </c>
      <c r="M499" s="93">
        <f t="shared" si="73"/>
        <v>600000</v>
      </c>
      <c r="N499" s="93">
        <f t="shared" si="68"/>
        <v>600000</v>
      </c>
    </row>
    <row r="500" spans="3:14" ht="13.2">
      <c r="C500" s="16" t="s">
        <v>1351</v>
      </c>
      <c r="D500" s="16" t="s">
        <v>1352</v>
      </c>
      <c r="E500" s="134" t="s">
        <v>444</v>
      </c>
      <c r="F500" s="132">
        <v>39000</v>
      </c>
      <c r="G500" s="102">
        <f>+ SUMIF('Nhập kho T42024'!B:B, C500,'Nhập kho T42024'!F:F)</f>
        <v>20</v>
      </c>
      <c r="H500" s="101">
        <f>+ SUMIF('Doanh thu'!A:A, C500,'Doanh thu'!E:E) + SUMIF('Doanh thu 2025'!B:B, C500,'Doanh thu 2025'!E:E)</f>
        <v>18</v>
      </c>
      <c r="I500" s="101">
        <f t="shared" si="76"/>
        <v>2</v>
      </c>
      <c r="J500" s="103">
        <f t="shared" si="40"/>
        <v>546000</v>
      </c>
      <c r="K500" s="104">
        <f>+ SUMIF('Doanh thu'!A:A, C500,'Doanh thu'!F:F)</f>
        <v>546000</v>
      </c>
      <c r="L500" s="93">
        <f t="shared" si="77"/>
        <v>20</v>
      </c>
      <c r="M500" s="93">
        <f t="shared" si="73"/>
        <v>1800000</v>
      </c>
      <c r="N500" s="93">
        <f t="shared" si="68"/>
        <v>1799980</v>
      </c>
    </row>
    <row r="501" spans="3:14" ht="13.2">
      <c r="C501" s="16" t="s">
        <v>310</v>
      </c>
      <c r="D501" s="134" t="s">
        <v>1352</v>
      </c>
      <c r="E501" s="134" t="s">
        <v>444</v>
      </c>
      <c r="F501" s="132">
        <v>39000</v>
      </c>
      <c r="G501" s="102">
        <f>+ SUMIF('Nhập kho T42024'!B:B, C501,'Nhập kho T42024'!F:F)</f>
        <v>40</v>
      </c>
      <c r="H501" s="101">
        <f>+ SUMIF('Doanh thu'!A:A, C501,'Doanh thu'!E:E) + SUMIF('Doanh thu 2025'!B:B, C501,'Doanh thu 2025'!E:E)</f>
        <v>18</v>
      </c>
      <c r="I501" s="101">
        <f t="shared" si="76"/>
        <v>22</v>
      </c>
      <c r="J501" s="103">
        <f t="shared" si="40"/>
        <v>468000</v>
      </c>
      <c r="K501" s="104">
        <f>+ SUMIF('Doanh thu'!A:A, C501,'Doanh thu'!F:F)</f>
        <v>468000</v>
      </c>
      <c r="L501" s="93">
        <f t="shared" si="77"/>
        <v>40</v>
      </c>
      <c r="M501" s="93">
        <f t="shared" si="73"/>
        <v>1800000</v>
      </c>
      <c r="N501" s="93">
        <f t="shared" si="68"/>
        <v>1799960</v>
      </c>
    </row>
    <row r="502" spans="3:14" ht="13.2">
      <c r="C502" s="16" t="s">
        <v>1353</v>
      </c>
      <c r="D502" s="134" t="s">
        <v>1354</v>
      </c>
      <c r="E502" s="134" t="s">
        <v>444</v>
      </c>
      <c r="F502" s="132">
        <v>39000</v>
      </c>
      <c r="G502" s="102">
        <f>+ SUMIF('Nhập kho T42024'!B:B, C502,'Nhập kho T42024'!F:F)</f>
        <v>30</v>
      </c>
      <c r="H502" s="101">
        <f>+ SUMIF('Doanh thu'!A:A, C502,'Doanh thu'!E:E) + SUMIF('Doanh thu 2025'!B:B, C502,'Doanh thu 2025'!E:E)</f>
        <v>19</v>
      </c>
      <c r="I502" s="101">
        <f t="shared" si="76"/>
        <v>11</v>
      </c>
      <c r="J502" s="103">
        <f t="shared" si="40"/>
        <v>390000</v>
      </c>
      <c r="K502" s="104">
        <f>+ SUMIF('Doanh thu'!A:A, C502,'Doanh thu'!F:F)</f>
        <v>390000</v>
      </c>
      <c r="L502" s="93">
        <f t="shared" si="77"/>
        <v>30</v>
      </c>
      <c r="M502" s="93">
        <f t="shared" si="73"/>
        <v>1900000</v>
      </c>
      <c r="N502" s="93">
        <f t="shared" si="68"/>
        <v>1899970</v>
      </c>
    </row>
    <row r="503" spans="3:14" ht="13.2">
      <c r="C503" s="16" t="s">
        <v>1355</v>
      </c>
      <c r="D503" s="134" t="s">
        <v>1356</v>
      </c>
      <c r="E503" s="134" t="s">
        <v>444</v>
      </c>
      <c r="F503" s="132">
        <v>39000</v>
      </c>
      <c r="G503" s="102">
        <f>+ SUMIF('Nhập kho T42024'!B:B, C503,'Nhập kho T42024'!F:F)</f>
        <v>10</v>
      </c>
      <c r="H503" s="101">
        <f>+ SUMIF('Doanh thu'!A:A, C503,'Doanh thu'!E:E) + SUMIF('Doanh thu 2025'!B:B, C503,'Doanh thu 2025'!E:E)</f>
        <v>6</v>
      </c>
      <c r="I503" s="101">
        <f t="shared" si="76"/>
        <v>4</v>
      </c>
      <c r="J503" s="103">
        <f t="shared" si="40"/>
        <v>156000</v>
      </c>
      <c r="K503" s="104">
        <f>+ SUMIF('Doanh thu'!A:A, C503,'Doanh thu'!F:F)</f>
        <v>156000</v>
      </c>
      <c r="L503" s="93">
        <f t="shared" si="77"/>
        <v>10</v>
      </c>
      <c r="M503" s="93">
        <f t="shared" si="73"/>
        <v>600000</v>
      </c>
      <c r="N503" s="93">
        <f t="shared" si="68"/>
        <v>599990</v>
      </c>
    </row>
    <row r="504" spans="3:14" ht="13.2">
      <c r="C504" s="16" t="s">
        <v>1357</v>
      </c>
      <c r="D504" s="134" t="s">
        <v>1358</v>
      </c>
      <c r="E504" s="134" t="s">
        <v>444</v>
      </c>
      <c r="F504" s="132">
        <v>39000</v>
      </c>
      <c r="G504" s="102">
        <f>+ SUMIF('Nhập kho T42024'!B:B, C504,'Nhập kho T42024'!F:F)</f>
        <v>20</v>
      </c>
      <c r="H504" s="101">
        <f>+ SUMIF('Doanh thu'!A:A, C504,'Doanh thu'!E:E) + SUMIF('Doanh thu 2025'!B:B, C504,'Doanh thu 2025'!E:E)</f>
        <v>18</v>
      </c>
      <c r="I504" s="101">
        <f t="shared" si="76"/>
        <v>2</v>
      </c>
      <c r="J504" s="103">
        <f t="shared" si="40"/>
        <v>546000</v>
      </c>
      <c r="K504" s="104">
        <f>+ SUMIF('Doanh thu'!A:A, C504,'Doanh thu'!F:F)</f>
        <v>546000</v>
      </c>
      <c r="L504" s="93">
        <f t="shared" si="77"/>
        <v>20</v>
      </c>
      <c r="M504" s="93">
        <f t="shared" si="73"/>
        <v>1800000</v>
      </c>
      <c r="N504" s="93">
        <f t="shared" si="68"/>
        <v>1799980</v>
      </c>
    </row>
    <row r="505" spans="3:14" ht="13.2">
      <c r="C505" s="16" t="s">
        <v>1359</v>
      </c>
      <c r="D505" s="134" t="s">
        <v>1360</v>
      </c>
      <c r="E505" s="134" t="s">
        <v>444</v>
      </c>
      <c r="F505" s="132">
        <v>39000</v>
      </c>
      <c r="G505" s="102">
        <f>+ SUMIF('Nhập kho T42024'!B:B, C505,'Nhập kho T42024'!F:F)</f>
        <v>15</v>
      </c>
      <c r="H505" s="101">
        <f>+ SUMIF('Doanh thu'!A:A, C505,'Doanh thu'!E:E) + SUMIF('Doanh thu 2025'!B:B, C505,'Doanh thu 2025'!E:E)</f>
        <v>15</v>
      </c>
      <c r="I505" s="101">
        <f t="shared" si="76"/>
        <v>0</v>
      </c>
      <c r="J505" s="103">
        <f t="shared" si="40"/>
        <v>390000</v>
      </c>
      <c r="K505" s="104">
        <f>+ SUMIF('Doanh thu'!A:A, C505,'Doanh thu'!F:F)</f>
        <v>390000</v>
      </c>
      <c r="L505" s="93">
        <f t="shared" si="77"/>
        <v>15</v>
      </c>
      <c r="M505" s="93">
        <f t="shared" si="73"/>
        <v>1500000</v>
      </c>
      <c r="N505" s="93">
        <f t="shared" si="68"/>
        <v>1499985</v>
      </c>
    </row>
    <row r="506" spans="3:14" ht="13.2">
      <c r="C506" s="16" t="s">
        <v>1361</v>
      </c>
      <c r="D506" s="16" t="s">
        <v>1362</v>
      </c>
      <c r="E506" s="16" t="s">
        <v>444</v>
      </c>
      <c r="F506" s="132">
        <v>53360</v>
      </c>
      <c r="G506" s="102">
        <f>+ SUMIF('Nhập kho T42024'!B:B, C506,'Nhập kho T42024'!F:F)</f>
        <v>0</v>
      </c>
      <c r="H506" s="101">
        <f>+ SUMIF('Doanh thu'!A:A, C506,'Doanh thu'!E:E) + SUMIF('Doanh thu 2025'!B:B, C506,'Doanh thu 2025'!E:E)</f>
        <v>0</v>
      </c>
      <c r="I506" s="101">
        <f t="shared" si="76"/>
        <v>0</v>
      </c>
      <c r="J506" s="103">
        <f t="shared" si="40"/>
        <v>0</v>
      </c>
      <c r="K506" s="104">
        <f>+ SUMIF('Doanh thu'!A:A, C506,'Doanh thu'!F:F)</f>
        <v>0</v>
      </c>
      <c r="L506" s="93">
        <f t="shared" si="77"/>
        <v>0</v>
      </c>
      <c r="M506" s="93">
        <f t="shared" si="73"/>
        <v>0</v>
      </c>
      <c r="N506" s="93">
        <f t="shared" si="68"/>
        <v>0</v>
      </c>
    </row>
    <row r="507" spans="3:14" ht="13.2">
      <c r="C507" s="16" t="s">
        <v>1363</v>
      </c>
      <c r="D507" s="28" t="s">
        <v>1328</v>
      </c>
      <c r="E507" s="16" t="s">
        <v>444</v>
      </c>
      <c r="F507" s="132">
        <v>148000</v>
      </c>
      <c r="G507" s="102">
        <f>+ SUMIF('Nhập kho T42024'!B:B, C507,'Nhập kho T42024'!F:F)</f>
        <v>4</v>
      </c>
      <c r="H507" s="101">
        <f>+ SUMIF('Doanh thu'!A:A, C507,'Doanh thu'!E:E) + SUMIF('Doanh thu 2025'!B:B, C507,'Doanh thu 2025'!E:E)</f>
        <v>8</v>
      </c>
      <c r="I507" s="101">
        <f t="shared" si="76"/>
        <v>-4</v>
      </c>
      <c r="J507" s="103">
        <f t="shared" si="40"/>
        <v>1184000</v>
      </c>
      <c r="K507" s="104">
        <f>+ SUMIF('Doanh thu'!A:A, C507,'Doanh thu'!F:F)</f>
        <v>1184000</v>
      </c>
      <c r="L507" s="93">
        <f t="shared" si="77"/>
        <v>4</v>
      </c>
      <c r="M507" s="93">
        <f t="shared" si="73"/>
        <v>800000</v>
      </c>
      <c r="N507" s="93">
        <f t="shared" si="68"/>
        <v>799996</v>
      </c>
    </row>
    <row r="508" spans="3:14" ht="13.2">
      <c r="C508" s="16" t="s">
        <v>246</v>
      </c>
      <c r="D508" s="28" t="s">
        <v>1328</v>
      </c>
      <c r="E508" s="16" t="s">
        <v>444</v>
      </c>
      <c r="F508" s="132">
        <v>148000</v>
      </c>
      <c r="G508" s="102">
        <f>+ SUMIF('Nhập kho T42024'!B:B, C508,'Nhập kho T42024'!F:F)</f>
        <v>19</v>
      </c>
      <c r="H508" s="101">
        <f>+ SUMIF('Doanh thu'!A:A, C508,'Doanh thu'!E:E) + SUMIF('Doanh thu 2025'!B:B, C508,'Doanh thu 2025'!E:E)</f>
        <v>5</v>
      </c>
      <c r="I508" s="101">
        <f>G508-H508-1+1</f>
        <v>14</v>
      </c>
      <c r="J508" s="103">
        <f t="shared" si="40"/>
        <v>592000</v>
      </c>
      <c r="K508" s="104">
        <f>+ SUMIF('Doanh thu'!A:A, C508,'Doanh thu'!F:F)</f>
        <v>592000</v>
      </c>
      <c r="L508" s="93">
        <f t="shared" si="77"/>
        <v>19</v>
      </c>
      <c r="M508" s="93">
        <f t="shared" si="73"/>
        <v>500000</v>
      </c>
      <c r="N508" s="93">
        <f t="shared" si="68"/>
        <v>499981</v>
      </c>
    </row>
    <row r="509" spans="3:14" ht="13.2">
      <c r="C509" s="16" t="s">
        <v>245</v>
      </c>
      <c r="D509" s="28" t="s">
        <v>1328</v>
      </c>
      <c r="E509" s="16" t="s">
        <v>444</v>
      </c>
      <c r="F509" s="132">
        <v>148000</v>
      </c>
      <c r="G509" s="102">
        <f>+ SUMIF('Nhập kho T42024'!B:B, C509,'Nhập kho T42024'!F:F)</f>
        <v>65</v>
      </c>
      <c r="H509" s="101">
        <f>+ SUMIF('Doanh thu'!A:A, C509,'Doanh thu'!E:E) + SUMIF('Doanh thu 2025'!B:B, C509,'Doanh thu 2025'!E:E)</f>
        <v>59</v>
      </c>
      <c r="I509" s="101">
        <f>G509-H509-1+11+6</f>
        <v>22</v>
      </c>
      <c r="J509" s="103">
        <f t="shared" si="40"/>
        <v>6068000</v>
      </c>
      <c r="K509" s="104">
        <f>+ SUMIF('Doanh thu'!A:A, C509,'Doanh thu'!F:F)</f>
        <v>6068000</v>
      </c>
      <c r="L509" s="93">
        <f t="shared" si="77"/>
        <v>65</v>
      </c>
      <c r="M509" s="93">
        <f t="shared" ref="M509:M510" si="78">H509*90000</f>
        <v>5310000</v>
      </c>
      <c r="N509" s="93">
        <f t="shared" si="68"/>
        <v>5309935</v>
      </c>
    </row>
    <row r="510" spans="3:14" ht="13.2">
      <c r="C510" s="16" t="s">
        <v>1364</v>
      </c>
      <c r="D510" s="28" t="s">
        <v>1328</v>
      </c>
      <c r="E510" s="16" t="s">
        <v>444</v>
      </c>
      <c r="F510" s="132">
        <v>148000</v>
      </c>
      <c r="G510" s="102">
        <f>+ SUMIF('Nhập kho T42024'!B:B, C510,'Nhập kho T42024'!F:F)</f>
        <v>44</v>
      </c>
      <c r="H510" s="101">
        <f>+ SUMIF('Doanh thu'!A:A, C510,'Doanh thu'!E:E) + SUMIF('Doanh thu 2025'!B:B, C510,'Doanh thu 2025'!E:E)</f>
        <v>45</v>
      </c>
      <c r="I510" s="101">
        <f>G510-H510-5+1+4</f>
        <v>-1</v>
      </c>
      <c r="J510" s="103">
        <f t="shared" si="40"/>
        <v>5920000</v>
      </c>
      <c r="K510" s="104">
        <f>+ SUMIF('Doanh thu'!A:A, C510,'Doanh thu'!F:F)</f>
        <v>5920000</v>
      </c>
      <c r="L510" s="93">
        <f t="shared" si="77"/>
        <v>44</v>
      </c>
      <c r="M510" s="93">
        <f t="shared" si="78"/>
        <v>4050000</v>
      </c>
      <c r="N510" s="93">
        <f t="shared" si="68"/>
        <v>4049956</v>
      </c>
    </row>
    <row r="511" spans="3:14" ht="13.2">
      <c r="C511" s="16" t="s">
        <v>1365</v>
      </c>
      <c r="D511" s="28" t="s">
        <v>1328</v>
      </c>
      <c r="E511" s="16" t="s">
        <v>444</v>
      </c>
      <c r="F511" s="132">
        <v>148000</v>
      </c>
      <c r="G511" s="102">
        <f>+ SUMIF('Nhập kho T42024'!B:B, C511,'Nhập kho T42024'!F:F)</f>
        <v>17</v>
      </c>
      <c r="H511" s="101">
        <f>+ SUMIF('Doanh thu'!A:A, C511,'Doanh thu'!E:E) + SUMIF('Doanh thu 2025'!B:B, C511,'Doanh thu 2025'!E:E)</f>
        <v>15</v>
      </c>
      <c r="I511" s="101">
        <f>G511-H511+8-5+2</f>
        <v>7</v>
      </c>
      <c r="J511" s="103">
        <f t="shared" si="40"/>
        <v>1184000</v>
      </c>
      <c r="K511" s="104">
        <f>+ SUMIF('Doanh thu'!A:A, C511,'Doanh thu'!F:F)</f>
        <v>1184000</v>
      </c>
      <c r="L511" s="93">
        <f t="shared" si="77"/>
        <v>17</v>
      </c>
      <c r="M511" s="93">
        <f>H511*100000</f>
        <v>1500000</v>
      </c>
      <c r="N511" s="93">
        <f t="shared" si="68"/>
        <v>1499983</v>
      </c>
    </row>
    <row r="512" spans="3:14" ht="13.2">
      <c r="C512" s="16" t="s">
        <v>165</v>
      </c>
      <c r="D512" s="28" t="s">
        <v>1328</v>
      </c>
      <c r="E512" s="16" t="s">
        <v>444</v>
      </c>
      <c r="F512" s="132">
        <v>148000</v>
      </c>
      <c r="G512" s="102">
        <f>+ SUMIF('Nhập kho T42024'!B:B, C512,'Nhập kho T42024'!F:F)</f>
        <v>16</v>
      </c>
      <c r="H512" s="101">
        <f>+ SUMIF('Doanh thu'!A:A, C512,'Doanh thu'!E:E) + SUMIF('Doanh thu 2025'!B:B, C512,'Doanh thu 2025'!E:E)</f>
        <v>12</v>
      </c>
      <c r="I512" s="101">
        <f>G512-H512-1+7+1</f>
        <v>11</v>
      </c>
      <c r="J512" s="103">
        <f t="shared" si="40"/>
        <v>1332000</v>
      </c>
      <c r="K512" s="104">
        <f>+ SUMIF('Doanh thu'!A:A, C512,'Doanh thu'!F:F)</f>
        <v>1332000</v>
      </c>
      <c r="L512" s="93">
        <f t="shared" si="77"/>
        <v>16</v>
      </c>
      <c r="M512" s="93">
        <f t="shared" ref="M512:M519" si="79">H512*60000</f>
        <v>720000</v>
      </c>
      <c r="N512" s="93">
        <f t="shared" si="68"/>
        <v>719984</v>
      </c>
    </row>
    <row r="513" spans="3:14" ht="13.2">
      <c r="C513" s="16" t="s">
        <v>1366</v>
      </c>
      <c r="D513" s="28" t="s">
        <v>1328</v>
      </c>
      <c r="E513" s="16" t="s">
        <v>444</v>
      </c>
      <c r="F513" s="132">
        <v>148000</v>
      </c>
      <c r="G513" s="102">
        <f>+ SUMIF('Nhập kho T42024'!B:B, C513,'Nhập kho T42024'!F:F)</f>
        <v>5</v>
      </c>
      <c r="H513" s="101">
        <f>+ SUMIF('Doanh thu'!A:A, C513,'Doanh thu'!E:E) + SUMIF('Doanh thu 2025'!B:B, C513,'Doanh thu 2025'!E:E)</f>
        <v>13</v>
      </c>
      <c r="I513" s="101">
        <f>G513-H513+17-9</f>
        <v>0</v>
      </c>
      <c r="J513" s="103">
        <f t="shared" ref="J513:J767" si="80">SUM(K513)</f>
        <v>1628000</v>
      </c>
      <c r="K513" s="104">
        <f>+ SUMIF('Doanh thu'!A:A, C513,'Doanh thu'!F:F)</f>
        <v>1628000</v>
      </c>
      <c r="L513" s="93">
        <f t="shared" si="77"/>
        <v>5</v>
      </c>
      <c r="M513" s="93">
        <f t="shared" si="79"/>
        <v>780000</v>
      </c>
      <c r="N513" s="93">
        <f t="shared" si="68"/>
        <v>779995</v>
      </c>
    </row>
    <row r="514" spans="3:14" ht="13.2">
      <c r="C514" s="16" t="s">
        <v>1367</v>
      </c>
      <c r="D514" s="28" t="s">
        <v>1328</v>
      </c>
      <c r="E514" s="16" t="s">
        <v>444</v>
      </c>
      <c r="F514" s="132">
        <v>148000</v>
      </c>
      <c r="G514" s="102">
        <f>+ SUMIF('Nhập kho T42024'!B:B, C514,'Nhập kho T42024'!F:F)</f>
        <v>7</v>
      </c>
      <c r="H514" s="101">
        <f>+ SUMIF('Doanh thu'!A:A, C514,'Doanh thu'!E:E) + SUMIF('Doanh thu 2025'!B:B, C514,'Doanh thu 2025'!E:E)</f>
        <v>9</v>
      </c>
      <c r="I514" s="101">
        <f>G514-H514+6-2+1</f>
        <v>3</v>
      </c>
      <c r="J514" s="103">
        <f t="shared" si="80"/>
        <v>592000</v>
      </c>
      <c r="K514" s="104">
        <f>+ SUMIF('Doanh thu'!A:A, C514,'Doanh thu'!F:F)</f>
        <v>592000</v>
      </c>
      <c r="L514" s="93">
        <f t="shared" si="77"/>
        <v>7</v>
      </c>
      <c r="M514" s="93">
        <f t="shared" si="79"/>
        <v>540000</v>
      </c>
      <c r="N514" s="93">
        <f t="shared" si="68"/>
        <v>539993</v>
      </c>
    </row>
    <row r="515" spans="3:14" ht="13.2">
      <c r="C515" s="16" t="s">
        <v>1368</v>
      </c>
      <c r="D515" s="28" t="s">
        <v>1328</v>
      </c>
      <c r="E515" s="16" t="s">
        <v>444</v>
      </c>
      <c r="F515" s="132">
        <v>148000</v>
      </c>
      <c r="G515" s="102">
        <f>+ SUMIF('Nhập kho T42024'!B:B, C515,'Nhập kho T42024'!F:F)</f>
        <v>7</v>
      </c>
      <c r="H515" s="101">
        <f>+ SUMIF('Doanh thu'!A:A, C515,'Doanh thu'!E:E) + SUMIF('Doanh thu 2025'!B:B, C515,'Doanh thu 2025'!E:E)</f>
        <v>7</v>
      </c>
      <c r="I515" s="101">
        <f>G515-H515</f>
        <v>0</v>
      </c>
      <c r="J515" s="103">
        <f t="shared" si="80"/>
        <v>740000</v>
      </c>
      <c r="K515" s="104">
        <f>+ SUMIF('Doanh thu'!A:A, C515,'Doanh thu'!F:F)</f>
        <v>740000</v>
      </c>
      <c r="L515" s="93">
        <f t="shared" si="77"/>
        <v>7</v>
      </c>
      <c r="M515" s="93">
        <f t="shared" si="79"/>
        <v>420000</v>
      </c>
      <c r="N515" s="93">
        <f t="shared" si="68"/>
        <v>419993</v>
      </c>
    </row>
    <row r="516" spans="3:14" ht="13.2">
      <c r="C516" s="16" t="s">
        <v>1369</v>
      </c>
      <c r="D516" s="28" t="s">
        <v>1328</v>
      </c>
      <c r="E516" s="16" t="s">
        <v>444</v>
      </c>
      <c r="F516" s="132">
        <v>148000</v>
      </c>
      <c r="G516" s="102">
        <f>+ SUMIF('Nhập kho T42024'!B:B, C516,'Nhập kho T42024'!F:F)</f>
        <v>11</v>
      </c>
      <c r="H516" s="101">
        <f>+ SUMIF('Doanh thu'!A:A, C516,'Doanh thu'!E:E) + SUMIF('Doanh thu 2025'!B:B, C516,'Doanh thu 2025'!E:E)</f>
        <v>21</v>
      </c>
      <c r="I516" s="101">
        <f>G516-H516+10</f>
        <v>0</v>
      </c>
      <c r="J516" s="103">
        <f t="shared" si="80"/>
        <v>3108000</v>
      </c>
      <c r="K516" s="104">
        <f>+ SUMIF('Doanh thu'!A:A, C516,'Doanh thu'!F:F)</f>
        <v>3108000</v>
      </c>
      <c r="L516" s="93">
        <f t="shared" si="77"/>
        <v>11</v>
      </c>
      <c r="M516" s="93">
        <f t="shared" si="79"/>
        <v>1260000</v>
      </c>
      <c r="N516" s="93">
        <f t="shared" si="68"/>
        <v>1259989</v>
      </c>
    </row>
    <row r="517" spans="3:14" ht="13.2">
      <c r="C517" s="16" t="s">
        <v>1370</v>
      </c>
      <c r="D517" s="28" t="s">
        <v>1328</v>
      </c>
      <c r="E517" s="16" t="s">
        <v>444</v>
      </c>
      <c r="F517" s="132">
        <v>148000</v>
      </c>
      <c r="G517" s="102">
        <f>+ SUMIF('Nhập kho T42024'!B:B, C517,'Nhập kho T42024'!F:F)</f>
        <v>14</v>
      </c>
      <c r="H517" s="101">
        <f>+ SUMIF('Doanh thu'!A:A, C517,'Doanh thu'!E:E) + SUMIF('Doanh thu 2025'!B:B, C517,'Doanh thu 2025'!E:E)</f>
        <v>15</v>
      </c>
      <c r="I517" s="101">
        <f>G517-H517+2</f>
        <v>1</v>
      </c>
      <c r="J517" s="103">
        <f t="shared" si="80"/>
        <v>1480000</v>
      </c>
      <c r="K517" s="104">
        <f>+ SUMIF('Doanh thu'!A:A, C517,'Doanh thu'!F:F)</f>
        <v>1480000</v>
      </c>
      <c r="L517" s="93">
        <f t="shared" si="77"/>
        <v>14</v>
      </c>
      <c r="M517" s="93">
        <f t="shared" si="79"/>
        <v>900000</v>
      </c>
      <c r="N517" s="93">
        <f t="shared" si="68"/>
        <v>899986</v>
      </c>
    </row>
    <row r="518" spans="3:14" ht="13.2">
      <c r="C518" s="16" t="s">
        <v>1371</v>
      </c>
      <c r="D518" s="28" t="s">
        <v>1328</v>
      </c>
      <c r="E518" s="16" t="s">
        <v>444</v>
      </c>
      <c r="F518" s="132">
        <v>148000</v>
      </c>
      <c r="G518" s="102">
        <f>+ SUMIF('Nhập kho T42024'!B:B, C518,'Nhập kho T42024'!F:F)</f>
        <v>10</v>
      </c>
      <c r="H518" s="101">
        <f>+ SUMIF('Doanh thu'!A:A, C518,'Doanh thu'!E:E) + SUMIF('Doanh thu 2025'!B:B, C518,'Doanh thu 2025'!E:E)</f>
        <v>15</v>
      </c>
      <c r="I518" s="101">
        <f>G518-H518+5</f>
        <v>0</v>
      </c>
      <c r="J518" s="103">
        <f t="shared" si="80"/>
        <v>2220000</v>
      </c>
      <c r="K518" s="104">
        <f>+ SUMIF('Doanh thu'!A:A, C518,'Doanh thu'!F:F)</f>
        <v>2220000</v>
      </c>
      <c r="L518" s="93">
        <f t="shared" si="77"/>
        <v>10</v>
      </c>
      <c r="M518" s="93">
        <f t="shared" si="79"/>
        <v>900000</v>
      </c>
      <c r="N518" s="93">
        <f t="shared" si="68"/>
        <v>899990</v>
      </c>
    </row>
    <row r="519" spans="3:14" ht="13.2">
      <c r="C519" s="16" t="s">
        <v>1372</v>
      </c>
      <c r="D519" s="28" t="s">
        <v>1328</v>
      </c>
      <c r="E519" s="16" t="s">
        <v>444</v>
      </c>
      <c r="F519" s="132">
        <v>148000</v>
      </c>
      <c r="G519" s="102">
        <f>+ SUMIF('Nhập kho T42024'!B:B, C519,'Nhập kho T42024'!F:F)</f>
        <v>5</v>
      </c>
      <c r="H519" s="101">
        <f>+ SUMIF('Doanh thu'!A:A, C519,'Doanh thu'!E:E) + SUMIF('Doanh thu 2025'!B:B, C519,'Doanh thu 2025'!E:E)</f>
        <v>4</v>
      </c>
      <c r="I519" s="101">
        <f>G519-H519+11</f>
        <v>12</v>
      </c>
      <c r="J519" s="103">
        <f t="shared" si="80"/>
        <v>296000</v>
      </c>
      <c r="K519" s="104">
        <f>+ SUMIF('Doanh thu'!A:A, C519,'Doanh thu'!F:F)</f>
        <v>296000</v>
      </c>
      <c r="L519" s="93">
        <f t="shared" si="77"/>
        <v>5</v>
      </c>
      <c r="M519" s="93">
        <f t="shared" si="79"/>
        <v>240000</v>
      </c>
      <c r="N519" s="93">
        <f t="shared" si="68"/>
        <v>239995</v>
      </c>
    </row>
    <row r="520" spans="3:14" ht="13.2">
      <c r="C520" s="16" t="s">
        <v>1373</v>
      </c>
      <c r="D520" s="16" t="s">
        <v>1374</v>
      </c>
      <c r="E520" s="16" t="s">
        <v>444</v>
      </c>
      <c r="F520" s="132">
        <v>53360</v>
      </c>
      <c r="G520" s="102">
        <f>+ SUMIF('Nhập kho T42024'!B:B, C520,'Nhập kho T42024'!F:F)</f>
        <v>10</v>
      </c>
      <c r="H520" s="101">
        <f>+ SUMIF('Doanh thu'!A:A, C520,'Doanh thu'!E:E) + SUMIF('Doanh thu 2025'!B:B, C520,'Doanh thu 2025'!E:E)</f>
        <v>5</v>
      </c>
      <c r="I520" s="101">
        <f t="shared" ref="I520:I521" si="81">G520-H520</f>
        <v>5</v>
      </c>
      <c r="J520" s="103">
        <f t="shared" si="80"/>
        <v>266800</v>
      </c>
      <c r="K520" s="104">
        <f>+ SUMIF('Doanh thu'!A:A, C520,'Doanh thu'!F:F)</f>
        <v>266800</v>
      </c>
      <c r="L520" s="93">
        <f t="shared" si="77"/>
        <v>10</v>
      </c>
      <c r="M520" s="93">
        <f t="shared" ref="M520:M521" si="82">H520*100000</f>
        <v>500000</v>
      </c>
      <c r="N520" s="93">
        <f t="shared" si="68"/>
        <v>499990</v>
      </c>
    </row>
    <row r="521" spans="3:14" ht="13.2">
      <c r="C521" s="16" t="s">
        <v>1375</v>
      </c>
      <c r="D521" s="16" t="s">
        <v>1376</v>
      </c>
      <c r="E521" s="16" t="s">
        <v>444</v>
      </c>
      <c r="F521" s="132">
        <v>59800</v>
      </c>
      <c r="G521" s="102">
        <f>+ SUMIF('Nhập kho T42024'!B:B, C521,'Nhập kho T42024'!F:F)</f>
        <v>50</v>
      </c>
      <c r="H521" s="101">
        <f>+ SUMIF('Doanh thu'!A:A, C521,'Doanh thu'!E:E) + SUMIF('Doanh thu 2025'!B:B, C521,'Doanh thu 2025'!E:E)</f>
        <v>7</v>
      </c>
      <c r="I521" s="101">
        <f t="shared" si="81"/>
        <v>43</v>
      </c>
      <c r="J521" s="103">
        <f t="shared" si="80"/>
        <v>299000</v>
      </c>
      <c r="K521" s="104">
        <f>+ SUMIF('Doanh thu'!A:A, C521,'Doanh thu'!F:F)</f>
        <v>299000</v>
      </c>
      <c r="L521" s="93">
        <f t="shared" si="77"/>
        <v>50</v>
      </c>
      <c r="M521" s="93">
        <f t="shared" si="82"/>
        <v>700000</v>
      </c>
      <c r="N521" s="93">
        <f t="shared" si="68"/>
        <v>699950</v>
      </c>
    </row>
    <row r="522" spans="3:14" ht="13.2">
      <c r="C522" s="16" t="s">
        <v>1377</v>
      </c>
      <c r="D522" s="16" t="s">
        <v>1328</v>
      </c>
      <c r="E522" s="16" t="s">
        <v>444</v>
      </c>
      <c r="F522" s="132">
        <v>148000</v>
      </c>
      <c r="G522" s="102">
        <f>+ SUMIF('Nhập kho T42024'!B:B, C522,'Nhập kho T42024'!F:F)</f>
        <v>6</v>
      </c>
      <c r="H522" s="101">
        <f>+ SUMIF('Doanh thu'!A:A, C522,'Doanh thu'!E:E) + SUMIF('Doanh thu 2025'!B:B, C522,'Doanh thu 2025'!E:E)</f>
        <v>3</v>
      </c>
      <c r="I522" s="101">
        <f>G522-H522-1</f>
        <v>2</v>
      </c>
      <c r="J522" s="103">
        <f t="shared" si="80"/>
        <v>296000</v>
      </c>
      <c r="K522" s="104">
        <f>+ SUMIF('Doanh thu'!A:A, C522,'Doanh thu'!F:F)</f>
        <v>296000</v>
      </c>
      <c r="L522" s="93">
        <f t="shared" si="77"/>
        <v>6</v>
      </c>
      <c r="M522" s="93">
        <f>H522*60000</f>
        <v>180000</v>
      </c>
      <c r="N522" s="93">
        <f t="shared" si="68"/>
        <v>179994</v>
      </c>
    </row>
    <row r="523" spans="3:14" ht="13.2">
      <c r="C523" s="16" t="s">
        <v>1378</v>
      </c>
      <c r="E523" s="16" t="s">
        <v>444</v>
      </c>
      <c r="F523" s="2"/>
      <c r="G523" s="102">
        <f>+ SUMIF('Nhập kho T42024'!B:B, C523,'Nhập kho T42024'!F:F)</f>
        <v>65</v>
      </c>
      <c r="H523" s="101">
        <f>+ SUMIF('Doanh thu'!A:A, C523,'Doanh thu'!E:E) + SUMIF('Doanh thu 2025'!B:B, C523,'Doanh thu 2025'!E:E)</f>
        <v>33</v>
      </c>
      <c r="I523" s="101">
        <f t="shared" ref="I523:I527" si="83">G523-H523</f>
        <v>32</v>
      </c>
      <c r="J523" s="103">
        <f t="shared" si="80"/>
        <v>0</v>
      </c>
      <c r="K523" s="104">
        <f>+ SUMIF('Doanh thu'!A:A, C523,'Doanh thu'!F:F)</f>
        <v>0</v>
      </c>
      <c r="L523" s="93">
        <f t="shared" si="77"/>
        <v>65</v>
      </c>
      <c r="M523" s="93">
        <f t="shared" ref="M523:M727" si="84">H523*100000</f>
        <v>3300000</v>
      </c>
      <c r="N523" s="93">
        <f t="shared" si="68"/>
        <v>3299935</v>
      </c>
    </row>
    <row r="524" spans="3:14" ht="13.2">
      <c r="C524" s="16" t="s">
        <v>1379</v>
      </c>
      <c r="E524" s="16" t="s">
        <v>444</v>
      </c>
      <c r="F524" s="2"/>
      <c r="G524" s="102">
        <f>+ SUMIF('Nhập kho T42024'!B:B, C524,'Nhập kho T42024'!F:F)</f>
        <v>10</v>
      </c>
      <c r="H524" s="101">
        <f>+ SUMIF('Doanh thu'!A:A, C524,'Doanh thu'!E:E) + SUMIF('Doanh thu 2025'!B:B, C524,'Doanh thu 2025'!E:E)</f>
        <v>10</v>
      </c>
      <c r="I524" s="101">
        <f t="shared" si="83"/>
        <v>0</v>
      </c>
      <c r="J524" s="103">
        <f t="shared" si="80"/>
        <v>0</v>
      </c>
      <c r="K524" s="104">
        <f>+ SUMIF('Doanh thu'!A:A, C524,'Doanh thu'!F:F)</f>
        <v>0</v>
      </c>
      <c r="L524" s="93">
        <f t="shared" si="77"/>
        <v>10</v>
      </c>
      <c r="M524" s="93">
        <f t="shared" si="84"/>
        <v>1000000</v>
      </c>
      <c r="N524" s="93">
        <f t="shared" si="68"/>
        <v>999990</v>
      </c>
    </row>
    <row r="525" spans="3:14" ht="13.2">
      <c r="C525" s="16" t="s">
        <v>1380</v>
      </c>
      <c r="E525" s="16" t="s">
        <v>444</v>
      </c>
      <c r="F525" s="2"/>
      <c r="G525" s="102">
        <f>+ SUMIF('Nhập kho T42024'!B:B, C525,'Nhập kho T42024'!F:F)</f>
        <v>20</v>
      </c>
      <c r="H525" s="101">
        <f>+ SUMIF('Doanh thu'!A:A, C525,'Doanh thu'!E:E) + SUMIF('Doanh thu 2025'!B:B, C525,'Doanh thu 2025'!E:E)</f>
        <v>20</v>
      </c>
      <c r="I525" s="101">
        <f t="shared" si="83"/>
        <v>0</v>
      </c>
      <c r="J525" s="103">
        <f t="shared" si="80"/>
        <v>0</v>
      </c>
      <c r="K525" s="104">
        <f>+ SUMIF('Doanh thu'!A:A, C525,'Doanh thu'!F:F)</f>
        <v>0</v>
      </c>
      <c r="L525" s="93">
        <f t="shared" si="77"/>
        <v>20</v>
      </c>
      <c r="M525" s="93">
        <f t="shared" si="84"/>
        <v>2000000</v>
      </c>
      <c r="N525" s="93">
        <f t="shared" si="68"/>
        <v>1999980</v>
      </c>
    </row>
    <row r="526" spans="3:14" ht="13.2">
      <c r="C526" s="16" t="s">
        <v>1381</v>
      </c>
      <c r="E526" s="16" t="s">
        <v>444</v>
      </c>
      <c r="F526" s="2"/>
      <c r="G526" s="102">
        <f>+ SUMIF('Nhập kho T42024'!B:B, C526,'Nhập kho T42024'!F:F)</f>
        <v>40</v>
      </c>
      <c r="H526" s="101">
        <f>+ SUMIF('Doanh thu'!A:A, C526,'Doanh thu'!E:E) + SUMIF('Doanh thu 2025'!B:B, C526,'Doanh thu 2025'!E:E)</f>
        <v>21</v>
      </c>
      <c r="I526" s="101">
        <f t="shared" si="83"/>
        <v>19</v>
      </c>
      <c r="J526" s="103">
        <f t="shared" si="80"/>
        <v>0</v>
      </c>
      <c r="K526" s="104">
        <f>+ SUMIF('Doanh thu'!A:A, C526,'Doanh thu'!F:F)</f>
        <v>0</v>
      </c>
      <c r="L526" s="93">
        <f t="shared" si="77"/>
        <v>40</v>
      </c>
      <c r="M526" s="93">
        <f t="shared" si="84"/>
        <v>2100000</v>
      </c>
      <c r="N526" s="93">
        <f t="shared" si="68"/>
        <v>2099960</v>
      </c>
    </row>
    <row r="527" spans="3:14" ht="13.2">
      <c r="C527" s="16" t="s">
        <v>1382</v>
      </c>
      <c r="D527" s="16" t="s">
        <v>1383</v>
      </c>
      <c r="E527" s="16" t="s">
        <v>444</v>
      </c>
      <c r="F527" s="2"/>
      <c r="G527" s="102">
        <f>+ SUMIF('Nhập kho T42024'!B:B, C527,'Nhập kho T42024'!F:F)</f>
        <v>880</v>
      </c>
      <c r="H527" s="101">
        <f>+ SUMIF('Doanh thu'!A:A, C527,'Doanh thu'!E:E) + SUMIF('Doanh thu 2025'!B:B, C527,'Doanh thu 2025'!E:E)</f>
        <v>495</v>
      </c>
      <c r="I527" s="101">
        <f t="shared" si="83"/>
        <v>385</v>
      </c>
      <c r="J527" s="103">
        <f t="shared" si="80"/>
        <v>0</v>
      </c>
      <c r="K527" s="104">
        <f>+ SUMIF('Doanh thu'!A:A, C527,'Doanh thu'!F:F)</f>
        <v>0</v>
      </c>
      <c r="L527" s="93">
        <f t="shared" si="77"/>
        <v>880</v>
      </c>
      <c r="M527" s="93">
        <f t="shared" si="84"/>
        <v>49500000</v>
      </c>
      <c r="N527" s="93">
        <f t="shared" si="68"/>
        <v>49499120</v>
      </c>
    </row>
    <row r="528" spans="3:14" ht="13.2">
      <c r="C528" s="16" t="s">
        <v>1384</v>
      </c>
      <c r="D528" s="16" t="s">
        <v>1385</v>
      </c>
      <c r="E528" s="16" t="s">
        <v>444</v>
      </c>
      <c r="F528" s="2"/>
      <c r="G528" s="102">
        <f>+ SUMIF('Nhập kho T42024'!B:B, C528,'Nhập kho T42024'!F:F)</f>
        <v>140</v>
      </c>
      <c r="H528" s="101">
        <f>+ SUMIF('Doanh thu'!A:A, C528,'Doanh thu'!E:E) + SUMIF('Doanh thu 2025'!B:B, C528,'Doanh thu 2025'!E:E)</f>
        <v>213</v>
      </c>
      <c r="I528" s="101">
        <f>G528-H528+38</f>
        <v>-35</v>
      </c>
      <c r="J528" s="103">
        <f t="shared" si="80"/>
        <v>0</v>
      </c>
      <c r="K528" s="104">
        <f>+ SUMIF('Doanh thu'!A:A, C528,'Doanh thu'!F:F)</f>
        <v>0</v>
      </c>
      <c r="L528" s="93">
        <f t="shared" si="77"/>
        <v>140</v>
      </c>
      <c r="M528" s="93">
        <f t="shared" si="84"/>
        <v>21300000</v>
      </c>
      <c r="N528" s="93">
        <f t="shared" si="68"/>
        <v>21299860</v>
      </c>
    </row>
    <row r="529" spans="3:14" ht="13.2">
      <c r="C529" s="16" t="s">
        <v>1386</v>
      </c>
      <c r="D529" s="16" t="s">
        <v>1385</v>
      </c>
      <c r="E529" s="16" t="s">
        <v>444</v>
      </c>
      <c r="F529" s="2"/>
      <c r="G529" s="102">
        <f>+ SUMIF('Nhập kho T42024'!B:B, C529,'Nhập kho T42024'!F:F)</f>
        <v>49</v>
      </c>
      <c r="H529" s="101">
        <f>+ SUMIF('Doanh thu'!A:A, C529,'Doanh thu'!E:E) + SUMIF('Doanh thu 2025'!B:B, C529,'Doanh thu 2025'!E:E)</f>
        <v>61</v>
      </c>
      <c r="I529" s="101">
        <f>G529-H529+13</f>
        <v>1</v>
      </c>
      <c r="J529" s="103">
        <f t="shared" si="80"/>
        <v>0</v>
      </c>
      <c r="K529" s="104">
        <f>+ SUMIF('Doanh thu'!A:A, C529,'Doanh thu'!F:F)</f>
        <v>0</v>
      </c>
      <c r="L529" s="93">
        <f t="shared" si="77"/>
        <v>49</v>
      </c>
      <c r="M529" s="93">
        <f t="shared" si="84"/>
        <v>6100000</v>
      </c>
      <c r="N529" s="93">
        <f t="shared" si="68"/>
        <v>6099951</v>
      </c>
    </row>
    <row r="530" spans="3:14" ht="13.2">
      <c r="C530" s="16" t="s">
        <v>1387</v>
      </c>
      <c r="D530" s="16" t="s">
        <v>1385</v>
      </c>
      <c r="E530" s="16" t="s">
        <v>444</v>
      </c>
      <c r="F530" s="2"/>
      <c r="G530" s="102">
        <f>+ SUMIF('Nhập kho T42024'!B:B, C530,'Nhập kho T42024'!F:F)</f>
        <v>84</v>
      </c>
      <c r="H530" s="101">
        <f>+ SUMIF('Doanh thu'!A:A, C530,'Doanh thu'!E:E) + SUMIF('Doanh thu 2025'!B:B, C530,'Doanh thu 2025'!E:E)</f>
        <v>97</v>
      </c>
      <c r="I530" s="101">
        <f>G530-H530+19</f>
        <v>6</v>
      </c>
      <c r="J530" s="103">
        <f t="shared" si="80"/>
        <v>0</v>
      </c>
      <c r="K530" s="104">
        <f>+ SUMIF('Doanh thu'!A:A, C530,'Doanh thu'!F:F)</f>
        <v>0</v>
      </c>
      <c r="L530" s="93">
        <f t="shared" si="77"/>
        <v>84</v>
      </c>
      <c r="M530" s="93">
        <f t="shared" si="84"/>
        <v>9700000</v>
      </c>
      <c r="N530" s="93">
        <f t="shared" si="68"/>
        <v>9699916</v>
      </c>
    </row>
    <row r="531" spans="3:14" ht="13.2">
      <c r="C531" s="16" t="s">
        <v>1388</v>
      </c>
      <c r="D531" s="16" t="s">
        <v>1385</v>
      </c>
      <c r="E531" s="16" t="s">
        <v>444</v>
      </c>
      <c r="F531" s="2"/>
      <c r="G531" s="102">
        <f>+ SUMIF('Nhập kho T42024'!B:B, C531,'Nhập kho T42024'!F:F)</f>
        <v>51</v>
      </c>
      <c r="H531" s="101">
        <f>+ SUMIF('Doanh thu'!A:A, C531,'Doanh thu'!E:E) + SUMIF('Doanh thu 2025'!B:B, C531,'Doanh thu 2025'!E:E)</f>
        <v>55</v>
      </c>
      <c r="I531" s="101">
        <f>G531-H531+9</f>
        <v>5</v>
      </c>
      <c r="J531" s="103">
        <f t="shared" si="80"/>
        <v>0</v>
      </c>
      <c r="K531" s="104">
        <f>+ SUMIF('Doanh thu'!A:A, C531,'Doanh thu'!F:F)</f>
        <v>0</v>
      </c>
      <c r="L531" s="93">
        <f t="shared" si="77"/>
        <v>51</v>
      </c>
      <c r="M531" s="93">
        <f t="shared" si="84"/>
        <v>5500000</v>
      </c>
      <c r="N531" s="93">
        <f t="shared" si="68"/>
        <v>5499949</v>
      </c>
    </row>
    <row r="532" spans="3:14" ht="13.2">
      <c r="C532" s="16" t="s">
        <v>138</v>
      </c>
      <c r="D532" s="16" t="s">
        <v>1385</v>
      </c>
      <c r="E532" s="16" t="s">
        <v>444</v>
      </c>
      <c r="F532" s="2"/>
      <c r="G532" s="102">
        <f>+ SUMIF('Nhập kho T42024'!B:B, C532,'Nhập kho T42024'!F:F)</f>
        <v>84</v>
      </c>
      <c r="H532" s="101">
        <f>+ SUMIF('Doanh thu'!A:A, C532,'Doanh thu'!E:E) + SUMIF('Doanh thu 2025'!B:B, C532,'Doanh thu 2025'!E:E)</f>
        <v>84</v>
      </c>
      <c r="I532" s="101">
        <f>G532-H532+7</f>
        <v>7</v>
      </c>
      <c r="J532" s="103">
        <f t="shared" si="80"/>
        <v>0</v>
      </c>
      <c r="K532" s="104">
        <f>+ SUMIF('Doanh thu'!A:A, C532,'Doanh thu'!F:F)</f>
        <v>0</v>
      </c>
      <c r="L532" s="93">
        <f t="shared" si="77"/>
        <v>84</v>
      </c>
      <c r="M532" s="93">
        <f t="shared" si="84"/>
        <v>8400000</v>
      </c>
      <c r="N532" s="93">
        <f t="shared" si="68"/>
        <v>8399916</v>
      </c>
    </row>
    <row r="533" spans="3:14" ht="13.2">
      <c r="C533" s="16" t="s">
        <v>1389</v>
      </c>
      <c r="D533" s="16" t="s">
        <v>1385</v>
      </c>
      <c r="E533" s="16" t="s">
        <v>444</v>
      </c>
      <c r="F533" s="2"/>
      <c r="G533" s="102">
        <f>+ SUMIF('Nhập kho T42024'!B:B, C533,'Nhập kho T42024'!F:F)</f>
        <v>39</v>
      </c>
      <c r="H533" s="101">
        <f>+ SUMIF('Doanh thu'!A:A, C533,'Doanh thu'!E:E) + SUMIF('Doanh thu 2025'!B:B, C533,'Doanh thu 2025'!E:E)</f>
        <v>44</v>
      </c>
      <c r="I533" s="101">
        <f>G533-H533+10</f>
        <v>5</v>
      </c>
      <c r="J533" s="103">
        <f t="shared" si="80"/>
        <v>0</v>
      </c>
      <c r="K533" s="104">
        <f>+ SUMIF('Doanh thu'!A:A, C533,'Doanh thu'!F:F)</f>
        <v>0</v>
      </c>
      <c r="L533" s="93">
        <f t="shared" si="77"/>
        <v>39</v>
      </c>
      <c r="M533" s="93">
        <f t="shared" si="84"/>
        <v>4400000</v>
      </c>
      <c r="N533" s="93">
        <f t="shared" si="68"/>
        <v>4399961</v>
      </c>
    </row>
    <row r="534" spans="3:14" ht="13.2">
      <c r="C534" s="16" t="s">
        <v>258</v>
      </c>
      <c r="D534" s="16" t="s">
        <v>1385</v>
      </c>
      <c r="E534" s="16" t="s">
        <v>444</v>
      </c>
      <c r="F534" s="2"/>
      <c r="G534" s="102">
        <f>+ SUMIF('Nhập kho T42024'!B:B, C534,'Nhập kho T42024'!F:F)</f>
        <v>57</v>
      </c>
      <c r="H534" s="101">
        <f>+ SUMIF('Doanh thu'!A:A, C534,'Doanh thu'!E:E) + SUMIF('Doanh thu 2025'!B:B, C534,'Doanh thu 2025'!E:E)</f>
        <v>52</v>
      </c>
      <c r="I534" s="101">
        <f>G534-H534+11</f>
        <v>16</v>
      </c>
      <c r="J534" s="103">
        <f t="shared" si="80"/>
        <v>0</v>
      </c>
      <c r="K534" s="104">
        <f>+ SUMIF('Doanh thu'!A:A, C534,'Doanh thu'!F:F)</f>
        <v>0</v>
      </c>
      <c r="L534" s="93">
        <f t="shared" si="77"/>
        <v>57</v>
      </c>
      <c r="M534" s="93">
        <f t="shared" si="84"/>
        <v>5200000</v>
      </c>
      <c r="N534" s="93">
        <f t="shared" si="68"/>
        <v>5199943</v>
      </c>
    </row>
    <row r="535" spans="3:14" ht="13.2">
      <c r="C535" s="16" t="s">
        <v>230</v>
      </c>
      <c r="D535" s="16" t="s">
        <v>1385</v>
      </c>
      <c r="E535" s="16" t="s">
        <v>444</v>
      </c>
      <c r="F535" s="2"/>
      <c r="G535" s="102">
        <f>+ SUMIF('Nhập kho T42024'!B:B, C535,'Nhập kho T42024'!F:F)</f>
        <v>43</v>
      </c>
      <c r="H535" s="101">
        <f>+ SUMIF('Doanh thu'!A:A, C535,'Doanh thu'!E:E) + SUMIF('Doanh thu 2025'!B:B, C535,'Doanh thu 2025'!E:E)</f>
        <v>26</v>
      </c>
      <c r="I535" s="101">
        <f>G535-H535+2</f>
        <v>19</v>
      </c>
      <c r="J535" s="103">
        <f t="shared" si="80"/>
        <v>0</v>
      </c>
      <c r="K535" s="104">
        <f>+ SUMIF('Doanh thu'!A:A, C535,'Doanh thu'!F:F)</f>
        <v>0</v>
      </c>
      <c r="L535" s="93">
        <f t="shared" si="77"/>
        <v>43</v>
      </c>
      <c r="M535" s="93">
        <f t="shared" si="84"/>
        <v>2600000</v>
      </c>
      <c r="N535" s="93">
        <f t="shared" si="68"/>
        <v>2599957</v>
      </c>
    </row>
    <row r="536" spans="3:14" ht="13.2">
      <c r="C536" s="16" t="s">
        <v>259</v>
      </c>
      <c r="D536" s="16" t="s">
        <v>1385</v>
      </c>
      <c r="E536" s="16" t="s">
        <v>444</v>
      </c>
      <c r="F536" s="2"/>
      <c r="G536" s="102">
        <f>+ SUMIF('Nhập kho T42024'!B:B, C536,'Nhập kho T42024'!F:F)</f>
        <v>26</v>
      </c>
      <c r="H536" s="101">
        <f>+ SUMIF('Doanh thu'!A:A, C536,'Doanh thu'!E:E) + SUMIF('Doanh thu 2025'!B:B, C536,'Doanh thu 2025'!E:E)</f>
        <v>36</v>
      </c>
      <c r="I536" s="101">
        <f>G536-H536+5</f>
        <v>-5</v>
      </c>
      <c r="J536" s="103">
        <f t="shared" si="80"/>
        <v>0</v>
      </c>
      <c r="K536" s="104">
        <f>+ SUMIF('Doanh thu'!A:A, C536,'Doanh thu'!F:F)</f>
        <v>0</v>
      </c>
      <c r="L536" s="93">
        <f t="shared" si="77"/>
        <v>26</v>
      </c>
      <c r="M536" s="93">
        <f t="shared" si="84"/>
        <v>3600000</v>
      </c>
      <c r="N536" s="93">
        <f t="shared" si="68"/>
        <v>3599974</v>
      </c>
    </row>
    <row r="537" spans="3:14" ht="13.2">
      <c r="C537" s="16" t="s">
        <v>1390</v>
      </c>
      <c r="D537" s="16" t="s">
        <v>1391</v>
      </c>
      <c r="E537" s="16" t="s">
        <v>444</v>
      </c>
      <c r="F537" s="2"/>
      <c r="G537" s="102">
        <f>+ SUMIF('Nhập kho T42024'!B:B, C537,'Nhập kho T42024'!F:F)</f>
        <v>20</v>
      </c>
      <c r="H537" s="101">
        <f>+ SUMIF('Doanh thu'!A:A, C537,'Doanh thu'!E:E) + SUMIF('Doanh thu 2025'!B:B, C537,'Doanh thu 2025'!E:E)</f>
        <v>16</v>
      </c>
      <c r="I537" s="101">
        <f t="shared" ref="I537:I546" si="85">G537-H537</f>
        <v>4</v>
      </c>
      <c r="J537" s="103">
        <f t="shared" si="80"/>
        <v>0</v>
      </c>
      <c r="K537" s="104">
        <f>+ SUMIF('Doanh thu'!A:A, C537,'Doanh thu'!F:F)</f>
        <v>0</v>
      </c>
      <c r="L537" s="93">
        <f t="shared" si="77"/>
        <v>20</v>
      </c>
      <c r="M537" s="93">
        <f t="shared" si="84"/>
        <v>1600000</v>
      </c>
      <c r="N537" s="93">
        <f t="shared" si="68"/>
        <v>1599980</v>
      </c>
    </row>
    <row r="538" spans="3:14" ht="13.2">
      <c r="C538" s="16" t="s">
        <v>1392</v>
      </c>
      <c r="D538" s="16" t="s">
        <v>1391</v>
      </c>
      <c r="E538" s="16" t="s">
        <v>444</v>
      </c>
      <c r="F538" s="2"/>
      <c r="G538" s="102">
        <f>+ SUMIF('Nhập kho T42024'!B:B, C538,'Nhập kho T42024'!F:F)</f>
        <v>11</v>
      </c>
      <c r="H538" s="101">
        <f>+ SUMIF('Doanh thu'!A:A, C538,'Doanh thu'!E:E) + SUMIF('Doanh thu 2025'!B:B, C538,'Doanh thu 2025'!E:E)</f>
        <v>7</v>
      </c>
      <c r="I538" s="101">
        <f t="shared" si="85"/>
        <v>4</v>
      </c>
      <c r="J538" s="103">
        <f t="shared" si="80"/>
        <v>0</v>
      </c>
      <c r="K538" s="104">
        <f>+ SUMIF('Doanh thu'!A:A, C538,'Doanh thu'!F:F)</f>
        <v>0</v>
      </c>
      <c r="L538" s="93">
        <f t="shared" si="77"/>
        <v>11</v>
      </c>
      <c r="M538" s="93">
        <f t="shared" si="84"/>
        <v>700000</v>
      </c>
      <c r="N538" s="93">
        <f t="shared" si="68"/>
        <v>699989</v>
      </c>
    </row>
    <row r="539" spans="3:14" ht="13.2">
      <c r="C539" s="16" t="s">
        <v>1393</v>
      </c>
      <c r="D539" s="16" t="s">
        <v>1391</v>
      </c>
      <c r="E539" s="16" t="s">
        <v>444</v>
      </c>
      <c r="F539" s="2"/>
      <c r="G539" s="102">
        <f>+ SUMIF('Nhập kho T42024'!B:B, C539,'Nhập kho T42024'!F:F)</f>
        <v>11</v>
      </c>
      <c r="H539" s="101">
        <f>+ SUMIF('Doanh thu'!A:A, C539,'Doanh thu'!E:E) + SUMIF('Doanh thu 2025'!B:B, C539,'Doanh thu 2025'!E:E)</f>
        <v>5</v>
      </c>
      <c r="I539" s="101">
        <f t="shared" si="85"/>
        <v>6</v>
      </c>
      <c r="J539" s="103">
        <f t="shared" si="80"/>
        <v>0</v>
      </c>
      <c r="K539" s="104">
        <f>+ SUMIF('Doanh thu'!A:A, C539,'Doanh thu'!F:F)</f>
        <v>0</v>
      </c>
      <c r="L539" s="93">
        <f t="shared" si="77"/>
        <v>11</v>
      </c>
      <c r="M539" s="93">
        <f t="shared" si="84"/>
        <v>500000</v>
      </c>
      <c r="N539" s="93">
        <f t="shared" si="68"/>
        <v>499989</v>
      </c>
    </row>
    <row r="540" spans="3:14" ht="13.2">
      <c r="C540" s="16" t="s">
        <v>1394</v>
      </c>
      <c r="D540" s="16" t="s">
        <v>1391</v>
      </c>
      <c r="E540" s="16" t="s">
        <v>444</v>
      </c>
      <c r="F540" s="2"/>
      <c r="G540" s="102">
        <f>+ SUMIF('Nhập kho T42024'!B:B, C540,'Nhập kho T42024'!F:F)</f>
        <v>5</v>
      </c>
      <c r="H540" s="101">
        <f>+ SUMIF('Doanh thu'!A:A, C540,'Doanh thu'!E:E) + SUMIF('Doanh thu 2025'!B:B, C540,'Doanh thu 2025'!E:E)</f>
        <v>3</v>
      </c>
      <c r="I540" s="101">
        <f t="shared" si="85"/>
        <v>2</v>
      </c>
      <c r="J540" s="103">
        <f t="shared" si="80"/>
        <v>0</v>
      </c>
      <c r="K540" s="104">
        <f>+ SUMIF('Doanh thu'!A:A, C540,'Doanh thu'!F:F)</f>
        <v>0</v>
      </c>
      <c r="L540" s="93">
        <f t="shared" si="77"/>
        <v>5</v>
      </c>
      <c r="M540" s="93">
        <f t="shared" si="84"/>
        <v>300000</v>
      </c>
      <c r="N540" s="93">
        <f t="shared" si="68"/>
        <v>299995</v>
      </c>
    </row>
    <row r="541" spans="3:14" ht="13.2">
      <c r="C541" s="16" t="s">
        <v>1395</v>
      </c>
      <c r="D541" s="16" t="s">
        <v>1391</v>
      </c>
      <c r="E541" s="16" t="s">
        <v>444</v>
      </c>
      <c r="F541" s="2"/>
      <c r="G541" s="102">
        <f>+ SUMIF('Nhập kho T42024'!B:B, C541,'Nhập kho T42024'!F:F)</f>
        <v>6</v>
      </c>
      <c r="H541" s="101">
        <f>+ SUMIF('Doanh thu'!A:A, C541,'Doanh thu'!E:E) + SUMIF('Doanh thu 2025'!B:B, C541,'Doanh thu 2025'!E:E)</f>
        <v>6</v>
      </c>
      <c r="I541" s="101">
        <f t="shared" si="85"/>
        <v>0</v>
      </c>
      <c r="J541" s="103">
        <f t="shared" si="80"/>
        <v>0</v>
      </c>
      <c r="K541" s="104">
        <f>+ SUMIF('Doanh thu'!A:A, C541,'Doanh thu'!F:F)</f>
        <v>0</v>
      </c>
      <c r="L541" s="93">
        <f t="shared" si="77"/>
        <v>6</v>
      </c>
      <c r="M541" s="93">
        <f t="shared" si="84"/>
        <v>600000</v>
      </c>
      <c r="N541" s="93">
        <f t="shared" si="68"/>
        <v>599994</v>
      </c>
    </row>
    <row r="542" spans="3:14" ht="13.2">
      <c r="C542" s="16" t="s">
        <v>1396</v>
      </c>
      <c r="D542" s="16" t="s">
        <v>1391</v>
      </c>
      <c r="E542" s="16" t="s">
        <v>444</v>
      </c>
      <c r="F542" s="2"/>
      <c r="G542" s="102">
        <f>+ SUMIF('Nhập kho T42024'!B:B, C542,'Nhập kho T42024'!F:F)</f>
        <v>13</v>
      </c>
      <c r="H542" s="101">
        <f>+ SUMIF('Doanh thu'!A:A, C542,'Doanh thu'!E:E) + SUMIF('Doanh thu 2025'!B:B, C542,'Doanh thu 2025'!E:E)</f>
        <v>10</v>
      </c>
      <c r="I542" s="101">
        <f t="shared" si="85"/>
        <v>3</v>
      </c>
      <c r="J542" s="103">
        <f t="shared" si="80"/>
        <v>0</v>
      </c>
      <c r="K542" s="104">
        <f>+ SUMIF('Doanh thu'!A:A, C542,'Doanh thu'!F:F)</f>
        <v>0</v>
      </c>
      <c r="L542" s="93">
        <f t="shared" si="77"/>
        <v>13</v>
      </c>
      <c r="M542" s="93">
        <f t="shared" si="84"/>
        <v>1000000</v>
      </c>
      <c r="N542" s="93">
        <f t="shared" si="68"/>
        <v>999987</v>
      </c>
    </row>
    <row r="543" spans="3:14" ht="13.2">
      <c r="C543" s="16" t="s">
        <v>285</v>
      </c>
      <c r="D543" s="16" t="s">
        <v>1391</v>
      </c>
      <c r="E543" s="16" t="s">
        <v>444</v>
      </c>
      <c r="F543" s="2"/>
      <c r="G543" s="102">
        <f>+ SUMIF('Nhập kho T42024'!B:B, C543,'Nhập kho T42024'!F:F)</f>
        <v>13</v>
      </c>
      <c r="H543" s="101">
        <f>+ SUMIF('Doanh thu'!A:A, C543,'Doanh thu'!E:E) + SUMIF('Doanh thu 2025'!B:B, C543,'Doanh thu 2025'!E:E)</f>
        <v>5</v>
      </c>
      <c r="I543" s="101">
        <f t="shared" si="85"/>
        <v>8</v>
      </c>
      <c r="J543" s="103">
        <f t="shared" si="80"/>
        <v>0</v>
      </c>
      <c r="K543" s="104">
        <f>+ SUMIF('Doanh thu'!A:A, C543,'Doanh thu'!F:F)</f>
        <v>0</v>
      </c>
      <c r="L543" s="93">
        <f t="shared" si="77"/>
        <v>13</v>
      </c>
      <c r="M543" s="93">
        <f t="shared" si="84"/>
        <v>500000</v>
      </c>
      <c r="N543" s="93">
        <f t="shared" si="68"/>
        <v>499987</v>
      </c>
    </row>
    <row r="544" spans="3:14" ht="13.2">
      <c r="C544" s="16" t="s">
        <v>1397</v>
      </c>
      <c r="D544" s="16" t="s">
        <v>1391</v>
      </c>
      <c r="E544" s="16" t="s">
        <v>444</v>
      </c>
      <c r="F544" s="2"/>
      <c r="G544" s="102">
        <f>+ SUMIF('Nhập kho T42024'!B:B, C544,'Nhập kho T42024'!F:F)</f>
        <v>17</v>
      </c>
      <c r="H544" s="101">
        <f>+ SUMIF('Doanh thu'!A:A, C544,'Doanh thu'!E:E) + SUMIF('Doanh thu 2025'!B:B, C544,'Doanh thu 2025'!E:E)</f>
        <v>4</v>
      </c>
      <c r="I544" s="101">
        <f t="shared" si="85"/>
        <v>13</v>
      </c>
      <c r="J544" s="103">
        <f t="shared" si="80"/>
        <v>0</v>
      </c>
      <c r="K544" s="104">
        <f>+ SUMIF('Doanh thu'!A:A, C544,'Doanh thu'!F:F)</f>
        <v>0</v>
      </c>
      <c r="L544" s="93">
        <f t="shared" si="77"/>
        <v>17</v>
      </c>
      <c r="M544" s="93">
        <f t="shared" si="84"/>
        <v>400000</v>
      </c>
      <c r="N544" s="93">
        <f t="shared" si="68"/>
        <v>399983</v>
      </c>
    </row>
    <row r="545" spans="3:14" ht="13.2">
      <c r="C545" s="16" t="s">
        <v>1398</v>
      </c>
      <c r="D545" s="16" t="s">
        <v>1391</v>
      </c>
      <c r="E545" s="16" t="s">
        <v>444</v>
      </c>
      <c r="F545" s="2"/>
      <c r="G545" s="102">
        <f>+ SUMIF('Nhập kho T42024'!B:B, C545,'Nhập kho T42024'!F:F)</f>
        <v>8</v>
      </c>
      <c r="H545" s="101">
        <f>+ SUMIF('Doanh thu'!A:A, C545,'Doanh thu'!E:E) + SUMIF('Doanh thu 2025'!B:B, C545,'Doanh thu 2025'!E:E)</f>
        <v>5</v>
      </c>
      <c r="I545" s="101">
        <f t="shared" si="85"/>
        <v>3</v>
      </c>
      <c r="J545" s="103">
        <f t="shared" si="80"/>
        <v>0</v>
      </c>
      <c r="K545" s="104">
        <f>+ SUMIF('Doanh thu'!A:A, C545,'Doanh thu'!F:F)</f>
        <v>0</v>
      </c>
      <c r="L545" s="93">
        <f t="shared" si="77"/>
        <v>8</v>
      </c>
      <c r="M545" s="93">
        <f t="shared" si="84"/>
        <v>500000</v>
      </c>
      <c r="N545" s="93">
        <f t="shared" si="68"/>
        <v>499992</v>
      </c>
    </row>
    <row r="546" spans="3:14" ht="13.2">
      <c r="C546" s="16" t="s">
        <v>1399</v>
      </c>
      <c r="D546" s="16" t="s">
        <v>1391</v>
      </c>
      <c r="E546" s="16" t="s">
        <v>444</v>
      </c>
      <c r="F546" s="2"/>
      <c r="G546" s="102">
        <f>+ SUMIF('Nhập kho T42024'!B:B, C546,'Nhập kho T42024'!F:F)</f>
        <v>5</v>
      </c>
      <c r="H546" s="101">
        <f>+ SUMIF('Doanh thu'!A:A, C546,'Doanh thu'!E:E) + SUMIF('Doanh thu 2025'!B:B, C546,'Doanh thu 2025'!E:E)</f>
        <v>5</v>
      </c>
      <c r="I546" s="101">
        <f t="shared" si="85"/>
        <v>0</v>
      </c>
      <c r="J546" s="103">
        <f t="shared" si="80"/>
        <v>0</v>
      </c>
      <c r="K546" s="104">
        <f>+ SUMIF('Doanh thu'!A:A, C546,'Doanh thu'!F:F)</f>
        <v>0</v>
      </c>
      <c r="L546" s="93">
        <f t="shared" si="77"/>
        <v>5</v>
      </c>
      <c r="M546" s="93">
        <f t="shared" si="84"/>
        <v>500000</v>
      </c>
      <c r="N546" s="93">
        <f t="shared" si="68"/>
        <v>499995</v>
      </c>
    </row>
    <row r="547" spans="3:14" ht="13.2">
      <c r="C547" s="16" t="s">
        <v>113</v>
      </c>
      <c r="D547" s="16" t="s">
        <v>1400</v>
      </c>
      <c r="E547" s="16" t="s">
        <v>444</v>
      </c>
      <c r="F547" s="2"/>
      <c r="G547" s="102">
        <f>+ SUMIF('Nhập kho T42024'!B:B, C547,'Nhập kho T42024'!F:F)</f>
        <v>60</v>
      </c>
      <c r="H547" s="101">
        <f>+ SUMIF('Doanh thu'!A:A, C547,'Doanh thu'!E:E) + SUMIF('Doanh thu 2025'!B:B, C547,'Doanh thu 2025'!E:E)</f>
        <v>15</v>
      </c>
      <c r="I547" s="101">
        <f>G547-H547-4</f>
        <v>41</v>
      </c>
      <c r="J547" s="103">
        <f t="shared" si="80"/>
        <v>0</v>
      </c>
      <c r="K547" s="104">
        <f>+ SUMIF('Doanh thu'!A:A, C547,'Doanh thu'!F:F)</f>
        <v>0</v>
      </c>
      <c r="L547" s="93">
        <f t="shared" si="77"/>
        <v>60</v>
      </c>
      <c r="M547" s="93">
        <f t="shared" si="84"/>
        <v>1500000</v>
      </c>
      <c r="N547" s="93">
        <f t="shared" si="68"/>
        <v>1499940</v>
      </c>
    </row>
    <row r="548" spans="3:14" ht="13.2">
      <c r="C548" s="16" t="s">
        <v>1401</v>
      </c>
      <c r="D548" s="16" t="s">
        <v>1400</v>
      </c>
      <c r="E548" s="16" t="s">
        <v>444</v>
      </c>
      <c r="F548" s="2"/>
      <c r="G548" s="102">
        <f>+ SUMIF('Nhập kho T42024'!B:B, C548,'Nhập kho T42024'!F:F)</f>
        <v>10</v>
      </c>
      <c r="H548" s="101">
        <f>+ SUMIF('Doanh thu'!A:A, C548,'Doanh thu'!E:E) + SUMIF('Doanh thu 2025'!B:B, C548,'Doanh thu 2025'!E:E)</f>
        <v>8</v>
      </c>
      <c r="I548" s="101">
        <f>G548-H548-2</f>
        <v>0</v>
      </c>
      <c r="J548" s="103">
        <f t="shared" si="80"/>
        <v>0</v>
      </c>
      <c r="K548" s="104">
        <f>+ SUMIF('Doanh thu'!A:A, C548,'Doanh thu'!F:F)</f>
        <v>0</v>
      </c>
      <c r="L548" s="93">
        <f t="shared" si="77"/>
        <v>10</v>
      </c>
      <c r="M548" s="93">
        <f t="shared" si="84"/>
        <v>800000</v>
      </c>
      <c r="N548" s="93">
        <f t="shared" si="68"/>
        <v>799990</v>
      </c>
    </row>
    <row r="549" spans="3:14" ht="13.2">
      <c r="C549" s="16" t="s">
        <v>1402</v>
      </c>
      <c r="D549" s="16" t="s">
        <v>1400</v>
      </c>
      <c r="E549" s="16" t="s">
        <v>444</v>
      </c>
      <c r="F549" s="2"/>
      <c r="G549" s="102">
        <f>+ SUMIF('Nhập kho T42024'!B:B, C549,'Nhập kho T42024'!F:F)</f>
        <v>10</v>
      </c>
      <c r="H549" s="101">
        <f>+ SUMIF('Doanh thu'!A:A, C549,'Doanh thu'!E:E) + SUMIF('Doanh thu 2025'!B:B, C549,'Doanh thu 2025'!E:E)</f>
        <v>1</v>
      </c>
      <c r="I549" s="101">
        <f>G549-H549</f>
        <v>9</v>
      </c>
      <c r="J549" s="103">
        <f t="shared" si="80"/>
        <v>0</v>
      </c>
      <c r="K549" s="104">
        <f>+ SUMIF('Doanh thu'!A:A, C549,'Doanh thu'!F:F)</f>
        <v>0</v>
      </c>
      <c r="L549" s="93">
        <f t="shared" si="77"/>
        <v>10</v>
      </c>
      <c r="M549" s="93">
        <f t="shared" si="84"/>
        <v>100000</v>
      </c>
      <c r="N549" s="93">
        <f t="shared" si="68"/>
        <v>99990</v>
      </c>
    </row>
    <row r="550" spans="3:14" ht="13.2">
      <c r="C550" s="16" t="s">
        <v>1403</v>
      </c>
      <c r="D550" s="16" t="s">
        <v>1404</v>
      </c>
      <c r="E550" s="16" t="s">
        <v>444</v>
      </c>
      <c r="F550" s="2"/>
      <c r="G550" s="102">
        <f>+ SUMIF('Nhập kho T42024'!B:B, C550,'Nhập kho T42024'!F:F)</f>
        <v>10</v>
      </c>
      <c r="H550" s="101">
        <f>+ SUMIF('Doanh thu'!A:A, C550,'Doanh thu'!E:E) + SUMIF('Doanh thu 2025'!B:B, C550,'Doanh thu 2025'!E:E)</f>
        <v>5</v>
      </c>
      <c r="I550" s="101">
        <f>G550-H550-5</f>
        <v>0</v>
      </c>
      <c r="J550" s="103">
        <f t="shared" si="80"/>
        <v>0</v>
      </c>
      <c r="K550" s="104">
        <f>+ SUMIF('Doanh thu'!A:A, C550,'Doanh thu'!F:F)</f>
        <v>0</v>
      </c>
      <c r="L550" s="93">
        <f t="shared" si="77"/>
        <v>10</v>
      </c>
      <c r="M550" s="93">
        <f t="shared" si="84"/>
        <v>500000</v>
      </c>
      <c r="N550" s="93">
        <f t="shared" si="68"/>
        <v>499990</v>
      </c>
    </row>
    <row r="551" spans="3:14" ht="13.2">
      <c r="C551" s="16" t="s">
        <v>1405</v>
      </c>
      <c r="D551" s="16" t="s">
        <v>1400</v>
      </c>
      <c r="E551" s="16" t="s">
        <v>444</v>
      </c>
      <c r="F551" s="2"/>
      <c r="G551" s="102">
        <f>+ SUMIF('Nhập kho T42024'!B:B, C551,'Nhập kho T42024'!F:F)</f>
        <v>5</v>
      </c>
      <c r="H551" s="101">
        <f>+ SUMIF('Doanh thu'!A:A, C551,'Doanh thu'!E:E) + SUMIF('Doanh thu 2025'!B:B, C551,'Doanh thu 2025'!E:E)</f>
        <v>0</v>
      </c>
      <c r="I551" s="101">
        <f t="shared" ref="I551:I561" si="86">G551-H551</f>
        <v>5</v>
      </c>
      <c r="J551" s="103">
        <f t="shared" si="80"/>
        <v>0</v>
      </c>
      <c r="K551" s="104">
        <f>+ SUMIF('Doanh thu'!A:A, C551,'Doanh thu'!F:F)</f>
        <v>0</v>
      </c>
      <c r="L551" s="93">
        <f t="shared" si="77"/>
        <v>5</v>
      </c>
      <c r="M551" s="93">
        <f t="shared" si="84"/>
        <v>0</v>
      </c>
      <c r="N551" s="93">
        <f t="shared" si="68"/>
        <v>-5</v>
      </c>
    </row>
    <row r="552" spans="3:14" ht="13.2">
      <c r="C552" s="16" t="s">
        <v>1406</v>
      </c>
      <c r="D552" s="16" t="s">
        <v>1407</v>
      </c>
      <c r="E552" s="16" t="s">
        <v>444</v>
      </c>
      <c r="F552" s="132">
        <v>59000</v>
      </c>
      <c r="G552" s="102">
        <f>+ SUMIF('Nhập kho T42024'!B:B, C552,'Nhập kho T42024'!F:F)</f>
        <v>10</v>
      </c>
      <c r="H552" s="101">
        <f>+ SUMIF('Doanh thu'!A:A, C552,'Doanh thu'!E:E) + SUMIF('Doanh thu 2025'!B:B, C552,'Doanh thu 2025'!E:E)</f>
        <v>9</v>
      </c>
      <c r="I552" s="101">
        <f t="shared" si="86"/>
        <v>1</v>
      </c>
      <c r="J552" s="103">
        <f t="shared" si="80"/>
        <v>531000</v>
      </c>
      <c r="K552" s="104">
        <f>+ SUMIF('Doanh thu'!A:A, C552,'Doanh thu'!F:F)</f>
        <v>531000</v>
      </c>
      <c r="L552" s="93">
        <f t="shared" si="77"/>
        <v>10</v>
      </c>
      <c r="M552" s="93">
        <f t="shared" si="84"/>
        <v>900000</v>
      </c>
      <c r="N552" s="93">
        <f t="shared" si="68"/>
        <v>899990</v>
      </c>
    </row>
    <row r="553" spans="3:14" ht="13.2">
      <c r="C553" s="16" t="s">
        <v>1408</v>
      </c>
      <c r="D553" s="16" t="s">
        <v>1409</v>
      </c>
      <c r="E553" s="16" t="s">
        <v>444</v>
      </c>
      <c r="F553" s="132">
        <v>59000</v>
      </c>
      <c r="G553" s="102">
        <f>+ SUMIF('Nhập kho T42024'!B:B, C553,'Nhập kho T42024'!F:F)</f>
        <v>15</v>
      </c>
      <c r="H553" s="101">
        <f>+ SUMIF('Doanh thu'!A:A, C553,'Doanh thu'!E:E) + SUMIF('Doanh thu 2025'!B:B, C553,'Doanh thu 2025'!E:E)</f>
        <v>5</v>
      </c>
      <c r="I553" s="101">
        <f t="shared" si="86"/>
        <v>10</v>
      </c>
      <c r="J553" s="103">
        <f t="shared" si="80"/>
        <v>295000</v>
      </c>
      <c r="K553" s="104">
        <f>+ SUMIF('Doanh thu'!A:A, C553,'Doanh thu'!F:F)</f>
        <v>295000</v>
      </c>
      <c r="L553" s="93">
        <f t="shared" si="77"/>
        <v>15</v>
      </c>
      <c r="M553" s="93">
        <f t="shared" si="84"/>
        <v>500000</v>
      </c>
      <c r="N553" s="93">
        <f t="shared" si="68"/>
        <v>499985</v>
      </c>
    </row>
    <row r="554" spans="3:14" ht="13.2">
      <c r="C554" s="16" t="s">
        <v>1410</v>
      </c>
      <c r="D554" s="16" t="s">
        <v>1411</v>
      </c>
      <c r="E554" s="16" t="s">
        <v>444</v>
      </c>
      <c r="F554" s="132">
        <v>59000</v>
      </c>
      <c r="G554" s="102">
        <f>+ SUMIF('Nhập kho T42024'!B:B, C554,'Nhập kho T42024'!F:F)</f>
        <v>2</v>
      </c>
      <c r="H554" s="101">
        <f>+ SUMIF('Doanh thu'!A:A, C554,'Doanh thu'!E:E) + SUMIF('Doanh thu 2025'!B:B, C554,'Doanh thu 2025'!E:E)</f>
        <v>2</v>
      </c>
      <c r="I554" s="101">
        <f t="shared" si="86"/>
        <v>0</v>
      </c>
      <c r="J554" s="103">
        <f t="shared" si="80"/>
        <v>118000</v>
      </c>
      <c r="K554" s="104">
        <f>+ SUMIF('Doanh thu'!A:A, C554,'Doanh thu'!F:F)</f>
        <v>118000</v>
      </c>
      <c r="L554" s="93">
        <f t="shared" si="77"/>
        <v>2</v>
      </c>
      <c r="M554" s="93">
        <f t="shared" si="84"/>
        <v>200000</v>
      </c>
      <c r="N554" s="93">
        <f t="shared" si="68"/>
        <v>199998</v>
      </c>
    </row>
    <row r="555" spans="3:14" ht="13.2">
      <c r="C555" s="16" t="s">
        <v>1412</v>
      </c>
      <c r="D555" s="16" t="s">
        <v>1413</v>
      </c>
      <c r="E555" s="16" t="s">
        <v>444</v>
      </c>
      <c r="F555" s="132">
        <v>62000</v>
      </c>
      <c r="G555" s="102">
        <f>+ SUMIF('Nhập kho T42024'!B:B, C555,'Nhập kho T42024'!F:F)</f>
        <v>36</v>
      </c>
      <c r="H555" s="101">
        <f>+ SUMIF('Doanh thu'!A:A, C555,'Doanh thu'!E:E) + SUMIF('Doanh thu 2025'!B:B, C555,'Doanh thu 2025'!E:E)</f>
        <v>19</v>
      </c>
      <c r="I555" s="101">
        <f t="shared" si="86"/>
        <v>17</v>
      </c>
      <c r="J555" s="103">
        <f t="shared" si="80"/>
        <v>124000</v>
      </c>
      <c r="K555" s="104">
        <f>+ SUMIF('Doanh thu'!A:A, C555,'Doanh thu'!F:F)</f>
        <v>124000</v>
      </c>
      <c r="L555" s="93">
        <f t="shared" si="77"/>
        <v>36</v>
      </c>
      <c r="M555" s="93">
        <f t="shared" si="84"/>
        <v>1900000</v>
      </c>
      <c r="N555" s="93">
        <f t="shared" si="68"/>
        <v>1899964</v>
      </c>
    </row>
    <row r="556" spans="3:14" ht="13.2">
      <c r="C556" s="16" t="s">
        <v>1414</v>
      </c>
      <c r="D556" s="16" t="s">
        <v>1415</v>
      </c>
      <c r="E556" s="16" t="s">
        <v>444</v>
      </c>
      <c r="F556" s="132">
        <v>62000</v>
      </c>
      <c r="G556" s="102">
        <f>+ SUMIF('Nhập kho T42024'!B:B, C556,'Nhập kho T42024'!F:F)</f>
        <v>20</v>
      </c>
      <c r="H556" s="101">
        <f>+ SUMIF('Doanh thu'!A:A, C556,'Doanh thu'!E:E) + SUMIF('Doanh thu 2025'!B:B, C556,'Doanh thu 2025'!E:E)</f>
        <v>16</v>
      </c>
      <c r="I556" s="101">
        <f t="shared" si="86"/>
        <v>4</v>
      </c>
      <c r="J556" s="103">
        <f t="shared" si="80"/>
        <v>124000</v>
      </c>
      <c r="K556" s="104">
        <f>+ SUMIF('Doanh thu'!A:A, C556,'Doanh thu'!F:F)</f>
        <v>124000</v>
      </c>
      <c r="L556" s="93">
        <f t="shared" si="77"/>
        <v>20</v>
      </c>
      <c r="M556" s="93">
        <f t="shared" si="84"/>
        <v>1600000</v>
      </c>
      <c r="N556" s="93">
        <f t="shared" si="68"/>
        <v>1599980</v>
      </c>
    </row>
    <row r="557" spans="3:14" ht="13.2">
      <c r="C557" s="16" t="s">
        <v>1416</v>
      </c>
      <c r="D557" s="16" t="s">
        <v>1417</v>
      </c>
      <c r="E557" s="16" t="s">
        <v>444</v>
      </c>
      <c r="F557" s="132">
        <v>35000</v>
      </c>
      <c r="G557" s="102">
        <f>+ SUMIF('Nhập kho T42024'!B:B, C557,'Nhập kho T42024'!F:F)</f>
        <v>60</v>
      </c>
      <c r="H557" s="101">
        <f>+ SUMIF('Doanh thu'!A:A, C557,'Doanh thu'!E:E) + SUMIF('Doanh thu 2025'!B:B, C557,'Doanh thu 2025'!E:E)</f>
        <v>15</v>
      </c>
      <c r="I557" s="101">
        <f t="shared" si="86"/>
        <v>45</v>
      </c>
      <c r="J557" s="103">
        <f t="shared" si="80"/>
        <v>280000</v>
      </c>
      <c r="K557" s="104">
        <f>+ SUMIF('Doanh thu'!A:A, C557,'Doanh thu'!F:F)</f>
        <v>280000</v>
      </c>
      <c r="L557" s="93">
        <f t="shared" si="77"/>
        <v>60</v>
      </c>
      <c r="M557" s="93">
        <f t="shared" si="84"/>
        <v>1500000</v>
      </c>
      <c r="N557" s="93">
        <f t="shared" si="68"/>
        <v>1499940</v>
      </c>
    </row>
    <row r="558" spans="3:14" ht="13.2">
      <c r="C558" s="16" t="s">
        <v>1418</v>
      </c>
      <c r="D558" s="16" t="s">
        <v>190</v>
      </c>
      <c r="E558" s="16" t="s">
        <v>444</v>
      </c>
      <c r="F558" s="132">
        <v>35000</v>
      </c>
      <c r="G558" s="102">
        <f>+ SUMIF('Nhập kho T42024'!B:B, C558,'Nhập kho T42024'!F:F)</f>
        <v>20</v>
      </c>
      <c r="H558" s="101">
        <f>+ SUMIF('Doanh thu'!A:A, C558,'Doanh thu'!E:E) + SUMIF('Doanh thu 2025'!B:B, C558,'Doanh thu 2025'!E:E)</f>
        <v>18</v>
      </c>
      <c r="I558" s="101">
        <f t="shared" si="86"/>
        <v>2</v>
      </c>
      <c r="J558" s="103">
        <f t="shared" si="80"/>
        <v>350000</v>
      </c>
      <c r="K558" s="104">
        <f>+ SUMIF('Doanh thu'!A:A, C558,'Doanh thu'!F:F)</f>
        <v>350000</v>
      </c>
      <c r="L558" s="93">
        <f t="shared" si="77"/>
        <v>20</v>
      </c>
      <c r="M558" s="93">
        <f t="shared" si="84"/>
        <v>1800000</v>
      </c>
      <c r="N558" s="93">
        <f t="shared" si="68"/>
        <v>1799980</v>
      </c>
    </row>
    <row r="559" spans="3:14" ht="13.2">
      <c r="C559" s="16" t="s">
        <v>1419</v>
      </c>
      <c r="D559" s="16" t="s">
        <v>1420</v>
      </c>
      <c r="E559" s="16" t="s">
        <v>444</v>
      </c>
      <c r="F559" s="132">
        <v>35000</v>
      </c>
      <c r="G559" s="102">
        <f>+ SUMIF('Nhập kho T42024'!B:B, C559,'Nhập kho T42024'!F:F)</f>
        <v>20</v>
      </c>
      <c r="H559" s="101">
        <f>+ SUMIF('Doanh thu'!A:A, C559,'Doanh thu'!E:E) + SUMIF('Doanh thu 2025'!B:B, C559,'Doanh thu 2025'!E:E)</f>
        <v>11</v>
      </c>
      <c r="I559" s="101">
        <f t="shared" si="86"/>
        <v>9</v>
      </c>
      <c r="J559" s="103">
        <f t="shared" si="80"/>
        <v>105000</v>
      </c>
      <c r="K559" s="104">
        <f>+ SUMIF('Doanh thu'!A:A, C559,'Doanh thu'!F:F)</f>
        <v>105000</v>
      </c>
      <c r="L559" s="93">
        <f t="shared" si="77"/>
        <v>20</v>
      </c>
      <c r="M559" s="93">
        <f t="shared" si="84"/>
        <v>1100000</v>
      </c>
      <c r="N559" s="93">
        <f t="shared" si="68"/>
        <v>1099980</v>
      </c>
    </row>
    <row r="560" spans="3:14" ht="13.2">
      <c r="C560" s="16" t="s">
        <v>1421</v>
      </c>
      <c r="D560" s="16" t="s">
        <v>1422</v>
      </c>
      <c r="E560" s="16" t="s">
        <v>444</v>
      </c>
      <c r="F560" s="132">
        <v>35000</v>
      </c>
      <c r="G560" s="102">
        <f>+ SUMIF('Nhập kho T42024'!B:B, C560,'Nhập kho T42024'!F:F)</f>
        <v>30</v>
      </c>
      <c r="H560" s="101">
        <f>+ SUMIF('Doanh thu'!A:A, C560,'Doanh thu'!E:E) + SUMIF('Doanh thu 2025'!B:B, C560,'Doanh thu 2025'!E:E)</f>
        <v>23</v>
      </c>
      <c r="I560" s="101">
        <f t="shared" si="86"/>
        <v>7</v>
      </c>
      <c r="J560" s="103">
        <f t="shared" si="80"/>
        <v>490000</v>
      </c>
      <c r="K560" s="104">
        <f>+ SUMIF('Doanh thu'!A:A, C560,'Doanh thu'!F:F)</f>
        <v>490000</v>
      </c>
      <c r="L560" s="93">
        <f t="shared" si="77"/>
        <v>30</v>
      </c>
      <c r="M560" s="93">
        <f t="shared" si="84"/>
        <v>2300000</v>
      </c>
      <c r="N560" s="93">
        <f t="shared" si="68"/>
        <v>2299970</v>
      </c>
    </row>
    <row r="561" spans="3:14" ht="13.2">
      <c r="C561" s="16" t="s">
        <v>1423</v>
      </c>
      <c r="E561" s="16" t="s">
        <v>444</v>
      </c>
      <c r="F561" s="2"/>
      <c r="G561" s="102">
        <f>+ SUMIF('Nhập kho T42024'!B:B, C561,'Nhập kho T42024'!F:F)</f>
        <v>7</v>
      </c>
      <c r="H561" s="101">
        <f>+ SUMIF('Doanh thu'!A:A, C561,'Doanh thu'!E:E) + SUMIF('Doanh thu 2025'!B:B, C561,'Doanh thu 2025'!E:E)</f>
        <v>6</v>
      </c>
      <c r="I561" s="101">
        <f t="shared" si="86"/>
        <v>1</v>
      </c>
      <c r="J561" s="103">
        <f t="shared" si="80"/>
        <v>0</v>
      </c>
      <c r="K561" s="104">
        <f>+ SUMIF('Doanh thu'!A:A, C561,'Doanh thu'!F:F)</f>
        <v>0</v>
      </c>
      <c r="L561" s="93">
        <f t="shared" si="77"/>
        <v>7</v>
      </c>
      <c r="M561" s="93">
        <f t="shared" si="84"/>
        <v>600000</v>
      </c>
      <c r="N561" s="93">
        <f t="shared" si="68"/>
        <v>599993</v>
      </c>
    </row>
    <row r="562" spans="3:14" ht="13.2">
      <c r="C562" s="16" t="s">
        <v>1424</v>
      </c>
      <c r="D562" s="16" t="s">
        <v>1385</v>
      </c>
      <c r="E562" s="16" t="s">
        <v>444</v>
      </c>
      <c r="F562" s="132">
        <v>145000</v>
      </c>
      <c r="G562" s="102">
        <f>+ SUMIF('Nhập kho T42024'!B:B, C562,'Nhập kho T42024'!F:F)</f>
        <v>49</v>
      </c>
      <c r="H562" s="101">
        <f>+ SUMIF('Doanh thu'!A:A, C562,'Doanh thu'!E:E) + SUMIF('Doanh thu 2025'!B:B, C562,'Doanh thu 2025'!E:E)</f>
        <v>41</v>
      </c>
      <c r="I562" s="101">
        <f>G562-H562+10</f>
        <v>18</v>
      </c>
      <c r="J562" s="103">
        <f t="shared" si="80"/>
        <v>4350000</v>
      </c>
      <c r="K562" s="104">
        <f>+ SUMIF('Doanh thu'!A:A, C562,'Doanh thu'!F:F)</f>
        <v>4350000</v>
      </c>
      <c r="L562" s="93">
        <f t="shared" si="77"/>
        <v>49</v>
      </c>
      <c r="M562" s="93">
        <f t="shared" si="84"/>
        <v>4100000</v>
      </c>
      <c r="N562" s="93">
        <f t="shared" si="68"/>
        <v>4099951</v>
      </c>
    </row>
    <row r="563" spans="3:14" ht="13.2">
      <c r="C563" s="16" t="s">
        <v>1425</v>
      </c>
      <c r="D563" s="16" t="s">
        <v>1385</v>
      </c>
      <c r="E563" s="16" t="s">
        <v>444</v>
      </c>
      <c r="F563" s="132">
        <v>145000</v>
      </c>
      <c r="G563" s="102">
        <f>+ SUMIF('Nhập kho T42024'!B:B, C563,'Nhập kho T42024'!F:F)</f>
        <v>10</v>
      </c>
      <c r="H563" s="101">
        <f>+ SUMIF('Doanh thu'!A:A, C563,'Doanh thu'!E:E) + SUMIF('Doanh thu 2025'!B:B, C563,'Doanh thu 2025'!E:E)</f>
        <v>9</v>
      </c>
      <c r="I563" s="101">
        <f t="shared" ref="I563:I571" si="87">G563-H563</f>
        <v>1</v>
      </c>
      <c r="J563" s="103">
        <f t="shared" si="80"/>
        <v>580000</v>
      </c>
      <c r="K563" s="104">
        <f>+ SUMIF('Doanh thu'!A:A, C563,'Doanh thu'!F:F)</f>
        <v>580000</v>
      </c>
      <c r="L563" s="93">
        <f t="shared" si="77"/>
        <v>10</v>
      </c>
      <c r="M563" s="93">
        <f t="shared" si="84"/>
        <v>900000</v>
      </c>
      <c r="N563" s="93">
        <f t="shared" si="68"/>
        <v>899990</v>
      </c>
    </row>
    <row r="564" spans="3:14" ht="13.2">
      <c r="C564" s="16" t="s">
        <v>1426</v>
      </c>
      <c r="D564" s="16" t="s">
        <v>1427</v>
      </c>
      <c r="E564" s="16" t="s">
        <v>444</v>
      </c>
      <c r="F564" s="2"/>
      <c r="G564" s="102">
        <f>+ SUMIF('Nhập kho T42024'!B:B, C564,'Nhập kho T42024'!F:F)</f>
        <v>40</v>
      </c>
      <c r="H564" s="101">
        <f>+ SUMIF('Doanh thu'!A:A, C564,'Doanh thu'!E:E) + SUMIF('Doanh thu 2025'!B:B, C564,'Doanh thu 2025'!E:E)</f>
        <v>4</v>
      </c>
      <c r="I564" s="101">
        <f t="shared" si="87"/>
        <v>36</v>
      </c>
      <c r="J564" s="103">
        <f t="shared" si="80"/>
        <v>0</v>
      </c>
      <c r="K564" s="104">
        <f>+ SUMIF('Doanh thu'!A:A, C564,'Doanh thu'!F:F)</f>
        <v>0</v>
      </c>
      <c r="L564" s="93">
        <f t="shared" si="77"/>
        <v>40</v>
      </c>
      <c r="M564" s="93">
        <f t="shared" si="84"/>
        <v>400000</v>
      </c>
      <c r="N564" s="93">
        <f t="shared" si="68"/>
        <v>399960</v>
      </c>
    </row>
    <row r="565" spans="3:14" ht="13.2">
      <c r="C565" s="16" t="s">
        <v>1428</v>
      </c>
      <c r="D565" s="16" t="s">
        <v>1427</v>
      </c>
      <c r="E565" s="16" t="s">
        <v>444</v>
      </c>
      <c r="F565" s="2"/>
      <c r="G565" s="102">
        <f>+ SUMIF('Nhập kho T42024'!B:B, C565,'Nhập kho T42024'!F:F)</f>
        <v>30</v>
      </c>
      <c r="H565" s="101">
        <f>+ SUMIF('Doanh thu'!A:A, C565,'Doanh thu'!E:E) + SUMIF('Doanh thu 2025'!B:B, C565,'Doanh thu 2025'!E:E)</f>
        <v>3</v>
      </c>
      <c r="I565" s="101">
        <f t="shared" si="87"/>
        <v>27</v>
      </c>
      <c r="J565" s="103">
        <f t="shared" si="80"/>
        <v>0</v>
      </c>
      <c r="K565" s="104">
        <f>+ SUMIF('Doanh thu'!A:A, C565,'Doanh thu'!F:F)</f>
        <v>0</v>
      </c>
      <c r="L565" s="93">
        <f t="shared" si="77"/>
        <v>30</v>
      </c>
      <c r="M565" s="93">
        <f t="shared" si="84"/>
        <v>300000</v>
      </c>
      <c r="N565" s="93">
        <f t="shared" si="68"/>
        <v>299970</v>
      </c>
    </row>
    <row r="566" spans="3:14" ht="13.2">
      <c r="C566" s="16" t="s">
        <v>1429</v>
      </c>
      <c r="D566" s="16" t="s">
        <v>1427</v>
      </c>
      <c r="E566" s="16" t="s">
        <v>444</v>
      </c>
      <c r="F566" s="2"/>
      <c r="G566" s="102">
        <f>+ SUMIF('Nhập kho T42024'!B:B, C566,'Nhập kho T42024'!F:F)</f>
        <v>30</v>
      </c>
      <c r="H566" s="101">
        <f>+ SUMIF('Doanh thu'!A:A, C566,'Doanh thu'!E:E) + SUMIF('Doanh thu 2025'!B:B, C566,'Doanh thu 2025'!E:E)</f>
        <v>3</v>
      </c>
      <c r="I566" s="101">
        <f t="shared" si="87"/>
        <v>27</v>
      </c>
      <c r="J566" s="103">
        <f t="shared" si="80"/>
        <v>0</v>
      </c>
      <c r="K566" s="104">
        <f>+ SUMIF('Doanh thu'!A:A, C566,'Doanh thu'!F:F)</f>
        <v>0</v>
      </c>
      <c r="L566" s="93">
        <f t="shared" si="77"/>
        <v>30</v>
      </c>
      <c r="M566" s="93">
        <f t="shared" si="84"/>
        <v>300000</v>
      </c>
      <c r="N566" s="93">
        <f t="shared" si="68"/>
        <v>299970</v>
      </c>
    </row>
    <row r="567" spans="3:14" ht="13.2">
      <c r="C567" s="16" t="s">
        <v>1430</v>
      </c>
      <c r="D567" s="16" t="s">
        <v>1427</v>
      </c>
      <c r="E567" s="16" t="s">
        <v>444</v>
      </c>
      <c r="F567" s="2"/>
      <c r="G567" s="102">
        <f>+ SUMIF('Nhập kho T42024'!B:B, C567,'Nhập kho T42024'!F:F)</f>
        <v>30</v>
      </c>
      <c r="H567" s="101">
        <f>+ SUMIF('Doanh thu'!A:A, C567,'Doanh thu'!E:E) + SUMIF('Doanh thu 2025'!B:B, C567,'Doanh thu 2025'!E:E)</f>
        <v>2</v>
      </c>
      <c r="I567" s="101">
        <f t="shared" si="87"/>
        <v>28</v>
      </c>
      <c r="J567" s="103">
        <f t="shared" si="80"/>
        <v>0</v>
      </c>
      <c r="K567" s="104">
        <f>+ SUMIF('Doanh thu'!A:A, C567,'Doanh thu'!F:F)</f>
        <v>0</v>
      </c>
      <c r="L567" s="93">
        <f t="shared" si="77"/>
        <v>30</v>
      </c>
      <c r="M567" s="93">
        <f t="shared" si="84"/>
        <v>200000</v>
      </c>
      <c r="N567" s="93">
        <f t="shared" si="68"/>
        <v>199970</v>
      </c>
    </row>
    <row r="568" spans="3:14" ht="13.2">
      <c r="C568" s="16" t="s">
        <v>1431</v>
      </c>
      <c r="E568" s="16" t="s">
        <v>444</v>
      </c>
      <c r="F568" s="2"/>
      <c r="G568" s="102">
        <f>+ SUMIF('Nhập kho T42024'!B:B, C568,'Nhập kho T42024'!F:F)</f>
        <v>50</v>
      </c>
      <c r="H568" s="101">
        <f>+ SUMIF('Doanh thu'!A:A, C568,'Doanh thu'!E:E) + SUMIF('Doanh thu 2025'!B:B, C568,'Doanh thu 2025'!E:E)</f>
        <v>35</v>
      </c>
      <c r="I568" s="101">
        <f t="shared" si="87"/>
        <v>15</v>
      </c>
      <c r="J568" s="103">
        <f t="shared" si="80"/>
        <v>0</v>
      </c>
      <c r="K568" s="104">
        <f>+ SUMIF('Doanh thu'!A:A, C568,'Doanh thu'!F:F)</f>
        <v>0</v>
      </c>
      <c r="L568" s="93">
        <f t="shared" si="77"/>
        <v>50</v>
      </c>
      <c r="M568" s="93">
        <f t="shared" si="84"/>
        <v>3500000</v>
      </c>
      <c r="N568" s="93">
        <f t="shared" si="68"/>
        <v>3499950</v>
      </c>
    </row>
    <row r="569" spans="3:14" ht="13.2">
      <c r="C569" s="16" t="s">
        <v>1432</v>
      </c>
      <c r="E569" s="16" t="s">
        <v>444</v>
      </c>
      <c r="F569" s="2"/>
      <c r="G569" s="102">
        <f>+ SUMIF('Nhập kho T42024'!B:B, C569,'Nhập kho T42024'!F:F)</f>
        <v>23</v>
      </c>
      <c r="H569" s="101">
        <f>+ SUMIF('Doanh thu'!A:A, C569,'Doanh thu'!E:E) + SUMIF('Doanh thu 2025'!B:B, C569,'Doanh thu 2025'!E:E)</f>
        <v>22</v>
      </c>
      <c r="I569" s="101">
        <f t="shared" si="87"/>
        <v>1</v>
      </c>
      <c r="J569" s="103">
        <f t="shared" si="80"/>
        <v>0</v>
      </c>
      <c r="K569" s="104">
        <f>+ SUMIF('Doanh thu'!A:A, C569,'Doanh thu'!F:F)</f>
        <v>0</v>
      </c>
      <c r="L569" s="93">
        <f t="shared" si="77"/>
        <v>23</v>
      </c>
      <c r="M569" s="93">
        <f t="shared" si="84"/>
        <v>2200000</v>
      </c>
      <c r="N569" s="93">
        <f t="shared" si="68"/>
        <v>2199977</v>
      </c>
    </row>
    <row r="570" spans="3:14" ht="13.2">
      <c r="C570" s="16" t="s">
        <v>1433</v>
      </c>
      <c r="E570" s="16" t="s">
        <v>444</v>
      </c>
      <c r="F570" s="2"/>
      <c r="G570" s="102">
        <f>+ SUMIF('Nhập kho T42024'!B:B, C570,'Nhập kho T42024'!F:F)</f>
        <v>23</v>
      </c>
      <c r="H570" s="101">
        <f>+ SUMIF('Doanh thu'!A:A, C570,'Doanh thu'!E:E) + SUMIF('Doanh thu 2025'!B:B, C570,'Doanh thu 2025'!E:E)</f>
        <v>17</v>
      </c>
      <c r="I570" s="101">
        <f t="shared" si="87"/>
        <v>6</v>
      </c>
      <c r="J570" s="103">
        <f t="shared" si="80"/>
        <v>0</v>
      </c>
      <c r="K570" s="104">
        <f>+ SUMIF('Doanh thu'!A:A, C570,'Doanh thu'!F:F)</f>
        <v>0</v>
      </c>
      <c r="L570" s="93">
        <f t="shared" si="77"/>
        <v>23</v>
      </c>
      <c r="M570" s="93">
        <f t="shared" si="84"/>
        <v>1700000</v>
      </c>
      <c r="N570" s="93">
        <f t="shared" si="68"/>
        <v>1699977</v>
      </c>
    </row>
    <row r="571" spans="3:14" ht="13.2">
      <c r="C571" s="16" t="s">
        <v>1434</v>
      </c>
      <c r="E571" s="16" t="s">
        <v>444</v>
      </c>
      <c r="F571" s="2"/>
      <c r="G571" s="102">
        <f>+ SUMIF('Nhập kho T42024'!B:B, C571,'Nhập kho T42024'!F:F)</f>
        <v>23</v>
      </c>
      <c r="H571" s="101">
        <f>+ SUMIF('Doanh thu'!A:A, C571,'Doanh thu'!E:E) + SUMIF('Doanh thu 2025'!B:B, C571,'Doanh thu 2025'!E:E)</f>
        <v>17</v>
      </c>
      <c r="I571" s="101">
        <f t="shared" si="87"/>
        <v>6</v>
      </c>
      <c r="J571" s="103">
        <f t="shared" si="80"/>
        <v>0</v>
      </c>
      <c r="K571" s="104">
        <f>+ SUMIF('Doanh thu'!A:A, C571,'Doanh thu'!F:F)</f>
        <v>0</v>
      </c>
      <c r="L571" s="93">
        <f t="shared" si="77"/>
        <v>23</v>
      </c>
      <c r="M571" s="93">
        <f t="shared" si="84"/>
        <v>1700000</v>
      </c>
      <c r="N571" s="93">
        <f t="shared" si="68"/>
        <v>1699977</v>
      </c>
    </row>
    <row r="572" spans="3:14" ht="13.2">
      <c r="C572" s="16" t="s">
        <v>1435</v>
      </c>
      <c r="F572" s="2"/>
      <c r="G572" s="102">
        <f>+ SUMIF('Nhập kho T42024'!B:B, C572,'Nhập kho T42024'!F:F)</f>
        <v>12</v>
      </c>
      <c r="H572" s="101">
        <f>+ SUMIF('Doanh thu'!A:A, C572,'Doanh thu'!E:E) + SUMIF('Doanh thu 2025'!B:B, C572,'Doanh thu 2025'!E:E)</f>
        <v>25</v>
      </c>
      <c r="I572" s="101">
        <f>G572-H572+8</f>
        <v>-5</v>
      </c>
      <c r="J572" s="103">
        <f t="shared" si="80"/>
        <v>0</v>
      </c>
      <c r="K572" s="104">
        <f>+ SUMIF('Doanh thu'!A:A, C572,'Doanh thu'!F:F)</f>
        <v>0</v>
      </c>
      <c r="L572" s="93">
        <f t="shared" si="77"/>
        <v>12</v>
      </c>
      <c r="M572" s="93">
        <f t="shared" si="84"/>
        <v>2500000</v>
      </c>
      <c r="N572" s="93">
        <f t="shared" si="68"/>
        <v>2499988</v>
      </c>
    </row>
    <row r="573" spans="3:14" ht="13.2">
      <c r="C573" s="16" t="s">
        <v>1431</v>
      </c>
      <c r="F573" s="2"/>
      <c r="G573" s="102">
        <f>+ SUMIF('Nhập kho T42024'!B:B, C573,'Nhập kho T42024'!F:F)</f>
        <v>50</v>
      </c>
      <c r="H573" s="101">
        <f>+ SUMIF('Doanh thu'!A:A, C573,'Doanh thu'!E:E) + SUMIF('Doanh thu 2025'!B:B, C573,'Doanh thu 2025'!E:E)</f>
        <v>35</v>
      </c>
      <c r="I573" s="101">
        <f t="shared" ref="I573:I585" si="88">G573-H573</f>
        <v>15</v>
      </c>
      <c r="J573" s="103">
        <f t="shared" si="80"/>
        <v>0</v>
      </c>
      <c r="K573" s="104">
        <f>+ SUMIF('Doanh thu'!A:A, C573,'Doanh thu'!F:F)</f>
        <v>0</v>
      </c>
      <c r="L573" s="93">
        <f t="shared" si="77"/>
        <v>50</v>
      </c>
      <c r="M573" s="93">
        <f t="shared" si="84"/>
        <v>3500000</v>
      </c>
      <c r="N573" s="93">
        <f t="shared" si="68"/>
        <v>3499950</v>
      </c>
    </row>
    <row r="574" spans="3:14" ht="13.2">
      <c r="C574" s="16" t="s">
        <v>1432</v>
      </c>
      <c r="F574" s="2"/>
      <c r="G574" s="102">
        <f>+ SUMIF('Nhập kho T42024'!B:B, C574,'Nhập kho T42024'!F:F)</f>
        <v>23</v>
      </c>
      <c r="H574" s="101">
        <f>+ SUMIF('Doanh thu'!A:A, C574,'Doanh thu'!E:E) + SUMIF('Doanh thu 2025'!B:B, C574,'Doanh thu 2025'!E:E)</f>
        <v>22</v>
      </c>
      <c r="I574" s="101">
        <f t="shared" si="88"/>
        <v>1</v>
      </c>
      <c r="J574" s="103">
        <f t="shared" si="80"/>
        <v>0</v>
      </c>
      <c r="K574" s="104">
        <f>+ SUMIF('Doanh thu'!A:A, C574,'Doanh thu'!F:F)</f>
        <v>0</v>
      </c>
      <c r="L574" s="93">
        <f t="shared" si="77"/>
        <v>23</v>
      </c>
      <c r="M574" s="93">
        <f t="shared" si="84"/>
        <v>2200000</v>
      </c>
      <c r="N574" s="93">
        <f t="shared" si="68"/>
        <v>2199977</v>
      </c>
    </row>
    <row r="575" spans="3:14" ht="13.2">
      <c r="C575" s="16" t="s">
        <v>1433</v>
      </c>
      <c r="F575" s="2"/>
      <c r="G575" s="102">
        <f>+ SUMIF('Nhập kho T42024'!B:B, C575,'Nhập kho T42024'!F:F)</f>
        <v>23</v>
      </c>
      <c r="H575" s="101">
        <f>+ SUMIF('Doanh thu'!A:A, C575,'Doanh thu'!E:E) + SUMIF('Doanh thu 2025'!B:B, C575,'Doanh thu 2025'!E:E)</f>
        <v>17</v>
      </c>
      <c r="I575" s="101">
        <f t="shared" si="88"/>
        <v>6</v>
      </c>
      <c r="J575" s="103">
        <f t="shared" si="80"/>
        <v>0</v>
      </c>
      <c r="K575" s="104">
        <f>+ SUMIF('Doanh thu'!A:A, C575,'Doanh thu'!F:F)</f>
        <v>0</v>
      </c>
      <c r="L575" s="93">
        <f t="shared" si="77"/>
        <v>23</v>
      </c>
      <c r="M575" s="93">
        <f t="shared" si="84"/>
        <v>1700000</v>
      </c>
      <c r="N575" s="93">
        <f t="shared" si="68"/>
        <v>1699977</v>
      </c>
    </row>
    <row r="576" spans="3:14" ht="13.2">
      <c r="C576" s="16" t="s">
        <v>1434</v>
      </c>
      <c r="F576" s="2"/>
      <c r="G576" s="102">
        <f>+ SUMIF('Nhập kho T42024'!B:B, C576,'Nhập kho T42024'!F:F)</f>
        <v>23</v>
      </c>
      <c r="H576" s="101">
        <f>+ SUMIF('Doanh thu'!A:A, C576,'Doanh thu'!E:E) + SUMIF('Doanh thu 2025'!B:B, C576,'Doanh thu 2025'!E:E)</f>
        <v>17</v>
      </c>
      <c r="I576" s="101">
        <f t="shared" si="88"/>
        <v>6</v>
      </c>
      <c r="J576" s="103">
        <f t="shared" si="80"/>
        <v>0</v>
      </c>
      <c r="K576" s="104">
        <f>+ SUMIF('Doanh thu'!A:A, C576,'Doanh thu'!F:F)</f>
        <v>0</v>
      </c>
      <c r="L576" s="93">
        <f t="shared" si="77"/>
        <v>23</v>
      </c>
      <c r="M576" s="93">
        <f t="shared" si="84"/>
        <v>1700000</v>
      </c>
      <c r="N576" s="93">
        <f t="shared" si="68"/>
        <v>1699977</v>
      </c>
    </row>
    <row r="577" spans="3:14" ht="13.2">
      <c r="C577" s="16" t="s">
        <v>1436</v>
      </c>
      <c r="D577" s="16" t="s">
        <v>1437</v>
      </c>
      <c r="E577" s="16" t="s">
        <v>394</v>
      </c>
      <c r="F577" s="2"/>
      <c r="G577" s="102">
        <f>+ SUMIF('Nhập kho T42024'!B:B, C577,'Nhập kho T42024'!F:F)</f>
        <v>0</v>
      </c>
      <c r="H577" s="101">
        <f>+ SUMIF('Doanh thu'!A:A, C577,'Doanh thu'!E:E) + SUMIF('Doanh thu 2025'!B:B, C577,'Doanh thu 2025'!E:E)</f>
        <v>6</v>
      </c>
      <c r="I577" s="101">
        <f t="shared" si="88"/>
        <v>-6</v>
      </c>
      <c r="J577" s="103">
        <f t="shared" si="80"/>
        <v>0</v>
      </c>
      <c r="K577" s="104">
        <f>+ SUMIF('Doanh thu'!A:A, C577,'Doanh thu'!F:F)</f>
        <v>0</v>
      </c>
      <c r="L577" s="93">
        <f t="shared" si="77"/>
        <v>0</v>
      </c>
      <c r="M577" s="93">
        <f t="shared" si="84"/>
        <v>600000</v>
      </c>
      <c r="N577" s="93">
        <f t="shared" si="68"/>
        <v>600000</v>
      </c>
    </row>
    <row r="578" spans="3:14" ht="13.2">
      <c r="C578" s="16" t="s">
        <v>1438</v>
      </c>
      <c r="D578" s="16" t="s">
        <v>1437</v>
      </c>
      <c r="E578" s="16" t="s">
        <v>394</v>
      </c>
      <c r="F578" s="2"/>
      <c r="G578" s="102">
        <f>+ SUMIF('Nhập kho T42024'!B:B, C578,'Nhập kho T42024'!F:F)</f>
        <v>0</v>
      </c>
      <c r="H578" s="101">
        <f>+ SUMIF('Doanh thu'!A:A, C578,'Doanh thu'!E:E) + SUMIF('Doanh thu 2025'!B:B, C578,'Doanh thu 2025'!E:E)</f>
        <v>17</v>
      </c>
      <c r="I578" s="101">
        <f t="shared" si="88"/>
        <v>-17</v>
      </c>
      <c r="J578" s="103">
        <f t="shared" si="80"/>
        <v>0</v>
      </c>
      <c r="K578" s="104">
        <f>+ SUMIF('Doanh thu'!A:A, C578,'Doanh thu'!F:F)</f>
        <v>0</v>
      </c>
      <c r="L578" s="93">
        <f t="shared" si="77"/>
        <v>0</v>
      </c>
      <c r="M578" s="93">
        <f t="shared" si="84"/>
        <v>1700000</v>
      </c>
      <c r="N578" s="93">
        <f t="shared" si="68"/>
        <v>1700000</v>
      </c>
    </row>
    <row r="579" spans="3:14" ht="13.2">
      <c r="C579" s="16" t="s">
        <v>1439</v>
      </c>
      <c r="D579" s="16" t="s">
        <v>1437</v>
      </c>
      <c r="E579" s="16" t="s">
        <v>394</v>
      </c>
      <c r="F579" s="2"/>
      <c r="G579" s="102">
        <f>+ SUMIF('Nhập kho T42024'!B:B, C579,'Nhập kho T42024'!F:F)</f>
        <v>0</v>
      </c>
      <c r="H579" s="101">
        <f>+ SUMIF('Doanh thu'!A:A, C579,'Doanh thu'!E:E) + SUMIF('Doanh thu 2025'!B:B, C579,'Doanh thu 2025'!E:E)</f>
        <v>17</v>
      </c>
      <c r="I579" s="101">
        <f t="shared" si="88"/>
        <v>-17</v>
      </c>
      <c r="J579" s="103">
        <f t="shared" si="80"/>
        <v>0</v>
      </c>
      <c r="K579" s="104">
        <f>+ SUMIF('Doanh thu'!A:A, C579,'Doanh thu'!F:F)</f>
        <v>0</v>
      </c>
      <c r="L579" s="93">
        <f t="shared" si="77"/>
        <v>0</v>
      </c>
      <c r="M579" s="93">
        <f t="shared" si="84"/>
        <v>1700000</v>
      </c>
      <c r="N579" s="93">
        <f t="shared" si="68"/>
        <v>1700000</v>
      </c>
    </row>
    <row r="580" spans="3:14" ht="13.2">
      <c r="C580" s="16" t="s">
        <v>1440</v>
      </c>
      <c r="D580" s="16" t="s">
        <v>1437</v>
      </c>
      <c r="E580" s="16" t="s">
        <v>394</v>
      </c>
      <c r="F580" s="2"/>
      <c r="G580" s="102">
        <f>+ SUMIF('Nhập kho T42024'!B:B, C580,'Nhập kho T42024'!F:F)</f>
        <v>0</v>
      </c>
      <c r="H580" s="101">
        <f>+ SUMIF('Doanh thu'!A:A, C580,'Doanh thu'!E:E) + SUMIF('Doanh thu 2025'!B:B, C580,'Doanh thu 2025'!E:E)</f>
        <v>13</v>
      </c>
      <c r="I580" s="101">
        <f t="shared" si="88"/>
        <v>-13</v>
      </c>
      <c r="J580" s="103">
        <f t="shared" si="80"/>
        <v>0</v>
      </c>
      <c r="K580" s="104">
        <f>+ SUMIF('Doanh thu'!A:A, C580,'Doanh thu'!F:F)</f>
        <v>0</v>
      </c>
      <c r="L580" s="93">
        <f t="shared" si="77"/>
        <v>0</v>
      </c>
      <c r="M580" s="93">
        <f t="shared" si="84"/>
        <v>1300000</v>
      </c>
      <c r="N580" s="93">
        <f t="shared" si="68"/>
        <v>1300000</v>
      </c>
    </row>
    <row r="581" spans="3:14" ht="13.2">
      <c r="C581" s="16" t="s">
        <v>1441</v>
      </c>
      <c r="D581" s="16" t="s">
        <v>1437</v>
      </c>
      <c r="E581" s="16" t="s">
        <v>394</v>
      </c>
      <c r="F581" s="2"/>
      <c r="G581" s="102">
        <f>+ SUMIF('Nhập kho T42024'!B:B, C581,'Nhập kho T42024'!F:F)</f>
        <v>0</v>
      </c>
      <c r="H581" s="101">
        <f>+ SUMIF('Doanh thu'!A:A, C581,'Doanh thu'!E:E) + SUMIF('Doanh thu 2025'!B:B, C581,'Doanh thu 2025'!E:E)</f>
        <v>7</v>
      </c>
      <c r="I581" s="101">
        <f t="shared" si="88"/>
        <v>-7</v>
      </c>
      <c r="J581" s="103">
        <f t="shared" si="80"/>
        <v>0</v>
      </c>
      <c r="K581" s="104">
        <f>+ SUMIF('Doanh thu'!A:A, C581,'Doanh thu'!F:F)</f>
        <v>0</v>
      </c>
      <c r="L581" s="93">
        <f t="shared" si="77"/>
        <v>0</v>
      </c>
      <c r="M581" s="93">
        <f t="shared" si="84"/>
        <v>700000</v>
      </c>
      <c r="N581" s="93">
        <f t="shared" si="68"/>
        <v>700000</v>
      </c>
    </row>
    <row r="582" spans="3:14" ht="13.2">
      <c r="C582" s="16" t="s">
        <v>1442</v>
      </c>
      <c r="D582" s="16" t="s">
        <v>1437</v>
      </c>
      <c r="E582" s="16" t="s">
        <v>394</v>
      </c>
      <c r="F582" s="2"/>
      <c r="G582" s="102">
        <f>+ SUMIF('Nhập kho T42024'!B:B, C582,'Nhập kho T42024'!F:F)</f>
        <v>0</v>
      </c>
      <c r="H582" s="101">
        <f>+ SUMIF('Doanh thu'!A:A, C582,'Doanh thu'!E:E) + SUMIF('Doanh thu 2025'!B:B, C582,'Doanh thu 2025'!E:E)</f>
        <v>7</v>
      </c>
      <c r="I582" s="101">
        <f t="shared" si="88"/>
        <v>-7</v>
      </c>
      <c r="J582" s="103">
        <f t="shared" si="80"/>
        <v>0</v>
      </c>
      <c r="K582" s="104">
        <f>+ SUMIF('Doanh thu'!A:A, C582,'Doanh thu'!F:F)</f>
        <v>0</v>
      </c>
      <c r="L582" s="93">
        <f t="shared" si="77"/>
        <v>0</v>
      </c>
      <c r="M582" s="93">
        <f t="shared" si="84"/>
        <v>700000</v>
      </c>
      <c r="N582" s="93">
        <f t="shared" si="68"/>
        <v>700000</v>
      </c>
    </row>
    <row r="583" spans="3:14" ht="13.2">
      <c r="C583" s="16" t="s">
        <v>1443</v>
      </c>
      <c r="D583" s="16" t="s">
        <v>1437</v>
      </c>
      <c r="E583" s="16" t="s">
        <v>394</v>
      </c>
      <c r="F583" s="2"/>
      <c r="G583" s="102">
        <f>+ SUMIF('Nhập kho T42024'!B:B, C583,'Nhập kho T42024'!F:F)</f>
        <v>0</v>
      </c>
      <c r="H583" s="101">
        <f>+ SUMIF('Doanh thu'!A:A, C583,'Doanh thu'!E:E) + SUMIF('Doanh thu 2025'!B:B, C583,'Doanh thu 2025'!E:E)</f>
        <v>11</v>
      </c>
      <c r="I583" s="101">
        <f t="shared" si="88"/>
        <v>-11</v>
      </c>
      <c r="J583" s="103">
        <f t="shared" si="80"/>
        <v>0</v>
      </c>
      <c r="K583" s="104">
        <f>+ SUMIF('Doanh thu'!A:A, C583,'Doanh thu'!F:F)</f>
        <v>0</v>
      </c>
      <c r="L583" s="93">
        <f t="shared" si="77"/>
        <v>0</v>
      </c>
      <c r="M583" s="93">
        <f t="shared" si="84"/>
        <v>1100000</v>
      </c>
      <c r="N583" s="93">
        <f t="shared" si="68"/>
        <v>1100000</v>
      </c>
    </row>
    <row r="584" spans="3:14" ht="13.2">
      <c r="C584" s="16" t="s">
        <v>1444</v>
      </c>
      <c r="D584" s="16" t="s">
        <v>1427</v>
      </c>
      <c r="E584" s="16" t="s">
        <v>444</v>
      </c>
      <c r="F584" s="2"/>
      <c r="G584" s="102">
        <f>+ SUMIF('Nhập kho T42024'!B:B, C584,'Nhập kho T42024'!F:F)</f>
        <v>0</v>
      </c>
      <c r="H584" s="101">
        <f>+ SUMIF('Doanh thu'!A:A, C584,'Doanh thu'!E:E) + SUMIF('Doanh thu 2025'!B:B, C584,'Doanh thu 2025'!E:E)</f>
        <v>4</v>
      </c>
      <c r="I584" s="101">
        <f t="shared" si="88"/>
        <v>-4</v>
      </c>
      <c r="J584" s="103">
        <f t="shared" si="80"/>
        <v>0</v>
      </c>
      <c r="K584" s="104">
        <f>+ SUMIF('Doanh thu'!A:A, C584,'Doanh thu'!F:F)</f>
        <v>0</v>
      </c>
      <c r="L584" s="93">
        <f t="shared" si="77"/>
        <v>0</v>
      </c>
      <c r="M584" s="93">
        <f t="shared" si="84"/>
        <v>400000</v>
      </c>
      <c r="N584" s="93">
        <f t="shared" si="68"/>
        <v>400000</v>
      </c>
    </row>
    <row r="585" spans="3:14" ht="13.2">
      <c r="C585" s="16" t="s">
        <v>1445</v>
      </c>
      <c r="D585" s="16" t="s">
        <v>1427</v>
      </c>
      <c r="E585" s="16" t="s">
        <v>444</v>
      </c>
      <c r="F585" s="2"/>
      <c r="G585" s="102">
        <f>+ SUMIF('Nhập kho T42024'!B:B, C585,'Nhập kho T42024'!F:F)</f>
        <v>0</v>
      </c>
      <c r="H585" s="101">
        <f>+ SUMIF('Doanh thu'!A:A, C585,'Doanh thu'!E:E) + SUMIF('Doanh thu 2025'!B:B, C585,'Doanh thu 2025'!E:E)</f>
        <v>7</v>
      </c>
      <c r="I585" s="101">
        <f t="shared" si="88"/>
        <v>-7</v>
      </c>
      <c r="J585" s="103">
        <f t="shared" si="80"/>
        <v>0</v>
      </c>
      <c r="K585" s="104">
        <f>+ SUMIF('Doanh thu'!A:A, C585,'Doanh thu'!F:F)</f>
        <v>0</v>
      </c>
      <c r="L585" s="93">
        <f t="shared" si="77"/>
        <v>0</v>
      </c>
      <c r="M585" s="93">
        <f t="shared" si="84"/>
        <v>700000</v>
      </c>
      <c r="N585" s="93">
        <f t="shared" si="68"/>
        <v>700000</v>
      </c>
    </row>
    <row r="586" spans="3:14" ht="13.2">
      <c r="C586" s="16" t="s">
        <v>1446</v>
      </c>
      <c r="D586" s="16" t="s">
        <v>1447</v>
      </c>
      <c r="E586" s="16" t="s">
        <v>394</v>
      </c>
      <c r="F586" s="2"/>
      <c r="G586" s="102">
        <f>+ SUMIF('Nhập kho T42024'!B:B, C586,'Nhập kho T42024'!F:F)</f>
        <v>0</v>
      </c>
      <c r="H586" s="101">
        <f>+ SUMIF('Doanh thu'!A:A, C586,'Doanh thu'!E:E) + SUMIF('Doanh thu 2025'!B:B, C586,'Doanh thu 2025'!E:E)</f>
        <v>37</v>
      </c>
      <c r="I586" s="101">
        <f>G586-H586+51-1</f>
        <v>13</v>
      </c>
      <c r="J586" s="103">
        <f t="shared" si="80"/>
        <v>0</v>
      </c>
      <c r="K586" s="104">
        <f>+ SUMIF('Doanh thu'!A:A, C586,'Doanh thu'!F:F)</f>
        <v>0</v>
      </c>
      <c r="L586" s="93">
        <f t="shared" si="77"/>
        <v>0</v>
      </c>
      <c r="M586" s="93">
        <f t="shared" si="84"/>
        <v>3700000</v>
      </c>
      <c r="N586" s="93">
        <f t="shared" si="68"/>
        <v>3700000</v>
      </c>
    </row>
    <row r="587" spans="3:14" ht="13.2">
      <c r="C587" s="16" t="s">
        <v>1448</v>
      </c>
      <c r="F587" s="2"/>
      <c r="G587" s="102">
        <f>+ SUMIF('Nhập kho T42024'!B:B, C587,'Nhập kho T42024'!F:F)</f>
        <v>11</v>
      </c>
      <c r="H587" s="101">
        <f>+ SUMIF('Doanh thu'!A:A, C587,'Doanh thu'!E:E) + SUMIF('Doanh thu 2025'!B:B, C587,'Doanh thu 2025'!E:E)</f>
        <v>11</v>
      </c>
      <c r="I587" s="101">
        <f>G587-H587</f>
        <v>0</v>
      </c>
      <c r="J587" s="103">
        <f t="shared" si="80"/>
        <v>0</v>
      </c>
      <c r="K587" s="104">
        <f>+ SUMIF('Doanh thu'!A:A, C587,'Doanh thu'!F:F)</f>
        <v>0</v>
      </c>
      <c r="L587" s="93">
        <f t="shared" si="77"/>
        <v>11</v>
      </c>
      <c r="M587" s="93">
        <f t="shared" si="84"/>
        <v>1100000</v>
      </c>
      <c r="N587" s="93">
        <f t="shared" si="68"/>
        <v>1099989</v>
      </c>
    </row>
    <row r="588" spans="3:14" ht="13.2">
      <c r="C588" s="16" t="s">
        <v>1449</v>
      </c>
      <c r="F588" s="2"/>
      <c r="G588" s="102">
        <f>+ SUMIF('Nhập kho T42024'!B:B, C588,'Nhập kho T42024'!F:F)</f>
        <v>5</v>
      </c>
      <c r="H588" s="101">
        <f>+ SUMIF('Doanh thu'!A:A, C588,'Doanh thu'!E:E) + SUMIF('Doanh thu 2025'!B:B, C588,'Doanh thu 2025'!E:E)</f>
        <v>5</v>
      </c>
      <c r="I588" s="101">
        <f>G588-H588+1-1</f>
        <v>0</v>
      </c>
      <c r="J588" s="103">
        <f t="shared" si="80"/>
        <v>0</v>
      </c>
      <c r="K588" s="104">
        <f>+ SUMIF('Doanh thu'!A:A, C588,'Doanh thu'!F:F)</f>
        <v>0</v>
      </c>
      <c r="L588" s="93">
        <f t="shared" si="77"/>
        <v>5</v>
      </c>
      <c r="M588" s="93">
        <f t="shared" si="84"/>
        <v>500000</v>
      </c>
      <c r="N588" s="93">
        <f t="shared" si="68"/>
        <v>499995</v>
      </c>
    </row>
    <row r="589" spans="3:14" ht="13.2">
      <c r="C589" s="16" t="s">
        <v>228</v>
      </c>
      <c r="F589" s="2"/>
      <c r="G589" s="102">
        <f>+ SUMIF('Nhập kho T42024'!B:B, C589,'Nhập kho T42024'!F:F)</f>
        <v>40</v>
      </c>
      <c r="H589" s="101">
        <f>+ SUMIF('Doanh thu'!A:A, C589,'Doanh thu'!E:E) + SUMIF('Doanh thu 2025'!B:B, C589,'Doanh thu 2025'!E:E)</f>
        <v>14</v>
      </c>
      <c r="I589" s="101">
        <f>G589-H589+5</f>
        <v>31</v>
      </c>
      <c r="J589" s="103">
        <f t="shared" si="80"/>
        <v>0</v>
      </c>
      <c r="K589" s="104">
        <f>+ SUMIF('Doanh thu'!A:A, C589,'Doanh thu'!F:F)</f>
        <v>0</v>
      </c>
      <c r="L589" s="93">
        <f t="shared" si="77"/>
        <v>40</v>
      </c>
      <c r="M589" s="93">
        <f t="shared" si="84"/>
        <v>1400000</v>
      </c>
      <c r="N589" s="93">
        <f t="shared" si="68"/>
        <v>1399960</v>
      </c>
    </row>
    <row r="590" spans="3:14" ht="13.2">
      <c r="C590" s="16" t="s">
        <v>229</v>
      </c>
      <c r="F590" s="2"/>
      <c r="G590" s="102">
        <f>+ SUMIF('Nhập kho T42024'!B:B, C590,'Nhập kho T42024'!F:F)</f>
        <v>0</v>
      </c>
      <c r="H590" s="101">
        <f>+ SUMIF('Doanh thu'!A:A, C590,'Doanh thu'!E:E) + SUMIF('Doanh thu 2025'!B:B, C590,'Doanh thu 2025'!E:E)</f>
        <v>13</v>
      </c>
      <c r="I590" s="101">
        <f>G590-H590+10</f>
        <v>-3</v>
      </c>
      <c r="J590" s="103">
        <f t="shared" si="80"/>
        <v>0</v>
      </c>
      <c r="K590" s="104">
        <f>+ SUMIF('Doanh thu'!A:A, C590,'Doanh thu'!F:F)</f>
        <v>0</v>
      </c>
      <c r="L590" s="93">
        <f t="shared" si="77"/>
        <v>0</v>
      </c>
      <c r="M590" s="93">
        <f t="shared" si="84"/>
        <v>1300000</v>
      </c>
      <c r="N590" s="93">
        <f t="shared" si="68"/>
        <v>1300000</v>
      </c>
    </row>
    <row r="591" spans="3:14" ht="13.2">
      <c r="C591" s="16" t="s">
        <v>1450</v>
      </c>
      <c r="F591" s="2"/>
      <c r="G591" s="102">
        <f>+ SUMIF('Nhập kho T42024'!B:B, C591,'Nhập kho T42024'!F:F)</f>
        <v>40</v>
      </c>
      <c r="H591" s="101">
        <f>+ SUMIF('Doanh thu'!A:A, C591,'Doanh thu'!E:E) + SUMIF('Doanh thu 2025'!B:B, C591,'Doanh thu 2025'!E:E)</f>
        <v>4</v>
      </c>
      <c r="I591" s="101">
        <f>G591-H591+5</f>
        <v>41</v>
      </c>
      <c r="J591" s="103">
        <f t="shared" si="80"/>
        <v>0</v>
      </c>
      <c r="K591" s="104">
        <f>+ SUMIF('Doanh thu'!A:A, C591,'Doanh thu'!F:F)</f>
        <v>0</v>
      </c>
      <c r="L591" s="93">
        <f t="shared" si="77"/>
        <v>40</v>
      </c>
      <c r="M591" s="93">
        <f t="shared" si="84"/>
        <v>400000</v>
      </c>
      <c r="N591" s="93">
        <f t="shared" si="68"/>
        <v>399960</v>
      </c>
    </row>
    <row r="592" spans="3:14" ht="13.2">
      <c r="C592" s="16" t="s">
        <v>1451</v>
      </c>
      <c r="F592" s="2"/>
      <c r="G592" s="102">
        <f>+ SUMIF('Nhập kho T42024'!B:B, C592,'Nhập kho T42024'!F:F)</f>
        <v>40</v>
      </c>
      <c r="H592" s="101">
        <f>+ SUMIF('Doanh thu'!A:A, C592,'Doanh thu'!E:E) + SUMIF('Doanh thu 2025'!B:B, C592,'Doanh thu 2025'!E:E)</f>
        <v>29</v>
      </c>
      <c r="I592" s="101">
        <f t="shared" ref="I592:I644" si="89">G592-H592</f>
        <v>11</v>
      </c>
      <c r="J592" s="103">
        <f t="shared" si="80"/>
        <v>0</v>
      </c>
      <c r="K592" s="104">
        <f>+ SUMIF('Doanh thu'!A:A, C592,'Doanh thu'!F:F)</f>
        <v>0</v>
      </c>
      <c r="L592" s="93">
        <f t="shared" si="77"/>
        <v>40</v>
      </c>
      <c r="M592" s="93">
        <f t="shared" si="84"/>
        <v>2900000</v>
      </c>
      <c r="N592" s="93">
        <f t="shared" si="68"/>
        <v>2899960</v>
      </c>
    </row>
    <row r="593" spans="3:14" ht="13.2">
      <c r="C593" s="16" t="s">
        <v>1452</v>
      </c>
      <c r="F593" s="2"/>
      <c r="G593" s="102">
        <f>+ SUMIF('Nhập kho T42024'!B:B, C593,'Nhập kho T42024'!F:F)</f>
        <v>30</v>
      </c>
      <c r="H593" s="101">
        <f>+ SUMIF('Doanh thu'!A:A, C593,'Doanh thu'!E:E) + SUMIF('Doanh thu 2025'!B:B, C593,'Doanh thu 2025'!E:E)</f>
        <v>18</v>
      </c>
      <c r="I593" s="101">
        <f t="shared" si="89"/>
        <v>12</v>
      </c>
      <c r="J593" s="103">
        <f t="shared" si="80"/>
        <v>0</v>
      </c>
      <c r="K593" s="104">
        <f>+ SUMIF('Doanh thu'!A:A, C593,'Doanh thu'!F:F)</f>
        <v>0</v>
      </c>
      <c r="L593" s="93">
        <f t="shared" si="77"/>
        <v>30</v>
      </c>
      <c r="M593" s="93">
        <f t="shared" si="84"/>
        <v>1800000</v>
      </c>
      <c r="N593" s="93">
        <f t="shared" si="68"/>
        <v>1799970</v>
      </c>
    </row>
    <row r="594" spans="3:14" ht="13.2">
      <c r="C594" s="16" t="s">
        <v>1453</v>
      </c>
      <c r="F594" s="2"/>
      <c r="G594" s="102">
        <f>+ SUMIF('Nhập kho T42024'!B:B, C594,'Nhập kho T42024'!F:F)</f>
        <v>20</v>
      </c>
      <c r="H594" s="101">
        <f>+ SUMIF('Doanh thu'!A:A, C594,'Doanh thu'!E:E) + SUMIF('Doanh thu 2025'!B:B, C594,'Doanh thu 2025'!E:E)</f>
        <v>5</v>
      </c>
      <c r="I594" s="101">
        <f t="shared" si="89"/>
        <v>15</v>
      </c>
      <c r="J594" s="103">
        <f t="shared" si="80"/>
        <v>0</v>
      </c>
      <c r="K594" s="104">
        <f>+ SUMIF('Doanh thu'!A:A, C594,'Doanh thu'!F:F)</f>
        <v>0</v>
      </c>
      <c r="L594" s="93">
        <f t="shared" si="77"/>
        <v>20</v>
      </c>
      <c r="M594" s="93">
        <f t="shared" si="84"/>
        <v>500000</v>
      </c>
      <c r="N594" s="93">
        <f t="shared" si="68"/>
        <v>499980</v>
      </c>
    </row>
    <row r="595" spans="3:14" ht="13.2">
      <c r="C595" s="16" t="s">
        <v>1454</v>
      </c>
      <c r="F595" s="2"/>
      <c r="G595" s="102">
        <f>+ SUMIF('Nhập kho T42024'!B:B, C595,'Nhập kho T42024'!F:F)</f>
        <v>10</v>
      </c>
      <c r="H595" s="101">
        <f>+ SUMIF('Doanh thu'!A:A, C595,'Doanh thu'!E:E) + SUMIF('Doanh thu 2025'!B:B, C595,'Doanh thu 2025'!E:E)</f>
        <v>0</v>
      </c>
      <c r="I595" s="101">
        <f t="shared" si="89"/>
        <v>10</v>
      </c>
      <c r="J595" s="103">
        <f t="shared" si="80"/>
        <v>0</v>
      </c>
      <c r="K595" s="104">
        <f>+ SUMIF('Doanh thu'!A:A, C595,'Doanh thu'!F:F)</f>
        <v>0</v>
      </c>
      <c r="L595" s="93">
        <f t="shared" si="77"/>
        <v>10</v>
      </c>
      <c r="M595" s="93">
        <f t="shared" si="84"/>
        <v>0</v>
      </c>
      <c r="N595" s="93">
        <f t="shared" si="68"/>
        <v>-10</v>
      </c>
    </row>
    <row r="596" spans="3:14" ht="13.2">
      <c r="C596" s="16" t="s">
        <v>1455</v>
      </c>
      <c r="F596" s="2"/>
      <c r="G596" s="102">
        <f>+ SUMIF('Nhập kho T42024'!B:B, C596,'Nhập kho T42024'!F:F)</f>
        <v>20</v>
      </c>
      <c r="H596" s="101">
        <f>+ SUMIF('Doanh thu'!A:A, C596,'Doanh thu'!E:E) + SUMIF('Doanh thu 2025'!B:B, C596,'Doanh thu 2025'!E:E)</f>
        <v>3</v>
      </c>
      <c r="I596" s="101">
        <f t="shared" si="89"/>
        <v>17</v>
      </c>
      <c r="J596" s="103">
        <f t="shared" si="80"/>
        <v>0</v>
      </c>
      <c r="K596" s="104">
        <f>+ SUMIF('Doanh thu'!A:A, C596,'Doanh thu'!F:F)</f>
        <v>0</v>
      </c>
      <c r="L596" s="93">
        <f t="shared" si="77"/>
        <v>20</v>
      </c>
      <c r="M596" s="93">
        <f t="shared" si="84"/>
        <v>300000</v>
      </c>
      <c r="N596" s="93">
        <f t="shared" si="68"/>
        <v>299980</v>
      </c>
    </row>
    <row r="597" spans="3:14" ht="13.2">
      <c r="C597" s="16" t="s">
        <v>1456</v>
      </c>
      <c r="F597" s="2"/>
      <c r="G597" s="102">
        <f>+ SUMIF('Nhập kho T42024'!B:B, C597,'Nhập kho T42024'!F:F)</f>
        <v>20</v>
      </c>
      <c r="H597" s="101">
        <f>+ SUMIF('Doanh thu'!A:A, C597,'Doanh thu'!E:E) + SUMIF('Doanh thu 2025'!B:B, C597,'Doanh thu 2025'!E:E)</f>
        <v>12</v>
      </c>
      <c r="I597" s="101">
        <f t="shared" si="89"/>
        <v>8</v>
      </c>
      <c r="J597" s="103">
        <f t="shared" si="80"/>
        <v>0</v>
      </c>
      <c r="K597" s="104">
        <f>+ SUMIF('Doanh thu'!A:A, C597,'Doanh thu'!F:F)</f>
        <v>0</v>
      </c>
      <c r="L597" s="93">
        <f t="shared" si="77"/>
        <v>20</v>
      </c>
      <c r="M597" s="93">
        <f t="shared" si="84"/>
        <v>1200000</v>
      </c>
      <c r="N597" s="93">
        <f t="shared" si="68"/>
        <v>1199980</v>
      </c>
    </row>
    <row r="598" spans="3:14" ht="13.2">
      <c r="C598" s="16" t="s">
        <v>1457</v>
      </c>
      <c r="F598" s="2"/>
      <c r="G598" s="102">
        <f>+ SUMIF('Nhập kho T42024'!B:B, C598,'Nhập kho T42024'!F:F)</f>
        <v>20</v>
      </c>
      <c r="H598" s="101">
        <f>+ SUMIF('Doanh thu'!A:A, C598,'Doanh thu'!E:E) + SUMIF('Doanh thu 2025'!B:B, C598,'Doanh thu 2025'!E:E)</f>
        <v>2</v>
      </c>
      <c r="I598" s="101">
        <f t="shared" si="89"/>
        <v>18</v>
      </c>
      <c r="J598" s="103">
        <f t="shared" si="80"/>
        <v>0</v>
      </c>
      <c r="K598" s="104">
        <f>+ SUMIF('Doanh thu'!A:A, C598,'Doanh thu'!F:F)</f>
        <v>0</v>
      </c>
      <c r="L598" s="93">
        <f t="shared" si="77"/>
        <v>20</v>
      </c>
      <c r="M598" s="93">
        <f t="shared" si="84"/>
        <v>200000</v>
      </c>
      <c r="N598" s="93">
        <f t="shared" si="68"/>
        <v>199980</v>
      </c>
    </row>
    <row r="599" spans="3:14" ht="13.2">
      <c r="C599" s="28" t="s">
        <v>1458</v>
      </c>
      <c r="F599" s="132">
        <v>85000</v>
      </c>
      <c r="G599" s="102">
        <f>+ SUMIF('Nhập kho T42024'!B:B, C599,'Nhập kho T42024'!F:F)</f>
        <v>3</v>
      </c>
      <c r="H599" s="101">
        <f>+ SUMIF('Doanh thu'!A:A, C599,'Doanh thu'!E:E) + SUMIF('Doanh thu 2025'!B:B, C599,'Doanh thu 2025'!E:E)</f>
        <v>3</v>
      </c>
      <c r="I599" s="101">
        <f t="shared" si="89"/>
        <v>0</v>
      </c>
      <c r="J599" s="103">
        <f t="shared" si="80"/>
        <v>0</v>
      </c>
      <c r="K599" s="104">
        <f>+ SUMIF('Doanh thu'!A:A, C599,'Doanh thu'!F:F)</f>
        <v>0</v>
      </c>
      <c r="L599" s="93">
        <f t="shared" si="77"/>
        <v>3</v>
      </c>
      <c r="M599" s="93">
        <f t="shared" si="84"/>
        <v>300000</v>
      </c>
      <c r="N599" s="93">
        <f t="shared" si="68"/>
        <v>299997</v>
      </c>
    </row>
    <row r="600" spans="3:14" ht="13.2">
      <c r="C600" s="28" t="s">
        <v>1459</v>
      </c>
      <c r="F600" s="132">
        <v>85000</v>
      </c>
      <c r="G600" s="102">
        <f>+ SUMIF('Nhập kho T42024'!B:B, C600,'Nhập kho T42024'!F:F)</f>
        <v>3</v>
      </c>
      <c r="H600" s="101">
        <f>+ SUMIF('Doanh thu'!A:A, C600,'Doanh thu'!E:E) + SUMIF('Doanh thu 2025'!B:B, C600,'Doanh thu 2025'!E:E)</f>
        <v>2</v>
      </c>
      <c r="I600" s="101">
        <f t="shared" si="89"/>
        <v>1</v>
      </c>
      <c r="J600" s="103">
        <f t="shared" si="80"/>
        <v>0</v>
      </c>
      <c r="K600" s="104">
        <f>+ SUMIF('Doanh thu'!A:A, C600,'Doanh thu'!F:F)</f>
        <v>0</v>
      </c>
      <c r="L600" s="93">
        <f t="shared" si="77"/>
        <v>3</v>
      </c>
      <c r="M600" s="93">
        <f t="shared" si="84"/>
        <v>200000</v>
      </c>
      <c r="N600" s="93">
        <f t="shared" si="68"/>
        <v>199997</v>
      </c>
    </row>
    <row r="601" spans="3:14" ht="13.2">
      <c r="C601" s="28" t="s">
        <v>1460</v>
      </c>
      <c r="F601" s="132">
        <v>85000</v>
      </c>
      <c r="G601" s="102">
        <f>+ SUMIF('Nhập kho T42024'!B:B, C601,'Nhập kho T42024'!F:F)</f>
        <v>3</v>
      </c>
      <c r="H601" s="101">
        <f>+ SUMIF('Doanh thu'!A:A, C601,'Doanh thu'!E:E) + SUMIF('Doanh thu 2025'!B:B, C601,'Doanh thu 2025'!E:E)</f>
        <v>3</v>
      </c>
      <c r="I601" s="101">
        <f t="shared" si="89"/>
        <v>0</v>
      </c>
      <c r="J601" s="103">
        <f t="shared" si="80"/>
        <v>0</v>
      </c>
      <c r="K601" s="104">
        <f>+ SUMIF('Doanh thu'!A:A, C601,'Doanh thu'!F:F)</f>
        <v>0</v>
      </c>
      <c r="L601" s="93">
        <f t="shared" si="77"/>
        <v>3</v>
      </c>
      <c r="M601" s="93">
        <f t="shared" si="84"/>
        <v>300000</v>
      </c>
      <c r="N601" s="93">
        <f t="shared" si="68"/>
        <v>299997</v>
      </c>
    </row>
    <row r="602" spans="3:14" ht="13.2">
      <c r="C602" s="28" t="s">
        <v>1461</v>
      </c>
      <c r="F602" s="2"/>
      <c r="G602" s="102">
        <f>+ SUMIF('Nhập kho T42024'!B:B, C602,'Nhập kho T42024'!F:F)</f>
        <v>10</v>
      </c>
      <c r="H602" s="101">
        <f>+ SUMIF('Doanh thu'!A:A, C602,'Doanh thu'!E:E) + SUMIF('Doanh thu 2025'!B:B, C602,'Doanh thu 2025'!E:E)</f>
        <v>9</v>
      </c>
      <c r="I602" s="101">
        <f t="shared" si="89"/>
        <v>1</v>
      </c>
      <c r="J602" s="103">
        <f t="shared" si="80"/>
        <v>0</v>
      </c>
      <c r="K602" s="104">
        <f>+ SUMIF('Doanh thu'!A:A, C602,'Doanh thu'!F:F)</f>
        <v>0</v>
      </c>
      <c r="L602" s="93">
        <f t="shared" si="77"/>
        <v>10</v>
      </c>
      <c r="M602" s="93">
        <f t="shared" si="84"/>
        <v>900000</v>
      </c>
      <c r="N602" s="93">
        <f t="shared" si="68"/>
        <v>899990</v>
      </c>
    </row>
    <row r="603" spans="3:14" ht="13.2">
      <c r="C603" s="28" t="s">
        <v>107</v>
      </c>
      <c r="F603" s="2"/>
      <c r="G603" s="102">
        <f>+ SUMIF('Nhập kho T42024'!B:B, C603,'Nhập kho T42024'!F:F)</f>
        <v>18</v>
      </c>
      <c r="H603" s="101">
        <f>+ SUMIF('Doanh thu'!A:A, C603,'Doanh thu'!E:E) + SUMIF('Doanh thu 2025'!B:B, C603,'Doanh thu 2025'!E:E)</f>
        <v>8</v>
      </c>
      <c r="I603" s="101">
        <f t="shared" si="89"/>
        <v>10</v>
      </c>
      <c r="J603" s="103">
        <f t="shared" si="80"/>
        <v>0</v>
      </c>
      <c r="K603" s="104">
        <f>+ SUMIF('Doanh thu'!A:A, C603,'Doanh thu'!F:F)</f>
        <v>0</v>
      </c>
      <c r="L603" s="93">
        <f t="shared" si="77"/>
        <v>18</v>
      </c>
      <c r="M603" s="93">
        <f t="shared" si="84"/>
        <v>800000</v>
      </c>
      <c r="N603" s="93">
        <f t="shared" si="68"/>
        <v>799982</v>
      </c>
    </row>
    <row r="604" spans="3:14" ht="13.2">
      <c r="C604" s="28" t="s">
        <v>241</v>
      </c>
      <c r="F604" s="2"/>
      <c r="G604" s="102">
        <f>+ SUMIF('Nhập kho T42024'!B:B, C604,'Nhập kho T42024'!F:F)</f>
        <v>14</v>
      </c>
      <c r="H604" s="101">
        <f>+ SUMIF('Doanh thu'!A:A, C604,'Doanh thu'!E:E) + SUMIF('Doanh thu 2025'!B:B, C604,'Doanh thu 2025'!E:E)</f>
        <v>2</v>
      </c>
      <c r="I604" s="101">
        <f t="shared" si="89"/>
        <v>12</v>
      </c>
      <c r="J604" s="103">
        <f t="shared" si="80"/>
        <v>0</v>
      </c>
      <c r="K604" s="104">
        <f>+ SUMIF('Doanh thu'!A:A, C604,'Doanh thu'!F:F)</f>
        <v>0</v>
      </c>
      <c r="L604" s="93">
        <f t="shared" si="77"/>
        <v>14</v>
      </c>
      <c r="M604" s="93">
        <f t="shared" si="84"/>
        <v>200000</v>
      </c>
      <c r="N604" s="93">
        <f t="shared" si="68"/>
        <v>199986</v>
      </c>
    </row>
    <row r="605" spans="3:14" ht="13.2">
      <c r="C605" s="28" t="s">
        <v>1462</v>
      </c>
      <c r="F605" s="2"/>
      <c r="G605" s="102">
        <f>+ SUMIF('Nhập kho T42024'!B:B, C605,'Nhập kho T42024'!F:F)</f>
        <v>10</v>
      </c>
      <c r="H605" s="101">
        <f>+ SUMIF('Doanh thu'!A:A, C605,'Doanh thu'!E:E) + SUMIF('Doanh thu 2025'!B:B, C605,'Doanh thu 2025'!E:E)</f>
        <v>1</v>
      </c>
      <c r="I605" s="101">
        <f t="shared" si="89"/>
        <v>9</v>
      </c>
      <c r="J605" s="103">
        <f t="shared" si="80"/>
        <v>0</v>
      </c>
      <c r="K605" s="104">
        <f>+ SUMIF('Doanh thu'!A:A, C605,'Doanh thu'!F:F)</f>
        <v>0</v>
      </c>
      <c r="L605" s="93">
        <f t="shared" si="77"/>
        <v>10</v>
      </c>
      <c r="M605" s="93">
        <f t="shared" si="84"/>
        <v>100000</v>
      </c>
      <c r="N605" s="93">
        <f t="shared" si="68"/>
        <v>99990</v>
      </c>
    </row>
    <row r="606" spans="3:14" ht="13.2">
      <c r="C606" s="28" t="s">
        <v>1463</v>
      </c>
      <c r="F606" s="2"/>
      <c r="G606" s="102">
        <f>+ SUMIF('Nhập kho T42024'!B:B, C606,'Nhập kho T42024'!F:F)</f>
        <v>14</v>
      </c>
      <c r="H606" s="101">
        <f>+ SUMIF('Doanh thu'!A:A, C606,'Doanh thu'!E:E) + SUMIF('Doanh thu 2025'!B:B, C606,'Doanh thu 2025'!E:E)</f>
        <v>4</v>
      </c>
      <c r="I606" s="101">
        <f t="shared" si="89"/>
        <v>10</v>
      </c>
      <c r="J606" s="103">
        <f t="shared" si="80"/>
        <v>0</v>
      </c>
      <c r="K606" s="104">
        <f>+ SUMIF('Doanh thu'!A:A, C606,'Doanh thu'!F:F)</f>
        <v>0</v>
      </c>
      <c r="L606" s="93">
        <f t="shared" si="77"/>
        <v>14</v>
      </c>
      <c r="M606" s="93">
        <f t="shared" si="84"/>
        <v>400000</v>
      </c>
      <c r="N606" s="93">
        <f t="shared" si="68"/>
        <v>399986</v>
      </c>
    </row>
    <row r="607" spans="3:14" ht="13.2">
      <c r="C607" s="16" t="s">
        <v>1464</v>
      </c>
      <c r="F607" s="2"/>
      <c r="G607" s="102">
        <f>+ SUMIF('Nhập kho T42024'!B:B, C607,'Nhập kho T42024'!F:F)</f>
        <v>15</v>
      </c>
      <c r="H607" s="101">
        <f>+ SUMIF('Doanh thu'!A:A, C607,'Doanh thu'!E:E) + SUMIF('Doanh thu 2025'!B:B, C607,'Doanh thu 2025'!E:E)</f>
        <v>14</v>
      </c>
      <c r="I607" s="101">
        <f t="shared" si="89"/>
        <v>1</v>
      </c>
      <c r="J607" s="103">
        <f t="shared" si="80"/>
        <v>0</v>
      </c>
      <c r="K607" s="104">
        <f>+ SUMIF('Doanh thu'!A:A, C607,'Doanh thu'!F:F)</f>
        <v>0</v>
      </c>
      <c r="L607" s="93">
        <f t="shared" si="77"/>
        <v>15</v>
      </c>
      <c r="M607" s="93">
        <f t="shared" si="84"/>
        <v>1400000</v>
      </c>
      <c r="N607" s="93">
        <f t="shared" si="68"/>
        <v>1399985</v>
      </c>
    </row>
    <row r="608" spans="3:14" ht="13.2">
      <c r="C608" s="16" t="s">
        <v>1465</v>
      </c>
      <c r="F608" s="2"/>
      <c r="G608" s="102">
        <f>+ SUMIF('Nhập kho T42024'!B:B, C608,'Nhập kho T42024'!F:F)</f>
        <v>8</v>
      </c>
      <c r="H608" s="101">
        <f>+ SUMIF('Doanh thu'!A:A, C608,'Doanh thu'!E:E) + SUMIF('Doanh thu 2025'!B:B, C608,'Doanh thu 2025'!E:E)</f>
        <v>1</v>
      </c>
      <c r="I608" s="101">
        <f t="shared" si="89"/>
        <v>7</v>
      </c>
      <c r="J608" s="103">
        <f t="shared" si="80"/>
        <v>0</v>
      </c>
      <c r="K608" s="104">
        <f>+ SUMIF('Doanh thu'!A:A, C608,'Doanh thu'!F:F)</f>
        <v>0</v>
      </c>
      <c r="L608" s="93">
        <f t="shared" si="77"/>
        <v>8</v>
      </c>
      <c r="M608" s="93">
        <f t="shared" si="84"/>
        <v>100000</v>
      </c>
      <c r="N608" s="93">
        <f t="shared" si="68"/>
        <v>99992</v>
      </c>
    </row>
    <row r="609" spans="3:14" ht="13.2">
      <c r="C609" s="16" t="s">
        <v>1466</v>
      </c>
      <c r="F609" s="2"/>
      <c r="G609" s="102">
        <f>+ SUMIF('Nhập kho T42024'!B:B, C609,'Nhập kho T42024'!F:F)</f>
        <v>11</v>
      </c>
      <c r="H609" s="101">
        <f>+ SUMIF('Doanh thu'!A:A, C609,'Doanh thu'!E:E) + SUMIF('Doanh thu 2025'!B:B, C609,'Doanh thu 2025'!E:E)</f>
        <v>9</v>
      </c>
      <c r="I609" s="101">
        <f t="shared" si="89"/>
        <v>2</v>
      </c>
      <c r="J609" s="103">
        <f t="shared" si="80"/>
        <v>0</v>
      </c>
      <c r="K609" s="104">
        <f>+ SUMIF('Doanh thu'!A:A, C609,'Doanh thu'!F:F)</f>
        <v>0</v>
      </c>
      <c r="L609" s="93">
        <f t="shared" si="77"/>
        <v>11</v>
      </c>
      <c r="M609" s="93">
        <f t="shared" si="84"/>
        <v>900000</v>
      </c>
      <c r="N609" s="93">
        <f t="shared" si="68"/>
        <v>899989</v>
      </c>
    </row>
    <row r="610" spans="3:14" ht="13.2">
      <c r="C610" s="16" t="s">
        <v>1467</v>
      </c>
      <c r="F610" s="2"/>
      <c r="G610" s="102">
        <f>+ SUMIF('Nhập kho T42024'!B:B, C610,'Nhập kho T42024'!F:F)</f>
        <v>15</v>
      </c>
      <c r="H610" s="101">
        <f>+ SUMIF('Doanh thu'!A:A, C610,'Doanh thu'!E:E) + SUMIF('Doanh thu 2025'!B:B, C610,'Doanh thu 2025'!E:E)</f>
        <v>8</v>
      </c>
      <c r="I610" s="101">
        <f t="shared" si="89"/>
        <v>7</v>
      </c>
      <c r="J610" s="103">
        <f t="shared" si="80"/>
        <v>0</v>
      </c>
      <c r="K610" s="104">
        <f>+ SUMIF('Doanh thu'!A:A, C610,'Doanh thu'!F:F)</f>
        <v>0</v>
      </c>
      <c r="L610" s="93">
        <f t="shared" si="77"/>
        <v>15</v>
      </c>
      <c r="M610" s="93">
        <f t="shared" si="84"/>
        <v>800000</v>
      </c>
      <c r="N610" s="93">
        <f t="shared" si="68"/>
        <v>799985</v>
      </c>
    </row>
    <row r="611" spans="3:14" ht="13.2">
      <c r="C611" s="16" t="s">
        <v>1468</v>
      </c>
      <c r="F611" s="2"/>
      <c r="G611" s="102">
        <f>+ SUMIF('Nhập kho T42024'!B:B, C611,'Nhập kho T42024'!F:F)</f>
        <v>8</v>
      </c>
      <c r="H611" s="101">
        <f>+ SUMIF('Doanh thu'!A:A, C611,'Doanh thu'!E:E) + SUMIF('Doanh thu 2025'!B:B, C611,'Doanh thu 2025'!E:E)</f>
        <v>8</v>
      </c>
      <c r="I611" s="101">
        <f t="shared" si="89"/>
        <v>0</v>
      </c>
      <c r="J611" s="103">
        <f t="shared" si="80"/>
        <v>0</v>
      </c>
      <c r="K611" s="104">
        <f>+ SUMIF('Doanh thu'!A:A, C611,'Doanh thu'!F:F)</f>
        <v>0</v>
      </c>
      <c r="L611" s="93">
        <f t="shared" si="77"/>
        <v>8</v>
      </c>
      <c r="M611" s="93">
        <f t="shared" si="84"/>
        <v>800000</v>
      </c>
      <c r="N611" s="93">
        <f t="shared" si="68"/>
        <v>799992</v>
      </c>
    </row>
    <row r="612" spans="3:14" ht="13.2">
      <c r="C612" s="16" t="s">
        <v>1469</v>
      </c>
      <c r="F612" s="2"/>
      <c r="G612" s="102">
        <f>+ SUMIF('Nhập kho T42024'!B:B, C612,'Nhập kho T42024'!F:F)</f>
        <v>80</v>
      </c>
      <c r="H612" s="101">
        <f>+ SUMIF('Doanh thu'!A:A, C612,'Doanh thu'!E:E) + SUMIF('Doanh thu 2025'!B:B, C612,'Doanh thu 2025'!E:E)</f>
        <v>0</v>
      </c>
      <c r="I612" s="101">
        <f t="shared" si="89"/>
        <v>80</v>
      </c>
      <c r="J612" s="103">
        <f t="shared" si="80"/>
        <v>0</v>
      </c>
      <c r="K612" s="104">
        <f>+ SUMIF('Doanh thu'!A:A, C612,'Doanh thu'!F:F)</f>
        <v>0</v>
      </c>
      <c r="L612" s="93">
        <f t="shared" si="77"/>
        <v>80</v>
      </c>
      <c r="M612" s="93">
        <f t="shared" si="84"/>
        <v>0</v>
      </c>
      <c r="N612" s="93">
        <f t="shared" si="68"/>
        <v>-80</v>
      </c>
    </row>
    <row r="613" spans="3:14" ht="13.2">
      <c r="C613" s="16" t="s">
        <v>250</v>
      </c>
      <c r="F613" s="2"/>
      <c r="G613" s="102">
        <f>+ SUMIF('Nhập kho T42024'!B:B, C613,'Nhập kho T42024'!F:F)</f>
        <v>25</v>
      </c>
      <c r="H613" s="101">
        <f>+ SUMIF('Doanh thu'!A:A, C613,'Doanh thu'!E:E) + SUMIF('Doanh thu 2025'!B:B, C613,'Doanh thu 2025'!E:E)</f>
        <v>12</v>
      </c>
      <c r="I613" s="101">
        <f t="shared" si="89"/>
        <v>13</v>
      </c>
      <c r="J613" s="103">
        <f t="shared" si="80"/>
        <v>0</v>
      </c>
      <c r="K613" s="104">
        <f>+ SUMIF('Doanh thu'!A:A, C613,'Doanh thu'!F:F)</f>
        <v>0</v>
      </c>
      <c r="L613" s="93">
        <f t="shared" si="77"/>
        <v>25</v>
      </c>
      <c r="M613" s="93">
        <f t="shared" si="84"/>
        <v>1200000</v>
      </c>
      <c r="N613" s="93">
        <f t="shared" si="68"/>
        <v>1199975</v>
      </c>
    </row>
    <row r="614" spans="3:14" ht="13.2">
      <c r="C614" s="16" t="s">
        <v>201</v>
      </c>
      <c r="F614" s="2"/>
      <c r="G614" s="102">
        <f>+ SUMIF('Nhập kho T42024'!B:B, C614,'Nhập kho T42024'!F:F)</f>
        <v>25</v>
      </c>
      <c r="H614" s="101">
        <f>+ SUMIF('Doanh thu'!A:A, C614,'Doanh thu'!E:E) + SUMIF('Doanh thu 2025'!B:B, C614,'Doanh thu 2025'!E:E)</f>
        <v>13</v>
      </c>
      <c r="I614" s="101">
        <f t="shared" si="89"/>
        <v>12</v>
      </c>
      <c r="J614" s="103">
        <f t="shared" si="80"/>
        <v>0</v>
      </c>
      <c r="K614" s="104">
        <f>+ SUMIF('Doanh thu'!A:A, C614,'Doanh thu'!F:F)</f>
        <v>0</v>
      </c>
      <c r="L614" s="93">
        <f t="shared" si="77"/>
        <v>25</v>
      </c>
      <c r="M614" s="93">
        <f t="shared" si="84"/>
        <v>1300000</v>
      </c>
      <c r="N614" s="93">
        <f t="shared" si="68"/>
        <v>1299975</v>
      </c>
    </row>
    <row r="615" spans="3:14" ht="13.2">
      <c r="C615" s="16" t="s">
        <v>1470</v>
      </c>
      <c r="F615" s="2"/>
      <c r="G615" s="102">
        <f>+ SUMIF('Nhập kho T42024'!B:B, C615,'Nhập kho T42024'!F:F)</f>
        <v>8</v>
      </c>
      <c r="H615" s="101">
        <f>+ SUMIF('Doanh thu'!A:A, C615,'Doanh thu'!E:E) + SUMIF('Doanh thu 2025'!B:B, C615,'Doanh thu 2025'!E:E)</f>
        <v>5</v>
      </c>
      <c r="I615" s="101">
        <f t="shared" si="89"/>
        <v>3</v>
      </c>
      <c r="J615" s="103">
        <f t="shared" si="80"/>
        <v>0</v>
      </c>
      <c r="K615" s="104">
        <f>+ SUMIF('Doanh thu'!A:A, C615,'Doanh thu'!F:F)</f>
        <v>0</v>
      </c>
      <c r="L615" s="93">
        <f t="shared" si="77"/>
        <v>8</v>
      </c>
      <c r="M615" s="93">
        <f t="shared" si="84"/>
        <v>500000</v>
      </c>
      <c r="N615" s="93">
        <f t="shared" si="68"/>
        <v>499992</v>
      </c>
    </row>
    <row r="616" spans="3:14" ht="13.2">
      <c r="C616" s="16" t="s">
        <v>1471</v>
      </c>
      <c r="F616" s="2"/>
      <c r="G616" s="102">
        <f>+ SUMIF('Nhập kho T42024'!B:B, C616,'Nhập kho T42024'!F:F)</f>
        <v>5</v>
      </c>
      <c r="H616" s="101">
        <f>+ SUMIF('Doanh thu'!A:A, C616,'Doanh thu'!E:E) + SUMIF('Doanh thu 2025'!B:B, C616,'Doanh thu 2025'!E:E)</f>
        <v>1</v>
      </c>
      <c r="I616" s="101">
        <f t="shared" si="89"/>
        <v>4</v>
      </c>
      <c r="J616" s="103">
        <f t="shared" si="80"/>
        <v>0</v>
      </c>
      <c r="K616" s="104">
        <f>+ SUMIF('Doanh thu'!A:A, C616,'Doanh thu'!F:F)</f>
        <v>0</v>
      </c>
      <c r="L616" s="93">
        <f t="shared" si="77"/>
        <v>5</v>
      </c>
      <c r="M616" s="93">
        <f t="shared" si="84"/>
        <v>100000</v>
      </c>
      <c r="N616" s="93">
        <f t="shared" si="68"/>
        <v>99995</v>
      </c>
    </row>
    <row r="617" spans="3:14" ht="13.2">
      <c r="C617" s="16" t="s">
        <v>1472</v>
      </c>
      <c r="F617" s="2"/>
      <c r="G617" s="102">
        <f>+ SUMIF('Nhập kho T42024'!B:B, C617,'Nhập kho T42024'!F:F)</f>
        <v>25</v>
      </c>
      <c r="H617" s="101">
        <f>+ SUMIF('Doanh thu'!A:A, C617,'Doanh thu'!E:E) + SUMIF('Doanh thu 2025'!B:B, C617,'Doanh thu 2025'!E:E)</f>
        <v>18</v>
      </c>
      <c r="I617" s="101">
        <f t="shared" si="89"/>
        <v>7</v>
      </c>
      <c r="J617" s="103">
        <f t="shared" si="80"/>
        <v>0</v>
      </c>
      <c r="K617" s="104">
        <f>+ SUMIF('Doanh thu'!A:A, C617,'Doanh thu'!F:F)</f>
        <v>0</v>
      </c>
      <c r="L617" s="93">
        <f t="shared" si="77"/>
        <v>25</v>
      </c>
      <c r="M617" s="93">
        <f t="shared" si="84"/>
        <v>1800000</v>
      </c>
      <c r="N617" s="93">
        <f t="shared" si="68"/>
        <v>1799975</v>
      </c>
    </row>
    <row r="618" spans="3:14" ht="13.2">
      <c r="C618" s="16" t="s">
        <v>267</v>
      </c>
      <c r="F618" s="2"/>
      <c r="G618" s="102">
        <f>+ SUMIF('Nhập kho T42024'!B:B, C618,'Nhập kho T42024'!F:F)</f>
        <v>15</v>
      </c>
      <c r="H618" s="101">
        <f>+ SUMIF('Doanh thu'!A:A, C618,'Doanh thu'!E:E) + SUMIF('Doanh thu 2025'!B:B, C618,'Doanh thu 2025'!E:E)</f>
        <v>6</v>
      </c>
      <c r="I618" s="101">
        <f t="shared" si="89"/>
        <v>9</v>
      </c>
      <c r="J618" s="103">
        <f t="shared" si="80"/>
        <v>0</v>
      </c>
      <c r="K618" s="104">
        <f>+ SUMIF('Doanh thu'!A:A, C618,'Doanh thu'!F:F)</f>
        <v>0</v>
      </c>
      <c r="L618" s="93">
        <f t="shared" si="77"/>
        <v>15</v>
      </c>
      <c r="M618" s="93">
        <f t="shared" si="84"/>
        <v>600000</v>
      </c>
      <c r="N618" s="93">
        <f t="shared" si="68"/>
        <v>599985</v>
      </c>
    </row>
    <row r="619" spans="3:14" ht="13.2">
      <c r="C619" s="16" t="s">
        <v>1473</v>
      </c>
      <c r="F619" s="2"/>
      <c r="G619" s="102">
        <f>+ SUMIF('Nhập kho T42024'!B:B, C619,'Nhập kho T42024'!F:F)</f>
        <v>5</v>
      </c>
      <c r="H619" s="101">
        <f>+ SUMIF('Doanh thu'!A:A, C619,'Doanh thu'!E:E) + SUMIF('Doanh thu 2025'!B:B, C619,'Doanh thu 2025'!E:E)</f>
        <v>4</v>
      </c>
      <c r="I619" s="101">
        <f t="shared" si="89"/>
        <v>1</v>
      </c>
      <c r="J619" s="103">
        <f t="shared" si="80"/>
        <v>0</v>
      </c>
      <c r="K619" s="104">
        <f>+ SUMIF('Doanh thu'!A:A, C619,'Doanh thu'!F:F)</f>
        <v>0</v>
      </c>
      <c r="L619" s="93">
        <f t="shared" si="77"/>
        <v>5</v>
      </c>
      <c r="M619" s="93">
        <f t="shared" si="84"/>
        <v>400000</v>
      </c>
      <c r="N619" s="93">
        <f t="shared" si="68"/>
        <v>399995</v>
      </c>
    </row>
    <row r="620" spans="3:14" ht="13.2">
      <c r="C620" s="16" t="s">
        <v>192</v>
      </c>
      <c r="F620" s="2"/>
      <c r="G620" s="102">
        <f>+ SUMIF('Nhập kho T42024'!B:B, C620,'Nhập kho T42024'!F:F)</f>
        <v>80</v>
      </c>
      <c r="H620" s="101">
        <f>+ SUMIF('Doanh thu'!A:A, C620,'Doanh thu'!E:E) + SUMIF('Doanh thu 2025'!B:B, C620,'Doanh thu 2025'!E:E)</f>
        <v>17</v>
      </c>
      <c r="I620" s="101">
        <f t="shared" si="89"/>
        <v>63</v>
      </c>
      <c r="J620" s="103">
        <f t="shared" si="80"/>
        <v>0</v>
      </c>
      <c r="K620" s="104">
        <f>+ SUMIF('Doanh thu'!A:A, C620,'Doanh thu'!F:F)</f>
        <v>0</v>
      </c>
      <c r="L620" s="93">
        <f t="shared" si="77"/>
        <v>80</v>
      </c>
      <c r="M620" s="93">
        <f t="shared" si="84"/>
        <v>1700000</v>
      </c>
      <c r="N620" s="93">
        <f t="shared" si="68"/>
        <v>1699920</v>
      </c>
    </row>
    <row r="621" spans="3:14" ht="13.2">
      <c r="C621" s="16" t="s">
        <v>1474</v>
      </c>
      <c r="F621" s="2"/>
      <c r="G621" s="102">
        <f>+ SUMIF('Nhập kho T42024'!B:B, C621,'Nhập kho T42024'!F:F)</f>
        <v>18</v>
      </c>
      <c r="H621" s="101">
        <f>+ SUMIF('Doanh thu'!A:A, C621,'Doanh thu'!E:E) + SUMIF('Doanh thu 2025'!B:B, C621,'Doanh thu 2025'!E:E)</f>
        <v>4</v>
      </c>
      <c r="I621" s="101">
        <f t="shared" si="89"/>
        <v>14</v>
      </c>
      <c r="J621" s="103">
        <f t="shared" si="80"/>
        <v>0</v>
      </c>
      <c r="K621" s="104">
        <f>+ SUMIF('Doanh thu'!A:A, C621,'Doanh thu'!F:F)</f>
        <v>0</v>
      </c>
      <c r="L621" s="93">
        <f t="shared" si="77"/>
        <v>18</v>
      </c>
      <c r="M621" s="93">
        <f t="shared" si="84"/>
        <v>400000</v>
      </c>
      <c r="N621" s="93">
        <f t="shared" si="68"/>
        <v>399982</v>
      </c>
    </row>
    <row r="622" spans="3:14" ht="13.2">
      <c r="C622" s="16" t="s">
        <v>1475</v>
      </c>
      <c r="F622" s="2"/>
      <c r="G622" s="102">
        <f>+ SUMIF('Nhập kho T42024'!B:B, C622,'Nhập kho T42024'!F:F)</f>
        <v>25</v>
      </c>
      <c r="H622" s="101">
        <f>+ SUMIF('Doanh thu'!A:A, C622,'Doanh thu'!E:E) + SUMIF('Doanh thu 2025'!B:B, C622,'Doanh thu 2025'!E:E)</f>
        <v>11</v>
      </c>
      <c r="I622" s="101">
        <f t="shared" si="89"/>
        <v>14</v>
      </c>
      <c r="J622" s="103">
        <f t="shared" si="80"/>
        <v>0</v>
      </c>
      <c r="K622" s="104">
        <f>+ SUMIF('Doanh thu'!A:A, C622,'Doanh thu'!F:F)</f>
        <v>0</v>
      </c>
      <c r="L622" s="93">
        <f t="shared" si="77"/>
        <v>25</v>
      </c>
      <c r="M622" s="93">
        <f t="shared" si="84"/>
        <v>1100000</v>
      </c>
      <c r="N622" s="93">
        <f t="shared" si="68"/>
        <v>1099975</v>
      </c>
    </row>
    <row r="623" spans="3:14" ht="13.2">
      <c r="C623" s="16" t="s">
        <v>1476</v>
      </c>
      <c r="F623" s="2"/>
      <c r="G623" s="102">
        <f>+ SUMIF('Nhập kho T42024'!B:B, C623,'Nhập kho T42024'!F:F)</f>
        <v>23</v>
      </c>
      <c r="H623" s="101">
        <f>+ SUMIF('Doanh thu'!A:A, C623,'Doanh thu'!E:E) + SUMIF('Doanh thu 2025'!B:B, C623,'Doanh thu 2025'!E:E)</f>
        <v>2</v>
      </c>
      <c r="I623" s="101">
        <f t="shared" si="89"/>
        <v>21</v>
      </c>
      <c r="J623" s="103">
        <f t="shared" si="80"/>
        <v>0</v>
      </c>
      <c r="K623" s="104">
        <f>+ SUMIF('Doanh thu'!A:A, C623,'Doanh thu'!F:F)</f>
        <v>0</v>
      </c>
      <c r="L623" s="93">
        <f t="shared" si="77"/>
        <v>23</v>
      </c>
      <c r="M623" s="93">
        <f t="shared" si="84"/>
        <v>200000</v>
      </c>
      <c r="N623" s="93">
        <f t="shared" si="68"/>
        <v>199977</v>
      </c>
    </row>
    <row r="624" spans="3:14" ht="13.2">
      <c r="C624" s="16" t="s">
        <v>1477</v>
      </c>
      <c r="F624" s="2"/>
      <c r="G624" s="102">
        <f>+ SUMIF('Nhập kho T42024'!B:B, C624,'Nhập kho T42024'!F:F)</f>
        <v>20</v>
      </c>
      <c r="H624" s="101">
        <f>+ SUMIF('Doanh thu'!A:A, C624,'Doanh thu'!E:E) + SUMIF('Doanh thu 2025'!B:B, C624,'Doanh thu 2025'!E:E)</f>
        <v>1</v>
      </c>
      <c r="I624" s="101">
        <f t="shared" si="89"/>
        <v>19</v>
      </c>
      <c r="J624" s="103">
        <f t="shared" si="80"/>
        <v>0</v>
      </c>
      <c r="K624" s="104">
        <f>+ SUMIF('Doanh thu'!A:A, C624,'Doanh thu'!F:F)</f>
        <v>0</v>
      </c>
      <c r="L624" s="93">
        <f t="shared" si="77"/>
        <v>20</v>
      </c>
      <c r="M624" s="93">
        <f t="shared" si="84"/>
        <v>100000</v>
      </c>
      <c r="N624" s="93">
        <f t="shared" si="68"/>
        <v>99980</v>
      </c>
    </row>
    <row r="625" spans="3:14" ht="13.2">
      <c r="C625" s="16" t="s">
        <v>1478</v>
      </c>
      <c r="F625" s="2"/>
      <c r="G625" s="102">
        <f>+ SUMIF('Nhập kho T42024'!B:B, C625,'Nhập kho T42024'!F:F)</f>
        <v>18</v>
      </c>
      <c r="H625" s="101">
        <f>+ SUMIF('Doanh thu'!A:A, C625,'Doanh thu'!E:E) + SUMIF('Doanh thu 2025'!B:B, C625,'Doanh thu 2025'!E:E)</f>
        <v>2</v>
      </c>
      <c r="I625" s="101">
        <f t="shared" si="89"/>
        <v>16</v>
      </c>
      <c r="J625" s="103">
        <f t="shared" si="80"/>
        <v>0</v>
      </c>
      <c r="K625" s="104">
        <f>+ SUMIF('Doanh thu'!A:A, C625,'Doanh thu'!F:F)</f>
        <v>0</v>
      </c>
      <c r="L625" s="93">
        <f t="shared" si="77"/>
        <v>18</v>
      </c>
      <c r="M625" s="93">
        <f t="shared" si="84"/>
        <v>200000</v>
      </c>
      <c r="N625" s="93">
        <f t="shared" si="68"/>
        <v>199982</v>
      </c>
    </row>
    <row r="626" spans="3:14" ht="13.2">
      <c r="C626" s="16" t="s">
        <v>1479</v>
      </c>
      <c r="F626" s="2"/>
      <c r="G626" s="102">
        <f>+ SUMIF('Nhập kho T42024'!B:B, C626,'Nhập kho T42024'!F:F)</f>
        <v>25</v>
      </c>
      <c r="H626" s="101">
        <f>+ SUMIF('Doanh thu'!A:A, C626,'Doanh thu'!E:E) + SUMIF('Doanh thu 2025'!B:B, C626,'Doanh thu 2025'!E:E)</f>
        <v>6</v>
      </c>
      <c r="I626" s="101">
        <f t="shared" si="89"/>
        <v>19</v>
      </c>
      <c r="J626" s="103">
        <f t="shared" si="80"/>
        <v>0</v>
      </c>
      <c r="K626" s="104">
        <f>+ SUMIF('Doanh thu'!A:A, C626,'Doanh thu'!F:F)</f>
        <v>0</v>
      </c>
      <c r="L626" s="93">
        <f t="shared" si="77"/>
        <v>25</v>
      </c>
      <c r="M626" s="93">
        <f t="shared" si="84"/>
        <v>600000</v>
      </c>
      <c r="N626" s="93">
        <f t="shared" si="68"/>
        <v>599975</v>
      </c>
    </row>
    <row r="627" spans="3:14" ht="13.2">
      <c r="C627" s="16" t="s">
        <v>1480</v>
      </c>
      <c r="F627" s="2"/>
      <c r="G627" s="102">
        <f>+ SUMIF('Nhập kho T42024'!B:B, C627,'Nhập kho T42024'!F:F)</f>
        <v>12</v>
      </c>
      <c r="H627" s="101">
        <f>+ SUMIF('Doanh thu'!A:A, C627,'Doanh thu'!E:E) + SUMIF('Doanh thu 2025'!B:B, C627,'Doanh thu 2025'!E:E)</f>
        <v>10</v>
      </c>
      <c r="I627" s="101">
        <f t="shared" si="89"/>
        <v>2</v>
      </c>
      <c r="J627" s="103">
        <f t="shared" si="80"/>
        <v>0</v>
      </c>
      <c r="K627" s="104">
        <f>+ SUMIF('Doanh thu'!A:A, C627,'Doanh thu'!F:F)</f>
        <v>0</v>
      </c>
      <c r="L627" s="93">
        <f t="shared" si="77"/>
        <v>12</v>
      </c>
      <c r="M627" s="93">
        <f t="shared" si="84"/>
        <v>1000000</v>
      </c>
      <c r="N627" s="93">
        <f t="shared" si="68"/>
        <v>999988</v>
      </c>
    </row>
    <row r="628" spans="3:14" ht="13.2">
      <c r="C628" s="16" t="s">
        <v>1481</v>
      </c>
      <c r="D628" s="16" t="s">
        <v>1482</v>
      </c>
      <c r="E628" s="16" t="s">
        <v>444</v>
      </c>
      <c r="F628" s="132">
        <v>45000</v>
      </c>
      <c r="G628" s="102">
        <f>+ SUMIF('Nhập kho T42024'!B:B, C628,'Nhập kho T42024'!F:F)</f>
        <v>0</v>
      </c>
      <c r="H628" s="101">
        <f>+ SUMIF('Doanh thu'!A:A, C628,'Doanh thu'!E:E) + SUMIF('Doanh thu 2025'!B:B, C628,'Doanh thu 2025'!E:E)</f>
        <v>10</v>
      </c>
      <c r="I628" s="101">
        <f t="shared" si="89"/>
        <v>-10</v>
      </c>
      <c r="J628" s="103">
        <f t="shared" si="80"/>
        <v>0</v>
      </c>
      <c r="K628" s="104">
        <f>+ SUMIF('Doanh thu'!A:A, C628,'Doanh thu'!F:F)</f>
        <v>0</v>
      </c>
      <c r="L628" s="93">
        <f t="shared" si="77"/>
        <v>0</v>
      </c>
      <c r="M628" s="93">
        <f t="shared" si="84"/>
        <v>1000000</v>
      </c>
      <c r="N628" s="93">
        <f t="shared" si="68"/>
        <v>1000000</v>
      </c>
    </row>
    <row r="629" spans="3:14" ht="13.2">
      <c r="C629" s="16" t="s">
        <v>1483</v>
      </c>
      <c r="D629" s="16" t="s">
        <v>1482</v>
      </c>
      <c r="E629" s="16" t="s">
        <v>444</v>
      </c>
      <c r="F629" s="132">
        <v>45000</v>
      </c>
      <c r="G629" s="102">
        <f>+ SUMIF('Nhập kho T42024'!B:B, C629,'Nhập kho T42024'!F:F)</f>
        <v>0</v>
      </c>
      <c r="H629" s="101">
        <f>+ SUMIF('Doanh thu'!A:A, C629,'Doanh thu'!E:E) + SUMIF('Doanh thu 2025'!B:B, C629,'Doanh thu 2025'!E:E)</f>
        <v>2</v>
      </c>
      <c r="I629" s="101">
        <f t="shared" si="89"/>
        <v>-2</v>
      </c>
      <c r="J629" s="103">
        <f t="shared" si="80"/>
        <v>0</v>
      </c>
      <c r="K629" s="104">
        <f>+ SUMIF('Doanh thu'!A:A, C629,'Doanh thu'!F:F)</f>
        <v>0</v>
      </c>
      <c r="L629" s="93">
        <f t="shared" si="77"/>
        <v>0</v>
      </c>
      <c r="M629" s="93">
        <f t="shared" si="84"/>
        <v>200000</v>
      </c>
      <c r="N629" s="93">
        <f t="shared" si="68"/>
        <v>200000</v>
      </c>
    </row>
    <row r="630" spans="3:14" ht="13.2">
      <c r="C630" s="16" t="s">
        <v>1484</v>
      </c>
      <c r="D630" s="16" t="s">
        <v>1482</v>
      </c>
      <c r="E630" s="16" t="s">
        <v>444</v>
      </c>
      <c r="F630" s="132">
        <v>45000</v>
      </c>
      <c r="G630" s="102">
        <f>+ SUMIF('Nhập kho T42024'!B:B, C630,'Nhập kho T42024'!F:F)</f>
        <v>0</v>
      </c>
      <c r="H630" s="101">
        <f>+ SUMIF('Doanh thu'!A:A, C630,'Doanh thu'!E:E) + SUMIF('Doanh thu 2025'!B:B, C630,'Doanh thu 2025'!E:E)</f>
        <v>5</v>
      </c>
      <c r="I630" s="101">
        <f t="shared" si="89"/>
        <v>-5</v>
      </c>
      <c r="J630" s="103">
        <f t="shared" si="80"/>
        <v>0</v>
      </c>
      <c r="K630" s="104">
        <f>+ SUMIF('Doanh thu'!A:A, C630,'Doanh thu'!F:F)</f>
        <v>0</v>
      </c>
      <c r="L630" s="93">
        <f t="shared" si="77"/>
        <v>0</v>
      </c>
      <c r="M630" s="93">
        <f t="shared" si="84"/>
        <v>500000</v>
      </c>
      <c r="N630" s="93">
        <f t="shared" si="68"/>
        <v>500000</v>
      </c>
    </row>
    <row r="631" spans="3:14" ht="13.2">
      <c r="C631" s="16" t="s">
        <v>1485</v>
      </c>
      <c r="D631" s="16" t="s">
        <v>1482</v>
      </c>
      <c r="E631" s="16" t="s">
        <v>444</v>
      </c>
      <c r="F631" s="132">
        <v>45000</v>
      </c>
      <c r="G631" s="102">
        <f>+ SUMIF('Nhập kho T42024'!B:B, C631,'Nhập kho T42024'!F:F)</f>
        <v>0</v>
      </c>
      <c r="H631" s="101">
        <f>+ SUMIF('Doanh thu'!A:A, C631,'Doanh thu'!E:E) + SUMIF('Doanh thu 2025'!B:B, C631,'Doanh thu 2025'!E:E)</f>
        <v>3</v>
      </c>
      <c r="I631" s="101">
        <f t="shared" si="89"/>
        <v>-3</v>
      </c>
      <c r="J631" s="103">
        <f t="shared" si="80"/>
        <v>0</v>
      </c>
      <c r="K631" s="104">
        <f>+ SUMIF('Doanh thu'!A:A, C631,'Doanh thu'!F:F)</f>
        <v>0</v>
      </c>
      <c r="L631" s="93">
        <f t="shared" si="77"/>
        <v>0</v>
      </c>
      <c r="M631" s="93">
        <f t="shared" si="84"/>
        <v>300000</v>
      </c>
      <c r="N631" s="93">
        <f t="shared" si="68"/>
        <v>300000</v>
      </c>
    </row>
    <row r="632" spans="3:14" ht="13.2">
      <c r="C632" s="16" t="s">
        <v>1486</v>
      </c>
      <c r="D632" s="16" t="s">
        <v>1482</v>
      </c>
      <c r="E632" s="16" t="s">
        <v>444</v>
      </c>
      <c r="F632" s="132">
        <v>45000</v>
      </c>
      <c r="G632" s="102">
        <f>+ SUMIF('Nhập kho T42024'!B:B, C632,'Nhập kho T42024'!F:F)</f>
        <v>0</v>
      </c>
      <c r="H632" s="101">
        <f>+ SUMIF('Doanh thu'!A:A, C632,'Doanh thu'!E:E) + SUMIF('Doanh thu 2025'!B:B, C632,'Doanh thu 2025'!E:E)</f>
        <v>4</v>
      </c>
      <c r="I632" s="101">
        <f t="shared" si="89"/>
        <v>-4</v>
      </c>
      <c r="J632" s="103">
        <f t="shared" si="80"/>
        <v>0</v>
      </c>
      <c r="K632" s="104">
        <f>+ SUMIF('Doanh thu'!A:A, C632,'Doanh thu'!F:F)</f>
        <v>0</v>
      </c>
      <c r="L632" s="93">
        <f t="shared" si="77"/>
        <v>0</v>
      </c>
      <c r="M632" s="93">
        <f t="shared" si="84"/>
        <v>400000</v>
      </c>
      <c r="N632" s="93">
        <f t="shared" si="68"/>
        <v>400000</v>
      </c>
    </row>
    <row r="633" spans="3:14" ht="13.2">
      <c r="C633" s="16" t="s">
        <v>1487</v>
      </c>
      <c r="D633" s="16" t="s">
        <v>1482</v>
      </c>
      <c r="E633" s="16" t="s">
        <v>444</v>
      </c>
      <c r="F633" s="132">
        <v>45000</v>
      </c>
      <c r="G633" s="102">
        <f>+ SUMIF('Nhập kho T42024'!B:B, C633,'Nhập kho T42024'!F:F)</f>
        <v>0</v>
      </c>
      <c r="H633" s="101">
        <f>+ SUMIF('Doanh thu'!A:A, C633,'Doanh thu'!E:E) + SUMIF('Doanh thu 2025'!B:B, C633,'Doanh thu 2025'!E:E)</f>
        <v>1</v>
      </c>
      <c r="I633" s="101">
        <f t="shared" si="89"/>
        <v>-1</v>
      </c>
      <c r="J633" s="103">
        <f t="shared" si="80"/>
        <v>0</v>
      </c>
      <c r="K633" s="104">
        <f>+ SUMIF('Doanh thu'!A:A, C633,'Doanh thu'!F:F)</f>
        <v>0</v>
      </c>
      <c r="L633" s="93">
        <f t="shared" si="77"/>
        <v>0</v>
      </c>
      <c r="M633" s="93">
        <f t="shared" si="84"/>
        <v>100000</v>
      </c>
      <c r="N633" s="93">
        <f t="shared" si="68"/>
        <v>100000</v>
      </c>
    </row>
    <row r="634" spans="3:14" ht="13.2">
      <c r="C634" s="16" t="s">
        <v>1488</v>
      </c>
      <c r="D634" s="16" t="s">
        <v>1489</v>
      </c>
      <c r="E634" s="16" t="s">
        <v>444</v>
      </c>
      <c r="F634" s="132">
        <v>167000</v>
      </c>
      <c r="G634" s="102">
        <f>+ SUMIF('Nhập kho T42024'!B:B, C634,'Nhập kho T42024'!F:F)</f>
        <v>44</v>
      </c>
      <c r="H634" s="101">
        <f>+ SUMIF('Doanh thu'!A:A, C634,'Doanh thu'!E:E) + SUMIF('Doanh thu 2025'!B:B, C634,'Doanh thu 2025'!E:E)</f>
        <v>21</v>
      </c>
      <c r="I634" s="101">
        <f t="shared" si="89"/>
        <v>23</v>
      </c>
      <c r="J634" s="103">
        <f t="shared" si="80"/>
        <v>0</v>
      </c>
      <c r="K634" s="104">
        <f>+ SUMIF('Doanh thu'!A:A, C634,'Doanh thu'!F:F)</f>
        <v>0</v>
      </c>
      <c r="L634" s="93">
        <f t="shared" si="77"/>
        <v>44</v>
      </c>
      <c r="M634" s="93">
        <f t="shared" si="84"/>
        <v>2100000</v>
      </c>
      <c r="N634" s="93">
        <f t="shared" si="68"/>
        <v>2099956</v>
      </c>
    </row>
    <row r="635" spans="3:14" ht="13.2">
      <c r="C635" s="16" t="s">
        <v>1490</v>
      </c>
      <c r="D635" s="16" t="s">
        <v>1489</v>
      </c>
      <c r="E635" s="16" t="s">
        <v>444</v>
      </c>
      <c r="F635" s="132">
        <v>167000</v>
      </c>
      <c r="G635" s="102">
        <f>+ SUMIF('Nhập kho T42024'!B:B, C635,'Nhập kho T42024'!F:F)</f>
        <v>30</v>
      </c>
      <c r="H635" s="101">
        <f>+ SUMIF('Doanh thu'!A:A, C635,'Doanh thu'!E:E) + SUMIF('Doanh thu 2025'!B:B, C635,'Doanh thu 2025'!E:E)</f>
        <v>29</v>
      </c>
      <c r="I635" s="101">
        <f t="shared" si="89"/>
        <v>1</v>
      </c>
      <c r="J635" s="103">
        <f t="shared" si="80"/>
        <v>0</v>
      </c>
      <c r="K635" s="104">
        <f>+ SUMIF('Doanh thu'!A:A, C635,'Doanh thu'!F:F)</f>
        <v>0</v>
      </c>
      <c r="L635" s="93">
        <f t="shared" si="77"/>
        <v>30</v>
      </c>
      <c r="M635" s="93">
        <f t="shared" si="84"/>
        <v>2900000</v>
      </c>
      <c r="N635" s="93">
        <f t="shared" si="68"/>
        <v>2899970</v>
      </c>
    </row>
    <row r="636" spans="3:14" ht="13.2">
      <c r="C636" s="16" t="s">
        <v>1491</v>
      </c>
      <c r="D636" s="16" t="s">
        <v>1489</v>
      </c>
      <c r="E636" s="16" t="s">
        <v>444</v>
      </c>
      <c r="F636" s="132">
        <v>167000</v>
      </c>
      <c r="G636" s="102">
        <f>+ SUMIF('Nhập kho T42024'!B:B, C636,'Nhập kho T42024'!F:F)</f>
        <v>14</v>
      </c>
      <c r="H636" s="101">
        <f>+ SUMIF('Doanh thu'!A:A, C636,'Doanh thu'!E:E) + SUMIF('Doanh thu 2025'!B:B, C636,'Doanh thu 2025'!E:E)</f>
        <v>8</v>
      </c>
      <c r="I636" s="101">
        <f t="shared" si="89"/>
        <v>6</v>
      </c>
      <c r="J636" s="103">
        <f t="shared" si="80"/>
        <v>0</v>
      </c>
      <c r="K636" s="104">
        <f>+ SUMIF('Doanh thu'!A:A, C636,'Doanh thu'!F:F)</f>
        <v>0</v>
      </c>
      <c r="L636" s="93">
        <f t="shared" si="77"/>
        <v>14</v>
      </c>
      <c r="M636" s="93">
        <f t="shared" si="84"/>
        <v>800000</v>
      </c>
      <c r="N636" s="93">
        <f t="shared" si="68"/>
        <v>799986</v>
      </c>
    </row>
    <row r="637" spans="3:14" ht="13.2">
      <c r="C637" s="16" t="s">
        <v>1492</v>
      </c>
      <c r="D637" s="16" t="s">
        <v>1489</v>
      </c>
      <c r="E637" s="16" t="s">
        <v>444</v>
      </c>
      <c r="F637" s="132">
        <v>167000</v>
      </c>
      <c r="G637" s="102">
        <f>+ SUMIF('Nhập kho T42024'!B:B, C637,'Nhập kho T42024'!F:F)</f>
        <v>16</v>
      </c>
      <c r="H637" s="101">
        <f>+ SUMIF('Doanh thu'!A:A, C637,'Doanh thu'!E:E) + SUMIF('Doanh thu 2025'!B:B, C637,'Doanh thu 2025'!E:E)</f>
        <v>12</v>
      </c>
      <c r="I637" s="101">
        <f t="shared" si="89"/>
        <v>4</v>
      </c>
      <c r="J637" s="103">
        <f t="shared" si="80"/>
        <v>0</v>
      </c>
      <c r="K637" s="104">
        <f>+ SUMIF('Doanh thu'!A:A, C637,'Doanh thu'!F:F)</f>
        <v>0</v>
      </c>
      <c r="L637" s="93">
        <f t="shared" si="77"/>
        <v>16</v>
      </c>
      <c r="M637" s="93">
        <f t="shared" si="84"/>
        <v>1200000</v>
      </c>
      <c r="N637" s="93">
        <f t="shared" si="68"/>
        <v>1199984</v>
      </c>
    </row>
    <row r="638" spans="3:14" ht="13.2">
      <c r="C638" s="16" t="s">
        <v>1493</v>
      </c>
      <c r="D638" s="16" t="s">
        <v>1489</v>
      </c>
      <c r="E638" s="16" t="s">
        <v>444</v>
      </c>
      <c r="F638" s="132">
        <v>167000</v>
      </c>
      <c r="G638" s="102">
        <f>+ SUMIF('Nhập kho T42024'!B:B, C638,'Nhập kho T42024'!F:F)</f>
        <v>4</v>
      </c>
      <c r="H638" s="101">
        <f>+ SUMIF('Doanh thu'!A:A, C638,'Doanh thu'!E:E) + SUMIF('Doanh thu 2025'!B:B, C638,'Doanh thu 2025'!E:E)</f>
        <v>1</v>
      </c>
      <c r="I638" s="101">
        <f t="shared" si="89"/>
        <v>3</v>
      </c>
      <c r="J638" s="103">
        <f t="shared" si="80"/>
        <v>0</v>
      </c>
      <c r="K638" s="104">
        <f>+ SUMIF('Doanh thu'!A:A, C638,'Doanh thu'!F:F)</f>
        <v>0</v>
      </c>
      <c r="L638" s="93">
        <f t="shared" si="77"/>
        <v>4</v>
      </c>
      <c r="M638" s="93">
        <f t="shared" si="84"/>
        <v>100000</v>
      </c>
      <c r="N638" s="93">
        <f t="shared" si="68"/>
        <v>99996</v>
      </c>
    </row>
    <row r="639" spans="3:14" ht="13.2">
      <c r="C639" s="16" t="s">
        <v>1494</v>
      </c>
      <c r="D639" s="16" t="s">
        <v>1495</v>
      </c>
      <c r="E639" s="16" t="s">
        <v>444</v>
      </c>
      <c r="F639" s="132">
        <v>98000</v>
      </c>
      <c r="G639" s="102">
        <f>+ SUMIF('Nhập kho T42024'!B:B, C639,'Nhập kho T42024'!F:F)</f>
        <v>0</v>
      </c>
      <c r="H639" s="101">
        <f>+ SUMIF('Doanh thu'!A:A, C639,'Doanh thu'!E:E) + SUMIF('Doanh thu 2025'!B:B, C639,'Doanh thu 2025'!E:E)</f>
        <v>59</v>
      </c>
      <c r="I639" s="101">
        <f t="shared" si="89"/>
        <v>-59</v>
      </c>
      <c r="J639" s="103">
        <f t="shared" si="80"/>
        <v>0</v>
      </c>
      <c r="K639" s="104">
        <f>+ SUMIF('Doanh thu'!A:A, C639,'Doanh thu'!F:F)</f>
        <v>0</v>
      </c>
      <c r="L639" s="93">
        <f t="shared" si="77"/>
        <v>0</v>
      </c>
      <c r="M639" s="93">
        <f t="shared" si="84"/>
        <v>5900000</v>
      </c>
      <c r="N639" s="93">
        <f t="shared" si="68"/>
        <v>5900000</v>
      </c>
    </row>
    <row r="640" spans="3:14" ht="13.2">
      <c r="C640" s="16" t="s">
        <v>1496</v>
      </c>
      <c r="D640" s="16" t="s">
        <v>1497</v>
      </c>
      <c r="E640" s="16" t="s">
        <v>444</v>
      </c>
      <c r="F640" s="132">
        <v>27000</v>
      </c>
      <c r="G640" s="102">
        <f>+ SUMIF('Nhập kho T42024'!B:B, C640,'Nhập kho T42024'!F:F)</f>
        <v>5</v>
      </c>
      <c r="H640" s="101">
        <f>+ SUMIF('Doanh thu'!A:A, C640,'Doanh thu'!E:E) + SUMIF('Doanh thu 2025'!B:B, C640,'Doanh thu 2025'!E:E)</f>
        <v>4</v>
      </c>
      <c r="I640" s="101">
        <f t="shared" si="89"/>
        <v>1</v>
      </c>
      <c r="J640" s="103">
        <f t="shared" si="80"/>
        <v>81000</v>
      </c>
      <c r="K640" s="104">
        <f>+ SUMIF('Doanh thu'!A:A, C640,'Doanh thu'!F:F)</f>
        <v>81000</v>
      </c>
      <c r="L640" s="93">
        <f t="shared" si="77"/>
        <v>5</v>
      </c>
      <c r="M640" s="93">
        <f t="shared" si="84"/>
        <v>400000</v>
      </c>
      <c r="N640" s="93">
        <f t="shared" si="68"/>
        <v>399995</v>
      </c>
    </row>
    <row r="641" spans="3:14" ht="13.2">
      <c r="C641" s="16" t="s">
        <v>1498</v>
      </c>
      <c r="D641" s="16" t="s">
        <v>1497</v>
      </c>
      <c r="E641" s="16" t="s">
        <v>444</v>
      </c>
      <c r="F641" s="132">
        <v>27000</v>
      </c>
      <c r="G641" s="102">
        <f>+ SUMIF('Nhập kho T42024'!B:B, C641,'Nhập kho T42024'!F:F)</f>
        <v>6</v>
      </c>
      <c r="H641" s="101">
        <f>+ SUMIF('Doanh thu'!A:A, C641,'Doanh thu'!E:E) + SUMIF('Doanh thu 2025'!B:B, C641,'Doanh thu 2025'!E:E)</f>
        <v>14</v>
      </c>
      <c r="I641" s="101">
        <f t="shared" si="89"/>
        <v>-8</v>
      </c>
      <c r="J641" s="103">
        <f t="shared" si="80"/>
        <v>162000</v>
      </c>
      <c r="K641" s="104">
        <f>+ SUMIF('Doanh thu'!A:A, C641,'Doanh thu'!F:F)</f>
        <v>162000</v>
      </c>
      <c r="L641" s="93">
        <f t="shared" si="77"/>
        <v>6</v>
      </c>
      <c r="M641" s="93">
        <f t="shared" si="84"/>
        <v>1400000</v>
      </c>
      <c r="N641" s="93">
        <f t="shared" si="68"/>
        <v>1399994</v>
      </c>
    </row>
    <row r="642" spans="3:14" ht="13.2">
      <c r="C642" s="16" t="s">
        <v>1499</v>
      </c>
      <c r="E642" s="16" t="s">
        <v>444</v>
      </c>
      <c r="F642" s="2"/>
      <c r="G642" s="102">
        <f>+ SUMIF('Nhập kho T42024'!B:B, C642,'Nhập kho T42024'!F:F)</f>
        <v>50</v>
      </c>
      <c r="H642" s="101">
        <f>+ SUMIF('Doanh thu'!A:A, C642,'Doanh thu'!E:E) + SUMIF('Doanh thu 2025'!B:B, C642,'Doanh thu 2025'!E:E)</f>
        <v>10</v>
      </c>
      <c r="I642" s="101">
        <f t="shared" si="89"/>
        <v>40</v>
      </c>
      <c r="J642" s="103">
        <f t="shared" si="80"/>
        <v>0</v>
      </c>
      <c r="K642" s="104">
        <f>+ SUMIF('Doanh thu'!A:A, C642,'Doanh thu'!F:F)</f>
        <v>0</v>
      </c>
      <c r="L642" s="93">
        <f t="shared" si="77"/>
        <v>50</v>
      </c>
      <c r="M642" s="93">
        <f t="shared" si="84"/>
        <v>1000000</v>
      </c>
      <c r="N642" s="93">
        <f t="shared" si="68"/>
        <v>999950</v>
      </c>
    </row>
    <row r="643" spans="3:14" ht="13.2">
      <c r="C643" s="16" t="s">
        <v>196</v>
      </c>
      <c r="E643" s="16" t="s">
        <v>444</v>
      </c>
      <c r="F643" s="2"/>
      <c r="G643" s="102">
        <f>+ SUMIF('Nhập kho T42024'!B:B, C643,'Nhập kho T42024'!F:F)</f>
        <v>124</v>
      </c>
      <c r="H643" s="101">
        <f>+ SUMIF('Doanh thu'!A:A, C643,'Doanh thu'!E:E) + SUMIF('Doanh thu 2025'!B:B, C643,'Doanh thu 2025'!E:E)</f>
        <v>100</v>
      </c>
      <c r="I643" s="101">
        <f t="shared" si="89"/>
        <v>24</v>
      </c>
      <c r="J643" s="103">
        <f t="shared" si="80"/>
        <v>0</v>
      </c>
      <c r="K643" s="104">
        <f>+ SUMIF('Doanh thu'!A:A, C643,'Doanh thu'!F:F)</f>
        <v>0</v>
      </c>
      <c r="L643" s="93">
        <f t="shared" si="77"/>
        <v>124</v>
      </c>
      <c r="M643" s="93">
        <f t="shared" si="84"/>
        <v>10000000</v>
      </c>
      <c r="N643" s="93">
        <f t="shared" si="68"/>
        <v>9999876</v>
      </c>
    </row>
    <row r="644" spans="3:14" ht="13.2">
      <c r="C644" s="16" t="s">
        <v>159</v>
      </c>
      <c r="E644" s="16" t="s">
        <v>444</v>
      </c>
      <c r="F644" s="2"/>
      <c r="G644" s="102">
        <f>+ SUMIF('Nhập kho T42024'!B:B, C644,'Nhập kho T42024'!F:F)</f>
        <v>33</v>
      </c>
      <c r="H644" s="101">
        <f>+ SUMIF('Doanh thu'!A:A, C644,'Doanh thu'!E:E) + SUMIF('Doanh thu 2025'!B:B, C644,'Doanh thu 2025'!E:E)</f>
        <v>21</v>
      </c>
      <c r="I644" s="101">
        <f t="shared" si="89"/>
        <v>12</v>
      </c>
      <c r="J644" s="103">
        <f t="shared" si="80"/>
        <v>0</v>
      </c>
      <c r="K644" s="104">
        <f>+ SUMIF('Doanh thu'!A:A, C644,'Doanh thu'!F:F)</f>
        <v>0</v>
      </c>
      <c r="L644" s="93">
        <f t="shared" si="77"/>
        <v>33</v>
      </c>
      <c r="M644" s="93">
        <f t="shared" si="84"/>
        <v>2100000</v>
      </c>
      <c r="N644" s="93">
        <f t="shared" si="68"/>
        <v>2099967</v>
      </c>
    </row>
    <row r="645" spans="3:14" ht="13.2">
      <c r="C645" s="16" t="s">
        <v>1500</v>
      </c>
      <c r="E645" s="16" t="s">
        <v>444</v>
      </c>
      <c r="F645" s="2"/>
      <c r="G645" s="102">
        <f>+ SUMIF('Nhập kho T42024'!B:B, C645,'Nhập kho T42024'!F:F)</f>
        <v>0</v>
      </c>
      <c r="H645" s="101">
        <f>+ SUMIF('Doanh thu'!A:A, C645,'Doanh thu'!E:E) + SUMIF('Doanh thu 2025'!B:B, C645,'Doanh thu 2025'!E:E)</f>
        <v>8</v>
      </c>
      <c r="I645" s="101">
        <f>G645-H645+25</f>
        <v>17</v>
      </c>
      <c r="J645" s="103">
        <f t="shared" si="80"/>
        <v>0</v>
      </c>
      <c r="K645" s="104">
        <f>+ SUMIF('Doanh thu'!A:A, C645,'Doanh thu'!F:F)</f>
        <v>0</v>
      </c>
      <c r="L645" s="93">
        <f t="shared" si="77"/>
        <v>0</v>
      </c>
      <c r="M645" s="93">
        <f t="shared" si="84"/>
        <v>800000</v>
      </c>
      <c r="N645" s="93">
        <f t="shared" si="68"/>
        <v>800000</v>
      </c>
    </row>
    <row r="646" spans="3:14" ht="13.2">
      <c r="C646" s="16" t="s">
        <v>1501</v>
      </c>
      <c r="E646" s="16" t="s">
        <v>444</v>
      </c>
      <c r="F646" s="2"/>
      <c r="G646" s="102">
        <f>+ SUMIF('Nhập kho T42024'!B:B, C646,'Nhập kho T42024'!F:F)</f>
        <v>0</v>
      </c>
      <c r="H646" s="101">
        <f>+ SUMIF('Doanh thu'!A:A, C646,'Doanh thu'!E:E) + SUMIF('Doanh thu 2025'!B:B, C646,'Doanh thu 2025'!E:E)</f>
        <v>11</v>
      </c>
      <c r="I646" s="101">
        <f>G646-H646+8</f>
        <v>-3</v>
      </c>
      <c r="J646" s="103">
        <f t="shared" si="80"/>
        <v>0</v>
      </c>
      <c r="K646" s="104">
        <f>+ SUMIF('Doanh thu'!A:A, C646,'Doanh thu'!F:F)</f>
        <v>0</v>
      </c>
      <c r="L646" s="93">
        <f t="shared" si="77"/>
        <v>0</v>
      </c>
      <c r="M646" s="93">
        <f t="shared" si="84"/>
        <v>1100000</v>
      </c>
      <c r="N646" s="93">
        <f t="shared" si="68"/>
        <v>1100000</v>
      </c>
    </row>
    <row r="647" spans="3:14" ht="13.2">
      <c r="C647" s="16" t="s">
        <v>1502</v>
      </c>
      <c r="E647" s="16" t="s">
        <v>444</v>
      </c>
      <c r="F647" s="2"/>
      <c r="G647" s="102">
        <f>+ SUMIF('Nhập kho T42024'!B:B, C647,'Nhập kho T42024'!F:F)</f>
        <v>0</v>
      </c>
      <c r="H647" s="101">
        <f>+ SUMIF('Doanh thu'!A:A, C647,'Doanh thu'!E:E) + SUMIF('Doanh thu 2025'!B:B, C647,'Doanh thu 2025'!E:E)</f>
        <v>0</v>
      </c>
      <c r="I647" s="101">
        <f>G647-H647+17</f>
        <v>17</v>
      </c>
      <c r="J647" s="103">
        <f t="shared" si="80"/>
        <v>0</v>
      </c>
      <c r="K647" s="104">
        <f>+ SUMIF('Doanh thu'!A:A, C647,'Doanh thu'!F:F)</f>
        <v>0</v>
      </c>
      <c r="L647" s="93">
        <f t="shared" si="77"/>
        <v>0</v>
      </c>
      <c r="M647" s="93">
        <f t="shared" si="84"/>
        <v>0</v>
      </c>
      <c r="N647" s="93">
        <f t="shared" si="68"/>
        <v>0</v>
      </c>
    </row>
    <row r="648" spans="3:14" ht="13.2">
      <c r="C648" s="16" t="s">
        <v>1503</v>
      </c>
      <c r="E648" s="16" t="s">
        <v>444</v>
      </c>
      <c r="F648" s="2"/>
      <c r="G648" s="102">
        <f>+ SUMIF('Nhập kho T42024'!B:B, C648,'Nhập kho T42024'!F:F)</f>
        <v>0</v>
      </c>
      <c r="H648" s="101">
        <f>+ SUMIF('Doanh thu'!A:A, C648,'Doanh thu'!E:E) + SUMIF('Doanh thu 2025'!B:B, C648,'Doanh thu 2025'!E:E)</f>
        <v>6</v>
      </c>
      <c r="I648" s="101">
        <f>G648-H648+5 +3</f>
        <v>2</v>
      </c>
      <c r="J648" s="103">
        <f t="shared" si="80"/>
        <v>0</v>
      </c>
      <c r="K648" s="104">
        <f>+ SUMIF('Doanh thu'!A:A, C648,'Doanh thu'!F:F)</f>
        <v>0</v>
      </c>
      <c r="L648" s="93">
        <f t="shared" si="77"/>
        <v>0</v>
      </c>
      <c r="M648" s="93">
        <f t="shared" si="84"/>
        <v>600000</v>
      </c>
      <c r="N648" s="93">
        <f t="shared" si="68"/>
        <v>600000</v>
      </c>
    </row>
    <row r="649" spans="3:14" ht="13.2">
      <c r="C649" s="16" t="s">
        <v>1504</v>
      </c>
      <c r="E649" s="16" t="s">
        <v>444</v>
      </c>
      <c r="F649" s="2"/>
      <c r="G649" s="102">
        <f>+ SUMIF('Nhập kho T42024'!B:B, C649,'Nhập kho T42024'!F:F)</f>
        <v>0</v>
      </c>
      <c r="H649" s="101">
        <f>+ SUMIF('Doanh thu'!A:A, C649,'Doanh thu'!E:E) + SUMIF('Doanh thu 2025'!B:B, C649,'Doanh thu 2025'!E:E)</f>
        <v>4</v>
      </c>
      <c r="I649" s="101">
        <f>G649-H649+9</f>
        <v>5</v>
      </c>
      <c r="J649" s="103">
        <f t="shared" si="80"/>
        <v>0</v>
      </c>
      <c r="K649" s="104">
        <f>+ SUMIF('Doanh thu'!A:A, C649,'Doanh thu'!F:F)</f>
        <v>0</v>
      </c>
      <c r="L649" s="93">
        <f t="shared" si="77"/>
        <v>0</v>
      </c>
      <c r="M649" s="93">
        <f t="shared" si="84"/>
        <v>400000</v>
      </c>
      <c r="N649" s="93">
        <f t="shared" si="68"/>
        <v>400000</v>
      </c>
    </row>
    <row r="650" spans="3:14" ht="13.2">
      <c r="C650" s="16" t="s">
        <v>1505</v>
      </c>
      <c r="E650" s="16" t="s">
        <v>444</v>
      </c>
      <c r="F650" s="2"/>
      <c r="G650" s="102">
        <f>+ SUMIF('Nhập kho T42024'!B:B, C650,'Nhập kho T42024'!F:F)</f>
        <v>0</v>
      </c>
      <c r="H650" s="101">
        <f>+ SUMIF('Doanh thu'!A:A, C650,'Doanh thu'!E:E) + SUMIF('Doanh thu 2025'!B:B, C650,'Doanh thu 2025'!E:E)</f>
        <v>2</v>
      </c>
      <c r="I650" s="101">
        <f>G650-H650+8</f>
        <v>6</v>
      </c>
      <c r="J650" s="103">
        <f t="shared" si="80"/>
        <v>0</v>
      </c>
      <c r="K650" s="104">
        <f>+ SUMIF('Doanh thu'!A:A, C650,'Doanh thu'!F:F)</f>
        <v>0</v>
      </c>
      <c r="L650" s="93">
        <f t="shared" si="77"/>
        <v>0</v>
      </c>
      <c r="M650" s="93">
        <f t="shared" si="84"/>
        <v>200000</v>
      </c>
      <c r="N650" s="93">
        <f t="shared" si="68"/>
        <v>200000</v>
      </c>
    </row>
    <row r="651" spans="3:14" ht="13.2">
      <c r="C651" s="16" t="s">
        <v>210</v>
      </c>
      <c r="E651" s="16" t="s">
        <v>444</v>
      </c>
      <c r="F651" s="2"/>
      <c r="G651" s="102">
        <f>+ SUMIF('Nhập kho T42024'!B:B, C651,'Nhập kho T42024'!F:F)</f>
        <v>0</v>
      </c>
      <c r="H651" s="101">
        <f>+ SUMIF('Doanh thu'!A:A, C651,'Doanh thu'!E:E) + SUMIF('Doanh thu 2025'!B:B, C651,'Doanh thu 2025'!E:E)</f>
        <v>11</v>
      </c>
      <c r="I651" s="101">
        <f t="shared" ref="I651:I788" si="90">G651-H651</f>
        <v>-11</v>
      </c>
      <c r="J651" s="103">
        <f t="shared" si="80"/>
        <v>0</v>
      </c>
      <c r="K651" s="104">
        <f>+ SUMIF('Doanh thu'!A:A, C651,'Doanh thu'!F:F)</f>
        <v>0</v>
      </c>
      <c r="L651" s="93">
        <f t="shared" si="77"/>
        <v>0</v>
      </c>
      <c r="M651" s="93">
        <f t="shared" si="84"/>
        <v>1100000</v>
      </c>
      <c r="N651" s="93">
        <f t="shared" si="68"/>
        <v>1100000</v>
      </c>
    </row>
    <row r="652" spans="3:14" ht="13.2">
      <c r="E652" s="16" t="s">
        <v>444</v>
      </c>
      <c r="F652" s="2"/>
      <c r="G652" s="102">
        <f>+ SUMIF('Nhập kho T42024'!B:B, C652,'Nhập kho T42024'!F:F)</f>
        <v>0</v>
      </c>
      <c r="H652" s="101">
        <f>+ SUMIF('Doanh thu'!A:A, C652,'Doanh thu'!E:E) + SUMIF('Doanh thu 2025'!B:B, C652,'Doanh thu 2025'!E:E)</f>
        <v>0</v>
      </c>
      <c r="I652" s="101">
        <f t="shared" si="90"/>
        <v>0</v>
      </c>
      <c r="J652" s="103">
        <f t="shared" si="80"/>
        <v>0</v>
      </c>
      <c r="K652" s="104">
        <f>+ SUMIF('Doanh thu'!A:A, C652,'Doanh thu'!F:F)</f>
        <v>0</v>
      </c>
      <c r="L652" s="93">
        <f t="shared" si="77"/>
        <v>0</v>
      </c>
      <c r="M652" s="93">
        <f t="shared" si="84"/>
        <v>0</v>
      </c>
      <c r="N652" s="93">
        <f t="shared" si="68"/>
        <v>0</v>
      </c>
    </row>
    <row r="653" spans="3:14" ht="13.2">
      <c r="E653" s="16" t="s">
        <v>444</v>
      </c>
      <c r="F653" s="2"/>
      <c r="G653" s="102">
        <f>+ SUMIF('Nhập kho T42024'!B:B, C653,'Nhập kho T42024'!F:F)</f>
        <v>0</v>
      </c>
      <c r="H653" s="101">
        <f>+ SUMIF('Doanh thu'!A:A, C653,'Doanh thu'!E:E) + SUMIF('Doanh thu 2025'!B:B, C653,'Doanh thu 2025'!E:E)</f>
        <v>0</v>
      </c>
      <c r="I653" s="101">
        <f t="shared" si="90"/>
        <v>0</v>
      </c>
      <c r="J653" s="103">
        <f t="shared" si="80"/>
        <v>0</v>
      </c>
      <c r="K653" s="104">
        <f>+ SUMIF('Doanh thu'!A:A, C653,'Doanh thu'!F:F)</f>
        <v>0</v>
      </c>
      <c r="L653" s="93">
        <f t="shared" si="77"/>
        <v>0</v>
      </c>
      <c r="M653" s="93">
        <f t="shared" si="84"/>
        <v>0</v>
      </c>
      <c r="N653" s="93">
        <f t="shared" si="68"/>
        <v>0</v>
      </c>
    </row>
    <row r="654" spans="3:14" ht="13.2">
      <c r="E654" s="16" t="s">
        <v>444</v>
      </c>
      <c r="F654" s="2"/>
      <c r="G654" s="102">
        <f>+ SUMIF('Nhập kho T42024'!B:B, C654,'Nhập kho T42024'!F:F)</f>
        <v>0</v>
      </c>
      <c r="H654" s="101">
        <f>+ SUMIF('Doanh thu'!A:A, C654,'Doanh thu'!E:E) + SUMIF('Doanh thu 2025'!B:B, C654,'Doanh thu 2025'!E:E)</f>
        <v>0</v>
      </c>
      <c r="I654" s="101">
        <f t="shared" si="90"/>
        <v>0</v>
      </c>
      <c r="J654" s="103">
        <f t="shared" si="80"/>
        <v>0</v>
      </c>
      <c r="K654" s="104">
        <f>+ SUMIF('Doanh thu'!A:A, C654,'Doanh thu'!F:F)</f>
        <v>0</v>
      </c>
      <c r="L654" s="93">
        <f t="shared" si="77"/>
        <v>0</v>
      </c>
      <c r="M654" s="93">
        <f t="shared" si="84"/>
        <v>0</v>
      </c>
      <c r="N654" s="93">
        <f t="shared" si="68"/>
        <v>0</v>
      </c>
    </row>
    <row r="655" spans="3:14" ht="13.2">
      <c r="E655" s="16" t="s">
        <v>444</v>
      </c>
      <c r="F655" s="2"/>
      <c r="G655" s="102">
        <f>+ SUMIF('Nhập kho T42024'!B:B, C655,'Nhập kho T42024'!F:F)</f>
        <v>0</v>
      </c>
      <c r="H655" s="101">
        <f>+ SUMIF('Doanh thu'!A:A, C655,'Doanh thu'!E:E) + SUMIF('Doanh thu 2025'!B:B, C655,'Doanh thu 2025'!E:E)</f>
        <v>0</v>
      </c>
      <c r="I655" s="101">
        <f t="shared" si="90"/>
        <v>0</v>
      </c>
      <c r="J655" s="103">
        <f t="shared" si="80"/>
        <v>0</v>
      </c>
      <c r="K655" s="104">
        <f>+ SUMIF('Doanh thu'!A:A, C655,'Doanh thu'!F:F)</f>
        <v>0</v>
      </c>
      <c r="L655" s="93">
        <f t="shared" si="77"/>
        <v>0</v>
      </c>
      <c r="M655" s="93">
        <f t="shared" si="84"/>
        <v>0</v>
      </c>
      <c r="N655" s="93">
        <f t="shared" si="68"/>
        <v>0</v>
      </c>
    </row>
    <row r="656" spans="3:14" ht="13.2">
      <c r="E656" s="16" t="s">
        <v>444</v>
      </c>
      <c r="F656" s="2"/>
      <c r="G656" s="102">
        <f>+ SUMIF('Nhập kho T42024'!B:B, C656,'Nhập kho T42024'!F:F)</f>
        <v>0</v>
      </c>
      <c r="H656" s="101">
        <f>+ SUMIF('Doanh thu'!A:A, C656,'Doanh thu'!E:E) + SUMIF('Doanh thu 2025'!B:B, C656,'Doanh thu 2025'!E:E)</f>
        <v>0</v>
      </c>
      <c r="I656" s="101">
        <f t="shared" si="90"/>
        <v>0</v>
      </c>
      <c r="J656" s="103">
        <f t="shared" si="80"/>
        <v>0</v>
      </c>
      <c r="K656" s="104">
        <f>+ SUMIF('Doanh thu'!A:A, C656,'Doanh thu'!F:F)</f>
        <v>0</v>
      </c>
      <c r="L656" s="93">
        <f t="shared" si="77"/>
        <v>0</v>
      </c>
      <c r="M656" s="93">
        <f t="shared" si="84"/>
        <v>0</v>
      </c>
      <c r="N656" s="93">
        <f t="shared" si="68"/>
        <v>0</v>
      </c>
    </row>
    <row r="657" spans="3:14" ht="13.2">
      <c r="E657" s="16" t="s">
        <v>444</v>
      </c>
      <c r="F657" s="2"/>
      <c r="G657" s="102">
        <f>+ SUMIF('Nhập kho T42024'!B:B, C657,'Nhập kho T42024'!F:F)</f>
        <v>0</v>
      </c>
      <c r="H657" s="101">
        <f>+ SUMIF('Doanh thu'!A:A, C657,'Doanh thu'!E:E) + SUMIF('Doanh thu 2025'!B:B, C657,'Doanh thu 2025'!E:E)</f>
        <v>0</v>
      </c>
      <c r="I657" s="101">
        <f t="shared" si="90"/>
        <v>0</v>
      </c>
      <c r="J657" s="103">
        <f t="shared" si="80"/>
        <v>0</v>
      </c>
      <c r="K657" s="104">
        <f>+ SUMIF('Doanh thu'!A:A, C657,'Doanh thu'!F:F)</f>
        <v>0</v>
      </c>
      <c r="L657" s="93">
        <f t="shared" si="77"/>
        <v>0</v>
      </c>
      <c r="M657" s="93">
        <f t="shared" si="84"/>
        <v>0</v>
      </c>
      <c r="N657" s="93">
        <f t="shared" si="68"/>
        <v>0</v>
      </c>
    </row>
    <row r="658" spans="3:14" ht="13.2">
      <c r="E658" s="16" t="s">
        <v>444</v>
      </c>
      <c r="F658" s="2"/>
      <c r="G658" s="102">
        <f>+ SUMIF('Nhập kho T42024'!B:B, C658,'Nhập kho T42024'!F:F)</f>
        <v>0</v>
      </c>
      <c r="H658" s="101">
        <f>+ SUMIF('Doanh thu'!A:A, C658,'Doanh thu'!E:E) + SUMIF('Doanh thu 2025'!B:B, C658,'Doanh thu 2025'!E:E)</f>
        <v>0</v>
      </c>
      <c r="I658" s="101">
        <f t="shared" si="90"/>
        <v>0</v>
      </c>
      <c r="J658" s="103">
        <f t="shared" si="80"/>
        <v>0</v>
      </c>
      <c r="K658" s="104">
        <f>+ SUMIF('Doanh thu'!A:A, C658,'Doanh thu'!F:F)</f>
        <v>0</v>
      </c>
      <c r="L658" s="93">
        <f t="shared" si="77"/>
        <v>0</v>
      </c>
      <c r="M658" s="93">
        <f t="shared" si="84"/>
        <v>0</v>
      </c>
      <c r="N658" s="93">
        <f t="shared" si="68"/>
        <v>0</v>
      </c>
    </row>
    <row r="659" spans="3:14" ht="13.2">
      <c r="E659" s="16" t="s">
        <v>444</v>
      </c>
      <c r="F659" s="2"/>
      <c r="G659" s="102">
        <f>+ SUMIF('Nhập kho T42024'!B:B, C659,'Nhập kho T42024'!F:F)</f>
        <v>0</v>
      </c>
      <c r="H659" s="101">
        <f>+ SUMIF('Doanh thu'!A:A, C659,'Doanh thu'!E:E) + SUMIF('Doanh thu 2025'!B:B, C659,'Doanh thu 2025'!E:E)</f>
        <v>0</v>
      </c>
      <c r="I659" s="101">
        <f t="shared" si="90"/>
        <v>0</v>
      </c>
      <c r="J659" s="103">
        <f t="shared" si="80"/>
        <v>0</v>
      </c>
      <c r="K659" s="104">
        <f>+ SUMIF('Doanh thu'!A:A, C659,'Doanh thu'!F:F)</f>
        <v>0</v>
      </c>
      <c r="L659" s="93">
        <f t="shared" si="77"/>
        <v>0</v>
      </c>
      <c r="M659" s="93">
        <f t="shared" si="84"/>
        <v>0</v>
      </c>
      <c r="N659" s="93">
        <f t="shared" si="68"/>
        <v>0</v>
      </c>
    </row>
    <row r="660" spans="3:14" ht="13.2">
      <c r="C660" s="16" t="s">
        <v>1506</v>
      </c>
      <c r="D660" s="16" t="s">
        <v>1507</v>
      </c>
      <c r="E660" s="16" t="s">
        <v>444</v>
      </c>
      <c r="F660" s="2"/>
      <c r="G660" s="102">
        <f>+ SUMIF('Nhập kho T42024'!B:B, C660,'Nhập kho T42024'!F:F)</f>
        <v>40</v>
      </c>
      <c r="H660" s="101">
        <f>+ SUMIF('Doanh thu'!A:A, C660,'Doanh thu'!E:E) + SUMIF('Doanh thu 2025'!B:B, C660,'Doanh thu 2025'!E:E)</f>
        <v>2</v>
      </c>
      <c r="I660" s="101">
        <f t="shared" si="90"/>
        <v>38</v>
      </c>
      <c r="J660" s="103">
        <f t="shared" si="80"/>
        <v>0</v>
      </c>
      <c r="K660" s="104">
        <f>+ SUMIF('Doanh thu'!A:A, C660,'Doanh thu'!F:F)</f>
        <v>0</v>
      </c>
      <c r="L660" s="93">
        <f t="shared" si="77"/>
        <v>40</v>
      </c>
      <c r="M660" s="93">
        <f t="shared" si="84"/>
        <v>200000</v>
      </c>
      <c r="N660" s="93">
        <f t="shared" si="68"/>
        <v>199960</v>
      </c>
    </row>
    <row r="661" spans="3:14" ht="13.2">
      <c r="C661" s="16" t="s">
        <v>1508</v>
      </c>
      <c r="D661" s="16" t="s">
        <v>1507</v>
      </c>
      <c r="E661" s="16" t="s">
        <v>444</v>
      </c>
      <c r="F661" s="2"/>
      <c r="G661" s="102">
        <f>+ SUMIF('Nhập kho T42024'!B:B, C661,'Nhập kho T42024'!F:F)</f>
        <v>8</v>
      </c>
      <c r="H661" s="101">
        <f>+ SUMIF('Doanh thu'!A:A, C661,'Doanh thu'!E:E) + SUMIF('Doanh thu 2025'!B:B, C661,'Doanh thu 2025'!E:E)</f>
        <v>1</v>
      </c>
      <c r="I661" s="101">
        <f t="shared" si="90"/>
        <v>7</v>
      </c>
      <c r="J661" s="103">
        <f t="shared" si="80"/>
        <v>0</v>
      </c>
      <c r="K661" s="104">
        <f>+ SUMIF('Doanh thu'!A:A, C661,'Doanh thu'!F:F)</f>
        <v>0</v>
      </c>
      <c r="L661" s="93">
        <f t="shared" si="77"/>
        <v>8</v>
      </c>
      <c r="M661" s="93">
        <f t="shared" si="84"/>
        <v>100000</v>
      </c>
      <c r="N661" s="93">
        <f t="shared" si="68"/>
        <v>99992</v>
      </c>
    </row>
    <row r="662" spans="3:14" ht="13.2">
      <c r="C662" s="16" t="s">
        <v>1509</v>
      </c>
      <c r="D662" s="16" t="s">
        <v>1507</v>
      </c>
      <c r="E662" s="16" t="s">
        <v>444</v>
      </c>
      <c r="F662" s="2"/>
      <c r="G662" s="102">
        <f>+ SUMIF('Nhập kho T42024'!B:B, C662,'Nhập kho T42024'!F:F)</f>
        <v>30</v>
      </c>
      <c r="H662" s="101">
        <f>+ SUMIF('Doanh thu'!A:A, C662,'Doanh thu'!E:E) + SUMIF('Doanh thu 2025'!B:B, C662,'Doanh thu 2025'!E:E)</f>
        <v>0</v>
      </c>
      <c r="I662" s="101">
        <f t="shared" si="90"/>
        <v>30</v>
      </c>
      <c r="J662" s="103">
        <f t="shared" si="80"/>
        <v>0</v>
      </c>
      <c r="K662" s="104">
        <f>+ SUMIF('Doanh thu'!A:A, C662,'Doanh thu'!F:F)</f>
        <v>0</v>
      </c>
      <c r="L662" s="93">
        <f t="shared" si="77"/>
        <v>30</v>
      </c>
      <c r="M662" s="93">
        <f t="shared" si="84"/>
        <v>0</v>
      </c>
      <c r="N662" s="93">
        <f t="shared" si="68"/>
        <v>-30</v>
      </c>
    </row>
    <row r="663" spans="3:14" ht="13.2">
      <c r="C663" s="16" t="s">
        <v>1510</v>
      </c>
      <c r="D663" s="16" t="s">
        <v>1507</v>
      </c>
      <c r="E663" s="16" t="s">
        <v>444</v>
      </c>
      <c r="F663" s="2"/>
      <c r="G663" s="102">
        <f>+ SUMIF('Nhập kho T42024'!B:B, C663,'Nhập kho T42024'!F:F)</f>
        <v>40</v>
      </c>
      <c r="H663" s="101">
        <f>+ SUMIF('Doanh thu'!A:A, C663,'Doanh thu'!E:E) + SUMIF('Doanh thu 2025'!B:B, C663,'Doanh thu 2025'!E:E)</f>
        <v>1</v>
      </c>
      <c r="I663" s="101">
        <f t="shared" si="90"/>
        <v>39</v>
      </c>
      <c r="J663" s="103">
        <f t="shared" si="80"/>
        <v>0</v>
      </c>
      <c r="K663" s="104">
        <f>+ SUMIF('Doanh thu'!A:A, C663,'Doanh thu'!F:F)</f>
        <v>0</v>
      </c>
      <c r="L663" s="93">
        <f t="shared" si="77"/>
        <v>40</v>
      </c>
      <c r="M663" s="93">
        <f t="shared" si="84"/>
        <v>100000</v>
      </c>
      <c r="N663" s="93">
        <f t="shared" si="68"/>
        <v>99960</v>
      </c>
    </row>
    <row r="664" spans="3:14" ht="13.2">
      <c r="C664" s="16" t="s">
        <v>1511</v>
      </c>
      <c r="D664" s="16" t="s">
        <v>1507</v>
      </c>
      <c r="E664" s="16" t="s">
        <v>444</v>
      </c>
      <c r="F664" s="2"/>
      <c r="G664" s="102">
        <f>+ SUMIF('Nhập kho T42024'!B:B, C664,'Nhập kho T42024'!F:F)</f>
        <v>10</v>
      </c>
      <c r="H664" s="101">
        <f>+ SUMIF('Doanh thu'!A:A, C664,'Doanh thu'!E:E) + SUMIF('Doanh thu 2025'!B:B, C664,'Doanh thu 2025'!E:E)</f>
        <v>1</v>
      </c>
      <c r="I664" s="101">
        <f t="shared" si="90"/>
        <v>9</v>
      </c>
      <c r="J664" s="103">
        <f t="shared" si="80"/>
        <v>0</v>
      </c>
      <c r="K664" s="104">
        <f>+ SUMIF('Doanh thu'!A:A, C664,'Doanh thu'!F:F)</f>
        <v>0</v>
      </c>
      <c r="L664" s="93">
        <f t="shared" si="77"/>
        <v>10</v>
      </c>
      <c r="M664" s="93">
        <f t="shared" si="84"/>
        <v>100000</v>
      </c>
      <c r="N664" s="93">
        <f t="shared" si="68"/>
        <v>99990</v>
      </c>
    </row>
    <row r="665" spans="3:14" ht="13.2">
      <c r="C665" s="16" t="s">
        <v>1512</v>
      </c>
      <c r="D665" s="16" t="s">
        <v>1507</v>
      </c>
      <c r="E665" s="16" t="s">
        <v>444</v>
      </c>
      <c r="F665" s="2"/>
      <c r="G665" s="102">
        <f>+ SUMIF('Nhập kho T42024'!B:B, C665,'Nhập kho T42024'!F:F)</f>
        <v>8</v>
      </c>
      <c r="H665" s="101">
        <f>+ SUMIF('Doanh thu'!A:A, C665,'Doanh thu'!E:E) + SUMIF('Doanh thu 2025'!B:B, C665,'Doanh thu 2025'!E:E)</f>
        <v>1</v>
      </c>
      <c r="I665" s="101">
        <f t="shared" si="90"/>
        <v>7</v>
      </c>
      <c r="J665" s="103">
        <f t="shared" si="80"/>
        <v>0</v>
      </c>
      <c r="K665" s="104">
        <f>+ SUMIF('Doanh thu'!A:A, C665,'Doanh thu'!F:F)</f>
        <v>0</v>
      </c>
      <c r="L665" s="93">
        <f t="shared" si="77"/>
        <v>8</v>
      </c>
      <c r="M665" s="93">
        <f t="shared" si="84"/>
        <v>100000</v>
      </c>
      <c r="N665" s="93">
        <f t="shared" si="68"/>
        <v>99992</v>
      </c>
    </row>
    <row r="666" spans="3:14" ht="13.2">
      <c r="C666" s="16" t="s">
        <v>1513</v>
      </c>
      <c r="D666" s="16" t="s">
        <v>1507</v>
      </c>
      <c r="E666" s="16" t="s">
        <v>444</v>
      </c>
      <c r="F666" s="2"/>
      <c r="G666" s="102">
        <f>+ SUMIF('Nhập kho T42024'!B:B, C666,'Nhập kho T42024'!F:F)</f>
        <v>15</v>
      </c>
      <c r="H666" s="101">
        <f>+ SUMIF('Doanh thu'!A:A, C666,'Doanh thu'!E:E) + SUMIF('Doanh thu 2025'!B:B, C666,'Doanh thu 2025'!E:E)</f>
        <v>0</v>
      </c>
      <c r="I666" s="101">
        <f t="shared" si="90"/>
        <v>15</v>
      </c>
      <c r="J666" s="103">
        <f t="shared" si="80"/>
        <v>0</v>
      </c>
      <c r="K666" s="104">
        <f>+ SUMIF('Doanh thu'!A:A, C666,'Doanh thu'!F:F)</f>
        <v>0</v>
      </c>
      <c r="L666" s="93">
        <f t="shared" si="77"/>
        <v>15</v>
      </c>
      <c r="M666" s="93">
        <f t="shared" si="84"/>
        <v>0</v>
      </c>
      <c r="N666" s="93">
        <f t="shared" si="68"/>
        <v>-15</v>
      </c>
    </row>
    <row r="667" spans="3:14" ht="13.2">
      <c r="C667" s="16" t="s">
        <v>1514</v>
      </c>
      <c r="F667" s="2"/>
      <c r="G667" s="102">
        <f>+ SUMIF('Nhập kho T42024'!B:B, C667,'Nhập kho T42024'!F:F)</f>
        <v>0</v>
      </c>
      <c r="H667" s="101">
        <f>+ SUMIF('Doanh thu'!A:A, C667,'Doanh thu'!E:E) + SUMIF('Doanh thu 2025'!B:B, C667,'Doanh thu 2025'!E:E)</f>
        <v>2</v>
      </c>
      <c r="I667" s="101">
        <f t="shared" si="90"/>
        <v>-2</v>
      </c>
      <c r="J667" s="103">
        <f t="shared" si="80"/>
        <v>0</v>
      </c>
      <c r="K667" s="104">
        <f>+ SUMIF('Doanh thu'!A:A, C667,'Doanh thu'!F:F)</f>
        <v>0</v>
      </c>
      <c r="L667" s="93">
        <f t="shared" si="77"/>
        <v>0</v>
      </c>
      <c r="M667" s="93">
        <f t="shared" si="84"/>
        <v>200000</v>
      </c>
      <c r="N667" s="93">
        <f t="shared" si="68"/>
        <v>200000</v>
      </c>
    </row>
    <row r="668" spans="3:14" ht="13.2">
      <c r="C668" s="16" t="s">
        <v>133</v>
      </c>
      <c r="F668" s="2"/>
      <c r="G668" s="102">
        <f>+ SUMIF('Nhập kho T42024'!B:B, C668,'Nhập kho T42024'!F:F)</f>
        <v>59</v>
      </c>
      <c r="H668" s="101">
        <f>+ SUMIF('Doanh thu'!A:A, C668,'Doanh thu'!E:E) + SUMIF('Doanh thu 2025'!B:B, C668,'Doanh thu 2025'!E:E)</f>
        <v>62</v>
      </c>
      <c r="I668" s="101">
        <f t="shared" si="90"/>
        <v>-3</v>
      </c>
      <c r="J668" s="103">
        <f t="shared" si="80"/>
        <v>0</v>
      </c>
      <c r="K668" s="104">
        <f>+ SUMIF('Doanh thu'!A:A, C668,'Doanh thu'!F:F)</f>
        <v>0</v>
      </c>
      <c r="L668" s="93">
        <f t="shared" si="77"/>
        <v>59</v>
      </c>
      <c r="M668" s="93">
        <f t="shared" si="84"/>
        <v>6200000</v>
      </c>
      <c r="N668" s="93">
        <f t="shared" si="68"/>
        <v>6199941</v>
      </c>
    </row>
    <row r="669" spans="3:14" ht="13.2">
      <c r="C669" s="16" t="s">
        <v>77</v>
      </c>
      <c r="F669" s="2"/>
      <c r="G669" s="102">
        <f>+ SUMIF('Nhập kho T42024'!B:B, C669,'Nhập kho T42024'!F:F)</f>
        <v>77</v>
      </c>
      <c r="H669" s="101">
        <f>+ SUMIF('Doanh thu'!A:A, C669,'Doanh thu'!E:E) + SUMIF('Doanh thu 2025'!B:B, C669,'Doanh thu 2025'!E:E)</f>
        <v>60</v>
      </c>
      <c r="I669" s="101">
        <f t="shared" si="90"/>
        <v>17</v>
      </c>
      <c r="J669" s="103">
        <f t="shared" si="80"/>
        <v>0</v>
      </c>
      <c r="K669" s="104">
        <f>+ SUMIF('Doanh thu'!A:A, C669,'Doanh thu'!F:F)</f>
        <v>0</v>
      </c>
      <c r="L669" s="93">
        <f t="shared" si="77"/>
        <v>77</v>
      </c>
      <c r="M669" s="93">
        <f t="shared" si="84"/>
        <v>6000000</v>
      </c>
      <c r="N669" s="93">
        <f t="shared" si="68"/>
        <v>5999923</v>
      </c>
    </row>
    <row r="670" spans="3:14" ht="13.2">
      <c r="C670" s="16" t="s">
        <v>180</v>
      </c>
      <c r="F670" s="2"/>
      <c r="G670" s="102">
        <f>+ SUMIF('Nhập kho T42024'!B:B, C670,'Nhập kho T42024'!F:F)</f>
        <v>36</v>
      </c>
      <c r="H670" s="101">
        <f>+ SUMIF('Doanh thu'!A:A, C670,'Doanh thu'!E:E) + SUMIF('Doanh thu 2025'!B:B, C670,'Doanh thu 2025'!E:E)</f>
        <v>16</v>
      </c>
      <c r="I670" s="101">
        <f t="shared" si="90"/>
        <v>20</v>
      </c>
      <c r="J670" s="103">
        <f t="shared" si="80"/>
        <v>0</v>
      </c>
      <c r="K670" s="104">
        <f>+ SUMIF('Doanh thu'!A:A, C670,'Doanh thu'!F:F)</f>
        <v>0</v>
      </c>
      <c r="L670" s="93">
        <f t="shared" si="77"/>
        <v>36</v>
      </c>
      <c r="M670" s="93">
        <f t="shared" si="84"/>
        <v>1600000</v>
      </c>
      <c r="N670" s="93">
        <f t="shared" si="68"/>
        <v>1599964</v>
      </c>
    </row>
    <row r="671" spans="3:14" ht="13.2">
      <c r="C671" s="16" t="s">
        <v>233</v>
      </c>
      <c r="F671" s="2"/>
      <c r="G671" s="102">
        <f>+ SUMIF('Nhập kho T42024'!B:B, C671,'Nhập kho T42024'!F:F)</f>
        <v>40</v>
      </c>
      <c r="H671" s="101">
        <f>+ SUMIF('Doanh thu'!A:A, C671,'Doanh thu'!E:E) + SUMIF('Doanh thu 2025'!B:B, C671,'Doanh thu 2025'!E:E)</f>
        <v>30</v>
      </c>
      <c r="I671" s="101">
        <f t="shared" si="90"/>
        <v>10</v>
      </c>
      <c r="J671" s="103">
        <f t="shared" si="80"/>
        <v>0</v>
      </c>
      <c r="K671" s="104">
        <f>+ SUMIF('Doanh thu'!A:A, C671,'Doanh thu'!F:F)</f>
        <v>0</v>
      </c>
      <c r="L671" s="93">
        <f t="shared" si="77"/>
        <v>40</v>
      </c>
      <c r="M671" s="93">
        <f t="shared" si="84"/>
        <v>3000000</v>
      </c>
      <c r="N671" s="93">
        <f t="shared" si="68"/>
        <v>2999960</v>
      </c>
    </row>
    <row r="672" spans="3:14" ht="13.2">
      <c r="C672" s="16" t="s">
        <v>1515</v>
      </c>
      <c r="F672" s="2"/>
      <c r="G672" s="102">
        <f>+ SUMIF('Nhập kho T42024'!B:B, C672,'Nhập kho T42024'!F:F)</f>
        <v>20</v>
      </c>
      <c r="H672" s="101">
        <f>+ SUMIF('Doanh thu'!A:A, C672,'Doanh thu'!E:E) + SUMIF('Doanh thu 2025'!B:B, C672,'Doanh thu 2025'!E:E)</f>
        <v>17</v>
      </c>
      <c r="I672" s="101">
        <f t="shared" si="90"/>
        <v>3</v>
      </c>
      <c r="J672" s="103">
        <f t="shared" si="80"/>
        <v>0</v>
      </c>
      <c r="K672" s="104">
        <f>+ SUMIF('Doanh thu'!A:A, C672,'Doanh thu'!F:F)</f>
        <v>0</v>
      </c>
      <c r="L672" s="93">
        <f t="shared" si="77"/>
        <v>20</v>
      </c>
      <c r="M672" s="93">
        <f t="shared" si="84"/>
        <v>1700000</v>
      </c>
      <c r="N672" s="93">
        <f t="shared" si="68"/>
        <v>1699980</v>
      </c>
    </row>
    <row r="673" spans="3:14" ht="13.2">
      <c r="C673" s="16" t="s">
        <v>1516</v>
      </c>
      <c r="F673" s="2"/>
      <c r="G673" s="102">
        <f>+ SUMIF('Nhập kho T42024'!B:B, C673,'Nhập kho T42024'!F:F)</f>
        <v>26</v>
      </c>
      <c r="H673" s="101">
        <f>+ SUMIF('Doanh thu'!A:A, C673,'Doanh thu'!E:E) + SUMIF('Doanh thu 2025'!B:B, C673,'Doanh thu 2025'!E:E)</f>
        <v>33</v>
      </c>
      <c r="I673" s="101">
        <f t="shared" si="90"/>
        <v>-7</v>
      </c>
      <c r="J673" s="103">
        <f t="shared" si="80"/>
        <v>0</v>
      </c>
      <c r="K673" s="104">
        <f>+ SUMIF('Doanh thu'!A:A, C673,'Doanh thu'!F:F)</f>
        <v>0</v>
      </c>
      <c r="L673" s="93">
        <f t="shared" si="77"/>
        <v>26</v>
      </c>
      <c r="M673" s="93">
        <f t="shared" si="84"/>
        <v>3300000</v>
      </c>
      <c r="N673" s="93">
        <f t="shared" si="68"/>
        <v>3299974</v>
      </c>
    </row>
    <row r="674" spans="3:14" ht="13.2">
      <c r="C674" s="16" t="s">
        <v>1517</v>
      </c>
      <c r="F674" s="2"/>
      <c r="G674" s="102">
        <f>+ SUMIF('Nhập kho T42024'!B:B, C674,'Nhập kho T42024'!F:F)</f>
        <v>16</v>
      </c>
      <c r="H674" s="101">
        <f>+ SUMIF('Doanh thu'!A:A, C674,'Doanh thu'!E:E) + SUMIF('Doanh thu 2025'!B:B, C674,'Doanh thu 2025'!E:E)</f>
        <v>15</v>
      </c>
      <c r="I674" s="101">
        <f t="shared" si="90"/>
        <v>1</v>
      </c>
      <c r="J674" s="103">
        <f t="shared" si="80"/>
        <v>0</v>
      </c>
      <c r="K674" s="104">
        <f>+ SUMIF('Doanh thu'!A:A, C674,'Doanh thu'!F:F)</f>
        <v>0</v>
      </c>
      <c r="L674" s="93">
        <f t="shared" si="77"/>
        <v>16</v>
      </c>
      <c r="M674" s="93">
        <f t="shared" si="84"/>
        <v>1500000</v>
      </c>
      <c r="N674" s="93">
        <f t="shared" si="68"/>
        <v>1499984</v>
      </c>
    </row>
    <row r="675" spans="3:14" ht="13.2">
      <c r="C675" s="16" t="s">
        <v>1518</v>
      </c>
      <c r="F675" s="2"/>
      <c r="G675" s="102">
        <f>+ SUMIF('Nhập kho T42024'!B:B, C675,'Nhập kho T42024'!F:F)</f>
        <v>10</v>
      </c>
      <c r="H675" s="101">
        <f>+ SUMIF('Doanh thu'!A:A, C675,'Doanh thu'!E:E) + SUMIF('Doanh thu 2025'!B:B, C675,'Doanh thu 2025'!E:E)</f>
        <v>7</v>
      </c>
      <c r="I675" s="101">
        <f t="shared" si="90"/>
        <v>3</v>
      </c>
      <c r="J675" s="103">
        <f t="shared" si="80"/>
        <v>0</v>
      </c>
      <c r="K675" s="104">
        <f>+ SUMIF('Doanh thu'!A:A, C675,'Doanh thu'!F:F)</f>
        <v>0</v>
      </c>
      <c r="L675" s="93">
        <f t="shared" si="77"/>
        <v>10</v>
      </c>
      <c r="M675" s="93">
        <f t="shared" si="84"/>
        <v>700000</v>
      </c>
      <c r="N675" s="93">
        <f t="shared" si="68"/>
        <v>699990</v>
      </c>
    </row>
    <row r="676" spans="3:14" ht="13.2">
      <c r="C676" s="16" t="s">
        <v>1519</v>
      </c>
      <c r="F676" s="2"/>
      <c r="G676" s="102">
        <f>+ SUMIF('Nhập kho T42024'!B:B, C676,'Nhập kho T42024'!F:F)</f>
        <v>22</v>
      </c>
      <c r="H676" s="101">
        <f>+ SUMIF('Doanh thu'!A:A, C676,'Doanh thu'!E:E) + SUMIF('Doanh thu 2025'!B:B, C676,'Doanh thu 2025'!E:E)</f>
        <v>21</v>
      </c>
      <c r="I676" s="101">
        <f t="shared" si="90"/>
        <v>1</v>
      </c>
      <c r="J676" s="103">
        <f t="shared" si="80"/>
        <v>0</v>
      </c>
      <c r="K676" s="104">
        <f>+ SUMIF('Doanh thu'!A:A, C676,'Doanh thu'!F:F)</f>
        <v>0</v>
      </c>
      <c r="L676" s="93">
        <f t="shared" si="77"/>
        <v>22</v>
      </c>
      <c r="M676" s="93">
        <f t="shared" si="84"/>
        <v>2100000</v>
      </c>
      <c r="N676" s="93">
        <f t="shared" si="68"/>
        <v>2099978</v>
      </c>
    </row>
    <row r="677" spans="3:14" ht="13.2">
      <c r="C677" s="16" t="s">
        <v>238</v>
      </c>
      <c r="F677" s="2"/>
      <c r="G677" s="102">
        <f>+ SUMIF('Nhập kho T42024'!B:B, C677,'Nhập kho T42024'!F:F)</f>
        <v>24</v>
      </c>
      <c r="H677" s="101">
        <f>+ SUMIF('Doanh thu'!A:A, C677,'Doanh thu'!E:E) + SUMIF('Doanh thu 2025'!B:B, C677,'Doanh thu 2025'!E:E)</f>
        <v>9</v>
      </c>
      <c r="I677" s="101">
        <f t="shared" si="90"/>
        <v>15</v>
      </c>
      <c r="J677" s="103">
        <f t="shared" si="80"/>
        <v>0</v>
      </c>
      <c r="K677" s="104">
        <f>+ SUMIF('Doanh thu'!A:A, C677,'Doanh thu'!F:F)</f>
        <v>0</v>
      </c>
      <c r="L677" s="93">
        <f t="shared" si="77"/>
        <v>24</v>
      </c>
      <c r="M677" s="93">
        <f t="shared" si="84"/>
        <v>900000</v>
      </c>
      <c r="N677" s="93">
        <f t="shared" si="68"/>
        <v>899976</v>
      </c>
    </row>
    <row r="678" spans="3:14" ht="13.2">
      <c r="C678" s="16" t="s">
        <v>191</v>
      </c>
      <c r="F678" s="2"/>
      <c r="G678" s="102">
        <f>+ SUMIF('Nhập kho T42024'!B:B, C678,'Nhập kho T42024'!F:F)</f>
        <v>51</v>
      </c>
      <c r="H678" s="101">
        <f>+ SUMIF('Doanh thu'!A:A, C678,'Doanh thu'!E:E) + SUMIF('Doanh thu 2025'!B:B, C678,'Doanh thu 2025'!E:E)</f>
        <v>59</v>
      </c>
      <c r="I678" s="101">
        <f t="shared" si="90"/>
        <v>-8</v>
      </c>
      <c r="J678" s="103">
        <f t="shared" si="80"/>
        <v>0</v>
      </c>
      <c r="K678" s="104">
        <f>+ SUMIF('Doanh thu'!A:A, C678,'Doanh thu'!F:F)</f>
        <v>0</v>
      </c>
      <c r="L678" s="93">
        <f t="shared" si="77"/>
        <v>51</v>
      </c>
      <c r="M678" s="93">
        <f t="shared" si="84"/>
        <v>5900000</v>
      </c>
      <c r="N678" s="93">
        <f t="shared" si="68"/>
        <v>5899949</v>
      </c>
    </row>
    <row r="679" spans="3:14" ht="13.2">
      <c r="C679" s="16" t="s">
        <v>96</v>
      </c>
      <c r="F679" s="2"/>
      <c r="G679" s="102">
        <f>+ SUMIF('Nhập kho T42024'!B:B, C679,'Nhập kho T42024'!F:F)</f>
        <v>45</v>
      </c>
      <c r="H679" s="101">
        <f>+ SUMIF('Doanh thu'!A:A, C679,'Doanh thu'!E:E) + SUMIF('Doanh thu 2025'!B:B, C679,'Doanh thu 2025'!E:E)</f>
        <v>39</v>
      </c>
      <c r="I679" s="101">
        <f t="shared" si="90"/>
        <v>6</v>
      </c>
      <c r="J679" s="103">
        <f t="shared" si="80"/>
        <v>0</v>
      </c>
      <c r="K679" s="104">
        <f>+ SUMIF('Doanh thu'!A:A, C679,'Doanh thu'!F:F)</f>
        <v>0</v>
      </c>
      <c r="L679" s="93">
        <f t="shared" si="77"/>
        <v>45</v>
      </c>
      <c r="M679" s="93">
        <f t="shared" si="84"/>
        <v>3900000</v>
      </c>
      <c r="N679" s="93">
        <f t="shared" si="68"/>
        <v>3899955</v>
      </c>
    </row>
    <row r="680" spans="3:14" ht="13.2">
      <c r="C680" s="16" t="s">
        <v>125</v>
      </c>
      <c r="F680" s="2"/>
      <c r="G680" s="102">
        <f>+ SUMIF('Nhập kho T42024'!B:B, C680,'Nhập kho T42024'!F:F)</f>
        <v>20</v>
      </c>
      <c r="H680" s="101">
        <f>+ SUMIF('Doanh thu'!A:A, C680,'Doanh thu'!E:E) + SUMIF('Doanh thu 2025'!B:B, C680,'Doanh thu 2025'!E:E)</f>
        <v>27</v>
      </c>
      <c r="I680" s="101">
        <f t="shared" si="90"/>
        <v>-7</v>
      </c>
      <c r="J680" s="103">
        <f t="shared" si="80"/>
        <v>0</v>
      </c>
      <c r="K680" s="104">
        <f>+ SUMIF('Doanh thu'!A:A, C680,'Doanh thu'!F:F)</f>
        <v>0</v>
      </c>
      <c r="L680" s="93">
        <f t="shared" si="77"/>
        <v>20</v>
      </c>
      <c r="M680" s="93">
        <f t="shared" si="84"/>
        <v>2700000</v>
      </c>
      <c r="N680" s="93">
        <f t="shared" si="68"/>
        <v>2699980</v>
      </c>
    </row>
    <row r="681" spans="3:14" ht="13.2">
      <c r="C681" s="16" t="s">
        <v>176</v>
      </c>
      <c r="F681" s="2"/>
      <c r="G681" s="102">
        <f>+ SUMIF('Nhập kho T42024'!B:B, C681,'Nhập kho T42024'!F:F)</f>
        <v>12</v>
      </c>
      <c r="H681" s="101">
        <f>+ SUMIF('Doanh thu'!A:A, C681,'Doanh thu'!E:E) + SUMIF('Doanh thu 2025'!B:B, C681,'Doanh thu 2025'!E:E)</f>
        <v>14</v>
      </c>
      <c r="I681" s="101">
        <f t="shared" si="90"/>
        <v>-2</v>
      </c>
      <c r="J681" s="103">
        <f t="shared" si="80"/>
        <v>0</v>
      </c>
      <c r="K681" s="104">
        <f>+ SUMIF('Doanh thu'!A:A, C681,'Doanh thu'!F:F)</f>
        <v>0</v>
      </c>
      <c r="L681" s="93">
        <f t="shared" si="77"/>
        <v>12</v>
      </c>
      <c r="M681" s="93">
        <f t="shared" si="84"/>
        <v>1400000</v>
      </c>
      <c r="N681" s="93">
        <f t="shared" si="68"/>
        <v>1399988</v>
      </c>
    </row>
    <row r="682" spans="3:14" ht="13.2">
      <c r="C682" s="16" t="s">
        <v>85</v>
      </c>
      <c r="F682" s="2"/>
      <c r="G682" s="102">
        <f>+ SUMIF('Nhập kho T42024'!B:B, C682,'Nhập kho T42024'!F:F)</f>
        <v>5</v>
      </c>
      <c r="H682" s="101">
        <f>+ SUMIF('Doanh thu'!A:A, C682,'Doanh thu'!E:E) + SUMIF('Doanh thu 2025'!B:B, C682,'Doanh thu 2025'!E:E)</f>
        <v>20</v>
      </c>
      <c r="I682" s="101">
        <f t="shared" si="90"/>
        <v>-15</v>
      </c>
      <c r="J682" s="103">
        <f t="shared" si="80"/>
        <v>0</v>
      </c>
      <c r="K682" s="104">
        <f>+ SUMIF('Doanh thu'!A:A, C682,'Doanh thu'!F:F)</f>
        <v>0</v>
      </c>
      <c r="L682" s="93">
        <f t="shared" si="77"/>
        <v>5</v>
      </c>
      <c r="M682" s="93">
        <f t="shared" si="84"/>
        <v>2000000</v>
      </c>
      <c r="N682" s="93">
        <f t="shared" si="68"/>
        <v>1999995</v>
      </c>
    </row>
    <row r="683" spans="3:14" ht="13.2">
      <c r="C683" s="16" t="s">
        <v>279</v>
      </c>
      <c r="F683" s="2"/>
      <c r="G683" s="102">
        <f>+ SUMIF('Nhập kho T42024'!B:B, C683,'Nhập kho T42024'!F:F)</f>
        <v>28</v>
      </c>
      <c r="H683" s="101">
        <f>+ SUMIF('Doanh thu'!A:A, C683,'Doanh thu'!E:E) + SUMIF('Doanh thu 2025'!B:B, C683,'Doanh thu 2025'!E:E)</f>
        <v>42</v>
      </c>
      <c r="I683" s="101">
        <f t="shared" si="90"/>
        <v>-14</v>
      </c>
      <c r="J683" s="103">
        <f t="shared" si="80"/>
        <v>0</v>
      </c>
      <c r="K683" s="104">
        <f>+ SUMIF('Doanh thu'!A:A, C683,'Doanh thu'!F:F)</f>
        <v>0</v>
      </c>
      <c r="L683" s="93">
        <f t="shared" si="77"/>
        <v>28</v>
      </c>
      <c r="M683" s="93">
        <f t="shared" si="84"/>
        <v>4200000</v>
      </c>
      <c r="N683" s="93">
        <f t="shared" si="68"/>
        <v>4199972</v>
      </c>
    </row>
    <row r="684" spans="3:14" ht="13.2">
      <c r="C684" s="16" t="s">
        <v>135</v>
      </c>
      <c r="F684" s="2"/>
      <c r="G684" s="102">
        <f>+ SUMIF('Nhập kho T42024'!B:B, C684,'Nhập kho T42024'!F:F)</f>
        <v>35</v>
      </c>
      <c r="H684" s="101">
        <f>+ SUMIF('Doanh thu'!A:A, C684,'Doanh thu'!E:E) + SUMIF('Doanh thu 2025'!B:B, C684,'Doanh thu 2025'!E:E)</f>
        <v>22</v>
      </c>
      <c r="I684" s="101">
        <f t="shared" si="90"/>
        <v>13</v>
      </c>
      <c r="J684" s="103">
        <f t="shared" si="80"/>
        <v>0</v>
      </c>
      <c r="K684" s="104">
        <f>+ SUMIF('Doanh thu'!A:A, C684,'Doanh thu'!F:F)</f>
        <v>0</v>
      </c>
      <c r="L684" s="93">
        <f t="shared" si="77"/>
        <v>35</v>
      </c>
      <c r="M684" s="93">
        <f t="shared" si="84"/>
        <v>2200000</v>
      </c>
      <c r="N684" s="93">
        <f t="shared" si="68"/>
        <v>2199965</v>
      </c>
    </row>
    <row r="685" spans="3:14" ht="13.2">
      <c r="C685" s="16" t="s">
        <v>1520</v>
      </c>
      <c r="F685" s="2"/>
      <c r="G685" s="102">
        <f>+ SUMIF('Nhập kho T42024'!B:B, C685,'Nhập kho T42024'!F:F)</f>
        <v>20</v>
      </c>
      <c r="H685" s="101">
        <f>+ SUMIF('Doanh thu'!A:A, C685,'Doanh thu'!E:E) + SUMIF('Doanh thu 2025'!B:B, C685,'Doanh thu 2025'!E:E)</f>
        <v>14</v>
      </c>
      <c r="I685" s="101">
        <f t="shared" si="90"/>
        <v>6</v>
      </c>
      <c r="J685" s="103">
        <f t="shared" si="80"/>
        <v>0</v>
      </c>
      <c r="K685" s="104">
        <f>+ SUMIF('Doanh thu'!A:A, C685,'Doanh thu'!F:F)</f>
        <v>0</v>
      </c>
      <c r="L685" s="93">
        <f t="shared" si="77"/>
        <v>20</v>
      </c>
      <c r="M685" s="93">
        <f t="shared" si="84"/>
        <v>1400000</v>
      </c>
      <c r="N685" s="93">
        <f t="shared" si="68"/>
        <v>1399980</v>
      </c>
    </row>
    <row r="686" spans="3:14" ht="13.2">
      <c r="C686" s="16" t="s">
        <v>118</v>
      </c>
      <c r="F686" s="2"/>
      <c r="G686" s="102">
        <f>+ SUMIF('Nhập kho T42024'!B:B, C686,'Nhập kho T42024'!F:F)</f>
        <v>30</v>
      </c>
      <c r="H686" s="101">
        <f>+ SUMIF('Doanh thu'!A:A, C686,'Doanh thu'!E:E) + SUMIF('Doanh thu 2025'!B:B, C686,'Doanh thu 2025'!E:E)</f>
        <v>23</v>
      </c>
      <c r="I686" s="101">
        <f t="shared" si="90"/>
        <v>7</v>
      </c>
      <c r="J686" s="103">
        <f t="shared" si="80"/>
        <v>0</v>
      </c>
      <c r="K686" s="104">
        <f>+ SUMIF('Doanh thu'!A:A, C686,'Doanh thu'!F:F)</f>
        <v>0</v>
      </c>
      <c r="L686" s="93">
        <f t="shared" si="77"/>
        <v>30</v>
      </c>
      <c r="M686" s="93">
        <f t="shared" si="84"/>
        <v>2300000</v>
      </c>
      <c r="N686" s="93">
        <f t="shared" ref="N686:N727" si="91">M686-L686</f>
        <v>2299970</v>
      </c>
    </row>
    <row r="687" spans="3:14" ht="13.2">
      <c r="C687" s="16" t="s">
        <v>1521</v>
      </c>
      <c r="F687" s="2"/>
      <c r="G687" s="102">
        <f>+ SUMIF('Nhập kho T42024'!B:B, C687,'Nhập kho T42024'!F:F)</f>
        <v>0</v>
      </c>
      <c r="H687" s="101">
        <f>+ SUMIF('Doanh thu'!A:A, C687,'Doanh thu'!E:E) + SUMIF('Doanh thu 2025'!B:B, C687,'Doanh thu 2025'!E:E)</f>
        <v>6</v>
      </c>
      <c r="I687" s="101">
        <f t="shared" si="90"/>
        <v>-6</v>
      </c>
      <c r="J687" s="103">
        <f t="shared" si="80"/>
        <v>0</v>
      </c>
      <c r="K687" s="104">
        <f>+ SUMIF('Doanh thu'!A:A, C687,'Doanh thu'!F:F)</f>
        <v>0</v>
      </c>
      <c r="L687" s="93">
        <f t="shared" si="77"/>
        <v>0</v>
      </c>
      <c r="M687" s="93">
        <f t="shared" si="84"/>
        <v>600000</v>
      </c>
      <c r="N687" s="93">
        <f t="shared" si="91"/>
        <v>600000</v>
      </c>
    </row>
    <row r="688" spans="3:14" ht="13.2">
      <c r="C688" s="16" t="s">
        <v>1522</v>
      </c>
      <c r="F688" s="2"/>
      <c r="G688" s="102">
        <f>+ SUMIF('Nhập kho T42024'!B:B, C688,'Nhập kho T42024'!F:F)</f>
        <v>11</v>
      </c>
      <c r="H688" s="101">
        <f>+ SUMIF('Doanh thu'!A:A, C688,'Doanh thu'!E:E) + SUMIF('Doanh thu 2025'!B:B, C688,'Doanh thu 2025'!E:E)</f>
        <v>19</v>
      </c>
      <c r="I688" s="101">
        <f t="shared" si="90"/>
        <v>-8</v>
      </c>
      <c r="J688" s="103">
        <f t="shared" si="80"/>
        <v>0</v>
      </c>
      <c r="K688" s="104">
        <f>+ SUMIF('Doanh thu'!A:A, C688,'Doanh thu'!F:F)</f>
        <v>0</v>
      </c>
      <c r="L688" s="93">
        <f t="shared" si="77"/>
        <v>11</v>
      </c>
      <c r="M688" s="93">
        <f t="shared" si="84"/>
        <v>1900000</v>
      </c>
      <c r="N688" s="93">
        <f t="shared" si="91"/>
        <v>1899989</v>
      </c>
    </row>
    <row r="689" spans="3:14" ht="13.2">
      <c r="C689" s="16" t="s">
        <v>1523</v>
      </c>
      <c r="F689" s="2"/>
      <c r="G689" s="102">
        <f>+ SUMIF('Nhập kho T42024'!B:B, C689,'Nhập kho T42024'!F:F)</f>
        <v>30</v>
      </c>
      <c r="H689" s="101">
        <f>+ SUMIF('Doanh thu'!A:A, C689,'Doanh thu'!E:E) + SUMIF('Doanh thu 2025'!B:B, C689,'Doanh thu 2025'!E:E)</f>
        <v>25</v>
      </c>
      <c r="I689" s="101">
        <f t="shared" si="90"/>
        <v>5</v>
      </c>
      <c r="J689" s="103">
        <f t="shared" si="80"/>
        <v>0</v>
      </c>
      <c r="K689" s="104">
        <f>+ SUMIF('Doanh thu'!A:A, C689,'Doanh thu'!F:F)</f>
        <v>0</v>
      </c>
      <c r="L689" s="93">
        <f t="shared" si="77"/>
        <v>30</v>
      </c>
      <c r="M689" s="93">
        <f t="shared" si="84"/>
        <v>2500000</v>
      </c>
      <c r="N689" s="93">
        <f t="shared" si="91"/>
        <v>2499970</v>
      </c>
    </row>
    <row r="690" spans="3:14" ht="13.2">
      <c r="C690" s="16" t="s">
        <v>1524</v>
      </c>
      <c r="F690" s="2"/>
      <c r="G690" s="102">
        <f>+ SUMIF('Nhập kho T42024'!B:B, C690,'Nhập kho T42024'!F:F)</f>
        <v>30</v>
      </c>
      <c r="H690" s="101">
        <f>+ SUMIF('Doanh thu'!A:A, C690,'Doanh thu'!E:E) + SUMIF('Doanh thu 2025'!B:B, C690,'Doanh thu 2025'!E:E)</f>
        <v>19</v>
      </c>
      <c r="I690" s="101">
        <f t="shared" si="90"/>
        <v>11</v>
      </c>
      <c r="J690" s="103">
        <f t="shared" si="80"/>
        <v>0</v>
      </c>
      <c r="K690" s="104">
        <f>+ SUMIF('Doanh thu'!A:A, C690,'Doanh thu'!F:F)</f>
        <v>0</v>
      </c>
      <c r="L690" s="93">
        <f t="shared" si="77"/>
        <v>30</v>
      </c>
      <c r="M690" s="93">
        <f t="shared" si="84"/>
        <v>1900000</v>
      </c>
      <c r="N690" s="93">
        <f t="shared" si="91"/>
        <v>1899970</v>
      </c>
    </row>
    <row r="691" spans="3:14" ht="13.2">
      <c r="C691" s="16" t="s">
        <v>1525</v>
      </c>
      <c r="F691" s="2"/>
      <c r="G691" s="102">
        <f>+ SUMIF('Nhập kho T42024'!B:B, C691,'Nhập kho T42024'!F:F)</f>
        <v>15</v>
      </c>
      <c r="H691" s="101">
        <f>+ SUMIF('Doanh thu'!A:A, C691,'Doanh thu'!E:E) + SUMIF('Doanh thu 2025'!B:B, C691,'Doanh thu 2025'!E:E)</f>
        <v>15</v>
      </c>
      <c r="I691" s="101">
        <f t="shared" si="90"/>
        <v>0</v>
      </c>
      <c r="J691" s="103">
        <f t="shared" si="80"/>
        <v>0</v>
      </c>
      <c r="K691" s="104">
        <f>+ SUMIF('Doanh thu'!A:A, C691,'Doanh thu'!F:F)</f>
        <v>0</v>
      </c>
      <c r="L691" s="93">
        <f t="shared" si="77"/>
        <v>15</v>
      </c>
      <c r="M691" s="93">
        <f t="shared" si="84"/>
        <v>1500000</v>
      </c>
      <c r="N691" s="93">
        <f t="shared" si="91"/>
        <v>1499985</v>
      </c>
    </row>
    <row r="692" spans="3:14" ht="13.2">
      <c r="C692" s="16" t="s">
        <v>140</v>
      </c>
      <c r="F692" s="2"/>
      <c r="G692" s="102">
        <f>+ SUMIF('Nhập kho T42024'!B:B, C692,'Nhập kho T42024'!F:F)</f>
        <v>75</v>
      </c>
      <c r="H692" s="101">
        <f>+ SUMIF('Doanh thu'!A:A, C692,'Doanh thu'!E:E) + SUMIF('Doanh thu 2025'!B:B, C692,'Doanh thu 2025'!E:E)</f>
        <v>59</v>
      </c>
      <c r="I692" s="101">
        <f t="shared" si="90"/>
        <v>16</v>
      </c>
      <c r="J692" s="103">
        <f t="shared" si="80"/>
        <v>0</v>
      </c>
      <c r="K692" s="104">
        <f>+ SUMIF('Doanh thu'!A:A, C692,'Doanh thu'!F:F)</f>
        <v>0</v>
      </c>
      <c r="L692" s="93">
        <f t="shared" si="77"/>
        <v>75</v>
      </c>
      <c r="M692" s="93">
        <f t="shared" si="84"/>
        <v>5900000</v>
      </c>
      <c r="N692" s="93">
        <f t="shared" si="91"/>
        <v>5899925</v>
      </c>
    </row>
    <row r="693" spans="3:14" ht="13.2">
      <c r="C693" s="16" t="s">
        <v>1526</v>
      </c>
      <c r="F693" s="2"/>
      <c r="G693" s="102">
        <f>+ SUMIF('Nhập kho T42024'!B:B, C693,'Nhập kho T42024'!F:F)</f>
        <v>10</v>
      </c>
      <c r="H693" s="101">
        <f>+ SUMIF('Doanh thu'!A:A, C693,'Doanh thu'!E:E) + SUMIF('Doanh thu 2025'!B:B, C693,'Doanh thu 2025'!E:E)</f>
        <v>4</v>
      </c>
      <c r="I693" s="101">
        <f t="shared" si="90"/>
        <v>6</v>
      </c>
      <c r="J693" s="103">
        <f t="shared" si="80"/>
        <v>0</v>
      </c>
      <c r="K693" s="104">
        <f>+ SUMIF('Doanh thu'!A:A, C693,'Doanh thu'!F:F)</f>
        <v>0</v>
      </c>
      <c r="L693" s="93">
        <f t="shared" si="77"/>
        <v>10</v>
      </c>
      <c r="M693" s="93">
        <f t="shared" si="84"/>
        <v>400000</v>
      </c>
      <c r="N693" s="93">
        <f t="shared" si="91"/>
        <v>399990</v>
      </c>
    </row>
    <row r="694" spans="3:14" ht="13.2">
      <c r="C694" s="16" t="s">
        <v>242</v>
      </c>
      <c r="F694" s="2"/>
      <c r="G694" s="102">
        <f>+ SUMIF('Nhập kho T42024'!B:B, C694,'Nhập kho T42024'!F:F)</f>
        <v>20</v>
      </c>
      <c r="H694" s="101">
        <f>+ SUMIF('Doanh thu'!A:A, C694,'Doanh thu'!E:E) + SUMIF('Doanh thu 2025'!B:B, C694,'Doanh thu 2025'!E:E)</f>
        <v>20</v>
      </c>
      <c r="I694" s="101">
        <f t="shared" si="90"/>
        <v>0</v>
      </c>
      <c r="J694" s="103">
        <f t="shared" si="80"/>
        <v>0</v>
      </c>
      <c r="K694" s="104">
        <f>+ SUMIF('Doanh thu'!A:A, C694,'Doanh thu'!F:F)</f>
        <v>0</v>
      </c>
      <c r="L694" s="93">
        <f t="shared" si="77"/>
        <v>20</v>
      </c>
      <c r="M694" s="93">
        <f t="shared" si="84"/>
        <v>2000000</v>
      </c>
      <c r="N694" s="93">
        <f t="shared" si="91"/>
        <v>1999980</v>
      </c>
    </row>
    <row r="695" spans="3:14" ht="13.2">
      <c r="C695" s="16" t="s">
        <v>248</v>
      </c>
      <c r="F695" s="2"/>
      <c r="G695" s="102">
        <f>+ SUMIF('Nhập kho T42024'!B:B, C695,'Nhập kho T42024'!F:F)</f>
        <v>15</v>
      </c>
      <c r="H695" s="101">
        <f>+ SUMIF('Doanh thu'!A:A, C695,'Doanh thu'!E:E) + SUMIF('Doanh thu 2025'!B:B, C695,'Doanh thu 2025'!E:E)</f>
        <v>8</v>
      </c>
      <c r="I695" s="101">
        <f t="shared" si="90"/>
        <v>7</v>
      </c>
      <c r="J695" s="103">
        <f t="shared" si="80"/>
        <v>0</v>
      </c>
      <c r="K695" s="104">
        <f>+ SUMIF('Doanh thu'!A:A, C695,'Doanh thu'!F:F)</f>
        <v>0</v>
      </c>
      <c r="L695" s="93">
        <f t="shared" si="77"/>
        <v>15</v>
      </c>
      <c r="M695" s="93">
        <f t="shared" si="84"/>
        <v>800000</v>
      </c>
      <c r="N695" s="93">
        <f t="shared" si="91"/>
        <v>799985</v>
      </c>
    </row>
    <row r="696" spans="3:14" ht="13.2">
      <c r="C696" s="16" t="s">
        <v>126</v>
      </c>
      <c r="F696" s="2"/>
      <c r="G696" s="102">
        <f>+ SUMIF('Nhập kho T42024'!B:B, C696,'Nhập kho T42024'!F:F)</f>
        <v>90</v>
      </c>
      <c r="H696" s="101">
        <f>+ SUMIF('Doanh thu'!A:A, C696,'Doanh thu'!E:E) + SUMIF('Doanh thu 2025'!B:B, C696,'Doanh thu 2025'!E:E)</f>
        <v>71</v>
      </c>
      <c r="I696" s="101">
        <f t="shared" si="90"/>
        <v>19</v>
      </c>
      <c r="J696" s="103">
        <f t="shared" si="80"/>
        <v>0</v>
      </c>
      <c r="K696" s="104">
        <f>+ SUMIF('Doanh thu'!A:A, C696,'Doanh thu'!F:F)</f>
        <v>0</v>
      </c>
      <c r="L696" s="93">
        <f t="shared" si="77"/>
        <v>90</v>
      </c>
      <c r="M696" s="93">
        <f t="shared" si="84"/>
        <v>7100000</v>
      </c>
      <c r="N696" s="93">
        <f t="shared" si="91"/>
        <v>7099910</v>
      </c>
    </row>
    <row r="697" spans="3:14" ht="13.2">
      <c r="C697" s="16" t="s">
        <v>80</v>
      </c>
      <c r="F697" s="2"/>
      <c r="G697" s="102">
        <f>+ SUMIF('Nhập kho T42024'!B:B, C697,'Nhập kho T42024'!F:F)</f>
        <v>25</v>
      </c>
      <c r="H697" s="101">
        <f>+ SUMIF('Doanh thu'!A:A, C697,'Doanh thu'!E:E) + SUMIF('Doanh thu 2025'!B:B, C697,'Doanh thu 2025'!E:E)</f>
        <v>11</v>
      </c>
      <c r="I697" s="101">
        <f t="shared" si="90"/>
        <v>14</v>
      </c>
      <c r="J697" s="103">
        <f t="shared" si="80"/>
        <v>0</v>
      </c>
      <c r="K697" s="104">
        <f>+ SUMIF('Doanh thu'!A:A, C697,'Doanh thu'!F:F)</f>
        <v>0</v>
      </c>
      <c r="L697" s="93">
        <f t="shared" si="77"/>
        <v>25</v>
      </c>
      <c r="M697" s="93">
        <f t="shared" si="84"/>
        <v>1100000</v>
      </c>
      <c r="N697" s="93">
        <f t="shared" si="91"/>
        <v>1099975</v>
      </c>
    </row>
    <row r="698" spans="3:14" ht="13.2">
      <c r="C698" s="16" t="s">
        <v>127</v>
      </c>
      <c r="F698" s="2"/>
      <c r="G698" s="102">
        <f>+ SUMIF('Nhập kho T42024'!B:B, C698,'Nhập kho T42024'!F:F)</f>
        <v>50</v>
      </c>
      <c r="H698" s="101">
        <f>+ SUMIF('Doanh thu'!A:A, C698,'Doanh thu'!E:E) + SUMIF('Doanh thu 2025'!B:B, C698,'Doanh thu 2025'!E:E)</f>
        <v>31</v>
      </c>
      <c r="I698" s="101">
        <f t="shared" si="90"/>
        <v>19</v>
      </c>
      <c r="J698" s="103">
        <f t="shared" si="80"/>
        <v>0</v>
      </c>
      <c r="K698" s="104">
        <f>+ SUMIF('Doanh thu'!A:A, C698,'Doanh thu'!F:F)</f>
        <v>0</v>
      </c>
      <c r="L698" s="93">
        <f t="shared" si="77"/>
        <v>50</v>
      </c>
      <c r="M698" s="93">
        <f t="shared" si="84"/>
        <v>3100000</v>
      </c>
      <c r="N698" s="93">
        <f t="shared" si="91"/>
        <v>3099950</v>
      </c>
    </row>
    <row r="699" spans="3:14" ht="13.2">
      <c r="C699" s="16" t="s">
        <v>142</v>
      </c>
      <c r="F699" s="2"/>
      <c r="G699" s="102">
        <f>+ SUMIF('Nhập kho T42024'!B:B, C699,'Nhập kho T42024'!F:F)</f>
        <v>90</v>
      </c>
      <c r="H699" s="101">
        <f>+ SUMIF('Doanh thu'!A:A, C699,'Doanh thu'!E:E) + SUMIF('Doanh thu 2025'!B:B, C699,'Doanh thu 2025'!E:E)</f>
        <v>38</v>
      </c>
      <c r="I699" s="101">
        <f t="shared" si="90"/>
        <v>52</v>
      </c>
      <c r="J699" s="103">
        <f t="shared" si="80"/>
        <v>0</v>
      </c>
      <c r="K699" s="104">
        <f>+ SUMIF('Doanh thu'!A:A, C699,'Doanh thu'!F:F)</f>
        <v>0</v>
      </c>
      <c r="L699" s="93">
        <f t="shared" si="77"/>
        <v>90</v>
      </c>
      <c r="M699" s="93">
        <f t="shared" si="84"/>
        <v>3800000</v>
      </c>
      <c r="N699" s="93">
        <f t="shared" si="91"/>
        <v>3799910</v>
      </c>
    </row>
    <row r="700" spans="3:14" ht="13.2">
      <c r="C700" s="16" t="s">
        <v>171</v>
      </c>
      <c r="F700" s="2"/>
      <c r="G700" s="102">
        <f>+ SUMIF('Nhập kho T42024'!B:B, C700,'Nhập kho T42024'!F:F)</f>
        <v>40</v>
      </c>
      <c r="H700" s="101">
        <f>+ SUMIF('Doanh thu'!A:A, C700,'Doanh thu'!E:E) + SUMIF('Doanh thu 2025'!B:B, C700,'Doanh thu 2025'!E:E)</f>
        <v>17</v>
      </c>
      <c r="I700" s="101">
        <f t="shared" si="90"/>
        <v>23</v>
      </c>
      <c r="J700" s="103">
        <f t="shared" si="80"/>
        <v>0</v>
      </c>
      <c r="K700" s="104">
        <f>+ SUMIF('Doanh thu'!A:A, C700,'Doanh thu'!F:F)</f>
        <v>0</v>
      </c>
      <c r="L700" s="93">
        <f t="shared" si="77"/>
        <v>40</v>
      </c>
      <c r="M700" s="93">
        <f t="shared" si="84"/>
        <v>1700000</v>
      </c>
      <c r="N700" s="93">
        <f t="shared" si="91"/>
        <v>1699960</v>
      </c>
    </row>
    <row r="701" spans="3:14" ht="13.2">
      <c r="C701" s="16" t="s">
        <v>252</v>
      </c>
      <c r="F701" s="2"/>
      <c r="G701" s="102">
        <f>+ SUMIF('Nhập kho T42024'!B:B, C701,'Nhập kho T42024'!F:F)</f>
        <v>46</v>
      </c>
      <c r="H701" s="101">
        <f>+ SUMIF('Doanh thu'!A:A, C701,'Doanh thu'!E:E) + SUMIF('Doanh thu 2025'!B:B, C701,'Doanh thu 2025'!E:E)</f>
        <v>9</v>
      </c>
      <c r="I701" s="101">
        <f t="shared" si="90"/>
        <v>37</v>
      </c>
      <c r="J701" s="103">
        <f t="shared" si="80"/>
        <v>0</v>
      </c>
      <c r="K701" s="104">
        <f>+ SUMIF('Doanh thu'!A:A, C701,'Doanh thu'!F:F)</f>
        <v>0</v>
      </c>
      <c r="L701" s="93">
        <f t="shared" si="77"/>
        <v>46</v>
      </c>
      <c r="M701" s="93">
        <f t="shared" si="84"/>
        <v>900000</v>
      </c>
      <c r="N701" s="93">
        <f t="shared" si="91"/>
        <v>899954</v>
      </c>
    </row>
    <row r="702" spans="3:14" ht="13.2">
      <c r="C702" s="16" t="s">
        <v>273</v>
      </c>
      <c r="F702" s="2"/>
      <c r="G702" s="102">
        <f>+ SUMIF('Nhập kho T42024'!B:B, C702,'Nhập kho T42024'!F:F)</f>
        <v>0</v>
      </c>
      <c r="H702" s="101">
        <f>+ SUMIF('Doanh thu'!A:A, C702,'Doanh thu'!E:E) + SUMIF('Doanh thu 2025'!B:B, C702,'Doanh thu 2025'!E:E)</f>
        <v>7</v>
      </c>
      <c r="I702" s="101">
        <f t="shared" si="90"/>
        <v>-7</v>
      </c>
      <c r="J702" s="103">
        <f t="shared" si="80"/>
        <v>0</v>
      </c>
      <c r="K702" s="104">
        <f>+ SUMIF('Doanh thu'!A:A, C702,'Doanh thu'!F:F)</f>
        <v>0</v>
      </c>
      <c r="L702" s="93">
        <f t="shared" si="77"/>
        <v>0</v>
      </c>
      <c r="M702" s="93">
        <f t="shared" si="84"/>
        <v>700000</v>
      </c>
      <c r="N702" s="93">
        <f t="shared" si="91"/>
        <v>700000</v>
      </c>
    </row>
    <row r="703" spans="3:14" ht="13.2">
      <c r="C703" s="16" t="s">
        <v>264</v>
      </c>
      <c r="F703" s="2"/>
      <c r="G703" s="102">
        <f>+ SUMIF('Nhập kho T42024'!B:B, C703,'Nhập kho T42024'!F:F)</f>
        <v>50</v>
      </c>
      <c r="H703" s="101">
        <f>+ SUMIF('Doanh thu'!A:A, C703,'Doanh thu'!E:E) + SUMIF('Doanh thu 2025'!B:B, C703,'Doanh thu 2025'!E:E)</f>
        <v>7</v>
      </c>
      <c r="I703" s="101">
        <f t="shared" si="90"/>
        <v>43</v>
      </c>
      <c r="J703" s="103">
        <f t="shared" si="80"/>
        <v>0</v>
      </c>
      <c r="K703" s="104">
        <f>+ SUMIF('Doanh thu'!A:A, C703,'Doanh thu'!F:F)</f>
        <v>0</v>
      </c>
      <c r="L703" s="93">
        <f t="shared" si="77"/>
        <v>50</v>
      </c>
      <c r="M703" s="93">
        <f t="shared" si="84"/>
        <v>700000</v>
      </c>
      <c r="N703" s="93">
        <f t="shared" si="91"/>
        <v>699950</v>
      </c>
    </row>
    <row r="704" spans="3:14" ht="13.2">
      <c r="C704" s="16" t="s">
        <v>221</v>
      </c>
      <c r="F704" s="2"/>
      <c r="G704" s="102">
        <f>+ SUMIF('Nhập kho T42024'!B:B, C704,'Nhập kho T42024'!F:F)</f>
        <v>5</v>
      </c>
      <c r="H704" s="101">
        <f>+ SUMIF('Doanh thu'!A:A, C704,'Doanh thu'!E:E) + SUMIF('Doanh thu 2025'!B:B, C704,'Doanh thu 2025'!E:E)</f>
        <v>4</v>
      </c>
      <c r="I704" s="101">
        <f t="shared" si="90"/>
        <v>1</v>
      </c>
      <c r="J704" s="103">
        <f t="shared" si="80"/>
        <v>0</v>
      </c>
      <c r="K704" s="104">
        <f>+ SUMIF('Doanh thu'!A:A, C704,'Doanh thu'!F:F)</f>
        <v>0</v>
      </c>
      <c r="L704" s="93">
        <f t="shared" si="77"/>
        <v>5</v>
      </c>
      <c r="M704" s="93">
        <f t="shared" si="84"/>
        <v>400000</v>
      </c>
      <c r="N704" s="93">
        <f t="shared" si="91"/>
        <v>399995</v>
      </c>
    </row>
    <row r="705" spans="3:14" ht="13.2">
      <c r="C705" s="16" t="s">
        <v>1527</v>
      </c>
      <c r="F705" s="2"/>
      <c r="G705" s="102">
        <f>+ SUMIF('Nhập kho T42024'!B:B, C705,'Nhập kho T42024'!F:F)</f>
        <v>10</v>
      </c>
      <c r="H705" s="101">
        <f>+ SUMIF('Doanh thu'!A:A, C705,'Doanh thu'!E:E) + SUMIF('Doanh thu 2025'!B:B, C705,'Doanh thu 2025'!E:E)</f>
        <v>3</v>
      </c>
      <c r="I705" s="101">
        <f t="shared" si="90"/>
        <v>7</v>
      </c>
      <c r="J705" s="103">
        <f t="shared" si="80"/>
        <v>0</v>
      </c>
      <c r="K705" s="104">
        <f>+ SUMIF('Doanh thu'!A:A, C705,'Doanh thu'!F:F)</f>
        <v>0</v>
      </c>
      <c r="L705" s="93">
        <f t="shared" si="77"/>
        <v>10</v>
      </c>
      <c r="M705" s="93">
        <f t="shared" si="84"/>
        <v>300000</v>
      </c>
      <c r="N705" s="93">
        <f t="shared" si="91"/>
        <v>299990</v>
      </c>
    </row>
    <row r="706" spans="3:14" ht="13.2">
      <c r="C706" s="16" t="s">
        <v>1528</v>
      </c>
      <c r="F706" s="2"/>
      <c r="G706" s="102">
        <f>+ SUMIF('Nhập kho T42024'!B:B, C706,'Nhập kho T42024'!F:F)</f>
        <v>3</v>
      </c>
      <c r="H706" s="101">
        <f>+ SUMIF('Doanh thu'!A:A, C706,'Doanh thu'!E:E) + SUMIF('Doanh thu 2025'!B:B, C706,'Doanh thu 2025'!E:E)</f>
        <v>3</v>
      </c>
      <c r="I706" s="101">
        <f t="shared" si="90"/>
        <v>0</v>
      </c>
      <c r="J706" s="103">
        <f t="shared" si="80"/>
        <v>0</v>
      </c>
      <c r="K706" s="104">
        <f>+ SUMIF('Doanh thu'!A:A, C706,'Doanh thu'!F:F)</f>
        <v>0</v>
      </c>
      <c r="L706" s="93">
        <f t="shared" si="77"/>
        <v>3</v>
      </c>
      <c r="M706" s="93">
        <f t="shared" si="84"/>
        <v>300000</v>
      </c>
      <c r="N706" s="93">
        <f t="shared" si="91"/>
        <v>299997</v>
      </c>
    </row>
    <row r="707" spans="3:14" ht="13.2">
      <c r="C707" s="16" t="s">
        <v>200</v>
      </c>
      <c r="F707" s="2"/>
      <c r="G707" s="102">
        <f>+ SUMIF('Nhập kho T42024'!B:B, C707,'Nhập kho T42024'!F:F)</f>
        <v>30</v>
      </c>
      <c r="H707" s="101">
        <f>+ SUMIF('Doanh thu'!A:A, C707,'Doanh thu'!E:E) + SUMIF('Doanh thu 2025'!B:B, C707,'Doanh thu 2025'!E:E)</f>
        <v>21</v>
      </c>
      <c r="I707" s="101">
        <f t="shared" si="90"/>
        <v>9</v>
      </c>
      <c r="J707" s="103">
        <f t="shared" si="80"/>
        <v>0</v>
      </c>
      <c r="K707" s="104">
        <f>+ SUMIF('Doanh thu'!A:A, C707,'Doanh thu'!F:F)</f>
        <v>0</v>
      </c>
      <c r="L707" s="93">
        <f t="shared" si="77"/>
        <v>30</v>
      </c>
      <c r="M707" s="93">
        <f t="shared" si="84"/>
        <v>2100000</v>
      </c>
      <c r="N707" s="93">
        <f t="shared" si="91"/>
        <v>2099970</v>
      </c>
    </row>
    <row r="708" spans="3:14" ht="13.2">
      <c r="C708" s="16" t="s">
        <v>1529</v>
      </c>
      <c r="F708" s="2"/>
      <c r="G708" s="102">
        <f>+ SUMIF('Nhập kho T42024'!B:B, C708,'Nhập kho T42024'!F:F)</f>
        <v>15</v>
      </c>
      <c r="H708" s="101">
        <f>+ SUMIF('Doanh thu'!A:A, C708,'Doanh thu'!E:E) + SUMIF('Doanh thu 2025'!B:B, C708,'Doanh thu 2025'!E:E)</f>
        <v>4</v>
      </c>
      <c r="I708" s="101">
        <f t="shared" si="90"/>
        <v>11</v>
      </c>
      <c r="J708" s="103">
        <f t="shared" si="80"/>
        <v>0</v>
      </c>
      <c r="K708" s="104">
        <f>+ SUMIF('Doanh thu'!A:A, C708,'Doanh thu'!F:F)</f>
        <v>0</v>
      </c>
      <c r="L708" s="93">
        <f t="shared" si="77"/>
        <v>15</v>
      </c>
      <c r="M708" s="93">
        <f t="shared" si="84"/>
        <v>400000</v>
      </c>
      <c r="N708" s="93">
        <f t="shared" si="91"/>
        <v>399985</v>
      </c>
    </row>
    <row r="709" spans="3:14" ht="13.2">
      <c r="C709" s="16" t="s">
        <v>1530</v>
      </c>
      <c r="F709" s="2"/>
      <c r="G709" s="102">
        <f>+ SUMIF('Nhập kho T42024'!B:B, C709,'Nhập kho T42024'!F:F)</f>
        <v>15</v>
      </c>
      <c r="H709" s="101">
        <f>+ SUMIF('Doanh thu'!A:A, C709,'Doanh thu'!E:E) + SUMIF('Doanh thu 2025'!B:B, C709,'Doanh thu 2025'!E:E)</f>
        <v>4</v>
      </c>
      <c r="I709" s="101">
        <f t="shared" si="90"/>
        <v>11</v>
      </c>
      <c r="J709" s="103">
        <f t="shared" si="80"/>
        <v>0</v>
      </c>
      <c r="K709" s="104">
        <f>+ SUMIF('Doanh thu'!A:A, C709,'Doanh thu'!F:F)</f>
        <v>0</v>
      </c>
      <c r="L709" s="93">
        <f t="shared" si="77"/>
        <v>15</v>
      </c>
      <c r="M709" s="93">
        <f t="shared" si="84"/>
        <v>400000</v>
      </c>
      <c r="N709" s="93">
        <f t="shared" si="91"/>
        <v>399985</v>
      </c>
    </row>
    <row r="710" spans="3:14" ht="13.2">
      <c r="C710" s="16" t="s">
        <v>84</v>
      </c>
      <c r="F710" s="2"/>
      <c r="G710" s="102">
        <f>+ SUMIF('Nhập kho T42024'!B:B, C710,'Nhập kho T42024'!F:F)</f>
        <v>20</v>
      </c>
      <c r="H710" s="101">
        <f>+ SUMIF('Doanh thu'!A:A, C710,'Doanh thu'!E:E) + SUMIF('Doanh thu 2025'!B:B, C710,'Doanh thu 2025'!E:E)</f>
        <v>11</v>
      </c>
      <c r="I710" s="101">
        <f t="shared" si="90"/>
        <v>9</v>
      </c>
      <c r="J710" s="103">
        <f t="shared" si="80"/>
        <v>0</v>
      </c>
      <c r="K710" s="104">
        <f>+ SUMIF('Doanh thu'!A:A, C710,'Doanh thu'!F:F)</f>
        <v>0</v>
      </c>
      <c r="L710" s="93">
        <f t="shared" si="77"/>
        <v>20</v>
      </c>
      <c r="M710" s="93">
        <f t="shared" si="84"/>
        <v>1100000</v>
      </c>
      <c r="N710" s="93">
        <f t="shared" si="91"/>
        <v>1099980</v>
      </c>
    </row>
    <row r="711" spans="3:14" ht="13.2">
      <c r="C711" s="16" t="s">
        <v>1531</v>
      </c>
      <c r="F711" s="2"/>
      <c r="G711" s="102">
        <f>+ SUMIF('Nhập kho T42024'!B:B, C711,'Nhập kho T42024'!F:F)</f>
        <v>30</v>
      </c>
      <c r="H711" s="101">
        <f>+ SUMIF('Doanh thu'!A:A, C711,'Doanh thu'!E:E) + SUMIF('Doanh thu 2025'!B:B, C711,'Doanh thu 2025'!E:E)</f>
        <v>5</v>
      </c>
      <c r="I711" s="101">
        <f t="shared" si="90"/>
        <v>25</v>
      </c>
      <c r="J711" s="103">
        <f t="shared" si="80"/>
        <v>0</v>
      </c>
      <c r="K711" s="104">
        <f>+ SUMIF('Doanh thu'!A:A, C711,'Doanh thu'!F:F)</f>
        <v>0</v>
      </c>
      <c r="L711" s="93">
        <f t="shared" si="77"/>
        <v>30</v>
      </c>
      <c r="M711" s="93">
        <f t="shared" si="84"/>
        <v>500000</v>
      </c>
      <c r="N711" s="93">
        <f t="shared" si="91"/>
        <v>499970</v>
      </c>
    </row>
    <row r="712" spans="3:14" ht="13.2">
      <c r="C712" s="16" t="s">
        <v>323</v>
      </c>
      <c r="F712" s="2"/>
      <c r="G712" s="102">
        <f>+ SUMIF('Nhập kho T42024'!B:B, C712,'Nhập kho T42024'!F:F)</f>
        <v>30</v>
      </c>
      <c r="H712" s="101">
        <f>+ SUMIF('Doanh thu'!A:A, C712,'Doanh thu'!E:E) + SUMIF('Doanh thu 2025'!B:B, C712,'Doanh thu 2025'!E:E)</f>
        <v>12</v>
      </c>
      <c r="I712" s="101">
        <f t="shared" si="90"/>
        <v>18</v>
      </c>
      <c r="J712" s="103">
        <f t="shared" si="80"/>
        <v>0</v>
      </c>
      <c r="K712" s="104">
        <f>+ SUMIF('Doanh thu'!A:A, C712,'Doanh thu'!F:F)</f>
        <v>0</v>
      </c>
      <c r="L712" s="93">
        <f t="shared" si="77"/>
        <v>30</v>
      </c>
      <c r="M712" s="93">
        <f t="shared" si="84"/>
        <v>1200000</v>
      </c>
      <c r="N712" s="93">
        <f t="shared" si="91"/>
        <v>1199970</v>
      </c>
    </row>
    <row r="713" spans="3:14" ht="13.2">
      <c r="C713" s="16" t="s">
        <v>103</v>
      </c>
      <c r="F713" s="2"/>
      <c r="G713" s="102">
        <f>+ SUMIF('Nhập kho T42024'!B:B, C713,'Nhập kho T42024'!F:F)</f>
        <v>20</v>
      </c>
      <c r="H713" s="101">
        <f>+ SUMIF('Doanh thu'!A:A, C713,'Doanh thu'!E:E) + SUMIF('Doanh thu 2025'!B:B, C713,'Doanh thu 2025'!E:E)</f>
        <v>8</v>
      </c>
      <c r="I713" s="101">
        <f t="shared" si="90"/>
        <v>12</v>
      </c>
      <c r="J713" s="103">
        <f t="shared" si="80"/>
        <v>0</v>
      </c>
      <c r="K713" s="104">
        <f>+ SUMIF('Doanh thu'!A:A, C713,'Doanh thu'!F:F)</f>
        <v>0</v>
      </c>
      <c r="L713" s="93">
        <f t="shared" si="77"/>
        <v>20</v>
      </c>
      <c r="M713" s="93">
        <f t="shared" si="84"/>
        <v>800000</v>
      </c>
      <c r="N713" s="93">
        <f t="shared" si="91"/>
        <v>799980</v>
      </c>
    </row>
    <row r="714" spans="3:14" ht="13.2">
      <c r="C714" s="16" t="s">
        <v>137</v>
      </c>
      <c r="F714" s="2"/>
      <c r="G714" s="102">
        <f>+ SUMIF('Nhập kho T42024'!B:B, C714,'Nhập kho T42024'!F:F)</f>
        <v>30</v>
      </c>
      <c r="H714" s="101">
        <f>+ SUMIF('Doanh thu'!A:A, C714,'Doanh thu'!E:E) + SUMIF('Doanh thu 2025'!B:B, C714,'Doanh thu 2025'!E:E)</f>
        <v>12</v>
      </c>
      <c r="I714" s="101">
        <f t="shared" si="90"/>
        <v>18</v>
      </c>
      <c r="J714" s="103">
        <f t="shared" si="80"/>
        <v>0</v>
      </c>
      <c r="K714" s="104">
        <f>+ SUMIF('Doanh thu'!A:A, C714,'Doanh thu'!F:F)</f>
        <v>0</v>
      </c>
      <c r="L714" s="93">
        <f t="shared" si="77"/>
        <v>30</v>
      </c>
      <c r="M714" s="93">
        <f t="shared" si="84"/>
        <v>1200000</v>
      </c>
      <c r="N714" s="93">
        <f t="shared" si="91"/>
        <v>1199970</v>
      </c>
    </row>
    <row r="715" spans="3:14" ht="13.2">
      <c r="C715" s="16" t="s">
        <v>93</v>
      </c>
      <c r="F715" s="2"/>
      <c r="G715" s="102">
        <f>+ SUMIF('Nhập kho T42024'!B:B, C715,'Nhập kho T42024'!F:F)</f>
        <v>20</v>
      </c>
      <c r="H715" s="101">
        <f>+ SUMIF('Doanh thu'!A:A, C715,'Doanh thu'!E:E) + SUMIF('Doanh thu 2025'!B:B, C715,'Doanh thu 2025'!E:E)</f>
        <v>30</v>
      </c>
      <c r="I715" s="101">
        <f t="shared" si="90"/>
        <v>-10</v>
      </c>
      <c r="J715" s="103">
        <f t="shared" si="80"/>
        <v>0</v>
      </c>
      <c r="K715" s="104">
        <f>+ SUMIF('Doanh thu'!A:A, C715,'Doanh thu'!F:F)</f>
        <v>0</v>
      </c>
      <c r="L715" s="93">
        <f t="shared" si="77"/>
        <v>20</v>
      </c>
      <c r="M715" s="93">
        <f t="shared" si="84"/>
        <v>3000000</v>
      </c>
      <c r="N715" s="93">
        <f t="shared" si="91"/>
        <v>2999980</v>
      </c>
    </row>
    <row r="716" spans="3:14" ht="13.2">
      <c r="C716" s="16" t="s">
        <v>1532</v>
      </c>
      <c r="F716" s="2"/>
      <c r="G716" s="102">
        <f>+ SUMIF('Nhập kho T42024'!B:B, C716,'Nhập kho T42024'!F:F)</f>
        <v>10</v>
      </c>
      <c r="H716" s="101">
        <f>+ SUMIF('Doanh thu'!A:A, C716,'Doanh thu'!E:E) + SUMIF('Doanh thu 2025'!B:B, C716,'Doanh thu 2025'!E:E)</f>
        <v>0</v>
      </c>
      <c r="I716" s="101">
        <f t="shared" si="90"/>
        <v>10</v>
      </c>
      <c r="J716" s="103">
        <f t="shared" si="80"/>
        <v>0</v>
      </c>
      <c r="K716" s="104">
        <f>+ SUMIF('Doanh thu'!A:A, C716,'Doanh thu'!F:F)</f>
        <v>0</v>
      </c>
      <c r="L716" s="93">
        <f t="shared" si="77"/>
        <v>10</v>
      </c>
      <c r="M716" s="93">
        <f t="shared" si="84"/>
        <v>0</v>
      </c>
      <c r="N716" s="93">
        <f t="shared" si="91"/>
        <v>-10</v>
      </c>
    </row>
    <row r="717" spans="3:14" ht="13.2">
      <c r="C717" s="16" t="s">
        <v>308</v>
      </c>
      <c r="F717" s="2"/>
      <c r="G717" s="102">
        <f>+ SUMIF('Nhập kho T42024'!B:B, C717,'Nhập kho T42024'!F:F)</f>
        <v>20</v>
      </c>
      <c r="H717" s="101">
        <f>+ SUMIF('Doanh thu'!A:A, C717,'Doanh thu'!E:E) + SUMIF('Doanh thu 2025'!B:B, C717,'Doanh thu 2025'!E:E)</f>
        <v>1</v>
      </c>
      <c r="I717" s="101">
        <f t="shared" si="90"/>
        <v>19</v>
      </c>
      <c r="J717" s="103">
        <f t="shared" si="80"/>
        <v>0</v>
      </c>
      <c r="K717" s="104">
        <f>+ SUMIF('Doanh thu'!A:A, C717,'Doanh thu'!F:F)</f>
        <v>0</v>
      </c>
      <c r="L717" s="93">
        <f t="shared" si="77"/>
        <v>20</v>
      </c>
      <c r="M717" s="93">
        <f t="shared" si="84"/>
        <v>100000</v>
      </c>
      <c r="N717" s="93">
        <f t="shared" si="91"/>
        <v>99980</v>
      </c>
    </row>
    <row r="718" spans="3:14" ht="13.2">
      <c r="C718" s="16" t="s">
        <v>307</v>
      </c>
      <c r="F718" s="2"/>
      <c r="G718" s="102">
        <f>+ SUMIF('Nhập kho T42024'!B:B, C718,'Nhập kho T42024'!F:F)</f>
        <v>10</v>
      </c>
      <c r="H718" s="101">
        <f>+ SUMIF('Doanh thu'!A:A, C718,'Doanh thu'!E:E) + SUMIF('Doanh thu 2025'!B:B, C718,'Doanh thu 2025'!E:E)</f>
        <v>0</v>
      </c>
      <c r="I718" s="101">
        <f t="shared" si="90"/>
        <v>10</v>
      </c>
      <c r="J718" s="103">
        <f t="shared" si="80"/>
        <v>0</v>
      </c>
      <c r="K718" s="104">
        <f>+ SUMIF('Doanh thu'!A:A, C718,'Doanh thu'!F:F)</f>
        <v>0</v>
      </c>
      <c r="L718" s="93">
        <f t="shared" si="77"/>
        <v>10</v>
      </c>
      <c r="M718" s="93">
        <f t="shared" si="84"/>
        <v>0</v>
      </c>
      <c r="N718" s="93">
        <f t="shared" si="91"/>
        <v>-10</v>
      </c>
    </row>
    <row r="719" spans="3:14" ht="13.2">
      <c r="C719" s="16" t="s">
        <v>129</v>
      </c>
      <c r="F719" s="2"/>
      <c r="G719" s="102">
        <f>+ SUMIF('Nhập kho T42024'!B:B, C719,'Nhập kho T42024'!F:F)</f>
        <v>10</v>
      </c>
      <c r="H719" s="101">
        <f>+ SUMIF('Doanh thu'!A:A, C719,'Doanh thu'!E:E) + SUMIF('Doanh thu 2025'!B:B, C719,'Doanh thu 2025'!E:E)</f>
        <v>1</v>
      </c>
      <c r="I719" s="101">
        <f t="shared" si="90"/>
        <v>9</v>
      </c>
      <c r="J719" s="103">
        <f t="shared" si="80"/>
        <v>0</v>
      </c>
      <c r="K719" s="104">
        <f>+ SUMIF('Doanh thu'!A:A, C719,'Doanh thu'!F:F)</f>
        <v>0</v>
      </c>
      <c r="L719" s="93">
        <f t="shared" si="77"/>
        <v>10</v>
      </c>
      <c r="M719" s="93">
        <f t="shared" si="84"/>
        <v>100000</v>
      </c>
      <c r="N719" s="93">
        <f t="shared" si="91"/>
        <v>99990</v>
      </c>
    </row>
    <row r="720" spans="3:14" ht="13.2">
      <c r="C720" s="16" t="s">
        <v>309</v>
      </c>
      <c r="F720" s="2"/>
      <c r="G720" s="102">
        <f>+ SUMIF('Nhập kho T42024'!B:B, C720,'Nhập kho T42024'!F:F)</f>
        <v>10</v>
      </c>
      <c r="H720" s="101">
        <f>+ SUMIF('Doanh thu'!A:A, C720,'Doanh thu'!E:E) + SUMIF('Doanh thu 2025'!B:B, C720,'Doanh thu 2025'!E:E)</f>
        <v>2</v>
      </c>
      <c r="I720" s="101">
        <f t="shared" si="90"/>
        <v>8</v>
      </c>
      <c r="J720" s="103">
        <f t="shared" si="80"/>
        <v>0</v>
      </c>
      <c r="K720" s="104">
        <f>+ SUMIF('Doanh thu'!A:A, C720,'Doanh thu'!F:F)</f>
        <v>0</v>
      </c>
      <c r="L720" s="93">
        <f t="shared" si="77"/>
        <v>10</v>
      </c>
      <c r="M720" s="93">
        <f t="shared" si="84"/>
        <v>200000</v>
      </c>
      <c r="N720" s="93">
        <f t="shared" si="91"/>
        <v>199990</v>
      </c>
    </row>
    <row r="721" spans="3:14" ht="13.2">
      <c r="C721" s="135" t="s">
        <v>392</v>
      </c>
      <c r="D721" s="76" t="s">
        <v>1533</v>
      </c>
      <c r="F721" s="2"/>
      <c r="G721" s="102">
        <f>+ SUMIF('Nhập kho T42024'!B:B, C721,'Nhập kho T42024'!F:F)</f>
        <v>4</v>
      </c>
      <c r="H721" s="101">
        <f>+ SUMIF('Doanh thu'!A:A, C721,'Doanh thu'!E:E) + SUMIF('Doanh thu 2025'!B:B, C721,'Doanh thu 2025'!E:E)</f>
        <v>5</v>
      </c>
      <c r="I721" s="101">
        <f t="shared" si="90"/>
        <v>-1</v>
      </c>
      <c r="J721" s="103">
        <f t="shared" si="80"/>
        <v>404600</v>
      </c>
      <c r="K721" s="104">
        <f>+ SUMIF('Doanh thu'!A:A, C721,'Doanh thu'!F:F)</f>
        <v>404600</v>
      </c>
      <c r="L721" s="93">
        <f t="shared" si="77"/>
        <v>4</v>
      </c>
      <c r="M721" s="93">
        <f t="shared" si="84"/>
        <v>500000</v>
      </c>
      <c r="N721" s="93">
        <f t="shared" si="91"/>
        <v>499996</v>
      </c>
    </row>
    <row r="722" spans="3:14" ht="13.2">
      <c r="C722" s="135" t="s">
        <v>397</v>
      </c>
      <c r="D722" s="76" t="s">
        <v>1533</v>
      </c>
      <c r="F722" s="2"/>
      <c r="G722" s="102">
        <f>+ SUMIF('Nhập kho T42024'!B:B, C722,'Nhập kho T42024'!F:F)</f>
        <v>4</v>
      </c>
      <c r="H722" s="101">
        <f>+ SUMIF('Doanh thu'!A:A, C722,'Doanh thu'!E:E) + SUMIF('Doanh thu 2025'!B:B, C722,'Doanh thu 2025'!E:E)</f>
        <v>7</v>
      </c>
      <c r="I722" s="101">
        <f t="shared" si="90"/>
        <v>-3</v>
      </c>
      <c r="J722" s="103">
        <f t="shared" si="80"/>
        <v>708050</v>
      </c>
      <c r="K722" s="104">
        <f>+ SUMIF('Doanh thu'!A:A, C722,'Doanh thu'!F:F)</f>
        <v>708050</v>
      </c>
      <c r="L722" s="93">
        <f t="shared" si="77"/>
        <v>4</v>
      </c>
      <c r="M722" s="93">
        <f t="shared" si="84"/>
        <v>700000</v>
      </c>
      <c r="N722" s="93">
        <f t="shared" si="91"/>
        <v>699996</v>
      </c>
    </row>
    <row r="723" spans="3:14" ht="13.2">
      <c r="C723" s="135" t="s">
        <v>401</v>
      </c>
      <c r="D723" s="76" t="s">
        <v>1533</v>
      </c>
      <c r="F723" s="2"/>
      <c r="G723" s="102">
        <f>+ SUMIF('Nhập kho T42024'!B:B, C723,'Nhập kho T42024'!F:F)</f>
        <v>3</v>
      </c>
      <c r="H723" s="101">
        <f>+ SUMIF('Doanh thu'!A:A, C723,'Doanh thu'!E:E) + SUMIF('Doanh thu 2025'!B:B, C723,'Doanh thu 2025'!E:E)</f>
        <v>8</v>
      </c>
      <c r="I723" s="101">
        <f t="shared" si="90"/>
        <v>-5</v>
      </c>
      <c r="J723" s="103">
        <f t="shared" si="80"/>
        <v>708050</v>
      </c>
      <c r="K723" s="104">
        <f>+ SUMIF('Doanh thu'!A:A, C723,'Doanh thu'!F:F)</f>
        <v>708050</v>
      </c>
      <c r="L723" s="93">
        <f t="shared" si="77"/>
        <v>3</v>
      </c>
      <c r="M723" s="93">
        <f t="shared" si="84"/>
        <v>800000</v>
      </c>
      <c r="N723" s="93">
        <f t="shared" si="91"/>
        <v>799997</v>
      </c>
    </row>
    <row r="724" spans="3:14" ht="13.2">
      <c r="C724" s="135" t="s">
        <v>405</v>
      </c>
      <c r="D724" s="76" t="s">
        <v>1533</v>
      </c>
      <c r="F724" s="2"/>
      <c r="G724" s="102">
        <f>+ SUMIF('Nhập kho T42024'!B:B, C724,'Nhập kho T42024'!F:F)</f>
        <v>5</v>
      </c>
      <c r="H724" s="101">
        <f>+ SUMIF('Doanh thu'!A:A, C724,'Doanh thu'!E:E) + SUMIF('Doanh thu 2025'!B:B, C724,'Doanh thu 2025'!E:E)</f>
        <v>10</v>
      </c>
      <c r="I724" s="101">
        <f t="shared" si="90"/>
        <v>-5</v>
      </c>
      <c r="J724" s="103">
        <f t="shared" si="80"/>
        <v>910350</v>
      </c>
      <c r="K724" s="104">
        <f>+ SUMIF('Doanh thu'!A:A, C724,'Doanh thu'!F:F)</f>
        <v>910350</v>
      </c>
      <c r="L724" s="93">
        <f t="shared" si="77"/>
        <v>5</v>
      </c>
      <c r="M724" s="93">
        <f t="shared" si="84"/>
        <v>1000000</v>
      </c>
      <c r="N724" s="93">
        <f t="shared" si="91"/>
        <v>999995</v>
      </c>
    </row>
    <row r="725" spans="3:14" ht="13.2">
      <c r="C725" s="76" t="s">
        <v>1534</v>
      </c>
      <c r="D725" s="76" t="s">
        <v>1535</v>
      </c>
      <c r="F725" s="2"/>
      <c r="G725" s="102">
        <f>+ SUMIF('Nhập kho T42024'!B:B, C725,'Nhập kho T42024'!F:F)</f>
        <v>35</v>
      </c>
      <c r="H725" s="101">
        <f>+ SUMIF('Doanh thu'!A:A, C725,'Doanh thu'!E:E) + SUMIF('Doanh thu 2025'!B:B, C725,'Doanh thu 2025'!E:E)</f>
        <v>28</v>
      </c>
      <c r="I725" s="101">
        <f t="shared" si="90"/>
        <v>7</v>
      </c>
      <c r="J725" s="103">
        <f t="shared" si="80"/>
        <v>0</v>
      </c>
      <c r="K725" s="104">
        <f>+ SUMIF('Doanh thu'!A:A, C725,'Doanh thu'!F:F)</f>
        <v>0</v>
      </c>
      <c r="L725" s="93">
        <f t="shared" si="77"/>
        <v>35</v>
      </c>
      <c r="M725" s="93">
        <f t="shared" si="84"/>
        <v>2800000</v>
      </c>
      <c r="N725" s="93">
        <f t="shared" si="91"/>
        <v>2799965</v>
      </c>
    </row>
    <row r="726" spans="3:14" ht="13.2">
      <c r="C726" s="76" t="s">
        <v>1536</v>
      </c>
      <c r="D726" s="76" t="s">
        <v>1535</v>
      </c>
      <c r="F726" s="2"/>
      <c r="G726" s="102">
        <f>+ SUMIF('Nhập kho T42024'!B:B, C726,'Nhập kho T42024'!F:F)</f>
        <v>35</v>
      </c>
      <c r="H726" s="101">
        <f>+ SUMIF('Doanh thu'!A:A, C726,'Doanh thu'!E:E) + SUMIF('Doanh thu 2025'!B:B, C726,'Doanh thu 2025'!E:E)</f>
        <v>21</v>
      </c>
      <c r="I726" s="101">
        <f t="shared" si="90"/>
        <v>14</v>
      </c>
      <c r="J726" s="103">
        <f t="shared" si="80"/>
        <v>0</v>
      </c>
      <c r="K726" s="104">
        <f>+ SUMIF('Doanh thu'!A:A, C726,'Doanh thu'!F:F)</f>
        <v>0</v>
      </c>
      <c r="L726" s="93">
        <f t="shared" si="77"/>
        <v>35</v>
      </c>
      <c r="M726" s="93">
        <f t="shared" si="84"/>
        <v>2100000</v>
      </c>
      <c r="N726" s="93">
        <f t="shared" si="91"/>
        <v>2099965</v>
      </c>
    </row>
    <row r="727" spans="3:14" ht="13.2">
      <c r="C727" s="76" t="s">
        <v>1537</v>
      </c>
      <c r="D727" s="76" t="s">
        <v>1535</v>
      </c>
      <c r="F727" s="2"/>
      <c r="G727" s="102">
        <f>+ SUMIF('Nhập kho T42024'!B:B, C727,'Nhập kho T42024'!F:F)</f>
        <v>35</v>
      </c>
      <c r="H727" s="101">
        <f>+ SUMIF('Doanh thu'!A:A, C727,'Doanh thu'!E:E) + SUMIF('Doanh thu 2025'!B:B, C727,'Doanh thu 2025'!E:E)</f>
        <v>26</v>
      </c>
      <c r="I727" s="101">
        <f t="shared" si="90"/>
        <v>9</v>
      </c>
      <c r="J727" s="103">
        <f t="shared" si="80"/>
        <v>0</v>
      </c>
      <c r="K727" s="104">
        <f>+ SUMIF('Doanh thu'!A:A, C727,'Doanh thu'!F:F)</f>
        <v>0</v>
      </c>
      <c r="L727" s="93">
        <f t="shared" si="77"/>
        <v>35</v>
      </c>
      <c r="M727" s="93">
        <f t="shared" si="84"/>
        <v>2600000</v>
      </c>
      <c r="N727" s="93">
        <f t="shared" si="91"/>
        <v>2599965</v>
      </c>
    </row>
    <row r="728" spans="3:14" ht="13.2">
      <c r="C728" s="76" t="s">
        <v>1538</v>
      </c>
      <c r="D728" s="76" t="s">
        <v>1535</v>
      </c>
      <c r="F728" s="2"/>
      <c r="G728" s="102">
        <f>+ SUMIF('Nhập kho T42024'!B:B, C728,'Nhập kho T42024'!F:F)</f>
        <v>30</v>
      </c>
      <c r="H728" s="101">
        <f>+ SUMIF('Doanh thu'!A:A, C728,'Doanh thu'!E:E) + SUMIF('Doanh thu 2025'!B:B, C728,'Doanh thu 2025'!E:E)</f>
        <v>18</v>
      </c>
      <c r="I728" s="101">
        <f t="shared" si="90"/>
        <v>12</v>
      </c>
      <c r="J728" s="103">
        <f t="shared" si="80"/>
        <v>0</v>
      </c>
      <c r="K728" s="136"/>
      <c r="L728" s="93"/>
      <c r="M728" s="93"/>
      <c r="N728" s="93"/>
    </row>
    <row r="729" spans="3:14" ht="13.2">
      <c r="C729" s="76" t="s">
        <v>1539</v>
      </c>
      <c r="D729" s="76" t="s">
        <v>1535</v>
      </c>
      <c r="F729" s="2"/>
      <c r="G729" s="102">
        <f>+ SUMIF('Nhập kho T42024'!B:B, C729,'Nhập kho T42024'!F:F)</f>
        <v>30</v>
      </c>
      <c r="H729" s="101">
        <f>+ SUMIF('Doanh thu'!A:A, C729,'Doanh thu'!E:E) + SUMIF('Doanh thu 2025'!B:B, C729,'Doanh thu 2025'!E:E)</f>
        <v>2</v>
      </c>
      <c r="I729" s="101">
        <f t="shared" si="90"/>
        <v>28</v>
      </c>
      <c r="J729" s="103">
        <f t="shared" si="80"/>
        <v>0</v>
      </c>
      <c r="K729" s="136"/>
      <c r="L729" s="93"/>
      <c r="M729" s="93"/>
      <c r="N729" s="93"/>
    </row>
    <row r="730" spans="3:14" ht="13.2">
      <c r="C730" s="76" t="s">
        <v>1540</v>
      </c>
      <c r="D730" s="76" t="s">
        <v>1535</v>
      </c>
      <c r="F730" s="2"/>
      <c r="G730" s="102">
        <f>+ SUMIF('Nhập kho T42024'!B:B, C730,'Nhập kho T42024'!F:F)</f>
        <v>20</v>
      </c>
      <c r="H730" s="101">
        <f>+ SUMIF('Doanh thu'!A:A, C730,'Doanh thu'!E:E) + SUMIF('Doanh thu 2025'!B:B, C730,'Doanh thu 2025'!E:E)</f>
        <v>16</v>
      </c>
      <c r="I730" s="101">
        <f t="shared" si="90"/>
        <v>4</v>
      </c>
      <c r="J730" s="103">
        <f t="shared" si="80"/>
        <v>0</v>
      </c>
      <c r="K730" s="136"/>
      <c r="L730" s="93"/>
      <c r="M730" s="93"/>
      <c r="N730" s="93"/>
    </row>
    <row r="731" spans="3:14" ht="13.2">
      <c r="C731" s="76" t="s">
        <v>1541</v>
      </c>
      <c r="D731" s="76" t="s">
        <v>1535</v>
      </c>
      <c r="F731" s="2"/>
      <c r="G731" s="102">
        <f>+ SUMIF('Nhập kho T42024'!B:B, C731,'Nhập kho T42024'!F:F)</f>
        <v>20</v>
      </c>
      <c r="H731" s="101">
        <f>+ SUMIF('Doanh thu'!A:A, C731,'Doanh thu'!E:E) + SUMIF('Doanh thu 2025'!B:B, C731,'Doanh thu 2025'!E:E)</f>
        <v>18</v>
      </c>
      <c r="I731" s="101">
        <f t="shared" si="90"/>
        <v>2</v>
      </c>
      <c r="J731" s="103">
        <f t="shared" si="80"/>
        <v>0</v>
      </c>
      <c r="K731" s="136"/>
      <c r="L731" s="93"/>
      <c r="M731" s="93"/>
      <c r="N731" s="93"/>
    </row>
    <row r="732" spans="3:14" ht="13.2">
      <c r="C732" s="76" t="s">
        <v>1542</v>
      </c>
      <c r="D732" s="76" t="s">
        <v>1535</v>
      </c>
      <c r="F732" s="2"/>
      <c r="G732" s="102">
        <f>+ SUMIF('Nhập kho T42024'!B:B, C732,'Nhập kho T42024'!F:F)</f>
        <v>30</v>
      </c>
      <c r="H732" s="101">
        <f>+ SUMIF('Doanh thu'!A:A, C732,'Doanh thu'!E:E) + SUMIF('Doanh thu 2025'!B:B, C732,'Doanh thu 2025'!E:E)</f>
        <v>14</v>
      </c>
      <c r="I732" s="101">
        <f t="shared" si="90"/>
        <v>16</v>
      </c>
      <c r="J732" s="103">
        <f t="shared" si="80"/>
        <v>0</v>
      </c>
      <c r="K732" s="136"/>
      <c r="L732" s="93"/>
      <c r="M732" s="93"/>
      <c r="N732" s="93"/>
    </row>
    <row r="733" spans="3:14" ht="13.2">
      <c r="C733" s="76" t="s">
        <v>1543</v>
      </c>
      <c r="D733" s="76" t="s">
        <v>1535</v>
      </c>
      <c r="F733" s="2"/>
      <c r="G733" s="102">
        <f>+ SUMIF('Nhập kho T42024'!B:B, C733,'Nhập kho T42024'!F:F)</f>
        <v>30</v>
      </c>
      <c r="H733" s="101">
        <f>+ SUMIF('Doanh thu'!A:A, C733,'Doanh thu'!E:E) + SUMIF('Doanh thu 2025'!B:B, C733,'Doanh thu 2025'!E:E)</f>
        <v>15</v>
      </c>
      <c r="I733" s="101">
        <f t="shared" si="90"/>
        <v>15</v>
      </c>
      <c r="J733" s="103">
        <f t="shared" si="80"/>
        <v>0</v>
      </c>
      <c r="K733" s="136"/>
      <c r="L733" s="93"/>
      <c r="M733" s="93"/>
      <c r="N733" s="93"/>
    </row>
    <row r="734" spans="3:14" ht="13.2">
      <c r="C734" s="76" t="s">
        <v>1544</v>
      </c>
      <c r="D734" s="76" t="s">
        <v>1545</v>
      </c>
      <c r="F734" s="2"/>
      <c r="G734" s="102">
        <f>+ SUMIF('Nhập kho T42024'!B:B, C734,'Nhập kho T42024'!F:F)</f>
        <v>0</v>
      </c>
      <c r="H734" s="101">
        <f>+ SUMIF('Doanh thu'!A:A, C734,'Doanh thu'!E:E) + SUMIF('Doanh thu 2025'!B:B, C734,'Doanh thu 2025'!E:E)</f>
        <v>6</v>
      </c>
      <c r="I734" s="101">
        <f t="shared" si="90"/>
        <v>-6</v>
      </c>
      <c r="J734" s="103">
        <f t="shared" si="80"/>
        <v>0</v>
      </c>
      <c r="K734" s="136"/>
      <c r="L734" s="93"/>
      <c r="M734" s="93"/>
      <c r="N734" s="93"/>
    </row>
    <row r="735" spans="3:14" ht="13.2">
      <c r="C735" s="76" t="s">
        <v>1546</v>
      </c>
      <c r="D735" s="76" t="s">
        <v>1545</v>
      </c>
      <c r="F735" s="2"/>
      <c r="G735" s="102">
        <f>+ SUMIF('Nhập kho T42024'!B:B, C735,'Nhập kho T42024'!F:F)</f>
        <v>0</v>
      </c>
      <c r="H735" s="101">
        <f>+ SUMIF('Doanh thu'!A:A, C735,'Doanh thu'!E:E) + SUMIF('Doanh thu 2025'!B:B, C735,'Doanh thu 2025'!E:E)</f>
        <v>4</v>
      </c>
      <c r="I735" s="101">
        <f t="shared" si="90"/>
        <v>-4</v>
      </c>
      <c r="J735" s="103">
        <f t="shared" si="80"/>
        <v>0</v>
      </c>
      <c r="K735" s="136"/>
      <c r="L735" s="93"/>
      <c r="M735" s="93"/>
      <c r="N735" s="93"/>
    </row>
    <row r="736" spans="3:14" ht="13.2">
      <c r="C736" s="76" t="s">
        <v>1547</v>
      </c>
      <c r="D736" s="76" t="s">
        <v>1545</v>
      </c>
      <c r="F736" s="2"/>
      <c r="G736" s="102">
        <f>+ SUMIF('Nhập kho T42024'!B:B, C736,'Nhập kho T42024'!F:F)</f>
        <v>0</v>
      </c>
      <c r="H736" s="101">
        <f>+ SUMIF('Doanh thu'!A:A, C736,'Doanh thu'!E:E) + SUMIF('Doanh thu 2025'!B:B, C736,'Doanh thu 2025'!E:E)</f>
        <v>2</v>
      </c>
      <c r="I736" s="101">
        <f t="shared" si="90"/>
        <v>-2</v>
      </c>
      <c r="J736" s="103">
        <f t="shared" si="80"/>
        <v>0</v>
      </c>
      <c r="K736" s="136"/>
      <c r="L736" s="93"/>
      <c r="M736" s="93"/>
      <c r="N736" s="93"/>
    </row>
    <row r="737" spans="3:14" ht="13.2">
      <c r="C737" s="76" t="s">
        <v>1548</v>
      </c>
      <c r="D737" s="76" t="s">
        <v>1545</v>
      </c>
      <c r="F737" s="2"/>
      <c r="G737" s="102">
        <f>+ SUMIF('Nhập kho T42024'!B:B, C737,'Nhập kho T42024'!F:F)</f>
        <v>0</v>
      </c>
      <c r="H737" s="101">
        <f>+ SUMIF('Doanh thu'!A:A, C737,'Doanh thu'!E:E) + SUMIF('Doanh thu 2025'!B:B, C737,'Doanh thu 2025'!E:E)</f>
        <v>-1</v>
      </c>
      <c r="I737" s="101">
        <f t="shared" si="90"/>
        <v>1</v>
      </c>
      <c r="J737" s="103">
        <f t="shared" si="80"/>
        <v>0</v>
      </c>
      <c r="K737" s="136"/>
      <c r="L737" s="93"/>
      <c r="M737" s="93"/>
      <c r="N737" s="93"/>
    </row>
    <row r="738" spans="3:14" ht="13.2">
      <c r="C738" s="76" t="s">
        <v>1549</v>
      </c>
      <c r="D738" s="76" t="s">
        <v>1550</v>
      </c>
      <c r="F738" s="2"/>
      <c r="G738" s="102">
        <f>+ SUMIF('Nhập kho T42024'!B:B, C738,'Nhập kho T42024'!F:F)</f>
        <v>0</v>
      </c>
      <c r="H738" s="101">
        <f>+ SUMIF('Doanh thu'!A:A, C738,'Doanh thu'!E:E) + SUMIF('Doanh thu 2025'!B:B, C738,'Doanh thu 2025'!E:E)</f>
        <v>0</v>
      </c>
      <c r="I738" s="101">
        <f t="shared" si="90"/>
        <v>0</v>
      </c>
      <c r="J738" s="103">
        <f t="shared" si="80"/>
        <v>0</v>
      </c>
      <c r="K738" s="136"/>
      <c r="L738" s="93"/>
      <c r="M738" s="93"/>
      <c r="N738" s="93"/>
    </row>
    <row r="739" spans="3:14" ht="13.2">
      <c r="C739" s="76" t="s">
        <v>1551</v>
      </c>
      <c r="D739" s="76" t="s">
        <v>1550</v>
      </c>
      <c r="F739" s="2"/>
      <c r="G739" s="102">
        <f>+ SUMIF('Nhập kho T42024'!B:B, C739,'Nhập kho T42024'!F:F)</f>
        <v>0</v>
      </c>
      <c r="H739" s="101">
        <f>+ SUMIF('Doanh thu'!A:A, C739,'Doanh thu'!E:E) + SUMIF('Doanh thu 2025'!B:B, C739,'Doanh thu 2025'!E:E)</f>
        <v>1</v>
      </c>
      <c r="I739" s="101">
        <f t="shared" si="90"/>
        <v>-1</v>
      </c>
      <c r="J739" s="103">
        <f t="shared" si="80"/>
        <v>0</v>
      </c>
      <c r="K739" s="136"/>
      <c r="L739" s="93"/>
      <c r="M739" s="93"/>
      <c r="N739" s="93"/>
    </row>
    <row r="740" spans="3:14" ht="13.2">
      <c r="C740" s="76" t="s">
        <v>1552</v>
      </c>
      <c r="D740" s="76" t="s">
        <v>1550</v>
      </c>
      <c r="F740" s="2"/>
      <c r="G740" s="102">
        <f>+ SUMIF('Nhập kho T42024'!B:B, C740,'Nhập kho T42024'!F:F)</f>
        <v>0</v>
      </c>
      <c r="H740" s="101">
        <f>+ SUMIF('Doanh thu'!A:A, C740,'Doanh thu'!E:E) + SUMIF('Doanh thu 2025'!B:B, C740,'Doanh thu 2025'!E:E)</f>
        <v>0</v>
      </c>
      <c r="I740" s="101">
        <f t="shared" si="90"/>
        <v>0</v>
      </c>
      <c r="J740" s="103">
        <f t="shared" si="80"/>
        <v>0</v>
      </c>
      <c r="K740" s="136"/>
      <c r="L740" s="93"/>
      <c r="M740" s="93"/>
      <c r="N740" s="93"/>
    </row>
    <row r="741" spans="3:14" ht="13.2">
      <c r="C741" s="76" t="s">
        <v>1553</v>
      </c>
      <c r="D741" s="76" t="s">
        <v>1550</v>
      </c>
      <c r="F741" s="2"/>
      <c r="G741" s="102">
        <f>+ SUMIF('Nhập kho T42024'!B:B, C741,'Nhập kho T42024'!F:F)</f>
        <v>0</v>
      </c>
      <c r="H741" s="101">
        <f>+ SUMIF('Doanh thu'!A:A, C741,'Doanh thu'!E:E) + SUMIF('Doanh thu 2025'!B:B, C741,'Doanh thu 2025'!E:E)</f>
        <v>0</v>
      </c>
      <c r="I741" s="101">
        <f t="shared" si="90"/>
        <v>0</v>
      </c>
      <c r="J741" s="103">
        <f t="shared" si="80"/>
        <v>0</v>
      </c>
      <c r="K741" s="136"/>
      <c r="L741" s="93"/>
      <c r="M741" s="93"/>
      <c r="N741" s="93"/>
    </row>
    <row r="742" spans="3:14" ht="13.2">
      <c r="C742" s="76" t="s">
        <v>1554</v>
      </c>
      <c r="D742" s="76" t="s">
        <v>1555</v>
      </c>
      <c r="F742" s="2"/>
      <c r="G742" s="102">
        <f>+ SUMIF('Nhập kho T42024'!B:B, C742,'Nhập kho T42024'!F:F)</f>
        <v>0</v>
      </c>
      <c r="H742" s="101">
        <f>+ SUMIF('Doanh thu'!A:A, C742,'Doanh thu'!E:E) + SUMIF('Doanh thu 2025'!B:B, C742,'Doanh thu 2025'!E:E)</f>
        <v>0</v>
      </c>
      <c r="I742" s="101">
        <f t="shared" si="90"/>
        <v>0</v>
      </c>
      <c r="J742" s="103">
        <f t="shared" si="80"/>
        <v>0</v>
      </c>
      <c r="K742" s="136"/>
      <c r="L742" s="93"/>
      <c r="M742" s="93"/>
      <c r="N742" s="93"/>
    </row>
    <row r="743" spans="3:14" ht="13.2">
      <c r="C743" s="76" t="s">
        <v>1556</v>
      </c>
      <c r="D743" s="76" t="s">
        <v>1555</v>
      </c>
      <c r="F743" s="2"/>
      <c r="G743" s="102">
        <f>+ SUMIF('Nhập kho T42024'!B:B, C743,'Nhập kho T42024'!F:F)</f>
        <v>0</v>
      </c>
      <c r="H743" s="101">
        <f>+ SUMIF('Doanh thu'!A:A, C743,'Doanh thu'!E:E) + SUMIF('Doanh thu 2025'!B:B, C743,'Doanh thu 2025'!E:E)</f>
        <v>2</v>
      </c>
      <c r="I743" s="101">
        <f t="shared" si="90"/>
        <v>-2</v>
      </c>
      <c r="J743" s="103">
        <f t="shared" si="80"/>
        <v>0</v>
      </c>
      <c r="K743" s="136"/>
      <c r="L743" s="93"/>
      <c r="M743" s="93"/>
      <c r="N743" s="93"/>
    </row>
    <row r="744" spans="3:14" ht="13.2">
      <c r="C744" s="76" t="s">
        <v>1557</v>
      </c>
      <c r="D744" s="76" t="s">
        <v>1555</v>
      </c>
      <c r="F744" s="2"/>
      <c r="G744" s="102">
        <f>+ SUMIF('Nhập kho T42024'!B:B, C744,'Nhập kho T42024'!F:F)</f>
        <v>0</v>
      </c>
      <c r="H744" s="101">
        <f>+ SUMIF('Doanh thu'!A:A, C744,'Doanh thu'!E:E) + SUMIF('Doanh thu 2025'!B:B, C744,'Doanh thu 2025'!E:E)</f>
        <v>0</v>
      </c>
      <c r="I744" s="101">
        <f t="shared" si="90"/>
        <v>0</v>
      </c>
      <c r="J744" s="103">
        <f t="shared" si="80"/>
        <v>0</v>
      </c>
      <c r="K744" s="136"/>
      <c r="L744" s="93"/>
      <c r="M744" s="93"/>
      <c r="N744" s="93"/>
    </row>
    <row r="745" spans="3:14" ht="13.2">
      <c r="C745" s="76" t="s">
        <v>1558</v>
      </c>
      <c r="D745" s="76" t="s">
        <v>1555</v>
      </c>
      <c r="F745" s="2"/>
      <c r="G745" s="102">
        <f>+ SUMIF('Nhập kho T42024'!B:B, C745,'Nhập kho T42024'!F:F)</f>
        <v>0</v>
      </c>
      <c r="H745" s="101">
        <f>+ SUMIF('Doanh thu'!A:A, C745,'Doanh thu'!E:E) + SUMIF('Doanh thu 2025'!B:B, C745,'Doanh thu 2025'!E:E)</f>
        <v>1</v>
      </c>
      <c r="I745" s="101">
        <f t="shared" si="90"/>
        <v>-1</v>
      </c>
      <c r="J745" s="103">
        <f t="shared" si="80"/>
        <v>0</v>
      </c>
      <c r="K745" s="136"/>
      <c r="L745" s="93"/>
      <c r="M745" s="93"/>
      <c r="N745" s="93"/>
    </row>
    <row r="746" spans="3:14" ht="13.2">
      <c r="C746" s="76" t="s">
        <v>1559</v>
      </c>
      <c r="D746" s="76" t="s">
        <v>1560</v>
      </c>
      <c r="F746" s="2"/>
      <c r="G746" s="102">
        <f>+ SUMIF('Nhập kho T42024'!B:B, C746,'Nhập kho T42024'!F:F)</f>
        <v>0</v>
      </c>
      <c r="H746" s="101">
        <f>+ SUMIF('Doanh thu'!A:A, C746,'Doanh thu'!E:E) + SUMIF('Doanh thu 2025'!B:B, C746,'Doanh thu 2025'!E:E)</f>
        <v>2</v>
      </c>
      <c r="I746" s="101">
        <f t="shared" si="90"/>
        <v>-2</v>
      </c>
      <c r="J746" s="103">
        <f t="shared" si="80"/>
        <v>0</v>
      </c>
      <c r="K746" s="136"/>
      <c r="L746" s="93"/>
      <c r="M746" s="93"/>
      <c r="N746" s="93"/>
    </row>
    <row r="747" spans="3:14" ht="13.2">
      <c r="C747" s="76" t="s">
        <v>1561</v>
      </c>
      <c r="D747" s="76" t="s">
        <v>1560</v>
      </c>
      <c r="F747" s="2"/>
      <c r="G747" s="102">
        <f>+ SUMIF('Nhập kho T42024'!B:B, C747,'Nhập kho T42024'!F:F)</f>
        <v>0</v>
      </c>
      <c r="H747" s="101">
        <f>+ SUMIF('Doanh thu'!A:A, C747,'Doanh thu'!E:E) + SUMIF('Doanh thu 2025'!B:B, C747,'Doanh thu 2025'!E:E)</f>
        <v>0</v>
      </c>
      <c r="I747" s="101">
        <f t="shared" si="90"/>
        <v>0</v>
      </c>
      <c r="J747" s="103">
        <f t="shared" si="80"/>
        <v>0</v>
      </c>
      <c r="K747" s="136"/>
      <c r="L747" s="93"/>
      <c r="M747" s="93"/>
      <c r="N747" s="93"/>
    </row>
    <row r="748" spans="3:14" ht="13.2">
      <c r="C748" s="76" t="s">
        <v>1562</v>
      </c>
      <c r="D748" s="76" t="s">
        <v>1560</v>
      </c>
      <c r="F748" s="2"/>
      <c r="G748" s="102">
        <f>+ SUMIF('Nhập kho T42024'!B:B, C748,'Nhập kho T42024'!F:F)</f>
        <v>0</v>
      </c>
      <c r="H748" s="101">
        <f>+ SUMIF('Doanh thu'!A:A, C748,'Doanh thu'!E:E) + SUMIF('Doanh thu 2025'!B:B, C748,'Doanh thu 2025'!E:E)</f>
        <v>0</v>
      </c>
      <c r="I748" s="101">
        <f t="shared" si="90"/>
        <v>0</v>
      </c>
      <c r="J748" s="103">
        <f t="shared" si="80"/>
        <v>0</v>
      </c>
      <c r="K748" s="136"/>
      <c r="L748" s="93"/>
      <c r="M748" s="93"/>
      <c r="N748" s="93"/>
    </row>
    <row r="749" spans="3:14" ht="13.2">
      <c r="C749" s="76" t="s">
        <v>1563</v>
      </c>
      <c r="D749" s="76" t="s">
        <v>1560</v>
      </c>
      <c r="F749" s="2"/>
      <c r="G749" s="102">
        <f>+ SUMIF('Nhập kho T42024'!B:B, C749,'Nhập kho T42024'!F:F)</f>
        <v>0</v>
      </c>
      <c r="H749" s="101">
        <f>+ SUMIF('Doanh thu'!A:A, C749,'Doanh thu'!E:E) + SUMIF('Doanh thu 2025'!B:B, C749,'Doanh thu 2025'!E:E)</f>
        <v>1</v>
      </c>
      <c r="I749" s="101">
        <f t="shared" si="90"/>
        <v>-1</v>
      </c>
      <c r="J749" s="103">
        <f t="shared" si="80"/>
        <v>0</v>
      </c>
      <c r="K749" s="136"/>
      <c r="L749" s="93"/>
      <c r="M749" s="93"/>
      <c r="N749" s="93"/>
    </row>
    <row r="750" spans="3:14" ht="13.2">
      <c r="C750" s="76" t="s">
        <v>1564</v>
      </c>
      <c r="D750" s="76" t="s">
        <v>1565</v>
      </c>
      <c r="F750" s="2"/>
      <c r="G750" s="102">
        <f>+ SUMIF('Nhập kho T42024'!B:B, C750,'Nhập kho T42024'!F:F)</f>
        <v>0</v>
      </c>
      <c r="H750" s="101">
        <f>+ SUMIF('Doanh thu'!A:A, C750,'Doanh thu'!E:E) + SUMIF('Doanh thu 2025'!B:B, C750,'Doanh thu 2025'!E:E)</f>
        <v>0</v>
      </c>
      <c r="I750" s="101">
        <f t="shared" si="90"/>
        <v>0</v>
      </c>
      <c r="J750" s="103">
        <f t="shared" si="80"/>
        <v>0</v>
      </c>
      <c r="K750" s="136"/>
      <c r="L750" s="93"/>
      <c r="M750" s="93"/>
      <c r="N750" s="93"/>
    </row>
    <row r="751" spans="3:14" ht="13.2">
      <c r="C751" s="76" t="s">
        <v>1566</v>
      </c>
      <c r="D751" s="76" t="s">
        <v>1565</v>
      </c>
      <c r="F751" s="2"/>
      <c r="G751" s="102">
        <f>+ SUMIF('Nhập kho T42024'!B:B, C751,'Nhập kho T42024'!F:F)</f>
        <v>0</v>
      </c>
      <c r="H751" s="101">
        <f>+ SUMIF('Doanh thu'!A:A, C751,'Doanh thu'!E:E) + SUMIF('Doanh thu 2025'!B:B, C751,'Doanh thu 2025'!E:E)</f>
        <v>0</v>
      </c>
      <c r="I751" s="101">
        <f t="shared" si="90"/>
        <v>0</v>
      </c>
      <c r="J751" s="103">
        <f t="shared" si="80"/>
        <v>0</v>
      </c>
      <c r="K751" s="136"/>
      <c r="L751" s="93"/>
      <c r="M751" s="93"/>
      <c r="N751" s="93"/>
    </row>
    <row r="752" spans="3:14" ht="13.2">
      <c r="C752" s="76" t="s">
        <v>1567</v>
      </c>
      <c r="D752" s="137"/>
      <c r="F752" s="2"/>
      <c r="G752" s="102">
        <f>+ SUMIF('Nhập kho T42024'!B:B, C752,'Nhập kho T42024'!F:F)</f>
        <v>0</v>
      </c>
      <c r="H752" s="101">
        <f>+ SUMIF('Doanh thu'!A:A, C752,'Doanh thu'!E:E) + SUMIF('Doanh thu 2025'!B:B, C752,'Doanh thu 2025'!E:E)</f>
        <v>9</v>
      </c>
      <c r="I752" s="101">
        <f t="shared" si="90"/>
        <v>-9</v>
      </c>
      <c r="J752" s="103">
        <f t="shared" si="80"/>
        <v>0</v>
      </c>
      <c r="K752" s="136"/>
      <c r="L752" s="93"/>
      <c r="M752" s="93"/>
      <c r="N752" s="93"/>
    </row>
    <row r="753" spans="3:14" ht="13.2">
      <c r="C753" s="76" t="s">
        <v>1568</v>
      </c>
      <c r="D753" s="137"/>
      <c r="F753" s="2"/>
      <c r="G753" s="102">
        <f>+ SUMIF('Nhập kho T42024'!B:B, C753,'Nhập kho T42024'!F:F)</f>
        <v>0</v>
      </c>
      <c r="H753" s="101">
        <f>+ SUMIF('Doanh thu'!A:A, C753,'Doanh thu'!E:E) + SUMIF('Doanh thu 2025'!B:B, C753,'Doanh thu 2025'!E:E)</f>
        <v>3</v>
      </c>
      <c r="I753" s="101">
        <f t="shared" si="90"/>
        <v>-3</v>
      </c>
      <c r="J753" s="103">
        <f t="shared" si="80"/>
        <v>0</v>
      </c>
      <c r="K753" s="136"/>
      <c r="L753" s="93"/>
      <c r="M753" s="93"/>
      <c r="N753" s="93"/>
    </row>
    <row r="754" spans="3:14" ht="13.2">
      <c r="C754" s="76" t="s">
        <v>209</v>
      </c>
      <c r="D754" s="137"/>
      <c r="F754" s="2"/>
      <c r="G754" s="102">
        <f>+ SUMIF('Nhập kho T42024'!B:B, C754,'Nhập kho T42024'!F:F)</f>
        <v>0</v>
      </c>
      <c r="H754" s="101">
        <f>+ SUMIF('Doanh thu'!A:A, C754,'Doanh thu'!E:E) + SUMIF('Doanh thu 2025'!B:B, C754,'Doanh thu 2025'!E:E)</f>
        <v>6</v>
      </c>
      <c r="I754" s="101">
        <f t="shared" si="90"/>
        <v>-6</v>
      </c>
      <c r="J754" s="103">
        <f t="shared" si="80"/>
        <v>0</v>
      </c>
      <c r="K754" s="136"/>
      <c r="L754" s="93"/>
      <c r="M754" s="93"/>
      <c r="N754" s="93"/>
    </row>
    <row r="755" spans="3:14" ht="13.2">
      <c r="C755" s="16" t="s">
        <v>1569</v>
      </c>
      <c r="D755" s="137"/>
      <c r="F755" s="2"/>
      <c r="G755" s="102">
        <f>+ SUMIF('Nhập kho T42024'!B:B, C755,'Nhập kho T42024'!F:F)</f>
        <v>3</v>
      </c>
      <c r="H755" s="101">
        <f>+ SUMIF('Doanh thu'!A:A, C755,'Doanh thu'!E:E) + SUMIF('Doanh thu 2025'!B:B, C755,'Doanh thu 2025'!E:E)</f>
        <v>0</v>
      </c>
      <c r="I755" s="101">
        <f t="shared" si="90"/>
        <v>3</v>
      </c>
      <c r="J755" s="103">
        <f t="shared" si="80"/>
        <v>0</v>
      </c>
      <c r="K755" s="136"/>
      <c r="L755" s="93"/>
      <c r="M755" s="93"/>
      <c r="N755" s="93"/>
    </row>
    <row r="756" spans="3:14" ht="13.2">
      <c r="C756" s="16" t="s">
        <v>1570</v>
      </c>
      <c r="D756" s="137"/>
      <c r="F756" s="2"/>
      <c r="G756" s="102">
        <f>+ SUMIF('Nhập kho T42024'!B:B, C756,'Nhập kho T42024'!F:F)</f>
        <v>10</v>
      </c>
      <c r="H756" s="101">
        <f>+ SUMIF('Doanh thu'!A:A, C756,'Doanh thu'!E:E) + SUMIF('Doanh thu 2025'!B:B, C756,'Doanh thu 2025'!E:E)</f>
        <v>0</v>
      </c>
      <c r="I756" s="101">
        <f t="shared" si="90"/>
        <v>10</v>
      </c>
      <c r="J756" s="103">
        <f t="shared" si="80"/>
        <v>0</v>
      </c>
      <c r="K756" s="136"/>
      <c r="L756" s="93"/>
      <c r="M756" s="93"/>
      <c r="N756" s="93"/>
    </row>
    <row r="757" spans="3:14" ht="13.2">
      <c r="C757" s="16" t="s">
        <v>155</v>
      </c>
      <c r="D757" s="137"/>
      <c r="F757" s="2"/>
      <c r="G757" s="102">
        <f>+ SUMIF('Nhập kho T42024'!B:B, C757,'Nhập kho T42024'!F:F)</f>
        <v>10</v>
      </c>
      <c r="H757" s="101">
        <f>+ SUMIF('Doanh thu'!A:A, C757,'Doanh thu'!E:E) + SUMIF('Doanh thu 2025'!B:B, C757,'Doanh thu 2025'!E:E)</f>
        <v>2</v>
      </c>
      <c r="I757" s="101">
        <f t="shared" si="90"/>
        <v>8</v>
      </c>
      <c r="J757" s="103">
        <f t="shared" si="80"/>
        <v>0</v>
      </c>
      <c r="K757" s="136"/>
      <c r="L757" s="93"/>
      <c r="M757" s="93"/>
      <c r="N757" s="93"/>
    </row>
    <row r="758" spans="3:14" ht="13.2">
      <c r="C758" s="16" t="s">
        <v>1571</v>
      </c>
      <c r="D758" s="137"/>
      <c r="F758" s="2"/>
      <c r="G758" s="102">
        <f>+ SUMIF('Nhập kho T42024'!B:B, C758,'Nhập kho T42024'!F:F)</f>
        <v>0</v>
      </c>
      <c r="H758" s="101">
        <f>+ SUMIF('Doanh thu'!A:A, C758,'Doanh thu'!E:E) + SUMIF('Doanh thu 2025'!B:B, C758,'Doanh thu 2025'!E:E)</f>
        <v>2</v>
      </c>
      <c r="I758" s="101">
        <f t="shared" si="90"/>
        <v>-2</v>
      </c>
      <c r="J758" s="103">
        <f t="shared" si="80"/>
        <v>0</v>
      </c>
      <c r="K758" s="136"/>
      <c r="L758" s="93"/>
      <c r="M758" s="93"/>
      <c r="N758" s="93"/>
    </row>
    <row r="759" spans="3:14" ht="13.2">
      <c r="C759" s="76" t="s">
        <v>155</v>
      </c>
      <c r="D759" s="137"/>
      <c r="F759" s="2"/>
      <c r="G759" s="102">
        <f>+ SUMIF('Nhập kho T42024'!B:B, C759,'Nhập kho T42024'!F:F)</f>
        <v>10</v>
      </c>
      <c r="H759" s="101">
        <f>+ SUMIF('Doanh thu'!A:A, C759,'Doanh thu'!E:E) + SUMIF('Doanh thu 2025'!B:B, C759,'Doanh thu 2025'!E:E)</f>
        <v>2</v>
      </c>
      <c r="I759" s="101">
        <f t="shared" si="90"/>
        <v>8</v>
      </c>
      <c r="J759" s="103">
        <f t="shared" si="80"/>
        <v>0</v>
      </c>
      <c r="K759" s="136"/>
      <c r="L759" s="93"/>
      <c r="M759" s="93"/>
      <c r="N759" s="93"/>
    </row>
    <row r="760" spans="3:14" ht="13.2">
      <c r="C760" s="76" t="s">
        <v>299</v>
      </c>
      <c r="F760" s="2"/>
      <c r="G760" s="102">
        <f>+ SUMIF('Nhập kho T42024'!B:B, C760,'Nhập kho T42024'!F:F)</f>
        <v>0</v>
      </c>
      <c r="H760" s="101">
        <f>+ SUMIF('Doanh thu'!A:A, C760,'Doanh thu'!E:E) + SUMIF('Doanh thu 2025'!B:B, C760,'Doanh thu 2025'!E:E)</f>
        <v>12</v>
      </c>
      <c r="I760" s="101">
        <f t="shared" si="90"/>
        <v>-12</v>
      </c>
      <c r="J760" s="103">
        <f t="shared" si="80"/>
        <v>0</v>
      </c>
      <c r="K760" s="136"/>
      <c r="L760" s="93"/>
      <c r="M760" s="93"/>
      <c r="N760" s="93"/>
    </row>
    <row r="761" spans="3:14" ht="13.2">
      <c r="C761" s="76" t="s">
        <v>108</v>
      </c>
      <c r="F761" s="2"/>
      <c r="G761" s="102">
        <f>+ SUMIF('Nhập kho T42024'!B:B, C761,'Nhập kho T42024'!F:F)</f>
        <v>0</v>
      </c>
      <c r="H761" s="101">
        <f>+ SUMIF('Doanh thu'!A:A, C761,'Doanh thu'!E:E) + SUMIF('Doanh thu 2025'!B:B, C761,'Doanh thu 2025'!E:E)</f>
        <v>6</v>
      </c>
      <c r="I761" s="101">
        <f t="shared" si="90"/>
        <v>-6</v>
      </c>
      <c r="J761" s="103">
        <f t="shared" si="80"/>
        <v>0</v>
      </c>
      <c r="K761" s="136"/>
      <c r="L761" s="93"/>
      <c r="M761" s="93"/>
      <c r="N761" s="93"/>
    </row>
    <row r="762" spans="3:14" ht="13.2">
      <c r="C762" s="76" t="s">
        <v>199</v>
      </c>
      <c r="F762" s="2"/>
      <c r="G762" s="102">
        <f>+ SUMIF('Nhập kho T42024'!B:B, C762,'Nhập kho T42024'!F:F)</f>
        <v>28</v>
      </c>
      <c r="H762" s="101">
        <f>+ SUMIF('Doanh thu'!A:A, C762,'Doanh thu'!E:E) + SUMIF('Doanh thu 2025'!B:B, C762,'Doanh thu 2025'!E:E)</f>
        <v>12</v>
      </c>
      <c r="I762" s="101">
        <f t="shared" si="90"/>
        <v>16</v>
      </c>
      <c r="J762" s="103">
        <f t="shared" si="80"/>
        <v>0</v>
      </c>
      <c r="K762" s="136"/>
      <c r="L762" s="93"/>
      <c r="M762" s="93"/>
      <c r="N762" s="93"/>
    </row>
    <row r="763" spans="3:14" ht="13.2">
      <c r="C763" s="76" t="s">
        <v>111</v>
      </c>
      <c r="F763" s="2"/>
      <c r="G763" s="102">
        <f>+ SUMIF('Nhập kho T42024'!B:B, C763,'Nhập kho T42024'!F:F)</f>
        <v>0</v>
      </c>
      <c r="H763" s="101">
        <f>+ SUMIF('Doanh thu'!A:A, C763,'Doanh thu'!E:E) + SUMIF('Doanh thu 2025'!B:B, C763,'Doanh thu 2025'!E:E)</f>
        <v>1</v>
      </c>
      <c r="I763" s="101">
        <f t="shared" si="90"/>
        <v>-1</v>
      </c>
      <c r="J763" s="103">
        <f t="shared" si="80"/>
        <v>0</v>
      </c>
      <c r="K763" s="136"/>
      <c r="L763" s="93"/>
      <c r="M763" s="93"/>
      <c r="N763" s="93"/>
    </row>
    <row r="764" spans="3:14" ht="13.2">
      <c r="C764" s="76" t="s">
        <v>188</v>
      </c>
      <c r="F764" s="2"/>
      <c r="G764" s="102">
        <f>+ SUMIF('Nhập kho T42024'!B:B, C764,'Nhập kho T42024'!F:F)</f>
        <v>0</v>
      </c>
      <c r="H764" s="101">
        <f>+ SUMIF('Doanh thu'!A:A, C764,'Doanh thu'!E:E) + SUMIF('Doanh thu 2025'!B:B, C764,'Doanh thu 2025'!E:E)</f>
        <v>1</v>
      </c>
      <c r="I764" s="101">
        <f t="shared" si="90"/>
        <v>-1</v>
      </c>
      <c r="J764" s="103">
        <f t="shared" si="80"/>
        <v>0</v>
      </c>
      <c r="K764" s="136"/>
      <c r="L764" s="93"/>
      <c r="M764" s="93"/>
      <c r="N764" s="93"/>
    </row>
    <row r="765" spans="3:14" ht="13.2">
      <c r="C765" s="76" t="s">
        <v>95</v>
      </c>
      <c r="F765" s="2"/>
      <c r="G765" s="102">
        <f>+ SUMIF('Nhập kho T42024'!B:B, C765,'Nhập kho T42024'!F:F)</f>
        <v>0</v>
      </c>
      <c r="H765" s="101">
        <f>+ SUMIF('Doanh thu'!A:A, C765,'Doanh thu'!E:E) + SUMIF('Doanh thu 2025'!B:B, C765,'Doanh thu 2025'!E:E)</f>
        <v>0</v>
      </c>
      <c r="I765" s="101">
        <f t="shared" si="90"/>
        <v>0</v>
      </c>
      <c r="J765" s="103">
        <f t="shared" si="80"/>
        <v>0</v>
      </c>
      <c r="K765" s="136"/>
      <c r="L765" s="93"/>
      <c r="M765" s="93"/>
      <c r="N765" s="93"/>
    </row>
    <row r="766" spans="3:14" ht="13.2">
      <c r="C766" s="16" t="s">
        <v>1572</v>
      </c>
      <c r="F766" s="2"/>
      <c r="G766" s="102">
        <f>+ SUMIF('Nhập kho T42024'!B:B, C766,'Nhập kho T42024'!F:F)</f>
        <v>30</v>
      </c>
      <c r="H766" s="101">
        <f>+ SUMIF('Doanh thu'!A:A, C766,'Doanh thu'!E:E) + SUMIF('Doanh thu 2025'!B:B, C766,'Doanh thu 2025'!E:E)</f>
        <v>2</v>
      </c>
      <c r="I766" s="101">
        <f t="shared" si="90"/>
        <v>28</v>
      </c>
      <c r="J766" s="103">
        <f t="shared" si="80"/>
        <v>0</v>
      </c>
      <c r="K766" s="136"/>
      <c r="L766" s="93"/>
      <c r="M766" s="93"/>
      <c r="N766" s="93"/>
    </row>
    <row r="767" spans="3:14" ht="13.2">
      <c r="C767" s="16" t="s">
        <v>1573</v>
      </c>
      <c r="F767" s="2"/>
      <c r="G767" s="102">
        <f>+ SUMIF('Nhập kho T42024'!B:B, C767,'Nhập kho T42024'!F:F)</f>
        <v>0</v>
      </c>
      <c r="H767" s="101">
        <f>+ SUMIF('Doanh thu'!A:A, C767,'Doanh thu'!E:E) + SUMIF('Doanh thu 2025'!B:B, C767,'Doanh thu 2025'!E:E)</f>
        <v>21</v>
      </c>
      <c r="I767" s="101">
        <f t="shared" si="90"/>
        <v>-21</v>
      </c>
      <c r="J767" s="103">
        <f t="shared" si="80"/>
        <v>0</v>
      </c>
      <c r="K767" s="136"/>
      <c r="L767" s="93"/>
      <c r="M767" s="93"/>
      <c r="N767" s="93"/>
    </row>
    <row r="768" spans="3:14" ht="13.2">
      <c r="C768" s="16" t="s">
        <v>1574</v>
      </c>
      <c r="F768" s="2"/>
      <c r="G768" s="102">
        <f>+ SUMIF('Nhập kho T42024'!B:B, C768,'Nhập kho T42024'!F:F)</f>
        <v>0</v>
      </c>
      <c r="H768" s="101">
        <f>+ SUMIF('Doanh thu'!A:A, C768,'Doanh thu'!E:E) + SUMIF('Doanh thu 2025'!B:B, C768,'Doanh thu 2025'!E:E)</f>
        <v>1</v>
      </c>
      <c r="I768" s="101">
        <f t="shared" si="90"/>
        <v>-1</v>
      </c>
      <c r="J768" s="103">
        <f t="shared" ref="J768:J788" si="92">SUM(K768)</f>
        <v>0</v>
      </c>
      <c r="K768" s="136"/>
      <c r="L768" s="93"/>
      <c r="M768" s="93"/>
      <c r="N768" s="93"/>
    </row>
    <row r="769" spans="3:14" ht="13.2">
      <c r="C769" s="16" t="s">
        <v>104</v>
      </c>
      <c r="F769" s="2"/>
      <c r="G769" s="102">
        <f>+ SUMIF('Nhập kho T42024'!B:B, C769,'Nhập kho T42024'!F:F)</f>
        <v>10</v>
      </c>
      <c r="H769" s="101">
        <f>+ SUMIF('Doanh thu'!A:A, C769,'Doanh thu'!E:E) + SUMIF('Doanh thu 2025'!B:B, C769,'Doanh thu 2025'!E:E)</f>
        <v>0</v>
      </c>
      <c r="I769" s="101">
        <f t="shared" si="90"/>
        <v>10</v>
      </c>
      <c r="J769" s="103">
        <f t="shared" si="92"/>
        <v>0</v>
      </c>
      <c r="K769" s="136"/>
      <c r="L769" s="93"/>
      <c r="M769" s="93"/>
      <c r="N769" s="93"/>
    </row>
    <row r="770" spans="3:14" ht="13.2">
      <c r="C770" s="16" t="s">
        <v>134</v>
      </c>
      <c r="F770" s="2"/>
      <c r="G770" s="102">
        <f>+ SUMIF('Nhập kho T42024'!B:B, C770,'Nhập kho T42024'!F:F)</f>
        <v>10</v>
      </c>
      <c r="H770" s="101">
        <f>+ SUMIF('Doanh thu'!A:A, C770,'Doanh thu'!E:E) + SUMIF('Doanh thu 2025'!B:B, C770,'Doanh thu 2025'!E:E)</f>
        <v>2</v>
      </c>
      <c r="I770" s="101">
        <f t="shared" si="90"/>
        <v>8</v>
      </c>
      <c r="J770" s="103">
        <f t="shared" si="92"/>
        <v>0</v>
      </c>
      <c r="K770" s="136"/>
      <c r="L770" s="93"/>
      <c r="M770" s="93"/>
      <c r="N770" s="93"/>
    </row>
    <row r="771" spans="3:14" ht="13.2">
      <c r="C771" s="16" t="s">
        <v>82</v>
      </c>
      <c r="F771" s="2"/>
      <c r="G771" s="102">
        <f>+ SUMIF('Nhập kho T42024'!B:B, C771,'Nhập kho T42024'!F:F)</f>
        <v>0</v>
      </c>
      <c r="H771" s="101">
        <f>+ SUMIF('Doanh thu'!A:A, C771,'Doanh thu'!E:E) + SUMIF('Doanh thu 2025'!B:B, C771,'Doanh thu 2025'!E:E)</f>
        <v>0</v>
      </c>
      <c r="I771" s="101">
        <f t="shared" si="90"/>
        <v>0</v>
      </c>
      <c r="J771" s="103">
        <f t="shared" si="92"/>
        <v>0</v>
      </c>
      <c r="K771" s="136"/>
      <c r="L771" s="93"/>
      <c r="M771" s="93"/>
      <c r="N771" s="93"/>
    </row>
    <row r="772" spans="3:14" ht="13.2">
      <c r="C772" s="16" t="s">
        <v>132</v>
      </c>
      <c r="F772" s="2"/>
      <c r="G772" s="102">
        <f>+ SUMIF('Nhập kho T42024'!B:B, C772,'Nhập kho T42024'!F:F)</f>
        <v>0</v>
      </c>
      <c r="H772" s="101">
        <f>+ SUMIF('Doanh thu'!A:A, C772,'Doanh thu'!E:E) + SUMIF('Doanh thu 2025'!B:B, C772,'Doanh thu 2025'!E:E)</f>
        <v>0</v>
      </c>
      <c r="I772" s="101">
        <f t="shared" si="90"/>
        <v>0</v>
      </c>
      <c r="J772" s="103">
        <f t="shared" si="92"/>
        <v>0</v>
      </c>
      <c r="K772" s="136"/>
      <c r="L772" s="93"/>
      <c r="M772" s="93"/>
      <c r="N772" s="93"/>
    </row>
    <row r="773" spans="3:14" ht="13.2">
      <c r="C773" s="16" t="s">
        <v>101</v>
      </c>
      <c r="F773" s="2"/>
      <c r="G773" s="102">
        <f>+ SUMIF('Nhập kho T42024'!B:B, C773,'Nhập kho T42024'!F:F)</f>
        <v>25</v>
      </c>
      <c r="H773" s="101">
        <f>+ SUMIF('Doanh thu'!A:A, C773,'Doanh thu'!E:E) + SUMIF('Doanh thu 2025'!B:B, C773,'Doanh thu 2025'!E:E)</f>
        <v>1</v>
      </c>
      <c r="I773" s="101">
        <f t="shared" si="90"/>
        <v>24</v>
      </c>
      <c r="J773" s="103">
        <f t="shared" si="92"/>
        <v>0</v>
      </c>
      <c r="K773" s="136"/>
      <c r="L773" s="93"/>
      <c r="M773" s="93"/>
      <c r="N773" s="93"/>
    </row>
    <row r="774" spans="3:14" ht="13.2">
      <c r="C774" s="16" t="s">
        <v>214</v>
      </c>
      <c r="F774" s="2"/>
      <c r="G774" s="102">
        <f>+ SUMIF('Nhập kho T42024'!B:B, C774,'Nhập kho T42024'!F:F)</f>
        <v>25</v>
      </c>
      <c r="H774" s="101">
        <f>+ SUMIF('Doanh thu'!A:A, C774,'Doanh thu'!E:E) + SUMIF('Doanh thu 2025'!B:B, C774,'Doanh thu 2025'!E:E)</f>
        <v>0</v>
      </c>
      <c r="I774" s="101">
        <f t="shared" si="90"/>
        <v>25</v>
      </c>
      <c r="J774" s="103">
        <f t="shared" si="92"/>
        <v>0</v>
      </c>
      <c r="K774" s="136"/>
      <c r="L774" s="93"/>
      <c r="M774" s="93"/>
      <c r="N774" s="93"/>
    </row>
    <row r="775" spans="3:14" ht="13.2">
      <c r="C775" s="16" t="s">
        <v>251</v>
      </c>
      <c r="F775" s="2"/>
      <c r="G775" s="102">
        <f>+ SUMIF('Nhập kho T42024'!B:B, C775,'Nhập kho T42024'!F:F)</f>
        <v>15</v>
      </c>
      <c r="H775" s="101">
        <f>+ SUMIF('Doanh thu'!A:A, C775,'Doanh thu'!E:E) + SUMIF('Doanh thu 2025'!B:B, C775,'Doanh thu 2025'!E:E)</f>
        <v>1</v>
      </c>
      <c r="I775" s="101">
        <f t="shared" si="90"/>
        <v>14</v>
      </c>
      <c r="J775" s="103">
        <f t="shared" si="92"/>
        <v>0</v>
      </c>
      <c r="K775" s="136"/>
      <c r="L775" s="93"/>
      <c r="M775" s="93"/>
      <c r="N775" s="93"/>
    </row>
    <row r="776" spans="3:14" ht="13.2">
      <c r="C776" s="16" t="s">
        <v>141</v>
      </c>
      <c r="F776" s="2"/>
      <c r="G776" s="102">
        <f>+ SUMIF('Nhập kho T42024'!B:B, C776,'Nhập kho T42024'!F:F)</f>
        <v>10</v>
      </c>
      <c r="H776" s="101">
        <f>+ SUMIF('Doanh thu'!A:A, C776,'Doanh thu'!E:E) + SUMIF('Doanh thu 2025'!B:B, C776,'Doanh thu 2025'!E:E)</f>
        <v>0</v>
      </c>
      <c r="I776" s="101">
        <f t="shared" si="90"/>
        <v>10</v>
      </c>
      <c r="J776" s="103">
        <f t="shared" si="92"/>
        <v>0</v>
      </c>
      <c r="K776" s="136"/>
      <c r="L776" s="93"/>
      <c r="M776" s="93"/>
      <c r="N776" s="93"/>
    </row>
    <row r="777" spans="3:14" ht="13.2">
      <c r="C777" s="16" t="s">
        <v>117</v>
      </c>
      <c r="F777" s="2"/>
      <c r="G777" s="102">
        <f>+ SUMIF('Nhập kho T42024'!B:B, C777,'Nhập kho T42024'!F:F)</f>
        <v>0</v>
      </c>
      <c r="H777" s="101">
        <f>+ SUMIF('Doanh thu'!A:A, C777,'Doanh thu'!E:E) + SUMIF('Doanh thu 2025'!B:B, C777,'Doanh thu 2025'!E:E)</f>
        <v>0</v>
      </c>
      <c r="I777" s="101">
        <f t="shared" si="90"/>
        <v>0</v>
      </c>
      <c r="J777" s="103">
        <f t="shared" si="92"/>
        <v>0</v>
      </c>
      <c r="K777" s="136"/>
      <c r="L777" s="93"/>
      <c r="M777" s="93"/>
      <c r="N777" s="93"/>
    </row>
    <row r="778" spans="3:14" ht="13.2">
      <c r="C778" s="16" t="s">
        <v>220</v>
      </c>
      <c r="F778" s="2"/>
      <c r="G778" s="102">
        <f>+ SUMIF('Nhập kho T42024'!B:B, C778,'Nhập kho T42024'!F:F)</f>
        <v>0</v>
      </c>
      <c r="H778" s="101">
        <f>+ SUMIF('Doanh thu'!A:A, C778,'Doanh thu'!E:E) + SUMIF('Doanh thu 2025'!B:B, C778,'Doanh thu 2025'!E:E)</f>
        <v>0</v>
      </c>
      <c r="I778" s="101">
        <f t="shared" si="90"/>
        <v>0</v>
      </c>
      <c r="J778" s="103">
        <f t="shared" si="92"/>
        <v>0</v>
      </c>
      <c r="K778" s="136"/>
      <c r="L778" s="93"/>
      <c r="M778" s="93"/>
      <c r="N778" s="93"/>
    </row>
    <row r="779" spans="3:14" ht="13.2">
      <c r="C779" s="16" t="s">
        <v>219</v>
      </c>
      <c r="F779" s="2"/>
      <c r="G779" s="102">
        <f>+ SUMIF('Nhập kho T42024'!B:B, C779,'Nhập kho T42024'!F:F)</f>
        <v>0</v>
      </c>
      <c r="H779" s="101">
        <f>+ SUMIF('Doanh thu'!A:A, C779,'Doanh thu'!E:E) + SUMIF('Doanh thu 2025'!B:B, C779,'Doanh thu 2025'!E:E)</f>
        <v>0</v>
      </c>
      <c r="I779" s="101">
        <f t="shared" si="90"/>
        <v>0</v>
      </c>
      <c r="J779" s="103">
        <f t="shared" si="92"/>
        <v>0</v>
      </c>
      <c r="K779" s="136"/>
      <c r="L779" s="93"/>
      <c r="M779" s="93"/>
      <c r="N779" s="93"/>
    </row>
    <row r="780" spans="3:14" ht="13.2">
      <c r="C780" s="16" t="s">
        <v>97</v>
      </c>
      <c r="F780" s="2"/>
      <c r="G780" s="102">
        <f>+ SUMIF('Nhập kho T42024'!B:B, C780,'Nhập kho T42024'!F:F)</f>
        <v>0</v>
      </c>
      <c r="H780" s="101">
        <f>+ SUMIF('Doanh thu'!A:A, C780,'Doanh thu'!E:E) + SUMIF('Doanh thu 2025'!B:B, C780,'Doanh thu 2025'!E:E)</f>
        <v>0</v>
      </c>
      <c r="I780" s="101">
        <f t="shared" si="90"/>
        <v>0</v>
      </c>
      <c r="J780" s="103">
        <f t="shared" si="92"/>
        <v>0</v>
      </c>
      <c r="K780" s="136"/>
      <c r="L780" s="93"/>
      <c r="M780" s="93"/>
      <c r="N780" s="93"/>
    </row>
    <row r="781" spans="3:14" ht="13.2">
      <c r="C781" s="16" t="s">
        <v>154</v>
      </c>
      <c r="F781" s="2"/>
      <c r="G781" s="102">
        <f>+ SUMIF('Nhập kho T42024'!B:B, C781,'Nhập kho T42024'!F:F)</f>
        <v>0</v>
      </c>
      <c r="H781" s="101">
        <f>+ SUMIF('Doanh thu'!A:A, C781,'Doanh thu'!E:E) + SUMIF('Doanh thu 2025'!B:B, C781,'Doanh thu 2025'!E:E)</f>
        <v>0</v>
      </c>
      <c r="I781" s="101">
        <f t="shared" si="90"/>
        <v>0</v>
      </c>
      <c r="J781" s="103">
        <f t="shared" si="92"/>
        <v>0</v>
      </c>
      <c r="K781" s="136"/>
      <c r="L781" s="93"/>
      <c r="M781" s="93"/>
      <c r="N781" s="93"/>
    </row>
    <row r="782" spans="3:14" ht="13.2">
      <c r="C782" s="16" t="s">
        <v>88</v>
      </c>
      <c r="F782" s="2"/>
      <c r="G782" s="102">
        <f>+ SUMIF('Nhập kho T42024'!B:B, C782,'Nhập kho T42024'!F:F)</f>
        <v>0</v>
      </c>
      <c r="H782" s="101">
        <f>+ SUMIF('Doanh thu'!A:A, C782,'Doanh thu'!E:E) + SUMIF('Doanh thu 2025'!B:B, C782,'Doanh thu 2025'!E:E)</f>
        <v>0</v>
      </c>
      <c r="I782" s="101">
        <f t="shared" si="90"/>
        <v>0</v>
      </c>
      <c r="J782" s="103">
        <f t="shared" si="92"/>
        <v>0</v>
      </c>
      <c r="K782" s="136"/>
      <c r="L782" s="93"/>
      <c r="M782" s="93"/>
      <c r="N782" s="93"/>
    </row>
    <row r="783" spans="3:14" ht="13.2">
      <c r="C783" s="16" t="s">
        <v>86</v>
      </c>
      <c r="F783" s="2"/>
      <c r="G783" s="102">
        <f>+ SUMIF('Nhập kho T42024'!B:B, C783,'Nhập kho T42024'!F:F)</f>
        <v>0</v>
      </c>
      <c r="H783" s="101">
        <f>+ SUMIF('Doanh thu'!A:A, C783,'Doanh thu'!E:E) + SUMIF('Doanh thu 2025'!B:B, C783,'Doanh thu 2025'!E:E)</f>
        <v>0</v>
      </c>
      <c r="I783" s="101">
        <f t="shared" si="90"/>
        <v>0</v>
      </c>
      <c r="J783" s="103">
        <f t="shared" si="92"/>
        <v>0</v>
      </c>
      <c r="K783" s="136"/>
      <c r="L783" s="93"/>
      <c r="M783" s="93"/>
      <c r="N783" s="93"/>
    </row>
    <row r="784" spans="3:14" ht="13.2">
      <c r="C784" s="16" t="s">
        <v>79</v>
      </c>
      <c r="D784" s="16" t="s">
        <v>1575</v>
      </c>
      <c r="F784" s="2"/>
      <c r="G784" s="102">
        <f>+ SUMIF('Nhập kho T42024'!B:B, C784,'Nhập kho T42024'!F:F)</f>
        <v>0</v>
      </c>
      <c r="H784" s="101">
        <f>+ SUMIF('Doanh thu'!A:A, C784,'Doanh thu'!E:E) + SUMIF('Doanh thu 2025'!B:B, C784,'Doanh thu 2025'!E:E)</f>
        <v>0</v>
      </c>
      <c r="I784" s="101">
        <f t="shared" si="90"/>
        <v>0</v>
      </c>
      <c r="J784" s="103">
        <f t="shared" si="92"/>
        <v>0</v>
      </c>
      <c r="K784" s="136"/>
      <c r="L784" s="93"/>
      <c r="M784" s="93"/>
      <c r="N784" s="93"/>
    </row>
    <row r="785" spans="3:14" ht="13.2">
      <c r="C785" s="16" t="s">
        <v>204</v>
      </c>
      <c r="F785" s="2"/>
      <c r="G785" s="102">
        <f>+ SUMIF('Nhập kho T42024'!B:B, C785,'Nhập kho T42024'!F:F)</f>
        <v>0</v>
      </c>
      <c r="H785" s="101">
        <f>+ SUMIF('Doanh thu'!A:A, C785,'Doanh thu'!E:E) + SUMIF('Doanh thu 2025'!B:B, C785,'Doanh thu 2025'!E:E)</f>
        <v>0</v>
      </c>
      <c r="I785" s="101">
        <f t="shared" si="90"/>
        <v>0</v>
      </c>
      <c r="J785" s="103">
        <f t="shared" si="92"/>
        <v>0</v>
      </c>
      <c r="K785" s="136"/>
      <c r="L785" s="93"/>
      <c r="M785" s="93"/>
      <c r="N785" s="93"/>
    </row>
    <row r="786" spans="3:14" ht="13.2">
      <c r="C786" s="16" t="s">
        <v>98</v>
      </c>
      <c r="F786" s="2"/>
      <c r="G786" s="102">
        <f>+ SUMIF('Nhập kho T42024'!B:B, C786,'Nhập kho T42024'!F:F)</f>
        <v>0</v>
      </c>
      <c r="H786" s="101">
        <f>+ SUMIF('Doanh thu'!A:A, C786,'Doanh thu'!E:E) + SUMIF('Doanh thu 2025'!B:B, C786,'Doanh thu 2025'!E:E)</f>
        <v>0</v>
      </c>
      <c r="I786" s="101">
        <f t="shared" si="90"/>
        <v>0</v>
      </c>
      <c r="J786" s="103">
        <f t="shared" si="92"/>
        <v>0</v>
      </c>
      <c r="K786" s="136"/>
      <c r="L786" s="93"/>
      <c r="M786" s="93"/>
      <c r="N786" s="93"/>
    </row>
    <row r="787" spans="3:14" ht="13.2">
      <c r="F787" s="2"/>
      <c r="G787" s="102">
        <f>+ SUMIF('Nhập kho T42024'!B:B, C787,'Nhập kho T42024'!F:F)</f>
        <v>0</v>
      </c>
      <c r="H787" s="101">
        <f>+ SUMIF('Doanh thu'!A:A, C787,'Doanh thu'!E:E) + SUMIF('Doanh thu 2025'!B:B, C787,'Doanh thu 2025'!E:E)</f>
        <v>0</v>
      </c>
      <c r="I787" s="101">
        <f t="shared" si="90"/>
        <v>0</v>
      </c>
      <c r="J787" s="103">
        <f t="shared" si="92"/>
        <v>0</v>
      </c>
      <c r="K787" s="136"/>
      <c r="L787" s="93"/>
      <c r="M787" s="93"/>
      <c r="N787" s="93"/>
    </row>
    <row r="788" spans="3:14" ht="13.2">
      <c r="F788" s="2"/>
      <c r="G788" s="102">
        <f>+ SUMIF('Nhập kho T42024'!B:B, C788,'Nhập kho T42024'!F:F)</f>
        <v>0</v>
      </c>
      <c r="H788" s="101">
        <f>+ SUMIF('Doanh thu'!A:A, C788,'Doanh thu'!E:E) + SUMIF('Doanh thu 2025'!B:B, C788,'Doanh thu 2025'!E:E)</f>
        <v>0</v>
      </c>
      <c r="I788" s="101">
        <f t="shared" si="90"/>
        <v>0</v>
      </c>
      <c r="J788" s="103">
        <f t="shared" si="92"/>
        <v>0</v>
      </c>
      <c r="K788" s="136"/>
      <c r="L788" s="93"/>
      <c r="M788" s="93"/>
      <c r="N788" s="93"/>
    </row>
    <row r="789" spans="3:14" ht="13.2">
      <c r="F789" s="2"/>
      <c r="G789" s="138"/>
      <c r="H789" s="139"/>
      <c r="I789" s="139"/>
      <c r="J789" s="140"/>
      <c r="K789" s="136"/>
      <c r="L789" s="93"/>
      <c r="M789" s="93"/>
      <c r="N789" s="93"/>
    </row>
    <row r="790" spans="3:14" ht="13.2">
      <c r="F790" s="2"/>
      <c r="G790" s="138"/>
      <c r="H790" s="139"/>
      <c r="I790" s="139"/>
      <c r="J790" s="140"/>
      <c r="K790" s="136"/>
      <c r="L790" s="93"/>
      <c r="M790" s="93"/>
      <c r="N790" s="93"/>
    </row>
    <row r="791" spans="3:14" ht="13.2">
      <c r="F791" s="2"/>
      <c r="G791" s="138"/>
      <c r="H791" s="139"/>
      <c r="I791" s="139"/>
      <c r="J791" s="140"/>
      <c r="K791" s="136"/>
      <c r="L791" s="93"/>
      <c r="M791" s="93"/>
      <c r="N791" s="93"/>
    </row>
    <row r="792" spans="3:14" ht="13.2">
      <c r="F792" s="2"/>
      <c r="G792" s="138"/>
      <c r="H792" s="139"/>
      <c r="I792" s="139"/>
      <c r="J792" s="140"/>
      <c r="K792" s="136"/>
      <c r="L792" s="93"/>
      <c r="M792" s="93"/>
      <c r="N792" s="93"/>
    </row>
    <row r="793" spans="3:14" ht="13.2">
      <c r="F793" s="2"/>
      <c r="G793" s="138"/>
      <c r="H793" s="139"/>
      <c r="I793" s="139"/>
      <c r="J793" s="140"/>
      <c r="K793" s="136"/>
      <c r="L793" s="93"/>
      <c r="M793" s="93"/>
      <c r="N793" s="93"/>
    </row>
    <row r="794" spans="3:14" ht="13.2">
      <c r="F794" s="2"/>
      <c r="G794" s="138"/>
      <c r="H794" s="139"/>
      <c r="I794" s="139"/>
      <c r="J794" s="140"/>
      <c r="K794" s="136"/>
      <c r="L794" s="93"/>
      <c r="M794" s="93"/>
      <c r="N794" s="93"/>
    </row>
    <row r="795" spans="3:14" ht="13.2">
      <c r="F795" s="2"/>
      <c r="G795" s="138"/>
      <c r="H795" s="139"/>
      <c r="I795" s="139"/>
      <c r="J795" s="140"/>
      <c r="K795" s="136"/>
      <c r="L795" s="93"/>
      <c r="M795" s="93"/>
      <c r="N795" s="93"/>
    </row>
    <row r="796" spans="3:14" ht="13.2">
      <c r="F796" s="2"/>
      <c r="G796" s="138"/>
      <c r="H796" s="139"/>
      <c r="I796" s="139"/>
      <c r="J796" s="140"/>
      <c r="K796" s="136"/>
      <c r="L796" s="93"/>
      <c r="M796" s="93"/>
      <c r="N796" s="93"/>
    </row>
    <row r="797" spans="3:14" ht="13.2">
      <c r="F797" s="2"/>
      <c r="G797" s="138"/>
      <c r="H797" s="139"/>
      <c r="I797" s="139"/>
      <c r="J797" s="140"/>
      <c r="K797" s="136"/>
      <c r="L797" s="93"/>
      <c r="M797" s="93"/>
      <c r="N797" s="93"/>
    </row>
    <row r="798" spans="3:14" ht="13.2">
      <c r="F798" s="2"/>
      <c r="G798" s="138"/>
      <c r="H798" s="139"/>
      <c r="I798" s="139"/>
      <c r="J798" s="140"/>
      <c r="K798" s="136"/>
      <c r="L798" s="93"/>
      <c r="M798" s="93"/>
      <c r="N798" s="93"/>
    </row>
    <row r="799" spans="3:14" ht="13.2">
      <c r="F799" s="2"/>
      <c r="G799" s="138"/>
      <c r="H799" s="139"/>
      <c r="I799" s="139"/>
      <c r="J799" s="140"/>
      <c r="K799" s="136"/>
      <c r="L799" s="93"/>
      <c r="M799" s="93"/>
      <c r="N799" s="93"/>
    </row>
    <row r="800" spans="3:14" ht="13.2">
      <c r="F800" s="2"/>
      <c r="G800" s="138"/>
      <c r="H800" s="139"/>
      <c r="I800" s="139"/>
      <c r="J800" s="140"/>
      <c r="K800" s="136"/>
      <c r="L800" s="93"/>
      <c r="M800" s="93"/>
      <c r="N800" s="93"/>
    </row>
    <row r="801" spans="6:14" ht="13.2">
      <c r="F801" s="2"/>
      <c r="G801" s="138"/>
      <c r="H801" s="139"/>
      <c r="I801" s="139"/>
      <c r="J801" s="140"/>
      <c r="K801" s="136"/>
      <c r="L801" s="93"/>
      <c r="M801" s="93"/>
      <c r="N801" s="93"/>
    </row>
    <row r="802" spans="6:14" ht="13.2">
      <c r="F802" s="2"/>
      <c r="G802" s="138"/>
      <c r="H802" s="139"/>
      <c r="I802" s="139"/>
      <c r="J802" s="140"/>
      <c r="K802" s="136"/>
      <c r="L802" s="93"/>
      <c r="M802" s="93"/>
      <c r="N802" s="93"/>
    </row>
    <row r="803" spans="6:14" ht="13.2">
      <c r="F803" s="2"/>
      <c r="G803" s="138"/>
      <c r="H803" s="139"/>
      <c r="I803" s="139"/>
      <c r="J803" s="140"/>
      <c r="K803" s="136"/>
      <c r="L803" s="93"/>
      <c r="M803" s="93"/>
      <c r="N803" s="93"/>
    </row>
    <row r="804" spans="6:14" ht="13.2">
      <c r="F804" s="2"/>
      <c r="G804" s="138"/>
      <c r="H804" s="139"/>
      <c r="I804" s="139"/>
      <c r="J804" s="140"/>
      <c r="K804" s="136"/>
      <c r="L804" s="93"/>
      <c r="M804" s="93"/>
      <c r="N804" s="93"/>
    </row>
    <row r="805" spans="6:14" ht="13.2">
      <c r="F805" s="2"/>
      <c r="G805" s="138"/>
      <c r="H805" s="139"/>
      <c r="I805" s="139"/>
      <c r="J805" s="140"/>
      <c r="K805" s="136"/>
      <c r="L805" s="93"/>
      <c r="M805" s="93"/>
      <c r="N805" s="93"/>
    </row>
    <row r="806" spans="6:14" ht="13.2">
      <c r="F806" s="2"/>
      <c r="G806" s="138"/>
      <c r="H806" s="139"/>
      <c r="I806" s="139"/>
      <c r="J806" s="140"/>
      <c r="K806" s="136"/>
      <c r="L806" s="93"/>
      <c r="M806" s="93"/>
      <c r="N806" s="93"/>
    </row>
    <row r="807" spans="6:14" ht="13.2">
      <c r="F807" s="2"/>
      <c r="G807" s="138"/>
      <c r="H807" s="139"/>
      <c r="I807" s="139"/>
      <c r="J807" s="140"/>
      <c r="K807" s="136"/>
      <c r="L807" s="93"/>
      <c r="M807" s="93"/>
      <c r="N807" s="93"/>
    </row>
    <row r="808" spans="6:14" ht="13.2">
      <c r="F808" s="2"/>
      <c r="G808" s="138"/>
      <c r="H808" s="139"/>
      <c r="I808" s="139"/>
      <c r="J808" s="140"/>
      <c r="K808" s="136"/>
      <c r="L808" s="93"/>
      <c r="M808" s="93"/>
      <c r="N808" s="93"/>
    </row>
    <row r="809" spans="6:14" ht="13.2">
      <c r="F809" s="2"/>
      <c r="G809" s="138"/>
      <c r="H809" s="139"/>
      <c r="I809" s="139"/>
      <c r="J809" s="140"/>
      <c r="K809" s="136"/>
      <c r="L809" s="93"/>
      <c r="M809" s="93"/>
      <c r="N809" s="93"/>
    </row>
    <row r="810" spans="6:14" ht="13.2">
      <c r="F810" s="2"/>
      <c r="G810" s="138"/>
      <c r="H810" s="139"/>
      <c r="I810" s="139"/>
      <c r="J810" s="140"/>
      <c r="K810" s="136"/>
      <c r="L810" s="93"/>
      <c r="M810" s="93"/>
      <c r="N810" s="93"/>
    </row>
    <row r="811" spans="6:14" ht="13.2">
      <c r="F811" s="2"/>
      <c r="G811" s="138"/>
      <c r="H811" s="139"/>
      <c r="I811" s="139"/>
      <c r="J811" s="140"/>
      <c r="K811" s="136"/>
      <c r="L811" s="93"/>
      <c r="M811" s="93"/>
      <c r="N811" s="93"/>
    </row>
    <row r="812" spans="6:14" ht="13.2">
      <c r="F812" s="2"/>
      <c r="G812" s="138"/>
      <c r="H812" s="139"/>
      <c r="I812" s="139"/>
      <c r="J812" s="140"/>
      <c r="K812" s="136"/>
      <c r="L812" s="93"/>
      <c r="M812" s="93"/>
      <c r="N812" s="93"/>
    </row>
    <row r="813" spans="6:14" ht="13.2">
      <c r="F813" s="2"/>
      <c r="G813" s="138"/>
      <c r="H813" s="139"/>
      <c r="I813" s="139"/>
      <c r="J813" s="140"/>
      <c r="K813" s="136"/>
      <c r="L813" s="93"/>
      <c r="M813" s="93"/>
      <c r="N813" s="93"/>
    </row>
    <row r="814" spans="6:14" ht="13.2">
      <c r="F814" s="2"/>
      <c r="G814" s="138"/>
      <c r="H814" s="139"/>
      <c r="I814" s="139"/>
      <c r="J814" s="140"/>
      <c r="K814" s="136"/>
      <c r="L814" s="93"/>
      <c r="M814" s="93"/>
      <c r="N814" s="93"/>
    </row>
    <row r="815" spans="6:14" ht="13.2">
      <c r="F815" s="2"/>
      <c r="G815" s="138"/>
      <c r="H815" s="139"/>
      <c r="I815" s="139"/>
      <c r="J815" s="140"/>
      <c r="K815" s="136"/>
      <c r="L815" s="93"/>
      <c r="M815" s="93"/>
      <c r="N815" s="93"/>
    </row>
    <row r="816" spans="6:14" ht="13.2">
      <c r="F816" s="2"/>
      <c r="G816" s="138"/>
      <c r="H816" s="139"/>
      <c r="I816" s="139"/>
      <c r="J816" s="140"/>
      <c r="K816" s="136"/>
      <c r="L816" s="93"/>
      <c r="M816" s="93"/>
      <c r="N816" s="93"/>
    </row>
    <row r="817" spans="6:14" ht="13.2">
      <c r="F817" s="2"/>
      <c r="G817" s="138"/>
      <c r="H817" s="139"/>
      <c r="I817" s="139"/>
      <c r="J817" s="140"/>
      <c r="K817" s="136"/>
      <c r="L817" s="93"/>
      <c r="M817" s="93"/>
      <c r="N817" s="93"/>
    </row>
    <row r="818" spans="6:14" ht="13.2">
      <c r="F818" s="2"/>
      <c r="G818" s="138"/>
      <c r="H818" s="139"/>
      <c r="I818" s="139"/>
      <c r="J818" s="140"/>
      <c r="K818" s="136"/>
      <c r="L818" s="93"/>
      <c r="M818" s="93"/>
      <c r="N818" s="93"/>
    </row>
    <row r="819" spans="6:14" ht="13.2">
      <c r="F819" s="2"/>
      <c r="G819" s="138"/>
      <c r="H819" s="139"/>
      <c r="I819" s="139"/>
      <c r="J819" s="140"/>
      <c r="K819" s="136"/>
      <c r="L819" s="93"/>
      <c r="M819" s="93"/>
      <c r="N819" s="93"/>
    </row>
    <row r="820" spans="6:14" ht="13.2">
      <c r="F820" s="2"/>
      <c r="G820" s="138"/>
      <c r="H820" s="139"/>
      <c r="I820" s="139"/>
      <c r="J820" s="140"/>
      <c r="K820" s="136"/>
      <c r="L820" s="93"/>
      <c r="M820" s="93"/>
      <c r="N820" s="93"/>
    </row>
    <row r="821" spans="6:14" ht="13.2">
      <c r="F821" s="2"/>
      <c r="G821" s="138"/>
      <c r="H821" s="139"/>
      <c r="I821" s="139"/>
      <c r="J821" s="140"/>
      <c r="K821" s="136"/>
      <c r="L821" s="93"/>
      <c r="M821" s="93"/>
      <c r="N821" s="93"/>
    </row>
    <row r="822" spans="6:14" ht="13.2">
      <c r="F822" s="2"/>
      <c r="G822" s="138"/>
      <c r="H822" s="139"/>
      <c r="I822" s="139"/>
      <c r="J822" s="140"/>
      <c r="K822" s="136"/>
      <c r="L822" s="93"/>
      <c r="M822" s="93"/>
      <c r="N822" s="93"/>
    </row>
    <row r="823" spans="6:14" ht="13.2">
      <c r="F823" s="2"/>
      <c r="G823" s="138"/>
      <c r="H823" s="139"/>
      <c r="I823" s="139"/>
      <c r="J823" s="140"/>
      <c r="K823" s="136"/>
      <c r="L823" s="93"/>
      <c r="M823" s="93"/>
      <c r="N823" s="93"/>
    </row>
    <row r="824" spans="6:14" ht="13.2">
      <c r="F824" s="2"/>
      <c r="G824" s="138"/>
      <c r="H824" s="139"/>
      <c r="I824" s="139"/>
      <c r="J824" s="140"/>
      <c r="K824" s="136"/>
      <c r="L824" s="93"/>
      <c r="M824" s="93"/>
      <c r="N824" s="93"/>
    </row>
    <row r="825" spans="6:14" ht="13.2">
      <c r="F825" s="2"/>
      <c r="G825" s="138"/>
      <c r="H825" s="139"/>
      <c r="I825" s="139"/>
      <c r="J825" s="140"/>
      <c r="K825" s="136"/>
      <c r="L825" s="93"/>
      <c r="M825" s="93"/>
      <c r="N825" s="93"/>
    </row>
    <row r="826" spans="6:14" ht="13.2">
      <c r="F826" s="2"/>
      <c r="G826" s="138"/>
      <c r="H826" s="139"/>
      <c r="I826" s="139"/>
      <c r="J826" s="140"/>
      <c r="K826" s="136"/>
      <c r="L826" s="93"/>
      <c r="M826" s="93"/>
      <c r="N826" s="93"/>
    </row>
    <row r="827" spans="6:14" ht="13.2">
      <c r="F827" s="2"/>
      <c r="G827" s="138"/>
      <c r="H827" s="139"/>
      <c r="I827" s="139"/>
      <c r="J827" s="140"/>
      <c r="K827" s="136"/>
      <c r="L827" s="93"/>
      <c r="M827" s="93"/>
      <c r="N827" s="93"/>
    </row>
    <row r="828" spans="6:14" ht="13.2">
      <c r="F828" s="2"/>
      <c r="G828" s="138"/>
      <c r="H828" s="139"/>
      <c r="I828" s="139"/>
      <c r="J828" s="140"/>
      <c r="K828" s="136"/>
      <c r="L828" s="93"/>
      <c r="M828" s="93"/>
      <c r="N828" s="93"/>
    </row>
    <row r="829" spans="6:14" ht="13.2">
      <c r="F829" s="2"/>
      <c r="G829" s="138"/>
      <c r="H829" s="139"/>
      <c r="I829" s="139"/>
      <c r="J829" s="140"/>
      <c r="K829" s="136"/>
      <c r="L829" s="93"/>
      <c r="M829" s="93"/>
      <c r="N829" s="93"/>
    </row>
    <row r="830" spans="6:14" ht="13.2">
      <c r="F830" s="2"/>
      <c r="G830" s="138"/>
      <c r="H830" s="139"/>
      <c r="I830" s="139"/>
      <c r="J830" s="140"/>
      <c r="K830" s="136"/>
      <c r="L830" s="93"/>
      <c r="M830" s="93"/>
      <c r="N830" s="93"/>
    </row>
    <row r="831" spans="6:14" ht="13.2">
      <c r="F831" s="2"/>
      <c r="G831" s="138"/>
      <c r="H831" s="139"/>
      <c r="I831" s="139"/>
      <c r="J831" s="140"/>
      <c r="K831" s="136"/>
      <c r="L831" s="93"/>
      <c r="M831" s="93"/>
      <c r="N831" s="93"/>
    </row>
    <row r="832" spans="6:14" ht="13.2">
      <c r="F832" s="2"/>
      <c r="G832" s="138"/>
      <c r="H832" s="139"/>
      <c r="I832" s="139"/>
      <c r="J832" s="140"/>
      <c r="K832" s="136"/>
      <c r="L832" s="93"/>
      <c r="M832" s="93"/>
      <c r="N832" s="93"/>
    </row>
    <row r="833" spans="6:14" ht="13.2">
      <c r="F833" s="2"/>
      <c r="G833" s="138"/>
      <c r="H833" s="139"/>
      <c r="I833" s="139"/>
      <c r="J833" s="140"/>
      <c r="K833" s="136"/>
      <c r="L833" s="93"/>
      <c r="M833" s="93"/>
      <c r="N833" s="93"/>
    </row>
    <row r="834" spans="6:14" ht="13.2">
      <c r="F834" s="2"/>
      <c r="G834" s="138"/>
      <c r="H834" s="139"/>
      <c r="I834" s="139"/>
      <c r="J834" s="140"/>
      <c r="K834" s="136"/>
      <c r="L834" s="93"/>
      <c r="M834" s="93"/>
      <c r="N834" s="93"/>
    </row>
    <row r="835" spans="6:14" ht="13.2">
      <c r="F835" s="2"/>
      <c r="G835" s="138"/>
      <c r="H835" s="139"/>
      <c r="I835" s="139"/>
      <c r="J835" s="140"/>
      <c r="K835" s="136"/>
      <c r="L835" s="93"/>
      <c r="M835" s="93"/>
      <c r="N835" s="93"/>
    </row>
    <row r="836" spans="6:14" ht="13.2">
      <c r="F836" s="2"/>
      <c r="G836" s="138"/>
      <c r="H836" s="139"/>
      <c r="I836" s="139"/>
      <c r="J836" s="140"/>
      <c r="K836" s="136"/>
      <c r="L836" s="93"/>
      <c r="M836" s="93"/>
      <c r="N836" s="93"/>
    </row>
    <row r="837" spans="6:14" ht="13.2">
      <c r="F837" s="2"/>
      <c r="G837" s="138"/>
      <c r="H837" s="139"/>
      <c r="I837" s="139"/>
      <c r="J837" s="140"/>
      <c r="K837" s="136"/>
      <c r="L837" s="93"/>
      <c r="M837" s="93"/>
      <c r="N837" s="93"/>
    </row>
    <row r="838" spans="6:14" ht="13.2">
      <c r="F838" s="2"/>
      <c r="G838" s="138"/>
      <c r="H838" s="139"/>
      <c r="I838" s="139"/>
      <c r="J838" s="140"/>
      <c r="K838" s="136"/>
      <c r="L838" s="93"/>
      <c r="M838" s="93"/>
      <c r="N838" s="93"/>
    </row>
    <row r="839" spans="6:14" ht="13.2">
      <c r="F839" s="2"/>
      <c r="G839" s="138"/>
      <c r="H839" s="139"/>
      <c r="I839" s="139"/>
      <c r="J839" s="140"/>
      <c r="K839" s="136"/>
      <c r="L839" s="93"/>
      <c r="M839" s="93"/>
      <c r="N839" s="93"/>
    </row>
    <row r="840" spans="6:14" ht="13.2">
      <c r="F840" s="2"/>
      <c r="G840" s="138"/>
      <c r="H840" s="139"/>
      <c r="I840" s="139"/>
      <c r="J840" s="140"/>
      <c r="K840" s="136"/>
      <c r="L840" s="93"/>
      <c r="M840" s="93"/>
      <c r="N840" s="93"/>
    </row>
    <row r="841" spans="6:14" ht="13.2">
      <c r="F841" s="2"/>
      <c r="G841" s="138"/>
      <c r="H841" s="139"/>
      <c r="I841" s="139"/>
      <c r="J841" s="140"/>
      <c r="K841" s="136"/>
      <c r="L841" s="93"/>
      <c r="M841" s="93"/>
      <c r="N841" s="93"/>
    </row>
    <row r="842" spans="6:14" ht="13.2">
      <c r="F842" s="2"/>
      <c r="G842" s="138"/>
      <c r="H842" s="139"/>
      <c r="I842" s="139"/>
      <c r="J842" s="140"/>
      <c r="K842" s="136"/>
      <c r="L842" s="93"/>
      <c r="M842" s="93"/>
      <c r="N842" s="93"/>
    </row>
    <row r="843" spans="6:14" ht="13.2">
      <c r="F843" s="2"/>
      <c r="G843" s="138"/>
      <c r="H843" s="139"/>
      <c r="I843" s="139"/>
      <c r="J843" s="140"/>
      <c r="K843" s="136"/>
      <c r="L843" s="93"/>
      <c r="M843" s="93"/>
      <c r="N843" s="93"/>
    </row>
    <row r="844" spans="6:14" ht="13.2">
      <c r="F844" s="2"/>
      <c r="G844" s="138"/>
      <c r="H844" s="139"/>
      <c r="I844" s="139"/>
      <c r="J844" s="140"/>
      <c r="K844" s="136"/>
      <c r="L844" s="93"/>
      <c r="M844" s="93"/>
      <c r="N844" s="93"/>
    </row>
    <row r="845" spans="6:14" ht="13.2">
      <c r="F845" s="2"/>
      <c r="G845" s="138"/>
      <c r="H845" s="139"/>
      <c r="I845" s="139"/>
      <c r="J845" s="140"/>
      <c r="K845" s="136"/>
      <c r="L845" s="93"/>
      <c r="M845" s="93"/>
      <c r="N845" s="93"/>
    </row>
    <row r="846" spans="6:14" ht="13.2">
      <c r="F846" s="2"/>
      <c r="G846" s="138"/>
      <c r="H846" s="139"/>
      <c r="I846" s="139"/>
      <c r="J846" s="140"/>
      <c r="K846" s="136"/>
      <c r="L846" s="93"/>
      <c r="M846" s="93"/>
      <c r="N846" s="93"/>
    </row>
    <row r="847" spans="6:14" ht="13.2">
      <c r="F847" s="2"/>
      <c r="G847" s="138"/>
      <c r="H847" s="139"/>
      <c r="I847" s="139"/>
      <c r="J847" s="140"/>
      <c r="K847" s="136"/>
      <c r="L847" s="93"/>
      <c r="M847" s="93"/>
      <c r="N847" s="93"/>
    </row>
    <row r="848" spans="6:14" ht="13.2">
      <c r="F848" s="2"/>
      <c r="G848" s="138"/>
      <c r="H848" s="139"/>
      <c r="I848" s="139"/>
      <c r="J848" s="140"/>
      <c r="K848" s="136"/>
      <c r="L848" s="93"/>
      <c r="M848" s="93"/>
      <c r="N848" s="93"/>
    </row>
    <row r="849" spans="6:14" ht="13.2">
      <c r="F849" s="2"/>
      <c r="G849" s="138"/>
      <c r="H849" s="139"/>
      <c r="I849" s="139"/>
      <c r="J849" s="140"/>
      <c r="K849" s="136"/>
      <c r="L849" s="93"/>
      <c r="M849" s="93"/>
      <c r="N849" s="93"/>
    </row>
    <row r="850" spans="6:14" ht="13.2">
      <c r="F850" s="2"/>
      <c r="G850" s="138"/>
      <c r="H850" s="139"/>
      <c r="I850" s="139"/>
      <c r="J850" s="140"/>
      <c r="K850" s="136"/>
      <c r="L850" s="93"/>
      <c r="M850" s="93"/>
      <c r="N850" s="93"/>
    </row>
    <row r="851" spans="6:14" ht="13.2">
      <c r="F851" s="2"/>
      <c r="G851" s="138"/>
      <c r="H851" s="139"/>
      <c r="I851" s="139"/>
      <c r="J851" s="140"/>
      <c r="K851" s="136"/>
      <c r="L851" s="93"/>
      <c r="M851" s="93"/>
      <c r="N851" s="93"/>
    </row>
    <row r="852" spans="6:14" ht="13.2">
      <c r="F852" s="2"/>
      <c r="G852" s="138"/>
      <c r="H852" s="139"/>
      <c r="I852" s="139"/>
      <c r="J852" s="140"/>
      <c r="K852" s="136"/>
      <c r="L852" s="93"/>
      <c r="M852" s="93"/>
      <c r="N852" s="93"/>
    </row>
    <row r="853" spans="6:14" ht="13.2">
      <c r="F853" s="2"/>
      <c r="G853" s="138"/>
      <c r="H853" s="139"/>
      <c r="I853" s="139"/>
      <c r="J853" s="140"/>
      <c r="K853" s="136"/>
      <c r="L853" s="93"/>
      <c r="M853" s="93"/>
      <c r="N853" s="93"/>
    </row>
    <row r="854" spans="6:14" ht="13.2">
      <c r="F854" s="2"/>
      <c r="G854" s="138"/>
      <c r="H854" s="139"/>
      <c r="I854" s="139"/>
      <c r="J854" s="140"/>
      <c r="K854" s="136"/>
      <c r="L854" s="93"/>
      <c r="M854" s="93"/>
      <c r="N854" s="93"/>
    </row>
    <row r="855" spans="6:14" ht="13.2">
      <c r="F855" s="2"/>
      <c r="G855" s="138"/>
      <c r="H855" s="139"/>
      <c r="I855" s="139"/>
      <c r="J855" s="140"/>
      <c r="K855" s="136"/>
      <c r="L855" s="93"/>
      <c r="M855" s="93"/>
      <c r="N855" s="93"/>
    </row>
    <row r="856" spans="6:14" ht="13.2">
      <c r="F856" s="2"/>
      <c r="G856" s="138"/>
      <c r="H856" s="139"/>
      <c r="I856" s="139"/>
      <c r="J856" s="140"/>
      <c r="K856" s="136"/>
      <c r="L856" s="93"/>
      <c r="M856" s="93"/>
      <c r="N856" s="93"/>
    </row>
    <row r="857" spans="6:14" ht="13.2">
      <c r="F857" s="2"/>
      <c r="G857" s="138"/>
      <c r="H857" s="139"/>
      <c r="I857" s="139"/>
      <c r="J857" s="140"/>
      <c r="K857" s="136"/>
      <c r="L857" s="93"/>
      <c r="M857" s="93"/>
      <c r="N857" s="93"/>
    </row>
    <row r="858" spans="6:14" ht="13.2">
      <c r="F858" s="2"/>
      <c r="G858" s="138"/>
      <c r="H858" s="139"/>
      <c r="I858" s="139"/>
      <c r="J858" s="140"/>
      <c r="K858" s="136"/>
      <c r="L858" s="93"/>
      <c r="M858" s="93"/>
      <c r="N858" s="93"/>
    </row>
    <row r="859" spans="6:14" ht="13.2">
      <c r="F859" s="2"/>
      <c r="G859" s="138"/>
      <c r="H859" s="139"/>
      <c r="I859" s="139"/>
      <c r="J859" s="140"/>
      <c r="K859" s="136"/>
      <c r="L859" s="93"/>
      <c r="M859" s="93"/>
      <c r="N859" s="93"/>
    </row>
    <row r="860" spans="6:14" ht="13.2">
      <c r="F860" s="2"/>
      <c r="G860" s="138"/>
      <c r="H860" s="139"/>
      <c r="I860" s="139"/>
      <c r="J860" s="140"/>
      <c r="K860" s="136"/>
      <c r="L860" s="93"/>
      <c r="M860" s="93"/>
      <c r="N860" s="93"/>
    </row>
    <row r="861" spans="6:14" ht="13.2">
      <c r="F861" s="2"/>
      <c r="G861" s="138"/>
      <c r="H861" s="139"/>
      <c r="I861" s="139"/>
      <c r="J861" s="140"/>
      <c r="K861" s="136"/>
      <c r="L861" s="93"/>
      <c r="M861" s="93"/>
      <c r="N861" s="93"/>
    </row>
    <row r="862" spans="6:14" ht="13.2">
      <c r="F862" s="2"/>
      <c r="G862" s="138"/>
      <c r="H862" s="139"/>
      <c r="I862" s="139"/>
      <c r="J862" s="140"/>
      <c r="K862" s="136"/>
      <c r="L862" s="93"/>
      <c r="M862" s="93"/>
      <c r="N862" s="93"/>
    </row>
    <row r="863" spans="6:14" ht="13.2">
      <c r="F863" s="2"/>
      <c r="G863" s="138"/>
      <c r="H863" s="139"/>
      <c r="I863" s="139"/>
      <c r="J863" s="140"/>
      <c r="K863" s="136"/>
      <c r="L863" s="93"/>
      <c r="M863" s="93"/>
      <c r="N863" s="93"/>
    </row>
    <row r="864" spans="6:14" ht="13.2">
      <c r="F864" s="2"/>
      <c r="G864" s="138"/>
      <c r="H864" s="139"/>
      <c r="I864" s="139"/>
      <c r="J864" s="140"/>
      <c r="K864" s="136"/>
      <c r="L864" s="93"/>
      <c r="M864" s="93"/>
      <c r="N864" s="93"/>
    </row>
    <row r="865" spans="6:14" ht="13.2">
      <c r="F865" s="2"/>
      <c r="G865" s="138"/>
      <c r="H865" s="139"/>
      <c r="I865" s="139"/>
      <c r="J865" s="140"/>
      <c r="K865" s="136"/>
      <c r="L865" s="93"/>
      <c r="M865" s="93"/>
      <c r="N865" s="93"/>
    </row>
    <row r="866" spans="6:14" ht="13.2">
      <c r="F866" s="2"/>
      <c r="G866" s="138"/>
      <c r="H866" s="139"/>
      <c r="I866" s="139"/>
      <c r="J866" s="140"/>
      <c r="K866" s="136"/>
      <c r="L866" s="93"/>
      <c r="M866" s="93"/>
      <c r="N866" s="93"/>
    </row>
    <row r="867" spans="6:14" ht="13.2">
      <c r="F867" s="2"/>
      <c r="G867" s="138"/>
      <c r="H867" s="139"/>
      <c r="I867" s="139"/>
      <c r="J867" s="140"/>
      <c r="K867" s="136"/>
      <c r="L867" s="93"/>
      <c r="M867" s="93"/>
      <c r="N867" s="93"/>
    </row>
    <row r="868" spans="6:14" ht="13.2">
      <c r="F868" s="2"/>
      <c r="G868" s="138"/>
      <c r="H868" s="139"/>
      <c r="I868" s="139"/>
      <c r="J868" s="140"/>
      <c r="K868" s="136"/>
      <c r="L868" s="93"/>
      <c r="M868" s="93"/>
      <c r="N868" s="93"/>
    </row>
    <row r="869" spans="6:14" ht="13.2">
      <c r="F869" s="2"/>
      <c r="G869" s="138"/>
      <c r="H869" s="139"/>
      <c r="I869" s="139"/>
      <c r="J869" s="140"/>
      <c r="K869" s="136"/>
      <c r="L869" s="93"/>
      <c r="M869" s="93"/>
      <c r="N869" s="93"/>
    </row>
    <row r="870" spans="6:14" ht="13.2">
      <c r="F870" s="2"/>
      <c r="G870" s="138"/>
      <c r="H870" s="139"/>
      <c r="I870" s="139"/>
      <c r="J870" s="140"/>
      <c r="K870" s="136"/>
      <c r="L870" s="93"/>
      <c r="M870" s="93"/>
      <c r="N870" s="93"/>
    </row>
    <row r="871" spans="6:14" ht="13.2">
      <c r="F871" s="2"/>
      <c r="G871" s="138"/>
      <c r="H871" s="139"/>
      <c r="I871" s="139"/>
      <c r="J871" s="140"/>
      <c r="K871" s="136"/>
      <c r="L871" s="93"/>
      <c r="M871" s="93"/>
      <c r="N871" s="93"/>
    </row>
    <row r="872" spans="6:14" ht="13.2">
      <c r="F872" s="2"/>
      <c r="G872" s="138"/>
      <c r="H872" s="139"/>
      <c r="I872" s="139"/>
      <c r="J872" s="140"/>
      <c r="K872" s="136"/>
      <c r="L872" s="93"/>
      <c r="M872" s="93"/>
      <c r="N872" s="93"/>
    </row>
    <row r="873" spans="6:14" ht="13.2">
      <c r="F873" s="2"/>
      <c r="G873" s="138"/>
      <c r="H873" s="139"/>
      <c r="I873" s="139"/>
      <c r="J873" s="140"/>
      <c r="K873" s="136"/>
      <c r="L873" s="93"/>
      <c r="M873" s="93"/>
      <c r="N873" s="93"/>
    </row>
    <row r="874" spans="6:14" ht="13.2">
      <c r="F874" s="2"/>
      <c r="G874" s="138"/>
      <c r="H874" s="139"/>
      <c r="I874" s="139"/>
      <c r="J874" s="140"/>
      <c r="K874" s="136"/>
      <c r="L874" s="93"/>
      <c r="M874" s="93"/>
      <c r="N874" s="93"/>
    </row>
    <row r="875" spans="6:14" ht="13.2">
      <c r="F875" s="2"/>
      <c r="G875" s="138"/>
      <c r="H875" s="139"/>
      <c r="I875" s="139"/>
      <c r="J875" s="140"/>
      <c r="K875" s="136"/>
      <c r="L875" s="93"/>
      <c r="M875" s="93"/>
      <c r="N875" s="93"/>
    </row>
    <row r="876" spans="6:14" ht="13.2">
      <c r="F876" s="2"/>
      <c r="G876" s="138"/>
      <c r="H876" s="139"/>
      <c r="I876" s="139"/>
      <c r="J876" s="140"/>
      <c r="K876" s="136"/>
      <c r="L876" s="93"/>
      <c r="M876" s="93"/>
      <c r="N876" s="93"/>
    </row>
    <row r="877" spans="6:14" ht="13.2">
      <c r="F877" s="2"/>
      <c r="G877" s="138"/>
      <c r="H877" s="139"/>
      <c r="I877" s="139"/>
      <c r="J877" s="140"/>
      <c r="K877" s="136"/>
      <c r="L877" s="93"/>
      <c r="M877" s="93"/>
      <c r="N877" s="93"/>
    </row>
    <row r="878" spans="6:14" ht="13.2">
      <c r="F878" s="2"/>
      <c r="G878" s="138"/>
      <c r="H878" s="139"/>
      <c r="I878" s="139"/>
      <c r="J878" s="140"/>
      <c r="K878" s="136"/>
      <c r="L878" s="93"/>
      <c r="M878" s="93"/>
      <c r="N878" s="93"/>
    </row>
    <row r="879" spans="6:14" ht="13.2">
      <c r="F879" s="2"/>
      <c r="G879" s="138"/>
      <c r="H879" s="139"/>
      <c r="I879" s="139"/>
      <c r="J879" s="140"/>
      <c r="K879" s="136"/>
      <c r="L879" s="93"/>
      <c r="M879" s="93"/>
      <c r="N879" s="93"/>
    </row>
    <row r="880" spans="6:14" ht="13.2">
      <c r="F880" s="2"/>
      <c r="G880" s="138"/>
      <c r="H880" s="139"/>
      <c r="I880" s="139"/>
      <c r="J880" s="140"/>
      <c r="K880" s="136"/>
      <c r="L880" s="93"/>
      <c r="M880" s="93"/>
      <c r="N880" s="93"/>
    </row>
    <row r="881" spans="6:14" ht="13.2">
      <c r="F881" s="2"/>
      <c r="G881" s="138"/>
      <c r="H881" s="139"/>
      <c r="I881" s="139"/>
      <c r="J881" s="140"/>
      <c r="K881" s="136"/>
      <c r="L881" s="93"/>
      <c r="M881" s="93"/>
      <c r="N881" s="93"/>
    </row>
    <row r="882" spans="6:14" ht="13.2">
      <c r="F882" s="2"/>
      <c r="G882" s="138"/>
      <c r="H882" s="139"/>
      <c r="I882" s="139"/>
      <c r="J882" s="140"/>
      <c r="K882" s="136"/>
      <c r="L882" s="93"/>
      <c r="M882" s="93"/>
      <c r="N882" s="93"/>
    </row>
    <row r="883" spans="6:14" ht="13.2">
      <c r="F883" s="2"/>
      <c r="G883" s="138"/>
      <c r="H883" s="139"/>
      <c r="I883" s="139"/>
      <c r="J883" s="140"/>
      <c r="K883" s="136"/>
      <c r="L883" s="93"/>
      <c r="M883" s="93"/>
      <c r="N883" s="93"/>
    </row>
    <row r="884" spans="6:14" ht="13.2">
      <c r="F884" s="2"/>
      <c r="G884" s="138"/>
      <c r="H884" s="139"/>
      <c r="I884" s="139"/>
      <c r="J884" s="140"/>
      <c r="K884" s="136"/>
      <c r="L884" s="93"/>
      <c r="M884" s="93"/>
      <c r="N884" s="93"/>
    </row>
    <row r="885" spans="6:14" ht="13.2">
      <c r="F885" s="2"/>
      <c r="G885" s="138"/>
      <c r="H885" s="139"/>
      <c r="I885" s="139"/>
      <c r="J885" s="140"/>
      <c r="K885" s="136"/>
      <c r="L885" s="93"/>
      <c r="M885" s="93"/>
      <c r="N885" s="93"/>
    </row>
    <row r="886" spans="6:14" ht="13.2">
      <c r="F886" s="2"/>
      <c r="G886" s="138"/>
      <c r="H886" s="139"/>
      <c r="I886" s="139"/>
      <c r="J886" s="140"/>
      <c r="K886" s="136"/>
      <c r="L886" s="93"/>
      <c r="M886" s="93"/>
      <c r="N886" s="93"/>
    </row>
    <row r="887" spans="6:14" ht="13.2">
      <c r="F887" s="2"/>
      <c r="G887" s="138"/>
      <c r="H887" s="139"/>
      <c r="I887" s="139"/>
      <c r="J887" s="140"/>
      <c r="K887" s="136"/>
      <c r="L887" s="93"/>
      <c r="M887" s="93"/>
      <c r="N887" s="93"/>
    </row>
    <row r="888" spans="6:14" ht="13.2">
      <c r="F888" s="2"/>
      <c r="G888" s="138"/>
      <c r="H888" s="139"/>
      <c r="I888" s="139"/>
      <c r="J888" s="140"/>
      <c r="K888" s="136"/>
      <c r="L888" s="93"/>
      <c r="M888" s="93"/>
      <c r="N888" s="93"/>
    </row>
    <row r="889" spans="6:14" ht="13.2">
      <c r="F889" s="2"/>
      <c r="G889" s="138"/>
      <c r="H889" s="139"/>
      <c r="I889" s="139"/>
      <c r="J889" s="140"/>
      <c r="K889" s="136"/>
      <c r="L889" s="93"/>
      <c r="M889" s="93"/>
      <c r="N889" s="93"/>
    </row>
    <row r="890" spans="6:14" ht="13.2">
      <c r="F890" s="2"/>
      <c r="G890" s="138"/>
      <c r="H890" s="139"/>
      <c r="I890" s="139"/>
      <c r="J890" s="140"/>
      <c r="K890" s="136"/>
      <c r="L890" s="93"/>
      <c r="M890" s="93"/>
      <c r="N890" s="93"/>
    </row>
    <row r="891" spans="6:14" ht="13.2">
      <c r="F891" s="2"/>
      <c r="G891" s="138"/>
      <c r="H891" s="139"/>
      <c r="I891" s="139"/>
      <c r="J891" s="140"/>
      <c r="K891" s="136"/>
      <c r="L891" s="93"/>
      <c r="M891" s="93"/>
      <c r="N891" s="93"/>
    </row>
    <row r="892" spans="6:14" ht="13.2">
      <c r="F892" s="2"/>
      <c r="G892" s="138"/>
      <c r="H892" s="139"/>
      <c r="I892" s="139"/>
      <c r="J892" s="140"/>
      <c r="K892" s="136"/>
      <c r="L892" s="93"/>
      <c r="M892" s="93"/>
      <c r="N892" s="93"/>
    </row>
    <row r="893" spans="6:14" ht="13.2">
      <c r="F893" s="2"/>
      <c r="G893" s="138"/>
      <c r="H893" s="139"/>
      <c r="I893" s="139"/>
      <c r="J893" s="140"/>
      <c r="K893" s="136"/>
      <c r="L893" s="93"/>
      <c r="M893" s="93"/>
      <c r="N893" s="93"/>
    </row>
    <row r="894" spans="6:14" ht="13.2">
      <c r="F894" s="2"/>
      <c r="G894" s="138"/>
      <c r="H894" s="139"/>
      <c r="I894" s="139"/>
      <c r="J894" s="140"/>
      <c r="K894" s="136"/>
      <c r="L894" s="93"/>
      <c r="M894" s="93"/>
      <c r="N894" s="93"/>
    </row>
    <row r="895" spans="6:14" ht="13.2">
      <c r="F895" s="2"/>
      <c r="G895" s="138"/>
      <c r="H895" s="139"/>
      <c r="I895" s="139"/>
      <c r="J895" s="140"/>
      <c r="K895" s="136"/>
      <c r="L895" s="93"/>
      <c r="M895" s="93"/>
      <c r="N895" s="93"/>
    </row>
    <row r="896" spans="6:14" ht="13.2">
      <c r="F896" s="2"/>
      <c r="G896" s="138"/>
      <c r="H896" s="139"/>
      <c r="I896" s="139"/>
      <c r="J896" s="140"/>
      <c r="K896" s="136"/>
      <c r="L896" s="93"/>
      <c r="M896" s="93"/>
      <c r="N896" s="93"/>
    </row>
    <row r="897" spans="6:14" ht="13.2">
      <c r="F897" s="2"/>
      <c r="G897" s="138"/>
      <c r="H897" s="139"/>
      <c r="I897" s="139"/>
      <c r="J897" s="140"/>
      <c r="K897" s="136"/>
      <c r="L897" s="93"/>
      <c r="M897" s="93"/>
      <c r="N897" s="93"/>
    </row>
    <row r="898" spans="6:14" ht="13.2">
      <c r="F898" s="2"/>
      <c r="G898" s="138"/>
      <c r="H898" s="139"/>
      <c r="I898" s="139"/>
      <c r="J898" s="140"/>
      <c r="K898" s="136"/>
      <c r="L898" s="93"/>
      <c r="M898" s="93"/>
      <c r="N898" s="93"/>
    </row>
    <row r="899" spans="6:14" ht="13.2">
      <c r="F899" s="2"/>
      <c r="G899" s="138"/>
      <c r="H899" s="139"/>
      <c r="I899" s="139"/>
      <c r="J899" s="140"/>
      <c r="K899" s="136"/>
      <c r="L899" s="93"/>
      <c r="M899" s="93"/>
      <c r="N899" s="93"/>
    </row>
    <row r="900" spans="6:14" ht="13.2">
      <c r="F900" s="2"/>
      <c r="G900" s="138"/>
      <c r="H900" s="139"/>
      <c r="I900" s="139"/>
      <c r="J900" s="140"/>
      <c r="K900" s="136"/>
      <c r="L900" s="93"/>
      <c r="M900" s="93"/>
      <c r="N900" s="93"/>
    </row>
    <row r="901" spans="6:14" ht="13.2">
      <c r="F901" s="2"/>
      <c r="G901" s="138"/>
      <c r="H901" s="139"/>
      <c r="I901" s="139"/>
      <c r="J901" s="140"/>
      <c r="K901" s="136"/>
      <c r="L901" s="93"/>
      <c r="M901" s="93"/>
      <c r="N901" s="93"/>
    </row>
    <row r="902" spans="6:14" ht="13.2">
      <c r="F902" s="2"/>
      <c r="G902" s="138"/>
      <c r="H902" s="139"/>
      <c r="I902" s="139"/>
      <c r="J902" s="140"/>
      <c r="K902" s="136"/>
      <c r="L902" s="93"/>
      <c r="M902" s="93"/>
      <c r="N902" s="93"/>
    </row>
    <row r="903" spans="6:14" ht="13.2">
      <c r="F903" s="2"/>
      <c r="G903" s="138"/>
      <c r="H903" s="139"/>
      <c r="I903" s="139"/>
      <c r="J903" s="140"/>
      <c r="K903" s="136"/>
      <c r="L903" s="93"/>
      <c r="M903" s="93"/>
      <c r="N903" s="93"/>
    </row>
    <row r="904" spans="6:14" ht="13.2">
      <c r="F904" s="2"/>
      <c r="G904" s="138"/>
      <c r="H904" s="139"/>
      <c r="I904" s="139"/>
      <c r="J904" s="140"/>
      <c r="K904" s="136"/>
      <c r="L904" s="93"/>
      <c r="M904" s="93"/>
      <c r="N904" s="93"/>
    </row>
    <row r="905" spans="6:14" ht="13.2">
      <c r="F905" s="2"/>
      <c r="G905" s="138"/>
      <c r="H905" s="139"/>
      <c r="I905" s="139"/>
      <c r="J905" s="140"/>
      <c r="K905" s="136"/>
      <c r="L905" s="93"/>
      <c r="M905" s="93"/>
      <c r="N905" s="93"/>
    </row>
    <row r="906" spans="6:14" ht="13.2">
      <c r="F906" s="2"/>
      <c r="G906" s="138"/>
      <c r="H906" s="139"/>
      <c r="I906" s="139"/>
      <c r="J906" s="140"/>
      <c r="K906" s="136"/>
      <c r="L906" s="93"/>
      <c r="M906" s="93"/>
      <c r="N906" s="93"/>
    </row>
    <row r="907" spans="6:14" ht="13.2">
      <c r="F907" s="2"/>
      <c r="G907" s="138"/>
      <c r="H907" s="139"/>
      <c r="I907" s="139"/>
      <c r="J907" s="140"/>
      <c r="K907" s="136"/>
      <c r="L907" s="93"/>
      <c r="M907" s="93"/>
      <c r="N907" s="93"/>
    </row>
    <row r="908" spans="6:14" ht="13.2">
      <c r="F908" s="2"/>
      <c r="G908" s="138"/>
      <c r="H908" s="139"/>
      <c r="I908" s="139"/>
      <c r="J908" s="140"/>
      <c r="K908" s="136"/>
      <c r="L908" s="93"/>
      <c r="M908" s="93"/>
      <c r="N908" s="93"/>
    </row>
    <row r="909" spans="6:14" ht="13.2">
      <c r="F909" s="2"/>
      <c r="G909" s="138"/>
      <c r="H909" s="139"/>
      <c r="I909" s="139"/>
      <c r="J909" s="140"/>
      <c r="K909" s="136"/>
      <c r="L909" s="93"/>
      <c r="M909" s="93"/>
      <c r="N909" s="93"/>
    </row>
    <row r="910" spans="6:14" ht="13.2">
      <c r="F910" s="2"/>
      <c r="G910" s="138"/>
      <c r="H910" s="139"/>
      <c r="I910" s="139"/>
      <c r="J910" s="140"/>
      <c r="K910" s="136"/>
      <c r="L910" s="93"/>
      <c r="M910" s="93"/>
      <c r="N910" s="93"/>
    </row>
    <row r="911" spans="6:14" ht="13.2">
      <c r="F911" s="2"/>
      <c r="G911" s="138"/>
      <c r="H911" s="139"/>
      <c r="I911" s="139"/>
      <c r="J911" s="140"/>
      <c r="K911" s="136"/>
      <c r="L911" s="93"/>
      <c r="M911" s="93"/>
      <c r="N911" s="93"/>
    </row>
    <row r="912" spans="6:14" ht="13.2">
      <c r="F912" s="2"/>
      <c r="G912" s="138"/>
      <c r="H912" s="139"/>
      <c r="I912" s="139"/>
      <c r="J912" s="140"/>
      <c r="K912" s="136"/>
      <c r="L912" s="93"/>
      <c r="M912" s="93"/>
      <c r="N912" s="93"/>
    </row>
    <row r="913" spans="6:14" ht="13.2">
      <c r="F913" s="2"/>
      <c r="G913" s="138"/>
      <c r="H913" s="139"/>
      <c r="I913" s="139"/>
      <c r="J913" s="140"/>
      <c r="K913" s="136"/>
      <c r="L913" s="93"/>
      <c r="M913" s="93"/>
      <c r="N913" s="93"/>
    </row>
    <row r="914" spans="6:14" ht="13.2">
      <c r="F914" s="2"/>
      <c r="G914" s="138"/>
      <c r="H914" s="139"/>
      <c r="I914" s="139"/>
      <c r="J914" s="140"/>
      <c r="K914" s="136"/>
      <c r="L914" s="93"/>
      <c r="M914" s="93"/>
      <c r="N914" s="93"/>
    </row>
    <row r="915" spans="6:14" ht="13.2">
      <c r="F915" s="2"/>
      <c r="G915" s="138"/>
      <c r="H915" s="139"/>
      <c r="I915" s="139"/>
      <c r="J915" s="140"/>
      <c r="K915" s="136"/>
      <c r="L915" s="93"/>
      <c r="M915" s="93"/>
      <c r="N915" s="93"/>
    </row>
    <row r="916" spans="6:14" ht="13.2">
      <c r="F916" s="2"/>
      <c r="G916" s="138"/>
      <c r="H916" s="139"/>
      <c r="I916" s="139"/>
      <c r="J916" s="140"/>
      <c r="K916" s="136"/>
      <c r="L916" s="93"/>
      <c r="M916" s="93"/>
      <c r="N916" s="93"/>
    </row>
    <row r="917" spans="6:14" ht="13.2">
      <c r="F917" s="2"/>
      <c r="G917" s="138"/>
      <c r="H917" s="139"/>
      <c r="I917" s="139"/>
      <c r="J917" s="140"/>
      <c r="K917" s="136"/>
      <c r="L917" s="93"/>
      <c r="M917" s="93"/>
      <c r="N917" s="93"/>
    </row>
    <row r="918" spans="6:14" ht="13.2">
      <c r="F918" s="2"/>
      <c r="G918" s="138"/>
      <c r="H918" s="139"/>
      <c r="I918" s="139"/>
      <c r="J918" s="140"/>
      <c r="K918" s="136"/>
      <c r="L918" s="93"/>
      <c r="M918" s="93"/>
      <c r="N918" s="93"/>
    </row>
    <row r="919" spans="6:14" ht="13.2">
      <c r="F919" s="2"/>
      <c r="G919" s="138"/>
      <c r="H919" s="139"/>
      <c r="I919" s="139"/>
      <c r="J919" s="140"/>
      <c r="K919" s="136"/>
      <c r="L919" s="93"/>
      <c r="M919" s="93"/>
      <c r="N919" s="93"/>
    </row>
    <row r="920" spans="6:14" ht="13.2">
      <c r="F920" s="2"/>
      <c r="G920" s="138"/>
      <c r="H920" s="139"/>
      <c r="I920" s="139"/>
      <c r="J920" s="140"/>
      <c r="K920" s="136"/>
      <c r="L920" s="93"/>
      <c r="M920" s="93"/>
      <c r="N920" s="93"/>
    </row>
    <row r="921" spans="6:14" ht="13.2">
      <c r="F921" s="2"/>
      <c r="G921" s="138"/>
      <c r="H921" s="139"/>
      <c r="I921" s="139"/>
      <c r="J921" s="140"/>
      <c r="K921" s="136"/>
      <c r="L921" s="93"/>
      <c r="M921" s="93"/>
      <c r="N921" s="93"/>
    </row>
    <row r="922" spans="6:14" ht="13.2">
      <c r="F922" s="2"/>
      <c r="G922" s="138"/>
      <c r="H922" s="139"/>
      <c r="I922" s="139"/>
      <c r="J922" s="140"/>
      <c r="K922" s="136"/>
      <c r="L922" s="93"/>
      <c r="M922" s="93"/>
      <c r="N922" s="93"/>
    </row>
    <row r="923" spans="6:14" ht="13.2">
      <c r="F923" s="2"/>
      <c r="G923" s="138"/>
      <c r="H923" s="139"/>
      <c r="I923" s="139"/>
      <c r="J923" s="140"/>
      <c r="K923" s="136"/>
      <c r="L923" s="93"/>
      <c r="M923" s="93"/>
      <c r="N923" s="93"/>
    </row>
    <row r="924" spans="6:14" ht="13.2">
      <c r="F924" s="2"/>
      <c r="G924" s="138"/>
      <c r="H924" s="139"/>
      <c r="I924" s="139"/>
      <c r="J924" s="140"/>
      <c r="K924" s="136"/>
      <c r="L924" s="93"/>
      <c r="M924" s="93"/>
      <c r="N924" s="93"/>
    </row>
    <row r="925" spans="6:14" ht="13.2">
      <c r="F925" s="2"/>
      <c r="G925" s="138"/>
      <c r="H925" s="139"/>
      <c r="I925" s="139"/>
      <c r="J925" s="140"/>
      <c r="K925" s="136"/>
      <c r="L925" s="93"/>
      <c r="M925" s="93"/>
      <c r="N925" s="93"/>
    </row>
    <row r="926" spans="6:14" ht="13.2">
      <c r="F926" s="2"/>
      <c r="G926" s="138"/>
      <c r="H926" s="139"/>
      <c r="I926" s="139"/>
      <c r="J926" s="140"/>
      <c r="K926" s="136"/>
      <c r="L926" s="93"/>
      <c r="M926" s="93"/>
      <c r="N926" s="93"/>
    </row>
    <row r="927" spans="6:14" ht="13.2">
      <c r="F927" s="2"/>
      <c r="G927" s="138"/>
      <c r="H927" s="139"/>
      <c r="I927" s="139"/>
      <c r="J927" s="140"/>
      <c r="K927" s="136"/>
      <c r="L927" s="93"/>
      <c r="M927" s="93"/>
      <c r="N927" s="93"/>
    </row>
    <row r="928" spans="6:14" ht="13.2">
      <c r="F928" s="2"/>
      <c r="G928" s="138"/>
      <c r="H928" s="139"/>
      <c r="I928" s="139"/>
      <c r="J928" s="140"/>
      <c r="K928" s="136"/>
      <c r="L928" s="93"/>
      <c r="M928" s="93"/>
      <c r="N928" s="93"/>
    </row>
    <row r="929" spans="6:14" ht="13.2">
      <c r="F929" s="2"/>
      <c r="G929" s="138"/>
      <c r="H929" s="139"/>
      <c r="I929" s="139"/>
      <c r="J929" s="140"/>
      <c r="K929" s="136"/>
      <c r="L929" s="93"/>
      <c r="M929" s="93"/>
      <c r="N929" s="93"/>
    </row>
    <row r="930" spans="6:14" ht="13.2">
      <c r="F930" s="2"/>
      <c r="G930" s="138"/>
      <c r="H930" s="139"/>
      <c r="I930" s="139"/>
      <c r="J930" s="140"/>
      <c r="K930" s="136"/>
      <c r="L930" s="93"/>
      <c r="M930" s="93"/>
      <c r="N930" s="93"/>
    </row>
    <row r="931" spans="6:14" ht="13.2">
      <c r="F931" s="2"/>
      <c r="G931" s="138"/>
      <c r="H931" s="139"/>
      <c r="I931" s="139"/>
      <c r="J931" s="140"/>
      <c r="K931" s="136"/>
      <c r="L931" s="93"/>
      <c r="M931" s="93"/>
      <c r="N931" s="93"/>
    </row>
    <row r="932" spans="6:14" ht="13.2">
      <c r="F932" s="2"/>
      <c r="G932" s="138"/>
      <c r="H932" s="139"/>
      <c r="I932" s="139"/>
      <c r="J932" s="140"/>
      <c r="K932" s="136"/>
      <c r="L932" s="93"/>
      <c r="M932" s="93"/>
      <c r="N932" s="93"/>
    </row>
    <row r="933" spans="6:14" ht="13.2">
      <c r="F933" s="2"/>
      <c r="G933" s="138"/>
      <c r="H933" s="139"/>
      <c r="I933" s="139"/>
      <c r="J933" s="140"/>
      <c r="K933" s="136"/>
      <c r="L933" s="93"/>
      <c r="M933" s="93"/>
      <c r="N933" s="93"/>
    </row>
    <row r="934" spans="6:14" ht="13.2">
      <c r="F934" s="2"/>
      <c r="G934" s="138"/>
      <c r="H934" s="139"/>
      <c r="I934" s="139"/>
      <c r="J934" s="140"/>
      <c r="K934" s="136"/>
      <c r="L934" s="93"/>
      <c r="M934" s="93"/>
      <c r="N934" s="93"/>
    </row>
    <row r="935" spans="6:14" ht="13.2">
      <c r="F935" s="2"/>
      <c r="G935" s="138"/>
      <c r="H935" s="139"/>
      <c r="I935" s="139"/>
      <c r="J935" s="140"/>
      <c r="K935" s="136"/>
      <c r="L935" s="93"/>
      <c r="M935" s="93"/>
      <c r="N935" s="93"/>
    </row>
    <row r="936" spans="6:14" ht="13.2">
      <c r="F936" s="2"/>
      <c r="G936" s="138"/>
      <c r="H936" s="139"/>
      <c r="I936" s="139"/>
      <c r="J936" s="140"/>
      <c r="K936" s="136"/>
      <c r="L936" s="93"/>
      <c r="M936" s="93"/>
      <c r="N936" s="93"/>
    </row>
    <row r="937" spans="6:14" ht="13.2">
      <c r="F937" s="2"/>
      <c r="G937" s="138"/>
      <c r="H937" s="139"/>
      <c r="I937" s="139"/>
      <c r="J937" s="140"/>
      <c r="K937" s="136"/>
      <c r="L937" s="93"/>
      <c r="M937" s="93"/>
      <c r="N937" s="93"/>
    </row>
    <row r="938" spans="6:14" ht="13.2">
      <c r="F938" s="2"/>
      <c r="G938" s="138"/>
      <c r="H938" s="139"/>
      <c r="I938" s="139"/>
      <c r="J938" s="140"/>
      <c r="K938" s="136"/>
      <c r="L938" s="93"/>
      <c r="M938" s="93"/>
      <c r="N938" s="93"/>
    </row>
    <row r="939" spans="6:14" ht="13.2">
      <c r="F939" s="2"/>
      <c r="G939" s="138"/>
      <c r="H939" s="139"/>
      <c r="I939" s="139"/>
      <c r="J939" s="140"/>
      <c r="K939" s="136"/>
      <c r="L939" s="93"/>
      <c r="M939" s="93"/>
      <c r="N939" s="93"/>
    </row>
    <row r="940" spans="6:14" ht="13.2">
      <c r="F940" s="2"/>
      <c r="G940" s="138"/>
      <c r="H940" s="139"/>
      <c r="I940" s="139"/>
      <c r="J940" s="140"/>
      <c r="K940" s="136"/>
      <c r="L940" s="93"/>
      <c r="M940" s="93"/>
      <c r="N940" s="93"/>
    </row>
    <row r="941" spans="6:14" ht="13.2">
      <c r="F941" s="2"/>
      <c r="G941" s="138"/>
      <c r="H941" s="139"/>
      <c r="I941" s="139"/>
      <c r="J941" s="140"/>
      <c r="K941" s="136"/>
      <c r="L941" s="93"/>
      <c r="M941" s="93"/>
      <c r="N941" s="93"/>
    </row>
    <row r="942" spans="6:14" ht="13.2">
      <c r="F942" s="2"/>
      <c r="G942" s="138"/>
      <c r="H942" s="139"/>
      <c r="I942" s="139"/>
      <c r="J942" s="140"/>
      <c r="K942" s="136"/>
      <c r="L942" s="93"/>
      <c r="M942" s="93"/>
      <c r="N942" s="93"/>
    </row>
    <row r="943" spans="6:14" ht="13.2">
      <c r="F943" s="2"/>
      <c r="G943" s="138"/>
      <c r="H943" s="139"/>
      <c r="I943" s="139"/>
      <c r="J943" s="140"/>
      <c r="K943" s="136"/>
      <c r="L943" s="93"/>
      <c r="M943" s="93"/>
      <c r="N943" s="93"/>
    </row>
    <row r="944" spans="6:14" ht="13.2">
      <c r="F944" s="2"/>
      <c r="G944" s="138"/>
      <c r="H944" s="139"/>
      <c r="I944" s="139"/>
      <c r="J944" s="140"/>
      <c r="K944" s="136"/>
      <c r="L944" s="93"/>
      <c r="M944" s="93"/>
      <c r="N944" s="93"/>
    </row>
    <row r="945" spans="6:14" ht="13.2">
      <c r="F945" s="2"/>
      <c r="G945" s="138"/>
      <c r="H945" s="139"/>
      <c r="I945" s="139"/>
      <c r="J945" s="140"/>
      <c r="K945" s="136"/>
      <c r="L945" s="93"/>
      <c r="M945" s="93"/>
      <c r="N945" s="93"/>
    </row>
    <row r="946" spans="6:14" ht="13.2">
      <c r="F946" s="2"/>
      <c r="G946" s="138"/>
      <c r="H946" s="139"/>
      <c r="I946" s="139"/>
      <c r="J946" s="140"/>
      <c r="K946" s="136"/>
      <c r="L946" s="93"/>
      <c r="M946" s="93"/>
      <c r="N946" s="93"/>
    </row>
    <row r="947" spans="6:14" ht="13.2">
      <c r="F947" s="2"/>
      <c r="G947" s="138"/>
      <c r="H947" s="139"/>
      <c r="I947" s="139"/>
      <c r="J947" s="140"/>
      <c r="K947" s="136"/>
      <c r="L947" s="93"/>
      <c r="M947" s="93"/>
      <c r="N947" s="93"/>
    </row>
    <row r="948" spans="6:14" ht="13.2">
      <c r="F948" s="2"/>
      <c r="G948" s="138"/>
      <c r="H948" s="139"/>
      <c r="I948" s="139"/>
      <c r="J948" s="140"/>
      <c r="K948" s="136"/>
      <c r="L948" s="93"/>
      <c r="M948" s="93"/>
      <c r="N948" s="93"/>
    </row>
    <row r="949" spans="6:14" ht="13.2">
      <c r="F949" s="2"/>
      <c r="G949" s="138"/>
      <c r="H949" s="139"/>
      <c r="I949" s="139"/>
      <c r="J949" s="140"/>
      <c r="K949" s="136"/>
      <c r="L949" s="93"/>
      <c r="M949" s="93"/>
      <c r="N949" s="93"/>
    </row>
    <row r="950" spans="6:14" ht="13.2">
      <c r="F950" s="2"/>
      <c r="G950" s="138"/>
      <c r="H950" s="139"/>
      <c r="I950" s="139"/>
      <c r="J950" s="140"/>
      <c r="K950" s="136"/>
      <c r="L950" s="93"/>
      <c r="M950" s="93"/>
      <c r="N950" s="93"/>
    </row>
    <row r="951" spans="6:14" ht="13.2">
      <c r="F951" s="2"/>
      <c r="G951" s="138"/>
      <c r="H951" s="139"/>
      <c r="I951" s="139"/>
      <c r="J951" s="140"/>
      <c r="K951" s="136"/>
      <c r="L951" s="93"/>
      <c r="M951" s="93"/>
      <c r="N951" s="93"/>
    </row>
    <row r="952" spans="6:14" ht="13.2">
      <c r="F952" s="2"/>
      <c r="G952" s="138"/>
      <c r="H952" s="139"/>
      <c r="I952" s="139"/>
      <c r="J952" s="140"/>
      <c r="K952" s="136"/>
      <c r="L952" s="93"/>
      <c r="M952" s="93"/>
      <c r="N952" s="93"/>
    </row>
    <row r="953" spans="6:14" ht="13.2">
      <c r="F953" s="2"/>
      <c r="G953" s="138"/>
      <c r="H953" s="139"/>
      <c r="I953" s="139"/>
      <c r="J953" s="140"/>
      <c r="K953" s="136"/>
      <c r="L953" s="93"/>
      <c r="M953" s="93"/>
      <c r="N953" s="93"/>
    </row>
    <row r="954" spans="6:14" ht="13.2">
      <c r="F954" s="2"/>
      <c r="G954" s="138"/>
      <c r="H954" s="139"/>
      <c r="I954" s="139"/>
      <c r="J954" s="140"/>
      <c r="K954" s="136"/>
      <c r="L954" s="93"/>
      <c r="M954" s="93"/>
      <c r="N954" s="93"/>
    </row>
    <row r="955" spans="6:14" ht="13.2">
      <c r="F955" s="2"/>
      <c r="G955" s="138"/>
      <c r="H955" s="139"/>
      <c r="I955" s="139"/>
      <c r="J955" s="140"/>
      <c r="K955" s="136"/>
      <c r="L955" s="93"/>
      <c r="M955" s="93"/>
      <c r="N955" s="93"/>
    </row>
    <row r="956" spans="6:14" ht="13.2">
      <c r="F956" s="2"/>
      <c r="G956" s="138"/>
      <c r="H956" s="139"/>
      <c r="I956" s="139"/>
      <c r="J956" s="140"/>
      <c r="K956" s="136"/>
      <c r="L956" s="93"/>
      <c r="M956" s="93"/>
      <c r="N956" s="93"/>
    </row>
    <row r="957" spans="6:14" ht="13.2">
      <c r="F957" s="2"/>
      <c r="G957" s="138"/>
      <c r="H957" s="139"/>
      <c r="I957" s="139"/>
      <c r="J957" s="140"/>
      <c r="K957" s="136"/>
      <c r="L957" s="93"/>
      <c r="M957" s="93"/>
      <c r="N957" s="93"/>
    </row>
    <row r="958" spans="6:14" ht="13.2">
      <c r="F958" s="2"/>
      <c r="G958" s="138"/>
      <c r="H958" s="139"/>
      <c r="I958" s="139"/>
      <c r="J958" s="140"/>
      <c r="K958" s="136"/>
      <c r="L958" s="93"/>
      <c r="M958" s="93"/>
      <c r="N958" s="93"/>
    </row>
    <row r="959" spans="6:14" ht="13.2">
      <c r="F959" s="2"/>
      <c r="G959" s="138"/>
      <c r="H959" s="139"/>
      <c r="I959" s="139"/>
      <c r="J959" s="140"/>
      <c r="K959" s="136"/>
      <c r="L959" s="93"/>
      <c r="M959" s="93"/>
      <c r="N959" s="93"/>
    </row>
    <row r="960" spans="6:14" ht="13.2">
      <c r="F960" s="2"/>
      <c r="G960" s="138"/>
      <c r="H960" s="139"/>
      <c r="I960" s="139"/>
      <c r="J960" s="140"/>
      <c r="K960" s="136"/>
      <c r="L960" s="93"/>
      <c r="M960" s="93"/>
      <c r="N960" s="93"/>
    </row>
    <row r="961" spans="6:14" ht="13.2">
      <c r="F961" s="2"/>
      <c r="G961" s="138"/>
      <c r="H961" s="139"/>
      <c r="I961" s="139"/>
      <c r="J961" s="140"/>
      <c r="K961" s="136"/>
      <c r="L961" s="93"/>
      <c r="M961" s="93"/>
      <c r="N961" s="93"/>
    </row>
    <row r="962" spans="6:14" ht="13.2">
      <c r="F962" s="2"/>
      <c r="G962" s="138"/>
      <c r="H962" s="139"/>
      <c r="I962" s="139"/>
      <c r="J962" s="140"/>
      <c r="K962" s="136"/>
      <c r="L962" s="93"/>
      <c r="M962" s="93"/>
      <c r="N962" s="93"/>
    </row>
    <row r="963" spans="6:14" ht="13.2">
      <c r="F963" s="2"/>
      <c r="G963" s="138"/>
      <c r="H963" s="139"/>
      <c r="I963" s="139"/>
      <c r="J963" s="140"/>
      <c r="K963" s="136"/>
      <c r="L963" s="93"/>
      <c r="M963" s="93"/>
      <c r="N963" s="93"/>
    </row>
    <row r="964" spans="6:14" ht="13.2">
      <c r="F964" s="2"/>
      <c r="G964" s="138"/>
      <c r="H964" s="139"/>
      <c r="I964" s="139"/>
      <c r="J964" s="140"/>
      <c r="K964" s="136"/>
      <c r="L964" s="93"/>
      <c r="M964" s="93"/>
      <c r="N964" s="93"/>
    </row>
    <row r="965" spans="6:14" ht="13.2">
      <c r="F965" s="2"/>
      <c r="G965" s="138"/>
      <c r="H965" s="139"/>
      <c r="I965" s="139"/>
      <c r="J965" s="140"/>
      <c r="K965" s="136"/>
      <c r="L965" s="93"/>
      <c r="M965" s="93"/>
      <c r="N965" s="93"/>
    </row>
    <row r="966" spans="6:14" ht="13.2">
      <c r="F966" s="2"/>
      <c r="G966" s="138"/>
      <c r="H966" s="139"/>
      <c r="I966" s="139"/>
      <c r="J966" s="140"/>
      <c r="K966" s="136"/>
      <c r="L966" s="93"/>
      <c r="M966" s="93"/>
      <c r="N966" s="93"/>
    </row>
    <row r="967" spans="6:14" ht="13.2">
      <c r="F967" s="2"/>
      <c r="G967" s="138"/>
      <c r="H967" s="139"/>
      <c r="I967" s="139"/>
      <c r="J967" s="140"/>
      <c r="K967" s="136"/>
      <c r="L967" s="93"/>
      <c r="M967" s="93"/>
      <c r="N967" s="93"/>
    </row>
    <row r="968" spans="6:14" ht="13.2">
      <c r="F968" s="2"/>
      <c r="G968" s="138"/>
      <c r="H968" s="139"/>
      <c r="I968" s="139"/>
      <c r="J968" s="140"/>
      <c r="K968" s="136"/>
      <c r="L968" s="93"/>
      <c r="M968" s="93"/>
      <c r="N968" s="93"/>
    </row>
    <row r="969" spans="6:14" ht="13.2">
      <c r="F969" s="2"/>
      <c r="G969" s="138"/>
      <c r="H969" s="139"/>
      <c r="I969" s="139"/>
      <c r="J969" s="140"/>
      <c r="K969" s="136"/>
      <c r="L969" s="93"/>
      <c r="M969" s="93"/>
      <c r="N969" s="93"/>
    </row>
    <row r="970" spans="6:14" ht="13.2">
      <c r="F970" s="2"/>
      <c r="G970" s="138"/>
      <c r="H970" s="139"/>
      <c r="I970" s="139"/>
      <c r="J970" s="140"/>
      <c r="K970" s="136"/>
      <c r="L970" s="93"/>
      <c r="M970" s="93"/>
      <c r="N970" s="93"/>
    </row>
    <row r="971" spans="6:14" ht="13.2">
      <c r="F971" s="2"/>
      <c r="G971" s="138"/>
      <c r="H971" s="139"/>
      <c r="I971" s="139"/>
      <c r="J971" s="140"/>
      <c r="K971" s="136"/>
      <c r="L971" s="93"/>
      <c r="M971" s="93"/>
      <c r="N971" s="93"/>
    </row>
    <row r="972" spans="6:14" ht="13.2">
      <c r="F972" s="2"/>
      <c r="G972" s="138"/>
      <c r="H972" s="139"/>
      <c r="I972" s="139"/>
      <c r="J972" s="140"/>
      <c r="K972" s="136"/>
      <c r="L972" s="93"/>
      <c r="M972" s="93"/>
      <c r="N972" s="93"/>
    </row>
    <row r="973" spans="6:14" ht="13.2">
      <c r="F973" s="2"/>
      <c r="G973" s="138"/>
      <c r="H973" s="139"/>
      <c r="I973" s="139"/>
      <c r="J973" s="140"/>
      <c r="K973" s="136"/>
      <c r="L973" s="93"/>
      <c r="M973" s="93"/>
      <c r="N973" s="93"/>
    </row>
    <row r="974" spans="6:14" ht="13.2">
      <c r="F974" s="2"/>
      <c r="G974" s="138"/>
      <c r="H974" s="139"/>
      <c r="I974" s="139"/>
      <c r="J974" s="140"/>
      <c r="K974" s="136"/>
      <c r="L974" s="93"/>
      <c r="M974" s="93"/>
      <c r="N974" s="93"/>
    </row>
    <row r="975" spans="6:14" ht="13.2">
      <c r="F975" s="2"/>
      <c r="G975" s="138"/>
      <c r="H975" s="139"/>
      <c r="I975" s="139"/>
      <c r="J975" s="140"/>
      <c r="K975" s="136"/>
      <c r="L975" s="93"/>
      <c r="M975" s="93"/>
      <c r="N975" s="93"/>
    </row>
    <row r="976" spans="6:14" ht="13.2">
      <c r="F976" s="2"/>
      <c r="G976" s="138"/>
      <c r="H976" s="139"/>
      <c r="I976" s="139"/>
      <c r="J976" s="140"/>
      <c r="K976" s="136"/>
      <c r="L976" s="93"/>
      <c r="M976" s="93"/>
      <c r="N976" s="93"/>
    </row>
    <row r="977" spans="6:14" ht="13.2">
      <c r="F977" s="2"/>
      <c r="G977" s="138"/>
      <c r="H977" s="139"/>
      <c r="I977" s="139"/>
      <c r="J977" s="140"/>
      <c r="K977" s="136"/>
      <c r="L977" s="93"/>
      <c r="M977" s="93"/>
      <c r="N977" s="93"/>
    </row>
    <row r="978" spans="6:14" ht="13.2">
      <c r="F978" s="2"/>
      <c r="G978" s="138"/>
      <c r="H978" s="139"/>
      <c r="I978" s="139"/>
      <c r="J978" s="140"/>
      <c r="K978" s="136"/>
      <c r="L978" s="93"/>
      <c r="M978" s="93"/>
      <c r="N978" s="93"/>
    </row>
    <row r="979" spans="6:14" ht="13.2">
      <c r="F979" s="2"/>
      <c r="G979" s="138"/>
      <c r="H979" s="139"/>
      <c r="I979" s="139"/>
      <c r="J979" s="140"/>
      <c r="K979" s="136"/>
      <c r="L979" s="93"/>
      <c r="M979" s="93"/>
      <c r="N979" s="93"/>
    </row>
    <row r="980" spans="6:14" ht="13.2">
      <c r="F980" s="2"/>
      <c r="G980" s="138"/>
      <c r="H980" s="139"/>
      <c r="I980" s="139"/>
      <c r="J980" s="140"/>
      <c r="K980" s="136"/>
      <c r="L980" s="93"/>
      <c r="M980" s="93"/>
      <c r="N980" s="93"/>
    </row>
    <row r="981" spans="6:14" ht="13.2">
      <c r="F981" s="2"/>
      <c r="G981" s="138"/>
      <c r="H981" s="139"/>
      <c r="I981" s="139"/>
      <c r="J981" s="140"/>
      <c r="K981" s="136"/>
      <c r="L981" s="93"/>
      <c r="M981" s="93"/>
      <c r="N981" s="93"/>
    </row>
    <row r="982" spans="6:14" ht="13.2">
      <c r="F982" s="2"/>
      <c r="G982" s="138"/>
      <c r="H982" s="139"/>
      <c r="I982" s="139"/>
      <c r="J982" s="140"/>
      <c r="K982" s="136"/>
      <c r="L982" s="93"/>
      <c r="M982" s="93"/>
      <c r="N982" s="93"/>
    </row>
    <row r="983" spans="6:14" ht="13.2">
      <c r="F983" s="2"/>
      <c r="G983" s="138"/>
      <c r="H983" s="139"/>
      <c r="I983" s="139"/>
      <c r="J983" s="140"/>
      <c r="K983" s="136"/>
      <c r="L983" s="93"/>
      <c r="M983" s="93"/>
      <c r="N983" s="93"/>
    </row>
    <row r="984" spans="6:14" ht="13.2">
      <c r="F984" s="2"/>
      <c r="G984" s="138"/>
      <c r="H984" s="139"/>
      <c r="I984" s="139"/>
      <c r="J984" s="140"/>
      <c r="K984" s="136"/>
      <c r="L984" s="93"/>
      <c r="M984" s="93"/>
      <c r="N984" s="93"/>
    </row>
    <row r="985" spans="6:14" ht="13.2">
      <c r="F985" s="2"/>
      <c r="G985" s="138"/>
      <c r="H985" s="139"/>
      <c r="I985" s="139"/>
      <c r="J985" s="140"/>
      <c r="K985" s="136"/>
      <c r="L985" s="93"/>
      <c r="M985" s="93"/>
      <c r="N985" s="93"/>
    </row>
    <row r="986" spans="6:14" ht="13.2">
      <c r="F986" s="2"/>
      <c r="G986" s="138"/>
      <c r="H986" s="139"/>
      <c r="I986" s="139"/>
      <c r="J986" s="140"/>
      <c r="K986" s="136"/>
      <c r="L986" s="93"/>
      <c r="M986" s="93"/>
      <c r="N986" s="93"/>
    </row>
    <row r="987" spans="6:14" ht="13.2">
      <c r="F987" s="2"/>
      <c r="G987" s="138"/>
      <c r="H987" s="139"/>
      <c r="I987" s="139"/>
      <c r="J987" s="140"/>
      <c r="K987" s="136"/>
      <c r="L987" s="93"/>
      <c r="M987" s="93"/>
      <c r="N987" s="93"/>
    </row>
    <row r="988" spans="6:14" ht="13.2">
      <c r="F988" s="2"/>
      <c r="G988" s="138"/>
      <c r="H988" s="139"/>
      <c r="I988" s="139"/>
      <c r="J988" s="140"/>
      <c r="K988" s="136"/>
      <c r="L988" s="93"/>
      <c r="M988" s="93"/>
      <c r="N988" s="93"/>
    </row>
    <row r="989" spans="6:14" ht="13.2">
      <c r="F989" s="2"/>
      <c r="G989" s="138"/>
      <c r="H989" s="139"/>
      <c r="I989" s="139"/>
      <c r="J989" s="140"/>
      <c r="K989" s="136"/>
      <c r="L989" s="93"/>
      <c r="M989" s="93"/>
      <c r="N989" s="93"/>
    </row>
    <row r="990" spans="6:14" ht="13.2">
      <c r="F990" s="2"/>
      <c r="G990" s="138"/>
      <c r="H990" s="139"/>
      <c r="I990" s="139"/>
      <c r="J990" s="140"/>
      <c r="K990" s="136"/>
      <c r="L990" s="93"/>
      <c r="M990" s="93"/>
      <c r="N990" s="93"/>
    </row>
    <row r="991" spans="6:14" ht="13.2">
      <c r="F991" s="2"/>
      <c r="G991" s="138"/>
      <c r="H991" s="139"/>
      <c r="I991" s="139"/>
      <c r="J991" s="140"/>
      <c r="K991" s="136"/>
      <c r="L991" s="93"/>
      <c r="M991" s="93"/>
      <c r="N991" s="93"/>
    </row>
    <row r="992" spans="6:14" ht="13.2">
      <c r="F992" s="2"/>
      <c r="G992" s="138"/>
      <c r="H992" s="139"/>
      <c r="I992" s="139"/>
      <c r="J992" s="140"/>
      <c r="K992" s="136"/>
      <c r="L992" s="93"/>
      <c r="M992" s="93"/>
      <c r="N992" s="93"/>
    </row>
    <row r="993" spans="6:14" ht="13.2">
      <c r="F993" s="2"/>
      <c r="G993" s="138"/>
      <c r="H993" s="139"/>
      <c r="I993" s="139"/>
      <c r="J993" s="140"/>
      <c r="K993" s="136"/>
      <c r="L993" s="93"/>
      <c r="M993" s="93"/>
      <c r="N993" s="93"/>
    </row>
    <row r="994" spans="6:14" ht="13.2">
      <c r="F994" s="2"/>
      <c r="G994" s="138"/>
      <c r="H994" s="139"/>
      <c r="I994" s="139"/>
      <c r="J994" s="140"/>
      <c r="K994" s="136"/>
      <c r="L994" s="93"/>
      <c r="M994" s="93"/>
      <c r="N994" s="93"/>
    </row>
    <row r="995" spans="6:14" ht="13.2">
      <c r="F995" s="2"/>
      <c r="G995" s="138"/>
      <c r="H995" s="139"/>
      <c r="I995" s="139"/>
      <c r="J995" s="140"/>
      <c r="K995" s="136"/>
      <c r="L995" s="93"/>
      <c r="M995" s="93"/>
      <c r="N995" s="93"/>
    </row>
    <row r="996" spans="6:14" ht="13.2">
      <c r="F996" s="2"/>
      <c r="G996" s="138"/>
      <c r="H996" s="139"/>
      <c r="I996" s="139"/>
      <c r="J996" s="140"/>
      <c r="K996" s="136"/>
      <c r="L996" s="93"/>
      <c r="M996" s="93"/>
      <c r="N996" s="93"/>
    </row>
    <row r="997" spans="6:14" ht="13.2">
      <c r="F997" s="2"/>
      <c r="G997" s="138"/>
      <c r="H997" s="139"/>
      <c r="I997" s="139"/>
      <c r="J997" s="140"/>
      <c r="K997" s="136"/>
      <c r="L997" s="93"/>
      <c r="M997" s="93"/>
      <c r="N997" s="93"/>
    </row>
    <row r="998" spans="6:14" ht="13.2">
      <c r="F998" s="2"/>
      <c r="G998" s="138"/>
      <c r="H998" s="139"/>
      <c r="I998" s="139"/>
      <c r="J998" s="140"/>
      <c r="K998" s="136"/>
      <c r="L998" s="93"/>
      <c r="M998" s="93"/>
      <c r="N998" s="93"/>
    </row>
    <row r="999" spans="6:14" ht="13.2">
      <c r="F999" s="2"/>
      <c r="G999" s="138"/>
      <c r="H999" s="139"/>
      <c r="I999" s="139"/>
      <c r="J999" s="140"/>
      <c r="K999" s="136"/>
      <c r="L999" s="93"/>
      <c r="M999" s="93"/>
      <c r="N999" s="93"/>
    </row>
    <row r="1000" spans="6:14" ht="13.2">
      <c r="F1000" s="2"/>
      <c r="G1000" s="138"/>
      <c r="H1000" s="139"/>
      <c r="I1000" s="139"/>
      <c r="J1000" s="140"/>
      <c r="K1000" s="136"/>
      <c r="L1000" s="93"/>
      <c r="M1000" s="93"/>
      <c r="N1000" s="93"/>
    </row>
    <row r="1001" spans="6:14" ht="13.2">
      <c r="F1001" s="2"/>
      <c r="G1001" s="138"/>
      <c r="H1001" s="139"/>
      <c r="I1001" s="139"/>
      <c r="J1001" s="140"/>
      <c r="K1001" s="136"/>
      <c r="L1001" s="93"/>
      <c r="M1001" s="93"/>
      <c r="N1001" s="93"/>
    </row>
    <row r="1002" spans="6:14" ht="13.2">
      <c r="F1002" s="2"/>
      <c r="G1002" s="138"/>
      <c r="H1002" s="139"/>
      <c r="I1002" s="139"/>
      <c r="J1002" s="140"/>
      <c r="K1002" s="136"/>
      <c r="L1002" s="93"/>
      <c r="M1002" s="93"/>
      <c r="N1002" s="93"/>
    </row>
    <row r="1003" spans="6:14" ht="13.2">
      <c r="F1003" s="2"/>
      <c r="G1003" s="138"/>
      <c r="H1003" s="139"/>
      <c r="I1003" s="139"/>
      <c r="J1003" s="140"/>
      <c r="K1003" s="136"/>
      <c r="L1003" s="93"/>
      <c r="M1003" s="93"/>
      <c r="N1003" s="93"/>
    </row>
    <row r="1004" spans="6:14" ht="13.2">
      <c r="F1004" s="2"/>
      <c r="G1004" s="138"/>
      <c r="H1004" s="139"/>
      <c r="I1004" s="139"/>
      <c r="J1004" s="140"/>
      <c r="K1004" s="136"/>
      <c r="L1004" s="93"/>
      <c r="M1004" s="93"/>
      <c r="N1004" s="93"/>
    </row>
    <row r="1005" spans="6:14" ht="13.2">
      <c r="F1005" s="2"/>
      <c r="G1005" s="138"/>
      <c r="H1005" s="139"/>
      <c r="I1005" s="139"/>
      <c r="J1005" s="140"/>
      <c r="K1005" s="136"/>
      <c r="L1005" s="93"/>
      <c r="M1005" s="93"/>
      <c r="N1005" s="93"/>
    </row>
    <row r="1006" spans="6:14" ht="13.2">
      <c r="F1006" s="2"/>
      <c r="G1006" s="138"/>
      <c r="H1006" s="139"/>
      <c r="I1006" s="139"/>
      <c r="J1006" s="140"/>
      <c r="K1006" s="136"/>
      <c r="L1006" s="93"/>
      <c r="M1006" s="93"/>
      <c r="N1006" s="93"/>
    </row>
    <row r="1007" spans="6:14" ht="13.2">
      <c r="F1007" s="2"/>
      <c r="G1007" s="138"/>
      <c r="H1007" s="139"/>
      <c r="I1007" s="139"/>
      <c r="J1007" s="140"/>
      <c r="K1007" s="136"/>
      <c r="L1007" s="93"/>
      <c r="M1007" s="93"/>
      <c r="N1007" s="93"/>
    </row>
    <row r="1008" spans="6:14" ht="13.2">
      <c r="F1008" s="2"/>
      <c r="G1008" s="138"/>
      <c r="H1008" s="139"/>
      <c r="I1008" s="139"/>
      <c r="J1008" s="140"/>
      <c r="K1008" s="136"/>
      <c r="L1008" s="93"/>
      <c r="M1008" s="93"/>
      <c r="N1008" s="93"/>
    </row>
    <row r="1009" spans="6:14" ht="13.2">
      <c r="F1009" s="2"/>
      <c r="G1009" s="138"/>
      <c r="H1009" s="139"/>
      <c r="I1009" s="139"/>
      <c r="J1009" s="140"/>
      <c r="K1009" s="136"/>
      <c r="L1009" s="93"/>
      <c r="M1009" s="93"/>
      <c r="N1009" s="93"/>
    </row>
    <row r="1010" spans="6:14" ht="13.2">
      <c r="F1010" s="2"/>
      <c r="G1010" s="138"/>
      <c r="H1010" s="139"/>
      <c r="I1010" s="139"/>
      <c r="J1010" s="140"/>
      <c r="K1010" s="136"/>
      <c r="L1010" s="93"/>
      <c r="M1010" s="93"/>
      <c r="N1010" s="93"/>
    </row>
    <row r="1011" spans="6:14" ht="13.2">
      <c r="F1011" s="2"/>
      <c r="G1011" s="138"/>
      <c r="H1011" s="139"/>
      <c r="I1011" s="139"/>
      <c r="J1011" s="140"/>
      <c r="K1011" s="136"/>
      <c r="L1011" s="93"/>
      <c r="M1011" s="93"/>
      <c r="N1011" s="93"/>
    </row>
    <row r="1012" spans="6:14" ht="13.2">
      <c r="F1012" s="2"/>
      <c r="G1012" s="138"/>
      <c r="H1012" s="139"/>
      <c r="I1012" s="139"/>
      <c r="J1012" s="140"/>
      <c r="K1012" s="136"/>
      <c r="L1012" s="93"/>
      <c r="M1012" s="93"/>
      <c r="N1012" s="93"/>
    </row>
    <row r="1013" spans="6:14" ht="13.2">
      <c r="F1013" s="2"/>
      <c r="G1013" s="138"/>
      <c r="H1013" s="139"/>
      <c r="I1013" s="139"/>
      <c r="J1013" s="140"/>
      <c r="K1013" s="136"/>
      <c r="L1013" s="93"/>
      <c r="M1013" s="93"/>
      <c r="N1013" s="93"/>
    </row>
    <row r="1014" spans="6:14" ht="13.2">
      <c r="F1014" s="2"/>
      <c r="G1014" s="138"/>
      <c r="H1014" s="139"/>
      <c r="I1014" s="139"/>
      <c r="J1014" s="140"/>
      <c r="K1014" s="136"/>
      <c r="L1014" s="93"/>
      <c r="M1014" s="93"/>
      <c r="N1014" s="93"/>
    </row>
    <row r="1015" spans="6:14" ht="13.2">
      <c r="F1015" s="2"/>
      <c r="G1015" s="138"/>
      <c r="H1015" s="139"/>
      <c r="I1015" s="139"/>
      <c r="J1015" s="140"/>
      <c r="K1015" s="136"/>
      <c r="L1015" s="93"/>
      <c r="M1015" s="93"/>
      <c r="N1015" s="93"/>
    </row>
    <row r="1016" spans="6:14" ht="13.2">
      <c r="F1016" s="2"/>
      <c r="G1016" s="138"/>
      <c r="H1016" s="139"/>
      <c r="I1016" s="139"/>
      <c r="J1016" s="140"/>
      <c r="K1016" s="136"/>
      <c r="L1016" s="93"/>
      <c r="M1016" s="93"/>
      <c r="N1016" s="93"/>
    </row>
    <row r="1017" spans="6:14" ht="13.2">
      <c r="F1017" s="2"/>
      <c r="G1017" s="138"/>
      <c r="H1017" s="139"/>
      <c r="I1017" s="139"/>
      <c r="J1017" s="140"/>
      <c r="K1017" s="136"/>
      <c r="L1017" s="93"/>
      <c r="M1017" s="93"/>
      <c r="N1017" s="93"/>
    </row>
    <row r="1018" spans="6:14" ht="13.2">
      <c r="F1018" s="2"/>
      <c r="G1018" s="138"/>
      <c r="H1018" s="139"/>
      <c r="I1018" s="139"/>
      <c r="J1018" s="140"/>
      <c r="K1018" s="136"/>
      <c r="L1018" s="93"/>
      <c r="M1018" s="93"/>
      <c r="N1018" s="93"/>
    </row>
    <row r="1019" spans="6:14" ht="13.2">
      <c r="F1019" s="2"/>
      <c r="G1019" s="138"/>
      <c r="H1019" s="139"/>
      <c r="I1019" s="139"/>
      <c r="J1019" s="140"/>
      <c r="K1019" s="136"/>
      <c r="L1019" s="93"/>
      <c r="M1019" s="93"/>
      <c r="N1019" s="93"/>
    </row>
    <row r="1020" spans="6:14" ht="13.2">
      <c r="F1020" s="2"/>
      <c r="G1020" s="138"/>
      <c r="H1020" s="139"/>
      <c r="I1020" s="139"/>
      <c r="J1020" s="140"/>
      <c r="K1020" s="136"/>
      <c r="L1020" s="93"/>
      <c r="M1020" s="93"/>
      <c r="N1020" s="93"/>
    </row>
    <row r="1021" spans="6:14" ht="13.2">
      <c r="F1021" s="2"/>
      <c r="G1021" s="138"/>
      <c r="H1021" s="139"/>
      <c r="I1021" s="139"/>
      <c r="J1021" s="140"/>
      <c r="K1021" s="136"/>
      <c r="L1021" s="93"/>
      <c r="M1021" s="93"/>
      <c r="N1021" s="93"/>
    </row>
    <row r="1022" spans="6:14" ht="13.2">
      <c r="F1022" s="2"/>
      <c r="G1022" s="138"/>
      <c r="H1022" s="139"/>
      <c r="I1022" s="139"/>
      <c r="J1022" s="140"/>
      <c r="K1022" s="136"/>
      <c r="L1022" s="93"/>
      <c r="M1022" s="93"/>
      <c r="N1022" s="93"/>
    </row>
    <row r="1023" spans="6:14" ht="13.2">
      <c r="F1023" s="2"/>
      <c r="G1023" s="138"/>
      <c r="H1023" s="139"/>
      <c r="I1023" s="139"/>
      <c r="J1023" s="140"/>
      <c r="K1023" s="136"/>
      <c r="L1023" s="93"/>
      <c r="M1023" s="93"/>
      <c r="N1023" s="93"/>
    </row>
    <row r="1024" spans="6:14" ht="13.2">
      <c r="F1024" s="2"/>
      <c r="G1024" s="138"/>
      <c r="H1024" s="139"/>
      <c r="I1024" s="139"/>
      <c r="J1024" s="140"/>
      <c r="K1024" s="136"/>
      <c r="L1024" s="93"/>
      <c r="M1024" s="93"/>
      <c r="N1024" s="93"/>
    </row>
    <row r="1025" spans="6:14" ht="13.2">
      <c r="F1025" s="2"/>
      <c r="G1025" s="138"/>
      <c r="H1025" s="139"/>
      <c r="I1025" s="139"/>
      <c r="J1025" s="140"/>
      <c r="K1025" s="136"/>
      <c r="L1025" s="93"/>
      <c r="M1025" s="93"/>
      <c r="N1025" s="93"/>
    </row>
    <row r="1026" spans="6:14" ht="13.2">
      <c r="F1026" s="2"/>
      <c r="G1026" s="138"/>
      <c r="H1026" s="139"/>
      <c r="I1026" s="139"/>
      <c r="J1026" s="140"/>
      <c r="K1026" s="136"/>
      <c r="L1026" s="93"/>
      <c r="M1026" s="93"/>
      <c r="N1026" s="93"/>
    </row>
    <row r="1027" spans="6:14" ht="13.2">
      <c r="F1027" s="2"/>
      <c r="G1027" s="138"/>
      <c r="H1027" s="139"/>
      <c r="I1027" s="139"/>
      <c r="J1027" s="140"/>
      <c r="K1027" s="136"/>
      <c r="L1027" s="93"/>
      <c r="M1027" s="93"/>
      <c r="N1027" s="93"/>
    </row>
    <row r="1028" spans="6:14" ht="13.2">
      <c r="F1028" s="2"/>
      <c r="G1028" s="138"/>
      <c r="H1028" s="139"/>
      <c r="I1028" s="139"/>
      <c r="J1028" s="140"/>
      <c r="K1028" s="136"/>
      <c r="L1028" s="93"/>
      <c r="M1028" s="93"/>
      <c r="N1028" s="93"/>
    </row>
    <row r="1029" spans="6:14" ht="13.2">
      <c r="F1029" s="2"/>
      <c r="G1029" s="138"/>
      <c r="H1029" s="139"/>
      <c r="I1029" s="139"/>
      <c r="J1029" s="140"/>
      <c r="K1029" s="136"/>
      <c r="L1029" s="93"/>
      <c r="M1029" s="93"/>
      <c r="N1029" s="93"/>
    </row>
    <row r="1030" spans="6:14" ht="13.2">
      <c r="F1030" s="2"/>
      <c r="G1030" s="138"/>
      <c r="H1030" s="139"/>
      <c r="I1030" s="139"/>
      <c r="J1030" s="140"/>
      <c r="K1030" s="136"/>
      <c r="L1030" s="93"/>
      <c r="M1030" s="93"/>
      <c r="N1030" s="93"/>
    </row>
    <row r="1031" spans="6:14" ht="13.2">
      <c r="F1031" s="2"/>
      <c r="G1031" s="138"/>
      <c r="H1031" s="139"/>
      <c r="I1031" s="139"/>
      <c r="J1031" s="140"/>
      <c r="K1031" s="136"/>
      <c r="L1031" s="93"/>
      <c r="M1031" s="93"/>
      <c r="N1031" s="93"/>
    </row>
    <row r="1032" spans="6:14" ht="13.2">
      <c r="F1032" s="2"/>
      <c r="G1032" s="138"/>
      <c r="H1032" s="139"/>
      <c r="I1032" s="139"/>
      <c r="J1032" s="140"/>
      <c r="K1032" s="136"/>
      <c r="L1032" s="93"/>
      <c r="M1032" s="93"/>
      <c r="N1032" s="93"/>
    </row>
    <row r="1033" spans="6:14" ht="13.2">
      <c r="F1033" s="2"/>
      <c r="G1033" s="138"/>
      <c r="H1033" s="139"/>
      <c r="I1033" s="139"/>
      <c r="J1033" s="140"/>
      <c r="K1033" s="136"/>
      <c r="L1033" s="93"/>
      <c r="M1033" s="93"/>
      <c r="N1033" s="93"/>
    </row>
    <row r="1034" spans="6:14" ht="13.2">
      <c r="F1034" s="2"/>
      <c r="G1034" s="138"/>
      <c r="H1034" s="139"/>
      <c r="I1034" s="139"/>
      <c r="J1034" s="140"/>
      <c r="K1034" s="136"/>
      <c r="L1034" s="93"/>
      <c r="M1034" s="93"/>
      <c r="N1034" s="93"/>
    </row>
    <row r="1035" spans="6:14" ht="13.2">
      <c r="F1035" s="2"/>
      <c r="G1035" s="138"/>
      <c r="H1035" s="139"/>
      <c r="I1035" s="139"/>
      <c r="J1035" s="140"/>
      <c r="K1035" s="136"/>
      <c r="L1035" s="93"/>
      <c r="M1035" s="93"/>
      <c r="N1035" s="93"/>
    </row>
    <row r="1036" spans="6:14" ht="13.2">
      <c r="F1036" s="2"/>
      <c r="G1036" s="138"/>
      <c r="H1036" s="139"/>
      <c r="I1036" s="139"/>
      <c r="J1036" s="140"/>
      <c r="K1036" s="136"/>
      <c r="L1036" s="93"/>
      <c r="M1036" s="93"/>
      <c r="N1036" s="93"/>
    </row>
    <row r="1037" spans="6:14" ht="13.2">
      <c r="F1037" s="2"/>
      <c r="G1037" s="138"/>
      <c r="H1037" s="139"/>
      <c r="I1037" s="139"/>
      <c r="J1037" s="140"/>
      <c r="K1037" s="136"/>
      <c r="L1037" s="93"/>
      <c r="M1037" s="93"/>
      <c r="N1037" s="93"/>
    </row>
    <row r="1038" spans="6:14" ht="13.2">
      <c r="F1038" s="2"/>
      <c r="G1038" s="138"/>
      <c r="H1038" s="139"/>
      <c r="I1038" s="139"/>
      <c r="J1038" s="140"/>
      <c r="K1038" s="136"/>
      <c r="L1038" s="93"/>
      <c r="M1038" s="93"/>
      <c r="N1038" s="93"/>
    </row>
    <row r="1039" spans="6:14" ht="13.2">
      <c r="F1039" s="2"/>
      <c r="G1039" s="138"/>
      <c r="H1039" s="139"/>
      <c r="I1039" s="139"/>
      <c r="J1039" s="140"/>
      <c r="K1039" s="136"/>
      <c r="L1039" s="93"/>
      <c r="M1039" s="93"/>
      <c r="N1039" s="93"/>
    </row>
    <row r="1040" spans="6:14" ht="13.2">
      <c r="F1040" s="2"/>
      <c r="G1040" s="138"/>
      <c r="H1040" s="139"/>
      <c r="I1040" s="139"/>
      <c r="J1040" s="140"/>
      <c r="K1040" s="136"/>
      <c r="L1040" s="93"/>
      <c r="M1040" s="93"/>
      <c r="N1040" s="93"/>
    </row>
    <row r="1041" spans="6:14" ht="13.2">
      <c r="F1041" s="2"/>
      <c r="G1041" s="138"/>
      <c r="H1041" s="139"/>
      <c r="I1041" s="139"/>
      <c r="J1041" s="140"/>
      <c r="K1041" s="136"/>
      <c r="L1041" s="93"/>
      <c r="M1041" s="93"/>
      <c r="N1041" s="93"/>
    </row>
    <row r="1042" spans="6:14" ht="13.2">
      <c r="F1042" s="2"/>
      <c r="G1042" s="138"/>
      <c r="H1042" s="139"/>
      <c r="I1042" s="139"/>
      <c r="J1042" s="140"/>
      <c r="K1042" s="136"/>
      <c r="L1042" s="93"/>
      <c r="M1042" s="93"/>
      <c r="N1042" s="93"/>
    </row>
    <row r="1043" spans="6:14" ht="13.2">
      <c r="F1043" s="2"/>
      <c r="G1043" s="138"/>
      <c r="H1043" s="139"/>
      <c r="I1043" s="139"/>
      <c r="J1043" s="140"/>
      <c r="K1043" s="136"/>
      <c r="L1043" s="93"/>
      <c r="M1043" s="93"/>
      <c r="N1043" s="93"/>
    </row>
    <row r="1044" spans="6:14" ht="13.2">
      <c r="F1044" s="2"/>
      <c r="G1044" s="138"/>
      <c r="H1044" s="139"/>
      <c r="I1044" s="139"/>
      <c r="J1044" s="140"/>
      <c r="K1044" s="136"/>
      <c r="L1044" s="93"/>
      <c r="M1044" s="93"/>
      <c r="N1044" s="93"/>
    </row>
    <row r="1045" spans="6:14" ht="13.2">
      <c r="F1045" s="2"/>
      <c r="G1045" s="138"/>
      <c r="H1045" s="139"/>
      <c r="I1045" s="139"/>
      <c r="J1045" s="140"/>
      <c r="K1045" s="136"/>
      <c r="L1045" s="93"/>
      <c r="M1045" s="93"/>
      <c r="N1045" s="93"/>
    </row>
    <row r="1046" spans="6:14" ht="13.2">
      <c r="F1046" s="2"/>
      <c r="G1046" s="138"/>
      <c r="H1046" s="139"/>
      <c r="I1046" s="139"/>
      <c r="J1046" s="140"/>
      <c r="K1046" s="136"/>
      <c r="L1046" s="93"/>
      <c r="M1046" s="93"/>
      <c r="N1046" s="93"/>
    </row>
    <row r="1047" spans="6:14" ht="13.2">
      <c r="F1047" s="2"/>
      <c r="G1047" s="138"/>
      <c r="H1047" s="139"/>
      <c r="I1047" s="139"/>
      <c r="J1047" s="140"/>
      <c r="K1047" s="136"/>
      <c r="L1047" s="93"/>
      <c r="M1047" s="93"/>
      <c r="N1047" s="93"/>
    </row>
    <row r="1048" spans="6:14" ht="13.2">
      <c r="F1048" s="2"/>
      <c r="G1048" s="138"/>
      <c r="H1048" s="139"/>
      <c r="I1048" s="139"/>
      <c r="J1048" s="140"/>
      <c r="K1048" s="136"/>
      <c r="L1048" s="93"/>
      <c r="M1048" s="93"/>
      <c r="N1048" s="93"/>
    </row>
    <row r="1049" spans="6:14" ht="13.2">
      <c r="F1049" s="2"/>
      <c r="G1049" s="138"/>
      <c r="H1049" s="139"/>
      <c r="I1049" s="139"/>
      <c r="J1049" s="140"/>
      <c r="K1049" s="136"/>
      <c r="L1049" s="93"/>
      <c r="M1049" s="93"/>
      <c r="N1049" s="93"/>
    </row>
    <row r="1050" spans="6:14" ht="13.2">
      <c r="F1050" s="2"/>
      <c r="G1050" s="138"/>
      <c r="H1050" s="139"/>
      <c r="I1050" s="139"/>
      <c r="J1050" s="140"/>
      <c r="K1050" s="136"/>
      <c r="L1050" s="93"/>
      <c r="M1050" s="93"/>
      <c r="N1050" s="93"/>
    </row>
    <row r="1051" spans="6:14" ht="13.2">
      <c r="F1051" s="2"/>
      <c r="G1051" s="138"/>
      <c r="H1051" s="139"/>
      <c r="I1051" s="139"/>
      <c r="J1051" s="140"/>
      <c r="K1051" s="136"/>
      <c r="L1051" s="93"/>
      <c r="M1051" s="93"/>
      <c r="N1051" s="93"/>
    </row>
    <row r="1052" spans="6:14" ht="13.2">
      <c r="F1052" s="2"/>
      <c r="G1052" s="138"/>
      <c r="H1052" s="139"/>
      <c r="I1052" s="139"/>
      <c r="J1052" s="140"/>
      <c r="K1052" s="136"/>
      <c r="L1052" s="93"/>
      <c r="M1052" s="93"/>
      <c r="N1052" s="93"/>
    </row>
    <row r="1053" spans="6:14" ht="13.2">
      <c r="F1053" s="2"/>
      <c r="G1053" s="138"/>
      <c r="H1053" s="139"/>
      <c r="I1053" s="139"/>
      <c r="J1053" s="140"/>
      <c r="K1053" s="136"/>
      <c r="L1053" s="93"/>
      <c r="M1053" s="93"/>
      <c r="N1053" s="93"/>
    </row>
    <row r="1054" spans="6:14" ht="13.2">
      <c r="F1054" s="2"/>
      <c r="G1054" s="138"/>
      <c r="H1054" s="139"/>
      <c r="I1054" s="139"/>
      <c r="J1054" s="140"/>
      <c r="K1054" s="136"/>
      <c r="L1054" s="93"/>
      <c r="M1054" s="93"/>
      <c r="N1054" s="93"/>
    </row>
    <row r="1055" spans="6:14" ht="13.2">
      <c r="F1055" s="2"/>
      <c r="G1055" s="138"/>
      <c r="H1055" s="139"/>
      <c r="I1055" s="139"/>
      <c r="J1055" s="140"/>
      <c r="K1055" s="136"/>
      <c r="L1055" s="93"/>
      <c r="M1055" s="93"/>
      <c r="N1055" s="93"/>
    </row>
    <row r="1056" spans="6:14" ht="13.2">
      <c r="F1056" s="2"/>
      <c r="G1056" s="138"/>
      <c r="H1056" s="139"/>
      <c r="I1056" s="139"/>
      <c r="J1056" s="140"/>
      <c r="K1056" s="136"/>
      <c r="L1056" s="93"/>
      <c r="M1056" s="93"/>
      <c r="N1056" s="93"/>
    </row>
    <row r="1057" spans="6:14" ht="13.2">
      <c r="F1057" s="2"/>
      <c r="G1057" s="138"/>
      <c r="H1057" s="139"/>
      <c r="I1057" s="139"/>
      <c r="J1057" s="140"/>
      <c r="K1057" s="136"/>
      <c r="L1057" s="93"/>
      <c r="M1057" s="93"/>
      <c r="N1057" s="93"/>
    </row>
    <row r="1058" spans="6:14" ht="13.2">
      <c r="F1058" s="2"/>
      <c r="G1058" s="138"/>
      <c r="H1058" s="139"/>
      <c r="I1058" s="139"/>
      <c r="J1058" s="140"/>
      <c r="K1058" s="136"/>
      <c r="L1058" s="93"/>
      <c r="M1058" s="93"/>
      <c r="N1058" s="93"/>
    </row>
    <row r="1059" spans="6:14" ht="13.2">
      <c r="F1059" s="2"/>
      <c r="G1059" s="138"/>
      <c r="H1059" s="139"/>
      <c r="I1059" s="139"/>
      <c r="J1059" s="140"/>
      <c r="K1059" s="136"/>
      <c r="L1059" s="93"/>
      <c r="M1059" s="93"/>
      <c r="N1059" s="93"/>
    </row>
    <row r="1060" spans="6:14" ht="13.2">
      <c r="F1060" s="2"/>
      <c r="G1060" s="138"/>
      <c r="H1060" s="139"/>
      <c r="I1060" s="139"/>
      <c r="J1060" s="140"/>
      <c r="K1060" s="136"/>
      <c r="L1060" s="93"/>
      <c r="M1060" s="93"/>
      <c r="N1060" s="93"/>
    </row>
    <row r="1061" spans="6:14" ht="13.2">
      <c r="F1061" s="2"/>
      <c r="G1061" s="138"/>
      <c r="H1061" s="139"/>
      <c r="I1061" s="139"/>
      <c r="J1061" s="140"/>
      <c r="K1061" s="136"/>
      <c r="L1061" s="93"/>
      <c r="M1061" s="93"/>
      <c r="N1061" s="93"/>
    </row>
    <row r="1062" spans="6:14" ht="13.2">
      <c r="F1062" s="2"/>
      <c r="G1062" s="138"/>
      <c r="H1062" s="139"/>
      <c r="I1062" s="139"/>
      <c r="J1062" s="140"/>
      <c r="K1062" s="136"/>
      <c r="L1062" s="93"/>
      <c r="M1062" s="93"/>
      <c r="N1062" s="93"/>
    </row>
    <row r="1063" spans="6:14" ht="13.2">
      <c r="F1063" s="2"/>
      <c r="G1063" s="138"/>
      <c r="H1063" s="139"/>
      <c r="I1063" s="139"/>
      <c r="J1063" s="140"/>
      <c r="K1063" s="136"/>
      <c r="L1063" s="93"/>
      <c r="M1063" s="93"/>
      <c r="N1063" s="93"/>
    </row>
    <row r="1064" spans="6:14" ht="13.2">
      <c r="F1064" s="2"/>
      <c r="G1064" s="138"/>
      <c r="H1064" s="139"/>
      <c r="I1064" s="139"/>
      <c r="J1064" s="140"/>
      <c r="K1064" s="136"/>
      <c r="L1064" s="93"/>
      <c r="M1064" s="93"/>
      <c r="N1064" s="93"/>
    </row>
    <row r="1065" spans="6:14" ht="13.2">
      <c r="F1065" s="2"/>
      <c r="G1065" s="138"/>
      <c r="H1065" s="139"/>
      <c r="I1065" s="139"/>
      <c r="J1065" s="140"/>
      <c r="K1065" s="136"/>
      <c r="L1065" s="93"/>
      <c r="M1065" s="93"/>
      <c r="N1065" s="93"/>
    </row>
    <row r="1066" spans="6:14" ht="13.2">
      <c r="F1066" s="2"/>
      <c r="G1066" s="138"/>
      <c r="H1066" s="139"/>
      <c r="I1066" s="139"/>
      <c r="J1066" s="140"/>
      <c r="K1066" s="136"/>
      <c r="L1066" s="93"/>
      <c r="M1066" s="93"/>
      <c r="N1066" s="93"/>
    </row>
    <row r="1067" spans="6:14" ht="13.2">
      <c r="F1067" s="2"/>
      <c r="G1067" s="138"/>
      <c r="H1067" s="139"/>
      <c r="I1067" s="139"/>
      <c r="J1067" s="140"/>
      <c r="K1067" s="136"/>
      <c r="L1067" s="93"/>
      <c r="M1067" s="93"/>
      <c r="N1067" s="93"/>
    </row>
    <row r="1068" spans="6:14" ht="13.2">
      <c r="F1068" s="2"/>
      <c r="G1068" s="138"/>
      <c r="H1068" s="139"/>
      <c r="I1068" s="139"/>
      <c r="J1068" s="140"/>
      <c r="K1068" s="136"/>
      <c r="L1068" s="93"/>
      <c r="M1068" s="93"/>
      <c r="N1068" s="93"/>
    </row>
    <row r="1069" spans="6:14" ht="13.2">
      <c r="F1069" s="2"/>
      <c r="G1069" s="138"/>
      <c r="H1069" s="139"/>
      <c r="I1069" s="139"/>
      <c r="J1069" s="140"/>
      <c r="K1069" s="136"/>
      <c r="L1069" s="93"/>
      <c r="M1069" s="93"/>
      <c r="N1069" s="93"/>
    </row>
    <row r="1070" spans="6:14" ht="13.2">
      <c r="F1070" s="2"/>
      <c r="G1070" s="138"/>
      <c r="H1070" s="139"/>
      <c r="I1070" s="139"/>
      <c r="J1070" s="140"/>
      <c r="K1070" s="136"/>
      <c r="L1070" s="93"/>
      <c r="M1070" s="93"/>
      <c r="N1070" s="93"/>
    </row>
    <row r="1071" spans="6:14" ht="13.2">
      <c r="F1071" s="2"/>
      <c r="G1071" s="138"/>
      <c r="H1071" s="139"/>
      <c r="I1071" s="139"/>
      <c r="J1071" s="140"/>
      <c r="K1071" s="136"/>
      <c r="L1071" s="93"/>
      <c r="M1071" s="93"/>
      <c r="N1071" s="93"/>
    </row>
    <row r="1072" spans="6:14" ht="13.2">
      <c r="F1072" s="2"/>
      <c r="G1072" s="138"/>
      <c r="H1072" s="139"/>
      <c r="I1072" s="139"/>
      <c r="J1072" s="140"/>
      <c r="K1072" s="136"/>
      <c r="L1072" s="93"/>
      <c r="M1072" s="93"/>
      <c r="N1072" s="93"/>
    </row>
    <row r="1073" spans="6:14" ht="13.2">
      <c r="F1073" s="2"/>
      <c r="G1073" s="138"/>
      <c r="H1073" s="139"/>
      <c r="I1073" s="139"/>
      <c r="J1073" s="140"/>
      <c r="K1073" s="136"/>
      <c r="L1073" s="93"/>
      <c r="M1073" s="93"/>
      <c r="N1073" s="93"/>
    </row>
    <row r="1074" spans="6:14" ht="13.2">
      <c r="F1074" s="2"/>
      <c r="G1074" s="138"/>
      <c r="H1074" s="139"/>
      <c r="I1074" s="139"/>
      <c r="J1074" s="140"/>
      <c r="K1074" s="136"/>
      <c r="L1074" s="93"/>
      <c r="M1074" s="93"/>
      <c r="N1074" s="93"/>
    </row>
    <row r="1075" spans="6:14" ht="13.2">
      <c r="F1075" s="2"/>
      <c r="G1075" s="138"/>
      <c r="H1075" s="139"/>
      <c r="I1075" s="139"/>
      <c r="J1075" s="140"/>
      <c r="K1075" s="136"/>
      <c r="L1075" s="93"/>
      <c r="M1075" s="93"/>
      <c r="N1075" s="93"/>
    </row>
    <row r="1076" spans="6:14" ht="13.2">
      <c r="F1076" s="2"/>
      <c r="G1076" s="138"/>
      <c r="H1076" s="139"/>
      <c r="I1076" s="139"/>
      <c r="J1076" s="140"/>
      <c r="K1076" s="136"/>
      <c r="L1076" s="93"/>
      <c r="M1076" s="93"/>
      <c r="N1076" s="93"/>
    </row>
    <row r="1077" spans="6:14" ht="13.2">
      <c r="F1077" s="2"/>
      <c r="G1077" s="138"/>
      <c r="H1077" s="139"/>
      <c r="I1077" s="139"/>
      <c r="J1077" s="140"/>
      <c r="K1077" s="136"/>
      <c r="L1077" s="93"/>
      <c r="M1077" s="93"/>
      <c r="N1077" s="93"/>
    </row>
    <row r="1078" spans="6:14" ht="13.2">
      <c r="F1078" s="2"/>
      <c r="G1078" s="138"/>
      <c r="H1078" s="139"/>
      <c r="I1078" s="139"/>
      <c r="J1078" s="140"/>
      <c r="K1078" s="136"/>
      <c r="L1078" s="93"/>
      <c r="M1078" s="93"/>
      <c r="N1078" s="93"/>
    </row>
    <row r="1079" spans="6:14" ht="13.2">
      <c r="F1079" s="2"/>
      <c r="G1079" s="138"/>
      <c r="H1079" s="139"/>
      <c r="I1079" s="139"/>
      <c r="J1079" s="140"/>
      <c r="K1079" s="136"/>
      <c r="L1079" s="93"/>
      <c r="M1079" s="93"/>
      <c r="N1079" s="93"/>
    </row>
    <row r="1080" spans="6:14" ht="13.2">
      <c r="F1080" s="2"/>
      <c r="G1080" s="138"/>
      <c r="H1080" s="139"/>
      <c r="I1080" s="139"/>
      <c r="J1080" s="140"/>
      <c r="K1080" s="136"/>
      <c r="L1080" s="93"/>
      <c r="M1080" s="93"/>
      <c r="N1080" s="93"/>
    </row>
    <row r="1081" spans="6:14" ht="13.2">
      <c r="F1081" s="2"/>
      <c r="G1081" s="138"/>
      <c r="H1081" s="139"/>
      <c r="I1081" s="139"/>
      <c r="J1081" s="140"/>
      <c r="K1081" s="136"/>
      <c r="L1081" s="93"/>
      <c r="M1081" s="93"/>
      <c r="N1081" s="93"/>
    </row>
    <row r="1082" spans="6:14" ht="13.2">
      <c r="F1082" s="2"/>
      <c r="G1082" s="138"/>
      <c r="H1082" s="139"/>
      <c r="I1082" s="139"/>
      <c r="J1082" s="140"/>
      <c r="K1082" s="136"/>
      <c r="L1082" s="93"/>
      <c r="M1082" s="93"/>
      <c r="N1082" s="93"/>
    </row>
    <row r="1083" spans="6:14" ht="13.2">
      <c r="F1083" s="2"/>
      <c r="G1083" s="138"/>
      <c r="H1083" s="139"/>
      <c r="I1083" s="139"/>
      <c r="J1083" s="140"/>
      <c r="K1083" s="136"/>
      <c r="L1083" s="93"/>
      <c r="M1083" s="93"/>
      <c r="N1083" s="93"/>
    </row>
    <row r="1084" spans="6:14" ht="13.2">
      <c r="F1084" s="2"/>
      <c r="G1084" s="138"/>
      <c r="H1084" s="139"/>
      <c r="I1084" s="139"/>
      <c r="J1084" s="140"/>
      <c r="K1084" s="136"/>
      <c r="L1084" s="93"/>
      <c r="M1084" s="93"/>
      <c r="N1084" s="93"/>
    </row>
    <row r="1085" spans="6:14" ht="13.2">
      <c r="F1085" s="2"/>
      <c r="G1085" s="138"/>
      <c r="H1085" s="139"/>
      <c r="I1085" s="139"/>
      <c r="J1085" s="140"/>
      <c r="K1085" s="136"/>
      <c r="L1085" s="93"/>
      <c r="M1085" s="93"/>
      <c r="N1085" s="93"/>
    </row>
    <row r="1086" spans="6:14" ht="13.2">
      <c r="F1086" s="2"/>
      <c r="G1086" s="138"/>
      <c r="H1086" s="139"/>
      <c r="I1086" s="139"/>
      <c r="J1086" s="140"/>
      <c r="K1086" s="136"/>
      <c r="L1086" s="93"/>
      <c r="M1086" s="93"/>
      <c r="N1086" s="93"/>
    </row>
    <row r="1087" spans="6:14" ht="13.2">
      <c r="F1087" s="2"/>
      <c r="G1087" s="138"/>
      <c r="H1087" s="139"/>
      <c r="I1087" s="139"/>
      <c r="J1087" s="140"/>
      <c r="K1087" s="136"/>
      <c r="L1087" s="93"/>
      <c r="M1087" s="93"/>
      <c r="N1087" s="93"/>
    </row>
    <row r="1088" spans="6:14" ht="13.2">
      <c r="F1088" s="2"/>
      <c r="G1088" s="138"/>
      <c r="H1088" s="139"/>
      <c r="I1088" s="139"/>
      <c r="J1088" s="140"/>
      <c r="K1088" s="136"/>
      <c r="L1088" s="93"/>
      <c r="M1088" s="93"/>
      <c r="N1088" s="93"/>
    </row>
    <row r="1089" spans="6:14" ht="13.2">
      <c r="F1089" s="2"/>
      <c r="G1089" s="138"/>
      <c r="H1089" s="139"/>
      <c r="I1089" s="139"/>
      <c r="J1089" s="140"/>
      <c r="K1089" s="136"/>
      <c r="L1089" s="93"/>
      <c r="M1089" s="93"/>
      <c r="N1089" s="93"/>
    </row>
    <row r="1090" spans="6:14" ht="13.2">
      <c r="F1090" s="2"/>
      <c r="G1090" s="138"/>
      <c r="H1090" s="139"/>
      <c r="I1090" s="139"/>
      <c r="J1090" s="140"/>
      <c r="K1090" s="136"/>
      <c r="L1090" s="93"/>
      <c r="M1090" s="93"/>
      <c r="N1090" s="93"/>
    </row>
    <row r="1091" spans="6:14" ht="13.2">
      <c r="F1091" s="2"/>
      <c r="G1091" s="138"/>
      <c r="H1091" s="139"/>
      <c r="I1091" s="139"/>
      <c r="J1091" s="140"/>
      <c r="K1091" s="136"/>
      <c r="L1091" s="93"/>
      <c r="M1091" s="93"/>
      <c r="N1091" s="93"/>
    </row>
    <row r="1092" spans="6:14" ht="13.2">
      <c r="F1092" s="2"/>
      <c r="G1092" s="138"/>
      <c r="H1092" s="139"/>
      <c r="I1092" s="139"/>
      <c r="J1092" s="140"/>
      <c r="K1092" s="136"/>
      <c r="L1092" s="93"/>
      <c r="M1092" s="93"/>
      <c r="N1092" s="93"/>
    </row>
    <row r="1093" spans="6:14" ht="13.2">
      <c r="F1093" s="2"/>
      <c r="G1093" s="138"/>
      <c r="H1093" s="139"/>
      <c r="I1093" s="139"/>
      <c r="J1093" s="140"/>
      <c r="K1093" s="136"/>
      <c r="L1093" s="93"/>
      <c r="M1093" s="93"/>
      <c r="N1093" s="93"/>
    </row>
    <row r="1094" spans="6:14" ht="13.2">
      <c r="F1094" s="2"/>
      <c r="G1094" s="138"/>
      <c r="H1094" s="139"/>
      <c r="I1094" s="139"/>
      <c r="J1094" s="140"/>
      <c r="K1094" s="136"/>
      <c r="L1094" s="93"/>
      <c r="M1094" s="93"/>
      <c r="N1094" s="93"/>
    </row>
    <row r="1095" spans="6:14" ht="13.2">
      <c r="F1095" s="2"/>
      <c r="G1095" s="138"/>
      <c r="H1095" s="139"/>
      <c r="I1095" s="139"/>
      <c r="J1095" s="140"/>
      <c r="K1095" s="136"/>
      <c r="L1095" s="93"/>
      <c r="M1095" s="93"/>
      <c r="N1095" s="93"/>
    </row>
    <row r="1096" spans="6:14" ht="13.2">
      <c r="F1096" s="2"/>
      <c r="G1096" s="138"/>
      <c r="H1096" s="139"/>
      <c r="I1096" s="139"/>
      <c r="J1096" s="140"/>
      <c r="K1096" s="136"/>
      <c r="L1096" s="93"/>
      <c r="M1096" s="93"/>
      <c r="N1096" s="93"/>
    </row>
    <row r="1097" spans="6:14" ht="13.2">
      <c r="F1097" s="2"/>
      <c r="G1097" s="138"/>
      <c r="H1097" s="139"/>
      <c r="I1097" s="139"/>
      <c r="J1097" s="140"/>
      <c r="K1097" s="136"/>
      <c r="L1097" s="93"/>
      <c r="M1097" s="93"/>
      <c r="N1097" s="93"/>
    </row>
    <row r="1098" spans="6:14" ht="13.2">
      <c r="F1098" s="2"/>
      <c r="G1098" s="138"/>
      <c r="H1098" s="139"/>
      <c r="I1098" s="139"/>
      <c r="J1098" s="140"/>
      <c r="K1098" s="136"/>
      <c r="L1098" s="93"/>
      <c r="M1098" s="93"/>
      <c r="N1098" s="93"/>
    </row>
    <row r="1099" spans="6:14" ht="13.2">
      <c r="F1099" s="2"/>
      <c r="G1099" s="138"/>
      <c r="H1099" s="139"/>
      <c r="I1099" s="139"/>
      <c r="J1099" s="140"/>
      <c r="K1099" s="136"/>
      <c r="L1099" s="93"/>
      <c r="M1099" s="93"/>
      <c r="N1099" s="93"/>
    </row>
    <row r="1100" spans="6:14" ht="13.2">
      <c r="F1100" s="2"/>
      <c r="G1100" s="138"/>
      <c r="H1100" s="139"/>
      <c r="I1100" s="139"/>
      <c r="J1100" s="140"/>
      <c r="K1100" s="136"/>
      <c r="L1100" s="93"/>
      <c r="M1100" s="93"/>
      <c r="N1100" s="93"/>
    </row>
    <row r="1101" spans="6:14" ht="13.2">
      <c r="F1101" s="2"/>
      <c r="G1101" s="138"/>
      <c r="H1101" s="139"/>
      <c r="I1101" s="139"/>
      <c r="J1101" s="140"/>
      <c r="K1101" s="136"/>
      <c r="L1101" s="93"/>
      <c r="M1101" s="93"/>
      <c r="N1101" s="93"/>
    </row>
    <row r="1102" spans="6:14" ht="13.2">
      <c r="F1102" s="2"/>
      <c r="G1102" s="138"/>
      <c r="H1102" s="139"/>
      <c r="I1102" s="139"/>
      <c r="J1102" s="140"/>
      <c r="K1102" s="136"/>
      <c r="L1102" s="93"/>
      <c r="M1102" s="93"/>
      <c r="N1102" s="93"/>
    </row>
    <row r="1103" spans="6:14" ht="13.2">
      <c r="F1103" s="2"/>
      <c r="G1103" s="138"/>
      <c r="H1103" s="139"/>
      <c r="I1103" s="139"/>
      <c r="J1103" s="140"/>
      <c r="K1103" s="136"/>
      <c r="L1103" s="93"/>
      <c r="M1103" s="93"/>
      <c r="N1103" s="93"/>
    </row>
    <row r="1104" spans="6:14" ht="13.2">
      <c r="F1104" s="2"/>
      <c r="G1104" s="138"/>
      <c r="H1104" s="139"/>
      <c r="I1104" s="139"/>
      <c r="J1104" s="140"/>
      <c r="K1104" s="136"/>
      <c r="L1104" s="93"/>
      <c r="M1104" s="93"/>
      <c r="N1104" s="93"/>
    </row>
    <row r="1105" spans="6:14" ht="13.2">
      <c r="F1105" s="2"/>
      <c r="G1105" s="138"/>
      <c r="H1105" s="139"/>
      <c r="I1105" s="139"/>
      <c r="J1105" s="140"/>
      <c r="K1105" s="136"/>
      <c r="L1105" s="93"/>
      <c r="M1105" s="93"/>
      <c r="N1105" s="93"/>
    </row>
    <row r="1106" spans="6:14" ht="13.2">
      <c r="F1106" s="2"/>
      <c r="G1106" s="138"/>
      <c r="H1106" s="139"/>
      <c r="I1106" s="139"/>
      <c r="J1106" s="140"/>
      <c r="K1106" s="136"/>
      <c r="L1106" s="93"/>
      <c r="M1106" s="93"/>
      <c r="N1106" s="93"/>
    </row>
    <row r="1107" spans="6:14" ht="13.2">
      <c r="F1107" s="2"/>
      <c r="G1107" s="138"/>
      <c r="H1107" s="139"/>
      <c r="I1107" s="139"/>
      <c r="J1107" s="140"/>
      <c r="K1107" s="136"/>
      <c r="L1107" s="93"/>
      <c r="M1107" s="93"/>
      <c r="N1107" s="93"/>
    </row>
    <row r="1108" spans="6:14" ht="13.2">
      <c r="F1108" s="2"/>
      <c r="G1108" s="138"/>
      <c r="H1108" s="139"/>
      <c r="I1108" s="139"/>
      <c r="J1108" s="140"/>
      <c r="K1108" s="136"/>
      <c r="L1108" s="93"/>
      <c r="M1108" s="93"/>
      <c r="N1108" s="93"/>
    </row>
    <row r="1109" spans="6:14" ht="13.2">
      <c r="F1109" s="2"/>
      <c r="G1109" s="138"/>
      <c r="H1109" s="139"/>
      <c r="I1109" s="139"/>
      <c r="J1109" s="140"/>
      <c r="K1109" s="136"/>
      <c r="L1109" s="93"/>
      <c r="M1109" s="93"/>
      <c r="N1109" s="93"/>
    </row>
    <row r="1110" spans="6:14" ht="13.2">
      <c r="F1110" s="2"/>
      <c r="G1110" s="138"/>
      <c r="H1110" s="139"/>
      <c r="I1110" s="139"/>
      <c r="J1110" s="140"/>
      <c r="K1110" s="136"/>
      <c r="L1110" s="93"/>
      <c r="M1110" s="93"/>
      <c r="N1110" s="93"/>
    </row>
    <row r="1111" spans="6:14" ht="13.2">
      <c r="F1111" s="2"/>
      <c r="G1111" s="138"/>
      <c r="H1111" s="139"/>
      <c r="I1111" s="139"/>
      <c r="J1111" s="140"/>
      <c r="K1111" s="136"/>
      <c r="L1111" s="93"/>
      <c r="M1111" s="93"/>
      <c r="N1111" s="93"/>
    </row>
    <row r="1112" spans="6:14" ht="13.2">
      <c r="F1112" s="2"/>
      <c r="G1112" s="138"/>
      <c r="H1112" s="139"/>
      <c r="I1112" s="139"/>
      <c r="J1112" s="140"/>
      <c r="K1112" s="136"/>
      <c r="L1112" s="93"/>
      <c r="M1112" s="93"/>
      <c r="N1112" s="93"/>
    </row>
    <row r="1113" spans="6:14" ht="13.2">
      <c r="F1113" s="2"/>
      <c r="G1113" s="138"/>
      <c r="H1113" s="139"/>
      <c r="I1113" s="139"/>
      <c r="J1113" s="140"/>
      <c r="K1113" s="136"/>
      <c r="L1113" s="93"/>
      <c r="M1113" s="93"/>
      <c r="N1113" s="93"/>
    </row>
    <row r="1114" spans="6:14" ht="13.2">
      <c r="F1114" s="2"/>
      <c r="G1114" s="138"/>
      <c r="H1114" s="139"/>
      <c r="I1114" s="139"/>
      <c r="J1114" s="140"/>
      <c r="K1114" s="136"/>
      <c r="L1114" s="93"/>
      <c r="M1114" s="93"/>
      <c r="N1114" s="93"/>
    </row>
    <row r="1115" spans="6:14" ht="13.2">
      <c r="F1115" s="2"/>
      <c r="G1115" s="138"/>
      <c r="H1115" s="139"/>
      <c r="I1115" s="139"/>
      <c r="J1115" s="140"/>
      <c r="K1115" s="136"/>
      <c r="L1115" s="93"/>
      <c r="M1115" s="93"/>
      <c r="N1115" s="93"/>
    </row>
    <row r="1116" spans="6:14" ht="13.2">
      <c r="F1116" s="2"/>
      <c r="G1116" s="138"/>
      <c r="H1116" s="139"/>
      <c r="I1116" s="139"/>
      <c r="J1116" s="140"/>
      <c r="K1116" s="136"/>
      <c r="L1116" s="93"/>
      <c r="M1116" s="93"/>
      <c r="N1116" s="93"/>
    </row>
    <row r="1117" spans="6:14" ht="13.2">
      <c r="F1117" s="2"/>
      <c r="G1117" s="138"/>
      <c r="H1117" s="139"/>
      <c r="I1117" s="139"/>
      <c r="J1117" s="140"/>
      <c r="K1117" s="136"/>
      <c r="L1117" s="93"/>
      <c r="M1117" s="93"/>
      <c r="N1117" s="93"/>
    </row>
    <row r="1118" spans="6:14" ht="13.2">
      <c r="F1118" s="2"/>
      <c r="G1118" s="138"/>
      <c r="H1118" s="139"/>
      <c r="I1118" s="139"/>
      <c r="J1118" s="140"/>
      <c r="K1118" s="136"/>
      <c r="L1118" s="93"/>
      <c r="M1118" s="93"/>
      <c r="N1118" s="93"/>
    </row>
    <row r="1119" spans="6:14" ht="13.2">
      <c r="F1119" s="2"/>
      <c r="G1119" s="138"/>
      <c r="H1119" s="139"/>
      <c r="I1119" s="139"/>
      <c r="J1119" s="140"/>
      <c r="K1119" s="136"/>
      <c r="L1119" s="93"/>
      <c r="M1119" s="93"/>
      <c r="N1119" s="93"/>
    </row>
    <row r="1120" spans="6:14" ht="13.2">
      <c r="F1120" s="2"/>
      <c r="G1120" s="138"/>
      <c r="H1120" s="139"/>
      <c r="I1120" s="139"/>
      <c r="J1120" s="140"/>
      <c r="K1120" s="136"/>
      <c r="L1120" s="93"/>
      <c r="M1120" s="93"/>
      <c r="N1120" s="93"/>
    </row>
    <row r="1121" spans="6:14" ht="13.2">
      <c r="F1121" s="2"/>
      <c r="G1121" s="138"/>
      <c r="H1121" s="139"/>
      <c r="I1121" s="139"/>
      <c r="J1121" s="140"/>
      <c r="K1121" s="136"/>
      <c r="L1121" s="93"/>
      <c r="M1121" s="93"/>
      <c r="N1121" s="93"/>
    </row>
    <row r="1122" spans="6:14" ht="13.2">
      <c r="F1122" s="2"/>
      <c r="G1122" s="138"/>
      <c r="H1122" s="139"/>
      <c r="I1122" s="139"/>
      <c r="J1122" s="140"/>
      <c r="K1122" s="136"/>
      <c r="L1122" s="93"/>
      <c r="M1122" s="93"/>
      <c r="N1122" s="93"/>
    </row>
    <row r="1123" spans="6:14" ht="13.2">
      <c r="F1123" s="2"/>
      <c r="G1123" s="138"/>
      <c r="H1123" s="139"/>
      <c r="I1123" s="139"/>
      <c r="J1123" s="140"/>
      <c r="K1123" s="136"/>
      <c r="L1123" s="93"/>
      <c r="M1123" s="93"/>
      <c r="N1123" s="93"/>
    </row>
    <row r="1124" spans="6:14" ht="13.2">
      <c r="F1124" s="2"/>
      <c r="G1124" s="138"/>
      <c r="H1124" s="139"/>
      <c r="I1124" s="139"/>
      <c r="J1124" s="140"/>
      <c r="K1124" s="136"/>
      <c r="L1124" s="93"/>
      <c r="M1124" s="93"/>
      <c r="N1124" s="93"/>
    </row>
    <row r="1125" spans="6:14" ht="13.2">
      <c r="F1125" s="2"/>
      <c r="G1125" s="138"/>
      <c r="H1125" s="139"/>
      <c r="I1125" s="139"/>
      <c r="J1125" s="140"/>
      <c r="K1125" s="136"/>
      <c r="L1125" s="93"/>
      <c r="M1125" s="93"/>
      <c r="N1125" s="93"/>
    </row>
    <row r="1126" spans="6:14" ht="13.2">
      <c r="F1126" s="2"/>
      <c r="G1126" s="138"/>
      <c r="H1126" s="139"/>
      <c r="I1126" s="139"/>
      <c r="J1126" s="140"/>
      <c r="K1126" s="136"/>
      <c r="L1126" s="93"/>
      <c r="M1126" s="93"/>
      <c r="N1126" s="93"/>
    </row>
    <row r="1127" spans="6:14" ht="13.2">
      <c r="F1127" s="2"/>
      <c r="G1127" s="138"/>
      <c r="H1127" s="139"/>
      <c r="I1127" s="139"/>
      <c r="J1127" s="140"/>
      <c r="K1127" s="136"/>
      <c r="L1127" s="93"/>
      <c r="M1127" s="93"/>
      <c r="N1127" s="93"/>
    </row>
    <row r="1128" spans="6:14" ht="13.2">
      <c r="F1128" s="2"/>
      <c r="G1128" s="138"/>
      <c r="H1128" s="139"/>
      <c r="I1128" s="139"/>
      <c r="J1128" s="140"/>
      <c r="K1128" s="136"/>
      <c r="L1128" s="93"/>
      <c r="M1128" s="93"/>
      <c r="N1128" s="93"/>
    </row>
    <row r="1129" spans="6:14" ht="13.2">
      <c r="F1129" s="2"/>
      <c r="G1129" s="138"/>
      <c r="H1129" s="139"/>
      <c r="I1129" s="139"/>
      <c r="J1129" s="140"/>
      <c r="K1129" s="136"/>
      <c r="L1129" s="93"/>
      <c r="M1129" s="93"/>
      <c r="N1129" s="93"/>
    </row>
    <row r="1130" spans="6:14" ht="13.2">
      <c r="F1130" s="2"/>
      <c r="G1130" s="138"/>
      <c r="H1130" s="139"/>
      <c r="I1130" s="139"/>
      <c r="J1130" s="140"/>
      <c r="K1130" s="136"/>
      <c r="L1130" s="93"/>
      <c r="M1130" s="93"/>
      <c r="N1130" s="93"/>
    </row>
    <row r="1131" spans="6:14" ht="13.2">
      <c r="F1131" s="2"/>
      <c r="G1131" s="138"/>
      <c r="H1131" s="139"/>
      <c r="I1131" s="139"/>
      <c r="J1131" s="140"/>
      <c r="K1131" s="136"/>
      <c r="L1131" s="93"/>
      <c r="M1131" s="93"/>
      <c r="N1131" s="93"/>
    </row>
    <row r="1132" spans="6:14" ht="13.2">
      <c r="F1132" s="2"/>
      <c r="G1132" s="138"/>
      <c r="H1132" s="139"/>
      <c r="I1132" s="139"/>
      <c r="J1132" s="140"/>
      <c r="K1132" s="136"/>
      <c r="L1132" s="93"/>
      <c r="M1132" s="93"/>
      <c r="N1132" s="93"/>
    </row>
    <row r="1133" spans="6:14" ht="13.2">
      <c r="F1133" s="2"/>
      <c r="G1133" s="138"/>
      <c r="H1133" s="139"/>
      <c r="I1133" s="139"/>
      <c r="J1133" s="140"/>
      <c r="K1133" s="136"/>
      <c r="L1133" s="93"/>
      <c r="M1133" s="93"/>
      <c r="N1133" s="93"/>
    </row>
    <row r="1134" spans="6:14" ht="13.2">
      <c r="F1134" s="2"/>
      <c r="G1134" s="138"/>
      <c r="H1134" s="139"/>
      <c r="I1134" s="139"/>
      <c r="J1134" s="140"/>
      <c r="K1134" s="136"/>
      <c r="L1134" s="93"/>
      <c r="M1134" s="93"/>
      <c r="N1134" s="93"/>
    </row>
    <row r="1135" spans="6:14" ht="13.2">
      <c r="F1135" s="2"/>
      <c r="G1135" s="138"/>
      <c r="H1135" s="139"/>
      <c r="I1135" s="139"/>
      <c r="J1135" s="140"/>
      <c r="K1135" s="136"/>
      <c r="L1135" s="93"/>
      <c r="M1135" s="93"/>
      <c r="N1135" s="93"/>
    </row>
    <row r="1136" spans="6:14" ht="13.2">
      <c r="F1136" s="2"/>
      <c r="G1136" s="138"/>
      <c r="H1136" s="139"/>
      <c r="I1136" s="139"/>
      <c r="J1136" s="140"/>
      <c r="K1136" s="136"/>
      <c r="L1136" s="93"/>
      <c r="M1136" s="93"/>
      <c r="N1136" s="93"/>
    </row>
    <row r="1137" spans="6:14" ht="13.2">
      <c r="F1137" s="2"/>
      <c r="G1137" s="138"/>
      <c r="H1137" s="139"/>
      <c r="I1137" s="139"/>
      <c r="J1137" s="140"/>
      <c r="K1137" s="136"/>
      <c r="L1137" s="93"/>
      <c r="M1137" s="93"/>
      <c r="N1137" s="93"/>
    </row>
    <row r="1138" spans="6:14" ht="13.2">
      <c r="F1138" s="2"/>
      <c r="G1138" s="138"/>
      <c r="H1138" s="139"/>
      <c r="I1138" s="139"/>
      <c r="J1138" s="140"/>
      <c r="K1138" s="136"/>
      <c r="L1138" s="93"/>
      <c r="M1138" s="93"/>
      <c r="N1138" s="93"/>
    </row>
    <row r="1139" spans="6:14" ht="13.2">
      <c r="F1139" s="2"/>
      <c r="G1139" s="138"/>
      <c r="H1139" s="139"/>
      <c r="I1139" s="139"/>
      <c r="J1139" s="140"/>
      <c r="K1139" s="136"/>
      <c r="L1139" s="93"/>
      <c r="M1139" s="93"/>
      <c r="N1139" s="93"/>
    </row>
    <row r="1140" spans="6:14" ht="13.2">
      <c r="F1140" s="2"/>
      <c r="G1140" s="138"/>
      <c r="H1140" s="139"/>
      <c r="I1140" s="139"/>
      <c r="J1140" s="140"/>
      <c r="K1140" s="136"/>
      <c r="L1140" s="93"/>
      <c r="M1140" s="93"/>
      <c r="N1140" s="93"/>
    </row>
    <row r="1141" spans="6:14" ht="13.2">
      <c r="F1141" s="2"/>
      <c r="G1141" s="138"/>
      <c r="H1141" s="139"/>
      <c r="I1141" s="139"/>
      <c r="J1141" s="140"/>
      <c r="K1141" s="136"/>
      <c r="L1141" s="93"/>
      <c r="M1141" s="93"/>
      <c r="N1141" s="93"/>
    </row>
    <row r="1142" spans="6:14" ht="13.2">
      <c r="F1142" s="2"/>
      <c r="G1142" s="138"/>
      <c r="H1142" s="139"/>
      <c r="I1142" s="139"/>
      <c r="J1142" s="140"/>
      <c r="K1142" s="136"/>
      <c r="L1142" s="93"/>
      <c r="M1142" s="93"/>
      <c r="N1142" s="93"/>
    </row>
    <row r="1143" spans="6:14" ht="13.2">
      <c r="F1143" s="2"/>
      <c r="G1143" s="138"/>
      <c r="H1143" s="139"/>
      <c r="I1143" s="139"/>
      <c r="J1143" s="140"/>
      <c r="K1143" s="136"/>
      <c r="L1143" s="93"/>
      <c r="M1143" s="93"/>
      <c r="N1143" s="93"/>
    </row>
    <row r="1144" spans="6:14" ht="13.2">
      <c r="F1144" s="2"/>
      <c r="G1144" s="138"/>
      <c r="H1144" s="139"/>
      <c r="I1144" s="139"/>
      <c r="J1144" s="140"/>
      <c r="K1144" s="136"/>
      <c r="L1144" s="93"/>
      <c r="M1144" s="93"/>
      <c r="N1144" s="93"/>
    </row>
    <row r="1145" spans="6:14" ht="13.2">
      <c r="F1145" s="2"/>
      <c r="G1145" s="138"/>
      <c r="H1145" s="139"/>
      <c r="I1145" s="139"/>
      <c r="J1145" s="140"/>
      <c r="K1145" s="136"/>
      <c r="L1145" s="93"/>
      <c r="M1145" s="93"/>
      <c r="N1145" s="93"/>
    </row>
    <row r="1146" spans="6:14" ht="13.2">
      <c r="F1146" s="2"/>
      <c r="G1146" s="138"/>
      <c r="H1146" s="139"/>
      <c r="I1146" s="139"/>
      <c r="J1146" s="140"/>
      <c r="K1146" s="136"/>
      <c r="L1146" s="93"/>
      <c r="M1146" s="93"/>
      <c r="N1146" s="93"/>
    </row>
    <row r="1147" spans="6:14" ht="13.2">
      <c r="F1147" s="2"/>
      <c r="G1147" s="138"/>
      <c r="H1147" s="139"/>
      <c r="I1147" s="139"/>
      <c r="J1147" s="140"/>
      <c r="K1147" s="136"/>
      <c r="L1147" s="93"/>
      <c r="M1147" s="93"/>
      <c r="N1147" s="93"/>
    </row>
    <row r="1148" spans="6:14" ht="13.2">
      <c r="F1148" s="2"/>
      <c r="G1148" s="138"/>
      <c r="H1148" s="139"/>
      <c r="I1148" s="139"/>
      <c r="J1148" s="140"/>
      <c r="K1148" s="136"/>
      <c r="L1148" s="93"/>
      <c r="M1148" s="93"/>
      <c r="N1148" s="93"/>
    </row>
    <row r="1149" spans="6:14" ht="13.2">
      <c r="F1149" s="2"/>
      <c r="G1149" s="138"/>
      <c r="H1149" s="139"/>
      <c r="I1149" s="139"/>
      <c r="J1149" s="140"/>
      <c r="K1149" s="136"/>
      <c r="L1149" s="93"/>
      <c r="M1149" s="93"/>
      <c r="N1149" s="93"/>
    </row>
    <row r="1150" spans="6:14" ht="13.2">
      <c r="F1150" s="2"/>
      <c r="G1150" s="138"/>
      <c r="H1150" s="139"/>
      <c r="I1150" s="139"/>
      <c r="J1150" s="140"/>
      <c r="K1150" s="136"/>
      <c r="L1150" s="93"/>
      <c r="M1150" s="93"/>
      <c r="N1150" s="93"/>
    </row>
    <row r="1151" spans="6:14" ht="13.2">
      <c r="F1151" s="2"/>
      <c r="G1151" s="138"/>
      <c r="H1151" s="139"/>
      <c r="I1151" s="139"/>
      <c r="J1151" s="140"/>
      <c r="K1151" s="136"/>
      <c r="L1151" s="93"/>
      <c r="M1151" s="93"/>
      <c r="N1151" s="93"/>
    </row>
    <row r="1152" spans="6:14" ht="13.2">
      <c r="F1152" s="2"/>
      <c r="G1152" s="138"/>
      <c r="H1152" s="139"/>
      <c r="I1152" s="139"/>
      <c r="J1152" s="140"/>
      <c r="K1152" s="136"/>
      <c r="L1152" s="93"/>
      <c r="M1152" s="93"/>
      <c r="N1152" s="93"/>
    </row>
    <row r="1153" spans="6:14" ht="13.2">
      <c r="F1153" s="2"/>
      <c r="G1153" s="138"/>
      <c r="H1153" s="139"/>
      <c r="I1153" s="139"/>
      <c r="J1153" s="140"/>
      <c r="K1153" s="136"/>
      <c r="L1153" s="93"/>
      <c r="M1153" s="93"/>
      <c r="N1153" s="93"/>
    </row>
    <row r="1154" spans="6:14" ht="13.2">
      <c r="F1154" s="2"/>
      <c r="G1154" s="138"/>
      <c r="H1154" s="139"/>
      <c r="I1154" s="139"/>
      <c r="J1154" s="140"/>
      <c r="K1154" s="136"/>
      <c r="L1154" s="93"/>
      <c r="M1154" s="93"/>
      <c r="N1154" s="93"/>
    </row>
    <row r="1155" spans="6:14" ht="13.2">
      <c r="F1155" s="2"/>
      <c r="G1155" s="138"/>
      <c r="H1155" s="139"/>
      <c r="I1155" s="139"/>
      <c r="J1155" s="140"/>
      <c r="K1155" s="136"/>
      <c r="L1155" s="93"/>
      <c r="M1155" s="93"/>
      <c r="N1155" s="93"/>
    </row>
    <row r="1156" spans="6:14" ht="13.2">
      <c r="F1156" s="2"/>
      <c r="G1156" s="138"/>
      <c r="H1156" s="139"/>
      <c r="I1156" s="139"/>
      <c r="J1156" s="140"/>
      <c r="K1156" s="136"/>
      <c r="L1156" s="93"/>
      <c r="M1156" s="93"/>
      <c r="N1156" s="93"/>
    </row>
    <row r="1157" spans="6:14" ht="13.2">
      <c r="F1157" s="2"/>
      <c r="G1157" s="138"/>
      <c r="H1157" s="139"/>
      <c r="I1157" s="139"/>
      <c r="J1157" s="140"/>
      <c r="K1157" s="136"/>
      <c r="L1157" s="93"/>
      <c r="M1157" s="93"/>
      <c r="N1157" s="93"/>
    </row>
    <row r="1158" spans="6:14" ht="13.2">
      <c r="F1158" s="2"/>
      <c r="G1158" s="138"/>
      <c r="H1158" s="139"/>
      <c r="I1158" s="139"/>
      <c r="J1158" s="140"/>
      <c r="K1158" s="136"/>
      <c r="L1158" s="93"/>
      <c r="M1158" s="93"/>
      <c r="N1158" s="93"/>
    </row>
    <row r="1159" spans="6:14" ht="13.2">
      <c r="F1159" s="2"/>
      <c r="G1159" s="138"/>
      <c r="H1159" s="139"/>
      <c r="I1159" s="139"/>
      <c r="J1159" s="140"/>
      <c r="K1159" s="136"/>
      <c r="L1159" s="93"/>
      <c r="M1159" s="93"/>
      <c r="N1159" s="93"/>
    </row>
    <row r="1160" spans="6:14" ht="13.2">
      <c r="F1160" s="2"/>
      <c r="G1160" s="138"/>
      <c r="H1160" s="139"/>
      <c r="I1160" s="139"/>
      <c r="J1160" s="140"/>
      <c r="K1160" s="136"/>
      <c r="L1160" s="93"/>
      <c r="M1160" s="93"/>
      <c r="N1160" s="93"/>
    </row>
    <row r="1161" spans="6:14" ht="13.2">
      <c r="F1161" s="2"/>
      <c r="G1161" s="138"/>
      <c r="H1161" s="139"/>
      <c r="I1161" s="139"/>
      <c r="J1161" s="140"/>
      <c r="K1161" s="136"/>
      <c r="L1161" s="93"/>
      <c r="M1161" s="93"/>
      <c r="N1161" s="93"/>
    </row>
    <row r="1162" spans="6:14" ht="13.2">
      <c r="F1162" s="2"/>
      <c r="G1162" s="138"/>
      <c r="H1162" s="139"/>
      <c r="I1162" s="139"/>
      <c r="J1162" s="140"/>
      <c r="K1162" s="136"/>
      <c r="L1162" s="93"/>
      <c r="M1162" s="93"/>
      <c r="N1162" s="93"/>
    </row>
    <row r="1163" spans="6:14" ht="13.2">
      <c r="F1163" s="2"/>
      <c r="G1163" s="138"/>
      <c r="H1163" s="139"/>
      <c r="I1163" s="139"/>
      <c r="J1163" s="140"/>
      <c r="K1163" s="136"/>
      <c r="L1163" s="93"/>
      <c r="M1163" s="93"/>
      <c r="N1163" s="93"/>
    </row>
    <row r="1164" spans="6:14" ht="13.2">
      <c r="F1164" s="2"/>
      <c r="G1164" s="138"/>
      <c r="H1164" s="139"/>
      <c r="I1164" s="139"/>
      <c r="J1164" s="140"/>
      <c r="K1164" s="136"/>
      <c r="L1164" s="93"/>
      <c r="M1164" s="93"/>
      <c r="N1164" s="93"/>
    </row>
    <row r="1165" spans="6:14" ht="13.2">
      <c r="F1165" s="2"/>
      <c r="G1165" s="138"/>
      <c r="H1165" s="139"/>
      <c r="I1165" s="139"/>
      <c r="J1165" s="140"/>
      <c r="K1165" s="136"/>
      <c r="L1165" s="93"/>
      <c r="M1165" s="93"/>
      <c r="N1165" s="93"/>
    </row>
    <row r="1166" spans="6:14" ht="13.2">
      <c r="F1166" s="2"/>
      <c r="G1166" s="138"/>
      <c r="H1166" s="139"/>
      <c r="I1166" s="139"/>
      <c r="J1166" s="140"/>
      <c r="K1166" s="136"/>
      <c r="L1166" s="93"/>
      <c r="M1166" s="93"/>
      <c r="N1166" s="93"/>
    </row>
    <row r="1167" spans="6:14" ht="13.2">
      <c r="F1167" s="2"/>
      <c r="G1167" s="138"/>
      <c r="H1167" s="139"/>
      <c r="I1167" s="139"/>
      <c r="J1167" s="140"/>
      <c r="K1167" s="136"/>
      <c r="L1167" s="93"/>
      <c r="M1167" s="93"/>
      <c r="N1167" s="93"/>
    </row>
    <row r="1168" spans="6:14" ht="13.2">
      <c r="F1168" s="2"/>
      <c r="G1168" s="138"/>
      <c r="H1168" s="139"/>
      <c r="I1168" s="139"/>
      <c r="J1168" s="140"/>
      <c r="K1168" s="136"/>
      <c r="L1168" s="93"/>
      <c r="M1168" s="93"/>
      <c r="N1168" s="93"/>
    </row>
    <row r="1169" spans="6:14" ht="13.2">
      <c r="F1169" s="2"/>
      <c r="G1169" s="138"/>
      <c r="H1169" s="139"/>
      <c r="I1169" s="139"/>
      <c r="J1169" s="140"/>
      <c r="K1169" s="136"/>
      <c r="L1169" s="93"/>
      <c r="M1169" s="93"/>
      <c r="N1169" s="93"/>
    </row>
    <row r="1170" spans="6:14" ht="13.2">
      <c r="F1170" s="2"/>
      <c r="G1170" s="138"/>
      <c r="H1170" s="139"/>
      <c r="I1170" s="139"/>
      <c r="J1170" s="140"/>
      <c r="K1170" s="136"/>
      <c r="L1170" s="93"/>
      <c r="M1170" s="93"/>
      <c r="N1170" s="93"/>
    </row>
    <row r="1171" spans="6:14" ht="13.2">
      <c r="F1171" s="2"/>
      <c r="G1171" s="138"/>
      <c r="H1171" s="139"/>
      <c r="I1171" s="139"/>
      <c r="J1171" s="140"/>
      <c r="K1171" s="136"/>
      <c r="L1171" s="93"/>
      <c r="M1171" s="93"/>
      <c r="N1171" s="93"/>
    </row>
  </sheetData>
  <mergeCells count="8">
    <mergeCell ref="A230:A251"/>
    <mergeCell ref="A252:A287"/>
    <mergeCell ref="A298:A303"/>
    <mergeCell ref="B1:K1"/>
    <mergeCell ref="A3:A21"/>
    <mergeCell ref="A22:A28"/>
    <mergeCell ref="A29:A42"/>
    <mergeCell ref="A43:A229"/>
  </mergeCells>
  <conditionalFormatting sqref="I1:I1171">
    <cfRule type="cellIs" dxfId="8" priority="1" operator="lessThanOrEqual">
      <formula>0</formula>
    </cfRule>
    <cfRule type="cellIs" dxfId="7" priority="2" operator="equal">
      <formula>1</formula>
    </cfRule>
  </conditionalFormatting>
  <conditionalFormatting sqref="N1:N1171">
    <cfRule type="cellIs" dxfId="6" priority="3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H1533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2" max="2" width="14.44140625" customWidth="1"/>
    <col min="3" max="3" width="38" customWidth="1"/>
  </cols>
  <sheetData>
    <row r="1" spans="1:8" ht="24.6">
      <c r="A1" s="397" t="s">
        <v>1576</v>
      </c>
      <c r="B1" s="385"/>
      <c r="C1" s="385"/>
      <c r="D1" s="385"/>
      <c r="E1" s="385"/>
      <c r="F1" s="385"/>
      <c r="G1" s="386"/>
    </row>
    <row r="2" spans="1:8" ht="13.2">
      <c r="A2" s="141" t="s">
        <v>69</v>
      </c>
      <c r="B2" s="94" t="s">
        <v>382</v>
      </c>
      <c r="C2" s="94" t="s">
        <v>383</v>
      </c>
      <c r="D2" s="94" t="s">
        <v>384</v>
      </c>
      <c r="E2" s="96" t="s">
        <v>1577</v>
      </c>
      <c r="F2" s="95" t="s">
        <v>1578</v>
      </c>
      <c r="G2" s="96" t="s">
        <v>1579</v>
      </c>
      <c r="H2" s="142" t="s">
        <v>1580</v>
      </c>
    </row>
    <row r="3" spans="1:8" ht="13.2" hidden="1">
      <c r="A3" s="398">
        <v>2</v>
      </c>
      <c r="B3" s="28" t="s">
        <v>744</v>
      </c>
      <c r="C3" s="143" t="str">
        <f>VLOOKUP(B3,'Danh mục hàng hóa'!$C$3:$D$643,2,0)</f>
        <v>Kẹp tóc hoa sứ đỏ hồng đậm</v>
      </c>
      <c r="D3" s="144" t="str">
        <f>VLOOKUP(B3,'Danh mục hàng hóa'!$C$3:$E$656,3,0)</f>
        <v>cái</v>
      </c>
      <c r="E3" s="145">
        <v>1.71</v>
      </c>
      <c r="F3" s="101">
        <v>5</v>
      </c>
      <c r="G3" s="125">
        <f t="shared" ref="G3:G257" si="0">E3*F3</f>
        <v>8.5500000000000007</v>
      </c>
    </row>
    <row r="4" spans="1:8" ht="13.2" hidden="1">
      <c r="A4" s="372"/>
      <c r="B4" s="28" t="s">
        <v>732</v>
      </c>
      <c r="C4" s="143" t="str">
        <f>VLOOKUP(B4,'Danh mục hàng hóa'!$C$3:$D$643,2,0)</f>
        <v>Kẹp tóc hoa sứ tím</v>
      </c>
      <c r="D4" s="144" t="str">
        <f>VLOOKUP(B4,'Danh mục hàng hóa'!$C$3:$E$656,3,0)</f>
        <v>cái</v>
      </c>
      <c r="E4" s="145">
        <v>1.71</v>
      </c>
      <c r="F4" s="101">
        <v>20</v>
      </c>
      <c r="G4" s="125">
        <f t="shared" si="0"/>
        <v>34.200000000000003</v>
      </c>
    </row>
    <row r="5" spans="1:8" ht="13.2" hidden="1">
      <c r="A5" s="372"/>
      <c r="B5" s="28" t="s">
        <v>734</v>
      </c>
      <c r="C5" s="143" t="str">
        <f>VLOOKUP(B5,'Danh mục hàng hóa'!$C$3:$D$643,2,0)</f>
        <v>Kẹp tóc hoa sứ hồng</v>
      </c>
      <c r="D5" s="144" t="str">
        <f>VLOOKUP(B5,'Danh mục hàng hóa'!$C$3:$E$656,3,0)</f>
        <v>cái</v>
      </c>
      <c r="E5" s="145">
        <v>1.71</v>
      </c>
      <c r="F5" s="101">
        <v>20</v>
      </c>
      <c r="G5" s="125">
        <f t="shared" si="0"/>
        <v>34.200000000000003</v>
      </c>
    </row>
    <row r="6" spans="1:8" ht="13.2" hidden="1">
      <c r="A6" s="372"/>
      <c r="B6" s="28" t="s">
        <v>742</v>
      </c>
      <c r="C6" s="143" t="str">
        <f>VLOOKUP(B6,'Danh mục hàng hóa'!$C$3:$D$643,2,0)</f>
        <v>Kẹp tóc hoa sứ xanh</v>
      </c>
      <c r="D6" s="144" t="str">
        <f>VLOOKUP(B6,'Danh mục hàng hóa'!$C$3:$E$656,3,0)</f>
        <v>cái</v>
      </c>
      <c r="E6" s="145">
        <v>1.71</v>
      </c>
      <c r="F6" s="101">
        <v>20</v>
      </c>
      <c r="G6" s="125">
        <f t="shared" si="0"/>
        <v>34.200000000000003</v>
      </c>
    </row>
    <row r="7" spans="1:8" ht="13.2" hidden="1">
      <c r="A7" s="372"/>
      <c r="B7" s="28" t="s">
        <v>736</v>
      </c>
      <c r="C7" s="143" t="str">
        <f>VLOOKUP(B7,'Danh mục hàng hóa'!$C$3:$D$643,2,0)</f>
        <v>Kẹp tóc hoa sứ vàng</v>
      </c>
      <c r="D7" s="144" t="str">
        <f>VLOOKUP(B7,'Danh mục hàng hóa'!$C$3:$E$656,3,0)</f>
        <v>cái</v>
      </c>
      <c r="E7" s="145">
        <v>1.71</v>
      </c>
      <c r="F7" s="101">
        <v>20</v>
      </c>
      <c r="G7" s="125">
        <f t="shared" si="0"/>
        <v>34.200000000000003</v>
      </c>
    </row>
    <row r="8" spans="1:8" ht="13.2" hidden="1">
      <c r="A8" s="372"/>
      <c r="B8" s="28" t="s">
        <v>740</v>
      </c>
      <c r="C8" s="143" t="str">
        <f>VLOOKUP(B8,'Danh mục hàng hóa'!$C$3:$D$643,2,0)</f>
        <v>Kẹp tóc hoa sứ đỏ</v>
      </c>
      <c r="D8" s="144" t="str">
        <f>VLOOKUP(B8,'Danh mục hàng hóa'!$C$3:$E$656,3,0)</f>
        <v>cái</v>
      </c>
      <c r="E8" s="145">
        <v>1.71</v>
      </c>
      <c r="F8" s="146">
        <v>20</v>
      </c>
      <c r="G8" s="125">
        <f t="shared" si="0"/>
        <v>34.200000000000003</v>
      </c>
    </row>
    <row r="9" spans="1:8" ht="13.2" hidden="1">
      <c r="A9" s="373"/>
      <c r="B9" s="28" t="s">
        <v>738</v>
      </c>
      <c r="C9" s="143" t="str">
        <f>VLOOKUP(B9,'Danh mục hàng hóa'!$C$3:$D$643,2,0)</f>
        <v>Kẹp tóc hoa sứ cam</v>
      </c>
      <c r="D9" s="144" t="str">
        <f>VLOOKUP(B9,'Danh mục hàng hóa'!$C$3:$E$656,3,0)</f>
        <v>cái</v>
      </c>
      <c r="E9" s="145">
        <v>1.71</v>
      </c>
      <c r="F9" s="101">
        <v>20</v>
      </c>
      <c r="G9" s="125">
        <f t="shared" si="0"/>
        <v>34.200000000000003</v>
      </c>
    </row>
    <row r="10" spans="1:8" ht="13.2" hidden="1">
      <c r="A10" s="399">
        <v>5</v>
      </c>
      <c r="B10" s="33" t="s">
        <v>807</v>
      </c>
      <c r="C10" s="147" t="str">
        <f>VLOOKUP(B10,'Danh mục hàng hóa'!$C$3:$D$643,2,0)</f>
        <v>Kẹp tóc bướm trắng</v>
      </c>
      <c r="D10" s="148" t="str">
        <f>VLOOKUP(B10,'Danh mục hàng hóa'!$C$3:$E$656,3,0)</f>
        <v>cái</v>
      </c>
      <c r="E10" s="149">
        <v>1.62</v>
      </c>
      <c r="F10" s="109">
        <v>9</v>
      </c>
      <c r="G10" s="150">
        <f t="shared" si="0"/>
        <v>14.580000000000002</v>
      </c>
    </row>
    <row r="11" spans="1:8" ht="13.2" hidden="1">
      <c r="A11" s="372"/>
      <c r="B11" s="33" t="s">
        <v>802</v>
      </c>
      <c r="C11" s="147" t="str">
        <f>VLOOKUP(B11,'Danh mục hàng hóa'!$C$3:$D$643,2,0)</f>
        <v>Kẹp tóc bướm hồng đỏ</v>
      </c>
      <c r="D11" s="148" t="str">
        <f>VLOOKUP(B11,'Danh mục hàng hóa'!$C$3:$E$656,3,0)</f>
        <v>cái</v>
      </c>
      <c r="E11" s="149">
        <v>1.62</v>
      </c>
      <c r="F11" s="109">
        <v>9</v>
      </c>
      <c r="G11" s="150">
        <f t="shared" si="0"/>
        <v>14.580000000000002</v>
      </c>
    </row>
    <row r="12" spans="1:8" ht="13.2" hidden="1">
      <c r="A12" s="372"/>
      <c r="B12" s="33" t="s">
        <v>804</v>
      </c>
      <c r="C12" s="147" t="str">
        <f>VLOOKUP(B12,'Danh mục hàng hóa'!$C$3:$D$643,2,0)</f>
        <v>Kẹp tóc bướm tím</v>
      </c>
      <c r="D12" s="148" t="str">
        <f>VLOOKUP(B12,'Danh mục hàng hóa'!$C$3:$E$656,3,0)</f>
        <v>cái</v>
      </c>
      <c r="E12" s="149">
        <v>1.62</v>
      </c>
      <c r="F12" s="109">
        <v>9</v>
      </c>
      <c r="G12" s="150">
        <f t="shared" si="0"/>
        <v>14.580000000000002</v>
      </c>
    </row>
    <row r="13" spans="1:8" ht="13.2" hidden="1">
      <c r="A13" s="372"/>
      <c r="B13" s="33" t="s">
        <v>805</v>
      </c>
      <c r="C13" s="147" t="str">
        <f>VLOOKUP(B13,'Danh mục hàng hóa'!$C$3:$D$643,2,0)</f>
        <v>Kẹp tóc bướm cam</v>
      </c>
      <c r="D13" s="148" t="str">
        <f>VLOOKUP(B13,'Danh mục hàng hóa'!$C$3:$E$656,3,0)</f>
        <v>cái</v>
      </c>
      <c r="E13" s="149">
        <v>1.62</v>
      </c>
      <c r="F13" s="109">
        <v>9</v>
      </c>
      <c r="G13" s="150">
        <f t="shared" si="0"/>
        <v>14.580000000000002</v>
      </c>
    </row>
    <row r="14" spans="1:8" ht="13.2" hidden="1">
      <c r="A14" s="372"/>
      <c r="B14" s="33" t="s">
        <v>810</v>
      </c>
      <c r="C14" s="147" t="str">
        <f>VLOOKUP(B14,'Danh mục hàng hóa'!$C$3:$D$643,2,0)</f>
        <v>Kẹp tóc bướm xanh da trời</v>
      </c>
      <c r="D14" s="148" t="str">
        <f>VLOOKUP(B14,'Danh mục hàng hóa'!$C$3:$E$656,3,0)</f>
        <v>cái</v>
      </c>
      <c r="E14" s="149">
        <v>1.55</v>
      </c>
      <c r="F14" s="109">
        <v>15</v>
      </c>
      <c r="G14" s="150">
        <f t="shared" si="0"/>
        <v>23.25</v>
      </c>
    </row>
    <row r="15" spans="1:8" ht="13.2" hidden="1">
      <c r="A15" s="372"/>
      <c r="B15" s="33" t="s">
        <v>808</v>
      </c>
      <c r="C15" s="147" t="str">
        <f>VLOOKUP(B15,'Danh mục hàng hóa'!$C$3:$D$643,2,0)</f>
        <v>Kẹp tóc bướm xanh lá</v>
      </c>
      <c r="D15" s="148" t="str">
        <f>VLOOKUP(B15,'Danh mục hàng hóa'!$C$3:$E$656,3,0)</f>
        <v>cái</v>
      </c>
      <c r="E15" s="149">
        <v>1.55</v>
      </c>
      <c r="F15" s="109">
        <v>15</v>
      </c>
      <c r="G15" s="150">
        <f t="shared" si="0"/>
        <v>23.25</v>
      </c>
    </row>
    <row r="16" spans="1:8" ht="13.2" hidden="1">
      <c r="A16" s="372"/>
      <c r="B16" s="33" t="s">
        <v>812</v>
      </c>
      <c r="C16" s="147" t="str">
        <f>VLOOKUP(B16,'Danh mục hàng hóa'!$C$3:$D$643,2,0)</f>
        <v>Kẹp tóc bướm tím</v>
      </c>
      <c r="D16" s="148" t="str">
        <f>VLOOKUP(B16,'Danh mục hàng hóa'!$C$3:$E$656,3,0)</f>
        <v>cái</v>
      </c>
      <c r="E16" s="149">
        <v>1.55</v>
      </c>
      <c r="F16" s="109">
        <v>15</v>
      </c>
      <c r="G16" s="150">
        <f t="shared" si="0"/>
        <v>23.25</v>
      </c>
    </row>
    <row r="17" spans="1:7" ht="13.2" hidden="1">
      <c r="A17" s="372"/>
      <c r="B17" s="33" t="s">
        <v>813</v>
      </c>
      <c r="C17" s="147" t="str">
        <f>VLOOKUP(B17,'Danh mục hàng hóa'!$C$3:$D$643,2,0)</f>
        <v>Kẹp tóc bướm hồng nhạt</v>
      </c>
      <c r="D17" s="148" t="str">
        <f>VLOOKUP(B17,'Danh mục hàng hóa'!$C$3:$E$656,3,0)</f>
        <v>cái</v>
      </c>
      <c r="E17" s="149">
        <v>1.55</v>
      </c>
      <c r="F17" s="109">
        <v>15</v>
      </c>
      <c r="G17" s="150">
        <f t="shared" si="0"/>
        <v>23.25</v>
      </c>
    </row>
    <row r="18" spans="1:7" ht="13.2" hidden="1">
      <c r="A18" s="372"/>
      <c r="B18" s="33" t="s">
        <v>815</v>
      </c>
      <c r="C18" s="147" t="str">
        <f>VLOOKUP(B18,'Danh mục hàng hóa'!$C$3:$D$643,2,0)</f>
        <v>Kẹp tóc bướm đen</v>
      </c>
      <c r="D18" s="148" t="str">
        <f>VLOOKUP(B18,'Danh mục hàng hóa'!$C$3:$E$656,3,0)</f>
        <v>cái</v>
      </c>
      <c r="E18" s="149">
        <v>1.55</v>
      </c>
      <c r="F18" s="109">
        <v>15</v>
      </c>
      <c r="G18" s="150">
        <f t="shared" si="0"/>
        <v>23.25</v>
      </c>
    </row>
    <row r="19" spans="1:7" ht="13.2" hidden="1">
      <c r="A19" s="372"/>
      <c r="B19" s="33" t="s">
        <v>411</v>
      </c>
      <c r="C19" s="147" t="str">
        <f>VLOOKUP(B19,'Danh mục hàng hóa'!$C$3:$D$643,2,0)</f>
        <v>Túi chườm bụng thỏ dứa 500ml</v>
      </c>
      <c r="D19" s="148" t="str">
        <f>VLOOKUP(B19,'Danh mục hàng hóa'!$C$3:$E$656,3,0)</f>
        <v>túi</v>
      </c>
      <c r="E19" s="149">
        <v>9.76</v>
      </c>
      <c r="F19" s="109">
        <v>4</v>
      </c>
      <c r="G19" s="150">
        <f t="shared" si="0"/>
        <v>39.04</v>
      </c>
    </row>
    <row r="20" spans="1:7" ht="13.2" hidden="1">
      <c r="A20" s="372"/>
      <c r="B20" s="33" t="s">
        <v>405</v>
      </c>
      <c r="C20" s="147" t="str">
        <f>VLOOKUP(B20,'Danh mục hàng hóa'!$C$3:$D$643,2,0)</f>
        <v>Túi chườm bụng dâu xanh nhạt 1000ml</v>
      </c>
      <c r="D20" s="148" t="str">
        <f>VLOOKUP(B20,'Danh mục hàng hóa'!$C$3:$E$656,3,0)</f>
        <v>túi</v>
      </c>
      <c r="E20" s="149">
        <v>11.57</v>
      </c>
      <c r="F20" s="109">
        <v>1</v>
      </c>
      <c r="G20" s="150">
        <f t="shared" si="0"/>
        <v>11.57</v>
      </c>
    </row>
    <row r="21" spans="1:7" ht="13.2" hidden="1">
      <c r="A21" s="372"/>
      <c r="B21" s="33" t="s">
        <v>401</v>
      </c>
      <c r="C21" s="147" t="str">
        <f>VLOOKUP(B21,'Danh mục hàng hóa'!$C$3:$D$643,2,0)</f>
        <v>Túi chườm bụng dứa xanh đậm  1000ml</v>
      </c>
      <c r="D21" s="148" t="str">
        <f>VLOOKUP(B21,'Danh mục hàng hóa'!$C$3:$E$656,3,0)</f>
        <v>túi</v>
      </c>
      <c r="E21" s="149">
        <v>11.57</v>
      </c>
      <c r="F21" s="109">
        <v>1</v>
      </c>
      <c r="G21" s="150">
        <f t="shared" si="0"/>
        <v>11.57</v>
      </c>
    </row>
    <row r="22" spans="1:7" ht="13.2" hidden="1">
      <c r="A22" s="372"/>
      <c r="B22" s="33" t="s">
        <v>399</v>
      </c>
      <c r="C22" s="147" t="str">
        <f>VLOOKUP(B22,'Danh mục hàng hóa'!$C$3:$D$643,2,0)</f>
        <v>Túi chườm bụng dâu (xanh) 500ml</v>
      </c>
      <c r="D22" s="148" t="str">
        <f>VLOOKUP(B22,'Danh mục hàng hóa'!$C$3:$E$656,3,0)</f>
        <v>túi</v>
      </c>
      <c r="E22" s="149">
        <v>9.76</v>
      </c>
      <c r="F22" s="109">
        <v>3</v>
      </c>
      <c r="G22" s="150">
        <f t="shared" si="0"/>
        <v>29.28</v>
      </c>
    </row>
    <row r="23" spans="1:7" ht="13.2" hidden="1">
      <c r="A23" s="372"/>
      <c r="B23" s="33" t="s">
        <v>395</v>
      </c>
      <c r="C23" s="147" t="str">
        <f>VLOOKUP(B23,'Danh mục hàng hóa'!$C$3:$D$643,2,0)</f>
        <v>Túi chườm bụng trái bơ 500ml</v>
      </c>
      <c r="D23" s="148" t="str">
        <f>VLOOKUP(B23,'Danh mục hàng hóa'!$C$3:$E$656,3,0)</f>
        <v>túi</v>
      </c>
      <c r="E23" s="149">
        <v>9.76</v>
      </c>
      <c r="F23" s="109">
        <v>3</v>
      </c>
      <c r="G23" s="150">
        <f t="shared" si="0"/>
        <v>29.28</v>
      </c>
    </row>
    <row r="24" spans="1:7" ht="13.2" hidden="1">
      <c r="A24" s="372"/>
      <c r="B24" s="33" t="s">
        <v>403</v>
      </c>
      <c r="C24" s="147" t="str">
        <f>VLOOKUP(B24,'Danh mục hàng hóa'!$C$3:$D$643,2,0)</f>
        <v>Túi chườm bụng dứa xanh đậm  500ml</v>
      </c>
      <c r="D24" s="148" t="str">
        <f>VLOOKUP(B24,'Danh mục hàng hóa'!$C$3:$E$656,3,0)</f>
        <v>túi</v>
      </c>
      <c r="E24" s="149">
        <v>9.76</v>
      </c>
      <c r="F24" s="109">
        <v>3</v>
      </c>
      <c r="G24" s="150">
        <f t="shared" si="0"/>
        <v>29.28</v>
      </c>
    </row>
    <row r="25" spans="1:7" ht="13.2" hidden="1">
      <c r="A25" s="372"/>
      <c r="B25" s="151" t="s">
        <v>409</v>
      </c>
      <c r="C25" s="147" t="str">
        <f>VLOOKUP(B25,'Danh mục hàng hóa'!$C$3:$D$643,2,0)</f>
        <v>Túi chườm bụng thỏ dứa 1000ml</v>
      </c>
      <c r="D25" s="148" t="str">
        <f>VLOOKUP(B25,'Danh mục hàng hóa'!$C$3:$E$656,3,0)</f>
        <v>túi</v>
      </c>
      <c r="E25" s="149">
        <v>11.57</v>
      </c>
      <c r="F25" s="109">
        <v>2</v>
      </c>
      <c r="G25" s="150">
        <f t="shared" si="0"/>
        <v>23.14</v>
      </c>
    </row>
    <row r="26" spans="1:7" ht="13.2" hidden="1">
      <c r="A26" s="372"/>
      <c r="B26" s="33" t="s">
        <v>392</v>
      </c>
      <c r="C26" s="147" t="str">
        <f>VLOOKUP(B26,'Danh mục hàng hóa'!$C$3:$D$643,2,0)</f>
        <v>Túi chườm bụng trái bơ 1000ml</v>
      </c>
      <c r="D26" s="148" t="str">
        <f>VLOOKUP(B26,'Danh mục hàng hóa'!$C$3:$E$656,3,0)</f>
        <v>túi</v>
      </c>
      <c r="E26" s="149">
        <v>11.57</v>
      </c>
      <c r="F26" s="109">
        <v>1</v>
      </c>
      <c r="G26" s="150">
        <f t="shared" si="0"/>
        <v>11.57</v>
      </c>
    </row>
    <row r="27" spans="1:7" ht="13.2" hidden="1">
      <c r="A27" s="373"/>
      <c r="B27" s="33" t="s">
        <v>397</v>
      </c>
      <c r="C27" s="147" t="str">
        <f>VLOOKUP(B27,'Danh mục hàng hóa'!$C$3:$D$643,2,0)</f>
        <v>Túi chườm bụng dâu (xanh) 1000ml</v>
      </c>
      <c r="D27" s="148" t="str">
        <f>VLOOKUP(B27,'Danh mục hàng hóa'!$C$3:$E$656,3,0)</f>
        <v>túi</v>
      </c>
      <c r="E27" s="149">
        <v>11.57</v>
      </c>
      <c r="F27" s="109">
        <v>1</v>
      </c>
      <c r="G27" s="150">
        <f t="shared" si="0"/>
        <v>11.57</v>
      </c>
    </row>
    <row r="28" spans="1:7" ht="13.2" hidden="1">
      <c r="A28" s="400">
        <v>10</v>
      </c>
      <c r="B28" s="124" t="s">
        <v>887</v>
      </c>
      <c r="C28" s="143" t="str">
        <f>VLOOKUP(B28,'Danh mục hàng hóa'!$C$3:$D$643,2,0)</f>
        <v>Mèo chong chóng</v>
      </c>
      <c r="D28" s="144" t="str">
        <f>VLOOKUP(B28,'Danh mục hàng hóa'!$C$3:$E$656,3,0)</f>
        <v>cái</v>
      </c>
      <c r="E28" s="145">
        <v>6.76</v>
      </c>
      <c r="F28" s="101">
        <v>3</v>
      </c>
      <c r="G28" s="125">
        <f t="shared" si="0"/>
        <v>20.28</v>
      </c>
    </row>
    <row r="29" spans="1:7" ht="13.2" hidden="1">
      <c r="A29" s="372"/>
      <c r="B29" s="28" t="s">
        <v>897</v>
      </c>
      <c r="C29" s="143" t="str">
        <f>VLOOKUP(B29,'Danh mục hàng hóa'!$C$3:$D$643,2,0)</f>
        <v>Thỏ ú bay</v>
      </c>
      <c r="D29" s="144" t="str">
        <f>VLOOKUP(B29,'Danh mục hàng hóa'!$C$3:$E$656,3,0)</f>
        <v>cái</v>
      </c>
      <c r="E29" s="145">
        <v>7.62</v>
      </c>
      <c r="F29" s="101">
        <v>4</v>
      </c>
      <c r="G29" s="125">
        <f t="shared" si="0"/>
        <v>30.48</v>
      </c>
    </row>
    <row r="30" spans="1:7" ht="13.2" hidden="1">
      <c r="A30" s="372"/>
      <c r="B30" s="28" t="s">
        <v>905</v>
      </c>
      <c r="C30" s="143" t="str">
        <f>VLOOKUP(B30,'Danh mục hàng hóa'!$C$3:$D$643,2,0)</f>
        <v>Vịt ú bay</v>
      </c>
      <c r="D30" s="144" t="str">
        <f>VLOOKUP(B30,'Danh mục hàng hóa'!$C$3:$E$656,3,0)</f>
        <v>cái</v>
      </c>
      <c r="E30" s="145">
        <v>7.62</v>
      </c>
      <c r="F30" s="101">
        <v>12</v>
      </c>
      <c r="G30" s="125">
        <f t="shared" si="0"/>
        <v>91.44</v>
      </c>
    </row>
    <row r="31" spans="1:7" ht="13.2" hidden="1">
      <c r="A31" s="372"/>
      <c r="B31" s="124" t="s">
        <v>893</v>
      </c>
      <c r="C31" s="143" t="str">
        <f>VLOOKUP(B31,'Danh mục hàng hóa'!$C$3:$D$643,2,0)</f>
        <v>Heo ú bay</v>
      </c>
      <c r="D31" s="144" t="str">
        <f>VLOOKUP(B31,'Danh mục hàng hóa'!$C$3:$E$656,3,0)</f>
        <v>cái</v>
      </c>
      <c r="E31" s="145">
        <v>7.62</v>
      </c>
      <c r="F31" s="101">
        <v>5</v>
      </c>
      <c r="G31" s="125">
        <f t="shared" si="0"/>
        <v>38.1</v>
      </c>
    </row>
    <row r="32" spans="1:7" ht="13.2" hidden="1">
      <c r="A32" s="372"/>
      <c r="B32" s="28" t="s">
        <v>895</v>
      </c>
      <c r="C32" s="143" t="str">
        <f>VLOOKUP(B32,'Danh mục hàng hóa'!$C$3:$D$643,2,0)</f>
        <v>Thỏ chong chóng</v>
      </c>
      <c r="D32" s="144" t="str">
        <f>VLOOKUP(B32,'Danh mục hàng hóa'!$C$3:$E$656,3,0)</f>
        <v>cái</v>
      </c>
      <c r="E32" s="145">
        <v>6.76</v>
      </c>
      <c r="F32" s="101">
        <v>8</v>
      </c>
      <c r="G32" s="125">
        <f t="shared" si="0"/>
        <v>54.08</v>
      </c>
    </row>
    <row r="33" spans="1:7" ht="13.2" hidden="1">
      <c r="A33" s="372"/>
      <c r="B33" s="28" t="s">
        <v>885</v>
      </c>
      <c r="C33" s="143" t="str">
        <f>VLOOKUP(B33,'Danh mục hàng hóa'!$C$3:$D$643,2,0)</f>
        <v>Gấu chong chóng</v>
      </c>
      <c r="D33" s="144" t="str">
        <f>VLOOKUP(B33,'Danh mục hàng hóa'!$C$3:$E$656,3,0)</f>
        <v>cái</v>
      </c>
      <c r="E33" s="145">
        <v>6.76</v>
      </c>
      <c r="F33" s="101">
        <v>3</v>
      </c>
      <c r="G33" s="125">
        <f t="shared" si="0"/>
        <v>20.28</v>
      </c>
    </row>
    <row r="34" spans="1:7" ht="13.2" hidden="1">
      <c r="A34" s="372"/>
      <c r="B34" s="28" t="s">
        <v>891</v>
      </c>
      <c r="C34" s="143" t="str">
        <f>VLOOKUP(B34,'Danh mục hàng hóa'!$C$3:$D$643,2,0)</f>
        <v>Heo ú</v>
      </c>
      <c r="D34" s="144" t="str">
        <f>VLOOKUP(B34,'Danh mục hàng hóa'!$C$3:$E$656,3,0)</f>
        <v>cái</v>
      </c>
      <c r="E34" s="145">
        <v>6.76</v>
      </c>
      <c r="F34" s="101">
        <v>12</v>
      </c>
      <c r="G34" s="125">
        <f t="shared" si="0"/>
        <v>81.12</v>
      </c>
    </row>
    <row r="35" spans="1:7" ht="13.2" hidden="1">
      <c r="A35" s="372"/>
      <c r="B35" s="28" t="s">
        <v>889</v>
      </c>
      <c r="C35" s="143" t="str">
        <f>VLOOKUP(B35,'Danh mục hàng hóa'!$C$3:$D$643,2,0)</f>
        <v>Mèo ú bay</v>
      </c>
      <c r="D35" s="144" t="str">
        <f>VLOOKUP(B35,'Danh mục hàng hóa'!$C$3:$E$656,3,0)</f>
        <v>cái</v>
      </c>
      <c r="E35" s="145">
        <v>7.62</v>
      </c>
      <c r="F35" s="101">
        <v>2</v>
      </c>
      <c r="G35" s="125">
        <f t="shared" si="0"/>
        <v>15.24</v>
      </c>
    </row>
    <row r="36" spans="1:7" ht="13.2" hidden="1">
      <c r="A36" s="372"/>
      <c r="B36" s="124" t="s">
        <v>798</v>
      </c>
      <c r="C36" s="143" t="str">
        <f>VLOOKUP(B36,'Danh mục hàng hóa'!$C$3:$D$643,2,0)</f>
        <v>Kẹp tóc bướm trắng</v>
      </c>
      <c r="D36" s="144" t="str">
        <f>VLOOKUP(B36,'Danh mục hàng hóa'!$C$3:$E$656,3,0)</f>
        <v>cái</v>
      </c>
      <c r="E36" s="145">
        <v>4.75</v>
      </c>
      <c r="F36" s="101">
        <v>20</v>
      </c>
      <c r="G36" s="125">
        <f t="shared" si="0"/>
        <v>95</v>
      </c>
    </row>
    <row r="37" spans="1:7" ht="13.2" hidden="1">
      <c r="A37" s="372"/>
      <c r="B37" s="28" t="s">
        <v>794</v>
      </c>
      <c r="C37" s="143" t="str">
        <f>VLOOKUP(B37,'Danh mục hàng hóa'!$C$3:$D$643,2,0)</f>
        <v>Kẹp tóc bướm xanh tím</v>
      </c>
      <c r="D37" s="144" t="str">
        <f>VLOOKUP(B37,'Danh mục hàng hóa'!$C$3:$E$656,3,0)</f>
        <v>cái</v>
      </c>
      <c r="E37" s="145">
        <v>4.75</v>
      </c>
      <c r="F37" s="101">
        <v>20</v>
      </c>
      <c r="G37" s="125">
        <f t="shared" si="0"/>
        <v>95</v>
      </c>
    </row>
    <row r="38" spans="1:7" ht="13.2" hidden="1">
      <c r="A38" s="372"/>
      <c r="B38" s="28" t="s">
        <v>827</v>
      </c>
      <c r="C38" s="143" t="str">
        <f>VLOOKUP(B38,'Danh mục hàng hóa'!$C$3:$D$643,2,0)</f>
        <v>Kẹp tóc bướm hồng</v>
      </c>
      <c r="D38" s="144" t="str">
        <f>VLOOKUP(B38,'Danh mục hàng hóa'!$C$3:$E$656,3,0)</f>
        <v>cái</v>
      </c>
      <c r="E38" s="145">
        <v>4.75</v>
      </c>
      <c r="F38" s="101">
        <v>60</v>
      </c>
      <c r="G38" s="125">
        <f t="shared" si="0"/>
        <v>285</v>
      </c>
    </row>
    <row r="39" spans="1:7" ht="13.2" hidden="1">
      <c r="A39" s="372"/>
      <c r="B39" s="124" t="s">
        <v>788</v>
      </c>
      <c r="C39" s="143" t="str">
        <f>VLOOKUP(B39,'Danh mục hàng hóa'!$C$3:$D$643,2,0)</f>
        <v>Kẹp tóc bướm hồng phấn</v>
      </c>
      <c r="D39" s="144" t="str">
        <f>VLOOKUP(B39,'Danh mục hàng hóa'!$C$3:$E$656,3,0)</f>
        <v>cái</v>
      </c>
      <c r="E39" s="145">
        <v>4.75</v>
      </c>
      <c r="F39" s="101">
        <v>60</v>
      </c>
      <c r="G39" s="125">
        <f t="shared" si="0"/>
        <v>285</v>
      </c>
    </row>
    <row r="40" spans="1:7" ht="13.2" hidden="1">
      <c r="A40" s="372"/>
      <c r="B40" s="153" t="s">
        <v>798</v>
      </c>
      <c r="C40" s="143" t="str">
        <f>VLOOKUP(B40,'Danh mục hàng hóa'!$C$3:$D$643,2,0)</f>
        <v>Kẹp tóc bướm trắng</v>
      </c>
      <c r="D40" s="144" t="str">
        <f>VLOOKUP(B40,'Danh mục hàng hóa'!$C$3:$E$656,3,0)</f>
        <v>cái</v>
      </c>
      <c r="E40" s="145">
        <v>4.75</v>
      </c>
      <c r="F40" s="101">
        <v>10</v>
      </c>
      <c r="G40" s="125">
        <f t="shared" si="0"/>
        <v>47.5</v>
      </c>
    </row>
    <row r="41" spans="1:7" ht="13.2" hidden="1">
      <c r="A41" s="372"/>
      <c r="B41" s="153" t="s">
        <v>794</v>
      </c>
      <c r="C41" s="143" t="str">
        <f>VLOOKUP(B41,'Danh mục hàng hóa'!$C$3:$D$643,2,0)</f>
        <v>Kẹp tóc bướm xanh tím</v>
      </c>
      <c r="D41" s="144" t="str">
        <f>VLOOKUP(B41,'Danh mục hàng hóa'!$C$3:$E$656,3,0)</f>
        <v>cái</v>
      </c>
      <c r="E41" s="145">
        <v>4.75</v>
      </c>
      <c r="F41" s="101">
        <v>10</v>
      </c>
      <c r="G41" s="125">
        <f t="shared" si="0"/>
        <v>47.5</v>
      </c>
    </row>
    <row r="42" spans="1:7" ht="13.2" hidden="1">
      <c r="A42" s="372"/>
      <c r="B42" s="153" t="s">
        <v>792</v>
      </c>
      <c r="C42" s="143" t="str">
        <f>VLOOKUP(B42,'Danh mục hàng hóa'!$C$3:$D$643,2,0)</f>
        <v>Kẹp tóc bướm xanh ngọc</v>
      </c>
      <c r="D42" s="144" t="str">
        <f>VLOOKUP(B42,'Danh mục hàng hóa'!$C$3:$E$656,3,0)</f>
        <v>cái</v>
      </c>
      <c r="E42" s="145">
        <v>4.75</v>
      </c>
      <c r="F42" s="101">
        <v>10</v>
      </c>
      <c r="G42" s="125">
        <f t="shared" si="0"/>
        <v>47.5</v>
      </c>
    </row>
    <row r="43" spans="1:7" ht="13.2" hidden="1">
      <c r="A43" s="372"/>
      <c r="B43" s="153" t="s">
        <v>800</v>
      </c>
      <c r="C43" s="143" t="str">
        <f>VLOOKUP(B43,'Danh mục hàng hóa'!$C$3:$D$643,2,0)</f>
        <v>Kẹp tóc bướm kem</v>
      </c>
      <c r="D43" s="144" t="str">
        <f>VLOOKUP(B43,'Danh mục hàng hóa'!$C$3:$E$656,3,0)</f>
        <v>cái</v>
      </c>
      <c r="E43" s="145">
        <v>4.75</v>
      </c>
      <c r="F43" s="101">
        <v>5</v>
      </c>
      <c r="G43" s="125">
        <f t="shared" si="0"/>
        <v>23.75</v>
      </c>
    </row>
    <row r="44" spans="1:7" ht="13.2" hidden="1">
      <c r="A44" s="372"/>
      <c r="B44" s="153" t="s">
        <v>790</v>
      </c>
      <c r="C44" s="143" t="str">
        <f>VLOOKUP(B44,'Danh mục hàng hóa'!$C$3:$D$643,2,0)</f>
        <v xml:space="preserve">Kẹp tóc bướm hồng </v>
      </c>
      <c r="D44" s="144" t="str">
        <f>VLOOKUP(B44,'Danh mục hàng hóa'!$C$3:$E$656,3,0)</f>
        <v>cái</v>
      </c>
      <c r="E44" s="145">
        <v>4.75</v>
      </c>
      <c r="F44" s="101">
        <v>10</v>
      </c>
      <c r="G44" s="125">
        <f t="shared" si="0"/>
        <v>47.5</v>
      </c>
    </row>
    <row r="45" spans="1:7" ht="13.2" hidden="1">
      <c r="A45" s="372"/>
      <c r="B45" s="153" t="s">
        <v>790</v>
      </c>
      <c r="C45" s="143" t="str">
        <f>VLOOKUP(B45,'Danh mục hàng hóa'!$C$3:$D$643,2,0)</f>
        <v xml:space="preserve">Kẹp tóc bướm hồng </v>
      </c>
      <c r="D45" s="144" t="str">
        <f>VLOOKUP(B45,'Danh mục hàng hóa'!$C$3:$E$656,3,0)</f>
        <v>cái</v>
      </c>
      <c r="E45" s="145">
        <v>4.8899999999999997</v>
      </c>
      <c r="F45" s="101">
        <v>20</v>
      </c>
      <c r="G45" s="125">
        <f t="shared" si="0"/>
        <v>97.8</v>
      </c>
    </row>
    <row r="46" spans="1:7" ht="13.2" hidden="1">
      <c r="A46" s="372"/>
      <c r="B46" s="153" t="s">
        <v>798</v>
      </c>
      <c r="C46" s="143" t="str">
        <f>VLOOKUP(B46,'Danh mục hàng hóa'!$C$3:$D$643,2,0)</f>
        <v>Kẹp tóc bướm trắng</v>
      </c>
      <c r="D46" s="144" t="str">
        <f>VLOOKUP(B46,'Danh mục hàng hóa'!$C$3:$E$656,3,0)</f>
        <v>cái</v>
      </c>
      <c r="E46" s="145">
        <v>4.8899999999999997</v>
      </c>
      <c r="F46" s="101">
        <v>10</v>
      </c>
      <c r="G46" s="125">
        <f t="shared" si="0"/>
        <v>48.9</v>
      </c>
    </row>
    <row r="47" spans="1:7" ht="13.2" hidden="1">
      <c r="A47" s="372"/>
      <c r="B47" s="153" t="s">
        <v>800</v>
      </c>
      <c r="C47" s="143" t="str">
        <f>VLOOKUP(B47,'Danh mục hàng hóa'!$C$3:$D$643,2,0)</f>
        <v>Kẹp tóc bướm kem</v>
      </c>
      <c r="D47" s="144" t="str">
        <f>VLOOKUP(B47,'Danh mục hàng hóa'!$C$3:$E$656,3,0)</f>
        <v>cái</v>
      </c>
      <c r="E47" s="145">
        <v>4.8899999999999997</v>
      </c>
      <c r="F47" s="101">
        <v>7</v>
      </c>
      <c r="G47" s="125">
        <f t="shared" si="0"/>
        <v>34.229999999999997</v>
      </c>
    </row>
    <row r="48" spans="1:7" ht="13.2" hidden="1">
      <c r="A48" s="372"/>
      <c r="B48" s="153" t="s">
        <v>794</v>
      </c>
      <c r="C48" s="143" t="str">
        <f>VLOOKUP(B48,'Danh mục hàng hóa'!$C$3:$D$643,2,0)</f>
        <v>Kẹp tóc bướm xanh tím</v>
      </c>
      <c r="D48" s="144" t="str">
        <f>VLOOKUP(B48,'Danh mục hàng hóa'!$C$3:$E$656,3,0)</f>
        <v>cái</v>
      </c>
      <c r="E48" s="145">
        <v>4.8899999999999997</v>
      </c>
      <c r="F48" s="101">
        <v>12</v>
      </c>
      <c r="G48" s="125">
        <f t="shared" si="0"/>
        <v>58.679999999999993</v>
      </c>
    </row>
    <row r="49" spans="1:7" ht="13.2" hidden="1">
      <c r="A49" s="372"/>
      <c r="B49" s="153" t="s">
        <v>792</v>
      </c>
      <c r="C49" s="143" t="str">
        <f>VLOOKUP(B49,'Danh mục hàng hóa'!$C$3:$D$643,2,0)</f>
        <v>Kẹp tóc bướm xanh ngọc</v>
      </c>
      <c r="D49" s="144" t="str">
        <f>VLOOKUP(B49,'Danh mục hàng hóa'!$C$3:$E$656,3,0)</f>
        <v>cái</v>
      </c>
      <c r="E49" s="145">
        <v>4.8899999999999997</v>
      </c>
      <c r="F49" s="101">
        <v>20</v>
      </c>
      <c r="G49" s="125">
        <f t="shared" si="0"/>
        <v>97.8</v>
      </c>
    </row>
    <row r="50" spans="1:7" ht="13.2" hidden="1">
      <c r="A50" s="372"/>
      <c r="B50" s="153" t="s">
        <v>788</v>
      </c>
      <c r="C50" s="143" t="str">
        <f>VLOOKUP(B50,'Danh mục hàng hóa'!$C$3:$D$643,2,0)</f>
        <v>Kẹp tóc bướm hồng phấn</v>
      </c>
      <c r="D50" s="144" t="str">
        <f>VLOOKUP(B50,'Danh mục hàng hóa'!$C$3:$E$656,3,0)</f>
        <v>cái</v>
      </c>
      <c r="E50" s="145">
        <v>4.8899999999999997</v>
      </c>
      <c r="F50" s="101">
        <v>5</v>
      </c>
      <c r="G50" s="125">
        <f t="shared" si="0"/>
        <v>24.45</v>
      </c>
    </row>
    <row r="51" spans="1:7" ht="13.2" hidden="1">
      <c r="A51" s="372"/>
      <c r="B51" s="153" t="s">
        <v>720</v>
      </c>
      <c r="C51" s="143" t="str">
        <f>VLOOKUP(B51,'Danh mục hàng hóa'!$C$3:$D$643,2,0)</f>
        <v>Kẹp nơ trắng</v>
      </c>
      <c r="D51" s="144" t="str">
        <f>VLOOKUP(B51,'Danh mục hàng hóa'!$C$3:$E$656,3,0)</f>
        <v>cái</v>
      </c>
      <c r="E51" s="145">
        <v>2.4500000000000002</v>
      </c>
      <c r="F51" s="101">
        <v>7</v>
      </c>
      <c r="G51" s="125">
        <f t="shared" si="0"/>
        <v>17.150000000000002</v>
      </c>
    </row>
    <row r="52" spans="1:7" ht="13.2" hidden="1">
      <c r="A52" s="372"/>
      <c r="B52" s="153" t="s">
        <v>719</v>
      </c>
      <c r="C52" s="143" t="str">
        <f>VLOOKUP(B52,'Danh mục hàng hóa'!$C$3:$D$643,2,0)</f>
        <v>Kẹp nơ hồng</v>
      </c>
      <c r="D52" s="144" t="str">
        <f>VLOOKUP(B52,'Danh mục hàng hóa'!$C$3:$E$656,3,0)</f>
        <v>cái</v>
      </c>
      <c r="E52" s="145">
        <v>2.4500000000000002</v>
      </c>
      <c r="F52" s="101">
        <v>30</v>
      </c>
      <c r="G52" s="125">
        <f t="shared" si="0"/>
        <v>73.5</v>
      </c>
    </row>
    <row r="53" spans="1:7" ht="13.2" hidden="1">
      <c r="A53" s="372"/>
      <c r="B53" s="153" t="s">
        <v>730</v>
      </c>
      <c r="C53" s="143" t="str">
        <f>VLOOKUP(B53,'Danh mục hàng hóa'!$C$3:$D$643,2,0)</f>
        <v>Kẹp nơ xanh</v>
      </c>
      <c r="D53" s="144" t="str">
        <f>VLOOKUP(B53,'Danh mục hàng hóa'!$C$3:$E$656,3,0)</f>
        <v>cái</v>
      </c>
      <c r="E53" s="145">
        <v>2.4500000000000002</v>
      </c>
      <c r="F53" s="101">
        <v>1</v>
      </c>
      <c r="G53" s="125">
        <f t="shared" si="0"/>
        <v>2.4500000000000002</v>
      </c>
    </row>
    <row r="54" spans="1:7" ht="13.2" hidden="1">
      <c r="A54" s="372"/>
      <c r="B54" s="153" t="s">
        <v>907</v>
      </c>
      <c r="C54" s="143" t="str">
        <f>VLOOKUP(B54,'Danh mục hàng hóa'!$C$3:$D$643,2,0)</f>
        <v>Cáo gắn xe</v>
      </c>
      <c r="D54" s="144" t="str">
        <f>VLOOKUP(B54,'Danh mục hàng hóa'!$C$3:$E$656,3,0)</f>
        <v>cái</v>
      </c>
      <c r="E54" s="145">
        <v>4.71</v>
      </c>
      <c r="F54" s="101">
        <v>7</v>
      </c>
      <c r="G54" s="125">
        <f t="shared" si="0"/>
        <v>32.97</v>
      </c>
    </row>
    <row r="55" spans="1:7" ht="13.2" hidden="1">
      <c r="A55" s="372"/>
      <c r="B55" s="153" t="s">
        <v>913</v>
      </c>
      <c r="C55" s="143" t="str">
        <f>VLOOKUP(B55,'Danh mục hàng hóa'!$C$3:$D$643,2,0)</f>
        <v>Thỏ máy bay gắn xe</v>
      </c>
      <c r="D55" s="144" t="str">
        <f>VLOOKUP(B55,'Danh mục hàng hóa'!$C$3:$E$656,3,0)</f>
        <v>cái</v>
      </c>
      <c r="E55" s="145">
        <v>4.71</v>
      </c>
      <c r="F55" s="101">
        <v>5</v>
      </c>
      <c r="G55" s="125">
        <f t="shared" si="0"/>
        <v>23.55</v>
      </c>
    </row>
    <row r="56" spans="1:7" ht="13.2" hidden="1">
      <c r="A56" s="372"/>
      <c r="B56" s="28" t="s">
        <v>915</v>
      </c>
      <c r="C56" s="143" t="str">
        <f>VLOOKUP(B56,'Danh mục hàng hóa'!$C$3:$D$643,2,0)</f>
        <v>Thỏ chạy xe gắn xe</v>
      </c>
      <c r="D56" s="144" t="str">
        <f>VLOOKUP(B56,'Danh mục hàng hóa'!$C$3:$E$656,3,0)</f>
        <v>cái</v>
      </c>
      <c r="E56" s="145">
        <v>4.71</v>
      </c>
      <c r="F56" s="101">
        <v>45</v>
      </c>
      <c r="G56" s="125">
        <f t="shared" si="0"/>
        <v>211.95</v>
      </c>
    </row>
    <row r="57" spans="1:7" ht="13.2" hidden="1">
      <c r="A57" s="372"/>
      <c r="B57" s="28" t="s">
        <v>911</v>
      </c>
      <c r="C57" s="143" t="str">
        <f>VLOOKUP(B57,'Danh mục hàng hóa'!$C$3:$D$643,2,0)</f>
        <v>Gấu nâu gắn xe</v>
      </c>
      <c r="D57" s="144" t="str">
        <f>VLOOKUP(B57,'Danh mục hàng hóa'!$C$3:$E$656,3,0)</f>
        <v>cái</v>
      </c>
      <c r="E57" s="145">
        <v>4.71</v>
      </c>
      <c r="F57" s="101">
        <v>3</v>
      </c>
      <c r="G57" s="125">
        <f t="shared" si="0"/>
        <v>14.129999999999999</v>
      </c>
    </row>
    <row r="58" spans="1:7" ht="13.2" hidden="1">
      <c r="A58" s="372"/>
      <c r="B58" s="28" t="s">
        <v>917</v>
      </c>
      <c r="C58" s="143" t="str">
        <f>VLOOKUP(B58,'Danh mục hàng hóa'!$C$3:$D$643,2,0)</f>
        <v>Thỏ đi vịt gắn xe</v>
      </c>
      <c r="D58" s="144" t="str">
        <f>VLOOKUP(B58,'Danh mục hàng hóa'!$C$3:$E$656,3,0)</f>
        <v>cái</v>
      </c>
      <c r="E58" s="145">
        <v>4.71</v>
      </c>
      <c r="F58" s="101">
        <v>8</v>
      </c>
      <c r="G58" s="125">
        <f t="shared" si="0"/>
        <v>37.68</v>
      </c>
    </row>
    <row r="59" spans="1:7" ht="13.2" hidden="1">
      <c r="A59" s="372"/>
      <c r="B59" s="28" t="s">
        <v>919</v>
      </c>
      <c r="C59" s="143" t="str">
        <f>VLOOKUP(B59,'Danh mục hàng hóa'!$C$3:$D$643,2,0)</f>
        <v>Thỏ mặt trăng gắn xe</v>
      </c>
      <c r="D59" s="144" t="str">
        <f>VLOOKUP(B59,'Danh mục hàng hóa'!$C$3:$E$656,3,0)</f>
        <v>cái</v>
      </c>
      <c r="E59" s="145">
        <v>4.71</v>
      </c>
      <c r="F59" s="101">
        <v>15</v>
      </c>
      <c r="G59" s="125">
        <f t="shared" si="0"/>
        <v>70.650000000000006</v>
      </c>
    </row>
    <row r="60" spans="1:7" ht="13.2" hidden="1">
      <c r="A60" s="372"/>
      <c r="B60" s="28" t="s">
        <v>981</v>
      </c>
      <c r="C60" s="143" t="str">
        <f>VLOOKUP(B60,'Danh mục hàng hóa'!$C$3:$D$643,2,0)</f>
        <v>Móc khóa đôi corgy</v>
      </c>
      <c r="D60" s="144" t="str">
        <f>VLOOKUP(B60,'Danh mục hàng hóa'!$C$3:$E$656,3,0)</f>
        <v>cái</v>
      </c>
      <c r="E60" s="145">
        <v>5.82</v>
      </c>
      <c r="F60" s="101">
        <v>10</v>
      </c>
      <c r="G60" s="125">
        <f t="shared" si="0"/>
        <v>58.2</v>
      </c>
    </row>
    <row r="61" spans="1:7" ht="13.2" hidden="1">
      <c r="A61" s="372"/>
      <c r="B61" s="28" t="s">
        <v>985</v>
      </c>
      <c r="C61" s="143" t="str">
        <f>VLOOKUP(B61,'Danh mục hàng hóa'!$C$3:$D$643,2,0)</f>
        <v>Móc khóa đôi gấu trúc</v>
      </c>
      <c r="D61" s="144" t="str">
        <f>VLOOKUP(B61,'Danh mục hàng hóa'!$C$3:$E$656,3,0)</f>
        <v>cái</v>
      </c>
      <c r="E61" s="145">
        <v>5.82</v>
      </c>
      <c r="F61" s="101">
        <v>8</v>
      </c>
      <c r="G61" s="125">
        <f t="shared" si="0"/>
        <v>46.56</v>
      </c>
    </row>
    <row r="62" spans="1:7" ht="13.2" hidden="1">
      <c r="A62" s="372"/>
      <c r="B62" s="28" t="s">
        <v>989</v>
      </c>
      <c r="C62" s="143" t="str">
        <f>VLOOKUP(B62,'Danh mục hàng hóa'!$C$3:$D$643,2,0)</f>
        <v>Móc khóa đôi 2 quả lê có nam châm</v>
      </c>
      <c r="D62" s="144" t="str">
        <f>VLOOKUP(B62,'Danh mục hàng hóa'!$C$3:$E$656,3,0)</f>
        <v>cái</v>
      </c>
      <c r="E62" s="145">
        <v>6.9</v>
      </c>
      <c r="F62" s="101">
        <v>40</v>
      </c>
      <c r="G62" s="125">
        <f t="shared" si="0"/>
        <v>276</v>
      </c>
    </row>
    <row r="63" spans="1:7" ht="13.2" hidden="1">
      <c r="A63" s="372"/>
      <c r="B63" s="28" t="s">
        <v>987</v>
      </c>
      <c r="C63" s="143" t="str">
        <f>VLOOKUP(B63,'Danh mục hàng hóa'!$C$3:$D$643,2,0)</f>
        <v>Móc khóa đôi gà rán bia</v>
      </c>
      <c r="D63" s="144" t="str">
        <f>VLOOKUP(B63,'Danh mục hàng hóa'!$C$3:$E$656,3,0)</f>
        <v>cái</v>
      </c>
      <c r="E63" s="145">
        <v>6.8</v>
      </c>
      <c r="F63" s="101">
        <v>30</v>
      </c>
      <c r="G63" s="125">
        <f t="shared" si="0"/>
        <v>204</v>
      </c>
    </row>
    <row r="64" spans="1:7" ht="13.2" hidden="1">
      <c r="A64" s="372"/>
      <c r="B64" s="28" t="s">
        <v>821</v>
      </c>
      <c r="C64" s="143" t="str">
        <f>VLOOKUP(B64,'Danh mục hàng hóa'!$C$3:$D$643,2,0)</f>
        <v>Kẹp tóc bướm hồng loang xanh</v>
      </c>
      <c r="D64" s="144" t="str">
        <f>VLOOKUP(B64,'Danh mục hàng hóa'!$C$3:$E$656,3,0)</f>
        <v>cái</v>
      </c>
      <c r="E64" s="145">
        <v>5.6</v>
      </c>
      <c r="F64" s="101">
        <v>15</v>
      </c>
      <c r="G64" s="125">
        <f t="shared" si="0"/>
        <v>84</v>
      </c>
    </row>
    <row r="65" spans="1:7" ht="13.2" hidden="1">
      <c r="A65" s="372"/>
      <c r="B65" s="28" t="s">
        <v>819</v>
      </c>
      <c r="C65" s="143" t="str">
        <f>VLOOKUP(B65,'Danh mục hàng hóa'!$C$3:$D$643,2,0)</f>
        <v>Kẹp tóc bướm xanh trắng</v>
      </c>
      <c r="D65" s="144" t="str">
        <f>VLOOKUP(B65,'Danh mục hàng hóa'!$C$3:$E$656,3,0)</f>
        <v>cái</v>
      </c>
      <c r="E65" s="145">
        <v>5.6</v>
      </c>
      <c r="F65" s="101">
        <v>15</v>
      </c>
      <c r="G65" s="125">
        <f t="shared" si="0"/>
        <v>84</v>
      </c>
    </row>
    <row r="66" spans="1:7" ht="13.2" hidden="1">
      <c r="A66" s="372"/>
      <c r="B66" s="28" t="s">
        <v>817</v>
      </c>
      <c r="C66" s="143" t="str">
        <f>VLOOKUP(B66,'Danh mục hàng hóa'!$C$3:$D$643,2,0)</f>
        <v>Kẹp tóc bướm hồng trắng</v>
      </c>
      <c r="D66" s="144" t="str">
        <f>VLOOKUP(B66,'Danh mục hàng hóa'!$C$3:$E$656,3,0)</f>
        <v>cái</v>
      </c>
      <c r="E66" s="145">
        <v>5.6</v>
      </c>
      <c r="F66" s="101">
        <v>15</v>
      </c>
      <c r="G66" s="125">
        <f t="shared" si="0"/>
        <v>84</v>
      </c>
    </row>
    <row r="67" spans="1:7" ht="13.2" hidden="1">
      <c r="A67" s="372"/>
      <c r="B67" s="28" t="s">
        <v>825</v>
      </c>
      <c r="C67" s="143" t="str">
        <f>VLOOKUP(B67,'Danh mục hàng hóa'!$C$3:$D$643,2,0)</f>
        <v>Kẹp tóc bướm hồng cam</v>
      </c>
      <c r="D67" s="144" t="str">
        <f>VLOOKUP(B67,'Danh mục hàng hóa'!$C$3:$E$656,3,0)</f>
        <v>cái</v>
      </c>
      <c r="E67" s="145">
        <v>5.6</v>
      </c>
      <c r="F67" s="101">
        <v>15</v>
      </c>
      <c r="G67" s="125">
        <f t="shared" si="0"/>
        <v>84</v>
      </c>
    </row>
    <row r="68" spans="1:7" ht="13.2" hidden="1">
      <c r="A68" s="373"/>
      <c r="B68" s="28" t="s">
        <v>823</v>
      </c>
      <c r="C68" s="143" t="str">
        <f>VLOOKUP(B68,'Danh mục hàng hóa'!$C$3:$D$643,2,0)</f>
        <v>Kẹp tóc bướm xanh vàng</v>
      </c>
      <c r="D68" s="144" t="str">
        <f>VLOOKUP(B68,'Danh mục hàng hóa'!$C$3:$E$656,3,0)</f>
        <v>cái</v>
      </c>
      <c r="E68" s="145">
        <v>5.6</v>
      </c>
      <c r="F68" s="101">
        <v>15</v>
      </c>
      <c r="G68" s="125">
        <f t="shared" si="0"/>
        <v>84</v>
      </c>
    </row>
    <row r="69" spans="1:7" ht="13.2" hidden="1">
      <c r="A69" s="399">
        <v>14</v>
      </c>
      <c r="B69" s="33" t="s">
        <v>821</v>
      </c>
      <c r="C69" s="147" t="str">
        <f>VLOOKUP(B69,'Danh mục hàng hóa'!$C$3:$D$643,2,0)</f>
        <v>Kẹp tóc bướm hồng loang xanh</v>
      </c>
      <c r="D69" s="148" t="str">
        <f>VLOOKUP(B69,'Danh mục hàng hóa'!$C$3:$E$656,3,0)</f>
        <v>cái</v>
      </c>
      <c r="E69" s="149">
        <v>5.7</v>
      </c>
      <c r="F69" s="109">
        <v>10</v>
      </c>
      <c r="G69" s="150">
        <f t="shared" si="0"/>
        <v>57</v>
      </c>
    </row>
    <row r="70" spans="1:7" ht="13.2" hidden="1">
      <c r="A70" s="372"/>
      <c r="B70" s="33" t="s">
        <v>819</v>
      </c>
      <c r="C70" s="147" t="str">
        <f>VLOOKUP(B70,'Danh mục hàng hóa'!$C$3:$D$643,2,0)</f>
        <v>Kẹp tóc bướm xanh trắng</v>
      </c>
      <c r="D70" s="148" t="str">
        <f>VLOOKUP(B70,'Danh mục hàng hóa'!$C$3:$E$656,3,0)</f>
        <v>cái</v>
      </c>
      <c r="E70" s="149">
        <v>5.7</v>
      </c>
      <c r="F70" s="109">
        <v>20</v>
      </c>
      <c r="G70" s="150">
        <f t="shared" si="0"/>
        <v>114</v>
      </c>
    </row>
    <row r="71" spans="1:7" ht="13.2" hidden="1">
      <c r="A71" s="372"/>
      <c r="B71" s="33" t="s">
        <v>829</v>
      </c>
      <c r="C71" s="147" t="str">
        <f>VLOOKUP(B71,'Danh mục hàng hóa'!$C$3:$D$643,2,0)</f>
        <v>Kẹp tóc bướm trắng</v>
      </c>
      <c r="D71" s="148" t="str">
        <f>VLOOKUP(B71,'Danh mục hàng hóa'!$C$3:$E$656,3,0)</f>
        <v>cái</v>
      </c>
      <c r="E71" s="149">
        <v>5.7</v>
      </c>
      <c r="F71" s="109">
        <v>10</v>
      </c>
      <c r="G71" s="150">
        <f t="shared" si="0"/>
        <v>57</v>
      </c>
    </row>
    <row r="72" spans="1:7" ht="13.2" hidden="1">
      <c r="A72" s="372"/>
      <c r="B72" s="33" t="s">
        <v>817</v>
      </c>
      <c r="C72" s="147" t="str">
        <f>VLOOKUP(B72,'Danh mục hàng hóa'!$C$3:$D$643,2,0)</f>
        <v>Kẹp tóc bướm hồng trắng</v>
      </c>
      <c r="D72" s="148" t="str">
        <f>VLOOKUP(B72,'Danh mục hàng hóa'!$C$3:$E$656,3,0)</f>
        <v>cái</v>
      </c>
      <c r="E72" s="149">
        <v>5.7</v>
      </c>
      <c r="F72" s="109">
        <v>21</v>
      </c>
      <c r="G72" s="150">
        <f t="shared" si="0"/>
        <v>119.7</v>
      </c>
    </row>
    <row r="73" spans="1:7" ht="13.2" hidden="1">
      <c r="A73" s="372"/>
      <c r="B73" s="33" t="s">
        <v>825</v>
      </c>
      <c r="C73" s="147" t="str">
        <f>VLOOKUP(B73,'Danh mục hàng hóa'!$C$3:$D$643,2,0)</f>
        <v>Kẹp tóc bướm hồng cam</v>
      </c>
      <c r="D73" s="148" t="str">
        <f>VLOOKUP(B73,'Danh mục hàng hóa'!$C$3:$E$656,3,0)</f>
        <v>cái</v>
      </c>
      <c r="E73" s="149">
        <v>5.7</v>
      </c>
      <c r="F73" s="109">
        <v>10</v>
      </c>
      <c r="G73" s="150">
        <f t="shared" si="0"/>
        <v>57</v>
      </c>
    </row>
    <row r="74" spans="1:7" ht="13.2" hidden="1">
      <c r="A74" s="372"/>
      <c r="B74" s="33" t="s">
        <v>823</v>
      </c>
      <c r="C74" s="147" t="str">
        <f>VLOOKUP(B74,'Danh mục hàng hóa'!$C$3:$D$643,2,0)</f>
        <v>Kẹp tóc bướm xanh vàng</v>
      </c>
      <c r="D74" s="148" t="str">
        <f>VLOOKUP(B74,'Danh mục hàng hóa'!$C$3:$E$656,3,0)</f>
        <v>cái</v>
      </c>
      <c r="E74" s="149">
        <v>5.7</v>
      </c>
      <c r="F74" s="109">
        <v>13</v>
      </c>
      <c r="G74" s="150">
        <f t="shared" si="0"/>
        <v>74.100000000000009</v>
      </c>
    </row>
    <row r="75" spans="1:7" ht="13.2" hidden="1">
      <c r="A75" s="372"/>
      <c r="B75" s="33" t="s">
        <v>724</v>
      </c>
      <c r="C75" s="147" t="str">
        <f>VLOOKUP(B75,'Danh mục hàng hóa'!$C$3:$D$643,2,0)</f>
        <v>Kẹp nơ nâu</v>
      </c>
      <c r="D75" s="148" t="str">
        <f>VLOOKUP(B75,'Danh mục hàng hóa'!$C$3:$E$656,3,0)</f>
        <v>cái</v>
      </c>
      <c r="E75" s="149">
        <v>2.4500000000000002</v>
      </c>
      <c r="F75" s="109">
        <v>5</v>
      </c>
      <c r="G75" s="150">
        <f t="shared" si="0"/>
        <v>12.25</v>
      </c>
    </row>
    <row r="76" spans="1:7" ht="13.2" hidden="1">
      <c r="A76" s="372"/>
      <c r="B76" s="33" t="s">
        <v>726</v>
      </c>
      <c r="C76" s="147" t="str">
        <f>VLOOKUP(B76,'Danh mục hàng hóa'!$C$3:$D$643,2,0)</f>
        <v>Kẹp nơ xanh đen</v>
      </c>
      <c r="D76" s="148" t="str">
        <f>VLOOKUP(B76,'Danh mục hàng hóa'!$C$3:$E$656,3,0)</f>
        <v>cái</v>
      </c>
      <c r="E76" s="149">
        <v>2.4500000000000002</v>
      </c>
      <c r="F76" s="109">
        <v>5</v>
      </c>
      <c r="G76" s="150">
        <f t="shared" si="0"/>
        <v>12.25</v>
      </c>
    </row>
    <row r="77" spans="1:7" ht="13.2" hidden="1">
      <c r="A77" s="372"/>
      <c r="B77" s="33" t="s">
        <v>720</v>
      </c>
      <c r="C77" s="147" t="str">
        <f>VLOOKUP(B77,'Danh mục hàng hóa'!$C$3:$D$643,2,0)</f>
        <v>Kẹp nơ trắng</v>
      </c>
      <c r="D77" s="148" t="str">
        <f>VLOOKUP(B77,'Danh mục hàng hóa'!$C$3:$E$656,3,0)</f>
        <v>cái</v>
      </c>
      <c r="E77" s="149">
        <v>2.4500000000000002</v>
      </c>
      <c r="F77" s="109">
        <v>10</v>
      </c>
      <c r="G77" s="150">
        <f t="shared" si="0"/>
        <v>24.5</v>
      </c>
    </row>
    <row r="78" spans="1:7" ht="13.2" hidden="1">
      <c r="A78" s="372"/>
      <c r="B78" s="33" t="s">
        <v>719</v>
      </c>
      <c r="C78" s="147" t="str">
        <f>VLOOKUP(B78,'Danh mục hàng hóa'!$C$3:$D$643,2,0)</f>
        <v>Kẹp nơ hồng</v>
      </c>
      <c r="D78" s="148" t="str">
        <f>VLOOKUP(B78,'Danh mục hàng hóa'!$C$3:$E$656,3,0)</f>
        <v>cái</v>
      </c>
      <c r="E78" s="149">
        <v>2.4500000000000002</v>
      </c>
      <c r="F78" s="109">
        <v>20</v>
      </c>
      <c r="G78" s="150">
        <f t="shared" si="0"/>
        <v>49</v>
      </c>
    </row>
    <row r="79" spans="1:7" ht="13.2" hidden="1">
      <c r="A79" s="372"/>
      <c r="B79" s="33" t="s">
        <v>728</v>
      </c>
      <c r="C79" s="147" t="str">
        <f>VLOOKUP(B79,'Danh mục hàng hóa'!$C$3:$D$643,2,0)</f>
        <v>Kẹp nơ đen</v>
      </c>
      <c r="D79" s="148" t="str">
        <f>VLOOKUP(B79,'Danh mục hàng hóa'!$C$3:$E$656,3,0)</f>
        <v>cái</v>
      </c>
      <c r="E79" s="149">
        <v>2.4500000000000002</v>
      </c>
      <c r="F79" s="109">
        <v>5</v>
      </c>
      <c r="G79" s="150">
        <f t="shared" si="0"/>
        <v>12.25</v>
      </c>
    </row>
    <row r="80" spans="1:7" ht="13.2" hidden="1">
      <c r="A80" s="373"/>
      <c r="B80" s="33" t="s">
        <v>722</v>
      </c>
      <c r="C80" s="147" t="str">
        <f>VLOOKUP(B80,'Danh mục hàng hóa'!$C$3:$D$643,2,0)</f>
        <v>Kẹp nơ nâu nhạt</v>
      </c>
      <c r="D80" s="148" t="str">
        <f>VLOOKUP(B80,'Danh mục hàng hóa'!$C$3:$E$656,3,0)</f>
        <v>cái</v>
      </c>
      <c r="E80" s="149">
        <v>2.4500000000000002</v>
      </c>
      <c r="F80" s="109">
        <v>5</v>
      </c>
      <c r="G80" s="150">
        <f t="shared" si="0"/>
        <v>12.25</v>
      </c>
    </row>
    <row r="81" spans="1:7" ht="13.2" hidden="1">
      <c r="A81" s="398">
        <v>16</v>
      </c>
      <c r="B81" s="28" t="s">
        <v>794</v>
      </c>
      <c r="C81" s="143" t="str">
        <f>VLOOKUP(B81,'Danh mục hàng hóa'!$C$3:$D$643,2,0)</f>
        <v>Kẹp tóc bướm xanh tím</v>
      </c>
      <c r="D81" s="144" t="str">
        <f>VLOOKUP(B81,'Danh mục hàng hóa'!$C$3:$E$656,3,0)</f>
        <v>cái</v>
      </c>
      <c r="E81" s="145">
        <v>4.75</v>
      </c>
      <c r="F81" s="101">
        <v>5</v>
      </c>
      <c r="G81" s="125">
        <f t="shared" si="0"/>
        <v>23.75</v>
      </c>
    </row>
    <row r="82" spans="1:7" ht="13.2" hidden="1">
      <c r="A82" s="372"/>
      <c r="B82" s="28" t="s">
        <v>792</v>
      </c>
      <c r="C82" s="143" t="str">
        <f>VLOOKUP(B82,'Danh mục hàng hóa'!$C$3:$D$643,2,0)</f>
        <v>Kẹp tóc bướm xanh ngọc</v>
      </c>
      <c r="D82" s="144" t="str">
        <f>VLOOKUP(B82,'Danh mục hàng hóa'!$C$3:$E$656,3,0)</f>
        <v>cái</v>
      </c>
      <c r="E82" s="145">
        <v>4.75</v>
      </c>
      <c r="F82" s="101">
        <v>5</v>
      </c>
      <c r="G82" s="125">
        <f t="shared" si="0"/>
        <v>23.75</v>
      </c>
    </row>
    <row r="83" spans="1:7" ht="13.2" hidden="1">
      <c r="A83" s="372"/>
      <c r="B83" s="28" t="s">
        <v>796</v>
      </c>
      <c r="C83" s="143" t="str">
        <f>VLOOKUP(B83,'Danh mục hàng hóa'!$C$3:$D$643,2,0)</f>
        <v>Kẹp tóc bướm tím</v>
      </c>
      <c r="D83" s="144" t="str">
        <f>VLOOKUP(B83,'Danh mục hàng hóa'!$C$3:$E$656,3,0)</f>
        <v>cái</v>
      </c>
      <c r="E83" s="145">
        <v>4.75</v>
      </c>
      <c r="F83" s="101">
        <v>5</v>
      </c>
      <c r="G83" s="125">
        <f t="shared" si="0"/>
        <v>23.75</v>
      </c>
    </row>
    <row r="84" spans="1:7" ht="13.2" hidden="1">
      <c r="A84" s="372"/>
      <c r="B84" s="28" t="s">
        <v>800</v>
      </c>
      <c r="C84" s="143" t="str">
        <f>VLOOKUP(B84,'Danh mục hàng hóa'!$C$3:$D$643,2,0)</f>
        <v>Kẹp tóc bướm kem</v>
      </c>
      <c r="D84" s="144" t="str">
        <f>VLOOKUP(B84,'Danh mục hàng hóa'!$C$3:$E$656,3,0)</f>
        <v>cái</v>
      </c>
      <c r="E84" s="145">
        <v>4.75</v>
      </c>
      <c r="F84" s="101">
        <v>5</v>
      </c>
      <c r="G84" s="125">
        <f t="shared" si="0"/>
        <v>23.75</v>
      </c>
    </row>
    <row r="85" spans="1:7" ht="13.2" hidden="1">
      <c r="A85" s="372"/>
      <c r="B85" s="28" t="s">
        <v>790</v>
      </c>
      <c r="C85" s="143" t="str">
        <f>VLOOKUP(B85,'Danh mục hàng hóa'!$C$3:$D$643,2,0)</f>
        <v xml:space="preserve">Kẹp tóc bướm hồng </v>
      </c>
      <c r="D85" s="144" t="str">
        <f>VLOOKUP(B85,'Danh mục hàng hóa'!$C$3:$E$656,3,0)</f>
        <v>cái</v>
      </c>
      <c r="E85" s="145">
        <v>4.75</v>
      </c>
      <c r="F85" s="101">
        <v>5</v>
      </c>
      <c r="G85" s="125">
        <f t="shared" si="0"/>
        <v>23.75</v>
      </c>
    </row>
    <row r="86" spans="1:7" ht="13.2" hidden="1">
      <c r="A86" s="372"/>
      <c r="B86" s="28" t="s">
        <v>788</v>
      </c>
      <c r="C86" s="143" t="str">
        <f>VLOOKUP(B86,'Danh mục hàng hóa'!$C$3:$D$643,2,0)</f>
        <v>Kẹp tóc bướm hồng phấn</v>
      </c>
      <c r="D86" s="144" t="str">
        <f>VLOOKUP(B86,'Danh mục hàng hóa'!$C$3:$E$656,3,0)</f>
        <v>cái</v>
      </c>
      <c r="E86" s="145">
        <v>4.75</v>
      </c>
      <c r="F86" s="101">
        <v>5</v>
      </c>
      <c r="G86" s="125">
        <f t="shared" si="0"/>
        <v>23.75</v>
      </c>
    </row>
    <row r="87" spans="1:7" ht="13.2" hidden="1">
      <c r="A87" s="372"/>
      <c r="B87" s="28" t="s">
        <v>830</v>
      </c>
      <c r="C87" s="143" t="str">
        <f>VLOOKUP(B87,'Thống kê'!$C$3:$D$669,2,0)</f>
        <v>Kẹp càng cua lông hình gấu nâu đậm</v>
      </c>
      <c r="D87" s="144" t="str">
        <f>VLOOKUP(B87,'Thống kê'!$C$3:$E$682,3,0)</f>
        <v>cái</v>
      </c>
      <c r="E87" s="145">
        <v>1.79</v>
      </c>
      <c r="F87" s="101">
        <v>14</v>
      </c>
      <c r="G87" s="125">
        <f t="shared" si="0"/>
        <v>25.060000000000002</v>
      </c>
    </row>
    <row r="88" spans="1:7" ht="13.2" hidden="1">
      <c r="A88" s="372"/>
      <c r="B88" s="28" t="s">
        <v>832</v>
      </c>
      <c r="C88" s="143" t="str">
        <f>VLOOKUP(B88,'Thống kê'!$C$3:$D$669,2,0)</f>
        <v>Kẹp càng cua lông hình gấu nâu gấu trắng</v>
      </c>
      <c r="D88" s="144" t="str">
        <f>VLOOKUP(B88,'Thống kê'!$C$3:$E$682,3,0)</f>
        <v>cái</v>
      </c>
      <c r="E88" s="145">
        <v>1.79</v>
      </c>
      <c r="F88" s="101">
        <v>14</v>
      </c>
      <c r="G88" s="125">
        <f t="shared" si="0"/>
        <v>25.060000000000002</v>
      </c>
    </row>
    <row r="89" spans="1:7" ht="13.2" hidden="1">
      <c r="A89" s="372"/>
      <c r="B89" s="28" t="s">
        <v>834</v>
      </c>
      <c r="C89" s="143" t="str">
        <f>VLOOKUP(B89,'Thống kê'!$C$3:$D$669,2,0)</f>
        <v>Kẹp càng cua lông hình gấu nâu gấu nâu</v>
      </c>
      <c r="D89" s="144" t="str">
        <f>VLOOKUP(B89,'Thống kê'!$C$3:$E$682,3,0)</f>
        <v>cái</v>
      </c>
      <c r="E89" s="145">
        <v>1.79</v>
      </c>
      <c r="F89" s="101">
        <v>14</v>
      </c>
      <c r="G89" s="125">
        <f t="shared" si="0"/>
        <v>25.060000000000002</v>
      </c>
    </row>
    <row r="90" spans="1:7" ht="13.2" hidden="1">
      <c r="A90" s="373"/>
      <c r="B90" s="28" t="s">
        <v>836</v>
      </c>
      <c r="C90" s="143" t="str">
        <f>VLOOKUP(B90,'Thống kê'!$C$3:$D$669,2,0)</f>
        <v>Kẹp càng cua lông hình gấu be</v>
      </c>
      <c r="D90" s="144" t="str">
        <f>VLOOKUP(B90,'Thống kê'!$C$3:$E$682,3,0)</f>
        <v>cái</v>
      </c>
      <c r="E90" s="145">
        <v>1.79</v>
      </c>
      <c r="F90" s="101">
        <v>12</v>
      </c>
      <c r="G90" s="125">
        <f t="shared" si="0"/>
        <v>21.48</v>
      </c>
    </row>
    <row r="91" spans="1:7" ht="13.2" hidden="1">
      <c r="A91" s="399">
        <v>27</v>
      </c>
      <c r="B91" s="33" t="s">
        <v>989</v>
      </c>
      <c r="C91" s="147" t="str">
        <f>VLOOKUP(B91,'Thống kê'!$C$3:$D$669,2,0)</f>
        <v>Móc khóa đôi 2 quả lê có nam châm</v>
      </c>
      <c r="D91" s="148" t="str">
        <f>VLOOKUP(B91,'Thống kê'!$C$3:$E$682,3,0)</f>
        <v>cái</v>
      </c>
      <c r="E91" s="149">
        <v>6.81</v>
      </c>
      <c r="F91" s="109">
        <v>16</v>
      </c>
      <c r="G91" s="150">
        <f t="shared" si="0"/>
        <v>108.96</v>
      </c>
    </row>
    <row r="92" spans="1:7" ht="13.2" hidden="1">
      <c r="A92" s="372"/>
      <c r="B92" s="33" t="s">
        <v>991</v>
      </c>
      <c r="C92" s="147" t="str">
        <f>VLOOKUP(B92,'Thống kê'!$C$3:$D$669,2,0)</f>
        <v>Móc khóa đôi 2 mèo trắng nâu</v>
      </c>
      <c r="D92" s="148" t="str">
        <f>VLOOKUP(B92,'Thống kê'!$C$3:$E$682,3,0)</f>
        <v>cái</v>
      </c>
      <c r="E92" s="149">
        <v>6.81</v>
      </c>
      <c r="F92" s="109">
        <v>20</v>
      </c>
      <c r="G92" s="150">
        <f t="shared" si="0"/>
        <v>136.19999999999999</v>
      </c>
    </row>
    <row r="93" spans="1:7" ht="13.2" hidden="1">
      <c r="A93" s="372"/>
      <c r="B93" s="33" t="s">
        <v>598</v>
      </c>
      <c r="C93" s="147" t="str">
        <f>VLOOKUP(B93,'Thống kê'!$C$3:$D$669,2,0)</f>
        <v>Kẹp tóc rêu</v>
      </c>
      <c r="D93" s="148" t="str">
        <f>VLOOKUP(B93,'Thống kê'!$C$3:$E$682,3,0)</f>
        <v>cái</v>
      </c>
      <c r="E93" s="149">
        <v>0.98</v>
      </c>
      <c r="F93" s="109">
        <v>10</v>
      </c>
      <c r="G93" s="150">
        <f t="shared" si="0"/>
        <v>9.8000000000000007</v>
      </c>
    </row>
    <row r="94" spans="1:7" ht="13.2" hidden="1">
      <c r="A94" s="372"/>
      <c r="B94" s="33" t="s">
        <v>592</v>
      </c>
      <c r="C94" s="147" t="str">
        <f>VLOOKUP(B94,'Thống kê'!$C$3:$D$669,2,0)</f>
        <v>Kẹp tóc hồng</v>
      </c>
      <c r="D94" s="148" t="str">
        <f>VLOOKUP(B94,'Thống kê'!$C$3:$E$682,3,0)</f>
        <v>cái</v>
      </c>
      <c r="E94" s="149">
        <v>0.98</v>
      </c>
      <c r="F94" s="109">
        <v>10</v>
      </c>
      <c r="G94" s="150">
        <f t="shared" si="0"/>
        <v>9.8000000000000007</v>
      </c>
    </row>
    <row r="95" spans="1:7" ht="13.2" hidden="1">
      <c r="A95" s="372"/>
      <c r="B95" s="33" t="s">
        <v>596</v>
      </c>
      <c r="C95" s="147" t="str">
        <f>VLOOKUP(B95,'Thống kê'!$C$3:$D$669,2,0)</f>
        <v>Kẹp tóc nâu</v>
      </c>
      <c r="D95" s="148" t="str">
        <f>VLOOKUP(B95,'Thống kê'!$C$3:$E$682,3,0)</f>
        <v>cái</v>
      </c>
      <c r="E95" s="149">
        <v>0.98</v>
      </c>
      <c r="F95" s="109">
        <v>10</v>
      </c>
      <c r="G95" s="150">
        <f t="shared" si="0"/>
        <v>9.8000000000000007</v>
      </c>
    </row>
    <row r="96" spans="1:7" ht="13.2" hidden="1">
      <c r="A96" s="372"/>
      <c r="B96" s="33" t="s">
        <v>594</v>
      </c>
      <c r="C96" s="147" t="str">
        <f>VLOOKUP(B96,'Thống kê'!$C$3:$D$669,2,0)</f>
        <v>Kẹp tóc trắng</v>
      </c>
      <c r="D96" s="148" t="str">
        <f>VLOOKUP(B96,'Thống kê'!$C$3:$E$682,3,0)</f>
        <v>cái</v>
      </c>
      <c r="E96" s="149">
        <v>0.98</v>
      </c>
      <c r="F96" s="109">
        <v>10</v>
      </c>
      <c r="G96" s="150">
        <f t="shared" si="0"/>
        <v>9.8000000000000007</v>
      </c>
    </row>
    <row r="97" spans="1:7" ht="13.2" hidden="1">
      <c r="A97" s="372"/>
      <c r="B97" s="33" t="s">
        <v>600</v>
      </c>
      <c r="C97" s="147" t="str">
        <f>VLOOKUP(B97,'Thống kê'!$C$3:$D$669,2,0)</f>
        <v>Kẹp tóc xám trong</v>
      </c>
      <c r="D97" s="148" t="str">
        <f>VLOOKUP(B97,'Thống kê'!$C$3:$E$682,3,0)</f>
        <v>cái</v>
      </c>
      <c r="E97" s="149">
        <v>0.98</v>
      </c>
      <c r="F97" s="109">
        <v>10</v>
      </c>
      <c r="G97" s="150">
        <f t="shared" si="0"/>
        <v>9.8000000000000007</v>
      </c>
    </row>
    <row r="98" spans="1:7" ht="13.2" hidden="1">
      <c r="A98" s="372"/>
      <c r="B98" s="33" t="s">
        <v>606</v>
      </c>
      <c r="C98" s="147" t="str">
        <f>VLOOKUP(B98,'Thống kê'!$C$3:$D$669,2,0)</f>
        <v>Kẹp tóc kem</v>
      </c>
      <c r="D98" s="148" t="str">
        <f>VLOOKUP(B98,'Thống kê'!$C$3:$E$682,3,0)</f>
        <v>cái</v>
      </c>
      <c r="E98" s="149">
        <v>1.17</v>
      </c>
      <c r="F98" s="109">
        <v>10</v>
      </c>
      <c r="G98" s="150">
        <f t="shared" si="0"/>
        <v>11.7</v>
      </c>
    </row>
    <row r="99" spans="1:7" ht="13.2" hidden="1">
      <c r="A99" s="372"/>
      <c r="B99" s="33" t="s">
        <v>602</v>
      </c>
      <c r="C99" s="147" t="str">
        <f>VLOOKUP(B99,'Thống kê'!$C$3:$D$669,2,0)</f>
        <v>Kẹp tóc nâu lạnh</v>
      </c>
      <c r="D99" s="148" t="str">
        <f>VLOOKUP(B99,'Thống kê'!$C$3:$E$682,3,0)</f>
        <v>cái</v>
      </c>
      <c r="E99" s="149">
        <v>1.17</v>
      </c>
      <c r="F99" s="109">
        <v>20</v>
      </c>
      <c r="G99" s="150">
        <f t="shared" si="0"/>
        <v>23.4</v>
      </c>
    </row>
    <row r="100" spans="1:7" ht="13.2" hidden="1">
      <c r="A100" s="372"/>
      <c r="B100" s="33" t="s">
        <v>604</v>
      </c>
      <c r="C100" s="147" t="str">
        <f>VLOOKUP(B100,'Thống kê'!$C$3:$D$669,2,0)</f>
        <v>Kẹp tóc nâu nhạt</v>
      </c>
      <c r="D100" s="148" t="str">
        <f>VLOOKUP(B100,'Thống kê'!$C$3:$E$682,3,0)</f>
        <v>cái</v>
      </c>
      <c r="E100" s="149">
        <v>1.17</v>
      </c>
      <c r="F100" s="109">
        <v>10</v>
      </c>
      <c r="G100" s="150">
        <f t="shared" si="0"/>
        <v>11.7</v>
      </c>
    </row>
    <row r="101" spans="1:7" ht="13.2" hidden="1">
      <c r="A101" s="372"/>
      <c r="B101" s="33" t="s">
        <v>610</v>
      </c>
      <c r="C101" s="147" t="str">
        <f>VLOOKUP(B101,'Thống kê'!$C$3:$D$669,2,0)</f>
        <v>Kẹp tóc be</v>
      </c>
      <c r="D101" s="148" t="str">
        <f>VLOOKUP(B101,'Thống kê'!$C$3:$E$682,3,0)</f>
        <v>cái</v>
      </c>
      <c r="E101" s="149">
        <v>0.98</v>
      </c>
      <c r="F101" s="109">
        <v>10</v>
      </c>
      <c r="G101" s="150">
        <f t="shared" si="0"/>
        <v>9.8000000000000007</v>
      </c>
    </row>
    <row r="102" spans="1:7" ht="13.2" hidden="1">
      <c r="A102" s="372"/>
      <c r="B102" s="33" t="s">
        <v>614</v>
      </c>
      <c r="C102" s="147" t="str">
        <f>VLOOKUP(B102,'Thống kê'!$C$3:$D$669,2,0)</f>
        <v>Kẹp tóc nâu lạnh</v>
      </c>
      <c r="D102" s="148" t="str">
        <f>VLOOKUP(B102,'Thống kê'!$C$3:$E$682,3,0)</f>
        <v>cái</v>
      </c>
      <c r="E102" s="149">
        <v>0.98</v>
      </c>
      <c r="F102" s="109">
        <v>10</v>
      </c>
      <c r="G102" s="150">
        <f t="shared" si="0"/>
        <v>9.8000000000000007</v>
      </c>
    </row>
    <row r="103" spans="1:7" ht="13.2" hidden="1">
      <c r="A103" s="372"/>
      <c r="B103" s="33" t="s">
        <v>615</v>
      </c>
      <c r="C103" s="147" t="str">
        <f>VLOOKUP(B103,'Thống kê'!$C$3:$D$669,2,0)</f>
        <v>Kẹp tóc đen</v>
      </c>
      <c r="D103" s="148" t="str">
        <f>VLOOKUP(B103,'Thống kê'!$C$3:$E$682,3,0)</f>
        <v>cái</v>
      </c>
      <c r="E103" s="149">
        <v>0.98</v>
      </c>
      <c r="F103" s="109">
        <v>10</v>
      </c>
      <c r="G103" s="150">
        <f t="shared" si="0"/>
        <v>9.8000000000000007</v>
      </c>
    </row>
    <row r="104" spans="1:7" ht="13.2" hidden="1">
      <c r="A104" s="372"/>
      <c r="B104" s="33" t="s">
        <v>608</v>
      </c>
      <c r="C104" s="147" t="str">
        <f>VLOOKUP(B104,'Thống kê'!$C$3:$D$669,2,0)</f>
        <v>Kẹp tóc trắng sữa</v>
      </c>
      <c r="D104" s="148" t="str">
        <f>VLOOKUP(B104,'Thống kê'!$C$3:$E$682,3,0)</f>
        <v>cái</v>
      </c>
      <c r="E104" s="149">
        <v>0.98</v>
      </c>
      <c r="F104" s="109">
        <v>10</v>
      </c>
      <c r="G104" s="150">
        <f t="shared" si="0"/>
        <v>9.8000000000000007</v>
      </c>
    </row>
    <row r="105" spans="1:7" ht="13.2" hidden="1">
      <c r="A105" s="372"/>
      <c r="B105" s="33" t="s">
        <v>612</v>
      </c>
      <c r="C105" s="147" t="str">
        <f>VLOOKUP(B105,'Thống kê'!$C$3:$D$669,2,0)</f>
        <v>Kẹp tóc nâu đậm</v>
      </c>
      <c r="D105" s="148" t="str">
        <f>VLOOKUP(B105,'Thống kê'!$C$3:$E$682,3,0)</f>
        <v>cái</v>
      </c>
      <c r="E105" s="149">
        <v>0.98</v>
      </c>
      <c r="F105" s="109">
        <v>10</v>
      </c>
      <c r="G105" s="150">
        <f t="shared" si="0"/>
        <v>9.8000000000000007</v>
      </c>
    </row>
    <row r="106" spans="1:7" ht="13.2" hidden="1">
      <c r="A106" s="372"/>
      <c r="B106" s="33" t="s">
        <v>622</v>
      </c>
      <c r="C106" s="147" t="str">
        <f>VLOOKUP(B106,'Thống kê'!$C$3:$D$669,2,0)</f>
        <v>Kẹp tóc nâu</v>
      </c>
      <c r="D106" s="148" t="str">
        <f>VLOOKUP(B106,'Thống kê'!$C$3:$E$682,3,0)</f>
        <v>cái</v>
      </c>
      <c r="E106" s="149">
        <v>0.98</v>
      </c>
      <c r="F106" s="109">
        <v>30</v>
      </c>
      <c r="G106" s="150">
        <f t="shared" si="0"/>
        <v>29.4</v>
      </c>
    </row>
    <row r="107" spans="1:7" ht="13.2" hidden="1">
      <c r="A107" s="372"/>
      <c r="B107" s="33" t="s">
        <v>625</v>
      </c>
      <c r="C107" s="147" t="str">
        <f>VLOOKUP(B107,'Thống kê'!$C$3:$D$669,2,0)</f>
        <v>Kẹp tóc cà phê</v>
      </c>
      <c r="D107" s="148" t="str">
        <f>VLOOKUP(B107,'Thống kê'!$C$3:$E$682,3,0)</f>
        <v>cái</v>
      </c>
      <c r="E107" s="149">
        <v>0.98</v>
      </c>
      <c r="F107" s="109">
        <v>10</v>
      </c>
      <c r="G107" s="150">
        <f t="shared" si="0"/>
        <v>9.8000000000000007</v>
      </c>
    </row>
    <row r="108" spans="1:7" ht="13.2" hidden="1">
      <c r="A108" s="372"/>
      <c r="B108" s="33" t="s">
        <v>624</v>
      </c>
      <c r="C108" s="147" t="str">
        <f>VLOOKUP(B108,'Thống kê'!$C$3:$D$669,2,0)</f>
        <v>Kẹp tóc kem</v>
      </c>
      <c r="D108" s="148" t="str">
        <f>VLOOKUP(B108,'Thống kê'!$C$3:$E$682,3,0)</f>
        <v>cái</v>
      </c>
      <c r="E108" s="149">
        <v>0.98</v>
      </c>
      <c r="F108" s="109">
        <v>10</v>
      </c>
      <c r="G108" s="150">
        <f t="shared" si="0"/>
        <v>9.8000000000000007</v>
      </c>
    </row>
    <row r="109" spans="1:7" ht="13.2" hidden="1">
      <c r="A109" s="372"/>
      <c r="B109" s="33" t="s">
        <v>623</v>
      </c>
      <c r="C109" s="147" t="str">
        <f>VLOOKUP(B109,'Thống kê'!$C$3:$D$669,2,0)</f>
        <v>Kẹp tóc đen</v>
      </c>
      <c r="D109" s="148" t="str">
        <f>VLOOKUP(B109,'Thống kê'!$C$3:$E$682,3,0)</f>
        <v>cái</v>
      </c>
      <c r="E109" s="149">
        <v>0.98</v>
      </c>
      <c r="F109" s="109">
        <v>20</v>
      </c>
      <c r="G109" s="150">
        <f t="shared" si="0"/>
        <v>19.600000000000001</v>
      </c>
    </row>
    <row r="110" spans="1:7" ht="13.2" hidden="1">
      <c r="A110" s="372"/>
      <c r="B110" s="33" t="s">
        <v>619</v>
      </c>
      <c r="C110" s="147" t="str">
        <f>VLOOKUP(B110,'Thống kê'!$C$3:$D$669,2,0)</f>
        <v>Kẹp tóc kem</v>
      </c>
      <c r="D110" s="148" t="str">
        <f>VLOOKUP(B110,'Thống kê'!$C$3:$E$682,3,0)</f>
        <v>cái</v>
      </c>
      <c r="E110" s="149">
        <v>1.27</v>
      </c>
      <c r="F110" s="109">
        <v>10</v>
      </c>
      <c r="G110" s="150">
        <f t="shared" si="0"/>
        <v>12.7</v>
      </c>
    </row>
    <row r="111" spans="1:7" ht="13.2" hidden="1">
      <c r="A111" s="372"/>
      <c r="B111" s="33" t="s">
        <v>620</v>
      </c>
      <c r="C111" s="147" t="str">
        <f>VLOOKUP(B111,'Thống kê'!$C$3:$D$669,2,0)</f>
        <v>Kẹp tóc xám nhạt</v>
      </c>
      <c r="D111" s="148" t="str">
        <f>VLOOKUP(B111,'Thống kê'!$C$3:$E$682,3,0)</f>
        <v>cái</v>
      </c>
      <c r="E111" s="149">
        <v>1.27</v>
      </c>
      <c r="F111" s="109">
        <v>10</v>
      </c>
      <c r="G111" s="150">
        <f t="shared" si="0"/>
        <v>12.7</v>
      </c>
    </row>
    <row r="112" spans="1:7" ht="13.2" hidden="1">
      <c r="A112" s="372"/>
      <c r="B112" s="33" t="s">
        <v>617</v>
      </c>
      <c r="C112" s="147" t="str">
        <f>VLOOKUP(B112,'Thống kê'!$C$3:$D$669,2,0)</f>
        <v>Kẹp tóc xám đậm</v>
      </c>
      <c r="D112" s="148" t="str">
        <f>VLOOKUP(B112,'Thống kê'!$C$3:$E$682,3,0)</f>
        <v>cái</v>
      </c>
      <c r="E112" s="149">
        <v>1.27</v>
      </c>
      <c r="F112" s="109">
        <v>10</v>
      </c>
      <c r="G112" s="150">
        <f t="shared" si="0"/>
        <v>12.7</v>
      </c>
    </row>
    <row r="113" spans="1:7" ht="13.2" hidden="1">
      <c r="A113" s="372"/>
      <c r="B113" s="33" t="s">
        <v>627</v>
      </c>
      <c r="C113" s="147" t="str">
        <f>VLOOKUP(B113,'Thống kê'!$C$3:$D$669,2,0)</f>
        <v>Kẹp tóc vòng cung đen</v>
      </c>
      <c r="D113" s="148" t="str">
        <f>VLOOKUP(B113,'Thống kê'!$C$3:$E$682,3,0)</f>
        <v>cái</v>
      </c>
      <c r="E113" s="149">
        <v>0</v>
      </c>
      <c r="F113" s="109">
        <v>10</v>
      </c>
      <c r="G113" s="150">
        <f t="shared" si="0"/>
        <v>0</v>
      </c>
    </row>
    <row r="114" spans="1:7" ht="13.2" hidden="1">
      <c r="A114" s="373"/>
      <c r="B114" s="33" t="s">
        <v>993</v>
      </c>
      <c r="C114" s="147" t="str">
        <f>VLOOKUP(B114,'Thống kê'!$C$3:$D$669,2,0)</f>
        <v>Móc khóa đôi mèo trắng</v>
      </c>
      <c r="D114" s="148" t="str">
        <f>VLOOKUP(B114,'Thống kê'!$C$3:$E$682,3,0)</f>
        <v>cái</v>
      </c>
      <c r="E114" s="149">
        <v>6.9</v>
      </c>
      <c r="F114" s="109">
        <v>20</v>
      </c>
      <c r="G114" s="150">
        <f t="shared" si="0"/>
        <v>138</v>
      </c>
    </row>
    <row r="115" spans="1:7" ht="13.2" hidden="1">
      <c r="A115" s="394">
        <v>45419</v>
      </c>
      <c r="B115" s="28" t="s">
        <v>1581</v>
      </c>
      <c r="C115" s="143" t="str">
        <f>VLOOKUP(B115,'Thống kê'!$C$3:$D$669,2,0)</f>
        <v>Móc khoá mèo bông tím</v>
      </c>
      <c r="D115" s="144" t="str">
        <f>VLOOKUP(B115,'Thống kê'!$C$3:$E$682,3,0)</f>
        <v>cái</v>
      </c>
      <c r="E115" s="145">
        <v>10.06</v>
      </c>
      <c r="F115" s="101">
        <v>2</v>
      </c>
      <c r="G115" s="125">
        <f t="shared" si="0"/>
        <v>20.12</v>
      </c>
    </row>
    <row r="116" spans="1:7" ht="13.2" hidden="1">
      <c r="A116" s="372"/>
      <c r="B116" s="28" t="s">
        <v>1582</v>
      </c>
      <c r="C116" s="143" t="str">
        <f>VLOOKUP(B116,'Thống kê'!$C$3:$D$669,2,0)</f>
        <v>Móc khoá mèo bông hồng</v>
      </c>
      <c r="D116" s="144" t="str">
        <f>VLOOKUP(B116,'Thống kê'!$C$3:$E$682,3,0)</f>
        <v>cái</v>
      </c>
      <c r="E116" s="145">
        <v>10.050000000000001</v>
      </c>
      <c r="F116" s="101">
        <v>5</v>
      </c>
      <c r="G116" s="125">
        <f t="shared" si="0"/>
        <v>50.25</v>
      </c>
    </row>
    <row r="117" spans="1:7" ht="13.2" hidden="1">
      <c r="A117" s="372"/>
      <c r="B117" s="28" t="s">
        <v>1583</v>
      </c>
      <c r="C117" s="143" t="str">
        <f>VLOOKUP(B117,'Thống kê'!$C$3:$D$669,2,0)</f>
        <v>Móc khoá mèo bông xanh da trời</v>
      </c>
      <c r="D117" s="144" t="str">
        <f>VLOOKUP(B117,'Thống kê'!$C$3:$E$682,3,0)</f>
        <v>cái</v>
      </c>
      <c r="E117" s="145">
        <v>10.050000000000001</v>
      </c>
      <c r="F117" s="101">
        <v>3</v>
      </c>
      <c r="G117" s="125">
        <f t="shared" si="0"/>
        <v>30.150000000000002</v>
      </c>
    </row>
    <row r="118" spans="1:7" ht="13.2" hidden="1">
      <c r="A118" s="372"/>
      <c r="B118" s="28" t="s">
        <v>1584</v>
      </c>
      <c r="C118" s="143" t="str">
        <f>VLOOKUP(B118,'Thống kê'!$C$3:$D$669,2,0)</f>
        <v>Móc khoá mèo bông hồng trắng</v>
      </c>
      <c r="D118" s="144" t="str">
        <f>VLOOKUP(B118,'Thống kê'!$C$3:$E$682,3,0)</f>
        <v>cái</v>
      </c>
      <c r="E118" s="145">
        <v>10.050000000000001</v>
      </c>
      <c r="F118" s="101">
        <v>4</v>
      </c>
      <c r="G118" s="125">
        <f t="shared" si="0"/>
        <v>40.200000000000003</v>
      </c>
    </row>
    <row r="119" spans="1:7" ht="13.2" hidden="1">
      <c r="A119" s="372"/>
      <c r="B119" s="28" t="s">
        <v>1582</v>
      </c>
      <c r="C119" s="143" t="str">
        <f>VLOOKUP(B119,'Thống kê'!$C$3:$D$669,2,0)</f>
        <v>Móc khoá mèo bông hồng</v>
      </c>
      <c r="D119" s="144" t="str">
        <f>VLOOKUP(B119,'Thống kê'!$C$3:$E$682,3,0)</f>
        <v>cái</v>
      </c>
      <c r="E119" s="145">
        <v>10.050000000000001</v>
      </c>
      <c r="F119" s="101">
        <v>3</v>
      </c>
      <c r="G119" s="125">
        <f t="shared" si="0"/>
        <v>30.150000000000002</v>
      </c>
    </row>
    <row r="120" spans="1:7" ht="13.2" hidden="1">
      <c r="A120" s="372"/>
      <c r="B120" s="28" t="s">
        <v>1585</v>
      </c>
      <c r="C120" s="143" t="str">
        <f>VLOOKUP(B120,'Thống kê'!$C$3:$D$669,2,0)</f>
        <v>Móc khoá mèo bông đen</v>
      </c>
      <c r="D120" s="144" t="str">
        <f>VLOOKUP(B120,'Thống kê'!$C$3:$E$682,3,0)</f>
        <v>cái</v>
      </c>
      <c r="E120" s="145">
        <v>10.06</v>
      </c>
      <c r="F120" s="101">
        <v>2</v>
      </c>
      <c r="G120" s="125">
        <f t="shared" si="0"/>
        <v>20.12</v>
      </c>
    </row>
    <row r="121" spans="1:7" ht="13.2" hidden="1">
      <c r="A121" s="372"/>
      <c r="B121" s="28" t="s">
        <v>325</v>
      </c>
      <c r="C121" s="143" t="str">
        <f>VLOOKUP(B121,'Thống kê'!$C$3:$D$669,2,0)</f>
        <v>Gấu ú</v>
      </c>
      <c r="D121" s="144" t="str">
        <f>VLOOKUP(B121,'Thống kê'!$C$3:$E$682,3,0)</f>
        <v>cái</v>
      </c>
      <c r="E121" s="145">
        <v>7.51</v>
      </c>
      <c r="F121" s="101">
        <v>2</v>
      </c>
      <c r="G121" s="125">
        <f t="shared" si="0"/>
        <v>15.02</v>
      </c>
    </row>
    <row r="122" spans="1:7" ht="13.2" hidden="1">
      <c r="A122" s="372"/>
      <c r="B122" s="28" t="s">
        <v>1586</v>
      </c>
      <c r="C122" s="143" t="str">
        <f>VLOOKUP(B122,'Thống kê'!$C$3:$D$669,2,0)</f>
        <v>Thỏ ú hoa</v>
      </c>
      <c r="D122" s="144" t="str">
        <f>VLOOKUP(B122,'Thống kê'!$C$3:$E$682,3,0)</f>
        <v>cái</v>
      </c>
      <c r="E122" s="145">
        <v>8.4600000000000009</v>
      </c>
      <c r="F122" s="101">
        <v>5</v>
      </c>
      <c r="G122" s="125">
        <f t="shared" si="0"/>
        <v>42.300000000000004</v>
      </c>
    </row>
    <row r="123" spans="1:7" ht="13.2" hidden="1">
      <c r="A123" s="372"/>
      <c r="B123" s="28" t="s">
        <v>186</v>
      </c>
      <c r="C123" s="143" t="str">
        <f>VLOOKUP(B123,'Thống kê'!$C$3:$D$669,2,0)</f>
        <v>Thỏ ú bay</v>
      </c>
      <c r="D123" s="144" t="str">
        <f>VLOOKUP(B123,'Thống kê'!$C$3:$E$682,3,0)</f>
        <v>cái</v>
      </c>
      <c r="E123" s="145">
        <v>8.4600000000000009</v>
      </c>
      <c r="F123" s="101">
        <v>2</v>
      </c>
      <c r="G123" s="125">
        <f t="shared" si="0"/>
        <v>16.920000000000002</v>
      </c>
    </row>
    <row r="124" spans="1:7" ht="13.2" hidden="1">
      <c r="A124" s="372"/>
      <c r="B124" s="28" t="s">
        <v>1587</v>
      </c>
      <c r="C124" s="143" t="str">
        <f>VLOOKUP(B124,'Thống kê'!$C$3:$D$669,2,0)</f>
        <v>Vịt ú bay</v>
      </c>
      <c r="D124" s="144" t="str">
        <f>VLOOKUP(B124,'Thống kê'!$C$3:$E$682,3,0)</f>
        <v>cái</v>
      </c>
      <c r="E124" s="145">
        <v>8.4600000000000009</v>
      </c>
      <c r="F124" s="101">
        <v>2</v>
      </c>
      <c r="G124" s="125">
        <f t="shared" si="0"/>
        <v>16.920000000000002</v>
      </c>
    </row>
    <row r="125" spans="1:7" ht="13.2" hidden="1">
      <c r="A125" s="372"/>
      <c r="B125" s="28" t="s">
        <v>1588</v>
      </c>
      <c r="C125" s="143" t="str">
        <f>VLOOKUP(B125,'Thống kê'!$C$3:$D$669,2,0)</f>
        <v>Heo ú hoa</v>
      </c>
      <c r="D125" s="144" t="str">
        <f>VLOOKUP(B125,'Thống kê'!$C$3:$E$682,3,0)</f>
        <v>cái</v>
      </c>
      <c r="E125" s="145">
        <v>8.4600000000000009</v>
      </c>
      <c r="F125" s="101">
        <v>5</v>
      </c>
      <c r="G125" s="125">
        <f t="shared" si="0"/>
        <v>42.300000000000004</v>
      </c>
    </row>
    <row r="126" spans="1:7" ht="13.2" hidden="1">
      <c r="A126" s="372"/>
      <c r="B126" s="28" t="s">
        <v>1589</v>
      </c>
      <c r="C126" s="143" t="str">
        <f>VLOOKUP(B126,'Thống kê'!$C$3:$D$669,2,0)</f>
        <v>Heo ú bay</v>
      </c>
      <c r="D126" s="144" t="str">
        <f>VLOOKUP(B126,'Thống kê'!$C$3:$E$682,3,0)</f>
        <v>cái</v>
      </c>
      <c r="E126" s="145">
        <v>8.4600000000000009</v>
      </c>
      <c r="F126" s="101">
        <v>3</v>
      </c>
      <c r="G126" s="125">
        <f t="shared" si="0"/>
        <v>25.380000000000003</v>
      </c>
    </row>
    <row r="127" spans="1:7" ht="13.2" hidden="1">
      <c r="A127" s="372"/>
      <c r="B127" s="28" t="s">
        <v>1590</v>
      </c>
      <c r="C127" s="143" t="str">
        <f>VLOOKUP(B127,'Thống kê'!$C$3:$D$669,2,0)</f>
        <v>Cún ú hoa</v>
      </c>
      <c r="D127" s="144" t="str">
        <f>VLOOKUP(B127,'Thống kê'!$C$3:$E$682,3,0)</f>
        <v>cái</v>
      </c>
      <c r="E127" s="145">
        <v>8.4600000000000009</v>
      </c>
      <c r="F127" s="101">
        <v>4</v>
      </c>
      <c r="G127" s="125">
        <f t="shared" si="0"/>
        <v>33.840000000000003</v>
      </c>
    </row>
    <row r="128" spans="1:7" ht="13.2" hidden="1">
      <c r="A128" s="372"/>
      <c r="B128" s="28" t="s">
        <v>1591</v>
      </c>
      <c r="C128" s="143" t="str">
        <f>VLOOKUP(B128,'Thống kê'!$C$3:$D$669,2,0)</f>
        <v>Thỏ ú</v>
      </c>
      <c r="D128" s="144" t="str">
        <f>VLOOKUP(B128,'Thống kê'!$C$3:$E$682,3,0)</f>
        <v>cái</v>
      </c>
      <c r="E128" s="145">
        <v>7.51</v>
      </c>
      <c r="F128" s="101">
        <v>2</v>
      </c>
      <c r="G128" s="125">
        <f t="shared" si="0"/>
        <v>15.02</v>
      </c>
    </row>
    <row r="129" spans="1:7" ht="13.2" hidden="1">
      <c r="A129" s="372"/>
      <c r="B129" s="28" t="s">
        <v>325</v>
      </c>
      <c r="C129" s="143" t="str">
        <f>VLOOKUP(B129,'Thống kê'!$C$3:$D$669,2,0)</f>
        <v>Gấu ú</v>
      </c>
      <c r="D129" s="144" t="str">
        <f>VLOOKUP(B129,'Thống kê'!$C$3:$E$682,3,0)</f>
        <v>cái</v>
      </c>
      <c r="E129" s="145">
        <v>7.51</v>
      </c>
      <c r="F129" s="101">
        <v>1</v>
      </c>
      <c r="G129" s="125">
        <f t="shared" si="0"/>
        <v>7.51</v>
      </c>
    </row>
    <row r="130" spans="1:7" ht="13.2" hidden="1">
      <c r="A130" s="372"/>
      <c r="B130" s="28" t="s">
        <v>115</v>
      </c>
      <c r="C130" s="143" t="str">
        <f>VLOOKUP(B130,'Thống kê'!$C$3:$D$669,2,0)</f>
        <v>Heo ú</v>
      </c>
      <c r="D130" s="144" t="str">
        <f>VLOOKUP(B130,'Thống kê'!$C$3:$E$682,3,0)</f>
        <v>cái</v>
      </c>
      <c r="E130" s="145">
        <v>7.51</v>
      </c>
      <c r="F130" s="101">
        <v>10</v>
      </c>
      <c r="G130" s="125">
        <f t="shared" si="0"/>
        <v>75.099999999999994</v>
      </c>
    </row>
    <row r="131" spans="1:7" ht="13.2" hidden="1">
      <c r="A131" s="372"/>
      <c r="B131" s="28" t="s">
        <v>128</v>
      </c>
      <c r="C131" s="143" t="str">
        <f>VLOOKUP(B131,'Thống kê'!$C$3:$D$669,2,0)</f>
        <v>Mèo ú bay</v>
      </c>
      <c r="D131" s="144" t="str">
        <f>VLOOKUP(B131,'Thống kê'!$C$3:$E$682,3,0)</f>
        <v>cái</v>
      </c>
      <c r="E131" s="145">
        <v>8.4600000000000009</v>
      </c>
      <c r="F131" s="66">
        <v>2</v>
      </c>
      <c r="G131" s="125">
        <f t="shared" si="0"/>
        <v>16.920000000000002</v>
      </c>
    </row>
    <row r="132" spans="1:7" ht="13.2" hidden="1">
      <c r="A132" s="372"/>
      <c r="B132" s="28" t="s">
        <v>1123</v>
      </c>
      <c r="C132" s="143" t="str">
        <f>VLOOKUP(B132,'Thống kê'!$C$3:$D$669,2,0)</f>
        <v>Móc khóa capybara 1 - hồng áo tennis</v>
      </c>
      <c r="D132" s="144" t="str">
        <f>VLOOKUP(B132,'Thống kê'!$C$3:$E$682,3,0)</f>
        <v>cái</v>
      </c>
      <c r="E132" s="145">
        <v>7.04</v>
      </c>
      <c r="F132" s="101">
        <v>5</v>
      </c>
      <c r="G132" s="125">
        <f t="shared" si="0"/>
        <v>35.200000000000003</v>
      </c>
    </row>
    <row r="133" spans="1:7" ht="13.2" hidden="1">
      <c r="A133" s="372"/>
      <c r="B133" s="28" t="s">
        <v>1125</v>
      </c>
      <c r="C133" s="143" t="str">
        <f>VLOOKUP(B133,'Thống kê'!$C$3:$D$669,2,0)</f>
        <v>Móc khóa capybara 2 - hồng balo tennis</v>
      </c>
      <c r="D133" s="144" t="str">
        <f>VLOOKUP(B133,'Thống kê'!$C$3:$E$682,3,0)</f>
        <v>cái</v>
      </c>
      <c r="E133" s="145">
        <v>6.57</v>
      </c>
      <c r="F133" s="101">
        <v>5</v>
      </c>
      <c r="G133" s="125">
        <f t="shared" si="0"/>
        <v>32.85</v>
      </c>
    </row>
    <row r="134" spans="1:7" ht="13.2" hidden="1">
      <c r="A134" s="372"/>
      <c r="B134" s="28" t="s">
        <v>1127</v>
      </c>
      <c r="C134" s="143" t="str">
        <f>VLOOKUP(B134,'Thống kê'!$C$3:$D$669,2,0)</f>
        <v>Móc khóa capybara 3 - bóng tennis</v>
      </c>
      <c r="D134" s="144" t="str">
        <f>VLOOKUP(B134,'Thống kê'!$C$3:$E$682,3,0)</f>
        <v>cái</v>
      </c>
      <c r="E134" s="145">
        <v>6.57</v>
      </c>
      <c r="F134" s="101">
        <v>5</v>
      </c>
      <c r="G134" s="125">
        <f t="shared" si="0"/>
        <v>32.85</v>
      </c>
    </row>
    <row r="135" spans="1:7" ht="13.2" hidden="1">
      <c r="A135" s="372"/>
      <c r="B135" s="28" t="s">
        <v>1129</v>
      </c>
      <c r="C135" s="143" t="str">
        <f>VLOOKUP(B135,'Thống kê'!$C$3:$D$669,2,0)</f>
        <v>Móc khóa capybara 4 - áo tennis</v>
      </c>
      <c r="D135" s="144" t="str">
        <f>VLOOKUP(B135,'Thống kê'!$C$3:$E$682,3,0)</f>
        <v>cái</v>
      </c>
      <c r="E135" s="145">
        <v>7.04</v>
      </c>
      <c r="F135" s="101">
        <v>5</v>
      </c>
      <c r="G135" s="125">
        <f t="shared" si="0"/>
        <v>35.200000000000003</v>
      </c>
    </row>
    <row r="136" spans="1:7" ht="13.2" hidden="1">
      <c r="A136" s="372"/>
      <c r="B136" s="28" t="s">
        <v>1131</v>
      </c>
      <c r="C136" s="143" t="str">
        <f>VLOOKUP(B136,'Thống kê'!$C$3:$D$669,2,0)</f>
        <v>Móc khóa capybara 5 - balo tennis</v>
      </c>
      <c r="D136" s="144" t="str">
        <f>VLOOKUP(B136,'Thống kê'!$C$3:$E$682,3,0)</f>
        <v>cái</v>
      </c>
      <c r="E136" s="145">
        <v>6.57</v>
      </c>
      <c r="F136" s="101">
        <v>5</v>
      </c>
      <c r="G136" s="125">
        <f t="shared" si="0"/>
        <v>32.85</v>
      </c>
    </row>
    <row r="137" spans="1:7" ht="13.2" hidden="1">
      <c r="A137" s="372"/>
      <c r="B137" s="28" t="s">
        <v>1133</v>
      </c>
      <c r="C137" s="143" t="str">
        <f>VLOOKUP(B137,'Thống kê'!$C$3:$D$669,2,0)</f>
        <v>Móc khóa capybara 6 - bóng tennis</v>
      </c>
      <c r="D137" s="144" t="str">
        <f>VLOOKUP(B137,'Thống kê'!$C$3:$E$682,3,0)</f>
        <v>cái</v>
      </c>
      <c r="E137" s="145">
        <v>6.57</v>
      </c>
      <c r="F137" s="101">
        <v>5</v>
      </c>
      <c r="G137" s="125">
        <f t="shared" si="0"/>
        <v>32.85</v>
      </c>
    </row>
    <row r="138" spans="1:7" ht="13.2" hidden="1">
      <c r="A138" s="372"/>
      <c r="B138" s="28" t="s">
        <v>1135</v>
      </c>
      <c r="C138" s="143" t="str">
        <f>VLOOKUP(B138,'Thống kê'!$C$3:$D$669,2,0)</f>
        <v>Móc khóa capybara 7 - táo</v>
      </c>
      <c r="D138" s="144" t="str">
        <f>VLOOKUP(B138,'Thống kê'!$C$3:$E$682,3,0)</f>
        <v>cái</v>
      </c>
      <c r="E138" s="145">
        <v>6.29</v>
      </c>
      <c r="F138" s="101">
        <v>5</v>
      </c>
      <c r="G138" s="125">
        <f t="shared" si="0"/>
        <v>31.45</v>
      </c>
    </row>
    <row r="139" spans="1:7" ht="13.2" hidden="1">
      <c r="A139" s="372"/>
      <c r="B139" s="28" t="s">
        <v>1137</v>
      </c>
      <c r="C139" s="143" t="str">
        <f>VLOOKUP(B139,'Thống kê'!$C$3:$D$669,2,0)</f>
        <v>Móc khóa capybara 8 - sổ mũi cam</v>
      </c>
      <c r="D139" s="144" t="str">
        <f>VLOOKUP(B139,'Thống kê'!$C$3:$E$682,3,0)</f>
        <v>cái</v>
      </c>
      <c r="E139" s="145">
        <v>6.29</v>
      </c>
      <c r="F139" s="101">
        <v>5</v>
      </c>
      <c r="G139" s="125">
        <f t="shared" si="0"/>
        <v>31.45</v>
      </c>
    </row>
    <row r="140" spans="1:7" ht="13.2" hidden="1">
      <c r="A140" s="372"/>
      <c r="B140" s="28" t="s">
        <v>1139</v>
      </c>
      <c r="C140" s="143" t="str">
        <f>VLOOKUP(B140,'Thống kê'!$C$3:$D$669,2,0)</f>
        <v>Móc khóa capybara 9 - mũ gấu</v>
      </c>
      <c r="D140" s="144" t="str">
        <f>VLOOKUP(B140,'Thống kê'!$C$3:$E$682,3,0)</f>
        <v>cái</v>
      </c>
      <c r="E140" s="145">
        <v>6.11</v>
      </c>
      <c r="F140" s="101">
        <v>2</v>
      </c>
      <c r="G140" s="125">
        <f t="shared" si="0"/>
        <v>12.22</v>
      </c>
    </row>
    <row r="141" spans="1:7" ht="13.2" hidden="1">
      <c r="A141" s="372"/>
      <c r="B141" s="28" t="s">
        <v>1141</v>
      </c>
      <c r="C141" s="143" t="str">
        <f>VLOOKUP(B141,'Thống kê'!$C$3:$D$669,2,0)</f>
        <v>Móc khóa capybara 10 - mũ gà</v>
      </c>
      <c r="D141" s="144" t="str">
        <f>VLOOKUP(B141,'Thống kê'!$C$3:$E$682,3,0)</f>
        <v>cái</v>
      </c>
      <c r="E141" s="145">
        <v>6.11</v>
      </c>
      <c r="F141" s="101">
        <v>2</v>
      </c>
      <c r="G141" s="125">
        <f t="shared" si="0"/>
        <v>12.22</v>
      </c>
    </row>
    <row r="142" spans="1:7" ht="13.2" hidden="1">
      <c r="A142" s="372"/>
      <c r="B142" s="28" t="s">
        <v>1143</v>
      </c>
      <c r="C142" s="143" t="str">
        <f>VLOOKUP(B142,'Thống kê'!$C$3:$D$669,2,0)</f>
        <v xml:space="preserve">Móc khóa capybara 11 - sổ mũ </v>
      </c>
      <c r="D142" s="144" t="str">
        <f>VLOOKUP(B142,'Thống kê'!$C$3:$E$682,3,0)</f>
        <v>cái</v>
      </c>
      <c r="E142" s="145">
        <v>5.45</v>
      </c>
      <c r="F142" s="101">
        <v>5</v>
      </c>
      <c r="G142" s="125">
        <f t="shared" si="0"/>
        <v>27.25</v>
      </c>
    </row>
    <row r="143" spans="1:7" ht="13.2" hidden="1">
      <c r="A143" s="372"/>
      <c r="B143" s="28" t="s">
        <v>1145</v>
      </c>
      <c r="C143" s="143" t="str">
        <f>VLOOKUP(B143,'Thống kê'!$C$3:$D$669,2,0)</f>
        <v>Móc khóa capybara 12 - ghitar điện</v>
      </c>
      <c r="D143" s="144" t="str">
        <f>VLOOKUP(B143,'Thống kê'!$C$3:$E$682,3,0)</f>
        <v>cái</v>
      </c>
      <c r="E143" s="145">
        <v>6.2</v>
      </c>
      <c r="F143" s="101">
        <v>5</v>
      </c>
      <c r="G143" s="125">
        <f t="shared" si="0"/>
        <v>31</v>
      </c>
    </row>
    <row r="144" spans="1:7" ht="13.2" hidden="1">
      <c r="A144" s="372"/>
      <c r="B144" s="28" t="s">
        <v>1147</v>
      </c>
      <c r="C144" s="143" t="str">
        <f>VLOOKUP(B144,'Thống kê'!$C$3:$D$669,2,0)</f>
        <v>Móc khóa capybara 13 - tóc nâu</v>
      </c>
      <c r="D144" s="144" t="str">
        <f>VLOOKUP(B144,'Thống kê'!$C$3:$E$682,3,0)</f>
        <v>cái</v>
      </c>
      <c r="E144" s="145">
        <v>3.57</v>
      </c>
      <c r="F144" s="101">
        <v>2</v>
      </c>
      <c r="G144" s="125">
        <f t="shared" si="0"/>
        <v>7.14</v>
      </c>
    </row>
    <row r="145" spans="1:7" ht="13.2" hidden="1">
      <c r="A145" s="372"/>
      <c r="B145" s="28" t="s">
        <v>1149</v>
      </c>
      <c r="C145" s="143" t="str">
        <f>VLOOKUP(B145,'Thống kê'!$C$3:$D$669,2,0)</f>
        <v>Móc khóa capybara 14 - tóc hồng</v>
      </c>
      <c r="D145" s="144" t="str">
        <f>VLOOKUP(B145,'Thống kê'!$C$3:$E$682,3,0)</f>
        <v>cái</v>
      </c>
      <c r="E145" s="145">
        <v>3.57</v>
      </c>
      <c r="F145" s="101">
        <v>2</v>
      </c>
      <c r="G145" s="125">
        <f t="shared" si="0"/>
        <v>7.14</v>
      </c>
    </row>
    <row r="146" spans="1:7" ht="13.2" hidden="1">
      <c r="A146" s="372"/>
      <c r="B146" s="28" t="s">
        <v>1151</v>
      </c>
      <c r="C146" s="143" t="str">
        <f>VLOOKUP(B146,'Thống kê'!$C$3:$D$669,2,0)</f>
        <v>Móc khóa capybara 15 - sổ mũi ko móc khóa</v>
      </c>
      <c r="D146" s="144" t="str">
        <f>VLOOKUP(B146,'Thống kê'!$C$3:$E$682,3,0)</f>
        <v>cái</v>
      </c>
      <c r="E146" s="145">
        <v>6.1</v>
      </c>
      <c r="F146" s="101">
        <v>5</v>
      </c>
      <c r="G146" s="125">
        <f t="shared" si="0"/>
        <v>30.5</v>
      </c>
    </row>
    <row r="147" spans="1:7" ht="13.2" hidden="1">
      <c r="A147" s="373"/>
      <c r="B147" s="28" t="s">
        <v>1153</v>
      </c>
      <c r="C147" s="143" t="str">
        <f>VLOOKUP(B147,'Thống kê'!$C$3:$D$669,2,0)</f>
        <v>Móc khóa capybara 16 - hồng thơm</v>
      </c>
      <c r="D147" s="144" t="str">
        <f>VLOOKUP(B147,'Thống kê'!$C$3:$E$682,3,0)</f>
        <v>cái</v>
      </c>
      <c r="E147" s="145">
        <v>6.29</v>
      </c>
      <c r="F147" s="101">
        <v>5</v>
      </c>
      <c r="G147" s="125">
        <f t="shared" si="0"/>
        <v>31.45</v>
      </c>
    </row>
    <row r="148" spans="1:7" ht="13.2" hidden="1">
      <c r="A148" s="395">
        <v>45421</v>
      </c>
      <c r="B148" s="33" t="s">
        <v>232</v>
      </c>
      <c r="C148" s="147" t="str">
        <f>VLOOKUP(B148,'Thống kê'!$C$3:$D$669,2,0)</f>
        <v>Cáo gắn xe</v>
      </c>
      <c r="D148" s="148" t="str">
        <f>VLOOKUP(B148,'Thống kê'!$C$3:$E$682,3,0)</f>
        <v>cái</v>
      </c>
      <c r="E148" s="149">
        <v>4.67</v>
      </c>
      <c r="F148" s="109">
        <v>5</v>
      </c>
      <c r="G148" s="150">
        <f t="shared" si="0"/>
        <v>23.35</v>
      </c>
    </row>
    <row r="149" spans="1:7" ht="13.2" hidden="1">
      <c r="A149" s="372"/>
      <c r="B149" s="33" t="s">
        <v>1592</v>
      </c>
      <c r="C149" s="147" t="str">
        <f>VLOOKUP(B149,'Thống kê'!$C$3:$D$669,2,0)</f>
        <v>Gấu trắng gắn xe</v>
      </c>
      <c r="D149" s="148" t="str">
        <f>VLOOKUP(B149,'Thống kê'!$C$3:$E$682,3,0)</f>
        <v>cái</v>
      </c>
      <c r="E149" s="149">
        <v>4.67</v>
      </c>
      <c r="F149" s="109">
        <v>2</v>
      </c>
      <c r="G149" s="150">
        <f t="shared" si="0"/>
        <v>9.34</v>
      </c>
    </row>
    <row r="150" spans="1:7" ht="13.2" hidden="1">
      <c r="A150" s="372"/>
      <c r="B150" s="33" t="s">
        <v>119</v>
      </c>
      <c r="C150" s="147" t="str">
        <f>VLOOKUP(B150,'Thống kê'!$C$3:$D$669,2,0)</f>
        <v>Thỏ chạy xe gắn xe</v>
      </c>
      <c r="D150" s="148" t="str">
        <f>VLOOKUP(B150,'Thống kê'!$C$3:$E$682,3,0)</f>
        <v>cái</v>
      </c>
      <c r="E150" s="149">
        <v>4.67</v>
      </c>
      <c r="F150" s="109">
        <v>40</v>
      </c>
      <c r="G150" s="150">
        <f t="shared" si="0"/>
        <v>186.8</v>
      </c>
    </row>
    <row r="151" spans="1:7" ht="13.2" hidden="1">
      <c r="A151" s="372"/>
      <c r="B151" s="33" t="s">
        <v>189</v>
      </c>
      <c r="C151" s="147" t="str">
        <f>VLOOKUP(B151,'Thống kê'!$C$3:$D$669,2,0)</f>
        <v>Gấu nâu gắn xe</v>
      </c>
      <c r="D151" s="148" t="str">
        <f>VLOOKUP(B151,'Thống kê'!$C$3:$E$682,3,0)</f>
        <v>cái</v>
      </c>
      <c r="E151" s="149">
        <v>4.67</v>
      </c>
      <c r="F151" s="109">
        <v>2</v>
      </c>
      <c r="G151" s="150">
        <f t="shared" si="0"/>
        <v>9.34</v>
      </c>
    </row>
    <row r="152" spans="1:7" ht="13.2" hidden="1">
      <c r="A152" s="372"/>
      <c r="B152" s="33" t="s">
        <v>1593</v>
      </c>
      <c r="C152" s="147" t="str">
        <f>VLOOKUP(B152,'Thống kê'!$C$3:$D$669,2,0)</f>
        <v>Heo cưỡi kì lân gắn xe</v>
      </c>
      <c r="D152" s="148" t="str">
        <f>VLOOKUP(B152,'Thống kê'!$C$3:$E$682,3,0)</f>
        <v>cái</v>
      </c>
      <c r="E152" s="149">
        <v>4.67</v>
      </c>
      <c r="F152" s="109">
        <v>2</v>
      </c>
      <c r="G152" s="150">
        <f t="shared" si="0"/>
        <v>9.34</v>
      </c>
    </row>
    <row r="153" spans="1:7" ht="13.2" hidden="1">
      <c r="A153" s="372"/>
      <c r="B153" s="33" t="s">
        <v>231</v>
      </c>
      <c r="C153" s="147" t="str">
        <f>VLOOKUP(B153,'Thống kê'!$C$3:$D$669,2,0)</f>
        <v>Móc khóa đôi gấu trúc</v>
      </c>
      <c r="D153" s="148" t="str">
        <f>VLOOKUP(B153,'Thống kê'!$C$3:$E$682,3,0)</f>
        <v>cái</v>
      </c>
      <c r="E153" s="149">
        <v>6.08</v>
      </c>
      <c r="F153" s="109">
        <v>5</v>
      </c>
      <c r="G153" s="150">
        <f t="shared" si="0"/>
        <v>30.4</v>
      </c>
    </row>
    <row r="154" spans="1:7" ht="13.2" hidden="1">
      <c r="A154" s="372"/>
      <c r="B154" s="33" t="s">
        <v>1594</v>
      </c>
      <c r="C154" s="147" t="str">
        <f>VLOOKUP(B154,'Thống kê'!$C$3:$D$669,2,0)</f>
        <v>Móc khóa đôi heo</v>
      </c>
      <c r="D154" s="148" t="str">
        <f>VLOOKUP(B154,'Thống kê'!$C$3:$E$682,3,0)</f>
        <v>cái</v>
      </c>
      <c r="E154" s="149">
        <v>6.08</v>
      </c>
      <c r="F154" s="109">
        <v>45</v>
      </c>
      <c r="G154" s="150">
        <f t="shared" si="0"/>
        <v>273.60000000000002</v>
      </c>
    </row>
    <row r="155" spans="1:7" ht="13.2" hidden="1">
      <c r="A155" s="372"/>
      <c r="B155" s="33" t="s">
        <v>227</v>
      </c>
      <c r="C155" s="147" t="str">
        <f>VLOOKUP(B155,'Thống kê'!$C$3:$D$669,2,0)</f>
        <v>Móc khóa đôi corgy</v>
      </c>
      <c r="D155" s="148" t="str">
        <f>VLOOKUP(B155,'Thống kê'!$C$3:$E$682,3,0)</f>
        <v>cái</v>
      </c>
      <c r="E155" s="149">
        <v>6.08</v>
      </c>
      <c r="F155" s="109">
        <v>15</v>
      </c>
      <c r="G155" s="150">
        <f t="shared" si="0"/>
        <v>91.2</v>
      </c>
    </row>
    <row r="156" spans="1:7" ht="13.2" hidden="1">
      <c r="A156" s="372"/>
      <c r="B156" s="33" t="s">
        <v>161</v>
      </c>
      <c r="C156" s="147" t="str">
        <f>VLOOKUP(B156,'Thống kê'!$C$3:$D$669,2,0)</f>
        <v>Dao rọc giấy 07</v>
      </c>
      <c r="D156" s="148" t="str">
        <f>VLOOKUP(B156,'Thống kê'!$C$3:$E$682,3,0)</f>
        <v>cái</v>
      </c>
      <c r="E156" s="149">
        <v>0.7</v>
      </c>
      <c r="F156" s="109">
        <v>20</v>
      </c>
      <c r="G156" s="150">
        <f t="shared" si="0"/>
        <v>14</v>
      </c>
    </row>
    <row r="157" spans="1:7" ht="13.2" hidden="1">
      <c r="A157" s="372"/>
      <c r="B157" s="33" t="s">
        <v>1595</v>
      </c>
      <c r="C157" s="147" t="str">
        <f>VLOOKUP(B157,'Thống kê'!$C$3:$D$669,2,0)</f>
        <v>Dao rọc giấy 08</v>
      </c>
      <c r="D157" s="148" t="str">
        <f>VLOOKUP(B157,'Thống kê'!$C$3:$E$682,3,0)</f>
        <v>cái</v>
      </c>
      <c r="E157" s="149">
        <v>0.7</v>
      </c>
      <c r="F157" s="109">
        <v>20</v>
      </c>
      <c r="G157" s="150">
        <f t="shared" si="0"/>
        <v>14</v>
      </c>
    </row>
    <row r="158" spans="1:7" ht="13.2" hidden="1">
      <c r="A158" s="372"/>
      <c r="B158" s="33" t="s">
        <v>278</v>
      </c>
      <c r="C158" s="147" t="str">
        <f>VLOOKUP(B158,'Thống kê'!$C$3:$D$669,2,0)</f>
        <v>Dao rọc giấy 09</v>
      </c>
      <c r="D158" s="148" t="str">
        <f>VLOOKUP(B158,'Thống kê'!$C$3:$E$682,3,0)</f>
        <v>cái</v>
      </c>
      <c r="E158" s="149">
        <v>0.7</v>
      </c>
      <c r="F158" s="109">
        <v>20</v>
      </c>
      <c r="G158" s="150">
        <f t="shared" si="0"/>
        <v>14</v>
      </c>
    </row>
    <row r="159" spans="1:7" ht="13.2" hidden="1">
      <c r="A159" s="372"/>
      <c r="B159" s="33" t="s">
        <v>317</v>
      </c>
      <c r="C159" s="147" t="str">
        <f>VLOOKUP(B159,'Thống kê'!$C$3:$D$669,2,0)</f>
        <v>Dao rọc giấy 10</v>
      </c>
      <c r="D159" s="148" t="str">
        <f>VLOOKUP(B159,'Thống kê'!$C$3:$E$682,3,0)</f>
        <v>cái</v>
      </c>
      <c r="E159" s="149">
        <v>0.7</v>
      </c>
      <c r="F159" s="109">
        <v>20</v>
      </c>
      <c r="G159" s="150">
        <f t="shared" si="0"/>
        <v>14</v>
      </c>
    </row>
    <row r="160" spans="1:7" ht="13.2" hidden="1">
      <c r="A160" s="372"/>
      <c r="B160" s="33" t="s">
        <v>1596</v>
      </c>
      <c r="C160" s="147" t="str">
        <f>VLOOKUP(B160,'Thống kê'!$C$3:$D$669,2,0)</f>
        <v>Dao rọc giấy 11</v>
      </c>
      <c r="D160" s="148" t="str">
        <f>VLOOKUP(B160,'Thống kê'!$C$3:$E$682,3,0)</f>
        <v>cái</v>
      </c>
      <c r="E160" s="149">
        <v>0.7</v>
      </c>
      <c r="F160" s="109">
        <v>20</v>
      </c>
      <c r="G160" s="150">
        <f t="shared" si="0"/>
        <v>14</v>
      </c>
    </row>
    <row r="161" spans="1:7" ht="13.2" hidden="1">
      <c r="A161" s="372"/>
      <c r="B161" s="33" t="s">
        <v>1597</v>
      </c>
      <c r="C161" s="147" t="str">
        <f>VLOOKUP(B161,'Thống kê'!$C$3:$D$669,2,0)</f>
        <v>Dao rọc giấy 12</v>
      </c>
      <c r="D161" s="148" t="str">
        <f>VLOOKUP(B161,'Thống kê'!$C$3:$E$682,3,0)</f>
        <v>cái</v>
      </c>
      <c r="E161" s="149">
        <v>0.7</v>
      </c>
      <c r="F161" s="109">
        <v>20</v>
      </c>
      <c r="G161" s="150">
        <f t="shared" si="0"/>
        <v>14</v>
      </c>
    </row>
    <row r="162" spans="1:7" ht="13.2" hidden="1">
      <c r="A162" s="372"/>
      <c r="B162" s="33" t="s">
        <v>1598</v>
      </c>
      <c r="C162" s="147" t="str">
        <f>VLOOKUP(B162,'Thống kê'!$C$3:$D$669,2,0)</f>
        <v>Dao rọc giấy 13</v>
      </c>
      <c r="D162" s="148" t="str">
        <f>VLOOKUP(B162,'Thống kê'!$C$3:$E$682,3,0)</f>
        <v>cái</v>
      </c>
      <c r="E162" s="149">
        <v>0.7</v>
      </c>
      <c r="F162" s="109">
        <v>20</v>
      </c>
      <c r="G162" s="150">
        <f t="shared" si="0"/>
        <v>14</v>
      </c>
    </row>
    <row r="163" spans="1:7" ht="13.2" hidden="1">
      <c r="A163" s="372"/>
      <c r="B163" s="33" t="s">
        <v>1599</v>
      </c>
      <c r="C163" s="147" t="str">
        <f>VLOOKUP(B163,'Thống kê'!$C$3:$D$669,2,0)</f>
        <v>Dao rọc giấy 14</v>
      </c>
      <c r="D163" s="148" t="str">
        <f>VLOOKUP(B163,'Thống kê'!$C$3:$E$682,3,0)</f>
        <v>cái</v>
      </c>
      <c r="E163" s="149">
        <v>0.8</v>
      </c>
      <c r="F163" s="109">
        <v>20</v>
      </c>
      <c r="G163" s="150">
        <f t="shared" si="0"/>
        <v>16</v>
      </c>
    </row>
    <row r="164" spans="1:7" ht="13.2" hidden="1">
      <c r="A164" s="372"/>
      <c r="B164" s="33" t="s">
        <v>177</v>
      </c>
      <c r="C164" s="147" t="str">
        <f>VLOOKUP(B164,'Thống kê'!$C$3:$D$669,2,0)</f>
        <v>Dao rọc giấy 15</v>
      </c>
      <c r="D164" s="148" t="str">
        <f>VLOOKUP(B164,'Thống kê'!$C$3:$E$682,3,0)</f>
        <v>cái</v>
      </c>
      <c r="E164" s="149">
        <v>0.7</v>
      </c>
      <c r="F164" s="109">
        <v>20</v>
      </c>
      <c r="G164" s="150">
        <f t="shared" si="0"/>
        <v>14</v>
      </c>
    </row>
    <row r="165" spans="1:7" ht="13.2" hidden="1">
      <c r="A165" s="372"/>
      <c r="B165" s="33" t="s">
        <v>172</v>
      </c>
      <c r="C165" s="147" t="str">
        <f>VLOOKUP(B165,'Thống kê'!$C$3:$D$669,2,0)</f>
        <v>Dao rọc giấy 16</v>
      </c>
      <c r="D165" s="148" t="str">
        <f>VLOOKUP(B165,'Thống kê'!$C$3:$E$682,3,0)</f>
        <v>cái</v>
      </c>
      <c r="E165" s="149">
        <v>0.7</v>
      </c>
      <c r="F165" s="109">
        <v>20</v>
      </c>
      <c r="G165" s="150">
        <f t="shared" si="0"/>
        <v>14</v>
      </c>
    </row>
    <row r="166" spans="1:7" ht="13.2" hidden="1">
      <c r="A166" s="372"/>
      <c r="B166" s="33" t="s">
        <v>269</v>
      </c>
      <c r="C166" s="147" t="str">
        <f>VLOOKUP(B166,'Thống kê'!$C$3:$D$669,2,0)</f>
        <v>Dao rọc giấy 17</v>
      </c>
      <c r="D166" s="148" t="str">
        <f>VLOOKUP(B166,'Thống kê'!$C$3:$E$682,3,0)</f>
        <v>cái</v>
      </c>
      <c r="E166" s="149">
        <v>0.8</v>
      </c>
      <c r="F166" s="109">
        <v>20</v>
      </c>
      <c r="G166" s="150">
        <f t="shared" si="0"/>
        <v>16</v>
      </c>
    </row>
    <row r="167" spans="1:7" ht="13.2" hidden="1">
      <c r="A167" s="372"/>
      <c r="B167" s="33" t="s">
        <v>1600</v>
      </c>
      <c r="C167" s="147" t="str">
        <f>VLOOKUP(B167,'Thống kê'!$C$3:$D$669,2,0)</f>
        <v>Dao rọc giấy 18</v>
      </c>
      <c r="D167" s="148" t="str">
        <f>VLOOKUP(B167,'Thống kê'!$C$3:$E$682,3,0)</f>
        <v>cái</v>
      </c>
      <c r="E167" s="149">
        <v>0.8</v>
      </c>
      <c r="F167" s="109">
        <v>20</v>
      </c>
      <c r="G167" s="150">
        <f t="shared" si="0"/>
        <v>16</v>
      </c>
    </row>
    <row r="168" spans="1:7" ht="13.2" hidden="1">
      <c r="A168" s="372"/>
      <c r="B168" s="33" t="s">
        <v>1601</v>
      </c>
      <c r="C168" s="147" t="str">
        <f>VLOOKUP(B168,'Thống kê'!$C$3:$D$669,2,0)</f>
        <v>Dao rọc giấy 19</v>
      </c>
      <c r="D168" s="148" t="str">
        <f>VLOOKUP(B168,'Thống kê'!$C$3:$E$682,3,0)</f>
        <v>cái</v>
      </c>
      <c r="E168" s="149">
        <v>0.8</v>
      </c>
      <c r="F168" s="109">
        <v>20</v>
      </c>
      <c r="G168" s="150">
        <f t="shared" si="0"/>
        <v>16</v>
      </c>
    </row>
    <row r="169" spans="1:7" ht="13.2" hidden="1">
      <c r="A169" s="372"/>
      <c r="B169" s="33" t="s">
        <v>164</v>
      </c>
      <c r="C169" s="147" t="str">
        <f>VLOOKUP(B169,'Thống kê'!$C$3:$D$669,2,0)</f>
        <v>Thước dây trắng</v>
      </c>
      <c r="D169" s="148" t="str">
        <f>VLOOKUP(B169,'Thống kê'!$C$3:$E$682,3,0)</f>
        <v>cái</v>
      </c>
      <c r="E169" s="110">
        <v>0.7</v>
      </c>
      <c r="F169" s="109">
        <v>20</v>
      </c>
      <c r="G169" s="150">
        <f t="shared" si="0"/>
        <v>14</v>
      </c>
    </row>
    <row r="170" spans="1:7" ht="13.2" hidden="1">
      <c r="A170" s="372"/>
      <c r="B170" s="33" t="s">
        <v>270</v>
      </c>
      <c r="C170" s="147" t="str">
        <f>VLOOKUP(B170,'Thống kê'!$C$3:$D$669,2,0)</f>
        <v>Thước dây vàng</v>
      </c>
      <c r="D170" s="148" t="str">
        <f>VLOOKUP(B170,'Thống kê'!$C$3:$E$682,3,0)</f>
        <v>cái</v>
      </c>
      <c r="E170" s="110">
        <v>0.7</v>
      </c>
      <c r="F170" s="109">
        <v>20</v>
      </c>
      <c r="G170" s="150">
        <f t="shared" si="0"/>
        <v>14</v>
      </c>
    </row>
    <row r="171" spans="1:7" ht="13.2" hidden="1">
      <c r="A171" s="372"/>
      <c r="B171" s="33" t="s">
        <v>1602</v>
      </c>
      <c r="C171" s="147" t="str">
        <f>VLOOKUP(B171,'Thống kê'!$C$3:$D$669,2,0)</f>
        <v>Thước dây hồng đất</v>
      </c>
      <c r="D171" s="148" t="str">
        <f>VLOOKUP(B171,'Thống kê'!$C$3:$E$682,3,0)</f>
        <v>cái</v>
      </c>
      <c r="E171" s="110">
        <v>0.7</v>
      </c>
      <c r="F171" s="109">
        <v>20</v>
      </c>
      <c r="G171" s="150">
        <f t="shared" si="0"/>
        <v>14</v>
      </c>
    </row>
    <row r="172" spans="1:7" ht="13.2" hidden="1">
      <c r="A172" s="372"/>
      <c r="B172" s="33" t="s">
        <v>1603</v>
      </c>
      <c r="C172" s="147" t="str">
        <f>VLOOKUP(B172,'Thống kê'!$C$3:$D$669,2,0)</f>
        <v>Thước dây hồng phấn</v>
      </c>
      <c r="D172" s="148" t="str">
        <f>VLOOKUP(B172,'Thống kê'!$C$3:$E$682,3,0)</f>
        <v>cái</v>
      </c>
      <c r="E172" s="110">
        <v>0.7</v>
      </c>
      <c r="F172" s="109">
        <v>20</v>
      </c>
      <c r="G172" s="150">
        <f t="shared" si="0"/>
        <v>14</v>
      </c>
    </row>
    <row r="173" spans="1:7" ht="13.2" hidden="1">
      <c r="A173" s="372"/>
      <c r="B173" s="33" t="s">
        <v>1604</v>
      </c>
      <c r="C173" s="147" t="str">
        <f>VLOOKUP(B173,'Thống kê'!$C$3:$D$669,2,0)</f>
        <v>Thước dây xám</v>
      </c>
      <c r="D173" s="148" t="str">
        <f>VLOOKUP(B173,'Thống kê'!$C$3:$E$682,3,0)</f>
        <v>cái</v>
      </c>
      <c r="E173" s="110">
        <v>0.7</v>
      </c>
      <c r="F173" s="109">
        <v>20</v>
      </c>
      <c r="G173" s="150">
        <f t="shared" si="0"/>
        <v>14</v>
      </c>
    </row>
    <row r="174" spans="1:7" ht="13.2" hidden="1">
      <c r="A174" s="372"/>
      <c r="B174" s="33" t="s">
        <v>1605</v>
      </c>
      <c r="C174" s="147" t="str">
        <f>VLOOKUP(B174,'Thống kê'!$C$3:$D$669,2,0)</f>
        <v>Thước dây xanh</v>
      </c>
      <c r="D174" s="148" t="str">
        <f>VLOOKUP(B174,'Thống kê'!$C$3:$E$682,3,0)</f>
        <v>cái</v>
      </c>
      <c r="E174" s="110">
        <v>0.7</v>
      </c>
      <c r="F174" s="109">
        <v>19</v>
      </c>
      <c r="G174" s="150">
        <f t="shared" si="0"/>
        <v>13.299999999999999</v>
      </c>
    </row>
    <row r="175" spans="1:7" ht="13.2" hidden="1">
      <c r="A175" s="372"/>
      <c r="B175" s="33" t="s">
        <v>1606</v>
      </c>
      <c r="C175" s="147" t="str">
        <f>VLOOKUP(B175,'Thống kê'!$C$3:$D$669,2,0)</f>
        <v>Kẹp Snack hình khoai tay gọt</v>
      </c>
      <c r="D175" s="148" t="str">
        <f>VLOOKUP(B175,'Thống kê'!$C$3:$E$682,3,0)</f>
        <v>cái</v>
      </c>
      <c r="E175" s="110">
        <v>0.57999999999999996</v>
      </c>
      <c r="F175" s="109">
        <v>50</v>
      </c>
      <c r="G175" s="150">
        <f t="shared" si="0"/>
        <v>28.999999999999996</v>
      </c>
    </row>
    <row r="176" spans="1:7" ht="13.2" hidden="1">
      <c r="A176" s="373"/>
      <c r="B176" s="33" t="s">
        <v>266</v>
      </c>
      <c r="C176" s="147" t="str">
        <f>VLOOKUP(B176,'Thống kê'!$C$3:$D$669,2,0)</f>
        <v>Kẹp Snack hình tam giác</v>
      </c>
      <c r="D176" s="148" t="str">
        <f>VLOOKUP(B176,'Thống kê'!$C$3:$E$682,3,0)</f>
        <v>cái</v>
      </c>
      <c r="E176" s="110">
        <v>0.57999999999999996</v>
      </c>
      <c r="F176" s="109">
        <v>50</v>
      </c>
      <c r="G176" s="150">
        <f t="shared" si="0"/>
        <v>28.999999999999996</v>
      </c>
    </row>
    <row r="177" spans="1:7" ht="13.2" hidden="1">
      <c r="A177" s="396">
        <v>45422</v>
      </c>
      <c r="B177" s="28" t="s">
        <v>1607</v>
      </c>
      <c r="C177" s="143" t="str">
        <f>VLOOKUP(B177,'Thống kê'!$C$3:$D$669,2,0)</f>
        <v>Kẹp nhựa trắng có hoa</v>
      </c>
      <c r="D177" s="144" t="str">
        <f>VLOOKUP(B177,'Thống kê'!$C$3:$E$682,3,0)</f>
        <v>cái</v>
      </c>
      <c r="E177" s="100">
        <v>3.39</v>
      </c>
      <c r="F177" s="101">
        <v>5</v>
      </c>
      <c r="G177" s="125">
        <f t="shared" si="0"/>
        <v>16.95</v>
      </c>
    </row>
    <row r="178" spans="1:7" ht="13.2" hidden="1">
      <c r="A178" s="372"/>
      <c r="B178" s="28" t="s">
        <v>1608</v>
      </c>
      <c r="C178" s="143" t="str">
        <f>VLOOKUP(B178,'Thống kê'!$C$3:$D$669,2,0)</f>
        <v>Kẹp nhựa đen có hoa</v>
      </c>
      <c r="D178" s="144" t="str">
        <f>VLOOKUP(B178,'Thống kê'!$C$3:$E$682,3,0)</f>
        <v>cái</v>
      </c>
      <c r="E178" s="145">
        <v>3.39</v>
      </c>
      <c r="F178" s="101">
        <v>5</v>
      </c>
      <c r="G178" s="125">
        <f t="shared" si="0"/>
        <v>16.95</v>
      </c>
    </row>
    <row r="179" spans="1:7" ht="13.2" hidden="1">
      <c r="A179" s="372"/>
      <c r="B179" s="28" t="s">
        <v>1609</v>
      </c>
      <c r="C179" s="143" t="str">
        <f>VLOOKUP(B179,'Thống kê'!$C$3:$D$669,2,0)</f>
        <v>Kẹp nhựa xanh bóng có hoa</v>
      </c>
      <c r="D179" s="144" t="str">
        <f>VLOOKUP(B179,'Thống kê'!$C$3:$E$682,3,0)</f>
        <v>cái</v>
      </c>
      <c r="E179" s="145">
        <v>3.39</v>
      </c>
      <c r="F179" s="101">
        <v>5</v>
      </c>
      <c r="G179" s="125">
        <f t="shared" si="0"/>
        <v>16.95</v>
      </c>
    </row>
    <row r="180" spans="1:7" ht="13.2" hidden="1">
      <c r="A180" s="372"/>
      <c r="B180" s="28" t="s">
        <v>1610</v>
      </c>
      <c r="C180" s="143" t="str">
        <f>VLOOKUP(B180,'Thống kê'!$C$3:$D$669,2,0)</f>
        <v>Kẹp nhựa xanh mờ có hoa</v>
      </c>
      <c r="D180" s="144" t="str">
        <f>VLOOKUP(B180,'Thống kê'!$C$3:$E$682,3,0)</f>
        <v>cái</v>
      </c>
      <c r="E180" s="145">
        <v>3.39</v>
      </c>
      <c r="F180" s="101">
        <v>12</v>
      </c>
      <c r="G180" s="125">
        <f t="shared" si="0"/>
        <v>40.68</v>
      </c>
    </row>
    <row r="181" spans="1:7" ht="13.2" hidden="1">
      <c r="A181" s="373"/>
      <c r="B181" s="28" t="s">
        <v>1611</v>
      </c>
      <c r="C181" s="143" t="str">
        <f>VLOOKUP(B181,'Thống kê'!$C$3:$D$669,2,0)</f>
        <v>Kẹp nhựa nâu có hoa</v>
      </c>
      <c r="D181" s="144" t="str">
        <f>VLOOKUP(B181,'Thống kê'!$C$3:$E$682,3,0)</f>
        <v>cái</v>
      </c>
      <c r="E181" s="145">
        <v>3.39</v>
      </c>
      <c r="F181" s="101">
        <v>5</v>
      </c>
      <c r="G181" s="125">
        <f t="shared" si="0"/>
        <v>16.95</v>
      </c>
    </row>
    <row r="182" spans="1:7" ht="13.2" hidden="1">
      <c r="A182" s="155">
        <v>45425</v>
      </c>
      <c r="B182" s="28" t="s">
        <v>1612</v>
      </c>
      <c r="C182" s="143" t="str">
        <f>VLOOKUP(B182,'Thống kê'!$C$3:$D$669,2,0)</f>
        <v>Kẹp tóc bướm trắng</v>
      </c>
      <c r="D182" s="144" t="str">
        <f>VLOOKUP(B182,'Thống kê'!$C$3:$E$682,3,0)</f>
        <v>cái</v>
      </c>
      <c r="E182" s="145">
        <v>4.47</v>
      </c>
      <c r="F182" s="101">
        <v>5</v>
      </c>
      <c r="G182" s="125">
        <f t="shared" si="0"/>
        <v>22.349999999999998</v>
      </c>
    </row>
    <row r="183" spans="1:7" ht="13.2" hidden="1">
      <c r="A183" s="155"/>
      <c r="B183" s="28" t="s">
        <v>1613</v>
      </c>
      <c r="C183" s="143" t="str">
        <f>VLOOKUP(B183,'Thống kê'!$C$3:$D$669,2,0)</f>
        <v>Kẹp tóc bướm xanh tím</v>
      </c>
      <c r="D183" s="144" t="str">
        <f>VLOOKUP(B183,'Thống kê'!$C$3:$E$682,3,0)</f>
        <v>cái</v>
      </c>
      <c r="E183" s="100">
        <v>4.47</v>
      </c>
      <c r="F183" s="101">
        <v>5</v>
      </c>
      <c r="G183" s="125">
        <f t="shared" si="0"/>
        <v>22.349999999999998</v>
      </c>
    </row>
    <row r="184" spans="1:7" ht="13.2" hidden="1">
      <c r="A184" s="155"/>
      <c r="B184" s="28" t="s">
        <v>1614</v>
      </c>
      <c r="C184" s="143" t="str">
        <f>VLOOKUP(B184,'Thống kê'!$C$3:$D$669,2,0)</f>
        <v>Kẹp tóc bướm xanh ngọc</v>
      </c>
      <c r="D184" s="144" t="str">
        <f>VLOOKUP(B184,'Thống kê'!$C$3:$E$682,3,0)</f>
        <v>cái</v>
      </c>
      <c r="E184" s="100">
        <v>4.47</v>
      </c>
      <c r="F184" s="101">
        <v>5</v>
      </c>
      <c r="G184" s="125">
        <f t="shared" si="0"/>
        <v>22.349999999999998</v>
      </c>
    </row>
    <row r="185" spans="1:7" ht="13.2" hidden="1">
      <c r="A185" s="155"/>
      <c r="B185" s="28" t="s">
        <v>1615</v>
      </c>
      <c r="C185" s="143" t="str">
        <f>VLOOKUP(B185,'Thống kê'!$C$3:$D$669,2,0)</f>
        <v>Kẹp tóc bướm tím</v>
      </c>
      <c r="D185" s="144" t="str">
        <f>VLOOKUP(B185,'Thống kê'!$C$3:$E$682,3,0)</f>
        <v>cái</v>
      </c>
      <c r="E185" s="100">
        <v>4.47</v>
      </c>
      <c r="F185" s="101">
        <v>5</v>
      </c>
      <c r="G185" s="125">
        <f t="shared" si="0"/>
        <v>22.349999999999998</v>
      </c>
    </row>
    <row r="186" spans="1:7" ht="13.2" hidden="1">
      <c r="A186" s="155"/>
      <c r="B186" s="28" t="s">
        <v>1616</v>
      </c>
      <c r="C186" s="143" t="str">
        <f>VLOOKUP(B186,'Thống kê'!$C$3:$D$669,2,0)</f>
        <v>Kẹp tóc bướm hồng phấn</v>
      </c>
      <c r="D186" s="144" t="str">
        <f>VLOOKUP(B186,'Thống kê'!$C$3:$E$682,3,0)</f>
        <v>cái</v>
      </c>
      <c r="E186" s="100">
        <v>4.47</v>
      </c>
      <c r="F186" s="101">
        <v>5</v>
      </c>
      <c r="G186" s="125">
        <f t="shared" si="0"/>
        <v>22.349999999999998</v>
      </c>
    </row>
    <row r="187" spans="1:7" ht="13.2" hidden="1">
      <c r="A187" s="155"/>
      <c r="B187" s="28" t="s">
        <v>1617</v>
      </c>
      <c r="C187" s="143" t="str">
        <f>VLOOKUP(B187,'Thống kê'!$C$3:$D$669,2,0)</f>
        <v xml:space="preserve">Kẹp tóc bướm hồng </v>
      </c>
      <c r="D187" s="144" t="str">
        <f>VLOOKUP(B187,'Thống kê'!$C$3:$E$682,3,0)</f>
        <v>cái</v>
      </c>
      <c r="E187" s="100">
        <v>4.47</v>
      </c>
      <c r="F187" s="101">
        <v>5</v>
      </c>
      <c r="G187" s="125">
        <f t="shared" si="0"/>
        <v>22.349999999999998</v>
      </c>
    </row>
    <row r="188" spans="1:7" ht="13.2" hidden="1">
      <c r="A188" s="155"/>
      <c r="B188" s="28" t="s">
        <v>1195</v>
      </c>
      <c r="C188" s="143" t="str">
        <f>VLOOKUP(B188,'Thống kê'!$C$3:$D$669,2,0)</f>
        <v>Túi chườm bụng vịt vàng 500ml</v>
      </c>
      <c r="D188" s="144" t="str">
        <f>VLOOKUP(B188,'Thống kê'!$C$3:$E$682,3,0)</f>
        <v>túi</v>
      </c>
      <c r="E188" s="100">
        <v>8.44</v>
      </c>
      <c r="F188" s="101">
        <v>10</v>
      </c>
      <c r="G188" s="125">
        <f t="shared" si="0"/>
        <v>84.399999999999991</v>
      </c>
    </row>
    <row r="189" spans="1:7" ht="13.2" hidden="1">
      <c r="A189" s="155"/>
      <c r="B189" s="28" t="s">
        <v>1196</v>
      </c>
      <c r="C189" s="143" t="str">
        <f>VLOOKUP(B189,'Thống kê'!$C$3:$D$669,2,0)</f>
        <v>Túi chườm bụng thỏ xám  500ml</v>
      </c>
      <c r="D189" s="144" t="str">
        <f>VLOOKUP(B189,'Thống kê'!$C$3:$E$682,3,0)</f>
        <v>túi</v>
      </c>
      <c r="E189" s="100">
        <v>8.44</v>
      </c>
      <c r="F189" s="101">
        <v>10</v>
      </c>
      <c r="G189" s="125">
        <f t="shared" si="0"/>
        <v>84.399999999999991</v>
      </c>
    </row>
    <row r="190" spans="1:7" ht="13.2" hidden="1">
      <c r="A190" s="155"/>
      <c r="B190" s="28" t="s">
        <v>1198</v>
      </c>
      <c r="C190" s="143" t="str">
        <f>VLOOKUP(B190,'Thống kê'!$C$3:$D$669,2,0)</f>
        <v>Túi chườm bụng gấu trúc 500ml</v>
      </c>
      <c r="D190" s="144" t="str">
        <f>VLOOKUP(B190,'Thống kê'!$C$3:$E$682,3,0)</f>
        <v>túi</v>
      </c>
      <c r="E190" s="100">
        <v>8.44</v>
      </c>
      <c r="F190" s="101">
        <v>10</v>
      </c>
      <c r="G190" s="125">
        <f t="shared" si="0"/>
        <v>84.399999999999991</v>
      </c>
    </row>
    <row r="191" spans="1:7" ht="13.2" hidden="1">
      <c r="A191" s="155"/>
      <c r="B191" s="28" t="s">
        <v>1200</v>
      </c>
      <c r="C191" s="143" t="str">
        <f>VLOOKUP(B191,'Thống kê'!$C$3:$D$669,2,0)</f>
        <v>Túi chườm bụng gấu nâu 500ml</v>
      </c>
      <c r="D191" s="144" t="str">
        <f>VLOOKUP(B191,'Thống kê'!$C$3:$E$682,3,0)</f>
        <v>túi</v>
      </c>
      <c r="E191" s="100">
        <v>8.44</v>
      </c>
      <c r="F191" s="101">
        <v>10</v>
      </c>
      <c r="G191" s="125">
        <f t="shared" si="0"/>
        <v>84.399999999999991</v>
      </c>
    </row>
    <row r="192" spans="1:7" ht="13.2" hidden="1">
      <c r="A192" s="155"/>
      <c r="B192" s="28" t="s">
        <v>1201</v>
      </c>
      <c r="C192" s="143" t="str">
        <f>VLOOKUP(B192,'Thống kê'!$C$3:$D$669,2,0)</f>
        <v>Túi chườm bụng chó trắng 500ml</v>
      </c>
      <c r="D192" s="144" t="str">
        <f>VLOOKUP(B192,'Thống kê'!$C$3:$E$682,3,0)</f>
        <v>túi</v>
      </c>
      <c r="E192" s="100">
        <v>8.44</v>
      </c>
      <c r="F192" s="101">
        <v>10</v>
      </c>
      <c r="G192" s="125">
        <f t="shared" si="0"/>
        <v>84.399999999999991</v>
      </c>
    </row>
    <row r="193" spans="1:7" ht="13.2" hidden="1">
      <c r="A193" s="155"/>
      <c r="B193" s="28" t="s">
        <v>1203</v>
      </c>
      <c r="C193" s="143" t="str">
        <f>VLOOKUP(B193,'Thống kê'!$C$3:$D$669,2,0)</f>
        <v>Túi chườm bụng thỏ hồng 500ml</v>
      </c>
      <c r="D193" s="144" t="str">
        <f>VLOOKUP(B193,'Thống kê'!$C$3:$E$682,3,0)</f>
        <v>túi</v>
      </c>
      <c r="E193" s="100">
        <v>8.44</v>
      </c>
      <c r="F193" s="101">
        <v>10</v>
      </c>
      <c r="G193" s="125">
        <f t="shared" si="0"/>
        <v>84.399999999999991</v>
      </c>
    </row>
    <row r="194" spans="1:7" ht="13.2" hidden="1">
      <c r="A194" s="155"/>
      <c r="B194" s="28" t="s">
        <v>1612</v>
      </c>
      <c r="C194" s="143" t="str">
        <f>VLOOKUP(B194,'Thống kê'!$C$3:$D$669,2,0)</f>
        <v>Kẹp tóc bướm trắng</v>
      </c>
      <c r="D194" s="144" t="str">
        <f>VLOOKUP(B194,'Thống kê'!$C$3:$E$682,3,0)</f>
        <v>cái</v>
      </c>
      <c r="E194" s="100">
        <v>4.47</v>
      </c>
      <c r="F194" s="101">
        <v>15</v>
      </c>
      <c r="G194" s="125">
        <f t="shared" si="0"/>
        <v>67.05</v>
      </c>
    </row>
    <row r="195" spans="1:7" ht="13.2" hidden="1">
      <c r="A195" s="155"/>
      <c r="B195" s="28" t="s">
        <v>1613</v>
      </c>
      <c r="C195" s="143" t="str">
        <f>VLOOKUP(B195,'Thống kê'!$C$3:$D$669,2,0)</f>
        <v>Kẹp tóc bướm xanh tím</v>
      </c>
      <c r="D195" s="144" t="str">
        <f>VLOOKUP(B195,'Thống kê'!$C$3:$E$682,3,0)</f>
        <v>cái</v>
      </c>
      <c r="E195" s="100">
        <v>4.47</v>
      </c>
      <c r="F195" s="101">
        <v>15</v>
      </c>
      <c r="G195" s="125">
        <f t="shared" si="0"/>
        <v>67.05</v>
      </c>
    </row>
    <row r="196" spans="1:7" ht="13.2" hidden="1">
      <c r="A196" s="155"/>
      <c r="B196" s="28" t="s">
        <v>1614</v>
      </c>
      <c r="C196" s="143" t="str">
        <f>VLOOKUP(B196,'Thống kê'!$C$3:$D$669,2,0)</f>
        <v>Kẹp tóc bướm xanh ngọc</v>
      </c>
      <c r="D196" s="144" t="str">
        <f>VLOOKUP(B196,'Thống kê'!$C$3:$E$682,3,0)</f>
        <v>cái</v>
      </c>
      <c r="E196" s="100">
        <v>4.47</v>
      </c>
      <c r="F196" s="101">
        <v>15</v>
      </c>
      <c r="G196" s="125">
        <f t="shared" si="0"/>
        <v>67.05</v>
      </c>
    </row>
    <row r="197" spans="1:7" ht="13.2" hidden="1">
      <c r="A197" s="155"/>
      <c r="B197" s="28" t="s">
        <v>1615</v>
      </c>
      <c r="C197" s="143" t="str">
        <f>VLOOKUP(B197,'Thống kê'!$C$3:$D$669,2,0)</f>
        <v>Kẹp tóc bướm tím</v>
      </c>
      <c r="D197" s="144" t="str">
        <f>VLOOKUP(B197,'Thống kê'!$C$3:$E$682,3,0)</f>
        <v>cái</v>
      </c>
      <c r="E197" s="100">
        <v>4.47</v>
      </c>
      <c r="F197" s="101">
        <v>15</v>
      </c>
      <c r="G197" s="125">
        <f t="shared" si="0"/>
        <v>67.05</v>
      </c>
    </row>
    <row r="198" spans="1:7" ht="13.2" hidden="1">
      <c r="A198" s="155"/>
      <c r="B198" s="28" t="s">
        <v>1616</v>
      </c>
      <c r="C198" s="143" t="str">
        <f>VLOOKUP(B198,'Thống kê'!$C$3:$D$669,2,0)</f>
        <v>Kẹp tóc bướm hồng phấn</v>
      </c>
      <c r="D198" s="144" t="str">
        <f>VLOOKUP(B198,'Thống kê'!$C$3:$E$682,3,0)</f>
        <v>cái</v>
      </c>
      <c r="E198" s="100">
        <v>4.47</v>
      </c>
      <c r="F198" s="101">
        <v>15</v>
      </c>
      <c r="G198" s="125">
        <f t="shared" si="0"/>
        <v>67.05</v>
      </c>
    </row>
    <row r="199" spans="1:7" ht="13.2" hidden="1">
      <c r="A199" s="155"/>
      <c r="B199" s="28" t="s">
        <v>1617</v>
      </c>
      <c r="C199" s="143" t="str">
        <f>VLOOKUP(B199,'Thống kê'!$C$3:$D$669,2,0)</f>
        <v xml:space="preserve">Kẹp tóc bướm hồng </v>
      </c>
      <c r="D199" s="144" t="str">
        <f>VLOOKUP(B199,'Thống kê'!$C$3:$E$682,3,0)</f>
        <v>cái</v>
      </c>
      <c r="E199" s="100">
        <v>4.47</v>
      </c>
      <c r="F199" s="101">
        <v>15</v>
      </c>
      <c r="G199" s="125">
        <f t="shared" si="0"/>
        <v>67.05</v>
      </c>
    </row>
    <row r="200" spans="1:7" ht="13.2" hidden="1">
      <c r="A200" s="155"/>
      <c r="B200" s="28" t="s">
        <v>1618</v>
      </c>
      <c r="C200" s="143" t="str">
        <f>VLOOKUP(B200,'Thống kê'!$C$3:$D$669,2,0)</f>
        <v>Kẹp tóc bướm hồng trắng</v>
      </c>
      <c r="D200" s="144" t="str">
        <f>VLOOKUP(B200,'Thống kê'!$C$3:$E$682,3,0)</f>
        <v>cái</v>
      </c>
      <c r="E200" s="100">
        <v>4.66</v>
      </c>
      <c r="F200" s="101">
        <v>5</v>
      </c>
      <c r="G200" s="125">
        <f t="shared" si="0"/>
        <v>23.3</v>
      </c>
    </row>
    <row r="201" spans="1:7" ht="13.2" hidden="1">
      <c r="A201" s="155"/>
      <c r="B201" s="28" t="s">
        <v>1619</v>
      </c>
      <c r="C201" s="143" t="str">
        <f>VLOOKUP(B201,'Thống kê'!$C$3:$D$669,2,0)</f>
        <v>Kẹp tóc bướm xanh trắng</v>
      </c>
      <c r="D201" s="144" t="str">
        <f>VLOOKUP(B201,'Thống kê'!$C$3:$E$682,3,0)</f>
        <v>cái</v>
      </c>
      <c r="E201" s="100">
        <v>4.66</v>
      </c>
      <c r="F201" s="101">
        <v>5</v>
      </c>
      <c r="G201" s="125">
        <f t="shared" si="0"/>
        <v>23.3</v>
      </c>
    </row>
    <row r="202" spans="1:7" ht="13.2" hidden="1">
      <c r="A202" s="155"/>
      <c r="B202" s="28" t="s">
        <v>143</v>
      </c>
      <c r="C202" s="143" t="str">
        <f>VLOOKUP(B202,'Thống kê'!$C$3:$D$669,2,0)</f>
        <v>Mèo ú</v>
      </c>
      <c r="D202" s="144" t="str">
        <f>VLOOKUP(B202,'Thống kê'!$C$3:$E$682,3,0)</f>
        <v>cái</v>
      </c>
      <c r="E202" s="100">
        <v>7.51</v>
      </c>
      <c r="F202" s="101">
        <v>3</v>
      </c>
      <c r="G202" s="125">
        <f t="shared" si="0"/>
        <v>22.53</v>
      </c>
    </row>
    <row r="203" spans="1:7" ht="13.2" hidden="1">
      <c r="A203" s="155"/>
      <c r="B203" s="28" t="s">
        <v>1589</v>
      </c>
      <c r="C203" s="143" t="str">
        <f>VLOOKUP(B203,'Thống kê'!$C$3:$D$669,2,0)</f>
        <v>Heo ú bay</v>
      </c>
      <c r="D203" s="144" t="str">
        <f>VLOOKUP(B203,'Thống kê'!$C$3:$E$682,3,0)</f>
        <v>cái</v>
      </c>
      <c r="E203" s="100">
        <v>8.4600000000000009</v>
      </c>
      <c r="F203" s="101">
        <v>5</v>
      </c>
      <c r="G203" s="125">
        <f t="shared" si="0"/>
        <v>42.300000000000004</v>
      </c>
    </row>
    <row r="204" spans="1:7" ht="13.2" hidden="1">
      <c r="A204" s="155"/>
      <c r="B204" s="28" t="s">
        <v>1591</v>
      </c>
      <c r="C204" s="143" t="str">
        <f>VLOOKUP(B204,'Thống kê'!$C$3:$D$669,2,0)</f>
        <v>Thỏ ú</v>
      </c>
      <c r="D204" s="144" t="str">
        <f>VLOOKUP(B204,'Thống kê'!$C$3:$E$682,3,0)</f>
        <v>cái</v>
      </c>
      <c r="E204" s="100">
        <v>7.51</v>
      </c>
      <c r="F204" s="101">
        <v>10</v>
      </c>
      <c r="G204" s="125">
        <f t="shared" si="0"/>
        <v>75.099999999999994</v>
      </c>
    </row>
    <row r="205" spans="1:7" ht="13.2" hidden="1">
      <c r="A205" s="155"/>
      <c r="B205" s="28" t="s">
        <v>325</v>
      </c>
      <c r="C205" s="143" t="str">
        <f>VLOOKUP(B205,'Thống kê'!$C$3:$D$669,2,0)</f>
        <v>Gấu ú</v>
      </c>
      <c r="D205" s="144" t="str">
        <f>VLOOKUP(B205,'Thống kê'!$C$3:$E$682,3,0)</f>
        <v>cái</v>
      </c>
      <c r="E205" s="100">
        <v>7.51</v>
      </c>
      <c r="F205" s="101">
        <v>3</v>
      </c>
      <c r="G205" s="125">
        <f t="shared" si="0"/>
        <v>22.53</v>
      </c>
    </row>
    <row r="206" spans="1:7" ht="13.2" hidden="1">
      <c r="A206" s="155"/>
      <c r="B206" s="28" t="s">
        <v>115</v>
      </c>
      <c r="C206" s="143" t="str">
        <f>VLOOKUP(B206,'Thống kê'!$C$3:$D$669,2,0)</f>
        <v>Heo ú</v>
      </c>
      <c r="D206" s="144" t="str">
        <f>VLOOKUP(B206,'Thống kê'!$C$3:$E$682,3,0)</f>
        <v>cái</v>
      </c>
      <c r="E206" s="100">
        <v>7.51</v>
      </c>
      <c r="F206" s="101">
        <v>12</v>
      </c>
      <c r="G206" s="125">
        <f t="shared" si="0"/>
        <v>90.12</v>
      </c>
    </row>
    <row r="207" spans="1:7" ht="13.2" hidden="1">
      <c r="A207" s="155">
        <v>45433</v>
      </c>
      <c r="B207" s="28" t="s">
        <v>1586</v>
      </c>
      <c r="C207" s="143" t="str">
        <f>VLOOKUP(B207,'Thống kê'!$C$3:$D$669,2,0)</f>
        <v>Thỏ ú hoa</v>
      </c>
      <c r="D207" s="144" t="str">
        <f>VLOOKUP(B207,'Thống kê'!$C$3:$E$682,3,0)</f>
        <v>cái</v>
      </c>
      <c r="E207" s="100">
        <v>8.4600000000000009</v>
      </c>
      <c r="F207" s="101">
        <v>2</v>
      </c>
      <c r="G207" s="125">
        <f t="shared" si="0"/>
        <v>16.920000000000002</v>
      </c>
    </row>
    <row r="208" spans="1:7" ht="13.2" hidden="1">
      <c r="A208" s="155"/>
      <c r="B208" s="28" t="s">
        <v>1620</v>
      </c>
      <c r="C208" s="143" t="str">
        <f>VLOOKUP(B208,'Thống kê'!$C$3:$D$669,2,0)</f>
        <v>Gấu ú hoa</v>
      </c>
      <c r="D208" s="144" t="str">
        <f>VLOOKUP(B208,'Thống kê'!$C$3:$E$682,3,0)</f>
        <v>cái</v>
      </c>
      <c r="E208" s="100">
        <v>8.4600000000000009</v>
      </c>
      <c r="F208" s="101">
        <v>1</v>
      </c>
      <c r="G208" s="125">
        <f t="shared" si="0"/>
        <v>8.4600000000000009</v>
      </c>
    </row>
    <row r="209" spans="1:7" ht="13.2" hidden="1">
      <c r="A209" s="155"/>
      <c r="B209" s="28" t="s">
        <v>1588</v>
      </c>
      <c r="C209" s="143" t="str">
        <f>VLOOKUP(B209,'Thống kê'!$C$3:$D$669,2,0)</f>
        <v>Heo ú hoa</v>
      </c>
      <c r="D209" s="144" t="str">
        <f>VLOOKUP(B209,'Thống kê'!$C$3:$E$682,3,0)</f>
        <v>cái</v>
      </c>
      <c r="E209" s="100">
        <v>8.4600000000000009</v>
      </c>
      <c r="F209" s="101">
        <v>5</v>
      </c>
      <c r="G209" s="125">
        <f t="shared" si="0"/>
        <v>42.300000000000004</v>
      </c>
    </row>
    <row r="210" spans="1:7" ht="13.2" hidden="1">
      <c r="A210" s="155"/>
      <c r="B210" s="28" t="s">
        <v>1590</v>
      </c>
      <c r="C210" s="143" t="str">
        <f>VLOOKUP(B210,'Thống kê'!$C$3:$D$669,2,0)</f>
        <v>Cún ú hoa</v>
      </c>
      <c r="D210" s="144" t="str">
        <f>VLOOKUP(B210,'Thống kê'!$C$3:$E$682,3,0)</f>
        <v>cái</v>
      </c>
      <c r="E210" s="100">
        <v>8.4600000000000009</v>
      </c>
      <c r="F210" s="101">
        <v>3</v>
      </c>
      <c r="G210" s="125">
        <f t="shared" si="0"/>
        <v>25.380000000000003</v>
      </c>
    </row>
    <row r="211" spans="1:7" ht="13.2" hidden="1">
      <c r="A211" s="155">
        <v>45436</v>
      </c>
      <c r="B211" s="28" t="s">
        <v>150</v>
      </c>
      <c r="C211" s="143" t="str">
        <f>VLOOKUP(B211,'Thống kê'!$C$3:$D$669,2,0)</f>
        <v>Móc khóa có chuông</v>
      </c>
      <c r="D211" s="144" t="str">
        <f>VLOOKUP(B211,'Thống kê'!$C$3:$E$682,3,0)</f>
        <v>cái</v>
      </c>
      <c r="E211" s="100">
        <v>6.12</v>
      </c>
      <c r="F211" s="101">
        <v>50</v>
      </c>
      <c r="G211" s="125">
        <f t="shared" si="0"/>
        <v>306</v>
      </c>
    </row>
    <row r="212" spans="1:7" ht="13.2" hidden="1">
      <c r="A212" s="155"/>
      <c r="B212" s="28" t="s">
        <v>1621</v>
      </c>
      <c r="C212" s="143" t="str">
        <f>VLOOKUP(B212,'Thống kê'!$C$3:$D$669,2,0)</f>
        <v>Mô hình mèo 2</v>
      </c>
      <c r="D212" s="144" t="str">
        <f>VLOOKUP(B212,'Thống kê'!$C$3:$E$682,3,0)</f>
        <v>cái</v>
      </c>
      <c r="E212" s="100">
        <v>4.71</v>
      </c>
      <c r="F212" s="101">
        <v>6</v>
      </c>
      <c r="G212" s="125">
        <f t="shared" si="0"/>
        <v>28.259999999999998</v>
      </c>
    </row>
    <row r="213" spans="1:7" ht="13.2" hidden="1">
      <c r="A213" s="155"/>
      <c r="B213" s="28" t="s">
        <v>1622</v>
      </c>
      <c r="C213" s="143" t="str">
        <f>VLOOKUP(B213,'Thống kê'!$C$3:$D$669,2,0)</f>
        <v>Mô hình mèo 1</v>
      </c>
      <c r="D213" s="144" t="str">
        <f>VLOOKUP(B213,'Thống kê'!$C$3:$E$682,3,0)</f>
        <v>cái</v>
      </c>
      <c r="E213" s="100">
        <v>4.71</v>
      </c>
      <c r="F213" s="101">
        <v>8</v>
      </c>
      <c r="G213" s="125">
        <f t="shared" si="0"/>
        <v>37.68</v>
      </c>
    </row>
    <row r="214" spans="1:7" ht="13.2" hidden="1">
      <c r="A214" s="155"/>
      <c r="B214" s="28" t="s">
        <v>1623</v>
      </c>
      <c r="C214" s="143" t="str">
        <f>VLOOKUP(B214,'Thống kê'!$C$3:$D$669,2,0)</f>
        <v>Mô hình mèo 5</v>
      </c>
      <c r="D214" s="144" t="str">
        <f>VLOOKUP(B214,'Thống kê'!$C$3:$E$682,3,0)</f>
        <v>cái</v>
      </c>
      <c r="E214" s="100">
        <v>4.7</v>
      </c>
      <c r="F214" s="101">
        <v>17</v>
      </c>
      <c r="G214" s="125">
        <f t="shared" si="0"/>
        <v>79.900000000000006</v>
      </c>
    </row>
    <row r="215" spans="1:7" ht="13.2" hidden="1">
      <c r="A215" s="155"/>
      <c r="B215" s="28" t="s">
        <v>1624</v>
      </c>
      <c r="C215" s="143" t="str">
        <f>VLOOKUP(B215,'Thống kê'!$C$3:$D$669,2,0)</f>
        <v>Móc khóa mèo trái tim</v>
      </c>
      <c r="D215" s="144" t="str">
        <f>VLOOKUP(B215,'Thống kê'!$C$3:$E$682,3,0)</f>
        <v>cái</v>
      </c>
      <c r="E215" s="100">
        <v>6.78</v>
      </c>
      <c r="F215" s="101">
        <v>20</v>
      </c>
      <c r="G215" s="125">
        <f t="shared" si="0"/>
        <v>135.6</v>
      </c>
    </row>
    <row r="216" spans="1:7" ht="13.2" hidden="1">
      <c r="A216" s="155"/>
      <c r="B216" s="28" t="s">
        <v>1625</v>
      </c>
      <c r="C216" s="143" t="str">
        <f>VLOOKUP(B216,'Thống kê'!$C$3:$D$669,2,0)</f>
        <v>Móc khóa đôi 2 mèo trắng nâu</v>
      </c>
      <c r="D216" s="144" t="str">
        <f>VLOOKUP(B216,'Thống kê'!$C$3:$E$682,3,0)</f>
        <v>cái</v>
      </c>
      <c r="E216" s="100">
        <v>6.78</v>
      </c>
      <c r="F216" s="101">
        <v>20</v>
      </c>
      <c r="G216" s="125">
        <f t="shared" si="0"/>
        <v>135.6</v>
      </c>
    </row>
    <row r="217" spans="1:7" ht="13.2" hidden="1">
      <c r="A217" s="155">
        <v>45437</v>
      </c>
      <c r="B217" s="28" t="s">
        <v>1210</v>
      </c>
      <c r="C217" s="143" t="str">
        <f>VLOOKUP(B217,'Thống kê'!$C$3:$D$669,2,0)</f>
        <v>Shiba ú cầm hoa</v>
      </c>
      <c r="D217" s="144" t="str">
        <f>VLOOKUP(B217,'Thống kê'!$C$3:$E$682,3,0)</f>
        <v>cái</v>
      </c>
      <c r="E217" s="100">
        <v>7.48</v>
      </c>
      <c r="F217" s="101">
        <v>5</v>
      </c>
      <c r="G217" s="125">
        <f t="shared" si="0"/>
        <v>37.400000000000006</v>
      </c>
    </row>
    <row r="218" spans="1:7" ht="13.2" hidden="1">
      <c r="A218" s="155"/>
      <c r="B218" s="28" t="s">
        <v>143</v>
      </c>
      <c r="C218" s="143" t="str">
        <f>VLOOKUP(B218,'Thống kê'!$C$3:$D$669,2,0)</f>
        <v>Mèo ú</v>
      </c>
      <c r="D218" s="144" t="str">
        <f>VLOOKUP(B218,'Thống kê'!$C$3:$E$682,3,0)</f>
        <v>cái</v>
      </c>
      <c r="E218" s="100">
        <v>7.48</v>
      </c>
      <c r="F218" s="101">
        <v>5</v>
      </c>
      <c r="G218" s="125">
        <f t="shared" si="0"/>
        <v>37.400000000000006</v>
      </c>
    </row>
    <row r="219" spans="1:7" ht="13.2" hidden="1">
      <c r="A219" s="155"/>
      <c r="B219" s="28" t="s">
        <v>116</v>
      </c>
      <c r="C219" s="143" t="str">
        <f>VLOOKUP(B219,'Thống kê'!$C$3:$D$669,2,0)</f>
        <v>heo ú cầm hoa</v>
      </c>
      <c r="D219" s="144" t="str">
        <f>VLOOKUP(B219,'Thống kê'!$C$3:$E$682,3,0)</f>
        <v>cái</v>
      </c>
      <c r="E219" s="100">
        <v>7.48</v>
      </c>
      <c r="F219" s="101">
        <v>5</v>
      </c>
      <c r="G219" s="125">
        <f t="shared" si="0"/>
        <v>37.400000000000006</v>
      </c>
    </row>
    <row r="220" spans="1:7" ht="13.2" hidden="1">
      <c r="A220" s="155"/>
      <c r="B220" s="28" t="s">
        <v>325</v>
      </c>
      <c r="C220" s="143" t="str">
        <f>VLOOKUP(B220,'Thống kê'!$C$3:$D$669,2,0)</f>
        <v>Gấu ú</v>
      </c>
      <c r="D220" s="144" t="str">
        <f>VLOOKUP(B220,'Thống kê'!$C$3:$E$682,3,0)</f>
        <v>cái</v>
      </c>
      <c r="E220" s="100">
        <v>7.48</v>
      </c>
      <c r="F220" s="101">
        <v>5</v>
      </c>
      <c r="G220" s="125">
        <f t="shared" si="0"/>
        <v>37.400000000000006</v>
      </c>
    </row>
    <row r="221" spans="1:7" ht="13.2" hidden="1">
      <c r="A221" s="155"/>
      <c r="B221" s="28" t="s">
        <v>115</v>
      </c>
      <c r="C221" s="143" t="str">
        <f>VLOOKUP(B221,'Thống kê'!$C$3:$D$669,2,0)</f>
        <v>Heo ú</v>
      </c>
      <c r="D221" s="144" t="str">
        <f>VLOOKUP(B221,'Thống kê'!$C$3:$E$682,3,0)</f>
        <v>cái</v>
      </c>
      <c r="E221" s="100">
        <v>7.48</v>
      </c>
      <c r="F221" s="101">
        <v>10</v>
      </c>
      <c r="G221" s="125">
        <f t="shared" si="0"/>
        <v>74.800000000000011</v>
      </c>
    </row>
    <row r="222" spans="1:7" ht="13.2" hidden="1">
      <c r="A222" s="155"/>
      <c r="B222" s="28" t="s">
        <v>1591</v>
      </c>
      <c r="C222" s="143" t="str">
        <f>VLOOKUP(B222,'Thống kê'!$C$3:$D$669,2,0)</f>
        <v>Thỏ ú</v>
      </c>
      <c r="D222" s="144" t="str">
        <f>VLOOKUP(B222,'Thống kê'!$C$3:$E$682,3,0)</f>
        <v>cái</v>
      </c>
      <c r="E222" s="100">
        <v>7.48</v>
      </c>
      <c r="F222" s="101">
        <v>10</v>
      </c>
      <c r="G222" s="125">
        <f t="shared" si="0"/>
        <v>74.800000000000011</v>
      </c>
    </row>
    <row r="223" spans="1:7" ht="13.2" hidden="1">
      <c r="A223" s="155"/>
      <c r="B223" s="28" t="s">
        <v>1586</v>
      </c>
      <c r="C223" s="143" t="str">
        <f>VLOOKUP(B223,'Thống kê'!$C$3:$D$669,2,0)</f>
        <v>Thỏ ú hoa</v>
      </c>
      <c r="D223" s="144" t="str">
        <f>VLOOKUP(B223,'Thống kê'!$C$3:$E$682,3,0)</f>
        <v>cái</v>
      </c>
      <c r="E223" s="100">
        <v>8.4600000000000009</v>
      </c>
      <c r="F223" s="101">
        <v>3</v>
      </c>
      <c r="G223" s="125">
        <f t="shared" si="0"/>
        <v>25.380000000000003</v>
      </c>
    </row>
    <row r="224" spans="1:7" ht="13.2" hidden="1">
      <c r="A224" s="155"/>
      <c r="B224" s="28" t="s">
        <v>186</v>
      </c>
      <c r="C224" s="143" t="str">
        <f>VLOOKUP(B224,'Thống kê'!$C$3:$D$669,2,0)</f>
        <v>Thỏ ú bay</v>
      </c>
      <c r="D224" s="144" t="str">
        <f>VLOOKUP(B224,'Thống kê'!$C$3:$E$682,3,0)</f>
        <v>cái</v>
      </c>
      <c r="E224" s="100">
        <v>8.4600000000000009</v>
      </c>
      <c r="F224" s="101">
        <v>5</v>
      </c>
      <c r="G224" s="125">
        <f t="shared" si="0"/>
        <v>42.300000000000004</v>
      </c>
    </row>
    <row r="225" spans="1:7" ht="13.2" hidden="1">
      <c r="A225" s="155"/>
      <c r="B225" s="28" t="s">
        <v>1587</v>
      </c>
      <c r="C225" s="143" t="str">
        <f>VLOOKUP(B225,'Thống kê'!$C$3:$D$669,2,0)</f>
        <v>Vịt ú bay</v>
      </c>
      <c r="D225" s="144" t="str">
        <f>VLOOKUP(B225,'Thống kê'!$C$3:$E$682,3,0)</f>
        <v>cái</v>
      </c>
      <c r="E225" s="100">
        <v>8.4600000000000009</v>
      </c>
      <c r="F225" s="101">
        <v>3</v>
      </c>
      <c r="G225" s="125">
        <f t="shared" si="0"/>
        <v>25.380000000000003</v>
      </c>
    </row>
    <row r="226" spans="1:7" ht="13.2" hidden="1">
      <c r="A226" s="155"/>
      <c r="B226" s="28" t="s">
        <v>1620</v>
      </c>
      <c r="C226" s="143" t="str">
        <f>VLOOKUP(B226,'Thống kê'!$C$3:$D$669,2,0)</f>
        <v>Gấu ú hoa</v>
      </c>
      <c r="D226" s="144" t="str">
        <f>VLOOKUP(B226,'Thống kê'!$C$3:$E$682,3,0)</f>
        <v>cái</v>
      </c>
      <c r="E226" s="100">
        <v>8.4600000000000009</v>
      </c>
      <c r="F226" s="101">
        <v>5</v>
      </c>
      <c r="G226" s="125">
        <f t="shared" si="0"/>
        <v>42.300000000000004</v>
      </c>
    </row>
    <row r="227" spans="1:7" ht="13.2" hidden="1">
      <c r="A227" s="155"/>
      <c r="B227" s="28" t="s">
        <v>1588</v>
      </c>
      <c r="C227" s="143" t="str">
        <f>VLOOKUP(B227,'Thống kê'!$C$3:$D$669,2,0)</f>
        <v>Heo ú hoa</v>
      </c>
      <c r="D227" s="144" t="str">
        <f>VLOOKUP(B227,'Thống kê'!$C$3:$E$682,3,0)</f>
        <v>cái</v>
      </c>
      <c r="E227" s="100">
        <v>8.4600000000000009</v>
      </c>
      <c r="F227" s="101">
        <v>10</v>
      </c>
      <c r="G227" s="125">
        <f t="shared" si="0"/>
        <v>84.600000000000009</v>
      </c>
    </row>
    <row r="228" spans="1:7" ht="13.2" hidden="1">
      <c r="A228" s="155"/>
      <c r="B228" s="28" t="s">
        <v>1589</v>
      </c>
      <c r="C228" s="143" t="str">
        <f>VLOOKUP(B228,'Thống kê'!$C$3:$D$669,2,0)</f>
        <v>Heo ú bay</v>
      </c>
      <c r="D228" s="144" t="str">
        <f>VLOOKUP(B228,'Thống kê'!$C$3:$E$682,3,0)</f>
        <v>cái</v>
      </c>
      <c r="E228" s="100">
        <v>8.4600000000000009</v>
      </c>
      <c r="F228" s="101">
        <v>10</v>
      </c>
      <c r="G228" s="125">
        <f t="shared" si="0"/>
        <v>84.600000000000009</v>
      </c>
    </row>
    <row r="229" spans="1:7" ht="13.2" hidden="1">
      <c r="A229" s="155"/>
      <c r="B229" s="28" t="s">
        <v>1590</v>
      </c>
      <c r="C229" s="143" t="str">
        <f>VLOOKUP(B229,'Thống kê'!$C$3:$D$669,2,0)</f>
        <v>Cún ú hoa</v>
      </c>
      <c r="D229" s="144" t="str">
        <f>VLOOKUP(B229,'Thống kê'!$C$3:$E$682,3,0)</f>
        <v>cái</v>
      </c>
      <c r="E229" s="100">
        <v>8.4600000000000009</v>
      </c>
      <c r="F229" s="101">
        <v>10</v>
      </c>
      <c r="G229" s="125">
        <f t="shared" si="0"/>
        <v>84.600000000000009</v>
      </c>
    </row>
    <row r="230" spans="1:7" ht="13.2" hidden="1">
      <c r="A230" s="155"/>
      <c r="B230" s="28" t="s">
        <v>128</v>
      </c>
      <c r="C230" s="143" t="str">
        <f>VLOOKUP(B230,'Thống kê'!$C$3:$D$669,2,0)</f>
        <v>Mèo ú bay</v>
      </c>
      <c r="D230" s="144" t="str">
        <f>VLOOKUP(B230,'Thống kê'!$C$3:$E$682,3,0)</f>
        <v>cái</v>
      </c>
      <c r="E230" s="100">
        <v>8.4600000000000009</v>
      </c>
      <c r="F230" s="101">
        <v>15</v>
      </c>
      <c r="G230" s="125">
        <f t="shared" si="0"/>
        <v>126.9</v>
      </c>
    </row>
    <row r="231" spans="1:7" ht="13.2" hidden="1">
      <c r="A231" s="155"/>
      <c r="B231" s="28" t="s">
        <v>1626</v>
      </c>
      <c r="C231" s="143" t="str">
        <f>VLOOKUP(B231,'Thống kê'!$C$3:$D$669,2,0)</f>
        <v>Móc khóa capybara</v>
      </c>
      <c r="D231" s="144" t="str">
        <f>VLOOKUP(B231,'Thống kê'!$C$3:$E$682,3,0)</f>
        <v>cái</v>
      </c>
      <c r="E231" s="100">
        <v>5.54</v>
      </c>
      <c r="F231" s="101">
        <v>5</v>
      </c>
      <c r="G231" s="125">
        <f t="shared" si="0"/>
        <v>27.7</v>
      </c>
    </row>
    <row r="232" spans="1:7" ht="13.2" hidden="1">
      <c r="A232" s="155"/>
      <c r="B232" s="28" t="s">
        <v>1627</v>
      </c>
      <c r="C232" s="143" t="str">
        <f>VLOOKUP(B232,'Thống kê'!$C$3:$D$669,2,0)</f>
        <v>Móc khóa capybara 15 - sổ mũi ko móc khóa</v>
      </c>
      <c r="D232" s="144" t="str">
        <f>VLOOKUP(B232,'Thống kê'!$C$3:$E$682,3,0)</f>
        <v>cái</v>
      </c>
      <c r="E232" s="100">
        <v>5.4</v>
      </c>
      <c r="F232" s="101">
        <v>5</v>
      </c>
      <c r="G232" s="125">
        <f t="shared" si="0"/>
        <v>27</v>
      </c>
    </row>
    <row r="233" spans="1:7" ht="13.2" hidden="1">
      <c r="A233" s="155"/>
      <c r="B233" s="28" t="s">
        <v>1628</v>
      </c>
      <c r="C233" s="143" t="str">
        <f>VLOOKUP(B233,'Thống kê'!$C$3:$D$669,2,0)</f>
        <v>Móc khóa capybara</v>
      </c>
      <c r="D233" s="144" t="str">
        <f>VLOOKUP(B233,'Thống kê'!$C$3:$E$682,3,0)</f>
        <v>cái</v>
      </c>
      <c r="E233" s="100">
        <v>5.08</v>
      </c>
      <c r="F233" s="101">
        <v>4</v>
      </c>
      <c r="G233" s="125">
        <f t="shared" si="0"/>
        <v>20.32</v>
      </c>
    </row>
    <row r="234" spans="1:7" ht="13.2" hidden="1">
      <c r="A234" s="155"/>
      <c r="B234" s="28" t="s">
        <v>1629</v>
      </c>
      <c r="C234" s="143" t="str">
        <f>VLOOKUP(B234,'Thống kê'!$C$3:$D$669,2,0)</f>
        <v>Móc khóa capybara</v>
      </c>
      <c r="D234" s="144" t="str">
        <f>VLOOKUP(B234,'Thống kê'!$C$3:$E$682,3,0)</f>
        <v>cái</v>
      </c>
      <c r="E234" s="100">
        <v>5.31</v>
      </c>
      <c r="F234" s="101">
        <v>5</v>
      </c>
      <c r="G234" s="125">
        <f t="shared" si="0"/>
        <v>26.549999999999997</v>
      </c>
    </row>
    <row r="235" spans="1:7" ht="13.2" hidden="1">
      <c r="A235" s="155"/>
      <c r="B235" s="28" t="s">
        <v>1630</v>
      </c>
      <c r="C235" s="143" t="str">
        <f>VLOOKUP(B235,'Thống kê'!$C$3:$D$669,2,0)</f>
        <v>Móc khóa capybara</v>
      </c>
      <c r="D235" s="144" t="str">
        <f>VLOOKUP(B235,'Thống kê'!$C$3:$E$682,3,0)</f>
        <v>cái</v>
      </c>
      <c r="E235" s="100">
        <v>5.08</v>
      </c>
      <c r="F235" s="101">
        <v>1</v>
      </c>
      <c r="G235" s="125">
        <f t="shared" si="0"/>
        <v>5.08</v>
      </c>
    </row>
    <row r="236" spans="1:7" ht="13.2" hidden="1">
      <c r="A236" s="155">
        <v>45443</v>
      </c>
      <c r="B236" s="16" t="s">
        <v>1218</v>
      </c>
      <c r="C236" s="143" t="str">
        <f>VLOOKUP(B236,'Thống kê'!$C$3:$D$669,2,0)</f>
        <v>Móc khoá cún Bánh mì</v>
      </c>
      <c r="D236" s="144" t="str">
        <f>VLOOKUP(B236,'Thống kê'!$C$3:$E$682,3,0)</f>
        <v>cái</v>
      </c>
      <c r="E236" s="100">
        <v>3.6</v>
      </c>
      <c r="F236" s="101">
        <v>5</v>
      </c>
      <c r="G236" s="125">
        <f t="shared" si="0"/>
        <v>18</v>
      </c>
    </row>
    <row r="237" spans="1:7" ht="13.2" hidden="1">
      <c r="A237" s="155"/>
      <c r="B237" s="16" t="s">
        <v>1220</v>
      </c>
      <c r="C237" s="143" t="str">
        <f>VLOOKUP(B237,'Thống kê'!$C$3:$D$669,2,0)</f>
        <v>Móc khoá cún Chanh vàng</v>
      </c>
      <c r="D237" s="144" t="str">
        <f>VLOOKUP(B237,'Thống kê'!$C$3:$E$682,3,0)</f>
        <v>cái</v>
      </c>
      <c r="E237" s="100">
        <v>3.6</v>
      </c>
      <c r="F237" s="101">
        <v>10</v>
      </c>
      <c r="G237" s="125">
        <f t="shared" si="0"/>
        <v>36</v>
      </c>
    </row>
    <row r="238" spans="1:7" ht="13.2" hidden="1">
      <c r="A238" s="155"/>
      <c r="B238" s="16" t="s">
        <v>1222</v>
      </c>
      <c r="C238" s="143" t="str">
        <f>VLOOKUP(B238,'Thống kê'!$C$3:$D$669,2,0)</f>
        <v>Móc khoá cún Chuối</v>
      </c>
      <c r="D238" s="144" t="str">
        <f>VLOOKUP(B238,'Thống kê'!$C$3:$E$682,3,0)</f>
        <v>cái</v>
      </c>
      <c r="E238" s="100">
        <v>3.6</v>
      </c>
      <c r="F238" s="101">
        <v>5</v>
      </c>
      <c r="G238" s="125">
        <f t="shared" si="0"/>
        <v>18</v>
      </c>
    </row>
    <row r="239" spans="1:7" ht="13.2" hidden="1">
      <c r="A239" s="155"/>
      <c r="B239" s="16" t="s">
        <v>1224</v>
      </c>
      <c r="C239" s="143" t="str">
        <f>VLOOKUP(B239,'Thống kê'!$C$3:$D$669,2,0)</f>
        <v>Móc khoá cún Dưa hấu</v>
      </c>
      <c r="D239" s="144" t="str">
        <f>VLOOKUP(B239,'Thống kê'!$C$3:$E$682,3,0)</f>
        <v>cái</v>
      </c>
      <c r="E239" s="100">
        <v>3.6</v>
      </c>
      <c r="F239" s="101">
        <v>20</v>
      </c>
      <c r="G239" s="125">
        <f t="shared" si="0"/>
        <v>72</v>
      </c>
    </row>
    <row r="240" spans="1:7" ht="13.2" hidden="1">
      <c r="A240" s="155"/>
      <c r="B240" s="16" t="s">
        <v>1226</v>
      </c>
      <c r="C240" s="143" t="str">
        <f>VLOOKUP(B240,'Thống kê'!$C$3:$D$669,2,0)</f>
        <v>Móc khoá cún Sandwich</v>
      </c>
      <c r="D240" s="144" t="str">
        <f>VLOOKUP(B240,'Thống kê'!$C$3:$E$682,3,0)</f>
        <v>cái</v>
      </c>
      <c r="E240" s="100">
        <v>3.6</v>
      </c>
      <c r="F240" s="101">
        <v>5</v>
      </c>
      <c r="G240" s="125">
        <f t="shared" si="0"/>
        <v>18</v>
      </c>
    </row>
    <row r="241" spans="1:7" ht="13.2" hidden="1">
      <c r="A241" s="155"/>
      <c r="B241" s="16" t="s">
        <v>1228</v>
      </c>
      <c r="C241" s="143" t="str">
        <f>VLOOKUP(B241,'Thống kê'!$C$3:$D$669,2,0)</f>
        <v>Móc khoá cún Donut</v>
      </c>
      <c r="D241" s="144" t="str">
        <f>VLOOKUP(B241,'Thống kê'!$C$3:$E$682,3,0)</f>
        <v>cái</v>
      </c>
      <c r="E241" s="100">
        <v>3.6</v>
      </c>
      <c r="F241" s="101">
        <v>24</v>
      </c>
      <c r="G241" s="125">
        <f t="shared" si="0"/>
        <v>86.4</v>
      </c>
    </row>
    <row r="242" spans="1:7" ht="13.2" hidden="1">
      <c r="A242" s="155"/>
      <c r="B242" s="16" t="s">
        <v>1230</v>
      </c>
      <c r="C242" s="143" t="str">
        <f>VLOOKUP(B242,'Thống kê'!$C$3:$D$669,2,0)</f>
        <v>Móc khoá cún Hoa xinh</v>
      </c>
      <c r="D242" s="144" t="str">
        <f>VLOOKUP(B242,'Thống kê'!$C$3:$E$682,3,0)</f>
        <v>cái</v>
      </c>
      <c r="E242" s="100">
        <v>3.6</v>
      </c>
      <c r="F242" s="101">
        <v>5</v>
      </c>
      <c r="G242" s="125">
        <f t="shared" si="0"/>
        <v>18</v>
      </c>
    </row>
    <row r="243" spans="1:7" ht="13.2" hidden="1">
      <c r="A243" s="155"/>
      <c r="B243" s="16" t="s">
        <v>1232</v>
      </c>
      <c r="C243" s="143" t="str">
        <f>VLOOKUP(B243,'Thống kê'!$C$3:$D$669,2,0)</f>
        <v>Móc khoá cún Đầu táo</v>
      </c>
      <c r="D243" s="144" t="str">
        <f>VLOOKUP(B243,'Thống kê'!$C$3:$E$682,3,0)</f>
        <v>cái</v>
      </c>
      <c r="E243" s="100">
        <v>3.6</v>
      </c>
      <c r="F243" s="101">
        <v>7</v>
      </c>
      <c r="G243" s="125">
        <f t="shared" si="0"/>
        <v>25.2</v>
      </c>
    </row>
    <row r="244" spans="1:7" ht="13.2" hidden="1">
      <c r="A244" s="155"/>
      <c r="B244" s="28" t="s">
        <v>1618</v>
      </c>
      <c r="C244" s="143" t="str">
        <f>VLOOKUP(B244,'Thống kê'!$C$3:$D$669,2,0)</f>
        <v>Kẹp tóc bướm hồng trắng</v>
      </c>
      <c r="D244" s="144" t="str">
        <f>VLOOKUP(B244,'Thống kê'!$C$3:$E$682,3,0)</f>
        <v>cái</v>
      </c>
      <c r="E244" s="100">
        <v>4.66</v>
      </c>
      <c r="F244" s="101">
        <v>15</v>
      </c>
      <c r="G244" s="125">
        <f t="shared" si="0"/>
        <v>69.900000000000006</v>
      </c>
    </row>
    <row r="245" spans="1:7" ht="13.2" hidden="1">
      <c r="A245" s="155"/>
      <c r="B245" s="28" t="s">
        <v>1619</v>
      </c>
      <c r="C245" s="143" t="str">
        <f>VLOOKUP(B245,'Thống kê'!$C$3:$D$669,2,0)</f>
        <v>Kẹp tóc bướm xanh trắng</v>
      </c>
      <c r="D245" s="144" t="str">
        <f>VLOOKUP(B245,'Thống kê'!$C$3:$E$682,3,0)</f>
        <v>cái</v>
      </c>
      <c r="E245" s="100">
        <v>4.66</v>
      </c>
      <c r="F245" s="101">
        <v>10</v>
      </c>
      <c r="G245" s="125">
        <f t="shared" si="0"/>
        <v>46.6</v>
      </c>
    </row>
    <row r="246" spans="1:7" ht="13.2" hidden="1">
      <c r="A246" s="155"/>
      <c r="B246" s="28" t="s">
        <v>1631</v>
      </c>
      <c r="C246" s="143" t="str">
        <f>VLOOKUP(B246,'Thống kê'!$C$3:$D$669,2,0)</f>
        <v>Kẹp tóc bướm xanh vàng</v>
      </c>
      <c r="D246" s="144" t="str">
        <f>VLOOKUP(B246,'Thống kê'!$C$3:$E$682,3,0)</f>
        <v>cái</v>
      </c>
      <c r="E246" s="100">
        <v>4.66</v>
      </c>
      <c r="F246" s="101">
        <v>5</v>
      </c>
      <c r="G246" s="125">
        <f t="shared" si="0"/>
        <v>23.3</v>
      </c>
    </row>
    <row r="247" spans="1:7" ht="13.2" hidden="1">
      <c r="A247" s="155">
        <v>45447</v>
      </c>
      <c r="B247" s="28" t="s">
        <v>1632</v>
      </c>
      <c r="C247" s="143" t="str">
        <f>VLOOKUP(B247,'Thống kê'!$C$3:$D$669,2,0)</f>
        <v>Móc khóa đôi mèo trắng</v>
      </c>
      <c r="D247" s="144" t="str">
        <f>VLOOKUP(B247,'Thống kê'!$C$3:$E$682,3,0)</f>
        <v>cái</v>
      </c>
      <c r="E247" s="100">
        <v>6.7</v>
      </c>
      <c r="F247" s="101">
        <v>10</v>
      </c>
      <c r="G247" s="125">
        <f t="shared" si="0"/>
        <v>67</v>
      </c>
    </row>
    <row r="248" spans="1:7" ht="13.2" hidden="1">
      <c r="A248" s="155"/>
      <c r="B248" s="28" t="s">
        <v>1624</v>
      </c>
      <c r="C248" s="143" t="str">
        <f>VLOOKUP(B248,'Thống kê'!$C$3:$D$669,2,0)</f>
        <v>Móc khóa mèo trái tim</v>
      </c>
      <c r="D248" s="144" t="str">
        <f>VLOOKUP(B248,'Thống kê'!$C$3:$E$682,3,0)</f>
        <v>cái</v>
      </c>
      <c r="E248" s="100">
        <v>6.7</v>
      </c>
      <c r="F248" s="101">
        <v>20</v>
      </c>
      <c r="G248" s="125">
        <f t="shared" si="0"/>
        <v>134</v>
      </c>
    </row>
    <row r="249" spans="1:7" ht="13.2" hidden="1">
      <c r="A249" s="155"/>
      <c r="B249" s="28" t="s">
        <v>1625</v>
      </c>
      <c r="C249" s="143" t="str">
        <f>VLOOKUP(B249,'Thống kê'!$C$3:$D$669,2,0)</f>
        <v>Móc khóa đôi 2 mèo trắng nâu</v>
      </c>
      <c r="D249" s="144" t="str">
        <f>VLOOKUP(B249,'Thống kê'!$C$3:$E$682,3,0)</f>
        <v>cái</v>
      </c>
      <c r="E249" s="100">
        <v>6.7</v>
      </c>
      <c r="F249" s="101">
        <v>20</v>
      </c>
      <c r="G249" s="125">
        <f t="shared" si="0"/>
        <v>134</v>
      </c>
    </row>
    <row r="250" spans="1:7" ht="13.2" hidden="1">
      <c r="A250" s="155"/>
      <c r="B250" s="28" t="s">
        <v>183</v>
      </c>
      <c r="C250" s="143" t="str">
        <f>VLOOKUP(B250,'Thống kê'!$C$3:$D$669,2,0)</f>
        <v>Thỏ máy bay gắn xe</v>
      </c>
      <c r="D250" s="144" t="str">
        <f>VLOOKUP(B250,'Thống kê'!$C$3:$E$682,3,0)</f>
        <v>cái</v>
      </c>
      <c r="E250" s="100">
        <v>4.67</v>
      </c>
      <c r="F250" s="101">
        <v>6</v>
      </c>
      <c r="G250" s="125">
        <f t="shared" si="0"/>
        <v>28.02</v>
      </c>
    </row>
    <row r="251" spans="1:7" ht="13.2" hidden="1">
      <c r="A251" s="155"/>
      <c r="B251" s="28" t="s">
        <v>119</v>
      </c>
      <c r="C251" s="143" t="str">
        <f>VLOOKUP(B251,'Thống kê'!$C$3:$D$669,2,0)</f>
        <v>Thỏ chạy xe gắn xe</v>
      </c>
      <c r="D251" s="144" t="str">
        <f>VLOOKUP(B251,'Thống kê'!$C$3:$E$682,3,0)</f>
        <v>cái</v>
      </c>
      <c r="E251" s="100">
        <v>4.67</v>
      </c>
      <c r="F251" s="101">
        <v>25</v>
      </c>
      <c r="G251" s="125">
        <f t="shared" si="0"/>
        <v>116.75</v>
      </c>
    </row>
    <row r="252" spans="1:7" ht="13.2" hidden="1">
      <c r="A252" s="155"/>
      <c r="B252" s="153" t="s">
        <v>1593</v>
      </c>
      <c r="C252" s="143" t="str">
        <f>VLOOKUP(B252,'Thống kê'!$C$3:$D$669,2,0)</f>
        <v>Heo cưỡi kì lân gắn xe</v>
      </c>
      <c r="D252" s="144" t="str">
        <f>VLOOKUP(B252,'Thống kê'!$C$3:$E$682,3,0)</f>
        <v>cái</v>
      </c>
      <c r="E252" s="100">
        <v>4.67</v>
      </c>
      <c r="F252" s="101">
        <v>5</v>
      </c>
      <c r="G252" s="125">
        <f t="shared" si="0"/>
        <v>23.35</v>
      </c>
    </row>
    <row r="253" spans="1:7" ht="13.2" hidden="1">
      <c r="A253" s="155"/>
      <c r="B253" s="153" t="s">
        <v>145</v>
      </c>
      <c r="C253" s="143" t="str">
        <f>VLOOKUP(B253,'Thống kê'!$C$3:$D$669,2,0)</f>
        <v>Thỏ đi vịt gắn xe</v>
      </c>
      <c r="D253" s="144" t="str">
        <f>VLOOKUP(B253,'Thống kê'!$C$3:$E$682,3,0)</f>
        <v>cái</v>
      </c>
      <c r="E253" s="100">
        <v>4.67</v>
      </c>
      <c r="F253" s="101">
        <v>6</v>
      </c>
      <c r="G253" s="125">
        <f t="shared" si="0"/>
        <v>28.02</v>
      </c>
    </row>
    <row r="254" spans="1:7" ht="13.2" hidden="1">
      <c r="A254" s="155"/>
      <c r="B254" s="153" t="s">
        <v>150</v>
      </c>
      <c r="C254" s="143" t="str">
        <f>VLOOKUP(B254,'Thống kê'!$C$3:$D$669,2,0)</f>
        <v>Móc khóa có chuông</v>
      </c>
      <c r="D254" s="144" t="str">
        <f>VLOOKUP(B254,'Thống kê'!$C$3:$E$682,3,0)</f>
        <v>cái</v>
      </c>
      <c r="E254" s="100">
        <v>6.08</v>
      </c>
      <c r="F254" s="101">
        <v>50</v>
      </c>
      <c r="G254" s="125">
        <f t="shared" si="0"/>
        <v>304</v>
      </c>
    </row>
    <row r="255" spans="1:7" ht="13.2" hidden="1">
      <c r="A255" s="155"/>
      <c r="B255" s="28" t="s">
        <v>1633</v>
      </c>
      <c r="C255" s="143" t="str">
        <f>VLOOKUP(B255,'Thống kê'!$C$3:$D$669,2,0)</f>
        <v>Móc khóa đôi gà rán bia</v>
      </c>
      <c r="D255" s="144" t="str">
        <f>VLOOKUP(B255,'Thống kê'!$C$3:$E$682,3,0)</f>
        <v>cái</v>
      </c>
      <c r="E255" s="100">
        <v>6.08</v>
      </c>
      <c r="F255" s="101">
        <v>8</v>
      </c>
      <c r="G255" s="125">
        <f t="shared" si="0"/>
        <v>48.64</v>
      </c>
    </row>
    <row r="256" spans="1:7" ht="13.2" hidden="1">
      <c r="A256" s="155"/>
      <c r="B256" s="28" t="s">
        <v>1634</v>
      </c>
      <c r="C256" s="143" t="str">
        <f>VLOOKUP(B256,'Thống kê'!$C$3:$D$669,2,0)</f>
        <v>Móc khóa mèo đen cá</v>
      </c>
      <c r="D256" s="144" t="str">
        <f>VLOOKUP(B256,'Thống kê'!$C$3:$E$682,3,0)</f>
        <v>cái</v>
      </c>
      <c r="E256" s="100">
        <v>6.08</v>
      </c>
      <c r="F256" s="101">
        <v>10</v>
      </c>
      <c r="G256" s="125">
        <f t="shared" si="0"/>
        <v>60.8</v>
      </c>
    </row>
    <row r="257" spans="1:8" ht="13.2" hidden="1">
      <c r="A257" s="155"/>
      <c r="B257" s="28" t="s">
        <v>1594</v>
      </c>
      <c r="C257" s="143" t="str">
        <f>VLOOKUP(B257,'Thống kê'!$C$3:$D$669,2,0)</f>
        <v>Móc khóa đôi heo</v>
      </c>
      <c r="D257" s="144" t="str">
        <f>VLOOKUP(B257,'Thống kê'!$C$3:$E$682,3,0)</f>
        <v>cái</v>
      </c>
      <c r="E257" s="100">
        <v>6.08</v>
      </c>
      <c r="F257" s="101">
        <v>40</v>
      </c>
      <c r="G257" s="125">
        <f t="shared" si="0"/>
        <v>243.2</v>
      </c>
    </row>
    <row r="258" spans="1:8" ht="13.2" hidden="1">
      <c r="A258" s="155"/>
      <c r="B258" s="28" t="s">
        <v>227</v>
      </c>
      <c r="C258" s="143" t="str">
        <f>VLOOKUP(B258,'Thống kê'!$C$3:$D$669,2,0)</f>
        <v>Móc khóa đôi corgy</v>
      </c>
      <c r="D258" s="144" t="str">
        <f>VLOOKUP(B258,'Thống kê'!$C$3:$E$682,3,0)</f>
        <v>cái</v>
      </c>
      <c r="E258" s="100">
        <v>6.09</v>
      </c>
      <c r="F258" s="101">
        <v>12</v>
      </c>
      <c r="G258" s="125">
        <f t="shared" ref="G258:G399" si="1">E258*F258</f>
        <v>73.08</v>
      </c>
    </row>
    <row r="259" spans="1:8" ht="13.2" hidden="1">
      <c r="A259" s="155"/>
      <c r="B259" s="28" t="s">
        <v>1621</v>
      </c>
      <c r="C259" s="143" t="str">
        <f>VLOOKUP(B259,'Thống kê'!$C$3:$D$669,2,0)</f>
        <v>Mô hình mèo 2</v>
      </c>
      <c r="D259" s="144" t="str">
        <f>VLOOKUP(B259,'Thống kê'!$C$3:$E$682,3,0)</f>
        <v>cái</v>
      </c>
      <c r="E259" s="100">
        <v>4.68</v>
      </c>
      <c r="F259" s="101">
        <v>8</v>
      </c>
      <c r="G259" s="125">
        <f t="shared" si="1"/>
        <v>37.44</v>
      </c>
    </row>
    <row r="260" spans="1:8" ht="13.2" hidden="1">
      <c r="A260" s="155"/>
      <c r="B260" s="28" t="s">
        <v>1635</v>
      </c>
      <c r="C260" s="143" t="str">
        <f>VLOOKUP(B260,'Thống kê'!$C$3:$D$669,2,0)</f>
        <v>Mô hình mèo 4</v>
      </c>
      <c r="D260" s="144" t="str">
        <f>VLOOKUP(B260,'Thống kê'!$C$3:$E$682,3,0)</f>
        <v>cái</v>
      </c>
      <c r="E260" s="100">
        <v>4.67</v>
      </c>
      <c r="F260" s="101">
        <v>5</v>
      </c>
      <c r="G260" s="125">
        <f t="shared" si="1"/>
        <v>23.35</v>
      </c>
    </row>
    <row r="261" spans="1:8" ht="13.2" hidden="1">
      <c r="A261" s="155"/>
      <c r="B261" s="28" t="s">
        <v>1622</v>
      </c>
      <c r="C261" s="143" t="str">
        <f>VLOOKUP(B261,'Thống kê'!$C$3:$D$669,2,0)</f>
        <v>Mô hình mèo 1</v>
      </c>
      <c r="D261" s="144" t="str">
        <f>VLOOKUP(B261,'Thống kê'!$C$3:$E$682,3,0)</f>
        <v>cái</v>
      </c>
      <c r="E261" s="100">
        <v>4.68</v>
      </c>
      <c r="F261" s="101">
        <v>8</v>
      </c>
      <c r="G261" s="125">
        <f t="shared" si="1"/>
        <v>37.44</v>
      </c>
    </row>
    <row r="262" spans="1:8" ht="13.2" hidden="1">
      <c r="A262" s="155"/>
      <c r="B262" s="28" t="s">
        <v>1636</v>
      </c>
      <c r="C262" s="143" t="str">
        <f>VLOOKUP(B262,'Thống kê'!$C$3:$D$669,2,0)</f>
        <v>Mô hình mèo 3</v>
      </c>
      <c r="D262" s="144" t="str">
        <f>VLOOKUP(B262,'Thống kê'!$C$3:$E$682,3,0)</f>
        <v>cái</v>
      </c>
      <c r="E262" s="100">
        <v>4.67</v>
      </c>
      <c r="F262" s="101">
        <v>5</v>
      </c>
      <c r="G262" s="125">
        <f t="shared" si="1"/>
        <v>23.35</v>
      </c>
    </row>
    <row r="263" spans="1:8" ht="13.2" hidden="1">
      <c r="A263" s="155"/>
      <c r="B263" s="28" t="s">
        <v>1623</v>
      </c>
      <c r="C263" s="143" t="str">
        <f>VLOOKUP(B263,'Thống kê'!$C$3:$D$669,2,0)</f>
        <v>Mô hình mèo 5</v>
      </c>
      <c r="D263" s="144" t="str">
        <f>VLOOKUP(B263,'Thống kê'!$C$3:$E$682,3,0)</f>
        <v>cái</v>
      </c>
      <c r="E263" s="100">
        <v>4.68</v>
      </c>
      <c r="F263" s="101">
        <v>8</v>
      </c>
      <c r="G263" s="125">
        <f t="shared" si="1"/>
        <v>37.44</v>
      </c>
    </row>
    <row r="264" spans="1:8" ht="13.2" hidden="1">
      <c r="A264" s="155">
        <v>45458</v>
      </c>
      <c r="B264" s="16" t="s">
        <v>1236</v>
      </c>
      <c r="C264" s="143" t="str">
        <f>VLOOKUP(B264,'Thống kê'!$C$3:$D$669,2,0)</f>
        <v>Mô hình Popbean 01</v>
      </c>
      <c r="D264" s="144" t="str">
        <f>VLOOKUP(B264,'Thống kê'!$C$3:$E$682,3,0)</f>
        <v>cái</v>
      </c>
      <c r="E264" s="100">
        <v>14.52</v>
      </c>
      <c r="F264" s="101">
        <v>20</v>
      </c>
      <c r="G264" s="125">
        <f t="shared" si="1"/>
        <v>290.39999999999998</v>
      </c>
      <c r="H264" s="2">
        <f t="shared" ref="H264:H279" si="2">G264*3507</f>
        <v>1018432.7999999999</v>
      </c>
    </row>
    <row r="265" spans="1:8" ht="13.2" hidden="1">
      <c r="A265" s="155"/>
      <c r="B265" s="16" t="s">
        <v>1238</v>
      </c>
      <c r="C265" s="143" t="str">
        <f>VLOOKUP(B265,'Thống kê'!$C$3:$D$669,2,0)</f>
        <v>Mô hình Popbean 02</v>
      </c>
      <c r="D265" s="144" t="str">
        <f>VLOOKUP(B265,'Thống kê'!$C$3:$E$682,3,0)</f>
        <v>cái</v>
      </c>
      <c r="E265" s="100">
        <v>12.62</v>
      </c>
      <c r="F265" s="101">
        <v>7</v>
      </c>
      <c r="G265" s="125">
        <f t="shared" si="1"/>
        <v>88.339999999999989</v>
      </c>
      <c r="H265" s="2">
        <f t="shared" si="2"/>
        <v>309808.37999999995</v>
      </c>
    </row>
    <row r="266" spans="1:8" ht="13.2" hidden="1">
      <c r="A266" s="155"/>
      <c r="B266" s="16" t="s">
        <v>1240</v>
      </c>
      <c r="C266" s="143" t="str">
        <f>VLOOKUP(B266,'Thống kê'!$C$3:$D$669,2,0)</f>
        <v>Mô hình Popbean 03</v>
      </c>
      <c r="D266" s="144" t="str">
        <f>VLOOKUP(B266,'Thống kê'!$C$3:$E$682,3,0)</f>
        <v>cái</v>
      </c>
      <c r="E266" s="100">
        <v>12.63</v>
      </c>
      <c r="F266" s="101">
        <v>8</v>
      </c>
      <c r="G266" s="125">
        <f t="shared" si="1"/>
        <v>101.04</v>
      </c>
      <c r="H266" s="2">
        <f t="shared" si="2"/>
        <v>354347.28</v>
      </c>
    </row>
    <row r="267" spans="1:8" ht="13.2" hidden="1">
      <c r="A267" s="155"/>
      <c r="B267" s="16" t="s">
        <v>1242</v>
      </c>
      <c r="C267" s="143" t="str">
        <f>VLOOKUP(B267,'Thống kê'!$C$3:$D$669,2,0)</f>
        <v>Mô hình Popbean 04</v>
      </c>
      <c r="D267" s="144" t="str">
        <f>VLOOKUP(B267,'Thống kê'!$C$3:$E$682,3,0)</f>
        <v>cái</v>
      </c>
      <c r="E267" s="100">
        <v>13.89</v>
      </c>
      <c r="F267" s="101">
        <v>8</v>
      </c>
      <c r="G267" s="125">
        <f t="shared" si="1"/>
        <v>111.12</v>
      </c>
      <c r="H267" s="2">
        <f t="shared" si="2"/>
        <v>389697.84</v>
      </c>
    </row>
    <row r="268" spans="1:8" ht="13.2" hidden="1">
      <c r="A268" s="155"/>
      <c r="B268" s="16" t="s">
        <v>1244</v>
      </c>
      <c r="C268" s="143" t="str">
        <f>VLOOKUP(B268,'Thống kê'!$C$3:$D$669,2,0)</f>
        <v>Mô hình Popbean 05</v>
      </c>
      <c r="D268" s="144" t="str">
        <f>VLOOKUP(B268,'Thống kê'!$C$3:$E$682,3,0)</f>
        <v>cái</v>
      </c>
      <c r="E268" s="100">
        <v>12.63</v>
      </c>
      <c r="F268" s="101">
        <v>5</v>
      </c>
      <c r="G268" s="125">
        <f t="shared" si="1"/>
        <v>63.150000000000006</v>
      </c>
      <c r="H268" s="2">
        <f t="shared" si="2"/>
        <v>221467.05000000002</v>
      </c>
    </row>
    <row r="269" spans="1:8" ht="13.2" hidden="1">
      <c r="A269" s="155"/>
      <c r="B269" s="16" t="s">
        <v>1246</v>
      </c>
      <c r="C269" s="143" t="str">
        <f>VLOOKUP(B269,'Thống kê'!$C$3:$D$669,2,0)</f>
        <v>Mô hình Popbean 06</v>
      </c>
      <c r="D269" s="144" t="str">
        <f>VLOOKUP(B269,'Thống kê'!$C$3:$E$682,3,0)</f>
        <v>cái</v>
      </c>
      <c r="E269" s="100">
        <v>10.73</v>
      </c>
      <c r="F269" s="101">
        <v>5</v>
      </c>
      <c r="G269" s="125">
        <f t="shared" si="1"/>
        <v>53.650000000000006</v>
      </c>
      <c r="H269" s="2">
        <f t="shared" si="2"/>
        <v>188150.55000000002</v>
      </c>
    </row>
    <row r="270" spans="1:8" ht="13.2" hidden="1">
      <c r="A270" s="155"/>
      <c r="B270" s="16" t="s">
        <v>1248</v>
      </c>
      <c r="C270" s="143" t="str">
        <f>VLOOKUP(B270,'Thống kê'!$C$3:$D$669,2,0)</f>
        <v>Mô hình Popbean 07</v>
      </c>
      <c r="D270" s="144" t="str">
        <f>VLOOKUP(B270,'Thống kê'!$C$3:$E$682,3,0)</f>
        <v>cái</v>
      </c>
      <c r="E270" s="100">
        <v>10.73</v>
      </c>
      <c r="F270" s="101">
        <v>10</v>
      </c>
      <c r="G270" s="125">
        <f t="shared" si="1"/>
        <v>107.30000000000001</v>
      </c>
      <c r="H270" s="2">
        <f t="shared" si="2"/>
        <v>376301.10000000003</v>
      </c>
    </row>
    <row r="271" spans="1:8" ht="13.2" hidden="1">
      <c r="A271" s="155"/>
      <c r="B271" s="16" t="s">
        <v>1250</v>
      </c>
      <c r="C271" s="143" t="str">
        <f>VLOOKUP(B271,'Thống kê'!$C$3:$D$669,2,0)</f>
        <v>Mô hình Popbean 08</v>
      </c>
      <c r="D271" s="144" t="str">
        <f>VLOOKUP(B271,'Thống kê'!$C$3:$E$682,3,0)</f>
        <v>cái</v>
      </c>
      <c r="E271" s="100">
        <v>11.36</v>
      </c>
      <c r="F271" s="101">
        <v>4</v>
      </c>
      <c r="G271" s="125">
        <f t="shared" si="1"/>
        <v>45.44</v>
      </c>
      <c r="H271" s="2">
        <f t="shared" si="2"/>
        <v>159358.07999999999</v>
      </c>
    </row>
    <row r="272" spans="1:8" ht="13.2" hidden="1">
      <c r="A272" s="155"/>
      <c r="B272" s="16" t="s">
        <v>1252</v>
      </c>
      <c r="C272" s="143" t="str">
        <f>VLOOKUP(B272,'Thống kê'!$C$3:$D$669,2,0)</f>
        <v>Mô hình Popbean 09</v>
      </c>
      <c r="D272" s="144" t="str">
        <f>VLOOKUP(B272,'Thống kê'!$C$3:$E$682,3,0)</f>
        <v>cái</v>
      </c>
      <c r="E272" s="100">
        <v>10.73</v>
      </c>
      <c r="F272" s="101">
        <v>4</v>
      </c>
      <c r="G272" s="125">
        <f t="shared" si="1"/>
        <v>42.92</v>
      </c>
      <c r="H272" s="2">
        <f t="shared" si="2"/>
        <v>150520.44</v>
      </c>
    </row>
    <row r="273" spans="1:8" ht="13.2" hidden="1">
      <c r="A273" s="155"/>
      <c r="B273" s="16" t="s">
        <v>1254</v>
      </c>
      <c r="C273" s="143" t="str">
        <f>VLOOKUP(B273,'Thống kê'!$C$3:$D$669,2,0)</f>
        <v>Mô hình Popbean 10</v>
      </c>
      <c r="D273" s="144" t="str">
        <f>VLOOKUP(B273,'Thống kê'!$C$3:$E$682,3,0)</f>
        <v>cái</v>
      </c>
      <c r="E273" s="100">
        <v>11.36</v>
      </c>
      <c r="F273" s="101">
        <v>8</v>
      </c>
      <c r="G273" s="125">
        <f t="shared" si="1"/>
        <v>90.88</v>
      </c>
      <c r="H273" s="2">
        <f t="shared" si="2"/>
        <v>318716.15999999997</v>
      </c>
    </row>
    <row r="274" spans="1:8" ht="13.2" hidden="1">
      <c r="A274" s="155"/>
      <c r="B274" s="16" t="s">
        <v>1256</v>
      </c>
      <c r="C274" s="143" t="str">
        <f>VLOOKUP(B274,'Thống kê'!$C$3:$D$669,2,0)</f>
        <v>Mô hình Popbean 11</v>
      </c>
      <c r="D274" s="144" t="str">
        <f>VLOOKUP(B274,'Thống kê'!$C$3:$E$682,3,0)</f>
        <v>cái</v>
      </c>
      <c r="E274" s="100">
        <v>11.36</v>
      </c>
      <c r="F274" s="101">
        <v>8</v>
      </c>
      <c r="G274" s="125">
        <f t="shared" si="1"/>
        <v>90.88</v>
      </c>
      <c r="H274" s="2">
        <f t="shared" si="2"/>
        <v>318716.15999999997</v>
      </c>
    </row>
    <row r="275" spans="1:8" ht="13.2" hidden="1">
      <c r="A275" s="155"/>
      <c r="B275" s="16" t="s">
        <v>1258</v>
      </c>
      <c r="C275" s="143" t="str">
        <f>VLOOKUP(B275,'Thống kê'!$C$3:$D$669,2,0)</f>
        <v>Mô hình Popbean 12</v>
      </c>
      <c r="D275" s="144" t="str">
        <f>VLOOKUP(B275,'Thống kê'!$C$3:$E$682,3,0)</f>
        <v>cái</v>
      </c>
      <c r="E275" s="100">
        <v>12.63</v>
      </c>
      <c r="F275" s="101">
        <v>4</v>
      </c>
      <c r="G275" s="125">
        <f t="shared" si="1"/>
        <v>50.52</v>
      </c>
      <c r="H275" s="2">
        <f t="shared" si="2"/>
        <v>177173.64</v>
      </c>
    </row>
    <row r="276" spans="1:8" ht="13.2" hidden="1">
      <c r="A276" s="155"/>
      <c r="B276" s="16" t="s">
        <v>1260</v>
      </c>
      <c r="C276" s="143" t="str">
        <f>VLOOKUP(B276,'Thống kê'!$C$3:$D$669,2,0)</f>
        <v>Mô hình Popbean 13</v>
      </c>
      <c r="D276" s="144" t="str">
        <f>VLOOKUP(B276,'Thống kê'!$C$3:$E$682,3,0)</f>
        <v>cái</v>
      </c>
      <c r="E276" s="100">
        <v>12.63</v>
      </c>
      <c r="F276" s="101">
        <v>4</v>
      </c>
      <c r="G276" s="125">
        <f t="shared" si="1"/>
        <v>50.52</v>
      </c>
      <c r="H276" s="2">
        <f t="shared" si="2"/>
        <v>177173.64</v>
      </c>
    </row>
    <row r="277" spans="1:8" ht="13.2" hidden="1">
      <c r="A277" s="155"/>
      <c r="B277" s="16" t="s">
        <v>1262</v>
      </c>
      <c r="C277" s="143" t="str">
        <f>VLOOKUP(B277,'Thống kê'!$C$3:$D$669,2,0)</f>
        <v>Mô hình Popbean 14</v>
      </c>
      <c r="D277" s="144" t="str">
        <f>VLOOKUP(B277,'Thống kê'!$C$3:$E$682,3,0)</f>
        <v>cái</v>
      </c>
      <c r="E277" s="100">
        <v>12.63</v>
      </c>
      <c r="F277" s="101">
        <v>4</v>
      </c>
      <c r="G277" s="125">
        <f t="shared" si="1"/>
        <v>50.52</v>
      </c>
      <c r="H277" s="2">
        <f t="shared" si="2"/>
        <v>177173.64</v>
      </c>
    </row>
    <row r="278" spans="1:8" ht="13.2" hidden="1">
      <c r="A278" s="155"/>
      <c r="B278" s="16" t="s">
        <v>1264</v>
      </c>
      <c r="C278" s="143" t="str">
        <f>VLOOKUP(B278,'Thống kê'!$C$3:$D$669,2,0)</f>
        <v>Mô hình Popbean 15</v>
      </c>
      <c r="D278" s="144" t="str">
        <f>VLOOKUP(B278,'Thống kê'!$C$3:$E$682,3,0)</f>
        <v>cái</v>
      </c>
      <c r="E278" s="100">
        <v>12.63</v>
      </c>
      <c r="F278" s="101">
        <v>4</v>
      </c>
      <c r="G278" s="125">
        <f t="shared" si="1"/>
        <v>50.52</v>
      </c>
      <c r="H278" s="2">
        <f t="shared" si="2"/>
        <v>177173.64</v>
      </c>
    </row>
    <row r="279" spans="1:8" ht="13.2" hidden="1">
      <c r="A279" s="155"/>
      <c r="B279" s="16" t="s">
        <v>1266</v>
      </c>
      <c r="C279" s="143" t="str">
        <f>VLOOKUP(B279,'Thống kê'!$C$3:$D$669,2,0)</f>
        <v>Mô hình Popbean 16</v>
      </c>
      <c r="D279" s="144" t="str">
        <f>VLOOKUP(B279,'Thống kê'!$C$3:$E$682,3,0)</f>
        <v>cái</v>
      </c>
      <c r="E279" s="100">
        <v>10.73</v>
      </c>
      <c r="F279" s="101">
        <v>4</v>
      </c>
      <c r="G279" s="125">
        <f t="shared" si="1"/>
        <v>42.92</v>
      </c>
      <c r="H279" s="2">
        <f t="shared" si="2"/>
        <v>150520.44</v>
      </c>
    </row>
    <row r="280" spans="1:8" ht="13.2" hidden="1">
      <c r="A280" s="155"/>
      <c r="B280" s="28" t="s">
        <v>1622</v>
      </c>
      <c r="C280" s="143" t="str">
        <f>VLOOKUP(B280,'Thống kê'!$C$3:$D$669,2,0)</f>
        <v>Mô hình mèo 1</v>
      </c>
      <c r="D280" s="144" t="str">
        <f>VLOOKUP(B280,'Thống kê'!$C$3:$E$682,3,0)</f>
        <v>cái</v>
      </c>
      <c r="E280" s="100">
        <v>4.95</v>
      </c>
      <c r="F280" s="101">
        <v>20</v>
      </c>
      <c r="G280" s="125">
        <f t="shared" si="1"/>
        <v>99</v>
      </c>
    </row>
    <row r="281" spans="1:8" ht="13.2" hidden="1">
      <c r="A281" s="155"/>
      <c r="B281" s="28" t="s">
        <v>1621</v>
      </c>
      <c r="C281" s="143" t="str">
        <f>VLOOKUP(B281,'Thống kê'!$C$3:$D$669,2,0)</f>
        <v>Mô hình mèo 2</v>
      </c>
      <c r="D281" s="144" t="str">
        <f>VLOOKUP(B281,'Thống kê'!$C$3:$E$682,3,0)</f>
        <v>cái</v>
      </c>
      <c r="E281" s="100">
        <v>4.95</v>
      </c>
      <c r="F281" s="101">
        <v>15</v>
      </c>
      <c r="G281" s="125">
        <f t="shared" si="1"/>
        <v>74.25</v>
      </c>
    </row>
    <row r="282" spans="1:8" ht="13.2" hidden="1">
      <c r="A282" s="155"/>
      <c r="B282" s="28" t="s">
        <v>1636</v>
      </c>
      <c r="C282" s="143" t="str">
        <f>VLOOKUP(B282,'Thống kê'!$C$3:$D$669,2,0)</f>
        <v>Mô hình mèo 3</v>
      </c>
      <c r="D282" s="144" t="str">
        <f>VLOOKUP(B282,'Thống kê'!$C$3:$E$682,3,0)</f>
        <v>cái</v>
      </c>
      <c r="E282" s="100">
        <v>4.95</v>
      </c>
      <c r="F282" s="101">
        <v>12</v>
      </c>
      <c r="G282" s="125">
        <f t="shared" si="1"/>
        <v>59.400000000000006</v>
      </c>
    </row>
    <row r="283" spans="1:8" ht="13.2" hidden="1">
      <c r="A283" s="155"/>
      <c r="B283" s="28" t="s">
        <v>1635</v>
      </c>
      <c r="C283" s="143" t="str">
        <f>VLOOKUP(B283,'Thống kê'!$C$3:$D$669,2,0)</f>
        <v>Mô hình mèo 4</v>
      </c>
      <c r="D283" s="144" t="str">
        <f>VLOOKUP(B283,'Thống kê'!$C$3:$E$682,3,0)</f>
        <v>cái</v>
      </c>
      <c r="E283" s="100">
        <v>4.95</v>
      </c>
      <c r="F283" s="101">
        <v>19</v>
      </c>
      <c r="G283" s="125">
        <f t="shared" si="1"/>
        <v>94.05</v>
      </c>
    </row>
    <row r="284" spans="1:8" ht="13.2" hidden="1">
      <c r="A284" s="155"/>
      <c r="B284" s="28" t="s">
        <v>1623</v>
      </c>
      <c r="C284" s="143" t="str">
        <f>VLOOKUP(B284,'Thống kê'!$C$3:$D$669,2,0)</f>
        <v>Mô hình mèo 5</v>
      </c>
      <c r="D284" s="144" t="str">
        <f>VLOOKUP(B284,'Thống kê'!$C$3:$E$682,3,0)</f>
        <v>cái</v>
      </c>
      <c r="E284" s="100">
        <v>4.95</v>
      </c>
      <c r="F284" s="101">
        <v>8</v>
      </c>
      <c r="G284" s="125">
        <f t="shared" si="1"/>
        <v>39.6</v>
      </c>
    </row>
    <row r="285" spans="1:8" ht="13.2" hidden="1">
      <c r="A285" s="396">
        <v>45464</v>
      </c>
      <c r="B285" s="28" t="s">
        <v>1268</v>
      </c>
      <c r="C285" s="143" t="str">
        <f>VLOOKUP(B285,'Thống kê'!$C$3:$D$669,2,0)</f>
        <v>Móc khóa Popbean 01</v>
      </c>
      <c r="D285" s="144" t="str">
        <f>VLOOKUP(B285,'Thống kê'!$C$3:$E$682,3,0)</f>
        <v>cái</v>
      </c>
      <c r="E285" s="100">
        <v>23.26</v>
      </c>
      <c r="F285" s="101">
        <v>20</v>
      </c>
      <c r="G285" s="125">
        <f t="shared" si="1"/>
        <v>465.20000000000005</v>
      </c>
      <c r="H285" s="2">
        <f t="shared" ref="H285:H299" si="3">G285*3507</f>
        <v>1631456.4000000001</v>
      </c>
    </row>
    <row r="286" spans="1:8" ht="13.2" hidden="1">
      <c r="A286" s="372"/>
      <c r="B286" s="28" t="s">
        <v>1270</v>
      </c>
      <c r="C286" s="143" t="str">
        <f>VLOOKUP(B286,'Thống kê'!$C$3:$D$669,2,0)</f>
        <v>Móc khóa Popbean 02</v>
      </c>
      <c r="D286" s="144" t="str">
        <f>VLOOKUP(B286,'Thống kê'!$C$3:$E$682,3,0)</f>
        <v>cái</v>
      </c>
      <c r="E286" s="100">
        <v>23.26</v>
      </c>
      <c r="F286" s="101">
        <v>15</v>
      </c>
      <c r="G286" s="125">
        <f t="shared" si="1"/>
        <v>348.90000000000003</v>
      </c>
      <c r="H286" s="2">
        <f t="shared" si="3"/>
        <v>1223592.3</v>
      </c>
    </row>
    <row r="287" spans="1:8" ht="13.2" hidden="1">
      <c r="A287" s="372"/>
      <c r="B287" s="28" t="s">
        <v>1272</v>
      </c>
      <c r="C287" s="143" t="str">
        <f>VLOOKUP(B287,'Thống kê'!$C$3:$D$669,2,0)</f>
        <v>Móc khóa Popbean 03</v>
      </c>
      <c r="D287" s="144" t="str">
        <f>VLOOKUP(B287,'Thống kê'!$C$3:$E$682,3,0)</f>
        <v>cái</v>
      </c>
      <c r="E287" s="100">
        <v>20.93</v>
      </c>
      <c r="F287" s="101">
        <v>12</v>
      </c>
      <c r="G287" s="125">
        <f t="shared" si="1"/>
        <v>251.16</v>
      </c>
      <c r="H287" s="2">
        <f t="shared" si="3"/>
        <v>880818.12</v>
      </c>
    </row>
    <row r="288" spans="1:8" ht="13.2" hidden="1">
      <c r="A288" s="372"/>
      <c r="B288" s="28" t="s">
        <v>1274</v>
      </c>
      <c r="C288" s="143" t="str">
        <f>VLOOKUP(B288,'Thống kê'!$C$3:$D$669,2,0)</f>
        <v>Móc khóa Popbean 04</v>
      </c>
      <c r="D288" s="144" t="str">
        <f>VLOOKUP(B288,'Thống kê'!$C$3:$E$682,3,0)</f>
        <v>cái</v>
      </c>
      <c r="E288" s="100">
        <v>21.7</v>
      </c>
      <c r="F288" s="101">
        <v>10</v>
      </c>
      <c r="G288" s="125">
        <f t="shared" si="1"/>
        <v>217</v>
      </c>
      <c r="H288" s="2">
        <f t="shared" si="3"/>
        <v>761019</v>
      </c>
    </row>
    <row r="289" spans="1:8" ht="13.2" hidden="1">
      <c r="A289" s="372"/>
      <c r="B289" s="28" t="s">
        <v>1276</v>
      </c>
      <c r="C289" s="143" t="str">
        <f>VLOOKUP(B289,'Thống kê'!$C$3:$D$669,2,0)</f>
        <v>Móc khóa Popbean 05</v>
      </c>
      <c r="D289" s="144" t="str">
        <f>VLOOKUP(B289,'Thống kê'!$C$3:$E$682,3,0)</f>
        <v>cái</v>
      </c>
      <c r="E289" s="100">
        <v>20.93</v>
      </c>
      <c r="F289" s="101">
        <v>3</v>
      </c>
      <c r="G289" s="125">
        <f t="shared" si="1"/>
        <v>62.79</v>
      </c>
      <c r="H289" s="2">
        <f t="shared" si="3"/>
        <v>220204.53</v>
      </c>
    </row>
    <row r="290" spans="1:8" ht="13.2" hidden="1">
      <c r="A290" s="372"/>
      <c r="B290" s="28" t="s">
        <v>1278</v>
      </c>
      <c r="C290" s="143" t="str">
        <f>VLOOKUP(B290,'Thống kê'!$C$3:$D$669,2,0)</f>
        <v>Móc khóa Popbean 06</v>
      </c>
      <c r="D290" s="144" t="str">
        <f>VLOOKUP(B290,'Thống kê'!$C$3:$E$682,3,0)</f>
        <v>cái</v>
      </c>
      <c r="E290" s="100">
        <v>20.93</v>
      </c>
      <c r="F290" s="101">
        <v>5</v>
      </c>
      <c r="G290" s="125">
        <f t="shared" si="1"/>
        <v>104.65</v>
      </c>
      <c r="H290" s="2">
        <f t="shared" si="3"/>
        <v>367007.55000000005</v>
      </c>
    </row>
    <row r="291" spans="1:8" ht="13.2" hidden="1">
      <c r="A291" s="372"/>
      <c r="B291" s="28" t="s">
        <v>1280</v>
      </c>
      <c r="C291" s="143" t="str">
        <f>VLOOKUP(B291,'Thống kê'!$C$3:$D$669,2,0)</f>
        <v>Móc khóa Popbean 07</v>
      </c>
      <c r="D291" s="144" t="str">
        <f>VLOOKUP(B291,'Thống kê'!$C$3:$E$682,3,0)</f>
        <v>cái</v>
      </c>
      <c r="E291" s="100">
        <v>20.93</v>
      </c>
      <c r="F291" s="101">
        <v>5</v>
      </c>
      <c r="G291" s="125">
        <f t="shared" si="1"/>
        <v>104.65</v>
      </c>
      <c r="H291" s="2">
        <f t="shared" si="3"/>
        <v>367007.55000000005</v>
      </c>
    </row>
    <row r="292" spans="1:8" ht="13.2" hidden="1">
      <c r="A292" s="372"/>
      <c r="B292" s="28" t="s">
        <v>1282</v>
      </c>
      <c r="C292" s="143" t="str">
        <f>VLOOKUP(B292,'Thống kê'!$C$3:$D$669,2,0)</f>
        <v>Móc khóa Popbean 08</v>
      </c>
      <c r="D292" s="144" t="str">
        <f>VLOOKUP(B292,'Thống kê'!$C$3:$E$682,3,0)</f>
        <v>cái</v>
      </c>
      <c r="E292" s="100">
        <v>20.93</v>
      </c>
      <c r="F292" s="101">
        <v>3</v>
      </c>
      <c r="G292" s="125">
        <f t="shared" si="1"/>
        <v>62.79</v>
      </c>
      <c r="H292" s="2">
        <f t="shared" si="3"/>
        <v>220204.53</v>
      </c>
    </row>
    <row r="293" spans="1:8" ht="13.2" hidden="1">
      <c r="A293" s="372"/>
      <c r="B293" s="28" t="s">
        <v>1284</v>
      </c>
      <c r="C293" s="143" t="str">
        <f>VLOOKUP(B293,'Thống kê'!$C$3:$D$669,2,0)</f>
        <v>Móc khóa Popbean 09</v>
      </c>
      <c r="D293" s="144" t="str">
        <f>VLOOKUP(B293,'Thống kê'!$C$3:$E$682,3,0)</f>
        <v>cái</v>
      </c>
      <c r="E293" s="100">
        <v>20.93</v>
      </c>
      <c r="F293" s="101">
        <v>8</v>
      </c>
      <c r="G293" s="125">
        <f t="shared" si="1"/>
        <v>167.44</v>
      </c>
      <c r="H293" s="2">
        <f t="shared" si="3"/>
        <v>587212.07999999996</v>
      </c>
    </row>
    <row r="294" spans="1:8" ht="13.2" hidden="1">
      <c r="A294" s="372"/>
      <c r="B294" s="28" t="s">
        <v>1286</v>
      </c>
      <c r="C294" s="143" t="str">
        <f>VLOOKUP(B294,'Thống kê'!$C$3:$D$669,2,0)</f>
        <v>Móc khóa Popbean 10</v>
      </c>
      <c r="D294" s="144" t="str">
        <f>VLOOKUP(B294,'Thống kê'!$C$3:$E$682,3,0)</f>
        <v>cái</v>
      </c>
      <c r="E294" s="100">
        <v>20.93</v>
      </c>
      <c r="F294" s="101">
        <v>5</v>
      </c>
      <c r="G294" s="125">
        <f t="shared" si="1"/>
        <v>104.65</v>
      </c>
      <c r="H294" s="2">
        <f t="shared" si="3"/>
        <v>367007.55000000005</v>
      </c>
    </row>
    <row r="295" spans="1:8" ht="13.2" hidden="1">
      <c r="A295" s="372"/>
      <c r="B295" s="28" t="s">
        <v>1288</v>
      </c>
      <c r="C295" s="143" t="str">
        <f>VLOOKUP(B295,'Thống kê'!$C$3:$D$669,2,0)</f>
        <v>Móc khóa Popbean 11</v>
      </c>
      <c r="D295" s="144" t="str">
        <f>VLOOKUP(B295,'Thống kê'!$C$3:$E$682,3,0)</f>
        <v>cái</v>
      </c>
      <c r="E295" s="100">
        <v>20.93</v>
      </c>
      <c r="F295" s="101">
        <v>15</v>
      </c>
      <c r="G295" s="125">
        <f t="shared" si="1"/>
        <v>313.95</v>
      </c>
      <c r="H295" s="2">
        <f t="shared" si="3"/>
        <v>1101022.6499999999</v>
      </c>
    </row>
    <row r="296" spans="1:8" ht="13.2" hidden="1">
      <c r="A296" s="372"/>
      <c r="B296" s="28" t="s">
        <v>1290</v>
      </c>
      <c r="C296" s="143" t="str">
        <f>VLOOKUP(B296,'Thống kê'!$C$3:$D$669,2,0)</f>
        <v>Móc khóa Popbean 12</v>
      </c>
      <c r="D296" s="144" t="str">
        <f>VLOOKUP(B296,'Thống kê'!$C$3:$E$682,3,0)</f>
        <v>cái</v>
      </c>
      <c r="E296" s="100">
        <v>20.93</v>
      </c>
      <c r="F296" s="101">
        <v>3</v>
      </c>
      <c r="G296" s="125">
        <f t="shared" si="1"/>
        <v>62.79</v>
      </c>
      <c r="H296" s="2">
        <f t="shared" si="3"/>
        <v>220204.53</v>
      </c>
    </row>
    <row r="297" spans="1:8" ht="13.2" hidden="1">
      <c r="A297" s="372"/>
      <c r="B297" s="28" t="s">
        <v>1292</v>
      </c>
      <c r="C297" s="143" t="str">
        <f>VLOOKUP(B297,'Thống kê'!$C$3:$D$669,2,0)</f>
        <v>Móc khóa Popbean 13</v>
      </c>
      <c r="D297" s="144" t="str">
        <f>VLOOKUP(B297,'Thống kê'!$C$3:$E$682,3,0)</f>
        <v>cái</v>
      </c>
      <c r="E297" s="100">
        <v>20.93</v>
      </c>
      <c r="F297" s="101">
        <v>3</v>
      </c>
      <c r="G297" s="125">
        <f t="shared" si="1"/>
        <v>62.79</v>
      </c>
      <c r="H297" s="2">
        <f t="shared" si="3"/>
        <v>220204.53</v>
      </c>
    </row>
    <row r="298" spans="1:8" ht="13.2" hidden="1">
      <c r="A298" s="372"/>
      <c r="B298" s="28" t="s">
        <v>1294</v>
      </c>
      <c r="C298" s="143" t="str">
        <f>VLOOKUP(B298,'Thống kê'!$C$3:$D$669,2,0)</f>
        <v>Móc khóa Popbean 14</v>
      </c>
      <c r="D298" s="144" t="str">
        <f>VLOOKUP(B298,'Thống kê'!$C$3:$E$682,3,0)</f>
        <v>cái</v>
      </c>
      <c r="E298" s="100">
        <v>20.93</v>
      </c>
      <c r="F298" s="101">
        <v>3</v>
      </c>
      <c r="G298" s="125">
        <f t="shared" si="1"/>
        <v>62.79</v>
      </c>
      <c r="H298" s="2">
        <f t="shared" si="3"/>
        <v>220204.53</v>
      </c>
    </row>
    <row r="299" spans="1:8" ht="13.2" hidden="1">
      <c r="A299" s="372"/>
      <c r="B299" s="28" t="s">
        <v>1296</v>
      </c>
      <c r="C299" s="143" t="str">
        <f>VLOOKUP(B299,'Thống kê'!$C$3:$D$669,2,0)</f>
        <v>Móc khóa Popbean 15</v>
      </c>
      <c r="D299" s="144" t="str">
        <f>VLOOKUP(B299,'Thống kê'!$C$3:$E$682,3,0)</f>
        <v>cái</v>
      </c>
      <c r="E299" s="100">
        <v>20.93</v>
      </c>
      <c r="F299" s="101">
        <v>3</v>
      </c>
      <c r="G299" s="125">
        <f t="shared" si="1"/>
        <v>62.79</v>
      </c>
      <c r="H299" s="2">
        <f t="shared" si="3"/>
        <v>220204.53</v>
      </c>
    </row>
    <row r="300" spans="1:8" ht="13.2" hidden="1">
      <c r="A300" s="372"/>
      <c r="B300" s="28" t="s">
        <v>1624</v>
      </c>
      <c r="C300" s="143" t="str">
        <f>VLOOKUP(B300,'Thống kê'!$C$3:$D$669,2,0)</f>
        <v>Móc khóa mèo trái tim</v>
      </c>
      <c r="D300" s="144" t="str">
        <f>VLOOKUP(B300,'Thống kê'!$C$3:$E$682,3,0)</f>
        <v>cái</v>
      </c>
      <c r="E300" s="100">
        <v>6.8</v>
      </c>
      <c r="F300" s="101">
        <v>18</v>
      </c>
      <c r="G300" s="125">
        <f t="shared" si="1"/>
        <v>122.39999999999999</v>
      </c>
    </row>
    <row r="301" spans="1:8" ht="13.2" hidden="1">
      <c r="A301" s="373"/>
      <c r="B301" s="28" t="s">
        <v>1625</v>
      </c>
      <c r="C301" s="143" t="str">
        <f>VLOOKUP(B301,'Thống kê'!$C$3:$D$669,2,0)</f>
        <v>Móc khóa đôi 2 mèo trắng nâu</v>
      </c>
      <c r="D301" s="144" t="str">
        <f>VLOOKUP(B301,'Thống kê'!$C$3:$E$682,3,0)</f>
        <v>cái</v>
      </c>
      <c r="E301" s="100">
        <v>6.8</v>
      </c>
      <c r="F301" s="101">
        <v>9</v>
      </c>
      <c r="G301" s="125">
        <f t="shared" si="1"/>
        <v>61.199999999999996</v>
      </c>
    </row>
    <row r="302" spans="1:8" ht="13.2" hidden="1">
      <c r="A302" s="155">
        <v>45473</v>
      </c>
      <c r="B302" s="28" t="s">
        <v>887</v>
      </c>
      <c r="C302" s="143" t="str">
        <f>VLOOKUP(B302,'Thống kê'!$C$3:$D$669,2,0)</f>
        <v>Mèo ú</v>
      </c>
      <c r="D302" s="144" t="str">
        <f>VLOOKUP(B302,'Thống kê'!$C$3:$E$682,3,0)</f>
        <v>cái</v>
      </c>
      <c r="E302" s="100">
        <v>6.68</v>
      </c>
      <c r="F302" s="101">
        <v>5</v>
      </c>
      <c r="G302" s="125">
        <f t="shared" si="1"/>
        <v>33.4</v>
      </c>
    </row>
    <row r="303" spans="1:8" ht="13.2" hidden="1">
      <c r="A303" s="155"/>
      <c r="B303" s="28" t="s">
        <v>1637</v>
      </c>
      <c r="C303" s="143" t="str">
        <f>VLOOKUP(B303,'Thống kê'!$C$3:$D$669,2,0)</f>
        <v>heo ú cầm hoa</v>
      </c>
      <c r="D303" s="144" t="str">
        <f>VLOOKUP(B303,'Thống kê'!$C$3:$E$682,3,0)</f>
        <v>cái</v>
      </c>
      <c r="E303" s="100">
        <v>6.98</v>
      </c>
      <c r="F303" s="101">
        <v>15</v>
      </c>
      <c r="G303" s="125">
        <f t="shared" si="1"/>
        <v>104.7</v>
      </c>
    </row>
    <row r="304" spans="1:8" ht="13.2" hidden="1">
      <c r="A304" s="155"/>
      <c r="B304" s="28" t="s">
        <v>1638</v>
      </c>
      <c r="C304" s="143" t="str">
        <f>VLOOKUP(B304,'Thống kê'!$C$3:$D$669,2,0)</f>
        <v>Shiba ú cầm hoa</v>
      </c>
      <c r="D304" s="144" t="str">
        <f>VLOOKUP(B304,'Thống kê'!$C$3:$E$682,3,0)</f>
        <v>cái</v>
      </c>
      <c r="E304" s="100">
        <v>6.98</v>
      </c>
      <c r="F304" s="101">
        <v>15</v>
      </c>
      <c r="G304" s="125">
        <f t="shared" si="1"/>
        <v>104.7</v>
      </c>
    </row>
    <row r="305" spans="1:7" ht="13.2" hidden="1">
      <c r="A305" s="155"/>
      <c r="B305" s="28" t="s">
        <v>895</v>
      </c>
      <c r="C305" s="143" t="str">
        <f>VLOOKUP(B305,'Thống kê'!$C$3:$D$669,2,0)</f>
        <v>Thỏ ú</v>
      </c>
      <c r="D305" s="144" t="str">
        <f>VLOOKUP(B305,'Thống kê'!$C$3:$E$682,3,0)</f>
        <v>cái</v>
      </c>
      <c r="E305" s="100">
        <v>6.68</v>
      </c>
      <c r="F305" s="101">
        <v>10</v>
      </c>
      <c r="G305" s="125">
        <f t="shared" si="1"/>
        <v>66.8</v>
      </c>
    </row>
    <row r="306" spans="1:7" ht="13.2" hidden="1">
      <c r="A306" s="155"/>
      <c r="B306" s="28" t="s">
        <v>885</v>
      </c>
      <c r="C306" s="143" t="str">
        <f>VLOOKUP(B306,'Thống kê'!$C$3:$D$669,2,0)</f>
        <v>Gấu ú</v>
      </c>
      <c r="D306" s="144" t="str">
        <f>VLOOKUP(B306,'Thống kê'!$C$3:$E$682,3,0)</f>
        <v>cái</v>
      </c>
      <c r="E306" s="100">
        <v>6.68</v>
      </c>
      <c r="F306" s="101">
        <v>5</v>
      </c>
      <c r="G306" s="125">
        <f t="shared" si="1"/>
        <v>33.4</v>
      </c>
    </row>
    <row r="307" spans="1:7" ht="13.2" hidden="1">
      <c r="A307" s="155"/>
      <c r="B307" s="28" t="s">
        <v>891</v>
      </c>
      <c r="C307" s="143" t="str">
        <f>VLOOKUP(B307,'Thống kê'!$C$3:$D$669,2,0)</f>
        <v>Heo ú</v>
      </c>
      <c r="D307" s="144" t="str">
        <f>VLOOKUP(B307,'Thống kê'!$C$3:$E$682,3,0)</f>
        <v>cái</v>
      </c>
      <c r="E307" s="100">
        <v>6.68</v>
      </c>
      <c r="F307" s="101">
        <v>17</v>
      </c>
      <c r="G307" s="125">
        <f t="shared" si="1"/>
        <v>113.56</v>
      </c>
    </row>
    <row r="308" spans="1:7" ht="13.2" hidden="1">
      <c r="A308" s="155">
        <v>45485</v>
      </c>
      <c r="B308" s="28" t="s">
        <v>1639</v>
      </c>
      <c r="C308" s="143" t="str">
        <f>VLOOKUP(B308,'Thống kê'!$C$3:$D$669,2,0)</f>
        <v>Móc khóa đôi Puppy</v>
      </c>
      <c r="D308" s="144" t="str">
        <f>VLOOKUP(B308,'Thống kê'!$C$3:$E$682,3,0)</f>
        <v>cái</v>
      </c>
      <c r="E308" s="100">
        <v>6.56</v>
      </c>
      <c r="F308" s="101">
        <v>5</v>
      </c>
      <c r="G308" s="125">
        <f t="shared" si="1"/>
        <v>32.799999999999997</v>
      </c>
    </row>
    <row r="309" spans="1:7" ht="13.2" hidden="1">
      <c r="A309" s="155"/>
      <c r="B309" s="28" t="s">
        <v>1625</v>
      </c>
      <c r="C309" s="143" t="str">
        <f>VLOOKUP(B309,'Thống kê'!$C$3:$D$669,2,0)</f>
        <v>Móc khóa đôi 2 mèo trắng nâu</v>
      </c>
      <c r="D309" s="144" t="str">
        <f>VLOOKUP(B309,'Thống kê'!$C$3:$E$682,3,0)</f>
        <v>cái</v>
      </c>
      <c r="E309" s="100">
        <v>6.56</v>
      </c>
      <c r="F309" s="101">
        <v>10</v>
      </c>
      <c r="G309" s="125">
        <f t="shared" si="1"/>
        <v>65.599999999999994</v>
      </c>
    </row>
    <row r="310" spans="1:7" ht="13.2" hidden="1">
      <c r="A310" s="155"/>
      <c r="B310" s="28" t="s">
        <v>1632</v>
      </c>
      <c r="C310" s="143" t="str">
        <f>VLOOKUP(B310,'Thống kê'!$C$3:$D$669,2,0)</f>
        <v>Móc khóa đôi mèo trắng</v>
      </c>
      <c r="D310" s="144" t="str">
        <f>VLOOKUP(B310,'Thống kê'!$C$3:$E$682,3,0)</f>
        <v>cái</v>
      </c>
      <c r="E310" s="100">
        <v>6.56</v>
      </c>
      <c r="F310" s="101">
        <v>3</v>
      </c>
      <c r="G310" s="125">
        <f t="shared" si="1"/>
        <v>19.68</v>
      </c>
    </row>
    <row r="311" spans="1:7" ht="13.2" hidden="1">
      <c r="A311" s="155"/>
      <c r="B311" s="28" t="s">
        <v>1624</v>
      </c>
      <c r="C311" s="143" t="str">
        <f>VLOOKUP(B311,'Thống kê'!$C$3:$D$669,2,0)</f>
        <v>Móc khóa mèo trái tim</v>
      </c>
      <c r="D311" s="144" t="str">
        <f>VLOOKUP(B311,'Thống kê'!$C$3:$E$682,3,0)</f>
        <v>cái</v>
      </c>
      <c r="E311" s="100">
        <v>6.56</v>
      </c>
      <c r="F311" s="101">
        <v>15</v>
      </c>
      <c r="G311" s="125">
        <f t="shared" si="1"/>
        <v>98.399999999999991</v>
      </c>
    </row>
    <row r="312" spans="1:7" ht="13.2" hidden="1">
      <c r="A312" s="155"/>
      <c r="B312" s="28" t="s">
        <v>1640</v>
      </c>
      <c r="C312" s="143" t="str">
        <f>VLOOKUP(B312,'Thống kê'!$C$3:$D$669,2,0)</f>
        <v>Móc khóa đôi Capypara</v>
      </c>
      <c r="D312" s="144" t="str">
        <f>VLOOKUP(B312,'Thống kê'!$C$3:$E$682,3,0)</f>
        <v>cái</v>
      </c>
      <c r="E312" s="100">
        <v>6.56</v>
      </c>
      <c r="F312" s="101">
        <v>5</v>
      </c>
      <c r="G312" s="125">
        <f t="shared" si="1"/>
        <v>32.799999999999997</v>
      </c>
    </row>
    <row r="313" spans="1:7" ht="13.2" hidden="1">
      <c r="A313" s="155"/>
      <c r="B313" s="28" t="s">
        <v>1594</v>
      </c>
      <c r="C313" s="143" t="str">
        <f>VLOOKUP(B313,'Thống kê'!$C$3:$D$669,2,0)</f>
        <v>Móc khóa đôi heo</v>
      </c>
      <c r="D313" s="144" t="str">
        <f>VLOOKUP(B313,'Thống kê'!$C$3:$E$682,3,0)</f>
        <v>cái</v>
      </c>
      <c r="E313" s="100">
        <v>6.18</v>
      </c>
      <c r="F313" s="101">
        <v>20</v>
      </c>
      <c r="G313" s="125">
        <f t="shared" si="1"/>
        <v>123.6</v>
      </c>
    </row>
    <row r="314" spans="1:7" ht="13.2" hidden="1">
      <c r="A314" s="155"/>
      <c r="B314" s="28" t="s">
        <v>150</v>
      </c>
      <c r="C314" s="143" t="str">
        <f>VLOOKUP(B314,'Thống kê'!$C$3:$D$669,2,0)</f>
        <v>Móc khóa có chuông</v>
      </c>
      <c r="D314" s="144" t="str">
        <f>VLOOKUP(B314,'Thống kê'!$C$3:$E$682,3,0)</f>
        <v>cái</v>
      </c>
      <c r="E314" s="100">
        <v>6.18</v>
      </c>
      <c r="F314" s="101">
        <v>25</v>
      </c>
      <c r="G314" s="125">
        <f t="shared" si="1"/>
        <v>154.5</v>
      </c>
    </row>
    <row r="315" spans="1:7" ht="13.2" hidden="1">
      <c r="A315" s="155"/>
      <c r="B315" s="28" t="s">
        <v>1641</v>
      </c>
      <c r="C315" s="143" t="str">
        <f>VLOOKUP(B315,'Thống kê'!$C$3:$D$669,2,0)</f>
        <v>Túi chườm bụng thỏ và dứa 500ml</v>
      </c>
      <c r="D315" s="144" t="str">
        <f>VLOOKUP(B315,'Thống kê'!$C$3:$E$682,3,0)</f>
        <v>túi</v>
      </c>
      <c r="E315" s="100">
        <v>9.51</v>
      </c>
      <c r="F315" s="101">
        <v>1</v>
      </c>
      <c r="G315" s="125">
        <f t="shared" si="1"/>
        <v>9.51</v>
      </c>
    </row>
    <row r="316" spans="1:7" ht="13.2" hidden="1">
      <c r="A316" s="155"/>
      <c r="B316" s="28" t="s">
        <v>1642</v>
      </c>
      <c r="C316" s="143" t="str">
        <f>VLOOKUP(B316,'Thống kê'!$C$3:$D$669,2,0)</f>
        <v>Túi chườm bụng dứa (xanh đậm) 1000ml</v>
      </c>
      <c r="D316" s="144" t="str">
        <f>VLOOKUP(B316,'Thống kê'!$C$3:$E$682,3,0)</f>
        <v>túi</v>
      </c>
      <c r="E316" s="100">
        <v>11.27</v>
      </c>
      <c r="F316" s="101">
        <v>2</v>
      </c>
      <c r="G316" s="125">
        <f t="shared" si="1"/>
        <v>22.54</v>
      </c>
    </row>
    <row r="317" spans="1:7" ht="13.2" hidden="1">
      <c r="A317" s="155"/>
      <c r="B317" s="28" t="s">
        <v>1643</v>
      </c>
      <c r="C317" s="143" t="str">
        <f>VLOOKUP(B317,'Thống kê'!$C$3:$D$669,2,0)</f>
        <v>Túi chườm bụng dâu (hồng đất) 1000ml</v>
      </c>
      <c r="D317" s="144" t="str">
        <f>VLOOKUP(B317,'Thống kê'!$C$3:$E$682,3,0)</f>
        <v>túi</v>
      </c>
      <c r="E317" s="100">
        <v>11.27</v>
      </c>
      <c r="F317" s="101">
        <v>2</v>
      </c>
      <c r="G317" s="125">
        <f t="shared" si="1"/>
        <v>22.54</v>
      </c>
    </row>
    <row r="318" spans="1:7" ht="13.2" hidden="1">
      <c r="A318" s="155"/>
      <c r="B318" s="28" t="s">
        <v>1644</v>
      </c>
      <c r="C318" s="143" t="str">
        <f>VLOOKUP(B318,'Thống kê'!$C$3:$D$669,2,0)</f>
        <v>Túi chườm bụng dâu (xanh) 500ml</v>
      </c>
      <c r="D318" s="144" t="str">
        <f>VLOOKUP(B318,'Thống kê'!$C$3:$E$682,3,0)</f>
        <v>túi</v>
      </c>
      <c r="E318" s="100">
        <v>9.51</v>
      </c>
      <c r="F318" s="101">
        <v>1</v>
      </c>
      <c r="G318" s="125">
        <f t="shared" si="1"/>
        <v>9.51</v>
      </c>
    </row>
    <row r="319" spans="1:7" ht="13.2" hidden="1">
      <c r="A319" s="155"/>
      <c r="B319" s="28" t="s">
        <v>1645</v>
      </c>
      <c r="C319" s="143" t="str">
        <f>VLOOKUP(B319,'Thống kê'!$C$3:$D$669,2,0)</f>
        <v>Túi chườm bụng trái bơ 500ml</v>
      </c>
      <c r="D319" s="144" t="str">
        <f>VLOOKUP(B319,'Thống kê'!$C$3:$E$682,3,0)</f>
        <v>túi</v>
      </c>
      <c r="E319" s="100">
        <v>9.51</v>
      </c>
      <c r="F319" s="101">
        <v>1</v>
      </c>
      <c r="G319" s="125">
        <f t="shared" si="1"/>
        <v>9.51</v>
      </c>
    </row>
    <row r="320" spans="1:7" ht="13.2" hidden="1">
      <c r="A320" s="155"/>
      <c r="B320" s="28" t="s">
        <v>1646</v>
      </c>
      <c r="C320" s="143" t="str">
        <f>VLOOKUP(B320,'Thống kê'!$C$3:$D$669,2,0)</f>
        <v>Túi chườm bụng dâu (hồng đất) 500ml</v>
      </c>
      <c r="D320" s="144" t="str">
        <f>VLOOKUP(B320,'Thống kê'!$C$3:$E$682,3,0)</f>
        <v>túi</v>
      </c>
      <c r="E320" s="100">
        <v>9.51</v>
      </c>
      <c r="F320" s="101">
        <v>1</v>
      </c>
      <c r="G320" s="125">
        <f t="shared" si="1"/>
        <v>9.51</v>
      </c>
    </row>
    <row r="321" spans="1:7" ht="13.2" hidden="1">
      <c r="A321" s="155"/>
      <c r="B321" s="28" t="s">
        <v>1647</v>
      </c>
      <c r="C321" s="143" t="str">
        <f>VLOOKUP(B321,'Thống kê'!$C$3:$D$669,2,0)</f>
        <v>Túi chườm bụng dứa (xanh đậm) 500ml</v>
      </c>
      <c r="D321" s="144" t="str">
        <f>VLOOKUP(B321,'Thống kê'!$C$3:$E$682,3,0)</f>
        <v>túi</v>
      </c>
      <c r="E321" s="100">
        <v>9.51</v>
      </c>
      <c r="F321" s="101">
        <v>1</v>
      </c>
      <c r="G321" s="125">
        <f t="shared" si="1"/>
        <v>9.51</v>
      </c>
    </row>
    <row r="322" spans="1:7" ht="13.2" hidden="1">
      <c r="A322" s="155"/>
      <c r="B322" s="28" t="s">
        <v>1648</v>
      </c>
      <c r="C322" s="143" t="str">
        <f>VLOOKUP(B322,'Thống kê'!$C$3:$D$669,2,0)</f>
        <v>Túi chườm bụng thỏ và dứa 1000ml</v>
      </c>
      <c r="D322" s="144" t="str">
        <f>VLOOKUP(B322,'Thống kê'!$C$3:$E$682,3,0)</f>
        <v>túi</v>
      </c>
      <c r="E322" s="100">
        <v>11.27</v>
      </c>
      <c r="F322" s="101">
        <v>1</v>
      </c>
      <c r="G322" s="125">
        <f t="shared" si="1"/>
        <v>11.27</v>
      </c>
    </row>
    <row r="323" spans="1:7" ht="13.2" hidden="1">
      <c r="A323" s="155"/>
      <c r="B323" s="28" t="s">
        <v>1649</v>
      </c>
      <c r="C323" s="143" t="str">
        <f>VLOOKUP(B323,'Thống kê'!$C$3:$D$669,2,0)</f>
        <v>Túi chườm bụng trái bơ 1000ml</v>
      </c>
      <c r="D323" s="144" t="str">
        <f>VLOOKUP(B323,'Thống kê'!$C$3:$E$682,3,0)</f>
        <v>túi</v>
      </c>
      <c r="E323" s="100">
        <v>11.27</v>
      </c>
      <c r="F323" s="101">
        <v>1</v>
      </c>
      <c r="G323" s="125">
        <f t="shared" si="1"/>
        <v>11.27</v>
      </c>
    </row>
    <row r="324" spans="1:7" ht="13.2" hidden="1">
      <c r="A324" s="155"/>
      <c r="B324" s="28" t="s">
        <v>1650</v>
      </c>
      <c r="C324" s="143" t="str">
        <f>VLOOKUP(B324,'Thống kê'!$C$3:$D$669,2,0)</f>
        <v>Túi chườm bụng dâu (xanh) 1000ml</v>
      </c>
      <c r="D324" s="144" t="str">
        <f>VLOOKUP(B324,'Thống kê'!$C$3:$E$682,3,0)</f>
        <v>túi</v>
      </c>
      <c r="E324" s="100">
        <v>11.27</v>
      </c>
      <c r="F324" s="101">
        <v>1</v>
      </c>
      <c r="G324" s="125">
        <f t="shared" si="1"/>
        <v>11.27</v>
      </c>
    </row>
    <row r="325" spans="1:7" ht="13.2" hidden="1">
      <c r="A325" s="155">
        <v>45491</v>
      </c>
      <c r="B325" s="28" t="s">
        <v>1651</v>
      </c>
      <c r="C325" s="143" t="str">
        <f>VLOOKUP(B325,'Thống kê'!$C$3:$D$669,2,0)</f>
        <v>Móc khóa Popbean Sweet Bean</v>
      </c>
      <c r="D325" s="144" t="str">
        <f>VLOOKUP(B325,'Thống kê'!$C$3:$E$682,3,0)</f>
        <v>cái</v>
      </c>
      <c r="E325" s="100">
        <v>58000</v>
      </c>
      <c r="F325" s="101">
        <v>2</v>
      </c>
      <c r="G325" s="125">
        <f t="shared" si="1"/>
        <v>116000</v>
      </c>
    </row>
    <row r="326" spans="1:7" ht="13.2" hidden="1">
      <c r="A326" s="155"/>
      <c r="B326" s="28" t="s">
        <v>1652</v>
      </c>
      <c r="C326" s="143" t="str">
        <f>VLOOKUP(B326,'Thống kê'!$C$3:$D$669,2,0)</f>
        <v>Móc khóa Popbean Hacipupu</v>
      </c>
      <c r="D326" s="144" t="str">
        <f>VLOOKUP(B326,'Thống kê'!$C$3:$E$682,3,0)</f>
        <v>cái</v>
      </c>
      <c r="E326" s="100">
        <v>58000</v>
      </c>
      <c r="F326" s="101">
        <v>4</v>
      </c>
      <c r="G326" s="125">
        <f t="shared" si="1"/>
        <v>232000</v>
      </c>
    </row>
    <row r="327" spans="1:7" ht="13.2" hidden="1">
      <c r="A327" s="155"/>
      <c r="B327" s="28" t="s">
        <v>1653</v>
      </c>
      <c r="C327" s="143" t="str">
        <f>VLOOKUP(B327,'Thống kê'!$C$3:$D$669,2,0)</f>
        <v>Móc khóa Popbean Pucky</v>
      </c>
      <c r="D327" s="144" t="str">
        <f>VLOOKUP(B327,'Thống kê'!$C$3:$E$682,3,0)</f>
        <v>cái</v>
      </c>
      <c r="E327" s="100">
        <v>58000</v>
      </c>
      <c r="F327" s="101">
        <v>2</v>
      </c>
      <c r="G327" s="125">
        <f t="shared" si="1"/>
        <v>116000</v>
      </c>
    </row>
    <row r="328" spans="1:7" ht="13.2" hidden="1">
      <c r="A328" s="155"/>
      <c r="B328" s="28" t="s">
        <v>1654</v>
      </c>
      <c r="C328" s="143" t="str">
        <f>VLOOKUP(B328,'Thống kê'!$C$3:$D$669,2,0)</f>
        <v>Móc khóa Popbean Hacipupu</v>
      </c>
      <c r="D328" s="144" t="str">
        <f>VLOOKUP(B328,'Thống kê'!$C$3:$E$682,3,0)</f>
        <v>cái</v>
      </c>
      <c r="E328" s="100">
        <v>58000</v>
      </c>
      <c r="F328" s="101">
        <v>7</v>
      </c>
      <c r="G328" s="125">
        <f t="shared" si="1"/>
        <v>406000</v>
      </c>
    </row>
    <row r="329" spans="1:7" ht="13.2" hidden="1">
      <c r="A329" s="155"/>
      <c r="B329" s="28" t="s">
        <v>1655</v>
      </c>
      <c r="C329" s="143" t="str">
        <f>VLOOKUP(B329,'Thống kê'!$C$3:$D$669,2,0)</f>
        <v>Móc khóa Popbean Labubu</v>
      </c>
      <c r="D329" s="144" t="str">
        <f>VLOOKUP(B329,'Thống kê'!$C$3:$E$682,3,0)</f>
        <v>cái</v>
      </c>
      <c r="E329" s="100">
        <v>58000</v>
      </c>
      <c r="F329" s="101">
        <v>2</v>
      </c>
      <c r="G329" s="125">
        <f t="shared" si="1"/>
        <v>116000</v>
      </c>
    </row>
    <row r="330" spans="1:7" ht="13.2" hidden="1">
      <c r="A330" s="155"/>
      <c r="B330" s="28" t="s">
        <v>1656</v>
      </c>
      <c r="C330" s="143" t="str">
        <f>VLOOKUP(B330,'Thống kê'!$C$3:$D$669,2,0)</f>
        <v>Móc khóa Popbean Dimoo</v>
      </c>
      <c r="D330" s="144" t="str">
        <f>VLOOKUP(B330,'Thống kê'!$C$3:$E$682,3,0)</f>
        <v>cái</v>
      </c>
      <c r="E330" s="100">
        <v>58000</v>
      </c>
      <c r="F330" s="101">
        <v>6</v>
      </c>
      <c r="G330" s="125">
        <f t="shared" si="1"/>
        <v>348000</v>
      </c>
    </row>
    <row r="331" spans="1:7" ht="13.2" hidden="1">
      <c r="A331" s="155"/>
      <c r="B331" s="28" t="s">
        <v>1657</v>
      </c>
      <c r="C331" s="143" t="str">
        <f>VLOOKUP(B331,'Thống kê'!$C$3:$D$669,2,0)</f>
        <v>Móc khóa Popbean Cry Baby</v>
      </c>
      <c r="D331" s="144" t="str">
        <f>VLOOKUP(B331,'Thống kê'!$C$3:$E$682,3,0)</f>
        <v>cái</v>
      </c>
      <c r="E331" s="100">
        <v>58000</v>
      </c>
      <c r="F331" s="101">
        <v>4</v>
      </c>
      <c r="G331" s="125">
        <f t="shared" si="1"/>
        <v>232000</v>
      </c>
    </row>
    <row r="332" spans="1:7" ht="13.2" hidden="1">
      <c r="A332" s="155"/>
      <c r="B332" s="28" t="s">
        <v>1658</v>
      </c>
      <c r="C332" s="143" t="str">
        <f>VLOOKUP(B332,'Thống kê'!$C$3:$D$669,2,0)</f>
        <v>Móc khóa Popbean Dimoo</v>
      </c>
      <c r="D332" s="144" t="str">
        <f>VLOOKUP(B332,'Thống kê'!$C$3:$E$682,3,0)</f>
        <v>cái</v>
      </c>
      <c r="E332" s="100">
        <v>58000</v>
      </c>
      <c r="F332" s="101">
        <v>4</v>
      </c>
      <c r="G332" s="125">
        <f t="shared" si="1"/>
        <v>232000</v>
      </c>
    </row>
    <row r="333" spans="1:7" ht="13.2" hidden="1">
      <c r="A333" s="155"/>
      <c r="B333" s="28" t="s">
        <v>1659</v>
      </c>
      <c r="C333" s="143" t="str">
        <f>VLOOKUP(B333,'Thống kê'!$C$3:$D$669,2,0)</f>
        <v>Móc khóa Popbean Molly</v>
      </c>
      <c r="D333" s="144" t="str">
        <f>VLOOKUP(B333,'Thống kê'!$C$3:$E$682,3,0)</f>
        <v>cái</v>
      </c>
      <c r="E333" s="100">
        <v>58000</v>
      </c>
      <c r="F333" s="101">
        <v>4</v>
      </c>
      <c r="G333" s="125">
        <f t="shared" si="1"/>
        <v>232000</v>
      </c>
    </row>
    <row r="334" spans="1:7" ht="13.2" hidden="1">
      <c r="A334" s="155"/>
      <c r="B334" s="28" t="s">
        <v>1660</v>
      </c>
      <c r="C334" s="143" t="str">
        <f>VLOOKUP(B334,'Thống kê'!$C$3:$D$669,2,0)</f>
        <v>Móc khóa Popbean Skull Panda</v>
      </c>
      <c r="D334" s="144" t="str">
        <f>VLOOKUP(B334,'Thống kê'!$C$3:$E$682,3,0)</f>
        <v>cái</v>
      </c>
      <c r="E334" s="100">
        <v>58000</v>
      </c>
      <c r="F334" s="101">
        <v>11</v>
      </c>
      <c r="G334" s="125">
        <f t="shared" si="1"/>
        <v>638000</v>
      </c>
    </row>
    <row r="335" spans="1:7" ht="13.2" hidden="1">
      <c r="A335" s="155"/>
      <c r="B335" s="28" t="s">
        <v>1661</v>
      </c>
      <c r="C335" s="143" t="str">
        <f>VLOOKUP(B335,'Thống kê'!$C$3:$D$669,2,0)</f>
        <v>Móc khóa Popbean Kubo</v>
      </c>
      <c r="D335" s="144" t="str">
        <f>VLOOKUP(B335,'Thống kê'!$C$3:$E$682,3,0)</f>
        <v>cái</v>
      </c>
      <c r="E335" s="100">
        <v>58000</v>
      </c>
      <c r="F335" s="101">
        <v>6</v>
      </c>
      <c r="G335" s="125">
        <f t="shared" si="1"/>
        <v>348000</v>
      </c>
    </row>
    <row r="336" spans="1:7" ht="13.2" hidden="1">
      <c r="A336" s="155"/>
      <c r="B336" s="28" t="s">
        <v>1662</v>
      </c>
      <c r="C336" s="143" t="str">
        <f>VLOOKUP(B336,'Thống kê'!$C$3:$D$669,2,0)</f>
        <v>Móc khóa Popbean Cry Baby</v>
      </c>
      <c r="D336" s="144" t="str">
        <f>VLOOKUP(B336,'Thống kê'!$C$3:$E$682,3,0)</f>
        <v>cái</v>
      </c>
      <c r="E336" s="100">
        <v>58000</v>
      </c>
      <c r="F336" s="101">
        <v>4</v>
      </c>
      <c r="G336" s="125">
        <f t="shared" si="1"/>
        <v>232000</v>
      </c>
    </row>
    <row r="337" spans="1:7" ht="13.2" hidden="1">
      <c r="A337" s="155"/>
      <c r="B337" s="28" t="s">
        <v>1663</v>
      </c>
      <c r="C337" s="143" t="str">
        <f>VLOOKUP(B337,'Thống kê'!$C$3:$D$669,2,0)</f>
        <v>Móc khóa Popbean Zsiga</v>
      </c>
      <c r="D337" s="144" t="str">
        <f>VLOOKUP(B337,'Thống kê'!$C$3:$E$682,3,0)</f>
        <v>cái</v>
      </c>
      <c r="E337" s="100">
        <v>58000</v>
      </c>
      <c r="F337" s="101">
        <v>4</v>
      </c>
      <c r="G337" s="125">
        <f t="shared" si="1"/>
        <v>232000</v>
      </c>
    </row>
    <row r="338" spans="1:7" ht="13.2" hidden="1">
      <c r="A338" s="155"/>
      <c r="B338" s="28" t="s">
        <v>1664</v>
      </c>
      <c r="C338" s="143" t="str">
        <f>VLOOKUP(B338,'Thống kê'!$C$3:$D$669,2,0)</f>
        <v>Móc khóa Popbean Lilios</v>
      </c>
      <c r="D338" s="144" t="str">
        <f>VLOOKUP(B338,'Thống kê'!$C$3:$E$682,3,0)</f>
        <v>cái</v>
      </c>
      <c r="E338" s="100">
        <v>58000</v>
      </c>
      <c r="F338" s="101">
        <v>4</v>
      </c>
      <c r="G338" s="125">
        <f t="shared" si="1"/>
        <v>232000</v>
      </c>
    </row>
    <row r="339" spans="1:7" ht="13.2" hidden="1">
      <c r="A339" s="155"/>
      <c r="B339" s="28" t="s">
        <v>1327</v>
      </c>
      <c r="C339" s="143" t="str">
        <f>VLOOKUP(B339,'Thống kê'!$C$3:$D$669,2,0)</f>
        <v>Móc khóa Popbean</v>
      </c>
      <c r="D339" s="144" t="str">
        <f>VLOOKUP(B339,'Thống kê'!$C$3:$E$682,3,0)</f>
        <v>cái</v>
      </c>
      <c r="E339" s="100">
        <v>58000</v>
      </c>
      <c r="F339" s="101">
        <v>2</v>
      </c>
      <c r="G339" s="125">
        <f t="shared" si="1"/>
        <v>116000</v>
      </c>
    </row>
    <row r="340" spans="1:7" ht="13.2" hidden="1">
      <c r="A340" s="155"/>
      <c r="B340" s="28" t="s">
        <v>1329</v>
      </c>
      <c r="C340" s="143" t="str">
        <f>VLOOKUP(B340,'Thống kê'!$C$3:$D$669,2,0)</f>
        <v>Móc khóa Popbean</v>
      </c>
      <c r="D340" s="144" t="str">
        <f>VLOOKUP(B340,'Thống kê'!$C$3:$E$682,3,0)</f>
        <v>cái</v>
      </c>
      <c r="E340" s="100">
        <v>58000</v>
      </c>
      <c r="F340" s="101">
        <v>6</v>
      </c>
      <c r="G340" s="125">
        <f t="shared" si="1"/>
        <v>348000</v>
      </c>
    </row>
    <row r="341" spans="1:7" ht="13.2" hidden="1">
      <c r="A341" s="155"/>
      <c r="B341" s="28" t="s">
        <v>1330</v>
      </c>
      <c r="C341" s="143" t="str">
        <f>VLOOKUP(B341,'Thống kê'!$C$3:$D$669,2,0)</f>
        <v>Móc khóa Popbean</v>
      </c>
      <c r="D341" s="144" t="str">
        <f>VLOOKUP(B341,'Thống kê'!$C$3:$E$682,3,0)</f>
        <v>cái</v>
      </c>
      <c r="E341" s="100">
        <v>58000</v>
      </c>
      <c r="F341" s="101">
        <v>3</v>
      </c>
      <c r="G341" s="125">
        <f t="shared" si="1"/>
        <v>174000</v>
      </c>
    </row>
    <row r="342" spans="1:7" ht="13.2" hidden="1">
      <c r="A342" s="155"/>
      <c r="B342" s="28" t="s">
        <v>1331</v>
      </c>
      <c r="C342" s="143" t="str">
        <f>VLOOKUP(B342,'Thống kê'!$C$3:$D$669,2,0)</f>
        <v>Móc khóa Popbean</v>
      </c>
      <c r="D342" s="144" t="str">
        <f>VLOOKUP(B342,'Thống kê'!$C$3:$E$682,3,0)</f>
        <v>cái</v>
      </c>
      <c r="E342" s="100">
        <v>58000</v>
      </c>
      <c r="F342" s="101">
        <v>2</v>
      </c>
      <c r="G342" s="125">
        <f t="shared" si="1"/>
        <v>116000</v>
      </c>
    </row>
    <row r="343" spans="1:7" ht="13.2" hidden="1">
      <c r="A343" s="155"/>
      <c r="B343" s="28" t="s">
        <v>1332</v>
      </c>
      <c r="C343" s="143" t="str">
        <f>VLOOKUP(B343,'Thống kê'!$C$3:$D$669,2,0)</f>
        <v>Móc khóa Popbean</v>
      </c>
      <c r="D343" s="144" t="str">
        <f>VLOOKUP(B343,'Thống kê'!$C$3:$E$682,3,0)</f>
        <v>cái</v>
      </c>
      <c r="E343" s="100">
        <v>58000</v>
      </c>
      <c r="F343" s="101">
        <v>1</v>
      </c>
      <c r="G343" s="125">
        <f t="shared" si="1"/>
        <v>58000</v>
      </c>
    </row>
    <row r="344" spans="1:7" ht="13.2" hidden="1">
      <c r="A344" s="155"/>
      <c r="B344" s="28" t="s">
        <v>1333</v>
      </c>
      <c r="C344" s="143" t="str">
        <f>VLOOKUP(B344,'Thống kê'!$C$3:$D$669,2,0)</f>
        <v>Móc khóa Popbean</v>
      </c>
      <c r="D344" s="144" t="str">
        <f>VLOOKUP(B344,'Thống kê'!$C$3:$E$682,3,0)</f>
        <v>cái</v>
      </c>
      <c r="E344" s="100">
        <v>58000</v>
      </c>
      <c r="F344" s="101">
        <v>5</v>
      </c>
      <c r="G344" s="125">
        <f t="shared" si="1"/>
        <v>290000</v>
      </c>
    </row>
    <row r="345" spans="1:7" ht="13.2" hidden="1">
      <c r="A345" s="155">
        <v>45493</v>
      </c>
      <c r="B345" s="28" t="s">
        <v>1329</v>
      </c>
      <c r="C345" s="143" t="str">
        <f>VLOOKUP(B345,'Thống kê'!$C$3:$D$669,2,0)</f>
        <v>Móc khóa Popbean</v>
      </c>
      <c r="D345" s="144" t="str">
        <f>VLOOKUP(B345,'Thống kê'!$C$3:$E$682,3,0)</f>
        <v>cái</v>
      </c>
      <c r="E345" s="100">
        <v>58000</v>
      </c>
      <c r="F345" s="101">
        <v>11</v>
      </c>
      <c r="G345" s="125">
        <f t="shared" si="1"/>
        <v>638000</v>
      </c>
    </row>
    <row r="346" spans="1:7" ht="13.2" hidden="1">
      <c r="A346" s="155"/>
      <c r="B346" s="28" t="s">
        <v>1327</v>
      </c>
      <c r="C346" s="143" t="str">
        <f>VLOOKUP(B346,'Thống kê'!$C$3:$D$669,2,0)</f>
        <v>Móc khóa Popbean</v>
      </c>
      <c r="D346" s="144" t="str">
        <f>VLOOKUP(B346,'Thống kê'!$C$3:$E$682,3,0)</f>
        <v>cái</v>
      </c>
      <c r="E346" s="100">
        <v>58000</v>
      </c>
      <c r="F346" s="101">
        <v>2</v>
      </c>
      <c r="G346" s="125">
        <f t="shared" si="1"/>
        <v>116000</v>
      </c>
    </row>
    <row r="347" spans="1:7" ht="13.2" hidden="1">
      <c r="A347" s="155"/>
      <c r="B347" s="28" t="s">
        <v>1653</v>
      </c>
      <c r="C347" s="143" t="str">
        <f>VLOOKUP(B347,'Thống kê'!$C$3:$D$669,2,0)</f>
        <v>Móc khóa Popbean Pucky</v>
      </c>
      <c r="D347" s="144" t="str">
        <f>VLOOKUP(B347,'Thống kê'!$C$3:$E$682,3,0)</f>
        <v>cái</v>
      </c>
      <c r="E347" s="100">
        <v>58000</v>
      </c>
      <c r="F347" s="101">
        <v>3</v>
      </c>
      <c r="G347" s="125">
        <f t="shared" si="1"/>
        <v>174000</v>
      </c>
    </row>
    <row r="348" spans="1:7" ht="13.2" hidden="1">
      <c r="A348" s="155"/>
      <c r="B348" s="28" t="s">
        <v>1659</v>
      </c>
      <c r="C348" s="143" t="str">
        <f>VLOOKUP(B348,'Thống kê'!$C$3:$D$669,2,0)</f>
        <v>Móc khóa Popbean Molly</v>
      </c>
      <c r="D348" s="144" t="str">
        <f>VLOOKUP(B348,'Thống kê'!$C$3:$E$682,3,0)</f>
        <v>cái</v>
      </c>
      <c r="E348" s="100">
        <v>58000</v>
      </c>
      <c r="F348" s="101">
        <v>4</v>
      </c>
      <c r="G348" s="125">
        <f t="shared" si="1"/>
        <v>232000</v>
      </c>
    </row>
    <row r="349" spans="1:7" ht="13.2" hidden="1">
      <c r="A349" s="155"/>
      <c r="B349" s="28" t="s">
        <v>1656</v>
      </c>
      <c r="C349" s="143" t="str">
        <f>VLOOKUP(B349,'Thống kê'!$C$3:$D$669,2,0)</f>
        <v>Móc khóa Popbean Dimoo</v>
      </c>
      <c r="D349" s="144" t="str">
        <f>VLOOKUP(B349,'Thống kê'!$C$3:$E$682,3,0)</f>
        <v>cái</v>
      </c>
      <c r="E349" s="100">
        <v>58000</v>
      </c>
      <c r="F349" s="101">
        <v>1</v>
      </c>
      <c r="G349" s="125">
        <f t="shared" si="1"/>
        <v>58000</v>
      </c>
    </row>
    <row r="350" spans="1:7" ht="13.2" hidden="1">
      <c r="A350" s="155"/>
      <c r="B350" s="28" t="s">
        <v>1662</v>
      </c>
      <c r="C350" s="143" t="str">
        <f>VLOOKUP(B350,'Thống kê'!$C$3:$D$669,2,0)</f>
        <v>Móc khóa Popbean Cry Baby</v>
      </c>
      <c r="D350" s="144" t="str">
        <f>VLOOKUP(B350,'Thống kê'!$C$3:$E$682,3,0)</f>
        <v>cái</v>
      </c>
      <c r="E350" s="100">
        <v>58000</v>
      </c>
      <c r="F350" s="101">
        <v>4</v>
      </c>
      <c r="G350" s="125">
        <f t="shared" si="1"/>
        <v>232000</v>
      </c>
    </row>
    <row r="351" spans="1:7" ht="13.2" hidden="1">
      <c r="A351" s="155"/>
      <c r="B351" s="28" t="s">
        <v>1661</v>
      </c>
      <c r="C351" s="143" t="str">
        <f>VLOOKUP(B351,'Thống kê'!$C$3:$D$669,2,0)</f>
        <v>Móc khóa Popbean Kubo</v>
      </c>
      <c r="D351" s="144" t="str">
        <f>VLOOKUP(B351,'Thống kê'!$C$3:$E$682,3,0)</f>
        <v>cái</v>
      </c>
      <c r="E351" s="100">
        <v>58000</v>
      </c>
      <c r="F351" s="101">
        <v>4</v>
      </c>
      <c r="G351" s="125">
        <f t="shared" si="1"/>
        <v>232000</v>
      </c>
    </row>
    <row r="352" spans="1:7" ht="13.2" hidden="1">
      <c r="A352" s="155"/>
      <c r="B352" s="28" t="s">
        <v>1663</v>
      </c>
      <c r="C352" s="143" t="str">
        <f>VLOOKUP(B352,'Thống kê'!$C$3:$D$669,2,0)</f>
        <v>Móc khóa Popbean Zsiga</v>
      </c>
      <c r="D352" s="144" t="str">
        <f>VLOOKUP(B352,'Thống kê'!$C$3:$E$682,3,0)</f>
        <v>cái</v>
      </c>
      <c r="E352" s="100">
        <v>58000</v>
      </c>
      <c r="F352" s="101">
        <v>3</v>
      </c>
      <c r="G352" s="125">
        <f t="shared" si="1"/>
        <v>174000</v>
      </c>
    </row>
    <row r="353" spans="1:7" ht="13.2" hidden="1">
      <c r="A353" s="155"/>
      <c r="B353" s="28" t="s">
        <v>1330</v>
      </c>
      <c r="C353" s="143" t="str">
        <f>VLOOKUP(B353,'Thống kê'!$C$3:$D$669,2,0)</f>
        <v>Móc khóa Popbean</v>
      </c>
      <c r="D353" s="144" t="str">
        <f>VLOOKUP(B353,'Thống kê'!$C$3:$E$682,3,0)</f>
        <v>cái</v>
      </c>
      <c r="E353" s="100">
        <v>58000</v>
      </c>
      <c r="F353" s="101">
        <v>3</v>
      </c>
      <c r="G353" s="125">
        <f t="shared" si="1"/>
        <v>174000</v>
      </c>
    </row>
    <row r="354" spans="1:7" ht="13.2" hidden="1">
      <c r="A354" s="155"/>
      <c r="B354" s="28" t="s">
        <v>1664</v>
      </c>
      <c r="C354" s="143" t="str">
        <f>VLOOKUP(B354,'Thống kê'!$C$3:$D$669,2,0)</f>
        <v>Móc khóa Popbean Lilios</v>
      </c>
      <c r="D354" s="144" t="str">
        <f>VLOOKUP(B354,'Thống kê'!$C$3:$E$682,3,0)</f>
        <v>cái</v>
      </c>
      <c r="E354" s="100">
        <v>58000</v>
      </c>
      <c r="F354" s="101">
        <v>2</v>
      </c>
      <c r="G354" s="125">
        <f t="shared" si="1"/>
        <v>116000</v>
      </c>
    </row>
    <row r="355" spans="1:7" ht="13.2" hidden="1">
      <c r="A355" s="155"/>
      <c r="B355" s="28" t="s">
        <v>1660</v>
      </c>
      <c r="C355" s="143" t="str">
        <f>VLOOKUP(B355,'Thống kê'!$C$3:$D$669,2,0)</f>
        <v>Móc khóa Popbean Skull Panda</v>
      </c>
      <c r="D355" s="144" t="str">
        <f>VLOOKUP(B355,'Thống kê'!$C$3:$E$682,3,0)</f>
        <v>cái</v>
      </c>
      <c r="E355" s="100">
        <v>58000</v>
      </c>
      <c r="F355" s="101">
        <v>2</v>
      </c>
      <c r="G355" s="125">
        <f t="shared" si="1"/>
        <v>116000</v>
      </c>
    </row>
    <row r="356" spans="1:7" ht="13.2" hidden="1">
      <c r="A356" s="155"/>
      <c r="B356" s="28" t="s">
        <v>1333</v>
      </c>
      <c r="C356" s="143" t="str">
        <f>VLOOKUP(B356,'Thống kê'!$C$3:$D$669,2,0)</f>
        <v>Móc khóa Popbean</v>
      </c>
      <c r="D356" s="144" t="str">
        <f>VLOOKUP(B356,'Thống kê'!$C$3:$E$682,3,0)</f>
        <v>cái</v>
      </c>
      <c r="E356" s="100">
        <v>58000</v>
      </c>
      <c r="F356" s="101">
        <v>3</v>
      </c>
      <c r="G356" s="125">
        <f t="shared" si="1"/>
        <v>174000</v>
      </c>
    </row>
    <row r="357" spans="1:7" ht="13.2" hidden="1">
      <c r="A357" s="155"/>
      <c r="B357" s="28" t="s">
        <v>1660</v>
      </c>
      <c r="C357" s="143" t="str">
        <f>VLOOKUP(B357,'Thống kê'!$C$3:$D$669,2,0)</f>
        <v>Móc khóa Popbean Skull Panda</v>
      </c>
      <c r="D357" s="144" t="str">
        <f>VLOOKUP(B357,'Thống kê'!$C$3:$E$682,3,0)</f>
        <v>cái</v>
      </c>
      <c r="E357" s="100">
        <v>58000</v>
      </c>
      <c r="F357" s="101">
        <v>1</v>
      </c>
      <c r="G357" s="125">
        <f t="shared" si="1"/>
        <v>58000</v>
      </c>
    </row>
    <row r="358" spans="1:7" ht="13.2" hidden="1">
      <c r="A358" s="155"/>
      <c r="B358" s="28" t="s">
        <v>1661</v>
      </c>
      <c r="C358" s="143" t="str">
        <f>VLOOKUP(B358,'Thống kê'!$C$3:$D$669,2,0)</f>
        <v>Móc khóa Popbean Kubo</v>
      </c>
      <c r="D358" s="144" t="str">
        <f>VLOOKUP(B358,'Thống kê'!$C$3:$E$682,3,0)</f>
        <v>cái</v>
      </c>
      <c r="E358" s="100">
        <v>58000</v>
      </c>
      <c r="F358" s="101">
        <v>1</v>
      </c>
      <c r="G358" s="125">
        <f t="shared" si="1"/>
        <v>58000</v>
      </c>
    </row>
    <row r="359" spans="1:7" ht="13.2" hidden="1">
      <c r="A359" s="155"/>
      <c r="B359" s="28" t="s">
        <v>1662</v>
      </c>
      <c r="C359" s="143" t="str">
        <f>VLOOKUP(B359,'Thống kê'!$C$3:$D$669,2,0)</f>
        <v>Móc khóa Popbean Cry Baby</v>
      </c>
      <c r="D359" s="144" t="str">
        <f>VLOOKUP(B359,'Thống kê'!$C$3:$E$682,3,0)</f>
        <v>cái</v>
      </c>
      <c r="E359" s="100">
        <v>58000</v>
      </c>
      <c r="F359" s="101">
        <v>2</v>
      </c>
      <c r="G359" s="125">
        <f t="shared" si="1"/>
        <v>116000</v>
      </c>
    </row>
    <row r="360" spans="1:7" ht="13.2" hidden="1">
      <c r="A360" s="155"/>
      <c r="B360" s="28" t="s">
        <v>1663</v>
      </c>
      <c r="C360" s="143" t="str">
        <f>VLOOKUP(B360,'Thống kê'!$C$3:$D$669,2,0)</f>
        <v>Móc khóa Popbean Zsiga</v>
      </c>
      <c r="D360" s="144" t="str">
        <f>VLOOKUP(B360,'Thống kê'!$C$3:$E$682,3,0)</f>
        <v>cái</v>
      </c>
      <c r="E360" s="100">
        <v>58000</v>
      </c>
      <c r="F360" s="101">
        <v>1</v>
      </c>
      <c r="G360" s="125">
        <f t="shared" si="1"/>
        <v>58000</v>
      </c>
    </row>
    <row r="361" spans="1:7" ht="13.2" hidden="1">
      <c r="A361" s="155"/>
      <c r="B361" s="28" t="s">
        <v>1664</v>
      </c>
      <c r="C361" s="143" t="str">
        <f>VLOOKUP(B361,'Thống kê'!$C$3:$D$669,2,0)</f>
        <v>Móc khóa Popbean Lilios</v>
      </c>
      <c r="D361" s="144" t="str">
        <f>VLOOKUP(B361,'Thống kê'!$C$3:$E$682,3,0)</f>
        <v>cái</v>
      </c>
      <c r="E361" s="100">
        <v>58000</v>
      </c>
      <c r="F361" s="101">
        <v>2</v>
      </c>
      <c r="G361" s="125">
        <f t="shared" si="1"/>
        <v>116000</v>
      </c>
    </row>
    <row r="362" spans="1:7" ht="13.2" hidden="1">
      <c r="A362" s="155"/>
      <c r="B362" s="28" t="s">
        <v>1330</v>
      </c>
      <c r="C362" s="143" t="str">
        <f>VLOOKUP(B362,'Thống kê'!$C$3:$D$669,2,0)</f>
        <v>Móc khóa Popbean</v>
      </c>
      <c r="D362" s="144" t="str">
        <f>VLOOKUP(B362,'Thống kê'!$C$3:$E$682,3,0)</f>
        <v>cái</v>
      </c>
      <c r="E362" s="100">
        <v>58000</v>
      </c>
      <c r="F362" s="101">
        <v>1</v>
      </c>
      <c r="G362" s="125">
        <f t="shared" si="1"/>
        <v>58000</v>
      </c>
    </row>
    <row r="363" spans="1:7" ht="13.2" hidden="1">
      <c r="A363" s="155"/>
      <c r="B363" s="28" t="s">
        <v>1333</v>
      </c>
      <c r="C363" s="143" t="str">
        <f>VLOOKUP(B363,'Thống kê'!$C$3:$D$669,2,0)</f>
        <v>Móc khóa Popbean</v>
      </c>
      <c r="D363" s="144" t="str">
        <f>VLOOKUP(B363,'Thống kê'!$C$3:$E$682,3,0)</f>
        <v>cái</v>
      </c>
      <c r="E363" s="100">
        <v>58000</v>
      </c>
      <c r="F363" s="101">
        <v>1</v>
      </c>
      <c r="G363" s="125">
        <f t="shared" si="1"/>
        <v>58000</v>
      </c>
    </row>
    <row r="364" spans="1:7" ht="13.2" hidden="1">
      <c r="A364" s="155">
        <v>45500</v>
      </c>
      <c r="B364" s="28" t="s">
        <v>1329</v>
      </c>
      <c r="C364" s="143" t="str">
        <f>VLOOKUP(B364,'Thống kê'!$C$3:$D$669,2,0)</f>
        <v>Móc khóa Popbean</v>
      </c>
      <c r="D364" s="144" t="str">
        <f>VLOOKUP(B364,'Thống kê'!$C$3:$E$682,3,0)</f>
        <v>cái</v>
      </c>
      <c r="E364" s="100">
        <v>58000</v>
      </c>
      <c r="F364" s="101">
        <v>2</v>
      </c>
      <c r="G364" s="125">
        <f t="shared" si="1"/>
        <v>116000</v>
      </c>
    </row>
    <row r="365" spans="1:7" ht="13.2" hidden="1">
      <c r="A365" s="155"/>
      <c r="B365" s="28" t="s">
        <v>1334</v>
      </c>
      <c r="C365" s="143" t="str">
        <f>VLOOKUP(B365,'Thống kê'!$C$3:$D$669,2,0)</f>
        <v>Móc khóa Popbean</v>
      </c>
      <c r="D365" s="144" t="str">
        <f>VLOOKUP(B365,'Thống kê'!$C$3:$E$682,3,0)</f>
        <v>cái</v>
      </c>
      <c r="E365" s="100">
        <v>58000</v>
      </c>
      <c r="F365" s="101">
        <v>1</v>
      </c>
      <c r="G365" s="125">
        <f t="shared" si="1"/>
        <v>58000</v>
      </c>
    </row>
    <row r="366" spans="1:7" ht="13.2" hidden="1">
      <c r="A366" s="155"/>
      <c r="B366" s="28" t="s">
        <v>1335</v>
      </c>
      <c r="C366" s="143" t="str">
        <f>VLOOKUP(B366,'Thống kê'!$C$3:$D$669,2,0)</f>
        <v>Móc khóa Popbean</v>
      </c>
      <c r="D366" s="144" t="str">
        <f>VLOOKUP(B366,'Thống kê'!$C$3:$E$682,3,0)</f>
        <v>cái</v>
      </c>
      <c r="E366" s="100">
        <v>58000</v>
      </c>
      <c r="F366" s="101">
        <v>1</v>
      </c>
      <c r="G366" s="125">
        <f t="shared" si="1"/>
        <v>58000</v>
      </c>
    </row>
    <row r="367" spans="1:7" ht="13.2" hidden="1">
      <c r="A367" s="155"/>
      <c r="B367" s="28" t="s">
        <v>1660</v>
      </c>
      <c r="C367" s="143" t="str">
        <f>VLOOKUP(B367,'Thống kê'!$C$3:$D$669,2,0)</f>
        <v>Móc khóa Popbean Skull Panda</v>
      </c>
      <c r="D367" s="144" t="str">
        <f>VLOOKUP(B367,'Thống kê'!$C$3:$E$682,3,0)</f>
        <v>cái</v>
      </c>
      <c r="E367" s="100">
        <v>58000</v>
      </c>
      <c r="F367" s="101">
        <v>1</v>
      </c>
      <c r="G367" s="125">
        <f t="shared" si="1"/>
        <v>58000</v>
      </c>
    </row>
    <row r="368" spans="1:7" ht="13.2" hidden="1">
      <c r="A368" s="155"/>
      <c r="B368" s="28" t="s">
        <v>1330</v>
      </c>
      <c r="C368" s="143" t="str">
        <f>VLOOKUP(B368,'Thống kê'!$C$3:$D$669,2,0)</f>
        <v>Móc khóa Popbean</v>
      </c>
      <c r="D368" s="144" t="str">
        <f>VLOOKUP(B368,'Thống kê'!$C$3:$E$682,3,0)</f>
        <v>cái</v>
      </c>
      <c r="E368" s="100">
        <v>58000</v>
      </c>
      <c r="F368" s="101">
        <v>1</v>
      </c>
      <c r="G368" s="125">
        <f t="shared" si="1"/>
        <v>58000</v>
      </c>
    </row>
    <row r="369" spans="1:7" ht="13.2" hidden="1">
      <c r="A369" s="155"/>
      <c r="B369" s="28" t="s">
        <v>1662</v>
      </c>
      <c r="C369" s="143" t="str">
        <f>VLOOKUP(B369,'Thống kê'!$C$3:$D$669,2,0)</f>
        <v>Móc khóa Popbean Cry Baby</v>
      </c>
      <c r="D369" s="144" t="str">
        <f>VLOOKUP(B369,'Thống kê'!$C$3:$E$682,3,0)</f>
        <v>cái</v>
      </c>
      <c r="E369" s="100">
        <v>58000</v>
      </c>
      <c r="F369" s="101">
        <v>1</v>
      </c>
      <c r="G369" s="125">
        <f t="shared" si="1"/>
        <v>58000</v>
      </c>
    </row>
    <row r="370" spans="1:7" ht="13.2" hidden="1">
      <c r="A370" s="155"/>
      <c r="B370" s="28" t="s">
        <v>1663</v>
      </c>
      <c r="C370" s="143" t="str">
        <f>VLOOKUP(B370,'Thống kê'!$C$3:$D$669,2,0)</f>
        <v>Móc khóa Popbean Zsiga</v>
      </c>
      <c r="D370" s="144" t="str">
        <f>VLOOKUP(B370,'Thống kê'!$C$3:$E$682,3,0)</f>
        <v>cái</v>
      </c>
      <c r="E370" s="100">
        <v>58000</v>
      </c>
      <c r="F370" s="101">
        <v>1</v>
      </c>
      <c r="G370" s="125">
        <f t="shared" si="1"/>
        <v>58000</v>
      </c>
    </row>
    <row r="371" spans="1:7" ht="13.2" hidden="1">
      <c r="A371" s="155"/>
      <c r="B371" s="28" t="s">
        <v>1661</v>
      </c>
      <c r="C371" s="143" t="str">
        <f>VLOOKUP(B371,'Thống kê'!$C$3:$D$669,2,0)</f>
        <v>Móc khóa Popbean Kubo</v>
      </c>
      <c r="D371" s="144" t="str">
        <f>VLOOKUP(B371,'Thống kê'!$C$3:$E$682,3,0)</f>
        <v>cái</v>
      </c>
      <c r="E371" s="100">
        <v>58000</v>
      </c>
      <c r="F371" s="101">
        <v>1</v>
      </c>
      <c r="G371" s="125">
        <f t="shared" si="1"/>
        <v>58000</v>
      </c>
    </row>
    <row r="372" spans="1:7" ht="13.2" hidden="1">
      <c r="A372" s="155"/>
      <c r="B372" s="28" t="s">
        <v>1334</v>
      </c>
      <c r="C372" s="143" t="str">
        <f>VLOOKUP(B372,'Thống kê'!$C$3:$D$669,2,0)</f>
        <v>Móc khóa Popbean</v>
      </c>
      <c r="D372" s="144" t="str">
        <f>VLOOKUP(B372,'Thống kê'!$C$3:$E$682,3,0)</f>
        <v>cái</v>
      </c>
      <c r="E372" s="100">
        <v>58000</v>
      </c>
      <c r="F372" s="101">
        <v>5</v>
      </c>
      <c r="G372" s="125">
        <f t="shared" si="1"/>
        <v>290000</v>
      </c>
    </row>
    <row r="373" spans="1:7" ht="13.2" hidden="1">
      <c r="A373" s="155"/>
      <c r="B373" s="28" t="s">
        <v>1335</v>
      </c>
      <c r="C373" s="143" t="str">
        <f>VLOOKUP(B373,'Thống kê'!$C$3:$D$669,2,0)</f>
        <v>Móc khóa Popbean</v>
      </c>
      <c r="D373" s="144" t="str">
        <f>VLOOKUP(B373,'Thống kê'!$C$3:$E$682,3,0)</f>
        <v>cái</v>
      </c>
      <c r="E373" s="100">
        <v>58000</v>
      </c>
      <c r="F373" s="101">
        <v>3</v>
      </c>
      <c r="G373" s="125">
        <f t="shared" si="1"/>
        <v>174000</v>
      </c>
    </row>
    <row r="374" spans="1:7" ht="13.2" hidden="1">
      <c r="A374" s="155"/>
      <c r="B374" s="28" t="s">
        <v>244</v>
      </c>
      <c r="C374" s="143" t="str">
        <f>VLOOKUP(B374,'Thống kê'!$C$3:$D$669,2,0)</f>
        <v>Móc khóa chuối</v>
      </c>
      <c r="D374" s="144" t="str">
        <f>VLOOKUP(B374,'Thống kê'!$C$3:$E$682,3,0)</f>
        <v>cái</v>
      </c>
      <c r="E374" s="100">
        <v>58000</v>
      </c>
      <c r="F374" s="101">
        <v>2</v>
      </c>
      <c r="G374" s="125">
        <f t="shared" si="1"/>
        <v>116000</v>
      </c>
    </row>
    <row r="375" spans="1:7" ht="13.2" hidden="1">
      <c r="A375" s="155"/>
      <c r="B375" s="28" t="s">
        <v>1337</v>
      </c>
      <c r="C375" s="143" t="str">
        <f>VLOOKUP(B375,'Thống kê'!$C$3:$D$669,2,0)</f>
        <v>Móc khóa chuối</v>
      </c>
      <c r="D375" s="144" t="str">
        <f>VLOOKUP(B375,'Thống kê'!$C$3:$E$682,3,0)</f>
        <v>cái</v>
      </c>
      <c r="E375" s="100">
        <v>58000</v>
      </c>
      <c r="F375" s="101">
        <v>2</v>
      </c>
      <c r="G375" s="125">
        <f t="shared" si="1"/>
        <v>116000</v>
      </c>
    </row>
    <row r="376" spans="1:7" ht="13.2" hidden="1">
      <c r="A376" s="155"/>
      <c r="B376" s="28" t="s">
        <v>1338</v>
      </c>
      <c r="C376" s="143" t="str">
        <f>VLOOKUP(B376,'Thống kê'!$C$3:$D$669,2,0)</f>
        <v>Móc khóa chuối</v>
      </c>
      <c r="D376" s="144" t="str">
        <f>VLOOKUP(B376,'Thống kê'!$C$3:$E$682,3,0)</f>
        <v>cái</v>
      </c>
      <c r="E376" s="100">
        <v>58000</v>
      </c>
      <c r="F376" s="101">
        <v>2</v>
      </c>
      <c r="G376" s="125">
        <f t="shared" si="1"/>
        <v>116000</v>
      </c>
    </row>
    <row r="377" spans="1:7" ht="13.2" hidden="1">
      <c r="A377" s="155"/>
      <c r="B377" s="28" t="s">
        <v>1339</v>
      </c>
      <c r="C377" s="143" t="str">
        <f>VLOOKUP(B377,'Thống kê'!$C$3:$D$669,2,0)</f>
        <v>Móc khóa chuối</v>
      </c>
      <c r="D377" s="144" t="str">
        <f>VLOOKUP(B377,'Thống kê'!$C$3:$E$682,3,0)</f>
        <v>cái</v>
      </c>
      <c r="E377" s="100">
        <v>58000</v>
      </c>
      <c r="F377" s="101">
        <v>2</v>
      </c>
      <c r="G377" s="125">
        <f t="shared" si="1"/>
        <v>116000</v>
      </c>
    </row>
    <row r="378" spans="1:7" ht="13.2" hidden="1">
      <c r="A378" s="155"/>
      <c r="B378" s="28" t="s">
        <v>1340</v>
      </c>
      <c r="C378" s="143" t="str">
        <f>VLOOKUP(B378,'Thống kê'!$C$3:$D$669,2,0)</f>
        <v>Móc khóa chuối</v>
      </c>
      <c r="D378" s="144" t="str">
        <f>VLOOKUP(B378,'Thống kê'!$C$3:$E$682,3,0)</f>
        <v>cái</v>
      </c>
      <c r="E378" s="100">
        <v>58000</v>
      </c>
      <c r="F378" s="101">
        <v>2</v>
      </c>
      <c r="G378" s="125">
        <f t="shared" si="1"/>
        <v>116000</v>
      </c>
    </row>
    <row r="379" spans="1:7" ht="13.2" hidden="1">
      <c r="A379" s="155"/>
      <c r="B379" s="28" t="s">
        <v>1341</v>
      </c>
      <c r="C379" s="143" t="str">
        <f>VLOOKUP(B379,'Thống kê'!$C$3:$D$669,2,0)</f>
        <v>Móc khóa chuối</v>
      </c>
      <c r="D379" s="144" t="str">
        <f>VLOOKUP(B379,'Thống kê'!$C$3:$E$682,3,0)</f>
        <v>cái</v>
      </c>
      <c r="E379" s="100">
        <v>58000</v>
      </c>
      <c r="F379" s="101">
        <v>2</v>
      </c>
      <c r="G379" s="125">
        <f t="shared" si="1"/>
        <v>116000</v>
      </c>
    </row>
    <row r="380" spans="1:7" ht="13.2" hidden="1">
      <c r="A380" s="155"/>
      <c r="B380" s="28" t="s">
        <v>1342</v>
      </c>
      <c r="C380" s="143" t="str">
        <f>VLOOKUP(B380,'Thống kê'!$C$3:$D$669,2,0)</f>
        <v>Móc khóa chuối</v>
      </c>
      <c r="D380" s="144" t="str">
        <f>VLOOKUP(B380,'Thống kê'!$C$3:$E$682,3,0)</f>
        <v>cái</v>
      </c>
      <c r="E380" s="100">
        <v>58000</v>
      </c>
      <c r="F380" s="101">
        <v>4</v>
      </c>
      <c r="G380" s="125">
        <f t="shared" si="1"/>
        <v>232000</v>
      </c>
    </row>
    <row r="381" spans="1:7" ht="13.2" hidden="1">
      <c r="A381" s="155"/>
      <c r="B381" s="28" t="s">
        <v>1343</v>
      </c>
      <c r="C381" s="143" t="str">
        <f>VLOOKUP(B381,'Thống kê'!$C$3:$D$669,2,0)</f>
        <v>Móc khóa chuối</v>
      </c>
      <c r="D381" s="144" t="str">
        <f>VLOOKUP(B381,'Thống kê'!$C$3:$E$682,3,0)</f>
        <v>cái</v>
      </c>
      <c r="E381" s="100">
        <v>58000</v>
      </c>
      <c r="F381" s="101">
        <v>2</v>
      </c>
      <c r="G381" s="125">
        <f t="shared" si="1"/>
        <v>116000</v>
      </c>
    </row>
    <row r="382" spans="1:7" ht="13.2" hidden="1">
      <c r="A382" s="155"/>
      <c r="B382" s="28" t="s">
        <v>170</v>
      </c>
      <c r="C382" s="143" t="str">
        <f>VLOOKUP(B382,'Thống kê'!$C$3:$D$669,2,0)</f>
        <v>Móc khóa chuối</v>
      </c>
      <c r="D382" s="144" t="str">
        <f>VLOOKUP(B382,'Thống kê'!$C$3:$E$682,3,0)</f>
        <v>cái</v>
      </c>
      <c r="E382" s="100">
        <v>58000</v>
      </c>
      <c r="F382" s="101">
        <v>4</v>
      </c>
      <c r="G382" s="125">
        <f t="shared" si="1"/>
        <v>232000</v>
      </c>
    </row>
    <row r="383" spans="1:7" ht="13.2" hidden="1">
      <c r="A383" s="155"/>
      <c r="B383" s="28" t="s">
        <v>1344</v>
      </c>
      <c r="C383" s="143" t="str">
        <f>VLOOKUP(B383,'Thống kê'!$C$3:$D$669,2,0)</f>
        <v>Móc khóa chuối</v>
      </c>
      <c r="D383" s="144" t="str">
        <f>VLOOKUP(B383,'Thống kê'!$C$3:$E$682,3,0)</f>
        <v>cái</v>
      </c>
      <c r="E383" s="100">
        <v>58000</v>
      </c>
      <c r="F383" s="101">
        <v>1</v>
      </c>
      <c r="G383" s="125">
        <f t="shared" si="1"/>
        <v>58000</v>
      </c>
    </row>
    <row r="384" spans="1:7" ht="13.2" hidden="1">
      <c r="A384" s="155"/>
      <c r="B384" s="28" t="s">
        <v>1345</v>
      </c>
      <c r="C384" s="143" t="str">
        <f>VLOOKUP(B384,'Thống kê'!$C$3:$D$669,2,0)</f>
        <v>Móc khóa chuối</v>
      </c>
      <c r="D384" s="144" t="str">
        <f>VLOOKUP(B384,'Thống kê'!$C$3:$E$682,3,0)</f>
        <v>cái</v>
      </c>
      <c r="E384" s="100">
        <v>58000</v>
      </c>
      <c r="F384" s="101">
        <v>1</v>
      </c>
      <c r="G384" s="125">
        <f t="shared" si="1"/>
        <v>58000</v>
      </c>
    </row>
    <row r="385" spans="1:7" ht="13.2" hidden="1">
      <c r="A385" s="155"/>
      <c r="B385" s="28" t="s">
        <v>1346</v>
      </c>
      <c r="C385" s="143" t="str">
        <f>VLOOKUP(B385,'Thống kê'!$C$3:$D$669,2,0)</f>
        <v>Móc khóa chuối</v>
      </c>
      <c r="D385" s="144" t="str">
        <f>VLOOKUP(B385,'Thống kê'!$C$3:$E$682,3,0)</f>
        <v>cái</v>
      </c>
      <c r="E385" s="100">
        <v>58000</v>
      </c>
      <c r="F385" s="101">
        <v>2</v>
      </c>
      <c r="G385" s="125">
        <f t="shared" si="1"/>
        <v>116000</v>
      </c>
    </row>
    <row r="386" spans="1:7" ht="13.2" hidden="1">
      <c r="A386" s="155">
        <v>45514</v>
      </c>
      <c r="B386" s="28" t="s">
        <v>150</v>
      </c>
      <c r="C386" s="143" t="str">
        <f>VLOOKUP(B386,'Thống kê'!$C$3:$D$669,2,0)</f>
        <v>Móc khóa có chuông</v>
      </c>
      <c r="D386" s="144" t="str">
        <f>VLOOKUP(B386,'Thống kê'!$C$3:$E$682,3,0)</f>
        <v>cái</v>
      </c>
      <c r="E386" s="100">
        <v>5.74</v>
      </c>
      <c r="F386" s="101">
        <v>30</v>
      </c>
      <c r="G386" s="125">
        <f t="shared" si="1"/>
        <v>172.20000000000002</v>
      </c>
    </row>
    <row r="387" spans="1:7" ht="13.2" hidden="1">
      <c r="A387" s="155"/>
      <c r="B387" s="28" t="s">
        <v>227</v>
      </c>
      <c r="C387" s="143" t="str">
        <f>VLOOKUP(B387,'Thống kê'!$C$3:$D$669,2,0)</f>
        <v>Móc khóa đôi corgy</v>
      </c>
      <c r="D387" s="144" t="str">
        <f>VLOOKUP(B387,'Thống kê'!$C$3:$E$682,3,0)</f>
        <v>cái</v>
      </c>
      <c r="E387" s="100">
        <v>5.74</v>
      </c>
      <c r="F387" s="101">
        <v>5</v>
      </c>
      <c r="G387" s="125">
        <f t="shared" si="1"/>
        <v>28.700000000000003</v>
      </c>
    </row>
    <row r="388" spans="1:7" ht="13.2" hidden="1">
      <c r="A388" s="155">
        <v>45517</v>
      </c>
      <c r="B388" s="28" t="s">
        <v>1645</v>
      </c>
      <c r="C388" s="143" t="str">
        <f>VLOOKUP(B388,'Thống kê'!$C$3:$D$669,2,0)</f>
        <v>Túi chườm bụng trái bơ 500ml</v>
      </c>
      <c r="D388" s="144" t="str">
        <f>VLOOKUP(B388,'Thống kê'!$C$3:$E$682,3,0)</f>
        <v>túi</v>
      </c>
      <c r="E388" s="100">
        <v>10.6</v>
      </c>
      <c r="F388" s="101">
        <v>2</v>
      </c>
      <c r="G388" s="125">
        <f t="shared" si="1"/>
        <v>21.2</v>
      </c>
    </row>
    <row r="389" spans="1:7" ht="13.2" hidden="1">
      <c r="A389" s="155"/>
      <c r="B389" s="28" t="s">
        <v>1649</v>
      </c>
      <c r="C389" s="143" t="str">
        <f>VLOOKUP(B389,'Thống kê'!$C$3:$D$669,2,0)</f>
        <v>Túi chườm bụng trái bơ 1000ml</v>
      </c>
      <c r="D389" s="144" t="str">
        <f>VLOOKUP(B389,'Thống kê'!$C$3:$E$682,3,0)</f>
        <v>túi</v>
      </c>
      <c r="E389" s="100">
        <v>12.9</v>
      </c>
      <c r="F389" s="101">
        <v>2</v>
      </c>
      <c r="G389" s="125">
        <f t="shared" si="1"/>
        <v>25.8</v>
      </c>
    </row>
    <row r="390" spans="1:7" ht="13.2" hidden="1">
      <c r="A390" s="155"/>
      <c r="B390" s="28" t="s">
        <v>1644</v>
      </c>
      <c r="C390" s="143" t="str">
        <f>VLOOKUP(B390,'Thống kê'!$C$3:$D$669,2,0)</f>
        <v>Túi chườm bụng dâu (xanh) 500ml</v>
      </c>
      <c r="D390" s="144" t="str">
        <f>VLOOKUP(B390,'Thống kê'!$C$3:$E$682,3,0)</f>
        <v>túi</v>
      </c>
      <c r="E390" s="100">
        <v>10.6</v>
      </c>
      <c r="F390" s="101">
        <v>2</v>
      </c>
      <c r="G390" s="125">
        <f t="shared" si="1"/>
        <v>21.2</v>
      </c>
    </row>
    <row r="391" spans="1:7" ht="13.2" hidden="1">
      <c r="A391" s="155"/>
      <c r="B391" s="28" t="s">
        <v>1650</v>
      </c>
      <c r="C391" s="143" t="str">
        <f>VLOOKUP(B391,'Thống kê'!$C$3:$D$669,2,0)</f>
        <v>Túi chườm bụng dâu (xanh) 1000ml</v>
      </c>
      <c r="D391" s="144" t="str">
        <f>VLOOKUP(B391,'Thống kê'!$C$3:$E$682,3,0)</f>
        <v>túi</v>
      </c>
      <c r="E391" s="100">
        <v>12.9</v>
      </c>
      <c r="F391" s="101">
        <v>2</v>
      </c>
      <c r="G391" s="125">
        <f t="shared" si="1"/>
        <v>25.8</v>
      </c>
    </row>
    <row r="392" spans="1:7" ht="13.2" hidden="1">
      <c r="A392" s="155"/>
      <c r="B392" s="28" t="s">
        <v>1646</v>
      </c>
      <c r="C392" s="143" t="str">
        <f>VLOOKUP(B392,'Thống kê'!$C$3:$D$669,2,0)</f>
        <v>Túi chườm bụng dâu (hồng đất) 500ml</v>
      </c>
      <c r="D392" s="144" t="str">
        <f>VLOOKUP(B392,'Thống kê'!$C$3:$E$682,3,0)</f>
        <v>túi</v>
      </c>
      <c r="E392" s="100">
        <v>10.6</v>
      </c>
      <c r="F392" s="101">
        <v>2</v>
      </c>
      <c r="G392" s="125">
        <f t="shared" si="1"/>
        <v>21.2</v>
      </c>
    </row>
    <row r="393" spans="1:7" ht="13.2" hidden="1">
      <c r="A393" s="155"/>
      <c r="B393" s="28" t="s">
        <v>1647</v>
      </c>
      <c r="C393" s="143" t="str">
        <f>VLOOKUP(B393,'Thống kê'!$C$3:$D$669,2,0)</f>
        <v>Túi chườm bụng dứa (xanh đậm) 500ml</v>
      </c>
      <c r="D393" s="144" t="str">
        <f>VLOOKUP(B393,'Thống kê'!$C$3:$E$682,3,0)</f>
        <v>túi</v>
      </c>
      <c r="E393" s="100">
        <v>10.6</v>
      </c>
      <c r="F393" s="101">
        <v>2</v>
      </c>
      <c r="G393" s="125">
        <f t="shared" si="1"/>
        <v>21.2</v>
      </c>
    </row>
    <row r="394" spans="1:7" ht="13.2" hidden="1">
      <c r="A394" s="155"/>
      <c r="B394" s="28" t="s">
        <v>1642</v>
      </c>
      <c r="C394" s="143" t="str">
        <f>VLOOKUP(B394,'Thống kê'!$C$3:$D$669,2,0)</f>
        <v>Túi chườm bụng dứa (xanh đậm) 1000ml</v>
      </c>
      <c r="D394" s="144" t="str">
        <f>VLOOKUP(B394,'Thống kê'!$C$3:$E$682,3,0)</f>
        <v>túi</v>
      </c>
      <c r="E394" s="100">
        <v>12.9</v>
      </c>
      <c r="F394" s="101">
        <v>2</v>
      </c>
      <c r="G394" s="125">
        <f t="shared" si="1"/>
        <v>25.8</v>
      </c>
    </row>
    <row r="395" spans="1:7" ht="13.2" hidden="1">
      <c r="A395" s="155"/>
      <c r="B395" s="28" t="s">
        <v>1648</v>
      </c>
      <c r="C395" s="143" t="str">
        <f>VLOOKUP(B395,'Thống kê'!$C$3:$D$669,2,0)</f>
        <v>Túi chườm bụng thỏ và dứa 1000ml</v>
      </c>
      <c r="D395" s="144" t="str">
        <f>VLOOKUP(B395,'Thống kê'!$C$3:$E$682,3,0)</f>
        <v>túi</v>
      </c>
      <c r="E395" s="100">
        <v>12.9</v>
      </c>
      <c r="F395" s="101">
        <v>2</v>
      </c>
      <c r="G395" s="125">
        <f t="shared" si="1"/>
        <v>25.8</v>
      </c>
    </row>
    <row r="396" spans="1:7" ht="13.2" hidden="1">
      <c r="A396" s="155"/>
      <c r="B396" s="28" t="s">
        <v>1347</v>
      </c>
      <c r="C396" s="143" t="str">
        <f>VLOOKUP(B396,'Thống kê'!$C$3:$D$669,2,0)</f>
        <v>Túi chườm bụng 500ml</v>
      </c>
      <c r="D396" s="144" t="str">
        <f>VLOOKUP(B396,'Thống kê'!$C$3:$E$682,3,0)</f>
        <v>túi</v>
      </c>
      <c r="E396" s="100">
        <v>10.7</v>
      </c>
      <c r="F396" s="101">
        <v>4</v>
      </c>
      <c r="G396" s="125">
        <f t="shared" si="1"/>
        <v>42.8</v>
      </c>
    </row>
    <row r="397" spans="1:7" ht="13.2" hidden="1">
      <c r="A397" s="155"/>
      <c r="B397" s="28" t="s">
        <v>1337</v>
      </c>
      <c r="C397" s="143" t="str">
        <f>VLOOKUP(B397,'Thống kê'!$C$3:$D$669,2,0)</f>
        <v>Móc khóa chuối</v>
      </c>
      <c r="D397" s="144" t="str">
        <f>VLOOKUP(B397,'Thống kê'!$C$3:$E$682,3,0)</f>
        <v>cái</v>
      </c>
      <c r="E397" s="93"/>
      <c r="F397" s="101">
        <v>3</v>
      </c>
      <c r="G397" s="125">
        <f t="shared" si="1"/>
        <v>0</v>
      </c>
    </row>
    <row r="398" spans="1:7" ht="13.2" hidden="1">
      <c r="A398" s="155"/>
      <c r="B398" s="28" t="s">
        <v>1338</v>
      </c>
      <c r="C398" s="143" t="str">
        <f>VLOOKUP(B398,'Thống kê'!$C$3:$D$669,2,0)</f>
        <v>Móc khóa chuối</v>
      </c>
      <c r="D398" s="144" t="str">
        <f>VLOOKUP(B398,'Thống kê'!$C$3:$E$682,3,0)</f>
        <v>cái</v>
      </c>
      <c r="E398" s="93"/>
      <c r="F398" s="101">
        <v>4</v>
      </c>
      <c r="G398" s="125">
        <f t="shared" si="1"/>
        <v>0</v>
      </c>
    </row>
    <row r="399" spans="1:7" ht="13.2" hidden="1">
      <c r="A399" s="155"/>
      <c r="B399" s="28" t="s">
        <v>1339</v>
      </c>
      <c r="C399" s="143" t="str">
        <f>VLOOKUP(B399,'Thống kê'!$C$3:$D$669,2,0)</f>
        <v>Móc khóa chuối</v>
      </c>
      <c r="D399" s="144" t="str">
        <f>VLOOKUP(B399,'Thống kê'!$C$3:$E$682,3,0)</f>
        <v>cái</v>
      </c>
      <c r="E399" s="93"/>
      <c r="F399" s="101">
        <v>3</v>
      </c>
      <c r="G399" s="125">
        <f t="shared" si="1"/>
        <v>0</v>
      </c>
    </row>
    <row r="400" spans="1:7" ht="13.2" hidden="1">
      <c r="A400" s="155"/>
      <c r="B400" s="28" t="s">
        <v>1340</v>
      </c>
      <c r="C400" s="143" t="str">
        <f>VLOOKUP(B400,'Thống kê'!$C$3:$D$669,2,0)</f>
        <v>Móc khóa chuối</v>
      </c>
      <c r="D400" s="144" t="str">
        <f>VLOOKUP(B400,'Thống kê'!$C$3:$E$682,3,0)</f>
        <v>cái</v>
      </c>
      <c r="E400" s="93"/>
      <c r="F400" s="101">
        <v>4</v>
      </c>
      <c r="G400" s="100"/>
    </row>
    <row r="401" spans="1:7" ht="13.2" hidden="1">
      <c r="A401" s="155"/>
      <c r="B401" s="28" t="s">
        <v>1341</v>
      </c>
      <c r="C401" s="143" t="str">
        <f>VLOOKUP(B401,'Thống kê'!$C$3:$D$669,2,0)</f>
        <v>Móc khóa chuối</v>
      </c>
      <c r="D401" s="144" t="str">
        <f>VLOOKUP(B401,'Thống kê'!$C$3:$E$682,3,0)</f>
        <v>cái</v>
      </c>
      <c r="E401" s="93"/>
      <c r="F401" s="101">
        <v>4</v>
      </c>
      <c r="G401" s="100"/>
    </row>
    <row r="402" spans="1:7" ht="13.2" hidden="1">
      <c r="A402" s="155"/>
      <c r="B402" s="28" t="s">
        <v>1342</v>
      </c>
      <c r="C402" s="143" t="str">
        <f>VLOOKUP(B402,'Thống kê'!$C$3:$D$669,2,0)</f>
        <v>Móc khóa chuối</v>
      </c>
      <c r="D402" s="144" t="str">
        <f>VLOOKUP(B402,'Thống kê'!$C$3:$E$682,3,0)</f>
        <v>cái</v>
      </c>
      <c r="E402" s="93"/>
      <c r="F402" s="101">
        <v>8</v>
      </c>
      <c r="G402" s="93"/>
    </row>
    <row r="403" spans="1:7" ht="13.2" hidden="1">
      <c r="A403" s="155"/>
      <c r="B403" s="28" t="s">
        <v>1343</v>
      </c>
      <c r="C403" s="143" t="str">
        <f>VLOOKUP(B403,'Thống kê'!$C$3:$D$669,2,0)</f>
        <v>Móc khóa chuối</v>
      </c>
      <c r="D403" s="144" t="str">
        <f>VLOOKUP(B403,'Thống kê'!$C$3:$E$682,3,0)</f>
        <v>cái</v>
      </c>
      <c r="E403" s="93"/>
      <c r="F403" s="101">
        <v>5</v>
      </c>
      <c r="G403" s="93"/>
    </row>
    <row r="404" spans="1:7" ht="13.2" hidden="1">
      <c r="A404" s="155"/>
      <c r="B404" s="28" t="s">
        <v>170</v>
      </c>
      <c r="C404" s="143" t="str">
        <f>VLOOKUP(B404,'Thống kê'!$C$3:$D$669,2,0)</f>
        <v>Móc khóa chuối</v>
      </c>
      <c r="D404" s="144" t="str">
        <f>VLOOKUP(B404,'Thống kê'!$C$3:$E$682,3,0)</f>
        <v>cái</v>
      </c>
      <c r="E404" s="93"/>
      <c r="F404" s="101">
        <v>5</v>
      </c>
      <c r="G404" s="93"/>
    </row>
    <row r="405" spans="1:7" ht="13.2" hidden="1">
      <c r="A405" s="155"/>
      <c r="B405" s="28" t="s">
        <v>1344</v>
      </c>
      <c r="C405" s="143" t="str">
        <f>VLOOKUP(B405,'Thống kê'!$C$3:$D$669,2,0)</f>
        <v>Móc khóa chuối</v>
      </c>
      <c r="D405" s="144" t="str">
        <f>VLOOKUP(B405,'Thống kê'!$C$3:$E$682,3,0)</f>
        <v>cái</v>
      </c>
      <c r="E405" s="93"/>
      <c r="F405" s="101">
        <v>4</v>
      </c>
      <c r="G405" s="93"/>
    </row>
    <row r="406" spans="1:7" ht="13.2" hidden="1">
      <c r="A406" s="155"/>
      <c r="B406" s="28" t="s">
        <v>1345</v>
      </c>
      <c r="C406" s="143" t="str">
        <f>VLOOKUP(B406,'Thống kê'!$C$3:$D$669,2,0)</f>
        <v>Móc khóa chuối</v>
      </c>
      <c r="D406" s="144" t="str">
        <f>VLOOKUP(B406,'Thống kê'!$C$3:$E$682,3,0)</f>
        <v>cái</v>
      </c>
      <c r="E406" s="93"/>
      <c r="F406" s="101">
        <v>2</v>
      </c>
      <c r="G406" s="93"/>
    </row>
    <row r="407" spans="1:7" ht="13.2" hidden="1">
      <c r="A407" s="155"/>
      <c r="B407" s="28" t="s">
        <v>1346</v>
      </c>
      <c r="C407" s="143" t="str">
        <f>VLOOKUP(B407,'Thống kê'!$C$3:$D$669,2,0)</f>
        <v>Móc khóa chuối</v>
      </c>
      <c r="D407" s="144" t="str">
        <f>VLOOKUP(B407,'Thống kê'!$C$3:$E$682,3,0)</f>
        <v>cái</v>
      </c>
      <c r="E407" s="93"/>
      <c r="F407" s="101">
        <v>4</v>
      </c>
      <c r="G407" s="93"/>
    </row>
    <row r="408" spans="1:7" ht="13.2" hidden="1">
      <c r="A408" s="155"/>
      <c r="B408" s="28" t="s">
        <v>1343</v>
      </c>
      <c r="C408" s="143" t="str">
        <f>VLOOKUP(B408,'Thống kê'!$C$3:$D$669,2,0)</f>
        <v>Móc khóa chuối</v>
      </c>
      <c r="D408" s="144" t="str">
        <f>VLOOKUP(B408,'Thống kê'!$C$3:$E$682,3,0)</f>
        <v>cái</v>
      </c>
      <c r="E408" s="93"/>
      <c r="F408" s="101">
        <v>3</v>
      </c>
      <c r="G408" s="93"/>
    </row>
    <row r="409" spans="1:7" ht="13.2" hidden="1">
      <c r="A409" s="155"/>
      <c r="B409" s="28" t="s">
        <v>1330</v>
      </c>
      <c r="C409" s="143" t="str">
        <f>VLOOKUP(B409,'Thống kê'!$C$3:$D$669,2,0)</f>
        <v>Móc khóa Popbean</v>
      </c>
      <c r="D409" s="144" t="str">
        <f>VLOOKUP(B409,'Thống kê'!$C$3:$E$682,3,0)</f>
        <v>cái</v>
      </c>
      <c r="E409" s="93"/>
      <c r="F409" s="101">
        <v>8</v>
      </c>
      <c r="G409" s="93"/>
    </row>
    <row r="410" spans="1:7" ht="13.2" hidden="1">
      <c r="A410" s="155"/>
      <c r="B410" s="28" t="s">
        <v>1661</v>
      </c>
      <c r="C410" s="143" t="str">
        <f>VLOOKUP(B410,'Thống kê'!$C$3:$D$669,2,0)</f>
        <v>Móc khóa Popbean Kubo</v>
      </c>
      <c r="D410" s="144" t="str">
        <f>VLOOKUP(B410,'Thống kê'!$C$3:$E$682,3,0)</f>
        <v>cái</v>
      </c>
      <c r="E410" s="93"/>
      <c r="F410" s="101">
        <v>8</v>
      </c>
      <c r="G410" s="93"/>
    </row>
    <row r="411" spans="1:7" ht="13.2" hidden="1">
      <c r="A411" s="155"/>
      <c r="B411" s="28" t="s">
        <v>1663</v>
      </c>
      <c r="C411" s="143" t="str">
        <f>VLOOKUP(B411,'Thống kê'!$C$3:$D$669,2,0)</f>
        <v>Móc khóa Popbean Zsiga</v>
      </c>
      <c r="D411" s="144" t="str">
        <f>VLOOKUP(B411,'Thống kê'!$C$3:$E$682,3,0)</f>
        <v>cái</v>
      </c>
      <c r="E411" s="93"/>
      <c r="F411" s="101">
        <v>9</v>
      </c>
      <c r="G411" s="93"/>
    </row>
    <row r="412" spans="1:7" ht="13.2" hidden="1">
      <c r="A412" s="155"/>
      <c r="B412" s="28" t="s">
        <v>245</v>
      </c>
      <c r="C412" s="143" t="str">
        <f>VLOOKUP(B412,'Thống kê'!$C$3:$D$669,2,0)</f>
        <v>Móc khóa Popbean</v>
      </c>
      <c r="D412" s="144" t="str">
        <f>VLOOKUP(B412,'Thống kê'!$C$3:$E$682,3,0)</f>
        <v>cái</v>
      </c>
      <c r="E412" s="100"/>
      <c r="F412" s="101">
        <v>35</v>
      </c>
      <c r="G412" s="100"/>
    </row>
    <row r="413" spans="1:7" ht="13.2" hidden="1">
      <c r="A413" s="155"/>
      <c r="B413" s="28" t="s">
        <v>1364</v>
      </c>
      <c r="C413" s="143" t="str">
        <f>VLOOKUP(B413,'Thống kê'!$C$3:$D$669,2,0)</f>
        <v>Móc khóa Popbean</v>
      </c>
      <c r="D413" s="144" t="str">
        <f>VLOOKUP(B413,'Thống kê'!$C$3:$E$682,3,0)</f>
        <v>cái</v>
      </c>
      <c r="E413" s="93"/>
      <c r="F413" s="101">
        <v>10</v>
      </c>
      <c r="G413" s="93"/>
    </row>
    <row r="414" spans="1:7" ht="13.2" hidden="1">
      <c r="A414" s="155"/>
      <c r="B414" s="28" t="s">
        <v>1365</v>
      </c>
      <c r="C414" s="143" t="str">
        <f>VLOOKUP(B414,'Thống kê'!$C$3:$D$669,2,0)</f>
        <v>Móc khóa Popbean</v>
      </c>
      <c r="D414" s="144" t="str">
        <f>VLOOKUP(B414,'Thống kê'!$C$3:$E$682,3,0)</f>
        <v>cái</v>
      </c>
      <c r="E414" s="93"/>
      <c r="F414" s="101">
        <v>3</v>
      </c>
      <c r="G414" s="93"/>
    </row>
    <row r="415" spans="1:7" ht="13.2" hidden="1">
      <c r="A415" s="155"/>
      <c r="B415" s="28" t="s">
        <v>165</v>
      </c>
      <c r="C415" s="143" t="str">
        <f>VLOOKUP(B415,'Thống kê'!$C$3:$D$669,2,0)</f>
        <v>Móc khóa Popbean</v>
      </c>
      <c r="D415" s="144" t="str">
        <f>VLOOKUP(B415,'Thống kê'!$C$3:$E$682,3,0)</f>
        <v>cái</v>
      </c>
      <c r="E415" s="93"/>
      <c r="F415" s="101">
        <v>5</v>
      </c>
      <c r="G415" s="93"/>
    </row>
    <row r="416" spans="1:7" ht="13.2" hidden="1">
      <c r="A416" s="155"/>
      <c r="B416" s="28" t="s">
        <v>1366</v>
      </c>
      <c r="C416" s="143" t="str">
        <f>VLOOKUP(B416,'Thống kê'!$C$3:$D$669,2,0)</f>
        <v>Móc khóa Popbean</v>
      </c>
      <c r="D416" s="144" t="str">
        <f>VLOOKUP(B416,'Thống kê'!$C$3:$E$682,3,0)</f>
        <v>cái</v>
      </c>
      <c r="E416" s="93"/>
      <c r="F416" s="101">
        <v>1</v>
      </c>
      <c r="G416" s="93"/>
    </row>
    <row r="417" spans="1:7" ht="13.2" hidden="1">
      <c r="A417" s="155"/>
      <c r="B417" s="28" t="s">
        <v>1367</v>
      </c>
      <c r="C417" s="143" t="str">
        <f>VLOOKUP(B417,'Thống kê'!$C$3:$D$669,2,0)</f>
        <v>Móc khóa Popbean</v>
      </c>
      <c r="D417" s="144" t="str">
        <f>VLOOKUP(B417,'Thống kê'!$C$3:$E$682,3,0)</f>
        <v>cái</v>
      </c>
      <c r="E417" s="93"/>
      <c r="F417" s="101">
        <v>5</v>
      </c>
      <c r="G417" s="93"/>
    </row>
    <row r="418" spans="1:7" ht="13.2" hidden="1">
      <c r="A418" s="155">
        <v>45503</v>
      </c>
      <c r="B418" s="28" t="s">
        <v>1639</v>
      </c>
      <c r="C418" s="143" t="str">
        <f>VLOOKUP(B418,'Thống kê'!$C$3:$D$669,2,0)</f>
        <v>Móc khóa đôi Puppy</v>
      </c>
      <c r="D418" s="144" t="str">
        <f>VLOOKUP(B418,'Thống kê'!$C$3:$E$682,3,0)</f>
        <v>cái</v>
      </c>
      <c r="E418" s="100">
        <v>6.8</v>
      </c>
      <c r="F418" s="101">
        <v>10</v>
      </c>
      <c r="G418" s="93"/>
    </row>
    <row r="419" spans="1:7" ht="13.2" hidden="1">
      <c r="A419" s="155"/>
      <c r="B419" s="28" t="s">
        <v>1624</v>
      </c>
      <c r="C419" s="143" t="str">
        <f>VLOOKUP(B419,'Thống kê'!$C$3:$D$669,2,0)</f>
        <v>Móc khóa mèo trái tim</v>
      </c>
      <c r="D419" s="144" t="str">
        <f>VLOOKUP(B419,'Thống kê'!$C$3:$E$682,3,0)</f>
        <v>cái</v>
      </c>
      <c r="E419" s="100">
        <v>6.8</v>
      </c>
      <c r="F419" s="101">
        <v>20</v>
      </c>
      <c r="G419" s="93"/>
    </row>
    <row r="420" spans="1:7" ht="13.2" hidden="1">
      <c r="A420" s="155"/>
      <c r="B420" s="28" t="s">
        <v>1640</v>
      </c>
      <c r="C420" s="143" t="str">
        <f>VLOOKUP(B420,'Thống kê'!$C$3:$D$669,2,0)</f>
        <v>Móc khóa đôi Capypara</v>
      </c>
      <c r="D420" s="144" t="str">
        <f>VLOOKUP(B420,'Thống kê'!$C$3:$E$682,3,0)</f>
        <v>cái</v>
      </c>
      <c r="E420" s="100">
        <v>6.8</v>
      </c>
      <c r="F420" s="101">
        <v>5</v>
      </c>
      <c r="G420" s="93"/>
    </row>
    <row r="421" spans="1:7" ht="13.2" hidden="1">
      <c r="A421" s="155"/>
      <c r="B421" s="28" t="s">
        <v>1625</v>
      </c>
      <c r="C421" s="143" t="str">
        <f>VLOOKUP(B421,'Thống kê'!$C$3:$D$669,2,0)</f>
        <v>Móc khóa đôi 2 mèo trắng nâu</v>
      </c>
      <c r="D421" s="144" t="str">
        <f>VLOOKUP(B421,'Thống kê'!$C$3:$E$682,3,0)</f>
        <v>cái</v>
      </c>
      <c r="E421" s="100">
        <v>6.8</v>
      </c>
      <c r="F421" s="101">
        <v>15</v>
      </c>
      <c r="G421" s="93"/>
    </row>
    <row r="422" spans="1:7" ht="13.2" hidden="1">
      <c r="A422" s="155">
        <v>45504</v>
      </c>
      <c r="B422" s="28" t="s">
        <v>244</v>
      </c>
      <c r="C422" s="143" t="str">
        <f>VLOOKUP(B422,'Thống kê'!$C$3:$D$669,2,0)</f>
        <v>Móc khóa chuối</v>
      </c>
      <c r="D422" s="144" t="str">
        <f>VLOOKUP(B422,'Thống kê'!$C$3:$E$682,3,0)</f>
        <v>cái</v>
      </c>
      <c r="E422" s="93"/>
      <c r="F422" s="101">
        <v>4</v>
      </c>
      <c r="G422" s="93"/>
    </row>
    <row r="423" spans="1:7" ht="13.2" hidden="1">
      <c r="A423" s="155"/>
      <c r="B423" s="28" t="s">
        <v>1337</v>
      </c>
      <c r="C423" s="143" t="str">
        <f>VLOOKUP(B423,'Thống kê'!$C$3:$D$669,2,0)</f>
        <v>Móc khóa chuối</v>
      </c>
      <c r="D423" s="144" t="str">
        <f>VLOOKUP(B423,'Thống kê'!$C$3:$E$682,3,0)</f>
        <v>cái</v>
      </c>
      <c r="E423" s="93"/>
      <c r="F423" s="101">
        <v>1</v>
      </c>
      <c r="G423" s="93"/>
    </row>
    <row r="424" spans="1:7" ht="13.2" hidden="1">
      <c r="A424" s="155"/>
      <c r="B424" s="28" t="s">
        <v>1338</v>
      </c>
      <c r="C424" s="143" t="str">
        <f>VLOOKUP(B424,'Thống kê'!$C$3:$D$669,2,0)</f>
        <v>Móc khóa chuối</v>
      </c>
      <c r="D424" s="144" t="str">
        <f>VLOOKUP(B424,'Thống kê'!$C$3:$E$682,3,0)</f>
        <v>cái</v>
      </c>
      <c r="E424" s="93"/>
      <c r="F424" s="101">
        <v>4</v>
      </c>
      <c r="G424" s="93"/>
    </row>
    <row r="425" spans="1:7" ht="13.2" hidden="1">
      <c r="A425" s="155"/>
      <c r="B425" s="28" t="s">
        <v>1339</v>
      </c>
      <c r="C425" s="143" t="str">
        <f>VLOOKUP(B425,'Thống kê'!$C$3:$D$669,2,0)</f>
        <v>Móc khóa chuối</v>
      </c>
      <c r="D425" s="144" t="str">
        <f>VLOOKUP(B425,'Thống kê'!$C$3:$E$682,3,0)</f>
        <v>cái</v>
      </c>
      <c r="E425" s="93"/>
      <c r="F425" s="101">
        <v>1</v>
      </c>
      <c r="G425" s="93"/>
    </row>
    <row r="426" spans="1:7" ht="13.2" hidden="1">
      <c r="A426" s="155"/>
      <c r="B426" s="28" t="s">
        <v>1340</v>
      </c>
      <c r="C426" s="143" t="str">
        <f>VLOOKUP(B426,'Thống kê'!$C$3:$D$669,2,0)</f>
        <v>Móc khóa chuối</v>
      </c>
      <c r="D426" s="144" t="str">
        <f>VLOOKUP(B426,'Thống kê'!$C$3:$E$682,3,0)</f>
        <v>cái</v>
      </c>
      <c r="E426" s="93"/>
      <c r="F426" s="101">
        <v>4</v>
      </c>
      <c r="G426" s="93"/>
    </row>
    <row r="427" spans="1:7" ht="13.2" hidden="1">
      <c r="A427" s="155"/>
      <c r="B427" s="28" t="s">
        <v>1341</v>
      </c>
      <c r="C427" s="143" t="str">
        <f>VLOOKUP(B427,'Thống kê'!$C$3:$D$669,2,0)</f>
        <v>Móc khóa chuối</v>
      </c>
      <c r="D427" s="144" t="str">
        <f>VLOOKUP(B427,'Thống kê'!$C$3:$E$682,3,0)</f>
        <v>cái</v>
      </c>
      <c r="E427" s="93"/>
      <c r="F427" s="101">
        <v>1</v>
      </c>
      <c r="G427" s="93"/>
    </row>
    <row r="428" spans="1:7" ht="13.2" hidden="1">
      <c r="A428" s="155"/>
      <c r="B428" s="28" t="s">
        <v>1342</v>
      </c>
      <c r="C428" s="143" t="str">
        <f>VLOOKUP(B428,'Thống kê'!$C$3:$D$669,2,0)</f>
        <v>Móc khóa chuối</v>
      </c>
      <c r="D428" s="144" t="str">
        <f>VLOOKUP(B428,'Thống kê'!$C$3:$E$682,3,0)</f>
        <v>cái</v>
      </c>
      <c r="E428" s="93"/>
      <c r="F428" s="101">
        <v>2</v>
      </c>
      <c r="G428" s="93"/>
    </row>
    <row r="429" spans="1:7" ht="13.2" hidden="1">
      <c r="A429" s="155"/>
      <c r="B429" s="28" t="s">
        <v>1343</v>
      </c>
      <c r="C429" s="143" t="str">
        <f>VLOOKUP(B429,'Thống kê'!$C$3:$D$669,2,0)</f>
        <v>Móc khóa chuối</v>
      </c>
      <c r="D429" s="144" t="str">
        <f>VLOOKUP(B429,'Thống kê'!$C$3:$E$682,3,0)</f>
        <v>cái</v>
      </c>
      <c r="E429" s="93"/>
      <c r="F429" s="101">
        <v>1</v>
      </c>
      <c r="G429" s="93"/>
    </row>
    <row r="430" spans="1:7" ht="13.2" hidden="1">
      <c r="A430" s="155"/>
      <c r="B430" s="28" t="s">
        <v>170</v>
      </c>
      <c r="C430" s="143" t="str">
        <f>VLOOKUP(B430,'Thống kê'!$C$3:$D$669,2,0)</f>
        <v>Móc khóa chuối</v>
      </c>
      <c r="D430" s="144" t="str">
        <f>VLOOKUP(B430,'Thống kê'!$C$3:$E$682,3,0)</f>
        <v>cái</v>
      </c>
      <c r="E430" s="93"/>
      <c r="F430" s="101">
        <v>2</v>
      </c>
      <c r="G430" s="93"/>
    </row>
    <row r="431" spans="1:7" ht="13.2" hidden="1">
      <c r="A431" s="155"/>
      <c r="B431" s="28" t="s">
        <v>1344</v>
      </c>
      <c r="C431" s="143" t="str">
        <f>VLOOKUP(B431,'Thống kê'!$C$3:$D$669,2,0)</f>
        <v>Móc khóa chuối</v>
      </c>
      <c r="D431" s="144" t="str">
        <f>VLOOKUP(B431,'Thống kê'!$C$3:$E$682,3,0)</f>
        <v>cái</v>
      </c>
      <c r="E431" s="93"/>
      <c r="F431" s="101">
        <v>1</v>
      </c>
      <c r="G431" s="93"/>
    </row>
    <row r="432" spans="1:7" ht="13.2" hidden="1">
      <c r="A432" s="155"/>
      <c r="B432" s="28" t="s">
        <v>1345</v>
      </c>
      <c r="C432" s="143" t="str">
        <f>VLOOKUP(B432,'Thống kê'!$C$3:$D$669,2,0)</f>
        <v>Móc khóa chuối</v>
      </c>
      <c r="D432" s="144" t="str">
        <f>VLOOKUP(B432,'Thống kê'!$C$3:$E$682,3,0)</f>
        <v>cái</v>
      </c>
      <c r="E432" s="93"/>
      <c r="F432" s="101">
        <v>5</v>
      </c>
      <c r="G432" s="93"/>
    </row>
    <row r="433" spans="1:7" ht="13.2" hidden="1">
      <c r="A433" s="155"/>
      <c r="B433" s="28" t="s">
        <v>1346</v>
      </c>
      <c r="C433" s="143" t="str">
        <f>VLOOKUP(B433,'Thống kê'!$C$3:$D$669,2,0)</f>
        <v>Móc khóa chuối</v>
      </c>
      <c r="D433" s="144" t="str">
        <f>VLOOKUP(B433,'Thống kê'!$C$3:$E$682,3,0)</f>
        <v>cái</v>
      </c>
      <c r="E433" s="93"/>
      <c r="F433" s="101">
        <v>1</v>
      </c>
      <c r="G433" s="93"/>
    </row>
    <row r="434" spans="1:7" ht="13.2" hidden="1">
      <c r="A434" s="155">
        <v>45506</v>
      </c>
      <c r="B434" s="28" t="s">
        <v>1351</v>
      </c>
      <c r="C434" s="143" t="str">
        <f>VLOOKUP(B434,'Thống kê'!$C$3:$D$669,2,0)</f>
        <v>Trang trí mô hình Heo</v>
      </c>
      <c r="D434" s="144" t="str">
        <f>VLOOKUP(B434,'Thống kê'!$C$3:$E$682,3,0)</f>
        <v>cái</v>
      </c>
      <c r="E434" s="100">
        <v>3.78</v>
      </c>
      <c r="F434" s="101">
        <v>20</v>
      </c>
      <c r="G434" s="93"/>
    </row>
    <row r="435" spans="1:7" ht="13.2" hidden="1">
      <c r="A435" s="155"/>
      <c r="B435" s="28" t="s">
        <v>310</v>
      </c>
      <c r="C435" s="143" t="str">
        <f>VLOOKUP(B435,'Thống kê'!$C$3:$D$669,2,0)</f>
        <v>Trang trí mô hình Heo</v>
      </c>
      <c r="D435" s="144" t="str">
        <f>VLOOKUP(B435,'Thống kê'!$C$3:$E$682,3,0)</f>
        <v>cái</v>
      </c>
      <c r="E435" s="100">
        <v>3.78</v>
      </c>
      <c r="F435" s="101">
        <v>25</v>
      </c>
      <c r="G435" s="93"/>
    </row>
    <row r="436" spans="1:7" ht="13.2" hidden="1">
      <c r="A436" s="155"/>
      <c r="B436" s="28" t="s">
        <v>1353</v>
      </c>
      <c r="C436" s="143" t="str">
        <f>VLOOKUP(B436,'Thống kê'!$C$3:$D$669,2,0)</f>
        <v>Trang trí mô hình Vịt</v>
      </c>
      <c r="D436" s="144" t="str">
        <f>VLOOKUP(B436,'Thống kê'!$C$3:$E$682,3,0)</f>
        <v>cái</v>
      </c>
      <c r="E436" s="100">
        <v>3.78</v>
      </c>
      <c r="F436" s="101">
        <v>20</v>
      </c>
      <c r="G436" s="93"/>
    </row>
    <row r="437" spans="1:7" ht="13.2" hidden="1">
      <c r="A437" s="155"/>
      <c r="B437" s="28" t="s">
        <v>1355</v>
      </c>
      <c r="C437" s="143" t="str">
        <f>VLOOKUP(B437,'Thống kê'!$C$3:$D$669,2,0)</f>
        <v>Trang trí mô hình Gấu</v>
      </c>
      <c r="D437" s="144" t="str">
        <f>VLOOKUP(B437,'Thống kê'!$C$3:$E$682,3,0)</f>
        <v>cái</v>
      </c>
      <c r="E437" s="100">
        <v>3.78</v>
      </c>
      <c r="F437" s="101">
        <v>5</v>
      </c>
      <c r="G437" s="93"/>
    </row>
    <row r="438" spans="1:7" ht="13.2" hidden="1">
      <c r="A438" s="155"/>
      <c r="B438" s="28" t="s">
        <v>1357</v>
      </c>
      <c r="C438" s="143" t="str">
        <f>VLOOKUP(B438,'Thống kê'!$C$3:$D$669,2,0)</f>
        <v>Trang trí mô hình Thỏ</v>
      </c>
      <c r="D438" s="144" t="str">
        <f>VLOOKUP(B438,'Thống kê'!$C$3:$E$682,3,0)</f>
        <v>cái</v>
      </c>
      <c r="E438" s="100">
        <v>3.78</v>
      </c>
      <c r="F438" s="101">
        <v>20</v>
      </c>
      <c r="G438" s="93"/>
    </row>
    <row r="439" spans="1:7" ht="13.2" hidden="1">
      <c r="A439" s="155"/>
      <c r="B439" s="28" t="s">
        <v>1359</v>
      </c>
      <c r="C439" s="143" t="str">
        <f>VLOOKUP(B439,'Thống kê'!$C$3:$D$669,2,0)</f>
        <v>Trang trí mô hình Cún</v>
      </c>
      <c r="D439" s="144" t="str">
        <f>VLOOKUP(B439,'Thống kê'!$C$3:$E$682,3,0)</f>
        <v>cái</v>
      </c>
      <c r="E439" s="100">
        <v>3.78</v>
      </c>
      <c r="F439" s="101">
        <v>10</v>
      </c>
      <c r="G439" s="93"/>
    </row>
    <row r="440" spans="1:7" ht="13.2" hidden="1">
      <c r="A440" s="155"/>
      <c r="B440" s="28" t="s">
        <v>115</v>
      </c>
      <c r="C440" s="143" t="str">
        <f>VLOOKUP(B440,'Thống kê'!$C$3:$D$669,2,0)</f>
        <v>Heo ú</v>
      </c>
      <c r="D440" s="144" t="str">
        <f>VLOOKUP(B440,'Thống kê'!$C$3:$E$682,3,0)</f>
        <v>cái</v>
      </c>
      <c r="E440" s="100">
        <v>7.31</v>
      </c>
      <c r="F440" s="101">
        <v>20</v>
      </c>
      <c r="G440" s="93"/>
    </row>
    <row r="441" spans="1:7" ht="13.2" hidden="1">
      <c r="A441" s="155"/>
      <c r="B441" s="28" t="s">
        <v>325</v>
      </c>
      <c r="C441" s="143" t="str">
        <f>VLOOKUP(B441,'Thống kê'!$C$3:$D$669,2,0)</f>
        <v>Gấu ú</v>
      </c>
      <c r="D441" s="144" t="str">
        <f>VLOOKUP(B441,'Thống kê'!$C$3:$E$682,3,0)</f>
        <v>cái</v>
      </c>
      <c r="E441" s="100">
        <v>7.32</v>
      </c>
      <c r="F441" s="101">
        <v>5</v>
      </c>
      <c r="G441" s="93"/>
    </row>
    <row r="442" spans="1:7" ht="13.2" hidden="1">
      <c r="A442" s="155"/>
      <c r="B442" s="28" t="s">
        <v>1591</v>
      </c>
      <c r="C442" s="143" t="str">
        <f>VLOOKUP(B442,'Thống kê'!$C$3:$D$669,2,0)</f>
        <v>Thỏ ú</v>
      </c>
      <c r="D442" s="144" t="str">
        <f>VLOOKUP(B442,'Thống kê'!$C$3:$E$682,3,0)</f>
        <v>cái</v>
      </c>
      <c r="E442" s="100">
        <v>7.31</v>
      </c>
      <c r="F442" s="101">
        <v>5</v>
      </c>
      <c r="G442" s="93"/>
    </row>
    <row r="443" spans="1:7" ht="13.2" hidden="1">
      <c r="A443" s="155"/>
      <c r="B443" s="28" t="s">
        <v>143</v>
      </c>
      <c r="C443" s="143" t="str">
        <f>VLOOKUP(B443,'Thống kê'!$C$3:$D$669,2,0)</f>
        <v>Mèo ú</v>
      </c>
      <c r="D443" s="144" t="str">
        <f>VLOOKUP(B443,'Thống kê'!$C$3:$E$682,3,0)</f>
        <v>cái</v>
      </c>
      <c r="E443" s="100">
        <v>7.32</v>
      </c>
      <c r="F443" s="101">
        <v>5</v>
      </c>
      <c r="G443" s="93"/>
    </row>
    <row r="444" spans="1:7" ht="13.2" hidden="1">
      <c r="A444" s="155">
        <v>45512</v>
      </c>
      <c r="B444" s="28" t="s">
        <v>1665</v>
      </c>
      <c r="C444" s="143" t="e">
        <f>VLOOKUP(B444,'Thống kê'!$C$3:$D$669,2,0)</f>
        <v>#N/A</v>
      </c>
      <c r="D444" s="144" t="e">
        <f>VLOOKUP(B444,'Thống kê'!$C$3:$E$682,3,0)</f>
        <v>#N/A</v>
      </c>
      <c r="E444" s="100">
        <v>5.4</v>
      </c>
      <c r="F444" s="101">
        <v>20</v>
      </c>
      <c r="G444" s="93"/>
    </row>
    <row r="445" spans="1:7" ht="13.2" hidden="1">
      <c r="A445" s="155"/>
      <c r="B445" s="28" t="s">
        <v>150</v>
      </c>
      <c r="C445" s="143" t="str">
        <f>VLOOKUP(B445,'Thống kê'!$C$3:$D$669,2,0)</f>
        <v>Móc khóa có chuông</v>
      </c>
      <c r="D445" s="144" t="str">
        <f>VLOOKUP(B445,'Thống kê'!$C$3:$E$682,3,0)</f>
        <v>cái</v>
      </c>
      <c r="E445" s="100">
        <v>5.91</v>
      </c>
      <c r="F445" s="101">
        <v>55</v>
      </c>
      <c r="G445" s="93"/>
    </row>
    <row r="446" spans="1:7" ht="13.2" hidden="1">
      <c r="A446" s="155"/>
      <c r="B446" s="28" t="s">
        <v>1633</v>
      </c>
      <c r="C446" s="143" t="str">
        <f>VLOOKUP(B446,'Thống kê'!$C$3:$D$669,2,0)</f>
        <v>Móc khóa đôi gà rán bia</v>
      </c>
      <c r="D446" s="144" t="str">
        <f>VLOOKUP(B446,'Thống kê'!$C$3:$E$682,3,0)</f>
        <v>cái</v>
      </c>
      <c r="E446" s="100">
        <v>5.9</v>
      </c>
      <c r="F446" s="101">
        <v>3</v>
      </c>
      <c r="G446" s="93"/>
    </row>
    <row r="447" spans="1:7" ht="13.2" hidden="1">
      <c r="A447" s="155"/>
      <c r="B447" s="28" t="s">
        <v>1634</v>
      </c>
      <c r="C447" s="143" t="str">
        <f>VLOOKUP(B447,'Thống kê'!$C$3:$D$669,2,0)</f>
        <v>Móc khóa mèo đen cá</v>
      </c>
      <c r="D447" s="144" t="str">
        <f>VLOOKUP(B447,'Thống kê'!$C$3:$E$682,3,0)</f>
        <v>cái</v>
      </c>
      <c r="E447" s="100">
        <v>5.91</v>
      </c>
      <c r="F447" s="101">
        <v>5</v>
      </c>
      <c r="G447" s="93"/>
    </row>
    <row r="448" spans="1:7" ht="13.2" hidden="1">
      <c r="A448" s="155"/>
      <c r="B448" s="28" t="s">
        <v>1594</v>
      </c>
      <c r="C448" s="143" t="str">
        <f>VLOOKUP(B448,'Thống kê'!$C$3:$D$669,2,0)</f>
        <v>Móc khóa đôi heo</v>
      </c>
      <c r="D448" s="144" t="str">
        <f>VLOOKUP(B448,'Thống kê'!$C$3:$E$682,3,0)</f>
        <v>cái</v>
      </c>
      <c r="E448" s="100">
        <v>5.9</v>
      </c>
      <c r="F448" s="101">
        <v>25</v>
      </c>
      <c r="G448" s="93"/>
    </row>
    <row r="449" spans="1:7" ht="13.2" hidden="1">
      <c r="A449" s="155"/>
      <c r="B449" s="28" t="s">
        <v>227</v>
      </c>
      <c r="C449" s="143" t="str">
        <f>VLOOKUP(B449,'Thống kê'!$C$3:$D$669,2,0)</f>
        <v>Móc khóa đôi corgy</v>
      </c>
      <c r="D449" s="144" t="str">
        <f>VLOOKUP(B449,'Thống kê'!$C$3:$E$682,3,0)</f>
        <v>cái</v>
      </c>
      <c r="E449" s="100">
        <v>5.91</v>
      </c>
      <c r="F449" s="101">
        <v>20</v>
      </c>
      <c r="G449" s="93"/>
    </row>
    <row r="450" spans="1:7" ht="13.2" hidden="1">
      <c r="A450" s="155"/>
      <c r="B450" s="28" t="s">
        <v>1334</v>
      </c>
      <c r="C450" s="143" t="str">
        <f>VLOOKUP(B450,'Thống kê'!$C$3:$D$669,2,0)</f>
        <v>Móc khóa Popbean</v>
      </c>
      <c r="D450" s="144" t="str">
        <f>VLOOKUP(B450,'Thống kê'!$C$3:$E$682,3,0)</f>
        <v>cái</v>
      </c>
      <c r="E450" s="93"/>
      <c r="F450" s="101">
        <v>7</v>
      </c>
      <c r="G450" s="93"/>
    </row>
    <row r="451" spans="1:7" ht="13.2" hidden="1">
      <c r="A451" s="155"/>
      <c r="B451" s="28" t="s">
        <v>1363</v>
      </c>
      <c r="C451" s="143" t="str">
        <f>VLOOKUP(B451,'Thống kê'!$C$3:$D$669,2,0)</f>
        <v>Móc khóa Popbean</v>
      </c>
      <c r="D451" s="144" t="str">
        <f>VLOOKUP(B451,'Thống kê'!$C$3:$E$682,3,0)</f>
        <v>cái</v>
      </c>
      <c r="E451" s="100"/>
      <c r="F451" s="101">
        <v>4</v>
      </c>
      <c r="G451" s="100"/>
    </row>
    <row r="452" spans="1:7" ht="13.2" hidden="1">
      <c r="A452" s="155"/>
      <c r="B452" s="28" t="s">
        <v>246</v>
      </c>
      <c r="C452" s="143" t="str">
        <f>VLOOKUP(B452,'Thống kê'!$C$3:$D$669,2,0)</f>
        <v>Móc khóa Popbean</v>
      </c>
      <c r="D452" s="144" t="str">
        <f>VLOOKUP(B452,'Thống kê'!$C$3:$E$682,3,0)</f>
        <v>cái</v>
      </c>
      <c r="E452" s="100"/>
      <c r="F452" s="101">
        <v>19</v>
      </c>
      <c r="G452" s="100"/>
    </row>
    <row r="453" spans="1:7" ht="13.2" hidden="1">
      <c r="A453" s="155"/>
      <c r="B453" s="28" t="s">
        <v>245</v>
      </c>
      <c r="C453" s="143" t="str">
        <f>VLOOKUP(B453,'Thống kê'!$C$3:$D$669,2,0)</f>
        <v>Móc khóa Popbean</v>
      </c>
      <c r="D453" s="144" t="str">
        <f>VLOOKUP(B453,'Thống kê'!$C$3:$E$682,3,0)</f>
        <v>cái</v>
      </c>
      <c r="E453" s="100"/>
      <c r="F453" s="101">
        <v>3</v>
      </c>
      <c r="G453" s="100"/>
    </row>
    <row r="454" spans="1:7" ht="13.2" hidden="1">
      <c r="A454" s="155"/>
      <c r="B454" s="28" t="s">
        <v>1364</v>
      </c>
      <c r="C454" s="143" t="str">
        <f>VLOOKUP(B454,'Thống kê'!$C$3:$D$669,2,0)</f>
        <v>Móc khóa Popbean</v>
      </c>
      <c r="D454" s="144" t="str">
        <f>VLOOKUP(B454,'Thống kê'!$C$3:$E$682,3,0)</f>
        <v>cái</v>
      </c>
      <c r="E454" s="100"/>
      <c r="F454" s="101">
        <v>4</v>
      </c>
      <c r="G454" s="100"/>
    </row>
    <row r="455" spans="1:7" ht="13.2" hidden="1">
      <c r="A455" s="155"/>
      <c r="B455" s="28" t="s">
        <v>1660</v>
      </c>
      <c r="C455" s="143" t="str">
        <f>VLOOKUP(B455,'Thống kê'!$C$3:$D$669,2,0)</f>
        <v>Móc khóa Popbean Skull Panda</v>
      </c>
      <c r="D455" s="144" t="str">
        <f>VLOOKUP(B455,'Thống kê'!$C$3:$E$682,3,0)</f>
        <v>cái</v>
      </c>
      <c r="E455" s="100"/>
      <c r="F455" s="101">
        <v>2</v>
      </c>
      <c r="G455" s="100"/>
    </row>
    <row r="456" spans="1:7" ht="13.2" hidden="1">
      <c r="A456" s="155">
        <v>45523</v>
      </c>
      <c r="B456" s="28" t="s">
        <v>1666</v>
      </c>
      <c r="C456" s="143" t="str">
        <f>VLOOKUP(B456,'Thống kê'!$C$3:$D$669,2,0)</f>
        <v>Móc khóa chuối</v>
      </c>
      <c r="D456" s="144" t="str">
        <f>VLOOKUP(B456,'Thống kê'!$C$3:$E$682,3,0)</f>
        <v>cái</v>
      </c>
      <c r="E456" s="100"/>
      <c r="F456" s="101">
        <v>11</v>
      </c>
      <c r="G456" s="100"/>
    </row>
    <row r="457" spans="1:7" ht="13.2" hidden="1">
      <c r="A457" s="155"/>
      <c r="B457" s="28" t="s">
        <v>1667</v>
      </c>
      <c r="C457" s="143" t="str">
        <f>VLOOKUP(B457,'Thống kê'!$C$3:$D$669,2,0)</f>
        <v>Móc khóa chuối</v>
      </c>
      <c r="D457" s="144" t="str">
        <f>VLOOKUP(B457,'Thống kê'!$C$3:$E$682,3,0)</f>
        <v>cái</v>
      </c>
      <c r="E457" s="93"/>
      <c r="F457" s="101">
        <v>2</v>
      </c>
      <c r="G457" s="100"/>
    </row>
    <row r="458" spans="1:7" ht="13.2" hidden="1">
      <c r="A458" s="155"/>
      <c r="B458" s="28" t="s">
        <v>1668</v>
      </c>
      <c r="C458" s="143" t="str">
        <f>VLOOKUP(B458,'Thống kê'!$C$3:$D$669,2,0)</f>
        <v>Móc khóa chuối</v>
      </c>
      <c r="D458" s="144" t="str">
        <f>VLOOKUP(B458,'Thống kê'!$C$3:$E$682,3,0)</f>
        <v>cái</v>
      </c>
      <c r="E458" s="93"/>
      <c r="F458" s="101">
        <v>7</v>
      </c>
      <c r="G458" s="100"/>
    </row>
    <row r="459" spans="1:7" ht="13.2" hidden="1">
      <c r="A459" s="155"/>
      <c r="B459" s="28" t="s">
        <v>1669</v>
      </c>
      <c r="C459" s="143" t="str">
        <f>VLOOKUP(B459,'Thống kê'!$C$3:$D$669,2,0)</f>
        <v>Móc khóa chuối</v>
      </c>
      <c r="D459" s="144" t="str">
        <f>VLOOKUP(B459,'Thống kê'!$C$3:$E$682,3,0)</f>
        <v>cái</v>
      </c>
      <c r="E459" s="93"/>
      <c r="F459" s="101">
        <v>2</v>
      </c>
      <c r="G459" s="100"/>
    </row>
    <row r="460" spans="1:7" ht="13.2" hidden="1">
      <c r="A460" s="155"/>
      <c r="B460" s="28" t="s">
        <v>1670</v>
      </c>
      <c r="C460" s="143" t="str">
        <f>VLOOKUP(B460,'Thống kê'!$C$3:$D$669,2,0)</f>
        <v>Móc khóa chuối</v>
      </c>
      <c r="D460" s="144" t="str">
        <f>VLOOKUP(B460,'Thống kê'!$C$3:$E$682,3,0)</f>
        <v>cái</v>
      </c>
      <c r="E460" s="100"/>
      <c r="F460" s="101">
        <v>6</v>
      </c>
      <c r="G460" s="100"/>
    </row>
    <row r="461" spans="1:7" ht="13.2" hidden="1">
      <c r="A461" s="155"/>
      <c r="B461" s="28" t="s">
        <v>1671</v>
      </c>
      <c r="C461" s="143" t="str">
        <f>VLOOKUP(B461,'Thống kê'!$C$3:$D$669,2,0)</f>
        <v>Móc khóa chuối</v>
      </c>
      <c r="D461" s="144" t="str">
        <f>VLOOKUP(B461,'Thống kê'!$C$3:$E$682,3,0)</f>
        <v>cái</v>
      </c>
      <c r="E461" s="93"/>
      <c r="F461" s="101">
        <v>1</v>
      </c>
      <c r="G461" s="100"/>
    </row>
    <row r="462" spans="1:7" ht="13.2" hidden="1">
      <c r="A462" s="155"/>
      <c r="B462" s="28" t="s">
        <v>1672</v>
      </c>
      <c r="C462" s="143" t="str">
        <f>VLOOKUP(B462,'Thống kê'!$C$3:$D$669,2,0)</f>
        <v>Móc khóa chuối</v>
      </c>
      <c r="D462" s="144" t="str">
        <f>VLOOKUP(B462,'Thống kê'!$C$3:$E$682,3,0)</f>
        <v>cái</v>
      </c>
      <c r="E462" s="93"/>
      <c r="F462" s="101">
        <v>3</v>
      </c>
      <c r="G462" s="100"/>
    </row>
    <row r="463" spans="1:7" ht="13.2" hidden="1">
      <c r="A463" s="155"/>
      <c r="B463" s="28" t="s">
        <v>1368</v>
      </c>
      <c r="C463" s="143" t="str">
        <f>VLOOKUP(B463,'Thống kê'!$C$3:$D$669,2,0)</f>
        <v>Móc khóa Popbean</v>
      </c>
      <c r="D463" s="144" t="str">
        <f>VLOOKUP(B463,'Thống kê'!$C$3:$E$682,3,0)</f>
        <v>cái</v>
      </c>
      <c r="E463" s="93"/>
      <c r="F463" s="101">
        <v>5</v>
      </c>
      <c r="G463" s="100"/>
    </row>
    <row r="464" spans="1:7" ht="13.2" hidden="1">
      <c r="A464" s="155"/>
      <c r="B464" s="28" t="s">
        <v>1673</v>
      </c>
      <c r="C464" s="143" t="str">
        <f>VLOOKUP(B464,'Thống kê'!$C$3:$D$669,2,0)</f>
        <v>Móc khóa chuối</v>
      </c>
      <c r="D464" s="144" t="str">
        <f>VLOOKUP(B464,'Thống kê'!$C$3:$E$682,3,0)</f>
        <v>cái</v>
      </c>
      <c r="E464" s="93"/>
      <c r="F464" s="101">
        <v>6</v>
      </c>
      <c r="G464" s="100"/>
    </row>
    <row r="465" spans="1:7" ht="13.2" hidden="1">
      <c r="A465" s="155"/>
      <c r="B465" s="28" t="s">
        <v>1674</v>
      </c>
      <c r="C465" s="143" t="str">
        <f>VLOOKUP(B465,'Thống kê'!$C$3:$D$669,2,0)</f>
        <v>Móc khóa chuối</v>
      </c>
      <c r="D465" s="144" t="str">
        <f>VLOOKUP(B465,'Thống kê'!$C$3:$E$682,3,0)</f>
        <v>cái</v>
      </c>
      <c r="E465" s="93"/>
      <c r="F465" s="101">
        <v>1</v>
      </c>
      <c r="G465" s="100"/>
    </row>
    <row r="466" spans="1:7" ht="13.2" hidden="1">
      <c r="A466" s="155"/>
      <c r="B466" s="28" t="s">
        <v>1675</v>
      </c>
      <c r="C466" s="143" t="str">
        <f>VLOOKUP(B466,'Thống kê'!$C$3:$D$669,2,0)</f>
        <v>Móc khóa chuối</v>
      </c>
      <c r="D466" s="144" t="str">
        <f>VLOOKUP(B466,'Thống kê'!$C$3:$E$682,3,0)</f>
        <v>cái</v>
      </c>
      <c r="E466" s="93"/>
      <c r="F466" s="101">
        <v>8</v>
      </c>
      <c r="G466" s="100"/>
    </row>
    <row r="467" spans="1:7" ht="13.2" hidden="1">
      <c r="A467" s="155"/>
      <c r="B467" s="28" t="s">
        <v>1676</v>
      </c>
      <c r="C467" s="143" t="str">
        <f>VLOOKUP(B467,'Thống kê'!$C$3:$D$669,2,0)</f>
        <v>Móc khóa chuối</v>
      </c>
      <c r="D467" s="144" t="str">
        <f>VLOOKUP(B467,'Thống kê'!$C$3:$E$682,3,0)</f>
        <v>cái</v>
      </c>
      <c r="E467" s="100"/>
      <c r="F467" s="101">
        <v>1</v>
      </c>
      <c r="G467" s="100"/>
    </row>
    <row r="468" spans="1:7" ht="13.2" hidden="1">
      <c r="A468" s="155"/>
      <c r="B468" s="28" t="s">
        <v>1369</v>
      </c>
      <c r="C468" s="143" t="str">
        <f>VLOOKUP(B468,'Thống kê'!$C$3:$D$669,2,0)</f>
        <v>Móc khóa Popbean</v>
      </c>
      <c r="D468" s="144" t="str">
        <f>VLOOKUP(B468,'Thống kê'!$C$3:$E$682,3,0)</f>
        <v>cái</v>
      </c>
      <c r="E468" s="100"/>
      <c r="F468" s="101">
        <v>2</v>
      </c>
      <c r="G468" s="100"/>
    </row>
    <row r="469" spans="1:7" ht="13.2" hidden="1">
      <c r="A469" s="155"/>
      <c r="B469" s="28" t="s">
        <v>1370</v>
      </c>
      <c r="C469" s="143" t="str">
        <f>VLOOKUP(B469,'Thống kê'!$C$3:$D$669,2,0)</f>
        <v>Móc khóa Popbean</v>
      </c>
      <c r="D469" s="144" t="str">
        <f>VLOOKUP(B469,'Thống kê'!$C$3:$E$682,3,0)</f>
        <v>cái</v>
      </c>
      <c r="E469" s="100"/>
      <c r="F469" s="101">
        <v>5</v>
      </c>
      <c r="G469" s="100"/>
    </row>
    <row r="470" spans="1:7" ht="13.2" hidden="1">
      <c r="A470" s="155"/>
      <c r="B470" s="28" t="s">
        <v>1371</v>
      </c>
      <c r="C470" s="143" t="str">
        <f>VLOOKUP(B470,'Thống kê'!$C$3:$D$669,2,0)</f>
        <v>Móc khóa Popbean</v>
      </c>
      <c r="D470" s="144" t="str">
        <f>VLOOKUP(B470,'Thống kê'!$C$3:$E$682,3,0)</f>
        <v>cái</v>
      </c>
      <c r="E470" s="100"/>
      <c r="F470" s="101">
        <v>3</v>
      </c>
      <c r="G470" s="100"/>
    </row>
    <row r="471" spans="1:7" ht="13.2" hidden="1">
      <c r="A471" s="155"/>
      <c r="B471" s="28" t="s">
        <v>1372</v>
      </c>
      <c r="C471" s="143" t="str">
        <f>VLOOKUP(B471,'Thống kê'!$C$3:$D$669,2,0)</f>
        <v>Móc khóa Popbean</v>
      </c>
      <c r="D471" s="144" t="str">
        <f>VLOOKUP(B471,'Thống kê'!$C$3:$E$682,3,0)</f>
        <v>cái</v>
      </c>
      <c r="E471" s="100"/>
      <c r="F471" s="101">
        <v>5</v>
      </c>
      <c r="G471" s="100"/>
    </row>
    <row r="472" spans="1:7" ht="13.2" hidden="1">
      <c r="A472" s="155"/>
      <c r="B472" s="28" t="s">
        <v>1365</v>
      </c>
      <c r="C472" s="143" t="str">
        <f>VLOOKUP(B472,'Thống kê'!$C$3:$D$669,2,0)</f>
        <v>Móc khóa Popbean</v>
      </c>
      <c r="D472" s="144" t="str">
        <f>VLOOKUP(B472,'Thống kê'!$C$3:$E$682,3,0)</f>
        <v>cái</v>
      </c>
      <c r="E472" s="100"/>
      <c r="F472" s="101">
        <v>3</v>
      </c>
      <c r="G472" s="100"/>
    </row>
    <row r="473" spans="1:7" ht="13.2" hidden="1">
      <c r="A473" s="155"/>
      <c r="B473" s="28" t="s">
        <v>165</v>
      </c>
      <c r="C473" s="143" t="str">
        <f>VLOOKUP(B473,'Thống kê'!$C$3:$D$669,2,0)</f>
        <v>Móc khóa Popbean</v>
      </c>
      <c r="D473" s="144" t="str">
        <f>VLOOKUP(B473,'Thống kê'!$C$3:$E$682,3,0)</f>
        <v>cái</v>
      </c>
      <c r="E473" s="100"/>
      <c r="F473" s="101">
        <v>1</v>
      </c>
      <c r="G473" s="100"/>
    </row>
    <row r="474" spans="1:7" ht="13.2" hidden="1">
      <c r="A474" s="155"/>
      <c r="B474" s="28" t="s">
        <v>1364</v>
      </c>
      <c r="C474" s="143" t="str">
        <f>VLOOKUP(B474,'Thống kê'!$C$3:$D$669,2,0)</f>
        <v>Móc khóa Popbean</v>
      </c>
      <c r="D474" s="144" t="str">
        <f>VLOOKUP(B474,'Thống kê'!$C$3:$E$682,3,0)</f>
        <v>cái</v>
      </c>
      <c r="E474" s="100"/>
      <c r="F474" s="101">
        <v>2</v>
      </c>
      <c r="G474" s="100"/>
    </row>
    <row r="475" spans="1:7" ht="13.2" hidden="1">
      <c r="A475" s="155">
        <v>45529</v>
      </c>
      <c r="B475" s="28" t="s">
        <v>150</v>
      </c>
      <c r="C475" s="143" t="str">
        <f>VLOOKUP(B475,'Thống kê'!$C$3:$D$669,2,0)</f>
        <v>Móc khóa có chuông</v>
      </c>
      <c r="D475" s="144" t="str">
        <f>VLOOKUP(B475,'Thống kê'!$C$3:$E$682,3,0)</f>
        <v>cái</v>
      </c>
      <c r="E475" s="145">
        <v>5.65</v>
      </c>
      <c r="F475" s="101">
        <v>20</v>
      </c>
      <c r="G475" s="100"/>
    </row>
    <row r="476" spans="1:7" ht="13.2" hidden="1">
      <c r="A476" s="155"/>
      <c r="B476" s="28" t="s">
        <v>1594</v>
      </c>
      <c r="C476" s="143" t="str">
        <f>VLOOKUP(B476,'Thống kê'!$C$3:$D$669,2,0)</f>
        <v>Móc khóa đôi heo</v>
      </c>
      <c r="D476" s="144" t="str">
        <f>VLOOKUP(B476,'Thống kê'!$C$3:$E$682,3,0)</f>
        <v>cái</v>
      </c>
      <c r="E476" s="100">
        <v>5.65</v>
      </c>
      <c r="F476" s="101">
        <v>15</v>
      </c>
      <c r="G476" s="100"/>
    </row>
    <row r="477" spans="1:7" ht="13.2" hidden="1">
      <c r="A477" s="155"/>
      <c r="B477" s="28" t="s">
        <v>227</v>
      </c>
      <c r="C477" s="143" t="str">
        <f>VLOOKUP(B477,'Thống kê'!$C$3:$D$669,2,0)</f>
        <v>Móc khóa đôi corgy</v>
      </c>
      <c r="D477" s="144" t="str">
        <f>VLOOKUP(B477,'Thống kê'!$C$3:$E$682,3,0)</f>
        <v>cái</v>
      </c>
      <c r="E477" s="100">
        <v>5.64</v>
      </c>
      <c r="F477" s="101">
        <v>3</v>
      </c>
      <c r="G477" s="100"/>
    </row>
    <row r="478" spans="1:7" ht="13.2" hidden="1">
      <c r="A478" s="155"/>
      <c r="B478" s="28" t="s">
        <v>232</v>
      </c>
      <c r="C478" s="143" t="str">
        <f>VLOOKUP(B478,'Thống kê'!$C$3:$D$669,2,0)</f>
        <v>Cáo gắn xe</v>
      </c>
      <c r="D478" s="144" t="str">
        <f>VLOOKUP(B478,'Thống kê'!$C$3:$E$682,3,0)</f>
        <v>cái</v>
      </c>
      <c r="E478" s="100">
        <v>4.71</v>
      </c>
      <c r="F478" s="101">
        <v>5</v>
      </c>
      <c r="G478" s="100"/>
    </row>
    <row r="479" spans="1:7" ht="13.2" hidden="1">
      <c r="A479" s="155"/>
      <c r="B479" s="28" t="s">
        <v>183</v>
      </c>
      <c r="C479" s="143" t="str">
        <f>VLOOKUP(B479,'Thống kê'!$C$3:$D$669,2,0)</f>
        <v>Thỏ máy bay gắn xe</v>
      </c>
      <c r="D479" s="144" t="str">
        <f>VLOOKUP(B479,'Thống kê'!$C$3:$E$682,3,0)</f>
        <v>cái</v>
      </c>
      <c r="E479" s="100">
        <v>4.71</v>
      </c>
      <c r="F479" s="101">
        <v>10</v>
      </c>
      <c r="G479" s="100"/>
    </row>
    <row r="480" spans="1:7" ht="13.2" hidden="1">
      <c r="A480" s="155"/>
      <c r="B480" s="28" t="s">
        <v>119</v>
      </c>
      <c r="C480" s="143" t="str">
        <f>VLOOKUP(B480,'Thống kê'!$C$3:$D$669,2,0)</f>
        <v>Thỏ chạy xe gắn xe</v>
      </c>
      <c r="D480" s="144" t="str">
        <f>VLOOKUP(B480,'Thống kê'!$C$3:$E$682,3,0)</f>
        <v>cái</v>
      </c>
      <c r="E480" s="100">
        <v>4.71</v>
      </c>
      <c r="F480" s="101">
        <v>50</v>
      </c>
      <c r="G480" s="100"/>
    </row>
    <row r="481" spans="1:7" ht="13.2" hidden="1">
      <c r="A481" s="155"/>
      <c r="B481" s="28" t="s">
        <v>189</v>
      </c>
      <c r="C481" s="143" t="str">
        <f>VLOOKUP(B481,'Thống kê'!$C$3:$D$669,2,0)</f>
        <v>Gấu nâu gắn xe</v>
      </c>
      <c r="D481" s="144" t="str">
        <f>VLOOKUP(B481,'Thống kê'!$C$3:$E$682,3,0)</f>
        <v>cái</v>
      </c>
      <c r="E481" s="100">
        <v>4.71</v>
      </c>
      <c r="F481" s="101">
        <v>5</v>
      </c>
      <c r="G481" s="93"/>
    </row>
    <row r="482" spans="1:7" ht="13.2" hidden="1">
      <c r="A482" s="155"/>
      <c r="B482" s="28" t="s">
        <v>1593</v>
      </c>
      <c r="C482" s="143" t="str">
        <f>VLOOKUP(B482,'Thống kê'!$C$3:$D$669,2,0)</f>
        <v>Heo cưỡi kì lân gắn xe</v>
      </c>
      <c r="D482" s="144" t="str">
        <f>VLOOKUP(B482,'Thống kê'!$C$3:$E$682,3,0)</f>
        <v>cái</v>
      </c>
      <c r="E482" s="100">
        <v>4.71</v>
      </c>
      <c r="F482" s="101">
        <v>5</v>
      </c>
      <c r="G482" s="93"/>
    </row>
    <row r="483" spans="1:7" ht="13.2" hidden="1">
      <c r="A483" s="155"/>
      <c r="B483" s="28" t="s">
        <v>145</v>
      </c>
      <c r="C483" s="143" t="str">
        <f>VLOOKUP(B483,'Thống kê'!$C$3:$D$669,2,0)</f>
        <v>Thỏ đi vịt gắn xe</v>
      </c>
      <c r="D483" s="144" t="str">
        <f>VLOOKUP(B483,'Thống kê'!$C$3:$E$682,3,0)</f>
        <v>cái</v>
      </c>
      <c r="E483" s="100">
        <v>4.71</v>
      </c>
      <c r="F483" s="101">
        <v>10</v>
      </c>
      <c r="G483" s="93"/>
    </row>
    <row r="484" spans="1:7" ht="13.2" hidden="1">
      <c r="A484" s="155"/>
      <c r="B484" s="28" t="s">
        <v>181</v>
      </c>
      <c r="C484" s="143" t="str">
        <f>VLOOKUP(B484,'Thống kê'!$C$3:$D$669,2,0)</f>
        <v>Thỏ mặt trăng gắn xe</v>
      </c>
      <c r="D484" s="144" t="str">
        <f>VLOOKUP(B484,'Thống kê'!$C$3:$E$682,3,0)</f>
        <v>cái</v>
      </c>
      <c r="E484" s="100">
        <v>4.71</v>
      </c>
      <c r="F484" s="101">
        <v>5</v>
      </c>
      <c r="G484" s="93"/>
    </row>
    <row r="485" spans="1:7" ht="13.2" hidden="1">
      <c r="A485" s="155">
        <v>45533</v>
      </c>
      <c r="B485" s="28" t="s">
        <v>1677</v>
      </c>
      <c r="C485" s="143" t="str">
        <f>VLOOKUP(B485,'Thống kê'!$C$3:$D$669,2,0)</f>
        <v>Móc khóa Popbean</v>
      </c>
      <c r="D485" s="144" t="str">
        <f>VLOOKUP(B485,'Thống kê'!$C$3:$E$682,3,0)</f>
        <v>cái</v>
      </c>
      <c r="E485" s="93"/>
      <c r="F485" s="101">
        <v>4</v>
      </c>
      <c r="G485" s="93"/>
    </row>
    <row r="486" spans="1:7" ht="13.2" hidden="1">
      <c r="A486" s="155"/>
      <c r="B486" s="28" t="s">
        <v>1322</v>
      </c>
      <c r="C486" s="143" t="str">
        <f>VLOOKUP(B486,'Thống kê'!$C$3:$D$669,2,0)</f>
        <v>Móc khóa Popbean Cry Baby</v>
      </c>
      <c r="D486" s="144" t="str">
        <f>VLOOKUP(B486,'Thống kê'!$C$3:$E$682,3,0)</f>
        <v>cái</v>
      </c>
      <c r="E486" s="93"/>
      <c r="F486" s="101">
        <v>7</v>
      </c>
      <c r="G486" s="93"/>
    </row>
    <row r="487" spans="1:7" ht="13.2" hidden="1">
      <c r="A487" s="155"/>
      <c r="B487" s="28" t="s">
        <v>1320</v>
      </c>
      <c r="C487" s="143" t="str">
        <f>VLOOKUP(B487,'Thống kê'!$C$3:$D$669,2,0)</f>
        <v>Móc khóa Popbean Kubo</v>
      </c>
      <c r="D487" s="144" t="str">
        <f>VLOOKUP(B487,'Thống kê'!$C$3:$E$682,3,0)</f>
        <v>cái</v>
      </c>
      <c r="E487" s="93"/>
      <c r="F487" s="101">
        <v>7</v>
      </c>
      <c r="G487" s="93"/>
    </row>
    <row r="488" spans="1:7" ht="13.2" hidden="1">
      <c r="A488" s="155"/>
      <c r="B488" s="28" t="s">
        <v>1325</v>
      </c>
      <c r="C488" s="143" t="str">
        <f>VLOOKUP(B488,'Thống kê'!$C$3:$D$669,2,0)</f>
        <v>Móc khóa Popbean Lilios</v>
      </c>
      <c r="D488" s="144" t="str">
        <f>VLOOKUP(B488,'Thống kê'!$C$3:$E$682,3,0)</f>
        <v>cái</v>
      </c>
      <c r="E488" s="93"/>
      <c r="F488" s="101">
        <v>6</v>
      </c>
      <c r="G488" s="93"/>
    </row>
    <row r="489" spans="1:7" ht="13.2" hidden="1">
      <c r="A489" s="155"/>
      <c r="B489" s="28" t="s">
        <v>1678</v>
      </c>
      <c r="C489" s="143" t="str">
        <f>VLOOKUP(B489,'Thống kê'!$C$3:$D$669,2,0)</f>
        <v>Móc khóa Popbean</v>
      </c>
      <c r="D489" s="144" t="str">
        <f>VLOOKUP(B489,'Thống kê'!$C$3:$E$682,3,0)</f>
        <v>cái</v>
      </c>
      <c r="E489" s="93"/>
      <c r="F489" s="101">
        <v>5</v>
      </c>
      <c r="G489" s="93"/>
    </row>
    <row r="490" spans="1:7" ht="13.2" hidden="1">
      <c r="A490" s="155"/>
      <c r="B490" s="28" t="s">
        <v>1679</v>
      </c>
      <c r="C490" s="143" t="str">
        <f>VLOOKUP(B490,'Thống kê'!$C$3:$D$669,2,0)</f>
        <v>Móc khóa Popbean</v>
      </c>
      <c r="D490" s="144" t="str">
        <f>VLOOKUP(B490,'Thống kê'!$C$3:$E$682,3,0)</f>
        <v>cái</v>
      </c>
      <c r="E490" s="93"/>
      <c r="F490" s="101">
        <v>3</v>
      </c>
      <c r="G490" s="93"/>
    </row>
    <row r="491" spans="1:7" ht="13.2" hidden="1">
      <c r="A491" s="155"/>
      <c r="B491" s="28" t="s">
        <v>1680</v>
      </c>
      <c r="C491" s="143" t="str">
        <f>VLOOKUP(B491,'Thống kê'!$C$3:$D$669,2,0)</f>
        <v>Móc khóa Popbean</v>
      </c>
      <c r="D491" s="144" t="str">
        <f>VLOOKUP(B491,'Thống kê'!$C$3:$E$682,3,0)</f>
        <v>cái</v>
      </c>
      <c r="E491" s="93"/>
      <c r="F491" s="101">
        <v>9</v>
      </c>
      <c r="G491" s="93"/>
    </row>
    <row r="492" spans="1:7" ht="13.2" hidden="1">
      <c r="A492" s="155"/>
      <c r="B492" s="28" t="s">
        <v>1681</v>
      </c>
      <c r="C492" s="143" t="str">
        <f>VLOOKUP(B492,'Thống kê'!$C$3:$D$669,2,0)</f>
        <v>Móc khóa Popbean</v>
      </c>
      <c r="D492" s="144" t="str">
        <f>VLOOKUP(B492,'Thống kê'!$C$3:$E$682,3,0)</f>
        <v>cái</v>
      </c>
      <c r="E492" s="93"/>
      <c r="F492" s="101">
        <v>2</v>
      </c>
      <c r="G492" s="93"/>
    </row>
    <row r="493" spans="1:7" ht="13.2" hidden="1">
      <c r="A493" s="155"/>
      <c r="B493" s="28" t="s">
        <v>1679</v>
      </c>
      <c r="C493" s="143" t="str">
        <f>VLOOKUP(B493,'Thống kê'!$C$3:$D$669,2,0)</f>
        <v>Móc khóa Popbean</v>
      </c>
      <c r="D493" s="144" t="str">
        <f>VLOOKUP(B493,'Thống kê'!$C$3:$E$682,3,0)</f>
        <v>cái</v>
      </c>
      <c r="E493" s="93"/>
      <c r="F493" s="101">
        <v>4</v>
      </c>
      <c r="G493" s="93"/>
    </row>
    <row r="494" spans="1:7" ht="13.2" hidden="1">
      <c r="A494" s="155"/>
      <c r="B494" s="28" t="s">
        <v>1682</v>
      </c>
      <c r="C494" s="143" t="str">
        <f>VLOOKUP(B494,'Thống kê'!$C$3:$D$669,2,0)</f>
        <v>Móc khóa Popbean</v>
      </c>
      <c r="D494" s="144" t="str">
        <f>VLOOKUP(B494,'Thống kê'!$C$3:$E$682,3,0)</f>
        <v>cái</v>
      </c>
      <c r="E494" s="93"/>
      <c r="F494" s="101">
        <v>2</v>
      </c>
      <c r="G494" s="93"/>
    </row>
    <row r="495" spans="1:7" ht="13.2" hidden="1">
      <c r="A495" s="155"/>
      <c r="B495" s="28" t="s">
        <v>1683</v>
      </c>
      <c r="C495" s="143" t="str">
        <f>VLOOKUP(B495,'Thống kê'!$C$3:$D$669,2,0)</f>
        <v>Móc khóa Popbean</v>
      </c>
      <c r="D495" s="144" t="str">
        <f>VLOOKUP(B495,'Thống kê'!$C$3:$E$682,3,0)</f>
        <v>cái</v>
      </c>
      <c r="E495" s="93"/>
      <c r="F495" s="101">
        <v>2</v>
      </c>
      <c r="G495" s="93"/>
    </row>
    <row r="496" spans="1:7" ht="13.2" hidden="1">
      <c r="A496" s="155"/>
      <c r="B496" s="28" t="s">
        <v>1684</v>
      </c>
      <c r="C496" s="143" t="str">
        <f>VLOOKUP(B496,'Thống kê'!$C$3:$D$669,2,0)</f>
        <v>Móc khóa Popbean</v>
      </c>
      <c r="D496" s="144" t="str">
        <f>VLOOKUP(B496,'Thống kê'!$C$3:$E$682,3,0)</f>
        <v>cái</v>
      </c>
      <c r="E496" s="93"/>
      <c r="F496" s="101">
        <v>6</v>
      </c>
      <c r="G496" s="93"/>
    </row>
    <row r="497" spans="1:7" ht="13.2" hidden="1">
      <c r="A497" s="155"/>
      <c r="B497" s="28" t="s">
        <v>1639</v>
      </c>
      <c r="C497" s="143" t="str">
        <f>VLOOKUP(B497,'Thống kê'!$C$3:$D$669,2,0)</f>
        <v>Móc khóa đôi Puppy</v>
      </c>
      <c r="D497" s="144" t="str">
        <f>VLOOKUP(B497,'Thống kê'!$C$3:$E$682,3,0)</f>
        <v>cái</v>
      </c>
      <c r="E497" s="100">
        <v>6.5</v>
      </c>
      <c r="F497" s="101">
        <v>10</v>
      </c>
      <c r="G497" s="93"/>
    </row>
    <row r="498" spans="1:7" ht="13.2" hidden="1">
      <c r="A498" s="155"/>
      <c r="B498" s="28" t="s">
        <v>1624</v>
      </c>
      <c r="C498" s="143" t="str">
        <f>VLOOKUP(B498,'Thống kê'!$C$3:$D$669,2,0)</f>
        <v>Móc khóa mèo trái tim</v>
      </c>
      <c r="D498" s="144" t="str">
        <f>VLOOKUP(B498,'Thống kê'!$C$3:$E$682,3,0)</f>
        <v>cái</v>
      </c>
      <c r="E498" s="100">
        <v>6.5</v>
      </c>
      <c r="F498" s="101">
        <v>50</v>
      </c>
      <c r="G498" s="93"/>
    </row>
    <row r="499" spans="1:7" ht="13.2" hidden="1">
      <c r="A499" s="155"/>
      <c r="B499" s="28" t="s">
        <v>1685</v>
      </c>
      <c r="C499" s="143" t="str">
        <f>VLOOKUP(B499,'Thống kê'!$C$3:$D$669,2,0)</f>
        <v>Capy</v>
      </c>
      <c r="D499" s="144" t="str">
        <f>VLOOKUP(B499,'Thống kê'!$C$3:$E$682,3,0)</f>
        <v>cái</v>
      </c>
      <c r="E499" s="100">
        <v>6.51</v>
      </c>
      <c r="F499" s="101">
        <v>1</v>
      </c>
      <c r="G499" s="93"/>
    </row>
    <row r="500" spans="1:7" ht="13.2" hidden="1">
      <c r="A500" s="155"/>
      <c r="B500" s="28" t="s">
        <v>1640</v>
      </c>
      <c r="C500" s="143" t="str">
        <f>VLOOKUP(B500,'Thống kê'!$C$3:$D$669,2,0)</f>
        <v>Móc khóa đôi Capypara</v>
      </c>
      <c r="D500" s="144" t="str">
        <f>VLOOKUP(B500,'Thống kê'!$C$3:$E$682,3,0)</f>
        <v>cái</v>
      </c>
      <c r="E500" s="100">
        <v>6.5</v>
      </c>
      <c r="F500" s="101">
        <v>20</v>
      </c>
      <c r="G500" s="100"/>
    </row>
    <row r="501" spans="1:7" ht="13.2" hidden="1">
      <c r="A501" s="155"/>
      <c r="B501" s="28" t="s">
        <v>1632</v>
      </c>
      <c r="C501" s="143" t="str">
        <f>VLOOKUP(B501,'Thống kê'!$C$3:$D$669,2,0)</f>
        <v>Móc khóa đôi mèo trắng</v>
      </c>
      <c r="D501" s="144" t="str">
        <f>VLOOKUP(B501,'Thống kê'!$C$3:$E$682,3,0)</f>
        <v>cái</v>
      </c>
      <c r="E501" s="100">
        <v>6.5</v>
      </c>
      <c r="F501" s="101">
        <v>5</v>
      </c>
      <c r="G501" s="100"/>
    </row>
    <row r="502" spans="1:7" ht="13.2" hidden="1">
      <c r="A502" s="155"/>
      <c r="B502" s="28" t="s">
        <v>1625</v>
      </c>
      <c r="C502" s="143" t="str">
        <f>VLOOKUP(B502,'Thống kê'!$C$3:$D$669,2,0)</f>
        <v>Móc khóa đôi 2 mèo trắng nâu</v>
      </c>
      <c r="D502" s="144" t="str">
        <f>VLOOKUP(B502,'Thống kê'!$C$3:$E$682,3,0)</f>
        <v>cái</v>
      </c>
      <c r="E502" s="100">
        <v>6.5</v>
      </c>
      <c r="F502" s="101">
        <v>5</v>
      </c>
      <c r="G502" s="100"/>
    </row>
    <row r="503" spans="1:7" ht="13.2" hidden="1">
      <c r="A503" s="155"/>
      <c r="B503" s="28" t="s">
        <v>1373</v>
      </c>
      <c r="C503" s="143" t="str">
        <f>VLOOKUP(B503,'Thống kê'!$C$3:$D$669,2,0)</f>
        <v>Mô hình xương rồng</v>
      </c>
      <c r="D503" s="144" t="str">
        <f>VLOOKUP(B503,'Thống kê'!$C$3:$E$682,3,0)</f>
        <v>cái</v>
      </c>
      <c r="E503" s="100">
        <v>6.18</v>
      </c>
      <c r="F503" s="101">
        <v>10</v>
      </c>
      <c r="G503" s="100"/>
    </row>
    <row r="504" spans="1:7" ht="13.2" hidden="1">
      <c r="A504" s="155"/>
      <c r="B504" s="28" t="s">
        <v>1622</v>
      </c>
      <c r="C504" s="143" t="str">
        <f>VLOOKUP(B504,'Thống kê'!$C$3:$D$669,2,0)</f>
        <v>Mô hình mèo 1</v>
      </c>
      <c r="D504" s="144" t="str">
        <f>VLOOKUP(B504,'Thống kê'!$C$3:$E$682,3,0)</f>
        <v>cái</v>
      </c>
      <c r="E504" s="100">
        <v>4.72</v>
      </c>
      <c r="F504" s="101">
        <v>10</v>
      </c>
      <c r="G504" s="100"/>
    </row>
    <row r="505" spans="1:7" ht="13.2" hidden="1">
      <c r="A505" s="155"/>
      <c r="B505" s="28" t="s">
        <v>1621</v>
      </c>
      <c r="C505" s="143" t="str">
        <f>VLOOKUP(B505,'Thống kê'!$C$3:$D$669,2,0)</f>
        <v>Mô hình mèo 2</v>
      </c>
      <c r="D505" s="144" t="str">
        <f>VLOOKUP(B505,'Thống kê'!$C$3:$E$682,3,0)</f>
        <v>cái</v>
      </c>
      <c r="E505" s="100">
        <v>4.72</v>
      </c>
      <c r="F505" s="101">
        <v>12</v>
      </c>
      <c r="G505" s="100"/>
    </row>
    <row r="506" spans="1:7" ht="13.2" hidden="1">
      <c r="A506" s="155"/>
      <c r="B506" s="28" t="s">
        <v>1636</v>
      </c>
      <c r="C506" s="143" t="str">
        <f>VLOOKUP(B506,'Thống kê'!$C$3:$D$669,2,0)</f>
        <v>Mô hình mèo 3</v>
      </c>
      <c r="D506" s="144" t="str">
        <f>VLOOKUP(B506,'Thống kê'!$C$3:$E$682,3,0)</f>
        <v>cái</v>
      </c>
      <c r="E506" s="100">
        <v>4.72</v>
      </c>
      <c r="F506" s="101">
        <v>8</v>
      </c>
      <c r="G506" s="100"/>
    </row>
    <row r="507" spans="1:7" ht="13.2" hidden="1">
      <c r="A507" s="155"/>
      <c r="B507" s="28" t="s">
        <v>1635</v>
      </c>
      <c r="C507" s="143" t="str">
        <f>VLOOKUP(B507,'Thống kê'!$C$3:$D$669,2,0)</f>
        <v>Mô hình mèo 4</v>
      </c>
      <c r="D507" s="144" t="str">
        <f>VLOOKUP(B507,'Thống kê'!$C$3:$E$682,3,0)</f>
        <v>cái</v>
      </c>
      <c r="E507" s="100">
        <v>4.72</v>
      </c>
      <c r="F507" s="101">
        <v>10</v>
      </c>
      <c r="G507" s="100"/>
    </row>
    <row r="508" spans="1:7" ht="13.2" hidden="1">
      <c r="A508" s="155"/>
      <c r="B508" s="28" t="s">
        <v>1623</v>
      </c>
      <c r="C508" s="143" t="str">
        <f>VLOOKUP(B508,'Thống kê'!$C$3:$D$669,2,0)</f>
        <v>Mô hình mèo 5</v>
      </c>
      <c r="D508" s="144" t="str">
        <f>VLOOKUP(B508,'Thống kê'!$C$3:$E$682,3,0)</f>
        <v>cái</v>
      </c>
      <c r="E508" s="100">
        <v>4.72</v>
      </c>
      <c r="F508" s="101">
        <v>15</v>
      </c>
      <c r="G508" s="100"/>
    </row>
    <row r="509" spans="1:7" ht="13.2" hidden="1">
      <c r="A509" s="155">
        <v>45543</v>
      </c>
      <c r="B509" s="28" t="s">
        <v>1686</v>
      </c>
      <c r="C509" s="143" t="str">
        <f>VLOOKUP(B509,'Thống kê'!$C$3:$D$669,2,0)</f>
        <v>Mèo ú</v>
      </c>
      <c r="D509" s="144" t="str">
        <f>VLOOKUP(B509,'Thống kê'!$C$3:$E$682,3,0)</f>
        <v>cái</v>
      </c>
      <c r="E509" s="100">
        <v>6.77</v>
      </c>
      <c r="F509" s="101">
        <v>7</v>
      </c>
      <c r="G509" s="100"/>
    </row>
    <row r="510" spans="1:7" ht="13.2" hidden="1">
      <c r="A510" s="155"/>
      <c r="B510" s="28" t="s">
        <v>1587</v>
      </c>
      <c r="C510" s="143" t="str">
        <f>VLOOKUP(B510,'Thống kê'!$C$3:$D$669,2,0)</f>
        <v>Vịt ú bay</v>
      </c>
      <c r="D510" s="144" t="str">
        <f>VLOOKUP(B510,'Thống kê'!$C$3:$E$682,3,0)</f>
        <v>cái</v>
      </c>
      <c r="E510" s="100">
        <v>7.62</v>
      </c>
      <c r="F510" s="101">
        <v>8</v>
      </c>
      <c r="G510" s="100"/>
    </row>
    <row r="511" spans="1:7" ht="13.2" hidden="1">
      <c r="A511" s="155"/>
      <c r="B511" s="28" t="s">
        <v>1588</v>
      </c>
      <c r="C511" s="143" t="str">
        <f>VLOOKUP(B511,'Thống kê'!$C$3:$D$669,2,0)</f>
        <v>Heo ú hoa</v>
      </c>
      <c r="D511" s="144" t="str">
        <f>VLOOKUP(B511,'Thống kê'!$C$3:$E$682,3,0)</f>
        <v>cái</v>
      </c>
      <c r="E511" s="100">
        <v>7.62</v>
      </c>
      <c r="F511" s="101">
        <v>3</v>
      </c>
      <c r="G511" s="100"/>
    </row>
    <row r="512" spans="1:7" ht="13.2" hidden="1">
      <c r="A512" s="155"/>
      <c r="B512" s="153" t="s">
        <v>1589</v>
      </c>
      <c r="C512" s="143" t="str">
        <f>VLOOKUP(B512,'Thống kê'!$C$3:$D$669,2,0)</f>
        <v>Heo ú bay</v>
      </c>
      <c r="D512" s="144" t="str">
        <f>VLOOKUP(B512,'Thống kê'!$C$3:$E$682,3,0)</f>
        <v>cái</v>
      </c>
      <c r="E512" s="100">
        <v>7.62</v>
      </c>
      <c r="F512" s="101">
        <v>10</v>
      </c>
      <c r="G512" s="100"/>
    </row>
    <row r="513" spans="1:7" ht="13.2" hidden="1">
      <c r="A513" s="155"/>
      <c r="B513" s="153" t="s">
        <v>1591</v>
      </c>
      <c r="C513" s="143" t="str">
        <f>VLOOKUP(B513,'Thống kê'!$C$3:$D$669,2,0)</f>
        <v>Thỏ ú</v>
      </c>
      <c r="D513" s="144" t="str">
        <f>VLOOKUP(B513,'Thống kê'!$C$3:$E$682,3,0)</f>
        <v>cái</v>
      </c>
      <c r="E513" s="100">
        <v>6.77</v>
      </c>
      <c r="F513" s="101">
        <v>10</v>
      </c>
      <c r="G513" s="100"/>
    </row>
    <row r="514" spans="1:7" ht="13.2" hidden="1">
      <c r="A514" s="155"/>
      <c r="B514" s="28" t="s">
        <v>325</v>
      </c>
      <c r="C514" s="143" t="str">
        <f>VLOOKUP(B514,'Thống kê'!$C$3:$D$669,2,0)</f>
        <v>Gấu ú</v>
      </c>
      <c r="D514" s="144" t="str">
        <f>VLOOKUP(B514,'Thống kê'!$C$3:$E$682,3,0)</f>
        <v>cái</v>
      </c>
      <c r="E514" s="100">
        <v>6.77</v>
      </c>
      <c r="F514" s="101">
        <v>7</v>
      </c>
      <c r="G514" s="100"/>
    </row>
    <row r="515" spans="1:7" ht="13.2" hidden="1">
      <c r="A515" s="155"/>
      <c r="B515" s="28" t="s">
        <v>115</v>
      </c>
      <c r="C515" s="143" t="str">
        <f>VLOOKUP(B515,'Thống kê'!$C$3:$D$669,2,0)</f>
        <v>Heo ú</v>
      </c>
      <c r="D515" s="144" t="str">
        <f>VLOOKUP(B515,'Thống kê'!$C$3:$E$682,3,0)</f>
        <v>cái</v>
      </c>
      <c r="E515" s="100">
        <v>6.77</v>
      </c>
      <c r="F515" s="101">
        <v>20</v>
      </c>
      <c r="G515" s="100"/>
    </row>
    <row r="516" spans="1:7" ht="13.2" hidden="1">
      <c r="A516" s="155"/>
      <c r="B516" s="28" t="s">
        <v>1375</v>
      </c>
      <c r="C516" s="143" t="str">
        <f>VLOOKUP(B516,'Thống kê'!$C$3:$D$669,2,0)</f>
        <v>Mô hình thần tài</v>
      </c>
      <c r="D516" s="144" t="str">
        <f>VLOOKUP(B516,'Thống kê'!$C$3:$E$682,3,0)</f>
        <v>cái</v>
      </c>
      <c r="E516" s="100">
        <v>6.7</v>
      </c>
      <c r="F516" s="101">
        <v>50</v>
      </c>
      <c r="G516" s="100"/>
    </row>
    <row r="517" spans="1:7" ht="13.2" hidden="1">
      <c r="A517" s="155">
        <v>45548</v>
      </c>
      <c r="B517" s="28" t="s">
        <v>245</v>
      </c>
      <c r="C517" s="143" t="str">
        <f>VLOOKUP(B517,'Thống kê'!$C$3:$D$669,2,0)</f>
        <v>Móc khóa Popbean</v>
      </c>
      <c r="D517" s="144" t="str">
        <f>VLOOKUP(B517,'Thống kê'!$C$3:$E$682,3,0)</f>
        <v>cái</v>
      </c>
      <c r="E517" s="100"/>
      <c r="F517" s="101">
        <v>10</v>
      </c>
      <c r="G517" s="100"/>
    </row>
    <row r="518" spans="1:7" ht="13.2" hidden="1">
      <c r="A518" s="155"/>
      <c r="B518" s="28" t="s">
        <v>1364</v>
      </c>
      <c r="C518" s="143" t="str">
        <f>VLOOKUP(B518,'Thống kê'!$C$3:$D$669,2,0)</f>
        <v>Móc khóa Popbean</v>
      </c>
      <c r="D518" s="144" t="str">
        <f>VLOOKUP(B518,'Thống kê'!$C$3:$E$682,3,0)</f>
        <v>cái</v>
      </c>
      <c r="E518" s="100"/>
      <c r="F518" s="101">
        <v>8</v>
      </c>
      <c r="G518" s="100"/>
    </row>
    <row r="519" spans="1:7" ht="13.2" hidden="1">
      <c r="A519" s="155">
        <v>45567</v>
      </c>
      <c r="B519" s="28" t="s">
        <v>1364</v>
      </c>
      <c r="C519" s="143" t="str">
        <f>VLOOKUP(B519,'Thống kê'!$C$3:$D$669,2,0)</f>
        <v>Móc khóa Popbean</v>
      </c>
      <c r="D519" s="144" t="str">
        <f>VLOOKUP(B519,'Thống kê'!$C$3:$E$682,3,0)</f>
        <v>cái</v>
      </c>
      <c r="E519" s="100"/>
      <c r="F519" s="101">
        <v>14</v>
      </c>
      <c r="G519" s="100"/>
    </row>
    <row r="520" spans="1:7" ht="13.2" hidden="1">
      <c r="A520" s="155"/>
      <c r="B520" s="28" t="s">
        <v>1371</v>
      </c>
      <c r="C520" s="143" t="str">
        <f>VLOOKUP(B520,'Thống kê'!$C$3:$D$669,2,0)</f>
        <v>Móc khóa Popbean</v>
      </c>
      <c r="D520" s="144" t="str">
        <f>VLOOKUP(B520,'Thống kê'!$C$3:$E$682,3,0)</f>
        <v>cái</v>
      </c>
      <c r="E520" s="100"/>
      <c r="F520" s="101">
        <v>5</v>
      </c>
      <c r="G520" s="100"/>
    </row>
    <row r="521" spans="1:7" ht="13.2" hidden="1">
      <c r="A521" s="155"/>
      <c r="B521" s="28" t="s">
        <v>1423</v>
      </c>
      <c r="C521" s="143">
        <f>VLOOKUP(B521,'Thống kê'!$C$3:$D$669,2,0)</f>
        <v>0</v>
      </c>
      <c r="D521" s="144" t="str">
        <f>VLOOKUP(B521,'Thống kê'!$C$3:$E$682,3,0)</f>
        <v>cái</v>
      </c>
      <c r="E521" s="100"/>
      <c r="F521" s="101">
        <v>5</v>
      </c>
      <c r="G521" s="100"/>
    </row>
    <row r="522" spans="1:7" ht="13.2" hidden="1">
      <c r="A522" s="155"/>
      <c r="B522" s="28" t="s">
        <v>1687</v>
      </c>
      <c r="C522" s="143">
        <f>VLOOKUP(B522,'Thống kê'!$C$3:$D$669,2,0)</f>
        <v>0</v>
      </c>
      <c r="D522" s="144">
        <f>VLOOKUP(B522,'Thống kê'!$C$3:$E$682,3,0)</f>
        <v>0</v>
      </c>
      <c r="E522" s="100"/>
      <c r="F522" s="101">
        <v>2</v>
      </c>
      <c r="G522" s="100"/>
    </row>
    <row r="523" spans="1:7" ht="13.2" hidden="1">
      <c r="A523" s="155"/>
      <c r="B523" s="28" t="s">
        <v>1688</v>
      </c>
      <c r="C523" s="143">
        <f>VLOOKUP(B523,'Thống kê'!$C$3:$D$669,2,0)</f>
        <v>0</v>
      </c>
      <c r="D523" s="144" t="str">
        <f>VLOOKUP(B523,'Thống kê'!$C$3:$E$682,3,0)</f>
        <v>cái</v>
      </c>
      <c r="E523" s="100">
        <v>10000</v>
      </c>
      <c r="F523" s="101">
        <v>60</v>
      </c>
      <c r="G523" s="100"/>
    </row>
    <row r="524" spans="1:7" ht="13.2" hidden="1">
      <c r="A524" s="155"/>
      <c r="B524" s="28" t="s">
        <v>1689</v>
      </c>
      <c r="C524" s="143">
        <f>VLOOKUP(B524,'Thống kê'!$C$3:$D$669,2,0)</f>
        <v>0</v>
      </c>
      <c r="D524" s="144" t="str">
        <f>VLOOKUP(B524,'Thống kê'!$C$3:$E$682,3,0)</f>
        <v>cái</v>
      </c>
      <c r="E524" s="100">
        <v>10000</v>
      </c>
      <c r="F524" s="101">
        <v>10</v>
      </c>
      <c r="G524" s="100"/>
    </row>
    <row r="525" spans="1:7" ht="13.2" hidden="1">
      <c r="A525" s="155"/>
      <c r="B525" s="28" t="s">
        <v>1690</v>
      </c>
      <c r="C525" s="143">
        <f>VLOOKUP(B525,'Thống kê'!$C$3:$D$669,2,0)</f>
        <v>0</v>
      </c>
      <c r="D525" s="144" t="str">
        <f>VLOOKUP(B525,'Thống kê'!$C$3:$E$682,3,0)</f>
        <v>cái</v>
      </c>
      <c r="E525" s="100">
        <v>10000</v>
      </c>
      <c r="F525" s="101">
        <v>20</v>
      </c>
      <c r="G525" s="100"/>
    </row>
    <row r="526" spans="1:7" ht="13.2" hidden="1">
      <c r="A526" s="155"/>
      <c r="B526" s="28" t="s">
        <v>1691</v>
      </c>
      <c r="C526" s="143">
        <f>VLOOKUP(B526,'Thống kê'!$C$3:$D$669,2,0)</f>
        <v>0</v>
      </c>
      <c r="D526" s="144" t="str">
        <f>VLOOKUP(B526,'Thống kê'!$C$3:$E$682,3,0)</f>
        <v>cái</v>
      </c>
      <c r="E526" s="100">
        <v>10000</v>
      </c>
      <c r="F526" s="101">
        <v>30</v>
      </c>
      <c r="G526" s="100"/>
    </row>
    <row r="527" spans="1:7" ht="13.2" hidden="1">
      <c r="A527" s="155"/>
      <c r="B527" s="16" t="s">
        <v>1382</v>
      </c>
      <c r="C527" s="143" t="str">
        <f>VLOOKUP(B527,'Thống kê'!$C$3:$D$669,2,0)</f>
        <v>miếng dán silicon điện thoại</v>
      </c>
      <c r="D527" s="144" t="str">
        <f>VLOOKUP(B527,'Thống kê'!$C$3:$E$682,3,0)</f>
        <v>cái</v>
      </c>
      <c r="E527" s="100">
        <v>300</v>
      </c>
      <c r="F527" s="101">
        <v>880</v>
      </c>
      <c r="G527" s="100"/>
    </row>
    <row r="528" spans="1:7" ht="13.2" hidden="1">
      <c r="A528" s="155"/>
      <c r="B528" s="28" t="s">
        <v>1390</v>
      </c>
      <c r="C528" s="143" t="str">
        <f>VLOOKUP(B528,'Thống kê'!$C$3:$D$669,2,0)</f>
        <v>Móc khoá Labubu mini Popmart</v>
      </c>
      <c r="D528" s="144" t="str">
        <f>VLOOKUP(B528,'Thống kê'!$C$3:$E$682,3,0)</f>
        <v>cái</v>
      </c>
      <c r="E528" s="100">
        <v>15.98</v>
      </c>
      <c r="F528" s="101">
        <v>20</v>
      </c>
      <c r="G528" s="100"/>
    </row>
    <row r="529" spans="1:7" ht="13.2" hidden="1">
      <c r="A529" s="155"/>
      <c r="B529" s="28" t="s">
        <v>1392</v>
      </c>
      <c r="C529" s="143" t="str">
        <f>VLOOKUP(B529,'Thống kê'!$C$3:$D$669,2,0)</f>
        <v>Móc khoá Labubu mini Popmart</v>
      </c>
      <c r="D529" s="144" t="str">
        <f>VLOOKUP(B529,'Thống kê'!$C$3:$E$682,3,0)</f>
        <v>cái</v>
      </c>
      <c r="E529" s="100">
        <v>15.98</v>
      </c>
      <c r="F529" s="101">
        <v>10</v>
      </c>
      <c r="G529" s="100"/>
    </row>
    <row r="530" spans="1:7" ht="13.2" hidden="1">
      <c r="A530" s="155"/>
      <c r="B530" s="28" t="s">
        <v>1393</v>
      </c>
      <c r="C530" s="143" t="str">
        <f>VLOOKUP(B530,'Thống kê'!$C$3:$D$669,2,0)</f>
        <v>Móc khoá Labubu mini Popmart</v>
      </c>
      <c r="D530" s="144" t="str">
        <f>VLOOKUP(B530,'Thống kê'!$C$3:$E$682,3,0)</f>
        <v>cái</v>
      </c>
      <c r="E530" s="100">
        <v>15.98</v>
      </c>
      <c r="F530" s="101">
        <v>10</v>
      </c>
      <c r="G530" s="100"/>
    </row>
    <row r="531" spans="1:7" ht="13.2" hidden="1">
      <c r="A531" s="155"/>
      <c r="B531" s="28" t="s">
        <v>1394</v>
      </c>
      <c r="C531" s="143" t="str">
        <f>VLOOKUP(B531,'Thống kê'!$C$3:$D$669,2,0)</f>
        <v>Móc khoá Labubu mini Popmart</v>
      </c>
      <c r="D531" s="144" t="str">
        <f>VLOOKUP(B531,'Thống kê'!$C$3:$E$682,3,0)</f>
        <v>cái</v>
      </c>
      <c r="E531" s="100">
        <v>15.98</v>
      </c>
      <c r="F531" s="101">
        <v>5</v>
      </c>
      <c r="G531" s="100"/>
    </row>
    <row r="532" spans="1:7" ht="13.2" hidden="1">
      <c r="A532" s="155"/>
      <c r="B532" s="28" t="s">
        <v>1395</v>
      </c>
      <c r="C532" s="143" t="str">
        <f>VLOOKUP(B532,'Thống kê'!$C$3:$D$669,2,0)</f>
        <v>Móc khoá Labubu mini Popmart</v>
      </c>
      <c r="D532" s="144" t="str">
        <f>VLOOKUP(B532,'Thống kê'!$C$3:$E$682,3,0)</f>
        <v>cái</v>
      </c>
      <c r="E532" s="100">
        <v>15.98</v>
      </c>
      <c r="F532" s="101">
        <v>5</v>
      </c>
      <c r="G532" s="100"/>
    </row>
    <row r="533" spans="1:7" ht="13.2" hidden="1">
      <c r="A533" s="155"/>
      <c r="B533" s="28" t="s">
        <v>1396</v>
      </c>
      <c r="C533" s="143" t="str">
        <f>VLOOKUP(B533,'Thống kê'!$C$3:$D$669,2,0)</f>
        <v>Móc khoá Labubu mini Popmart</v>
      </c>
      <c r="D533" s="144" t="str">
        <f>VLOOKUP(B533,'Thống kê'!$C$3:$E$682,3,0)</f>
        <v>cái</v>
      </c>
      <c r="E533" s="100">
        <v>15.98</v>
      </c>
      <c r="F533" s="101">
        <v>10</v>
      </c>
      <c r="G533" s="100"/>
    </row>
    <row r="534" spans="1:7" ht="13.2" hidden="1">
      <c r="A534" s="155"/>
      <c r="B534" s="28" t="s">
        <v>285</v>
      </c>
      <c r="C534" s="143" t="str">
        <f>VLOOKUP(B534,'Thống kê'!$C$3:$D$669,2,0)</f>
        <v>Móc khoá Labubu mini Popmart</v>
      </c>
      <c r="D534" s="144" t="str">
        <f>VLOOKUP(B534,'Thống kê'!$C$3:$E$682,3,0)</f>
        <v>cái</v>
      </c>
      <c r="E534" s="100">
        <v>15.98</v>
      </c>
      <c r="F534" s="101">
        <v>10</v>
      </c>
      <c r="G534" s="100"/>
    </row>
    <row r="535" spans="1:7" ht="13.2" hidden="1">
      <c r="A535" s="155"/>
      <c r="B535" s="28" t="s">
        <v>1397</v>
      </c>
      <c r="C535" s="143" t="str">
        <f>VLOOKUP(B535,'Thống kê'!$C$3:$D$669,2,0)</f>
        <v>Móc khoá Labubu mini Popmart</v>
      </c>
      <c r="D535" s="144" t="str">
        <f>VLOOKUP(B535,'Thống kê'!$C$3:$E$682,3,0)</f>
        <v>cái</v>
      </c>
      <c r="E535" s="100">
        <v>15.98</v>
      </c>
      <c r="F535" s="101">
        <v>15</v>
      </c>
      <c r="G535" s="100"/>
    </row>
    <row r="536" spans="1:7" ht="13.2" hidden="1">
      <c r="A536" s="155"/>
      <c r="B536" s="28" t="s">
        <v>1398</v>
      </c>
      <c r="C536" s="143" t="str">
        <f>VLOOKUP(B536,'Thống kê'!$C$3:$D$669,2,0)</f>
        <v>Móc khoá Labubu mini Popmart</v>
      </c>
      <c r="D536" s="144" t="str">
        <f>VLOOKUP(B536,'Thống kê'!$C$3:$E$682,3,0)</f>
        <v>cái</v>
      </c>
      <c r="E536" s="100">
        <v>15.98</v>
      </c>
      <c r="F536" s="101">
        <v>5</v>
      </c>
      <c r="G536" s="100"/>
    </row>
    <row r="537" spans="1:7" ht="13.2" hidden="1">
      <c r="A537" s="155"/>
      <c r="B537" s="28" t="s">
        <v>1399</v>
      </c>
      <c r="C537" s="143" t="str">
        <f>VLOOKUP(B537,'Thống kê'!$C$3:$D$669,2,0)</f>
        <v>Móc khoá Labubu mini Popmart</v>
      </c>
      <c r="D537" s="144" t="str">
        <f>VLOOKUP(B537,'Thống kê'!$C$3:$E$682,3,0)</f>
        <v>cái</v>
      </c>
      <c r="E537" s="100">
        <v>15.98</v>
      </c>
      <c r="F537" s="101">
        <v>5</v>
      </c>
      <c r="G537" s="100"/>
    </row>
    <row r="538" spans="1:7" ht="13.2" hidden="1">
      <c r="A538" s="155"/>
      <c r="B538" s="28" t="s">
        <v>1384</v>
      </c>
      <c r="C538" s="143" t="str">
        <f>VLOOKUP(B538,'Thống kê'!$C$3:$D$669,2,0)</f>
        <v>Móc khoá Crybaby mini Popmart</v>
      </c>
      <c r="D538" s="144" t="str">
        <f>VLOOKUP(B538,'Thống kê'!$C$3:$E$682,3,0)</f>
        <v>cái</v>
      </c>
      <c r="E538" s="100">
        <v>17.75</v>
      </c>
      <c r="F538" s="101">
        <v>25</v>
      </c>
      <c r="G538" s="100"/>
    </row>
    <row r="539" spans="1:7" ht="13.2" hidden="1">
      <c r="A539" s="155"/>
      <c r="B539" s="28" t="s">
        <v>1386</v>
      </c>
      <c r="C539" s="143" t="str">
        <f>VLOOKUP(B539,'Thống kê'!$C$3:$D$669,2,0)</f>
        <v>Móc khoá Crybaby mini Popmart</v>
      </c>
      <c r="D539" s="144" t="str">
        <f>VLOOKUP(B539,'Thống kê'!$C$3:$E$682,3,0)</f>
        <v>cái</v>
      </c>
      <c r="E539" s="100">
        <v>17.75</v>
      </c>
      <c r="F539" s="101">
        <v>8</v>
      </c>
      <c r="G539" s="100"/>
    </row>
    <row r="540" spans="1:7" ht="13.2" hidden="1">
      <c r="A540" s="155"/>
      <c r="B540" s="28" t="s">
        <v>1387</v>
      </c>
      <c r="C540" s="143" t="str">
        <f>VLOOKUP(B540,'Thống kê'!$C$3:$D$669,2,0)</f>
        <v>Móc khoá Crybaby mini Popmart</v>
      </c>
      <c r="D540" s="144" t="str">
        <f>VLOOKUP(B540,'Thống kê'!$C$3:$E$682,3,0)</f>
        <v>cái</v>
      </c>
      <c r="E540" s="100">
        <v>17.75</v>
      </c>
      <c r="F540" s="101">
        <v>20</v>
      </c>
      <c r="G540" s="100"/>
    </row>
    <row r="541" spans="1:7" ht="13.2" hidden="1">
      <c r="A541" s="155"/>
      <c r="B541" s="28" t="s">
        <v>1388</v>
      </c>
      <c r="C541" s="143" t="str">
        <f>VLOOKUP(B541,'Thống kê'!$C$3:$D$669,2,0)</f>
        <v>Móc khoá Crybaby mini Popmart</v>
      </c>
      <c r="D541" s="144" t="str">
        <f>VLOOKUP(B541,'Thống kê'!$C$3:$E$682,3,0)</f>
        <v>cái</v>
      </c>
      <c r="E541" s="100">
        <v>17.75</v>
      </c>
      <c r="F541" s="101">
        <v>12</v>
      </c>
      <c r="G541" s="100"/>
    </row>
    <row r="542" spans="1:7" ht="13.2" hidden="1">
      <c r="A542" s="155"/>
      <c r="B542" s="28" t="s">
        <v>138</v>
      </c>
      <c r="C542" s="143" t="str">
        <f>VLOOKUP(B542,'Thống kê'!$C$3:$D$669,2,0)</f>
        <v>Móc khoá Crybaby mini Popmart</v>
      </c>
      <c r="D542" s="144" t="str">
        <f>VLOOKUP(B542,'Thống kê'!$C$3:$E$682,3,0)</f>
        <v>cái</v>
      </c>
      <c r="E542" s="100">
        <v>17.75</v>
      </c>
      <c r="F542" s="101">
        <v>20</v>
      </c>
      <c r="G542" s="100"/>
    </row>
    <row r="543" spans="1:7" ht="13.2" hidden="1">
      <c r="A543" s="155"/>
      <c r="B543" s="28" t="s">
        <v>1389</v>
      </c>
      <c r="C543" s="143" t="str">
        <f>VLOOKUP(B543,'Thống kê'!$C$3:$D$669,2,0)</f>
        <v>Móc khoá Crybaby mini Popmart</v>
      </c>
      <c r="D543" s="144" t="str">
        <f>VLOOKUP(B543,'Thống kê'!$C$3:$E$682,3,0)</f>
        <v>cái</v>
      </c>
      <c r="E543" s="100">
        <v>17.75</v>
      </c>
      <c r="F543" s="101">
        <v>8</v>
      </c>
      <c r="G543" s="100"/>
    </row>
    <row r="544" spans="1:7" ht="13.2" hidden="1">
      <c r="A544" s="155"/>
      <c r="B544" s="28" t="s">
        <v>258</v>
      </c>
      <c r="C544" s="143" t="str">
        <f>VLOOKUP(B544,'Thống kê'!$C$3:$D$669,2,0)</f>
        <v>Móc khoá Crybaby mini Popmart</v>
      </c>
      <c r="D544" s="144" t="str">
        <f>VLOOKUP(B544,'Thống kê'!$C$3:$E$682,3,0)</f>
        <v>cái</v>
      </c>
      <c r="E544" s="100">
        <v>17.75</v>
      </c>
      <c r="F544" s="101">
        <v>10</v>
      </c>
      <c r="G544" s="100"/>
    </row>
    <row r="545" spans="1:7" ht="13.2" hidden="1">
      <c r="A545" s="155"/>
      <c r="B545" s="28" t="s">
        <v>230</v>
      </c>
      <c r="C545" s="143" t="str">
        <f>VLOOKUP(B545,'Thống kê'!$C$3:$D$669,2,0)</f>
        <v>Móc khoá Crybaby mini Popmart</v>
      </c>
      <c r="D545" s="144" t="str">
        <f>VLOOKUP(B545,'Thống kê'!$C$3:$E$682,3,0)</f>
        <v>cái</v>
      </c>
      <c r="E545" s="100">
        <v>17.760000000000002</v>
      </c>
      <c r="F545" s="101">
        <v>3</v>
      </c>
      <c r="G545" s="100"/>
    </row>
    <row r="546" spans="1:7" ht="13.2" hidden="1">
      <c r="A546" s="155"/>
      <c r="B546" s="28" t="s">
        <v>259</v>
      </c>
      <c r="C546" s="143" t="str">
        <f>VLOOKUP(B546,'Thống kê'!$C$3:$D$669,2,0)</f>
        <v>Móc khoá Crybaby mini Popmart</v>
      </c>
      <c r="D546" s="144" t="str">
        <f>VLOOKUP(B546,'Thống kê'!$C$3:$E$682,3,0)</f>
        <v>cái</v>
      </c>
      <c r="E546" s="100">
        <v>17.760000000000002</v>
      </c>
      <c r="F546" s="101">
        <v>3</v>
      </c>
      <c r="G546" s="100"/>
    </row>
    <row r="547" spans="1:7" ht="13.2" hidden="1">
      <c r="A547" s="155"/>
      <c r="B547" s="28" t="s">
        <v>113</v>
      </c>
      <c r="C547" s="143" t="str">
        <f>VLOOKUP(B547,'Thống kê'!$C$3:$D$669,2,0)</f>
        <v>Móc khoá Dimoo size mini (hàng remake)</v>
      </c>
      <c r="D547" s="144" t="str">
        <f>VLOOKUP(B547,'Thống kê'!$C$3:$E$682,3,0)</f>
        <v>cái</v>
      </c>
      <c r="E547" s="100">
        <v>17.86</v>
      </c>
      <c r="F547" s="101">
        <v>10</v>
      </c>
      <c r="G547" s="100"/>
    </row>
    <row r="548" spans="1:7" ht="13.2" hidden="1">
      <c r="A548" s="155"/>
      <c r="B548" s="28" t="s">
        <v>1401</v>
      </c>
      <c r="C548" s="143" t="str">
        <f>VLOOKUP(B548,'Thống kê'!$C$3:$D$669,2,0)</f>
        <v>Móc khoá Dimoo size mini (hàng remake)</v>
      </c>
      <c r="D548" s="144" t="str">
        <f>VLOOKUP(B548,'Thống kê'!$C$3:$E$682,3,0)</f>
        <v>cái</v>
      </c>
      <c r="E548" s="100">
        <v>15.98</v>
      </c>
      <c r="F548" s="101">
        <v>10</v>
      </c>
      <c r="G548" s="100"/>
    </row>
    <row r="549" spans="1:7" ht="13.2" hidden="1">
      <c r="A549" s="155"/>
      <c r="B549" s="28" t="s">
        <v>1402</v>
      </c>
      <c r="C549" s="143" t="str">
        <f>VLOOKUP(B549,'Thống kê'!$C$3:$D$669,2,0)</f>
        <v>Móc khoá Dimoo size mini (hàng remake)</v>
      </c>
      <c r="D549" s="144" t="str">
        <f>VLOOKUP(B549,'Thống kê'!$C$3:$E$682,3,0)</f>
        <v>cái</v>
      </c>
      <c r="E549" s="100">
        <v>15.98</v>
      </c>
      <c r="F549" s="101">
        <v>10</v>
      </c>
      <c r="G549" s="100"/>
    </row>
    <row r="550" spans="1:7" ht="13.2" hidden="1">
      <c r="A550" s="155"/>
      <c r="B550" s="28" t="s">
        <v>1403</v>
      </c>
      <c r="C550" s="143" t="str">
        <f>VLOOKUP(B550,'Thống kê'!$C$3:$D$669,2,0)</f>
        <v>Móc khoá Dimoo size mini (hàng remake) hồng</v>
      </c>
      <c r="D550" s="144" t="str">
        <f>VLOOKUP(B550,'Thống kê'!$C$3:$E$682,3,0)</f>
        <v>cái</v>
      </c>
      <c r="E550" s="100">
        <v>15.98</v>
      </c>
      <c r="F550" s="101">
        <v>10</v>
      </c>
      <c r="G550" s="100"/>
    </row>
    <row r="551" spans="1:7" ht="13.2" hidden="1">
      <c r="A551" s="155">
        <v>45567</v>
      </c>
      <c r="B551" s="28" t="s">
        <v>1365</v>
      </c>
      <c r="C551" s="143" t="str">
        <f>VLOOKUP(B551,'Thống kê'!$C$3:$D$669,2,0)</f>
        <v>Móc khóa Popbean</v>
      </c>
      <c r="D551" s="144" t="str">
        <f>VLOOKUP(B551,'Thống kê'!$C$3:$E$682,3,0)</f>
        <v>cái</v>
      </c>
      <c r="E551" s="100"/>
      <c r="F551" s="101">
        <v>5</v>
      </c>
      <c r="G551" s="100"/>
    </row>
    <row r="552" spans="1:7" ht="13.2" hidden="1">
      <c r="A552" s="155"/>
      <c r="B552" s="28" t="s">
        <v>1370</v>
      </c>
      <c r="C552" s="143" t="str">
        <f>VLOOKUP(B552,'Thống kê'!$C$3:$D$669,2,0)</f>
        <v>Móc khóa Popbean</v>
      </c>
      <c r="D552" s="144" t="str">
        <f>VLOOKUP(B552,'Thống kê'!$C$3:$E$682,3,0)</f>
        <v>cái</v>
      </c>
      <c r="E552" s="100"/>
      <c r="F552" s="101">
        <v>5</v>
      </c>
      <c r="G552" s="100"/>
    </row>
    <row r="553" spans="1:7" ht="13.2" hidden="1">
      <c r="A553" s="155"/>
      <c r="B553" s="28" t="s">
        <v>1692</v>
      </c>
      <c r="C553" s="143" t="str">
        <f>VLOOKUP(B553,'Thống kê'!$C$3:$D$669,2,0)</f>
        <v>Móc khóa Popbean 06</v>
      </c>
      <c r="D553" s="144" t="str">
        <f>VLOOKUP(B553,'Thống kê'!$C$3:$E$682,3,0)</f>
        <v>cái</v>
      </c>
      <c r="E553" s="93"/>
      <c r="F553" s="101">
        <v>3</v>
      </c>
      <c r="G553" s="100"/>
    </row>
    <row r="554" spans="1:7" ht="13.2" hidden="1">
      <c r="A554" s="155"/>
      <c r="B554" s="28" t="s">
        <v>1693</v>
      </c>
      <c r="C554" s="143" t="str">
        <f>VLOOKUP(B554,'Thống kê'!$C$3:$D$669,2,0)</f>
        <v>Móc khóa Popbean 08</v>
      </c>
      <c r="D554" s="144" t="str">
        <f>VLOOKUP(B554,'Thống kê'!$C$3:$E$682,3,0)</f>
        <v>cái</v>
      </c>
      <c r="E554" s="93"/>
      <c r="F554" s="101">
        <v>3</v>
      </c>
      <c r="G554" s="100"/>
    </row>
    <row r="555" spans="1:7" ht="13.2" hidden="1">
      <c r="A555" s="155"/>
      <c r="B555" s="28" t="s">
        <v>1694</v>
      </c>
      <c r="C555" s="143" t="str">
        <f>VLOOKUP(B555,'Thống kê'!$C$3:$D$669,2,0)</f>
        <v>Móc khóa Popbean 10</v>
      </c>
      <c r="D555" s="144" t="str">
        <f>VLOOKUP(B555,'Thống kê'!$C$3:$E$682,3,0)</f>
        <v>cái</v>
      </c>
      <c r="E555" s="93"/>
      <c r="F555" s="101">
        <v>2</v>
      </c>
      <c r="G555" s="100"/>
    </row>
    <row r="556" spans="1:7" ht="13.2" hidden="1">
      <c r="A556" s="155"/>
      <c r="B556" s="28" t="s">
        <v>1695</v>
      </c>
      <c r="C556" s="143" t="str">
        <f>VLOOKUP(B556,'Thống kê'!$C$3:$D$669,2,0)</f>
        <v>Móc khóa Popbean 12</v>
      </c>
      <c r="D556" s="144" t="str">
        <f>VLOOKUP(B556,'Thống kê'!$C$3:$E$682,3,0)</f>
        <v>cái</v>
      </c>
      <c r="E556" s="93"/>
      <c r="F556" s="101">
        <v>3</v>
      </c>
      <c r="G556" s="100"/>
    </row>
    <row r="557" spans="1:7" ht="13.2" hidden="1">
      <c r="A557" s="155">
        <v>45569</v>
      </c>
      <c r="B557" s="28" t="s">
        <v>143</v>
      </c>
      <c r="C557" s="143" t="str">
        <f>VLOOKUP(B557,'Thống kê'!$C$3:$D$669,2,0)</f>
        <v>Mèo ú</v>
      </c>
      <c r="D557" s="144" t="str">
        <f>VLOOKUP(B557,'Thống kê'!$C$3:$E$682,3,0)</f>
        <v>cái</v>
      </c>
      <c r="E557" s="100">
        <v>7.51</v>
      </c>
      <c r="F557" s="101">
        <v>5</v>
      </c>
      <c r="G557" s="100"/>
    </row>
    <row r="558" spans="1:7" ht="13.2" hidden="1">
      <c r="A558" s="155"/>
      <c r="B558" s="28" t="s">
        <v>1586</v>
      </c>
      <c r="C558" s="143" t="str">
        <f>VLOOKUP(B558,'Thống kê'!$C$3:$D$669,2,0)</f>
        <v>Thỏ ú hoa</v>
      </c>
      <c r="D558" s="144" t="str">
        <f>VLOOKUP(B558,'Thống kê'!$C$3:$E$682,3,0)</f>
        <v>cái</v>
      </c>
      <c r="E558" s="100">
        <v>8.4600000000000009</v>
      </c>
      <c r="F558" s="101">
        <v>1</v>
      </c>
      <c r="G558" s="100"/>
    </row>
    <row r="559" spans="1:7" ht="13.2" hidden="1">
      <c r="A559" s="155"/>
      <c r="B559" s="28" t="s">
        <v>186</v>
      </c>
      <c r="C559" s="143" t="str">
        <f>VLOOKUP(B559,'Thống kê'!$C$3:$D$669,2,0)</f>
        <v>Thỏ ú bay</v>
      </c>
      <c r="D559" s="144" t="str">
        <f>VLOOKUP(B559,'Thống kê'!$C$3:$E$682,3,0)</f>
        <v>cái</v>
      </c>
      <c r="E559" s="100">
        <v>8.4600000000000009</v>
      </c>
      <c r="F559" s="101">
        <v>10</v>
      </c>
      <c r="G559" s="100"/>
    </row>
    <row r="560" spans="1:7" ht="13.2" hidden="1">
      <c r="A560" s="155"/>
      <c r="B560" s="28" t="s">
        <v>1588</v>
      </c>
      <c r="C560" s="143" t="str">
        <f>VLOOKUP(B560,'Thống kê'!$C$3:$D$669,2,0)</f>
        <v>Heo ú hoa</v>
      </c>
      <c r="D560" s="144" t="str">
        <f>VLOOKUP(B560,'Thống kê'!$C$3:$E$682,3,0)</f>
        <v>cái</v>
      </c>
      <c r="E560" s="100">
        <v>8.4600000000000009</v>
      </c>
      <c r="F560" s="101">
        <v>3</v>
      </c>
      <c r="G560" s="100"/>
    </row>
    <row r="561" spans="1:7" ht="13.2" hidden="1">
      <c r="A561" s="155"/>
      <c r="B561" s="28" t="s">
        <v>1589</v>
      </c>
      <c r="C561" s="143" t="str">
        <f>VLOOKUP(B561,'Thống kê'!$C$3:$D$669,2,0)</f>
        <v>Heo ú bay</v>
      </c>
      <c r="D561" s="144" t="str">
        <f>VLOOKUP(B561,'Thống kê'!$C$3:$E$682,3,0)</f>
        <v>cái</v>
      </c>
      <c r="E561" s="100">
        <v>8.4600000000000009</v>
      </c>
      <c r="F561" s="101">
        <v>10</v>
      </c>
      <c r="G561" s="100"/>
    </row>
    <row r="562" spans="1:7" ht="13.2" hidden="1">
      <c r="A562" s="155"/>
      <c r="B562" s="28" t="s">
        <v>1591</v>
      </c>
      <c r="C562" s="143" t="str">
        <f>VLOOKUP(B562,'Thống kê'!$C$3:$D$669,2,0)</f>
        <v>Thỏ ú</v>
      </c>
      <c r="D562" s="144" t="str">
        <f>VLOOKUP(B562,'Thống kê'!$C$3:$E$682,3,0)</f>
        <v>cái</v>
      </c>
      <c r="E562" s="100">
        <v>7.51</v>
      </c>
      <c r="F562" s="101">
        <v>15</v>
      </c>
      <c r="G562" s="100"/>
    </row>
    <row r="563" spans="1:7" ht="13.2" hidden="1">
      <c r="A563" s="155"/>
      <c r="B563" s="28" t="s">
        <v>325</v>
      </c>
      <c r="C563" s="143" t="str">
        <f>VLOOKUP(B563,'Thống kê'!$C$3:$D$669,2,0)</f>
        <v>Gấu ú</v>
      </c>
      <c r="D563" s="144" t="str">
        <f>VLOOKUP(B563,'Thống kê'!$C$3:$E$682,3,0)</f>
        <v>cái</v>
      </c>
      <c r="E563" s="100">
        <v>7.51</v>
      </c>
      <c r="F563" s="101">
        <v>5</v>
      </c>
      <c r="G563" s="100"/>
    </row>
    <row r="564" spans="1:7" ht="13.2" hidden="1">
      <c r="A564" s="155"/>
      <c r="B564" s="28" t="s">
        <v>115</v>
      </c>
      <c r="C564" s="143" t="str">
        <f>VLOOKUP(B564,'Thống kê'!$C$3:$D$669,2,0)</f>
        <v>Heo ú</v>
      </c>
      <c r="D564" s="144" t="str">
        <f>VLOOKUP(B564,'Thống kê'!$C$3:$E$682,3,0)</f>
        <v>cái</v>
      </c>
      <c r="E564" s="100">
        <v>7.51</v>
      </c>
      <c r="F564" s="101">
        <v>30</v>
      </c>
      <c r="G564" s="100"/>
    </row>
    <row r="565" spans="1:7" ht="13.2" hidden="1">
      <c r="A565" s="155"/>
      <c r="B565" s="28" t="s">
        <v>1632</v>
      </c>
      <c r="C565" s="143" t="str">
        <f>VLOOKUP(B565,'Thống kê'!$C$3:$D$669,2,0)</f>
        <v>Móc khóa đôi mèo trắng</v>
      </c>
      <c r="D565" s="144" t="str">
        <f>VLOOKUP(B565,'Thống kê'!$C$3:$E$682,3,0)</f>
        <v>cái</v>
      </c>
      <c r="E565" s="100">
        <v>6.41</v>
      </c>
      <c r="F565" s="101">
        <v>3</v>
      </c>
      <c r="G565" s="100"/>
    </row>
    <row r="566" spans="1:7" ht="13.2" hidden="1">
      <c r="A566" s="155"/>
      <c r="B566" s="28" t="s">
        <v>1624</v>
      </c>
      <c r="C566" s="143" t="str">
        <f>VLOOKUP(B566,'Thống kê'!$C$3:$D$669,2,0)</f>
        <v>Móc khóa mèo trái tim</v>
      </c>
      <c r="D566" s="144" t="str">
        <f>VLOOKUP(B566,'Thống kê'!$C$3:$E$682,3,0)</f>
        <v>cái</v>
      </c>
      <c r="E566" s="100">
        <v>6.4</v>
      </c>
      <c r="F566" s="101">
        <v>20</v>
      </c>
      <c r="G566" s="100"/>
    </row>
    <row r="567" spans="1:7" ht="13.2" hidden="1">
      <c r="A567" s="155"/>
      <c r="B567" s="28" t="s">
        <v>1625</v>
      </c>
      <c r="C567" s="143" t="str">
        <f>VLOOKUP(B567,'Thống kê'!$C$3:$D$669,2,0)</f>
        <v>Móc khóa đôi 2 mèo trắng nâu</v>
      </c>
      <c r="D567" s="144" t="str">
        <f>VLOOKUP(B567,'Thống kê'!$C$3:$E$682,3,0)</f>
        <v>cái</v>
      </c>
      <c r="E567" s="100">
        <v>6.4</v>
      </c>
      <c r="F567" s="101">
        <v>10</v>
      </c>
      <c r="G567" s="100"/>
    </row>
    <row r="568" spans="1:7" ht="13.2" hidden="1">
      <c r="A568" s="155">
        <v>45571</v>
      </c>
      <c r="B568" s="28" t="s">
        <v>244</v>
      </c>
      <c r="C568" s="143" t="str">
        <f>VLOOKUP(B568,'Thống kê'!$C$3:$D$669,2,0)</f>
        <v>Móc khóa chuối</v>
      </c>
      <c r="D568" s="144" t="str">
        <f>VLOOKUP(B568,'Thống kê'!$C$3:$E$682,3,0)</f>
        <v>cái</v>
      </c>
      <c r="E568" s="93"/>
      <c r="F568" s="101">
        <v>6</v>
      </c>
      <c r="G568" s="100"/>
    </row>
    <row r="569" spans="1:7" ht="13.2" hidden="1">
      <c r="A569" s="155"/>
      <c r="B569" s="28" t="s">
        <v>1337</v>
      </c>
      <c r="C569" s="143" t="str">
        <f>VLOOKUP(B569,'Thống kê'!$C$3:$D$669,2,0)</f>
        <v>Móc khóa chuối</v>
      </c>
      <c r="D569" s="144" t="str">
        <f>VLOOKUP(B569,'Thống kê'!$C$3:$E$682,3,0)</f>
        <v>cái</v>
      </c>
      <c r="E569" s="100"/>
      <c r="F569" s="101">
        <v>3</v>
      </c>
      <c r="G569" s="100"/>
    </row>
    <row r="570" spans="1:7" ht="13.2" hidden="1">
      <c r="A570" s="155"/>
      <c r="B570" s="28" t="s">
        <v>1338</v>
      </c>
      <c r="C570" s="143" t="str">
        <f>VLOOKUP(B570,'Thống kê'!$C$3:$D$669,2,0)</f>
        <v>Móc khóa chuối</v>
      </c>
      <c r="D570" s="144" t="str">
        <f>VLOOKUP(B570,'Thống kê'!$C$3:$E$682,3,0)</f>
        <v>cái</v>
      </c>
      <c r="E570" s="100"/>
      <c r="F570" s="101">
        <v>4</v>
      </c>
      <c r="G570" s="100"/>
    </row>
    <row r="571" spans="1:7" ht="13.2" hidden="1">
      <c r="A571" s="155"/>
      <c r="B571" s="28" t="s">
        <v>1339</v>
      </c>
      <c r="C571" s="143" t="str">
        <f>VLOOKUP(B571,'Thống kê'!$C$3:$D$669,2,0)</f>
        <v>Móc khóa chuối</v>
      </c>
      <c r="D571" s="144" t="str">
        <f>VLOOKUP(B571,'Thống kê'!$C$3:$E$682,3,0)</f>
        <v>cái</v>
      </c>
      <c r="E571" s="93"/>
      <c r="F571" s="101">
        <v>2</v>
      </c>
      <c r="G571" s="100"/>
    </row>
    <row r="572" spans="1:7" ht="13.2" hidden="1">
      <c r="A572" s="155"/>
      <c r="B572" s="28" t="s">
        <v>1340</v>
      </c>
      <c r="C572" s="143" t="str">
        <f>VLOOKUP(B572,'Thống kê'!$C$3:$D$669,2,0)</f>
        <v>Móc khóa chuối</v>
      </c>
      <c r="D572" s="144" t="str">
        <f>VLOOKUP(B572,'Thống kê'!$C$3:$E$682,3,0)</f>
        <v>cái</v>
      </c>
      <c r="E572" s="93"/>
      <c r="F572" s="101">
        <v>6</v>
      </c>
      <c r="G572" s="100"/>
    </row>
    <row r="573" spans="1:7" ht="13.2" hidden="1">
      <c r="A573" s="155"/>
      <c r="B573" s="28" t="s">
        <v>1342</v>
      </c>
      <c r="C573" s="143" t="str">
        <f>VLOOKUP(B573,'Thống kê'!$C$3:$D$669,2,0)</f>
        <v>Móc khóa chuối</v>
      </c>
      <c r="D573" s="144" t="str">
        <f>VLOOKUP(B573,'Thống kê'!$C$3:$E$682,3,0)</f>
        <v>cái</v>
      </c>
      <c r="E573" s="100"/>
      <c r="F573" s="101">
        <v>4</v>
      </c>
      <c r="G573" s="100"/>
    </row>
    <row r="574" spans="1:7" ht="13.2" hidden="1">
      <c r="A574" s="155"/>
      <c r="B574" s="28" t="s">
        <v>170</v>
      </c>
      <c r="C574" s="143" t="str">
        <f>VLOOKUP(B574,'Thống kê'!$C$3:$D$669,2,0)</f>
        <v>Móc khóa chuối</v>
      </c>
      <c r="D574" s="144" t="str">
        <f>VLOOKUP(B574,'Thống kê'!$C$3:$E$682,3,0)</f>
        <v>cái</v>
      </c>
      <c r="E574" s="100"/>
      <c r="F574" s="101">
        <v>4</v>
      </c>
      <c r="G574" s="100"/>
    </row>
    <row r="575" spans="1:7" ht="13.2" hidden="1">
      <c r="A575" s="155"/>
      <c r="B575" s="28" t="s">
        <v>1345</v>
      </c>
      <c r="C575" s="143" t="str">
        <f>VLOOKUP(B575,'Thống kê'!$C$3:$D$669,2,0)</f>
        <v>Móc khóa chuối</v>
      </c>
      <c r="D575" s="144" t="str">
        <f>VLOOKUP(B575,'Thống kê'!$C$3:$E$682,3,0)</f>
        <v>cái</v>
      </c>
      <c r="E575" s="100"/>
      <c r="F575" s="101">
        <v>5</v>
      </c>
      <c r="G575" s="100"/>
    </row>
    <row r="576" spans="1:7" ht="13.2" hidden="1">
      <c r="A576" s="155"/>
      <c r="B576" s="28" t="s">
        <v>1696</v>
      </c>
      <c r="C576" s="143" t="str">
        <f>VLOOKUP(B576,'Thống kê'!$C$3:$D$669,2,0)</f>
        <v>gấu</v>
      </c>
      <c r="D576" s="144" t="str">
        <f>VLOOKUP(B576,'Thống kê'!$C$3:$E$682,3,0)</f>
        <v>cái</v>
      </c>
      <c r="E576" s="100">
        <v>3.38</v>
      </c>
      <c r="F576" s="101">
        <v>20</v>
      </c>
      <c r="G576" s="100"/>
    </row>
    <row r="577" spans="1:7" ht="13.2" hidden="1">
      <c r="A577" s="155"/>
      <c r="B577" s="28" t="s">
        <v>1697</v>
      </c>
      <c r="C577" s="143" t="str">
        <f>VLOOKUP(B577,'Thống kê'!$C$3:$D$669,2,0)</f>
        <v>heo</v>
      </c>
      <c r="D577" s="144" t="str">
        <f>VLOOKUP(B577,'Thống kê'!$C$3:$E$682,3,0)</f>
        <v>cái</v>
      </c>
      <c r="E577" s="100">
        <v>3.38</v>
      </c>
      <c r="F577" s="101">
        <v>60</v>
      </c>
      <c r="G577" s="100"/>
    </row>
    <row r="578" spans="1:7" ht="13.2" hidden="1">
      <c r="A578" s="155"/>
      <c r="B578" s="28" t="s">
        <v>94</v>
      </c>
      <c r="C578" s="143" t="str">
        <f>VLOOKUP(B578,'Thống kê'!$C$3:$D$669,2,0)</f>
        <v>thỏ</v>
      </c>
      <c r="D578" s="144" t="str">
        <f>VLOOKUP(B578,'Thống kê'!$C$3:$E$682,3,0)</f>
        <v>cái</v>
      </c>
      <c r="E578" s="100">
        <v>3.38</v>
      </c>
      <c r="F578" s="101">
        <v>30</v>
      </c>
      <c r="G578" s="100"/>
    </row>
    <row r="579" spans="1:7" ht="13.2" hidden="1">
      <c r="A579" s="155"/>
      <c r="B579" s="28" t="s">
        <v>149</v>
      </c>
      <c r="C579" s="143" t="str">
        <f>VLOOKUP(B579,'Thống kê'!$C$3:$D$669,2,0)</f>
        <v>ếch</v>
      </c>
      <c r="D579" s="144" t="str">
        <f>VLOOKUP(B579,'Thống kê'!$C$3:$E$682,3,0)</f>
        <v>cái</v>
      </c>
      <c r="E579" s="100">
        <v>3.38</v>
      </c>
      <c r="F579" s="101">
        <v>20</v>
      </c>
      <c r="G579" s="100"/>
    </row>
    <row r="580" spans="1:7" ht="13.2" hidden="1">
      <c r="A580" s="155"/>
      <c r="B580" s="28" t="s">
        <v>1698</v>
      </c>
      <c r="C580" s="143" t="str">
        <f>VLOOKUP(B580,'Thống kê'!$C$3:$D$669,2,0)</f>
        <v>Mô hình động vật thần tài - Heo hồng</v>
      </c>
      <c r="D580" s="144" t="str">
        <f>VLOOKUP(B580,'Thống kê'!$C$3:$E$682,3,0)</f>
        <v>cái</v>
      </c>
      <c r="E580" s="100">
        <v>6.65</v>
      </c>
      <c r="F580" s="101">
        <v>10</v>
      </c>
      <c r="G580" s="100"/>
    </row>
    <row r="581" spans="1:7" ht="13.2" hidden="1">
      <c r="A581" s="155"/>
      <c r="B581" s="28" t="s">
        <v>1699</v>
      </c>
      <c r="C581" s="143" t="str">
        <f>VLOOKUP(B581,'Thống kê'!$C$3:$D$669,2,0)</f>
        <v>Mô hình động vật thần tài - Capy</v>
      </c>
      <c r="D581" s="144" t="str">
        <f>VLOOKUP(B581,'Thống kê'!$C$3:$E$682,3,0)</f>
        <v>cái</v>
      </c>
      <c r="E581" s="100">
        <v>6.65</v>
      </c>
      <c r="F581" s="101">
        <v>15</v>
      </c>
      <c r="G581" s="100"/>
    </row>
    <row r="582" spans="1:7" ht="13.2" hidden="1">
      <c r="A582" s="155"/>
      <c r="B582" s="28" t="s">
        <v>1700</v>
      </c>
      <c r="C582" s="143" t="str">
        <f>VLOOKUP(B582,'Thống kê'!$C$3:$D$669,2,0)</f>
        <v>Mô hình động vật thần tài - Gấu trúc</v>
      </c>
      <c r="D582" s="144" t="str">
        <f>VLOOKUP(B582,'Thống kê'!$C$3:$E$682,3,0)</f>
        <v>cái</v>
      </c>
      <c r="E582" s="100">
        <v>6.65</v>
      </c>
      <c r="F582" s="101">
        <v>2</v>
      </c>
      <c r="G582" s="100"/>
    </row>
    <row r="583" spans="1:7" ht="13.2" hidden="1">
      <c r="A583" s="155"/>
      <c r="B583" s="28" t="s">
        <v>1685</v>
      </c>
      <c r="C583" s="143" t="str">
        <f>VLOOKUP(B583,'Thống kê'!$C$3:$D$669,2,0)</f>
        <v>Capy</v>
      </c>
      <c r="D583" s="144" t="str">
        <f>VLOOKUP(B583,'Thống kê'!$C$3:$E$682,3,0)</f>
        <v>cái</v>
      </c>
      <c r="E583" s="100">
        <v>6.46</v>
      </c>
      <c r="F583" s="101">
        <v>35</v>
      </c>
      <c r="G583" s="100"/>
    </row>
    <row r="584" spans="1:7" ht="13.2" hidden="1">
      <c r="A584" s="155"/>
      <c r="B584" s="28" t="s">
        <v>1701</v>
      </c>
      <c r="C584" s="143" t="str">
        <f>VLOOKUP(B584,'Thống kê'!$C$3:$D$669,2,0)</f>
        <v>Đôi cún</v>
      </c>
      <c r="D584" s="144" t="str">
        <f>VLOOKUP(B584,'Thống kê'!$C$3:$E$682,3,0)</f>
        <v>cái</v>
      </c>
      <c r="E584" s="100">
        <v>6.46</v>
      </c>
      <c r="F584" s="101">
        <v>20</v>
      </c>
      <c r="G584" s="100"/>
    </row>
    <row r="585" spans="1:7" ht="13.2" hidden="1">
      <c r="A585" s="155"/>
      <c r="B585" s="28" t="s">
        <v>1390</v>
      </c>
      <c r="C585" s="143" t="str">
        <f>VLOOKUP(B585,'Thống kê'!$C$3:$D$669,2,0)</f>
        <v>Móc khoá Labubu mini Popmart</v>
      </c>
      <c r="D585" s="144" t="str">
        <f>VLOOKUP(B585,'Thống kê'!$C$3:$E$682,3,0)</f>
        <v>cái</v>
      </c>
      <c r="E585" s="100"/>
      <c r="F585" s="156"/>
      <c r="G585" s="100"/>
    </row>
    <row r="586" spans="1:7" ht="13.2" hidden="1">
      <c r="A586" s="155"/>
      <c r="B586" s="28" t="s">
        <v>1392</v>
      </c>
      <c r="C586" s="143" t="str">
        <f>VLOOKUP(B586,'Thống kê'!$C$3:$D$669,2,0)</f>
        <v>Móc khoá Labubu mini Popmart</v>
      </c>
      <c r="D586" s="144" t="str">
        <f>VLOOKUP(B586,'Thống kê'!$C$3:$E$682,3,0)</f>
        <v>cái</v>
      </c>
      <c r="E586" s="100">
        <v>16.37</v>
      </c>
      <c r="F586" s="101">
        <v>1</v>
      </c>
      <c r="G586" s="100"/>
    </row>
    <row r="587" spans="1:7" ht="13.2" hidden="1">
      <c r="A587" s="155"/>
      <c r="B587" s="28" t="s">
        <v>1393</v>
      </c>
      <c r="C587" s="143" t="str">
        <f>VLOOKUP(B587,'Thống kê'!$C$3:$D$669,2,0)</f>
        <v>Móc khoá Labubu mini Popmart</v>
      </c>
      <c r="D587" s="144" t="str">
        <f>VLOOKUP(B587,'Thống kê'!$C$3:$E$682,3,0)</f>
        <v>cái</v>
      </c>
      <c r="E587" s="100">
        <v>16.37</v>
      </c>
      <c r="F587" s="101">
        <v>1</v>
      </c>
      <c r="G587" s="100"/>
    </row>
    <row r="588" spans="1:7" ht="13.2" hidden="1">
      <c r="A588" s="155"/>
      <c r="B588" s="28" t="s">
        <v>1394</v>
      </c>
      <c r="C588" s="143" t="str">
        <f>VLOOKUP(B588,'Thống kê'!$C$3:$D$669,2,0)</f>
        <v>Móc khoá Labubu mini Popmart</v>
      </c>
      <c r="D588" s="144" t="str">
        <f>VLOOKUP(B588,'Thống kê'!$C$3:$E$682,3,0)</f>
        <v>cái</v>
      </c>
      <c r="E588" s="100"/>
      <c r="F588" s="156"/>
      <c r="G588" s="100"/>
    </row>
    <row r="589" spans="1:7" ht="13.2" hidden="1">
      <c r="A589" s="155"/>
      <c r="B589" s="28" t="s">
        <v>1395</v>
      </c>
      <c r="C589" s="143" t="str">
        <f>VLOOKUP(B589,'Thống kê'!$C$3:$D$669,2,0)</f>
        <v>Móc khoá Labubu mini Popmart</v>
      </c>
      <c r="D589" s="144" t="str">
        <f>VLOOKUP(B589,'Thống kê'!$C$3:$E$682,3,0)</f>
        <v>cái</v>
      </c>
      <c r="E589" s="100">
        <v>16.37</v>
      </c>
      <c r="F589" s="101">
        <v>1</v>
      </c>
      <c r="G589" s="100"/>
    </row>
    <row r="590" spans="1:7" ht="13.2" hidden="1">
      <c r="A590" s="155"/>
      <c r="B590" s="28" t="s">
        <v>1396</v>
      </c>
      <c r="C590" s="143" t="str">
        <f>VLOOKUP(B590,'Thống kê'!$C$3:$D$669,2,0)</f>
        <v>Móc khoá Labubu mini Popmart</v>
      </c>
      <c r="D590" s="144" t="str">
        <f>VLOOKUP(B590,'Thống kê'!$C$3:$E$682,3,0)</f>
        <v>cái</v>
      </c>
      <c r="E590" s="100">
        <v>16.36</v>
      </c>
      <c r="F590" s="101">
        <v>3</v>
      </c>
      <c r="G590" s="100"/>
    </row>
    <row r="591" spans="1:7" ht="13.2" hidden="1">
      <c r="A591" s="155"/>
      <c r="B591" s="28" t="s">
        <v>285</v>
      </c>
      <c r="C591" s="143" t="str">
        <f>VLOOKUP(B591,'Thống kê'!$C$3:$D$669,2,0)</f>
        <v>Móc khoá Labubu mini Popmart</v>
      </c>
      <c r="D591" s="144" t="str">
        <f>VLOOKUP(B591,'Thống kê'!$C$3:$E$682,3,0)</f>
        <v>cái</v>
      </c>
      <c r="E591" s="100">
        <v>16.36</v>
      </c>
      <c r="F591" s="101">
        <v>3</v>
      </c>
      <c r="G591" s="100"/>
    </row>
    <row r="592" spans="1:7" ht="13.2" hidden="1">
      <c r="A592" s="155"/>
      <c r="B592" s="28" t="s">
        <v>1397</v>
      </c>
      <c r="C592" s="143" t="str">
        <f>VLOOKUP(B592,'Thống kê'!$C$3:$D$669,2,0)</f>
        <v>Móc khoá Labubu mini Popmart</v>
      </c>
      <c r="D592" s="144" t="str">
        <f>VLOOKUP(B592,'Thống kê'!$C$3:$E$682,3,0)</f>
        <v>cái</v>
      </c>
      <c r="E592" s="100">
        <v>16.37</v>
      </c>
      <c r="F592" s="101">
        <v>2</v>
      </c>
      <c r="G592" s="100"/>
    </row>
    <row r="593" spans="1:7" ht="13.2" hidden="1">
      <c r="A593" s="155"/>
      <c r="B593" s="28" t="s">
        <v>1398</v>
      </c>
      <c r="C593" s="143" t="str">
        <f>VLOOKUP(B593,'Thống kê'!$C$3:$D$669,2,0)</f>
        <v>Móc khoá Labubu mini Popmart</v>
      </c>
      <c r="D593" s="144" t="str">
        <f>VLOOKUP(B593,'Thống kê'!$C$3:$E$682,3,0)</f>
        <v>cái</v>
      </c>
      <c r="E593" s="100">
        <v>16.36</v>
      </c>
      <c r="F593" s="101">
        <v>3</v>
      </c>
      <c r="G593" s="100"/>
    </row>
    <row r="594" spans="1:7" ht="13.2" hidden="1">
      <c r="A594" s="155"/>
      <c r="B594" s="28" t="s">
        <v>1399</v>
      </c>
      <c r="C594" s="143" t="str">
        <f>VLOOKUP(B594,'Thống kê'!$C$3:$D$669,2,0)</f>
        <v>Móc khoá Labubu mini Popmart</v>
      </c>
      <c r="D594" s="144" t="str">
        <f>VLOOKUP(B594,'Thống kê'!$C$3:$E$682,3,0)</f>
        <v>cái</v>
      </c>
      <c r="E594" s="100"/>
      <c r="F594" s="156"/>
      <c r="G594" s="100"/>
    </row>
    <row r="595" spans="1:7" ht="13.2" hidden="1">
      <c r="A595" s="155"/>
      <c r="B595" s="28" t="s">
        <v>1384</v>
      </c>
      <c r="C595" s="143" t="str">
        <f>VLOOKUP(B595,'Thống kê'!$C$3:$D$669,2,0)</f>
        <v>Móc khoá Crybaby mini Popmart</v>
      </c>
      <c r="D595" s="144" t="str">
        <f>VLOOKUP(B595,'Thống kê'!$C$3:$E$682,3,0)</f>
        <v>cái</v>
      </c>
      <c r="E595" s="100">
        <v>18.18</v>
      </c>
      <c r="F595" s="101">
        <v>5</v>
      </c>
      <c r="G595" s="100"/>
    </row>
    <row r="596" spans="1:7" ht="13.2" hidden="1">
      <c r="A596" s="155"/>
      <c r="B596" s="28" t="s">
        <v>1386</v>
      </c>
      <c r="C596" s="143" t="str">
        <f>VLOOKUP(B596,'Thống kê'!$C$3:$D$669,2,0)</f>
        <v>Móc khoá Crybaby mini Popmart</v>
      </c>
      <c r="D596" s="144" t="str">
        <f>VLOOKUP(B596,'Thống kê'!$C$3:$E$682,3,0)</f>
        <v>cái</v>
      </c>
      <c r="E596" s="100">
        <v>18.18</v>
      </c>
      <c r="F596" s="101">
        <v>5</v>
      </c>
      <c r="G596" s="100"/>
    </row>
    <row r="597" spans="1:7" ht="13.2" hidden="1">
      <c r="A597" s="155"/>
      <c r="B597" s="28" t="s">
        <v>1387</v>
      </c>
      <c r="C597" s="143" t="str">
        <f>VLOOKUP(B597,'Thống kê'!$C$3:$D$669,2,0)</f>
        <v>Móc khoá Crybaby mini Popmart</v>
      </c>
      <c r="D597" s="144" t="str">
        <f>VLOOKUP(B597,'Thống kê'!$C$3:$E$682,3,0)</f>
        <v>cái</v>
      </c>
      <c r="E597" s="100">
        <v>18.18</v>
      </c>
      <c r="F597" s="101">
        <v>5</v>
      </c>
      <c r="G597" s="100"/>
    </row>
    <row r="598" spans="1:7" ht="13.2" hidden="1">
      <c r="A598" s="155"/>
      <c r="B598" s="28" t="s">
        <v>1388</v>
      </c>
      <c r="C598" s="143" t="str">
        <f>VLOOKUP(B598,'Thống kê'!$C$3:$D$669,2,0)</f>
        <v>Móc khoá Crybaby mini Popmart</v>
      </c>
      <c r="D598" s="144" t="str">
        <f>VLOOKUP(B598,'Thống kê'!$C$3:$E$682,3,0)</f>
        <v>cái</v>
      </c>
      <c r="E598" s="100">
        <v>18.18</v>
      </c>
      <c r="F598" s="101">
        <v>5</v>
      </c>
      <c r="G598" s="100"/>
    </row>
    <row r="599" spans="1:7" ht="13.2" hidden="1">
      <c r="A599" s="155"/>
      <c r="B599" s="28" t="s">
        <v>138</v>
      </c>
      <c r="C599" s="143" t="str">
        <f>VLOOKUP(B599,'Thống kê'!$C$3:$D$669,2,0)</f>
        <v>Móc khoá Crybaby mini Popmart</v>
      </c>
      <c r="D599" s="144" t="str">
        <f>VLOOKUP(B599,'Thống kê'!$C$3:$E$682,3,0)</f>
        <v>cái</v>
      </c>
      <c r="E599" s="100">
        <v>18.18</v>
      </c>
      <c r="F599" s="101">
        <v>5</v>
      </c>
      <c r="G599" s="100"/>
    </row>
    <row r="600" spans="1:7" ht="13.2" hidden="1">
      <c r="A600" s="155"/>
      <c r="B600" s="28" t="s">
        <v>1389</v>
      </c>
      <c r="C600" s="143" t="str">
        <f>VLOOKUP(B600,'Thống kê'!$C$3:$D$669,2,0)</f>
        <v>Móc khoá Crybaby mini Popmart</v>
      </c>
      <c r="D600" s="144" t="str">
        <f>VLOOKUP(B600,'Thống kê'!$C$3:$E$682,3,0)</f>
        <v>cái</v>
      </c>
      <c r="E600" s="100">
        <v>18.18</v>
      </c>
      <c r="F600" s="101">
        <v>5</v>
      </c>
      <c r="G600" s="100"/>
    </row>
    <row r="601" spans="1:7" ht="13.2" hidden="1">
      <c r="A601" s="155"/>
      <c r="B601" s="28" t="s">
        <v>258</v>
      </c>
      <c r="C601" s="143" t="str">
        <f>VLOOKUP(B601,'Thống kê'!$C$3:$D$669,2,0)</f>
        <v>Móc khoá Crybaby mini Popmart</v>
      </c>
      <c r="D601" s="144" t="str">
        <f>VLOOKUP(B601,'Thống kê'!$C$3:$E$682,3,0)</f>
        <v>cái</v>
      </c>
      <c r="E601" s="100">
        <v>18.170000000000002</v>
      </c>
      <c r="F601" s="101">
        <v>7</v>
      </c>
      <c r="G601" s="100"/>
    </row>
    <row r="602" spans="1:7" ht="13.2" hidden="1">
      <c r="A602" s="155"/>
      <c r="B602" s="28" t="s">
        <v>230</v>
      </c>
      <c r="C602" s="143" t="str">
        <f>VLOOKUP(B602,'Thống kê'!$C$3:$D$669,2,0)</f>
        <v>Móc khoá Crybaby mini Popmart</v>
      </c>
      <c r="D602" s="144" t="str">
        <f>VLOOKUP(B602,'Thống kê'!$C$3:$E$682,3,0)</f>
        <v>cái</v>
      </c>
      <c r="E602" s="100">
        <v>18.18</v>
      </c>
      <c r="F602" s="101">
        <v>5</v>
      </c>
      <c r="G602" s="100"/>
    </row>
    <row r="603" spans="1:7" ht="13.2" hidden="1">
      <c r="A603" s="155"/>
      <c r="B603" s="28" t="s">
        <v>259</v>
      </c>
      <c r="C603" s="143" t="str">
        <f>VLOOKUP(B603,'Thống kê'!$C$3:$D$669,2,0)</f>
        <v>Móc khoá Crybaby mini Popmart</v>
      </c>
      <c r="D603" s="144" t="str">
        <f>VLOOKUP(B603,'Thống kê'!$C$3:$E$682,3,0)</f>
        <v>cái</v>
      </c>
      <c r="E603" s="100">
        <v>18.18</v>
      </c>
      <c r="F603" s="101">
        <v>5</v>
      </c>
      <c r="G603" s="100"/>
    </row>
    <row r="604" spans="1:7" ht="13.2" hidden="1">
      <c r="A604" s="155"/>
      <c r="B604" s="28" t="s">
        <v>113</v>
      </c>
      <c r="C604" s="143" t="str">
        <f>VLOOKUP(B604,'Thống kê'!$C$3:$D$669,2,0)</f>
        <v>Móc khoá Dimoo size mini (hàng remake)</v>
      </c>
      <c r="D604" s="144" t="str">
        <f>VLOOKUP(B604,'Thống kê'!$C$3:$E$682,3,0)</f>
        <v>cái</v>
      </c>
      <c r="E604" s="100"/>
      <c r="F604" s="156"/>
      <c r="G604" s="100"/>
    </row>
    <row r="605" spans="1:7" ht="13.2" hidden="1">
      <c r="A605" s="155"/>
      <c r="B605" s="28" t="s">
        <v>1401</v>
      </c>
      <c r="C605" s="143" t="str">
        <f>VLOOKUP(B605,'Thống kê'!$C$3:$D$669,2,0)</f>
        <v>Móc khoá Dimoo size mini (hàng remake)</v>
      </c>
      <c r="D605" s="144" t="str">
        <f>VLOOKUP(B605,'Thống kê'!$C$3:$E$682,3,0)</f>
        <v>cái</v>
      </c>
      <c r="E605" s="100"/>
      <c r="F605" s="156"/>
      <c r="G605" s="100"/>
    </row>
    <row r="606" spans="1:7" ht="13.2" hidden="1">
      <c r="A606" s="155"/>
      <c r="B606" s="28" t="s">
        <v>1402</v>
      </c>
      <c r="C606" s="143" t="str">
        <f>VLOOKUP(B606,'Thống kê'!$C$3:$D$669,2,0)</f>
        <v>Móc khoá Dimoo size mini (hàng remake)</v>
      </c>
      <c r="D606" s="144" t="str">
        <f>VLOOKUP(B606,'Thống kê'!$C$3:$E$682,3,0)</f>
        <v>cái</v>
      </c>
      <c r="E606" s="100"/>
      <c r="F606" s="156"/>
      <c r="G606" s="100"/>
    </row>
    <row r="607" spans="1:7" ht="13.2" hidden="1">
      <c r="A607" s="155"/>
      <c r="B607" s="28" t="s">
        <v>1403</v>
      </c>
      <c r="C607" s="143" t="str">
        <f>VLOOKUP(B607,'Thống kê'!$C$3:$D$669,2,0)</f>
        <v>Móc khoá Dimoo size mini (hàng remake) hồng</v>
      </c>
      <c r="D607" s="144" t="str">
        <f>VLOOKUP(B607,'Thống kê'!$C$3:$E$682,3,0)</f>
        <v>cái</v>
      </c>
      <c r="E607" s="100"/>
      <c r="F607" s="156"/>
      <c r="G607" s="100"/>
    </row>
    <row r="608" spans="1:7" ht="13.2" hidden="1">
      <c r="A608" s="155">
        <v>45577</v>
      </c>
      <c r="B608" s="28" t="s">
        <v>1702</v>
      </c>
      <c r="C608" s="143" t="str">
        <f>VLOOKUP(B608,'Thống kê'!$C$3:$D$669,2,0)</f>
        <v>Móc khóa Popbean</v>
      </c>
      <c r="D608" s="144" t="str">
        <f>VLOOKUP(B608,'Thống kê'!$C$3:$E$682,3,0)</f>
        <v>cái</v>
      </c>
      <c r="E608" s="100"/>
      <c r="F608" s="101">
        <v>6</v>
      </c>
      <c r="G608" s="100"/>
    </row>
    <row r="609" spans="1:7" ht="13.2" hidden="1">
      <c r="A609" s="155"/>
      <c r="B609" s="28" t="s">
        <v>1365</v>
      </c>
      <c r="C609" s="143" t="str">
        <f>VLOOKUP(B609,'Thống kê'!$C$3:$D$669,2,0)</f>
        <v>Móc khóa Popbean</v>
      </c>
      <c r="D609" s="144" t="str">
        <f>VLOOKUP(B609,'Thống kê'!$C$3:$E$682,3,0)</f>
        <v>cái</v>
      </c>
      <c r="E609" s="93"/>
      <c r="F609" s="101">
        <v>2</v>
      </c>
      <c r="G609" s="100"/>
    </row>
    <row r="610" spans="1:7" ht="13.2" hidden="1">
      <c r="A610" s="155"/>
      <c r="B610" s="28" t="s">
        <v>1367</v>
      </c>
      <c r="C610" s="143" t="str">
        <f>VLOOKUP(B610,'Thống kê'!$C$3:$D$669,2,0)</f>
        <v>Móc khóa Popbean</v>
      </c>
      <c r="D610" s="144" t="str">
        <f>VLOOKUP(B610,'Thống kê'!$C$3:$E$682,3,0)</f>
        <v>cái</v>
      </c>
      <c r="E610" s="100"/>
      <c r="F610" s="101">
        <v>2</v>
      </c>
      <c r="G610" s="100"/>
    </row>
    <row r="611" spans="1:7" ht="13.2" hidden="1">
      <c r="A611" s="155"/>
      <c r="B611" s="28" t="s">
        <v>1368</v>
      </c>
      <c r="C611" s="143" t="str">
        <f>VLOOKUP(B611,'Thống kê'!$C$3:$D$669,2,0)</f>
        <v>Móc khóa Popbean</v>
      </c>
      <c r="D611" s="144" t="str">
        <f>VLOOKUP(B611,'Thống kê'!$C$3:$E$682,3,0)</f>
        <v>cái</v>
      </c>
      <c r="E611" s="100"/>
      <c r="F611" s="101">
        <v>2</v>
      </c>
      <c r="G611" s="100"/>
    </row>
    <row r="612" spans="1:7" ht="13.2" hidden="1">
      <c r="A612" s="155"/>
      <c r="B612" s="28" t="s">
        <v>1369</v>
      </c>
      <c r="C612" s="143" t="str">
        <f>VLOOKUP(B612,'Thống kê'!$C$3:$D$669,2,0)</f>
        <v>Móc khóa Popbean</v>
      </c>
      <c r="D612" s="144" t="str">
        <f>VLOOKUP(B612,'Thống kê'!$C$3:$E$682,3,0)</f>
        <v>cái</v>
      </c>
      <c r="E612" s="100"/>
      <c r="F612" s="101">
        <v>7</v>
      </c>
      <c r="G612" s="100"/>
    </row>
    <row r="613" spans="1:7" ht="13.2" hidden="1">
      <c r="A613" s="155"/>
      <c r="B613" s="28" t="s">
        <v>1370</v>
      </c>
      <c r="C613" s="143" t="str">
        <f>VLOOKUP(B613,'Thống kê'!$C$3:$D$669,2,0)</f>
        <v>Móc khóa Popbean</v>
      </c>
      <c r="D613" s="144" t="str">
        <f>VLOOKUP(B613,'Thống kê'!$C$3:$E$682,3,0)</f>
        <v>cái</v>
      </c>
      <c r="E613" s="100"/>
      <c r="F613" s="101">
        <v>2</v>
      </c>
      <c r="G613" s="100"/>
    </row>
    <row r="614" spans="1:7" ht="13.2" hidden="1">
      <c r="A614" s="155"/>
      <c r="B614" s="28" t="s">
        <v>1371</v>
      </c>
      <c r="C614" s="143" t="str">
        <f>VLOOKUP(B614,'Thống kê'!$C$3:$D$669,2,0)</f>
        <v>Móc khóa Popbean</v>
      </c>
      <c r="D614" s="144" t="str">
        <f>VLOOKUP(B614,'Thống kê'!$C$3:$E$682,3,0)</f>
        <v>cái</v>
      </c>
      <c r="E614" s="100"/>
      <c r="F614" s="101">
        <v>2</v>
      </c>
      <c r="G614" s="100"/>
    </row>
    <row r="615" spans="1:7" ht="13.2" hidden="1">
      <c r="A615" s="155"/>
      <c r="B615" s="28" t="s">
        <v>1423</v>
      </c>
      <c r="C615" s="143">
        <f>VLOOKUP(B615,'Thống kê'!$C$3:$D$669,2,0)</f>
        <v>0</v>
      </c>
      <c r="D615" s="144" t="str">
        <f>VLOOKUP(B615,'Thống kê'!$C$3:$E$682,3,0)</f>
        <v>cái</v>
      </c>
      <c r="E615" s="100"/>
      <c r="F615" s="101">
        <v>2</v>
      </c>
      <c r="G615" s="100"/>
    </row>
    <row r="616" spans="1:7" ht="13.2" hidden="1">
      <c r="A616" s="155">
        <v>45589</v>
      </c>
      <c r="B616" s="28" t="s">
        <v>115</v>
      </c>
      <c r="C616" s="143" t="str">
        <f>VLOOKUP(B616,'Thống kê'!$C$3:$D$669,2,0)</f>
        <v>Heo ú</v>
      </c>
      <c r="D616" s="144" t="str">
        <f>VLOOKUP(B616,'Thống kê'!$C$3:$E$682,3,0)</f>
        <v>cái</v>
      </c>
      <c r="E616" s="100">
        <v>7.51</v>
      </c>
      <c r="F616" s="101">
        <v>3</v>
      </c>
      <c r="G616" s="100"/>
    </row>
    <row r="617" spans="1:7" ht="13.2" hidden="1">
      <c r="A617" s="155"/>
      <c r="B617" s="28" t="s">
        <v>116</v>
      </c>
      <c r="C617" s="143" t="str">
        <f>VLOOKUP(B617,'Thống kê'!$C$3:$D$669,2,0)</f>
        <v>heo ú cầm hoa</v>
      </c>
      <c r="D617" s="144" t="str">
        <f>VLOOKUP(B617,'Thống kê'!$C$3:$E$682,3,0)</f>
        <v>cái</v>
      </c>
      <c r="E617" s="100">
        <v>7.51</v>
      </c>
      <c r="F617" s="101">
        <v>10</v>
      </c>
      <c r="G617" s="100"/>
    </row>
    <row r="618" spans="1:7" ht="13.2" hidden="1">
      <c r="A618" s="155"/>
      <c r="B618" s="28" t="s">
        <v>1210</v>
      </c>
      <c r="C618" s="143" t="str">
        <f>VLOOKUP(B618,'Thống kê'!$C$3:$D$669,2,0)</f>
        <v>Shiba ú cầm hoa</v>
      </c>
      <c r="D618" s="144" t="str">
        <f>VLOOKUP(B618,'Thống kê'!$C$3:$E$682,3,0)</f>
        <v>cái</v>
      </c>
      <c r="E618" s="100">
        <v>7.51</v>
      </c>
      <c r="F618" s="101">
        <v>10</v>
      </c>
      <c r="G618" s="100"/>
    </row>
    <row r="619" spans="1:7" ht="13.2" hidden="1">
      <c r="A619" s="155"/>
      <c r="B619" s="28" t="s">
        <v>1384</v>
      </c>
      <c r="C619" s="143" t="str">
        <f>VLOOKUP(B619,'Thống kê'!$C$3:$D$669,2,0)</f>
        <v>Móc khoá Crybaby mini Popmart</v>
      </c>
      <c r="D619" s="144" t="str">
        <f>VLOOKUP(B619,'Thống kê'!$C$3:$E$682,3,0)</f>
        <v>cái</v>
      </c>
      <c r="E619" s="100">
        <v>18.88</v>
      </c>
      <c r="F619" s="101">
        <v>5</v>
      </c>
      <c r="G619" s="100"/>
    </row>
    <row r="620" spans="1:7" ht="13.2" hidden="1">
      <c r="A620" s="155"/>
      <c r="B620" s="28" t="s">
        <v>1386</v>
      </c>
      <c r="C620" s="143" t="str">
        <f>VLOOKUP(B620,'Thống kê'!$C$3:$D$669,2,0)</f>
        <v>Móc khoá Crybaby mini Popmart</v>
      </c>
      <c r="D620" s="144" t="str">
        <f>VLOOKUP(B620,'Thống kê'!$C$3:$E$682,3,0)</f>
        <v>cái</v>
      </c>
      <c r="E620" s="100">
        <v>18.88</v>
      </c>
      <c r="F620" s="101">
        <v>5</v>
      </c>
      <c r="G620" s="100"/>
    </row>
    <row r="621" spans="1:7" ht="13.2" hidden="1">
      <c r="A621" s="155"/>
      <c r="B621" s="28" t="s">
        <v>1387</v>
      </c>
      <c r="C621" s="143" t="str">
        <f>VLOOKUP(B621,'Thống kê'!$C$3:$D$669,2,0)</f>
        <v>Móc khoá Crybaby mini Popmart</v>
      </c>
      <c r="D621" s="144" t="str">
        <f>VLOOKUP(B621,'Thống kê'!$C$3:$E$682,3,0)</f>
        <v>cái</v>
      </c>
      <c r="E621" s="100">
        <v>18.88</v>
      </c>
      <c r="F621" s="101">
        <v>5</v>
      </c>
      <c r="G621" s="100"/>
    </row>
    <row r="622" spans="1:7" ht="13.2" hidden="1">
      <c r="A622" s="155"/>
      <c r="B622" s="28" t="s">
        <v>1388</v>
      </c>
      <c r="C622" s="143" t="str">
        <f>VLOOKUP(B622,'Thống kê'!$C$3:$D$669,2,0)</f>
        <v>Móc khoá Crybaby mini Popmart</v>
      </c>
      <c r="D622" s="144" t="str">
        <f>VLOOKUP(B622,'Thống kê'!$C$3:$E$682,3,0)</f>
        <v>cái</v>
      </c>
      <c r="E622" s="100">
        <v>18.88</v>
      </c>
      <c r="F622" s="101">
        <v>5</v>
      </c>
      <c r="G622" s="100"/>
    </row>
    <row r="623" spans="1:7" ht="13.2" hidden="1">
      <c r="A623" s="155"/>
      <c r="B623" s="28" t="s">
        <v>138</v>
      </c>
      <c r="C623" s="143" t="str">
        <f>VLOOKUP(B623,'Thống kê'!$C$3:$D$669,2,0)</f>
        <v>Móc khoá Crybaby mini Popmart</v>
      </c>
      <c r="D623" s="144" t="str">
        <f>VLOOKUP(B623,'Thống kê'!$C$3:$E$682,3,0)</f>
        <v>cái</v>
      </c>
      <c r="E623" s="100">
        <v>18.88</v>
      </c>
      <c r="F623" s="101">
        <v>5</v>
      </c>
      <c r="G623" s="100"/>
    </row>
    <row r="624" spans="1:7" ht="13.2" hidden="1">
      <c r="A624" s="155"/>
      <c r="B624" s="28" t="s">
        <v>1389</v>
      </c>
      <c r="C624" s="143" t="str">
        <f>VLOOKUP(B624,'Thống kê'!$C$3:$D$669,2,0)</f>
        <v>Móc khoá Crybaby mini Popmart</v>
      </c>
      <c r="D624" s="144" t="str">
        <f>VLOOKUP(B624,'Thống kê'!$C$3:$E$682,3,0)</f>
        <v>cái</v>
      </c>
      <c r="E624" s="100">
        <v>18.88</v>
      </c>
      <c r="F624" s="101">
        <v>5</v>
      </c>
      <c r="G624" s="100"/>
    </row>
    <row r="625" spans="1:7" ht="13.2" hidden="1">
      <c r="A625" s="155"/>
      <c r="B625" s="28" t="s">
        <v>258</v>
      </c>
      <c r="C625" s="143" t="str">
        <f>VLOOKUP(B625,'Thống kê'!$C$3:$D$669,2,0)</f>
        <v>Móc khoá Crybaby mini Popmart</v>
      </c>
      <c r="D625" s="144" t="str">
        <f>VLOOKUP(B625,'Thống kê'!$C$3:$E$682,3,0)</f>
        <v>cái</v>
      </c>
      <c r="E625" s="100">
        <v>18.88</v>
      </c>
      <c r="F625" s="101">
        <v>5</v>
      </c>
      <c r="G625" s="100"/>
    </row>
    <row r="626" spans="1:7" ht="13.2" hidden="1">
      <c r="A626" s="155"/>
      <c r="B626" s="28" t="s">
        <v>230</v>
      </c>
      <c r="C626" s="143" t="str">
        <f>VLOOKUP(B626,'Thống kê'!$C$3:$D$669,2,0)</f>
        <v>Móc khoá Crybaby mini Popmart</v>
      </c>
      <c r="D626" s="144" t="str">
        <f>VLOOKUP(B626,'Thống kê'!$C$3:$E$682,3,0)</f>
        <v>cái</v>
      </c>
      <c r="E626" s="100">
        <v>18.88</v>
      </c>
      <c r="F626" s="101">
        <v>5</v>
      </c>
      <c r="G626" s="100"/>
    </row>
    <row r="627" spans="1:7" ht="13.2" hidden="1">
      <c r="A627" s="155"/>
      <c r="B627" s="28" t="s">
        <v>259</v>
      </c>
      <c r="C627" s="143" t="str">
        <f>VLOOKUP(B627,'Thống kê'!$C$3:$D$669,2,0)</f>
        <v>Móc khoá Crybaby mini Popmart</v>
      </c>
      <c r="D627" s="144" t="str">
        <f>VLOOKUP(B627,'Thống kê'!$C$3:$E$682,3,0)</f>
        <v>cái</v>
      </c>
      <c r="E627" s="100">
        <v>18.88</v>
      </c>
      <c r="F627" s="101">
        <v>5</v>
      </c>
      <c r="G627" s="100"/>
    </row>
    <row r="628" spans="1:7" ht="13.2" hidden="1">
      <c r="A628" s="155">
        <v>45590</v>
      </c>
      <c r="B628" s="28" t="s">
        <v>245</v>
      </c>
      <c r="C628" s="143" t="str">
        <f>VLOOKUP(B628,'Thống kê'!$C$3:$D$669,2,0)</f>
        <v>Móc khóa Popbean</v>
      </c>
      <c r="D628" s="144" t="str">
        <f>VLOOKUP(B628,'Thống kê'!$C$3:$E$682,3,0)</f>
        <v>cái</v>
      </c>
      <c r="E628" s="100"/>
      <c r="F628" s="101">
        <v>8</v>
      </c>
      <c r="G628" s="100"/>
    </row>
    <row r="629" spans="1:7" ht="13.2" hidden="1">
      <c r="A629" s="155"/>
      <c r="B629" s="28" t="s">
        <v>1365</v>
      </c>
      <c r="C629" s="143" t="str">
        <f>VLOOKUP(B629,'Thống kê'!$C$3:$D$669,2,0)</f>
        <v>Móc khóa Popbean</v>
      </c>
      <c r="D629" s="144" t="str">
        <f>VLOOKUP(B629,'Thống kê'!$C$3:$E$682,3,0)</f>
        <v>cái</v>
      </c>
      <c r="E629" s="100"/>
      <c r="F629" s="101">
        <v>2</v>
      </c>
      <c r="G629" s="100"/>
    </row>
    <row r="630" spans="1:7" ht="13.2" hidden="1">
      <c r="A630" s="155"/>
      <c r="B630" s="28" t="s">
        <v>165</v>
      </c>
      <c r="C630" s="143" t="str">
        <f>VLOOKUP(B630,'Thống kê'!$C$3:$D$669,2,0)</f>
        <v>Móc khóa Popbean</v>
      </c>
      <c r="D630" s="144" t="str">
        <f>VLOOKUP(B630,'Thống kê'!$C$3:$E$682,3,0)</f>
        <v>cái</v>
      </c>
      <c r="E630" s="100"/>
      <c r="F630" s="101">
        <v>3</v>
      </c>
      <c r="G630" s="100"/>
    </row>
    <row r="631" spans="1:7" ht="13.2" hidden="1">
      <c r="A631" s="155"/>
      <c r="B631" s="28" t="s">
        <v>1366</v>
      </c>
      <c r="C631" s="143" t="str">
        <f>VLOOKUP(B631,'Thống kê'!$C$3:$D$669,2,0)</f>
        <v>Móc khóa Popbean</v>
      </c>
      <c r="D631" s="144" t="str">
        <f>VLOOKUP(B631,'Thống kê'!$C$3:$E$682,3,0)</f>
        <v>cái</v>
      </c>
      <c r="E631" s="100"/>
      <c r="F631" s="101">
        <v>4</v>
      </c>
      <c r="G631" s="100"/>
    </row>
    <row r="632" spans="1:7" ht="13.2" hidden="1">
      <c r="A632" s="155"/>
      <c r="B632" s="28" t="s">
        <v>1687</v>
      </c>
      <c r="C632" s="143">
        <f>VLOOKUP(B632,'Thống kê'!$C$3:$D$669,2,0)</f>
        <v>0</v>
      </c>
      <c r="D632" s="144">
        <f>VLOOKUP(B632,'Thống kê'!$C$3:$E$682,3,0)</f>
        <v>0</v>
      </c>
      <c r="E632" s="100"/>
      <c r="F632" s="101">
        <v>10</v>
      </c>
      <c r="G632" s="100"/>
    </row>
    <row r="633" spans="1:7" ht="13.2" hidden="1">
      <c r="A633" s="155"/>
      <c r="B633" s="28" t="s">
        <v>1703</v>
      </c>
      <c r="C633" s="143">
        <f>VLOOKUP(B633,'Thống kê'!$C$3:$D$669,2,0)</f>
        <v>0</v>
      </c>
      <c r="D633" s="144">
        <f>VLOOKUP(B633,'Thống kê'!$C$3:$E$682,3,0)</f>
        <v>0</v>
      </c>
      <c r="E633" s="100"/>
      <c r="F633" s="101">
        <v>11</v>
      </c>
      <c r="G633" s="100"/>
    </row>
    <row r="634" spans="1:7" ht="13.2" hidden="1">
      <c r="A634" s="155"/>
      <c r="B634" s="28" t="s">
        <v>256</v>
      </c>
      <c r="C634" s="143">
        <f>VLOOKUP(B634,'Thống kê'!$C$3:$D$669,2,0)</f>
        <v>0</v>
      </c>
      <c r="D634" s="144">
        <f>VLOOKUP(B634,'Thống kê'!$C$3:$E$682,3,0)</f>
        <v>0</v>
      </c>
      <c r="E634" s="100"/>
      <c r="F634" s="101">
        <v>5</v>
      </c>
      <c r="G634" s="100"/>
    </row>
    <row r="635" spans="1:7" ht="13.2" hidden="1">
      <c r="A635" s="155"/>
      <c r="B635" s="28" t="s">
        <v>1688</v>
      </c>
      <c r="C635" s="143">
        <f>VLOOKUP(B635,'Thống kê'!$C$3:$D$669,2,0)</f>
        <v>0</v>
      </c>
      <c r="D635" s="144" t="str">
        <f>VLOOKUP(B635,'Thống kê'!$C$3:$E$682,3,0)</f>
        <v>cái</v>
      </c>
      <c r="E635" s="100"/>
      <c r="F635" s="101">
        <v>5</v>
      </c>
      <c r="G635" s="100"/>
    </row>
    <row r="636" spans="1:7" ht="13.2" hidden="1">
      <c r="A636" s="155"/>
      <c r="B636" s="28" t="s">
        <v>1691</v>
      </c>
      <c r="C636" s="143">
        <f>VLOOKUP(B636,'Thống kê'!$C$3:$D$669,2,0)</f>
        <v>0</v>
      </c>
      <c r="D636" s="144" t="str">
        <f>VLOOKUP(B636,'Thống kê'!$C$3:$E$682,3,0)</f>
        <v>cái</v>
      </c>
      <c r="E636" s="100"/>
      <c r="F636" s="101">
        <v>10</v>
      </c>
      <c r="G636" s="100"/>
    </row>
    <row r="637" spans="1:7" ht="13.2" hidden="1">
      <c r="A637" s="155"/>
      <c r="B637" s="28" t="s">
        <v>1704</v>
      </c>
      <c r="C637" s="143" t="str">
        <f>VLOOKUP(B637,'Thống kê'!$C$3:$D$669,2,0)</f>
        <v>Dây treo điện thoại có charm xinh xắn</v>
      </c>
      <c r="D637" s="144" t="str">
        <f>VLOOKUP(B637,'Thống kê'!$C$3:$E$682,3,0)</f>
        <v>cái</v>
      </c>
      <c r="E637" s="100"/>
      <c r="F637" s="101">
        <v>5</v>
      </c>
      <c r="G637" s="100"/>
    </row>
    <row r="638" spans="1:7" ht="13.2" hidden="1">
      <c r="A638" s="155"/>
      <c r="B638" s="28" t="s">
        <v>1705</v>
      </c>
      <c r="C638" s="143" t="str">
        <f>VLOOKUP(B638,'Thống kê'!$C$3:$D$669,2,0)</f>
        <v>Dây treo điện thoại có charm xinh xắn</v>
      </c>
      <c r="D638" s="144" t="str">
        <f>VLOOKUP(B638,'Thống kê'!$C$3:$E$682,3,0)</f>
        <v>cái</v>
      </c>
      <c r="E638" s="100"/>
      <c r="F638" s="101">
        <v>6</v>
      </c>
      <c r="G638" s="100"/>
    </row>
    <row r="639" spans="1:7" ht="13.2" hidden="1">
      <c r="A639" s="155">
        <v>45602</v>
      </c>
      <c r="B639" s="28" t="s">
        <v>1706</v>
      </c>
      <c r="C639" s="143" t="str">
        <f>VLOOKUP(B639,'Thống kê'!$C$3:$D$669,2,0)</f>
        <v>Bao lì xì</v>
      </c>
      <c r="D639" s="144" t="str">
        <f>VLOOKUP(B639,'Thống kê'!$C$3:$E$682,3,0)</f>
        <v>túi 4 cái</v>
      </c>
      <c r="E639" s="100"/>
      <c r="F639" s="101">
        <v>70</v>
      </c>
      <c r="G639" s="100"/>
    </row>
    <row r="640" spans="1:7" ht="13.2" hidden="1">
      <c r="A640" s="155"/>
      <c r="B640" s="28" t="s">
        <v>1707</v>
      </c>
      <c r="C640" s="143" t="str">
        <f>VLOOKUP(B640,'Thống kê'!$C$3:$D$669,2,0)</f>
        <v xml:space="preserve">Bao lì xì </v>
      </c>
      <c r="D640" s="144" t="str">
        <f>VLOOKUP(B640,'Thống kê'!$C$3:$E$682,3,0)</f>
        <v>túi 4 cái</v>
      </c>
      <c r="E640" s="100"/>
      <c r="F640" s="101">
        <v>70</v>
      </c>
      <c r="G640" s="100"/>
    </row>
    <row r="641" spans="1:7" ht="13.2" hidden="1">
      <c r="A641" s="155"/>
      <c r="B641" s="28" t="s">
        <v>1708</v>
      </c>
      <c r="C641" s="143" t="str">
        <f>VLOOKUP(B641,'Thống kê'!$C$3:$D$669,2,0)</f>
        <v xml:space="preserve">Bao lì xì </v>
      </c>
      <c r="D641" s="144" t="str">
        <f>VLOOKUP(B641,'Thống kê'!$C$3:$E$682,3,0)</f>
        <v>set 6 cái</v>
      </c>
      <c r="E641" s="100"/>
      <c r="F641" s="101">
        <v>150</v>
      </c>
      <c r="G641" s="100"/>
    </row>
    <row r="642" spans="1:7" ht="13.2" hidden="1">
      <c r="A642" s="155"/>
      <c r="B642" s="28" t="s">
        <v>1709</v>
      </c>
      <c r="C642" s="143" t="str">
        <f>VLOOKUP(B642,'Thống kê'!$C$3:$D$669,2,0)</f>
        <v xml:space="preserve">Bao lì xì </v>
      </c>
      <c r="D642" s="144" t="str">
        <f>VLOOKUP(B642,'Thống kê'!$C$3:$E$682,3,0)</f>
        <v>set 6 cái</v>
      </c>
      <c r="E642" s="100"/>
      <c r="F642" s="101">
        <v>130</v>
      </c>
      <c r="G642" s="100"/>
    </row>
    <row r="643" spans="1:7" ht="13.2" hidden="1">
      <c r="A643" s="155"/>
      <c r="B643" s="28" t="s">
        <v>1710</v>
      </c>
      <c r="C643" s="143" t="str">
        <f>VLOOKUP(B643,'Thống kê'!$C$3:$D$669,2,0)</f>
        <v xml:space="preserve">Bao lì xì </v>
      </c>
      <c r="D643" s="144" t="str">
        <f>VLOOKUP(B643,'Thống kê'!$C$3:$E$682,3,0)</f>
        <v>set 6 cái</v>
      </c>
      <c r="E643" s="100"/>
      <c r="F643" s="101">
        <v>110</v>
      </c>
      <c r="G643" s="100"/>
    </row>
    <row r="644" spans="1:7" ht="13.2" hidden="1">
      <c r="A644" s="155"/>
      <c r="B644" s="28" t="s">
        <v>1711</v>
      </c>
      <c r="C644" s="143" t="str">
        <f>VLOOKUP(B644,'Thống kê'!$C$3:$D$669,2,0)</f>
        <v xml:space="preserve">Bao lì xì </v>
      </c>
      <c r="D644" s="144" t="str">
        <f>VLOOKUP(B644,'Thống kê'!$C$3:$E$682,3,0)</f>
        <v>set 6 cái</v>
      </c>
      <c r="E644" s="100"/>
      <c r="F644" s="101">
        <v>70</v>
      </c>
      <c r="G644" s="100"/>
    </row>
    <row r="645" spans="1:7" ht="13.2" hidden="1">
      <c r="A645" s="155"/>
      <c r="B645" s="28" t="s">
        <v>1712</v>
      </c>
      <c r="C645" s="143" t="str">
        <f>VLOOKUP(B645,'Thống kê'!$C$3:$D$669,2,0)</f>
        <v xml:space="preserve">Bao lì xì </v>
      </c>
      <c r="D645" s="144" t="str">
        <f>VLOOKUP(B645,'Thống kê'!$C$3:$E$682,3,0)</f>
        <v>set 6 cái</v>
      </c>
      <c r="E645" s="93"/>
      <c r="F645" s="101">
        <v>92</v>
      </c>
      <c r="G645" s="93"/>
    </row>
    <row r="646" spans="1:7" ht="13.2" hidden="1">
      <c r="A646" s="155">
        <v>45604</v>
      </c>
      <c r="B646" s="28" t="s">
        <v>1424</v>
      </c>
      <c r="C646" s="143" t="str">
        <f>VLOOKUP(B646,'Thống kê'!$C$3:$D$669,2,0)</f>
        <v>Móc khoá Crybaby mini Popmart</v>
      </c>
      <c r="D646" s="144" t="str">
        <f>VLOOKUP(B646,'Thống kê'!$C$3:$E$682,3,0)</f>
        <v>cái</v>
      </c>
      <c r="E646" s="100">
        <v>18.8</v>
      </c>
      <c r="F646" s="101">
        <v>20</v>
      </c>
      <c r="G646" s="93"/>
    </row>
    <row r="647" spans="1:7" ht="13.2" hidden="1">
      <c r="A647" s="155"/>
      <c r="B647" s="28" t="s">
        <v>1425</v>
      </c>
      <c r="C647" s="143" t="str">
        <f>VLOOKUP(B647,'Thống kê'!$C$3:$D$669,2,0)</f>
        <v>Móc khoá Crybaby mini Popmart</v>
      </c>
      <c r="D647" s="144" t="str">
        <f>VLOOKUP(B647,'Thống kê'!$C$3:$E$682,3,0)</f>
        <v>cái</v>
      </c>
      <c r="E647" s="100">
        <v>16.989999999999998</v>
      </c>
      <c r="F647" s="101">
        <v>10</v>
      </c>
      <c r="G647" s="93"/>
    </row>
    <row r="648" spans="1:7" ht="13.2" hidden="1">
      <c r="A648" s="155"/>
      <c r="B648" s="28" t="s">
        <v>1384</v>
      </c>
      <c r="C648" s="143" t="str">
        <f>VLOOKUP(B648,'Thống kê'!$C$3:$D$669,2,0)</f>
        <v>Móc khoá Crybaby mini Popmart</v>
      </c>
      <c r="D648" s="144" t="str">
        <f>VLOOKUP(B648,'Thống kê'!$C$3:$E$682,3,0)</f>
        <v>cái</v>
      </c>
      <c r="E648" s="100">
        <v>18.88</v>
      </c>
      <c r="F648" s="101">
        <v>15</v>
      </c>
      <c r="G648" s="93"/>
    </row>
    <row r="649" spans="1:7" ht="13.2" hidden="1">
      <c r="A649" s="155"/>
      <c r="B649" s="28" t="s">
        <v>1405</v>
      </c>
      <c r="C649" s="143" t="str">
        <f>VLOOKUP(B649,'Thống kê'!$C$3:$D$669,2,0)</f>
        <v>Móc khoá Dimoo size mini (hàng remake)</v>
      </c>
      <c r="D649" s="144" t="str">
        <f>VLOOKUP(B649,'Thống kê'!$C$3:$E$682,3,0)</f>
        <v>cái</v>
      </c>
      <c r="E649" s="100">
        <v>16.88</v>
      </c>
      <c r="F649" s="101">
        <v>5</v>
      </c>
      <c r="G649" s="93"/>
    </row>
    <row r="650" spans="1:7" ht="13.2" hidden="1">
      <c r="A650" s="155"/>
      <c r="B650" s="28" t="s">
        <v>1622</v>
      </c>
      <c r="C650" s="143" t="str">
        <f>VLOOKUP(B650,'Thống kê'!$C$3:$D$669,2,0)</f>
        <v>Mô hình mèo 1</v>
      </c>
      <c r="D650" s="144" t="str">
        <f>VLOOKUP(B650,'Thống kê'!$C$3:$E$682,3,0)</f>
        <v>cái</v>
      </c>
      <c r="E650" s="100">
        <v>5.12</v>
      </c>
      <c r="F650" s="101">
        <v>10</v>
      </c>
      <c r="G650" s="93"/>
    </row>
    <row r="651" spans="1:7" ht="13.2" hidden="1">
      <c r="A651" s="155"/>
      <c r="B651" s="28" t="s">
        <v>1621</v>
      </c>
      <c r="C651" s="143" t="str">
        <f>VLOOKUP(B651,'Thống kê'!$C$3:$D$669,2,0)</f>
        <v>Mô hình mèo 2</v>
      </c>
      <c r="D651" s="144" t="str">
        <f>VLOOKUP(B651,'Thống kê'!$C$3:$E$682,3,0)</f>
        <v>cái</v>
      </c>
      <c r="E651" s="100">
        <v>5.12</v>
      </c>
      <c r="F651" s="101">
        <v>10</v>
      </c>
      <c r="G651" s="93"/>
    </row>
    <row r="652" spans="1:7" ht="13.2" hidden="1">
      <c r="A652" s="155"/>
      <c r="B652" s="28" t="s">
        <v>1636</v>
      </c>
      <c r="C652" s="143" t="str">
        <f>VLOOKUP(B652,'Thống kê'!$C$3:$D$669,2,0)</f>
        <v>Mô hình mèo 3</v>
      </c>
      <c r="D652" s="144" t="str">
        <f>VLOOKUP(B652,'Thống kê'!$C$3:$E$682,3,0)</f>
        <v>cái</v>
      </c>
      <c r="E652" s="100">
        <v>5.12</v>
      </c>
      <c r="F652" s="101">
        <v>9</v>
      </c>
      <c r="G652" s="93"/>
    </row>
    <row r="653" spans="1:7" ht="13.2" hidden="1">
      <c r="A653" s="155"/>
      <c r="B653" s="45" t="s">
        <v>1635</v>
      </c>
      <c r="C653" s="143" t="str">
        <f>VLOOKUP(B653,'Thống kê'!$C$3:$D$669,2,0)</f>
        <v>Mô hình mèo 4</v>
      </c>
      <c r="D653" s="144" t="str">
        <f>VLOOKUP(B653,'Thống kê'!$C$3:$E$682,3,0)</f>
        <v>cái</v>
      </c>
      <c r="E653" s="100">
        <v>5.12</v>
      </c>
      <c r="F653" s="101">
        <v>10</v>
      </c>
      <c r="G653" s="93"/>
    </row>
    <row r="654" spans="1:7" ht="13.2" hidden="1">
      <c r="A654" s="155"/>
      <c r="B654" s="45" t="s">
        <v>1623</v>
      </c>
      <c r="C654" s="143" t="str">
        <f>VLOOKUP(B654,'Thống kê'!$C$3:$D$669,2,0)</f>
        <v>Mô hình mèo 5</v>
      </c>
      <c r="D654" s="144" t="str">
        <f>VLOOKUP(B654,'Thống kê'!$C$3:$E$682,3,0)</f>
        <v>cái</v>
      </c>
      <c r="E654" s="100">
        <v>5.12</v>
      </c>
      <c r="F654" s="101">
        <v>10</v>
      </c>
      <c r="G654" s="93"/>
    </row>
    <row r="655" spans="1:7" ht="13.2" hidden="1">
      <c r="A655" s="155">
        <v>45608</v>
      </c>
      <c r="B655" s="45" t="s">
        <v>1426</v>
      </c>
      <c r="C655" s="143" t="str">
        <f>VLOOKUP(B655,'Thống kê'!$C$3:$D$669,2,0)</f>
        <v>Thiệp</v>
      </c>
      <c r="D655" s="144" t="str">
        <f>VLOOKUP(B655,'Thống kê'!$C$3:$E$682,3,0)</f>
        <v>cái</v>
      </c>
      <c r="E655" s="100">
        <v>0.11</v>
      </c>
      <c r="F655" s="101">
        <v>40</v>
      </c>
      <c r="G655" s="93"/>
    </row>
    <row r="656" spans="1:7" ht="13.2" hidden="1">
      <c r="A656" s="155"/>
      <c r="B656" s="45" t="s">
        <v>1428</v>
      </c>
      <c r="C656" s="143" t="str">
        <f>VLOOKUP(B656,'Thống kê'!$C$3:$D$669,2,0)</f>
        <v>Thiệp</v>
      </c>
      <c r="D656" s="144" t="str">
        <f>VLOOKUP(B656,'Thống kê'!$C$3:$E$682,3,0)</f>
        <v>cái</v>
      </c>
      <c r="E656" s="100">
        <v>0.11</v>
      </c>
      <c r="F656" s="101">
        <v>30</v>
      </c>
      <c r="G656" s="93"/>
    </row>
    <row r="657" spans="1:7" ht="13.2" hidden="1">
      <c r="A657" s="155"/>
      <c r="B657" s="45" t="s">
        <v>1429</v>
      </c>
      <c r="C657" s="143" t="str">
        <f>VLOOKUP(B657,'Thống kê'!$C$3:$D$669,2,0)</f>
        <v>Thiệp</v>
      </c>
      <c r="D657" s="144" t="str">
        <f>VLOOKUP(B657,'Thống kê'!$C$3:$E$682,3,0)</f>
        <v>cái</v>
      </c>
      <c r="E657" s="100">
        <v>0.11</v>
      </c>
      <c r="F657" s="101">
        <v>30</v>
      </c>
      <c r="G657" s="93"/>
    </row>
    <row r="658" spans="1:7" ht="13.2" hidden="1">
      <c r="A658" s="155"/>
      <c r="B658" s="45" t="s">
        <v>1430</v>
      </c>
      <c r="C658" s="143" t="str">
        <f>VLOOKUP(B658,'Thống kê'!$C$3:$D$669,2,0)</f>
        <v>Thiệp</v>
      </c>
      <c r="D658" s="144" t="str">
        <f>VLOOKUP(B658,'Thống kê'!$C$3:$E$682,3,0)</f>
        <v>cái</v>
      </c>
      <c r="E658" s="100">
        <v>0.11</v>
      </c>
      <c r="F658" s="101">
        <v>30</v>
      </c>
      <c r="G658" s="93"/>
    </row>
    <row r="659" spans="1:7" ht="13.2" hidden="1">
      <c r="A659" s="155"/>
      <c r="B659" s="28" t="s">
        <v>143</v>
      </c>
      <c r="C659" s="143" t="str">
        <f>VLOOKUP(B659,'Thống kê'!$C$3:$D$669,2,0)</f>
        <v>Mèo ú</v>
      </c>
      <c r="D659" s="144" t="str">
        <f>VLOOKUP(B659,'Thống kê'!$C$3:$E$682,3,0)</f>
        <v>cái</v>
      </c>
      <c r="E659" s="100">
        <v>7.51</v>
      </c>
      <c r="F659" s="101">
        <v>5</v>
      </c>
      <c r="G659" s="93"/>
    </row>
    <row r="660" spans="1:7" ht="13.2" hidden="1">
      <c r="A660" s="155"/>
      <c r="B660" s="28" t="s">
        <v>325</v>
      </c>
      <c r="C660" s="143" t="str">
        <f>VLOOKUP(B660,'Thống kê'!$C$3:$D$669,2,0)</f>
        <v>Gấu ú</v>
      </c>
      <c r="D660" s="144" t="str">
        <f>VLOOKUP(B660,'Thống kê'!$C$3:$E$682,3,0)</f>
        <v>cái</v>
      </c>
      <c r="E660" s="100">
        <v>7.51</v>
      </c>
      <c r="F660" s="101">
        <v>5</v>
      </c>
      <c r="G660" s="93"/>
    </row>
    <row r="661" spans="1:7" ht="13.2" hidden="1">
      <c r="A661" s="155"/>
      <c r="B661" s="28" t="s">
        <v>116</v>
      </c>
      <c r="C661" s="143" t="str">
        <f>VLOOKUP(B661,'Thống kê'!$C$3:$D$669,2,0)</f>
        <v>heo ú cầm hoa</v>
      </c>
      <c r="D661" s="144" t="str">
        <f>VLOOKUP(B661,'Thống kê'!$C$3:$E$682,3,0)</f>
        <v>cái</v>
      </c>
      <c r="E661" s="100">
        <v>7.51</v>
      </c>
      <c r="F661" s="101">
        <v>25</v>
      </c>
      <c r="G661" s="93"/>
    </row>
    <row r="662" spans="1:7" ht="13.2" hidden="1">
      <c r="A662" s="155"/>
      <c r="B662" s="28" t="s">
        <v>1210</v>
      </c>
      <c r="C662" s="143" t="str">
        <f>VLOOKUP(B662,'Thống kê'!$C$3:$D$669,2,0)</f>
        <v>Shiba ú cầm hoa</v>
      </c>
      <c r="D662" s="144" t="str">
        <f>VLOOKUP(B662,'Thống kê'!$C$3:$E$682,3,0)</f>
        <v>cái</v>
      </c>
      <c r="E662" s="100">
        <v>7.51</v>
      </c>
      <c r="F662" s="101">
        <v>15</v>
      </c>
      <c r="G662" s="93"/>
    </row>
    <row r="663" spans="1:7" ht="13.2" hidden="1">
      <c r="A663" s="155">
        <v>45611</v>
      </c>
      <c r="B663" s="28" t="s">
        <v>128</v>
      </c>
      <c r="C663" s="143" t="str">
        <f>VLOOKUP(B663,'Thống kê'!$C$3:$D$669,2,0)</f>
        <v>Mèo ú bay</v>
      </c>
      <c r="D663" s="144" t="str">
        <f>VLOOKUP(B663,'Thống kê'!$C$3:$E$682,3,0)</f>
        <v>cái</v>
      </c>
      <c r="E663" s="100">
        <v>8.4499999999999993</v>
      </c>
      <c r="F663" s="101">
        <v>10</v>
      </c>
      <c r="G663" s="93"/>
    </row>
    <row r="664" spans="1:7" ht="13.2" hidden="1">
      <c r="A664" s="155"/>
      <c r="B664" s="28" t="s">
        <v>186</v>
      </c>
      <c r="C664" s="143" t="str">
        <f>VLOOKUP(B664,'Thống kê'!$C$3:$D$669,2,0)</f>
        <v>Thỏ ú bay</v>
      </c>
      <c r="D664" s="144" t="str">
        <f>VLOOKUP(B664,'Thống kê'!$C$3:$E$682,3,0)</f>
        <v>cái</v>
      </c>
      <c r="E664" s="100">
        <v>8.4499999999999993</v>
      </c>
      <c r="F664" s="101">
        <v>10</v>
      </c>
      <c r="G664" s="93"/>
    </row>
    <row r="665" spans="1:7" ht="13.2" hidden="1">
      <c r="A665" s="155"/>
      <c r="B665" s="28" t="s">
        <v>1587</v>
      </c>
      <c r="C665" s="143" t="str">
        <f>VLOOKUP(B665,'Thống kê'!$C$3:$D$669,2,0)</f>
        <v>Vịt ú bay</v>
      </c>
      <c r="D665" s="144" t="str">
        <f>VLOOKUP(B665,'Thống kê'!$C$3:$E$682,3,0)</f>
        <v>cái</v>
      </c>
      <c r="E665" s="100">
        <v>8.4499999999999993</v>
      </c>
      <c r="F665" s="101">
        <v>10</v>
      </c>
      <c r="G665" s="93"/>
    </row>
    <row r="666" spans="1:7" ht="13.2" hidden="1">
      <c r="A666" s="155"/>
      <c r="B666" s="28" t="s">
        <v>281</v>
      </c>
      <c r="C666" s="143">
        <f>VLOOKUP(B666,'Thống kê'!$C$3:$D$669,2,0)</f>
        <v>0</v>
      </c>
      <c r="D666" s="144" t="str">
        <f>VLOOKUP(B666,'Thống kê'!$C$3:$E$682,3,0)</f>
        <v>cái</v>
      </c>
      <c r="E666" s="100">
        <v>15.09</v>
      </c>
      <c r="F666" s="101">
        <v>35</v>
      </c>
      <c r="G666" s="93"/>
    </row>
    <row r="667" spans="1:7" ht="13.2" hidden="1">
      <c r="A667" s="155"/>
      <c r="B667" s="28" t="s">
        <v>1713</v>
      </c>
      <c r="C667" s="143">
        <f>VLOOKUP(B667,'Thống kê'!$C$3:$D$669,2,0)</f>
        <v>0</v>
      </c>
      <c r="D667" s="144" t="str">
        <f>VLOOKUP(B667,'Thống kê'!$C$3:$E$682,3,0)</f>
        <v>cái</v>
      </c>
      <c r="E667" s="100">
        <v>9.02</v>
      </c>
      <c r="F667" s="101">
        <v>15</v>
      </c>
      <c r="G667" s="93"/>
    </row>
    <row r="668" spans="1:7" ht="13.2" hidden="1">
      <c r="A668" s="155"/>
      <c r="B668" s="28" t="s">
        <v>1714</v>
      </c>
      <c r="C668" s="143">
        <f>VLOOKUP(B668,'Thống kê'!$C$3:$D$669,2,0)</f>
        <v>0</v>
      </c>
      <c r="D668" s="144" t="str">
        <f>VLOOKUP(B668,'Thống kê'!$C$3:$E$682,3,0)</f>
        <v>cái</v>
      </c>
      <c r="E668" s="100">
        <v>12.25</v>
      </c>
      <c r="F668" s="101">
        <v>15</v>
      </c>
      <c r="G668" s="93"/>
    </row>
    <row r="669" spans="1:7" ht="13.2" hidden="1">
      <c r="A669" s="155"/>
      <c r="B669" s="28" t="s">
        <v>1715</v>
      </c>
      <c r="C669" s="143">
        <f>VLOOKUP(B669,'Thống kê'!$C$3:$D$669,2,0)</f>
        <v>0</v>
      </c>
      <c r="D669" s="144" t="str">
        <f>VLOOKUP(B669,'Thống kê'!$C$3:$E$682,3,0)</f>
        <v>cái</v>
      </c>
      <c r="E669" s="100">
        <v>12.25</v>
      </c>
      <c r="F669" s="101">
        <v>15</v>
      </c>
      <c r="G669" s="93"/>
    </row>
    <row r="670" spans="1:7" ht="13.2" hidden="1">
      <c r="A670" s="155"/>
      <c r="B670" s="28" t="s">
        <v>227</v>
      </c>
      <c r="C670" s="143" t="str">
        <f>VLOOKUP(B670,'Thống kê'!$C$3:$D$669,2,0)</f>
        <v>Móc khóa đôi corgy</v>
      </c>
      <c r="D670" s="144" t="str">
        <f>VLOOKUP(B670,'Thống kê'!$C$3:$E$682,3,0)</f>
        <v>cái</v>
      </c>
      <c r="E670" s="100">
        <v>5.69</v>
      </c>
      <c r="F670" s="101">
        <v>5</v>
      </c>
      <c r="G670" s="93"/>
    </row>
    <row r="671" spans="1:7" ht="13.2" hidden="1">
      <c r="A671" s="155"/>
      <c r="B671" s="28" t="s">
        <v>1594</v>
      </c>
      <c r="C671" s="143" t="str">
        <f>VLOOKUP(B671,'Thống kê'!$C$3:$D$669,2,0)</f>
        <v>Móc khóa đôi heo</v>
      </c>
      <c r="D671" s="144" t="str">
        <f>VLOOKUP(B671,'Thống kê'!$C$3:$E$682,3,0)</f>
        <v>cái</v>
      </c>
      <c r="E671" s="100">
        <v>5.69</v>
      </c>
      <c r="F671" s="101">
        <v>15</v>
      </c>
      <c r="G671" s="93"/>
    </row>
    <row r="672" spans="1:7" ht="13.2" hidden="1">
      <c r="A672" s="155"/>
      <c r="B672" s="28" t="s">
        <v>1634</v>
      </c>
      <c r="C672" s="143" t="str">
        <f>VLOOKUP(B672,'Thống kê'!$C$3:$D$669,2,0)</f>
        <v>Móc khóa mèo đen cá</v>
      </c>
      <c r="D672" s="144" t="str">
        <f>VLOOKUP(B672,'Thống kê'!$C$3:$E$682,3,0)</f>
        <v>cái</v>
      </c>
      <c r="E672" s="100">
        <v>5.69</v>
      </c>
      <c r="F672" s="101">
        <v>5</v>
      </c>
      <c r="G672" s="93"/>
    </row>
    <row r="673" spans="1:7" ht="13.2" hidden="1">
      <c r="A673" s="155"/>
      <c r="B673" s="28" t="s">
        <v>150</v>
      </c>
      <c r="C673" s="143" t="str">
        <f>VLOOKUP(B673,'Thống kê'!$C$3:$D$669,2,0)</f>
        <v>Móc khóa có chuông</v>
      </c>
      <c r="D673" s="144" t="str">
        <f>VLOOKUP(B673,'Thống kê'!$C$3:$E$682,3,0)</f>
        <v>cái</v>
      </c>
      <c r="E673" s="100">
        <v>5.69</v>
      </c>
      <c r="F673" s="101">
        <v>30</v>
      </c>
      <c r="G673" s="93"/>
    </row>
    <row r="674" spans="1:7" ht="13.2" hidden="1">
      <c r="A674" s="155">
        <v>45620</v>
      </c>
      <c r="B674" s="28" t="s">
        <v>281</v>
      </c>
      <c r="C674" s="143">
        <f>VLOOKUP(B674,'Thống kê'!$C$3:$D$669,2,0)</f>
        <v>0</v>
      </c>
      <c r="D674" s="144" t="str">
        <f>VLOOKUP(B674,'Thống kê'!$C$3:$E$682,3,0)</f>
        <v>cái</v>
      </c>
      <c r="E674" s="100">
        <v>14.95</v>
      </c>
      <c r="F674" s="101">
        <v>15</v>
      </c>
      <c r="G674" s="93"/>
    </row>
    <row r="675" spans="1:7" ht="13.2" hidden="1">
      <c r="A675" s="155"/>
      <c r="B675" s="28" t="s">
        <v>1713</v>
      </c>
      <c r="C675" s="143">
        <f>VLOOKUP(B675,'Thống kê'!$C$3:$D$669,2,0)</f>
        <v>0</v>
      </c>
      <c r="D675" s="144" t="str">
        <f>VLOOKUP(B675,'Thống kê'!$C$3:$E$682,3,0)</f>
        <v>cái</v>
      </c>
      <c r="E675" s="100">
        <v>8.93</v>
      </c>
      <c r="F675" s="101">
        <v>8</v>
      </c>
      <c r="G675" s="93"/>
    </row>
    <row r="676" spans="1:7" ht="13.2" hidden="1">
      <c r="A676" s="155"/>
      <c r="B676" s="28" t="s">
        <v>1714</v>
      </c>
      <c r="C676" s="143">
        <f>VLOOKUP(B676,'Thống kê'!$C$3:$D$669,2,0)</f>
        <v>0</v>
      </c>
      <c r="D676" s="144" t="str">
        <f>VLOOKUP(B676,'Thống kê'!$C$3:$E$682,3,0)</f>
        <v>cái</v>
      </c>
      <c r="E676" s="100">
        <v>12.13</v>
      </c>
      <c r="F676" s="101">
        <v>8</v>
      </c>
      <c r="G676" s="93"/>
    </row>
    <row r="677" spans="1:7" ht="13.2" hidden="1">
      <c r="A677" s="157"/>
      <c r="B677" s="28" t="s">
        <v>1715</v>
      </c>
      <c r="C677" s="143">
        <f>VLOOKUP(B677,'Thống kê'!$C$3:$D$669,2,0)</f>
        <v>0</v>
      </c>
      <c r="D677" s="144" t="str">
        <f>VLOOKUP(B677,'Thống kê'!$C$3:$E$682,3,0)</f>
        <v>cái</v>
      </c>
      <c r="E677" s="100">
        <v>12.13</v>
      </c>
      <c r="F677" s="101">
        <v>8</v>
      </c>
      <c r="G677" s="93"/>
    </row>
    <row r="678" spans="1:7" ht="13.2" hidden="1">
      <c r="A678" s="157">
        <v>45622</v>
      </c>
      <c r="B678" s="28" t="s">
        <v>115</v>
      </c>
      <c r="C678" s="143" t="str">
        <f>VLOOKUP(B678,'Thống kê'!$C$3:$D$669,2,0)</f>
        <v>Heo ú</v>
      </c>
      <c r="D678" s="144" t="str">
        <f>VLOOKUP(B678,'Thống kê'!$C$3:$E$682,3,0)</f>
        <v>cái</v>
      </c>
      <c r="E678" s="100">
        <v>7.51</v>
      </c>
      <c r="F678" s="101">
        <v>20</v>
      </c>
      <c r="G678" s="93"/>
    </row>
    <row r="679" spans="1:7" ht="13.2" hidden="1">
      <c r="A679" s="157"/>
      <c r="B679" s="28" t="s">
        <v>1591</v>
      </c>
      <c r="C679" s="143" t="str">
        <f>VLOOKUP(B679,'Thống kê'!$C$3:$D$669,2,0)</f>
        <v>Thỏ ú</v>
      </c>
      <c r="D679" s="144" t="str">
        <f>VLOOKUP(B679,'Thống kê'!$C$3:$E$682,3,0)</f>
        <v>cái</v>
      </c>
      <c r="E679" s="100">
        <v>7.51</v>
      </c>
      <c r="F679" s="101">
        <v>10</v>
      </c>
      <c r="G679" s="93"/>
    </row>
    <row r="680" spans="1:7" ht="13.2" hidden="1">
      <c r="A680" s="157">
        <v>45649</v>
      </c>
      <c r="B680" s="16" t="s">
        <v>1451</v>
      </c>
      <c r="C680" s="143">
        <f>VLOOKUP(B680,'Thống kê'!$C$3:$D$669,2,0)</f>
        <v>0</v>
      </c>
      <c r="D680" s="144">
        <f>VLOOKUP(B680,'Thống kê'!$C$3:$E$682,3,0)</f>
        <v>0</v>
      </c>
      <c r="E680" s="100">
        <v>8.9</v>
      </c>
      <c r="F680" s="101">
        <v>40</v>
      </c>
      <c r="G680" s="93"/>
    </row>
    <row r="681" spans="1:7" ht="13.2" hidden="1">
      <c r="A681" s="157"/>
      <c r="B681" s="16" t="s">
        <v>1452</v>
      </c>
      <c r="C681" s="143">
        <f>VLOOKUP(B681,'Thống kê'!$C$3:$D$669,2,0)</f>
        <v>0</v>
      </c>
      <c r="D681" s="144">
        <f>VLOOKUP(B681,'Thống kê'!$C$3:$E$682,3,0)</f>
        <v>0</v>
      </c>
      <c r="E681" s="100">
        <v>8.9</v>
      </c>
      <c r="F681" s="101">
        <v>30</v>
      </c>
      <c r="G681" s="93"/>
    </row>
    <row r="682" spans="1:7" ht="13.2" hidden="1">
      <c r="A682" s="157"/>
      <c r="B682" s="16" t="s">
        <v>1453</v>
      </c>
      <c r="C682" s="143">
        <f>VLOOKUP(B682,'Thống kê'!$C$3:$D$669,2,0)</f>
        <v>0</v>
      </c>
      <c r="D682" s="144">
        <f>VLOOKUP(B682,'Thống kê'!$C$3:$E$682,3,0)</f>
        <v>0</v>
      </c>
      <c r="E682" s="100">
        <v>8.9</v>
      </c>
      <c r="F682" s="101">
        <v>20</v>
      </c>
      <c r="G682" s="93"/>
    </row>
    <row r="683" spans="1:7" ht="13.2" hidden="1">
      <c r="A683" s="157"/>
      <c r="B683" s="16" t="s">
        <v>1454</v>
      </c>
      <c r="C683" s="143">
        <f>VLOOKUP(B683,'Thống kê'!$C$3:$D$669,2,0)</f>
        <v>0</v>
      </c>
      <c r="D683" s="144">
        <f>VLOOKUP(B683,'Thống kê'!$C$3:$E$682,3,0)</f>
        <v>0</v>
      </c>
      <c r="E683" s="100">
        <v>8.9</v>
      </c>
      <c r="F683" s="101">
        <v>10</v>
      </c>
      <c r="G683" s="93"/>
    </row>
    <row r="684" spans="1:7" ht="13.2" hidden="1">
      <c r="A684" s="157"/>
      <c r="B684" s="16" t="s">
        <v>1455</v>
      </c>
      <c r="C684" s="143">
        <f>VLOOKUP(B684,'Thống kê'!$C$3:$D$669,2,0)</f>
        <v>0</v>
      </c>
      <c r="D684" s="144">
        <f>VLOOKUP(B684,'Thống kê'!$C$3:$E$682,3,0)</f>
        <v>0</v>
      </c>
      <c r="E684" s="100">
        <v>8.9</v>
      </c>
      <c r="F684" s="101">
        <v>20</v>
      </c>
      <c r="G684" s="93"/>
    </row>
    <row r="685" spans="1:7" ht="13.2" hidden="1">
      <c r="A685" s="157"/>
      <c r="B685" s="16" t="s">
        <v>1456</v>
      </c>
      <c r="C685" s="143">
        <f>VLOOKUP(B685,'Thống kê'!$C$3:$D$669,2,0)</f>
        <v>0</v>
      </c>
      <c r="D685" s="144">
        <f>VLOOKUP(B685,'Thống kê'!$C$3:$E$682,3,0)</f>
        <v>0</v>
      </c>
      <c r="E685" s="100">
        <v>9.6</v>
      </c>
      <c r="F685" s="101">
        <v>20</v>
      </c>
      <c r="G685" s="93"/>
    </row>
    <row r="686" spans="1:7" ht="13.2" hidden="1">
      <c r="A686" s="157"/>
      <c r="B686" s="16" t="s">
        <v>1457</v>
      </c>
      <c r="C686" s="143">
        <f>VLOOKUP(B686,'Thống kê'!$C$3:$D$669,2,0)</f>
        <v>0</v>
      </c>
      <c r="D686" s="144">
        <f>VLOOKUP(B686,'Thống kê'!$C$3:$E$682,3,0)</f>
        <v>0</v>
      </c>
      <c r="E686" s="100">
        <v>8.9</v>
      </c>
      <c r="F686" s="101">
        <v>20</v>
      </c>
      <c r="G686" s="93"/>
    </row>
    <row r="687" spans="1:7" ht="13.2" hidden="1">
      <c r="A687" s="157">
        <v>45653</v>
      </c>
      <c r="B687" s="28" t="s">
        <v>1458</v>
      </c>
      <c r="C687" s="143">
        <f>VLOOKUP(B687,'Thống kê'!$C$3:$D$669,2,0)</f>
        <v>0</v>
      </c>
      <c r="D687" s="144">
        <f>VLOOKUP(B687,'Thống kê'!$C$3:$E$682,3,0)</f>
        <v>0</v>
      </c>
      <c r="E687" s="93"/>
      <c r="F687" s="101">
        <v>3</v>
      </c>
      <c r="G687" s="93"/>
    </row>
    <row r="688" spans="1:7" ht="13.2" hidden="1">
      <c r="A688" s="157"/>
      <c r="B688" s="28" t="s">
        <v>1459</v>
      </c>
      <c r="C688" s="143">
        <f>VLOOKUP(B688,'Thống kê'!$C$3:$D$669,2,0)</f>
        <v>0</v>
      </c>
      <c r="D688" s="144">
        <f>VLOOKUP(B688,'Thống kê'!$C$3:$E$682,3,0)</f>
        <v>0</v>
      </c>
      <c r="E688" s="93"/>
      <c r="F688" s="101">
        <v>3</v>
      </c>
      <c r="G688" s="93"/>
    </row>
    <row r="689" spans="1:7" ht="13.2" hidden="1">
      <c r="A689" s="157"/>
      <c r="B689" s="28" t="s">
        <v>1460</v>
      </c>
      <c r="C689" s="143">
        <f>VLOOKUP(B689,'Thống kê'!$C$3:$D$669,2,0)</f>
        <v>0</v>
      </c>
      <c r="D689" s="144">
        <f>VLOOKUP(B689,'Thống kê'!$C$3:$E$682,3,0)</f>
        <v>0</v>
      </c>
      <c r="E689" s="93"/>
      <c r="F689" s="101">
        <v>3</v>
      </c>
      <c r="G689" s="93"/>
    </row>
    <row r="690" spans="1:7" ht="13.2" hidden="1">
      <c r="A690" s="157"/>
      <c r="B690" s="28" t="s">
        <v>1594</v>
      </c>
      <c r="C690" s="143" t="str">
        <f>VLOOKUP(B690,'Thống kê'!$C$3:$D$669,2,0)</f>
        <v>Móc khóa đôi heo</v>
      </c>
      <c r="D690" s="144" t="str">
        <f>VLOOKUP(B690,'Thống kê'!$C$3:$E$682,3,0)</f>
        <v>cái</v>
      </c>
      <c r="E690" s="100">
        <v>6.6</v>
      </c>
      <c r="F690" s="101">
        <v>19</v>
      </c>
      <c r="G690" s="93"/>
    </row>
    <row r="691" spans="1:7" ht="13.2" hidden="1">
      <c r="A691" s="157"/>
      <c r="B691" s="28" t="s">
        <v>227</v>
      </c>
      <c r="C691" s="143" t="str">
        <f>VLOOKUP(B691,'Thống kê'!$C$3:$D$669,2,0)</f>
        <v>Móc khóa đôi corgy</v>
      </c>
      <c r="D691" s="144" t="str">
        <f>VLOOKUP(B691,'Thống kê'!$C$3:$E$682,3,0)</f>
        <v>cái</v>
      </c>
      <c r="E691" s="100">
        <v>6.6</v>
      </c>
      <c r="F691" s="101">
        <v>16</v>
      </c>
      <c r="G691" s="93"/>
    </row>
    <row r="692" spans="1:7" ht="13.2" hidden="1">
      <c r="A692" s="157"/>
      <c r="B692" s="28" t="s">
        <v>1633</v>
      </c>
      <c r="C692" s="143" t="str">
        <f>VLOOKUP(B692,'Thống kê'!$C$3:$D$669,2,0)</f>
        <v>Móc khóa đôi gà rán bia</v>
      </c>
      <c r="D692" s="144" t="str">
        <f>VLOOKUP(B692,'Thống kê'!$C$3:$E$682,3,0)</f>
        <v>cái</v>
      </c>
      <c r="E692" s="100">
        <v>6.6</v>
      </c>
      <c r="F692" s="101">
        <v>10</v>
      </c>
      <c r="G692" s="93"/>
    </row>
    <row r="693" spans="1:7" ht="13.2" hidden="1">
      <c r="A693" s="157"/>
      <c r="B693" s="28" t="s">
        <v>1716</v>
      </c>
      <c r="C693" s="143" t="str">
        <f>VLOOKUP(B693,'Thống kê'!$C$3:$D$669,2,0)</f>
        <v>Móc khóa đôi 2 quả lê có nam châm</v>
      </c>
      <c r="D693" s="144" t="str">
        <f>VLOOKUP(B693,'Thống kê'!$C$3:$E$682,3,0)</f>
        <v>cái</v>
      </c>
      <c r="E693" s="100">
        <v>6.6</v>
      </c>
      <c r="F693" s="101">
        <v>80</v>
      </c>
      <c r="G693" s="93"/>
    </row>
    <row r="694" spans="1:7" ht="13.2" hidden="1">
      <c r="A694" s="157">
        <v>45659</v>
      </c>
      <c r="B694" s="28" t="s">
        <v>1389</v>
      </c>
      <c r="C694" s="143" t="str">
        <f>VLOOKUP(B694,'Thống kê'!$C$3:$D$669,2,0)</f>
        <v>Móc khoá Crybaby mini Popmart</v>
      </c>
      <c r="D694" s="144" t="str">
        <f>VLOOKUP(B694,'Thống kê'!$C$3:$E$682,3,0)</f>
        <v>cái</v>
      </c>
      <c r="E694" s="100">
        <v>15.2</v>
      </c>
      <c r="F694" s="101">
        <v>8</v>
      </c>
      <c r="G694" s="93"/>
    </row>
    <row r="695" spans="1:7" ht="13.2" hidden="1">
      <c r="A695" s="157"/>
      <c r="B695" s="28" t="s">
        <v>113</v>
      </c>
      <c r="C695" s="143" t="str">
        <f>VLOOKUP(B695,'Thống kê'!$C$3:$D$669,2,0)</f>
        <v>Móc khoá Dimoo size mini (hàng remake)</v>
      </c>
      <c r="D695" s="144" t="str">
        <f>VLOOKUP(B695,'Thống kê'!$C$3:$E$682,3,0)</f>
        <v>cái</v>
      </c>
      <c r="E695" s="100">
        <v>17</v>
      </c>
      <c r="F695" s="101">
        <v>10</v>
      </c>
      <c r="G695" s="93"/>
    </row>
    <row r="696" spans="1:7" ht="13.2" hidden="1">
      <c r="A696" s="157"/>
      <c r="B696" s="28" t="s">
        <v>1424</v>
      </c>
      <c r="C696" s="143" t="str">
        <f>VLOOKUP(B696,'Thống kê'!$C$3:$D$669,2,0)</f>
        <v>Móc khoá Crybaby mini Popmart</v>
      </c>
      <c r="D696" s="144" t="str">
        <f>VLOOKUP(B696,'Thống kê'!$C$3:$E$682,3,0)</f>
        <v>cái</v>
      </c>
      <c r="E696" s="100">
        <v>10.46</v>
      </c>
      <c r="F696" s="101">
        <v>9</v>
      </c>
      <c r="G696" s="93"/>
    </row>
    <row r="697" spans="1:7" ht="13.2" hidden="1">
      <c r="A697" s="157"/>
      <c r="B697" s="28" t="s">
        <v>1386</v>
      </c>
      <c r="C697" s="143" t="str">
        <f>VLOOKUP(B697,'Thống kê'!$C$3:$D$669,2,0)</f>
        <v>Móc khoá Crybaby mini Popmart</v>
      </c>
      <c r="D697" s="144" t="str">
        <f>VLOOKUP(B697,'Thống kê'!$C$3:$E$682,3,0)</f>
        <v>cái</v>
      </c>
      <c r="E697" s="100">
        <v>15.2</v>
      </c>
      <c r="F697" s="101">
        <v>8</v>
      </c>
      <c r="G697" s="93"/>
    </row>
    <row r="698" spans="1:7" ht="13.2" hidden="1">
      <c r="A698" s="157"/>
      <c r="B698" s="28" t="s">
        <v>258</v>
      </c>
      <c r="C698" s="143" t="str">
        <f>VLOOKUP(B698,'Thống kê'!$C$3:$D$669,2,0)</f>
        <v>Móc khoá Crybaby mini Popmart</v>
      </c>
      <c r="D698" s="144" t="str">
        <f>VLOOKUP(B698,'Thống kê'!$C$3:$E$682,3,0)</f>
        <v>cái</v>
      </c>
      <c r="E698" s="100">
        <v>15.2</v>
      </c>
      <c r="F698" s="101">
        <v>10</v>
      </c>
      <c r="G698" s="93"/>
    </row>
    <row r="699" spans="1:7" ht="13.2" hidden="1">
      <c r="A699" s="157"/>
      <c r="B699" s="28" t="s">
        <v>138</v>
      </c>
      <c r="C699" s="143" t="str">
        <f>VLOOKUP(B699,'Thống kê'!$C$3:$D$669,2,0)</f>
        <v>Móc khoá Crybaby mini Popmart</v>
      </c>
      <c r="D699" s="144" t="str">
        <f>VLOOKUP(B699,'Thống kê'!$C$3:$E$682,3,0)</f>
        <v>cái</v>
      </c>
      <c r="E699" s="100">
        <v>15.2</v>
      </c>
      <c r="F699" s="101">
        <v>10</v>
      </c>
      <c r="G699" s="93"/>
    </row>
    <row r="700" spans="1:7" ht="13.2" hidden="1">
      <c r="A700" s="157"/>
      <c r="B700" s="28" t="s">
        <v>1388</v>
      </c>
      <c r="C700" s="143" t="str">
        <f>VLOOKUP(B700,'Thống kê'!$C$3:$D$669,2,0)</f>
        <v>Móc khoá Crybaby mini Popmart</v>
      </c>
      <c r="D700" s="144" t="str">
        <f>VLOOKUP(B700,'Thống kê'!$C$3:$E$682,3,0)</f>
        <v>cái</v>
      </c>
      <c r="E700" s="100">
        <v>15.2</v>
      </c>
      <c r="F700" s="101">
        <v>8</v>
      </c>
      <c r="G700" s="93"/>
    </row>
    <row r="701" spans="1:7" ht="13.2" hidden="1">
      <c r="A701" s="157"/>
      <c r="B701" s="28" t="s">
        <v>1387</v>
      </c>
      <c r="C701" s="143" t="str">
        <f>VLOOKUP(B701,'Thống kê'!$C$3:$D$669,2,0)</f>
        <v>Móc khoá Crybaby mini Popmart</v>
      </c>
      <c r="D701" s="144" t="str">
        <f>VLOOKUP(B701,'Thống kê'!$C$3:$E$682,3,0)</f>
        <v>cái</v>
      </c>
      <c r="E701" s="100">
        <v>15.2</v>
      </c>
      <c r="F701" s="101">
        <v>15</v>
      </c>
      <c r="G701" s="93"/>
    </row>
    <row r="702" spans="1:7" ht="13.2" hidden="1">
      <c r="A702" s="157"/>
      <c r="B702" s="28" t="s">
        <v>230</v>
      </c>
      <c r="C702" s="143" t="str">
        <f>VLOOKUP(B702,'Thống kê'!$C$3:$D$669,2,0)</f>
        <v>Móc khoá Crybaby mini Popmart</v>
      </c>
      <c r="D702" s="144" t="str">
        <f>VLOOKUP(B702,'Thống kê'!$C$3:$E$682,3,0)</f>
        <v>cái</v>
      </c>
      <c r="E702" s="100">
        <v>15.2</v>
      </c>
      <c r="F702" s="101">
        <v>10</v>
      </c>
      <c r="G702" s="93"/>
    </row>
    <row r="703" spans="1:7" ht="13.2" hidden="1">
      <c r="A703" s="157"/>
      <c r="B703" s="28" t="s">
        <v>1461</v>
      </c>
      <c r="C703" s="143">
        <f>VLOOKUP(B703,'Thống kê'!$C$3:$D$669,2,0)</f>
        <v>0</v>
      </c>
      <c r="D703" s="144">
        <f>VLOOKUP(B703,'Thống kê'!$C$3:$E$682,3,0)</f>
        <v>0</v>
      </c>
      <c r="E703" s="100"/>
      <c r="F703" s="101">
        <v>10</v>
      </c>
      <c r="G703" s="93"/>
    </row>
    <row r="704" spans="1:7" ht="13.2" hidden="1">
      <c r="A704" s="157"/>
      <c r="B704" s="28" t="s">
        <v>107</v>
      </c>
      <c r="C704" s="143">
        <f>VLOOKUP(B704,'Thống kê'!$C$3:$D$669,2,0)</f>
        <v>0</v>
      </c>
      <c r="D704" s="144">
        <f>VLOOKUP(B704,'Thống kê'!$C$3:$E$682,3,0)</f>
        <v>0</v>
      </c>
      <c r="E704" s="100"/>
      <c r="F704" s="101">
        <v>18</v>
      </c>
      <c r="G704" s="93"/>
    </row>
    <row r="705" spans="1:7" ht="13.2" hidden="1">
      <c r="A705" s="157"/>
      <c r="B705" s="28" t="s">
        <v>241</v>
      </c>
      <c r="C705" s="143">
        <f>VLOOKUP(B705,'Thống kê'!$C$3:$D$669,2,0)</f>
        <v>0</v>
      </c>
      <c r="D705" s="144">
        <f>VLOOKUP(B705,'Thống kê'!$C$3:$E$682,3,0)</f>
        <v>0</v>
      </c>
      <c r="E705" s="100"/>
      <c r="F705" s="101">
        <v>14</v>
      </c>
      <c r="G705" s="93"/>
    </row>
    <row r="706" spans="1:7" ht="13.2" hidden="1">
      <c r="A706" s="157"/>
      <c r="B706" s="28" t="s">
        <v>1462</v>
      </c>
      <c r="C706" s="143">
        <f>VLOOKUP(B706,'Thống kê'!$C$3:$D$669,2,0)</f>
        <v>0</v>
      </c>
      <c r="D706" s="144">
        <f>VLOOKUP(B706,'Thống kê'!$C$3:$E$682,3,0)</f>
        <v>0</v>
      </c>
      <c r="E706" s="100"/>
      <c r="F706" s="101">
        <v>5</v>
      </c>
      <c r="G706" s="93"/>
    </row>
    <row r="707" spans="1:7" ht="13.2" hidden="1">
      <c r="A707" s="157"/>
      <c r="B707" s="28" t="s">
        <v>1463</v>
      </c>
      <c r="C707" s="143">
        <f>VLOOKUP(B707,'Thống kê'!$C$3:$D$669,2,0)</f>
        <v>0</v>
      </c>
      <c r="D707" s="144">
        <f>VLOOKUP(B707,'Thống kê'!$C$3:$E$682,3,0)</f>
        <v>0</v>
      </c>
      <c r="E707" s="100"/>
      <c r="F707" s="101">
        <v>14</v>
      </c>
      <c r="G707" s="93"/>
    </row>
    <row r="708" spans="1:7" ht="13.2" hidden="1">
      <c r="A708" s="157"/>
      <c r="B708" s="28" t="s">
        <v>143</v>
      </c>
      <c r="C708" s="143" t="str">
        <f>VLOOKUP(B708,'Thống kê'!$C$3:$D$669,2,0)</f>
        <v>Mèo ú</v>
      </c>
      <c r="D708" s="144" t="str">
        <f>VLOOKUP(B708,'Thống kê'!$C$3:$E$682,3,0)</f>
        <v>cái</v>
      </c>
      <c r="E708" s="100">
        <v>7.8</v>
      </c>
      <c r="F708" s="101">
        <v>10</v>
      </c>
      <c r="G708" s="93"/>
    </row>
    <row r="709" spans="1:7" ht="13.2" hidden="1">
      <c r="A709" s="157"/>
      <c r="B709" s="28" t="s">
        <v>1591</v>
      </c>
      <c r="C709" s="143" t="str">
        <f>VLOOKUP(B709,'Thống kê'!$C$3:$D$669,2,0)</f>
        <v>Thỏ ú</v>
      </c>
      <c r="D709" s="144" t="str">
        <f>VLOOKUP(B709,'Thống kê'!$C$3:$E$682,3,0)</f>
        <v>cái</v>
      </c>
      <c r="E709" s="100">
        <v>7.8</v>
      </c>
      <c r="F709" s="101">
        <v>10</v>
      </c>
      <c r="G709" s="93"/>
    </row>
    <row r="710" spans="1:7" ht="13.2" hidden="1">
      <c r="A710" s="157"/>
      <c r="B710" s="28" t="s">
        <v>325</v>
      </c>
      <c r="C710" s="143" t="str">
        <f>VLOOKUP(B710,'Thống kê'!$C$3:$D$669,2,0)</f>
        <v>Gấu ú</v>
      </c>
      <c r="D710" s="144" t="str">
        <f>VLOOKUP(B710,'Thống kê'!$C$3:$E$682,3,0)</f>
        <v>cái</v>
      </c>
      <c r="E710" s="100">
        <v>7.8</v>
      </c>
      <c r="F710" s="101">
        <v>10</v>
      </c>
      <c r="G710" s="93"/>
    </row>
    <row r="711" spans="1:7" ht="13.2" hidden="1">
      <c r="A711" s="157"/>
      <c r="B711" s="28" t="s">
        <v>115</v>
      </c>
      <c r="C711" s="143" t="str">
        <f>VLOOKUP(B711,'Thống kê'!$C$3:$D$669,2,0)</f>
        <v>Heo ú</v>
      </c>
      <c r="D711" s="144" t="str">
        <f>VLOOKUP(B711,'Thống kê'!$C$3:$E$682,3,0)</f>
        <v>cái</v>
      </c>
      <c r="E711" s="100">
        <v>7.8</v>
      </c>
      <c r="F711" s="101">
        <v>15</v>
      </c>
      <c r="G711" s="93"/>
    </row>
    <row r="712" spans="1:7" ht="13.2" hidden="1">
      <c r="A712" s="157"/>
      <c r="B712" s="28" t="s">
        <v>228</v>
      </c>
      <c r="C712" s="143">
        <f>VLOOKUP(B712,'Thống kê'!$C$3:$D$669,2,0)</f>
        <v>0</v>
      </c>
      <c r="D712" s="144">
        <f>VLOOKUP(B712,'Thống kê'!$C$3:$E$682,3,0)</f>
        <v>0</v>
      </c>
      <c r="E712" s="100">
        <v>13</v>
      </c>
      <c r="F712" s="101">
        <v>30</v>
      </c>
      <c r="G712" s="93"/>
    </row>
    <row r="713" spans="1:7" ht="13.2" hidden="1">
      <c r="A713" s="157"/>
      <c r="B713" s="28" t="s">
        <v>229</v>
      </c>
      <c r="C713" s="143">
        <f>VLOOKUP(B713,'Thống kê'!$C$3:$D$669,2,0)</f>
        <v>0</v>
      </c>
      <c r="D713" s="144">
        <f>VLOOKUP(B713,'Thống kê'!$C$3:$E$682,3,0)</f>
        <v>0</v>
      </c>
      <c r="E713" s="100">
        <v>13</v>
      </c>
      <c r="F713" s="101"/>
      <c r="G713" s="93"/>
    </row>
    <row r="714" spans="1:7" ht="13.2" hidden="1">
      <c r="A714" s="157"/>
      <c r="B714" s="28" t="s">
        <v>1450</v>
      </c>
      <c r="C714" s="143">
        <f>VLOOKUP(B714,'Thống kê'!$C$3:$D$669,2,0)</f>
        <v>0</v>
      </c>
      <c r="D714" s="144">
        <f>VLOOKUP(B714,'Thống kê'!$C$3:$E$682,3,0)</f>
        <v>0</v>
      </c>
      <c r="E714" s="100">
        <v>13</v>
      </c>
      <c r="F714" s="101">
        <v>40</v>
      </c>
      <c r="G714" s="93"/>
    </row>
    <row r="715" spans="1:7" ht="13.2" hidden="1">
      <c r="A715" s="157"/>
      <c r="B715" s="28" t="s">
        <v>1464</v>
      </c>
      <c r="C715" s="143">
        <f>VLOOKUP(B715,'Thống kê'!$C$3:$D$669,2,0)</f>
        <v>0</v>
      </c>
      <c r="D715" s="144">
        <f>VLOOKUP(B715,'Thống kê'!$C$3:$E$682,3,0)</f>
        <v>0</v>
      </c>
      <c r="E715" s="100">
        <v>13</v>
      </c>
      <c r="F715" s="101">
        <v>15</v>
      </c>
      <c r="G715" s="93"/>
    </row>
    <row r="716" spans="1:7" ht="13.2" hidden="1">
      <c r="A716" s="157"/>
      <c r="B716" s="28" t="s">
        <v>1465</v>
      </c>
      <c r="C716" s="143">
        <f>VLOOKUP(B716,'Thống kê'!$C$3:$D$669,2,0)</f>
        <v>0</v>
      </c>
      <c r="D716" s="144">
        <f>VLOOKUP(B716,'Thống kê'!$C$3:$E$682,3,0)</f>
        <v>0</v>
      </c>
      <c r="E716" s="100">
        <v>13</v>
      </c>
      <c r="F716" s="101">
        <v>8</v>
      </c>
      <c r="G716" s="93"/>
    </row>
    <row r="717" spans="1:7" ht="13.2" hidden="1">
      <c r="A717" s="157"/>
      <c r="B717" s="28" t="s">
        <v>1466</v>
      </c>
      <c r="C717" s="143">
        <f>VLOOKUP(B717,'Thống kê'!$C$3:$D$669,2,0)</f>
        <v>0</v>
      </c>
      <c r="D717" s="144">
        <f>VLOOKUP(B717,'Thống kê'!$C$3:$E$682,3,0)</f>
        <v>0</v>
      </c>
      <c r="E717" s="100">
        <v>13</v>
      </c>
      <c r="F717" s="101">
        <v>11</v>
      </c>
      <c r="G717" s="93"/>
    </row>
    <row r="718" spans="1:7" ht="13.2" hidden="1">
      <c r="A718" s="157"/>
      <c r="B718" s="28" t="s">
        <v>1467</v>
      </c>
      <c r="C718" s="143">
        <f>VLOOKUP(B718,'Thống kê'!$C$3:$D$669,2,0)</f>
        <v>0</v>
      </c>
      <c r="D718" s="144">
        <f>VLOOKUP(B718,'Thống kê'!$C$3:$E$682,3,0)</f>
        <v>0</v>
      </c>
      <c r="E718" s="100">
        <v>13</v>
      </c>
      <c r="F718" s="101">
        <v>15</v>
      </c>
      <c r="G718" s="93"/>
    </row>
    <row r="719" spans="1:7" ht="13.2" hidden="1">
      <c r="A719" s="157"/>
      <c r="B719" s="28" t="s">
        <v>1468</v>
      </c>
      <c r="C719" s="143">
        <f>VLOOKUP(B719,'Thống kê'!$C$3:$D$669,2,0)</f>
        <v>0</v>
      </c>
      <c r="D719" s="144">
        <f>VLOOKUP(B719,'Thống kê'!$C$3:$E$682,3,0)</f>
        <v>0</v>
      </c>
      <c r="E719" s="100">
        <v>13</v>
      </c>
      <c r="F719" s="101">
        <v>8</v>
      </c>
      <c r="G719" s="93"/>
    </row>
    <row r="720" spans="1:7" ht="13.2" hidden="1">
      <c r="A720" s="49"/>
      <c r="B720" s="16" t="s">
        <v>1469</v>
      </c>
      <c r="C720" s="143">
        <f>VLOOKUP(B720,'Thống kê'!$C$3:$D$669,2,0)</f>
        <v>0</v>
      </c>
      <c r="D720" s="144">
        <f>VLOOKUP(B720,'Thống kê'!$C$3:$E$682,3,0)</f>
        <v>0</v>
      </c>
      <c r="E720" s="158">
        <v>13</v>
      </c>
      <c r="F720" s="115">
        <v>80</v>
      </c>
      <c r="G720" s="158"/>
    </row>
    <row r="721" spans="1:7" ht="13.2" hidden="1">
      <c r="A721" s="49"/>
      <c r="B721" s="16" t="s">
        <v>1424</v>
      </c>
      <c r="C721" s="143" t="str">
        <f>VLOOKUP(B721,'Thống kê'!$C$3:$D$669,2,0)</f>
        <v>Móc khoá Crybaby mini Popmart</v>
      </c>
      <c r="D721" s="144" t="str">
        <f>VLOOKUP(B721,'Thống kê'!$C$3:$E$682,3,0)</f>
        <v>cái</v>
      </c>
      <c r="E721" s="158">
        <v>14</v>
      </c>
      <c r="F721" s="115">
        <v>20</v>
      </c>
      <c r="G721" s="158"/>
    </row>
    <row r="722" spans="1:7" ht="13.2" hidden="1">
      <c r="A722" s="49"/>
      <c r="B722" s="16" t="s">
        <v>113</v>
      </c>
      <c r="C722" s="143" t="str">
        <f>VLOOKUP(B722,'Thống kê'!$C$3:$D$669,2,0)</f>
        <v>Móc khoá Dimoo size mini (hàng remake)</v>
      </c>
      <c r="D722" s="144" t="str">
        <f>VLOOKUP(B722,'Thống kê'!$C$3:$E$682,3,0)</f>
        <v>cái</v>
      </c>
      <c r="E722" s="158">
        <v>14</v>
      </c>
      <c r="F722" s="115">
        <v>30</v>
      </c>
      <c r="G722" s="158"/>
    </row>
    <row r="723" spans="1:7" ht="13.2" hidden="1">
      <c r="A723" s="49"/>
      <c r="B723" s="16" t="s">
        <v>113</v>
      </c>
      <c r="C723" s="143" t="str">
        <f>VLOOKUP(B723,'Thống kê'!$C$3:$D$669,2,0)</f>
        <v>Móc khoá Dimoo size mini (hàng remake)</v>
      </c>
      <c r="D723" s="144" t="str">
        <f>VLOOKUP(B723,'Thống kê'!$C$3:$E$682,3,0)</f>
        <v>cái</v>
      </c>
      <c r="E723" s="158">
        <v>14.69</v>
      </c>
      <c r="F723" s="115">
        <v>10</v>
      </c>
      <c r="G723" s="158"/>
    </row>
    <row r="724" spans="1:7" ht="13.2" hidden="1">
      <c r="A724" s="49"/>
      <c r="B724" s="16" t="s">
        <v>1462</v>
      </c>
      <c r="C724" s="143">
        <f>VLOOKUP(B724,'Thống kê'!$C$3:$D$669,2,0)</f>
        <v>0</v>
      </c>
      <c r="D724" s="144">
        <f>VLOOKUP(B724,'Thống kê'!$C$3:$E$682,3,0)</f>
        <v>0</v>
      </c>
      <c r="E724" s="158"/>
      <c r="F724" s="115">
        <v>5</v>
      </c>
      <c r="G724" s="158"/>
    </row>
    <row r="725" spans="1:7" ht="13.2" hidden="1">
      <c r="A725" s="49"/>
      <c r="B725" s="16" t="s">
        <v>250</v>
      </c>
      <c r="C725" s="143">
        <f>VLOOKUP(B725,'Thống kê'!$C$3:$D$669,2,0)</f>
        <v>0</v>
      </c>
      <c r="D725" s="144">
        <f>VLOOKUP(B725,'Thống kê'!$C$3:$E$682,3,0)</f>
        <v>0</v>
      </c>
      <c r="E725" s="158">
        <v>34</v>
      </c>
      <c r="F725" s="115">
        <v>25</v>
      </c>
      <c r="G725" s="67"/>
    </row>
    <row r="726" spans="1:7" ht="13.2" hidden="1">
      <c r="A726" s="49"/>
      <c r="B726" s="16" t="s">
        <v>201</v>
      </c>
      <c r="C726" s="143">
        <f>VLOOKUP(B726,'Thống kê'!$C$3:$D$669,2,0)</f>
        <v>0</v>
      </c>
      <c r="D726" s="144">
        <f>VLOOKUP(B726,'Thống kê'!$C$3:$E$682,3,0)</f>
        <v>0</v>
      </c>
      <c r="E726" s="158">
        <v>34</v>
      </c>
      <c r="F726" s="115">
        <v>25</v>
      </c>
      <c r="G726" s="67"/>
    </row>
    <row r="727" spans="1:7" ht="13.2" hidden="1">
      <c r="A727" s="49"/>
      <c r="B727" s="16" t="s">
        <v>1470</v>
      </c>
      <c r="C727" s="143">
        <f>VLOOKUP(B727,'Thống kê'!$C$3:$D$669,2,0)</f>
        <v>0</v>
      </c>
      <c r="D727" s="144">
        <f>VLOOKUP(B727,'Thống kê'!$C$3:$E$682,3,0)</f>
        <v>0</v>
      </c>
      <c r="E727" s="158">
        <v>26</v>
      </c>
      <c r="F727" s="115">
        <v>5</v>
      </c>
      <c r="G727" s="67"/>
    </row>
    <row r="728" spans="1:7" ht="13.2" hidden="1">
      <c r="A728" s="49"/>
      <c r="B728" s="16" t="s">
        <v>1471</v>
      </c>
      <c r="C728" s="143">
        <f>VLOOKUP(B728,'Thống kê'!$C$3:$D$669,2,0)</f>
        <v>0</v>
      </c>
      <c r="D728" s="144">
        <f>VLOOKUP(B728,'Thống kê'!$C$3:$E$682,3,0)</f>
        <v>0</v>
      </c>
      <c r="E728" s="158">
        <v>26</v>
      </c>
      <c r="F728" s="115">
        <v>5</v>
      </c>
      <c r="G728" s="67"/>
    </row>
    <row r="729" spans="1:7" ht="13.2" hidden="1">
      <c r="A729" s="49"/>
      <c r="B729" s="16" t="s">
        <v>1472</v>
      </c>
      <c r="C729" s="143">
        <f>VLOOKUP(B729,'Thống kê'!$C$3:$D$669,2,0)</f>
        <v>0</v>
      </c>
      <c r="D729" s="144">
        <f>VLOOKUP(B729,'Thống kê'!$C$3:$E$682,3,0)</f>
        <v>0</v>
      </c>
      <c r="E729" s="158">
        <v>26</v>
      </c>
      <c r="F729" s="115">
        <v>25</v>
      </c>
      <c r="G729" s="67"/>
    </row>
    <row r="730" spans="1:7" ht="13.2" hidden="1">
      <c r="A730" s="49"/>
      <c r="B730" s="16" t="s">
        <v>267</v>
      </c>
      <c r="C730" s="143">
        <f>VLOOKUP(B730,'Thống kê'!$C$3:$D$669,2,0)</f>
        <v>0</v>
      </c>
      <c r="D730" s="144">
        <f>VLOOKUP(B730,'Thống kê'!$C$3:$E$682,3,0)</f>
        <v>0</v>
      </c>
      <c r="E730" s="158">
        <v>26</v>
      </c>
      <c r="F730" s="115">
        <v>15</v>
      </c>
      <c r="G730" s="67"/>
    </row>
    <row r="731" spans="1:7" ht="13.2" hidden="1">
      <c r="A731" s="49"/>
      <c r="B731" s="16" t="s">
        <v>1473</v>
      </c>
      <c r="C731" s="143">
        <f>VLOOKUP(B731,'Thống kê'!$C$3:$D$669,2,0)</f>
        <v>0</v>
      </c>
      <c r="D731" s="144">
        <f>VLOOKUP(B731,'Thống kê'!$C$3:$E$682,3,0)</f>
        <v>0</v>
      </c>
      <c r="E731" s="158">
        <v>26</v>
      </c>
      <c r="F731" s="115">
        <v>5</v>
      </c>
      <c r="G731" s="67"/>
    </row>
    <row r="732" spans="1:7" ht="13.2" hidden="1">
      <c r="A732" s="49"/>
      <c r="B732" s="16" t="s">
        <v>192</v>
      </c>
      <c r="C732" s="143">
        <f>VLOOKUP(B732,'Thống kê'!$C$3:$D$669,2,0)</f>
        <v>0</v>
      </c>
      <c r="D732" s="144">
        <f>VLOOKUP(B732,'Thống kê'!$C$3:$E$682,3,0)</f>
        <v>0</v>
      </c>
      <c r="E732" s="158">
        <v>8</v>
      </c>
      <c r="F732" s="115">
        <v>55</v>
      </c>
      <c r="G732" s="67"/>
    </row>
    <row r="733" spans="1:7" ht="13.2" hidden="1">
      <c r="A733" s="49"/>
      <c r="B733" s="16" t="s">
        <v>1474</v>
      </c>
      <c r="C733" s="143">
        <f>VLOOKUP(B733,'Thống kê'!$C$3:$D$669,2,0)</f>
        <v>0</v>
      </c>
      <c r="D733" s="144">
        <f>VLOOKUP(B733,'Thống kê'!$C$3:$E$682,3,0)</f>
        <v>0</v>
      </c>
      <c r="E733" s="158">
        <v>8</v>
      </c>
      <c r="F733" s="115">
        <v>10</v>
      </c>
      <c r="G733" s="67"/>
    </row>
    <row r="734" spans="1:7" ht="13.2" hidden="1">
      <c r="A734" s="49"/>
      <c r="B734" s="16" t="s">
        <v>1475</v>
      </c>
      <c r="C734" s="143">
        <f>VLOOKUP(B734,'Thống kê'!$C$3:$D$669,2,0)</f>
        <v>0</v>
      </c>
      <c r="D734" s="144">
        <f>VLOOKUP(B734,'Thống kê'!$C$3:$E$682,3,0)</f>
        <v>0</v>
      </c>
      <c r="E734" s="158">
        <v>8</v>
      </c>
      <c r="F734" s="115">
        <v>15</v>
      </c>
      <c r="G734" s="67"/>
    </row>
    <row r="735" spans="1:7" ht="13.2" hidden="1">
      <c r="A735" s="49"/>
      <c r="B735" s="16" t="s">
        <v>1476</v>
      </c>
      <c r="C735" s="143">
        <f>VLOOKUP(B735,'Thống kê'!$C$3:$D$669,2,0)</f>
        <v>0</v>
      </c>
      <c r="D735" s="144">
        <f>VLOOKUP(B735,'Thống kê'!$C$3:$E$682,3,0)</f>
        <v>0</v>
      </c>
      <c r="E735" s="158">
        <v>8</v>
      </c>
      <c r="F735" s="115">
        <v>15</v>
      </c>
      <c r="G735" s="67"/>
    </row>
    <row r="736" spans="1:7" ht="13.2" hidden="1">
      <c r="A736" s="49"/>
      <c r="B736" s="16" t="s">
        <v>1477</v>
      </c>
      <c r="C736" s="143">
        <f>VLOOKUP(B736,'Thống kê'!$C$3:$D$669,2,0)</f>
        <v>0</v>
      </c>
      <c r="D736" s="144">
        <f>VLOOKUP(B736,'Thống kê'!$C$3:$E$682,3,0)</f>
        <v>0</v>
      </c>
      <c r="E736" s="158">
        <v>8</v>
      </c>
      <c r="F736" s="115">
        <v>10</v>
      </c>
      <c r="G736" s="67"/>
    </row>
    <row r="737" spans="1:7" ht="13.2" hidden="1">
      <c r="A737" s="49"/>
      <c r="B737" s="16" t="s">
        <v>1478</v>
      </c>
      <c r="C737" s="143">
        <f>VLOOKUP(B737,'Thống kê'!$C$3:$D$669,2,0)</f>
        <v>0</v>
      </c>
      <c r="D737" s="144">
        <f>VLOOKUP(B737,'Thống kê'!$C$3:$E$682,3,0)</f>
        <v>0</v>
      </c>
      <c r="E737" s="158">
        <v>8</v>
      </c>
      <c r="F737" s="115">
        <v>10</v>
      </c>
      <c r="G737" s="67"/>
    </row>
    <row r="738" spans="1:7" ht="13.2" hidden="1">
      <c r="A738" s="49"/>
      <c r="B738" s="16" t="s">
        <v>1479</v>
      </c>
      <c r="C738" s="143">
        <f>VLOOKUP(B738,'Thống kê'!$C$3:$D$669,2,0)</f>
        <v>0</v>
      </c>
      <c r="D738" s="144">
        <f>VLOOKUP(B738,'Thống kê'!$C$3:$E$682,3,0)</f>
        <v>0</v>
      </c>
      <c r="E738" s="158">
        <v>8</v>
      </c>
      <c r="F738" s="115">
        <v>15</v>
      </c>
      <c r="G738" s="67"/>
    </row>
    <row r="739" spans="1:7" ht="13.2" hidden="1">
      <c r="A739" s="49"/>
      <c r="B739" s="16" t="s">
        <v>1384</v>
      </c>
      <c r="C739" s="143" t="str">
        <f>VLOOKUP(B739,'Thống kê'!$C$3:$D$669,2,0)</f>
        <v>Móc khoá Crybaby mini Popmart</v>
      </c>
      <c r="D739" s="144" t="str">
        <f>VLOOKUP(B739,'Thống kê'!$C$3:$E$682,3,0)</f>
        <v>cái</v>
      </c>
      <c r="E739" s="158">
        <v>11.48</v>
      </c>
      <c r="F739" s="115">
        <v>40</v>
      </c>
      <c r="G739" s="67"/>
    </row>
    <row r="740" spans="1:7" ht="13.2" hidden="1">
      <c r="A740" s="49"/>
      <c r="B740" s="16" t="s">
        <v>1386</v>
      </c>
      <c r="C740" s="143" t="str">
        <f>VLOOKUP(B740,'Thống kê'!$C$3:$D$669,2,0)</f>
        <v>Móc khoá Crybaby mini Popmart</v>
      </c>
      <c r="D740" s="144" t="str">
        <f>VLOOKUP(B740,'Thống kê'!$C$3:$E$682,3,0)</f>
        <v>cái</v>
      </c>
      <c r="E740" s="158">
        <v>11.48</v>
      </c>
      <c r="F740" s="115">
        <v>8</v>
      </c>
      <c r="G740" s="67"/>
    </row>
    <row r="741" spans="1:7" ht="13.2" hidden="1">
      <c r="A741" s="49"/>
      <c r="B741" s="16" t="s">
        <v>1387</v>
      </c>
      <c r="C741" s="143" t="str">
        <f>VLOOKUP(B741,'Thống kê'!$C$3:$D$669,2,0)</f>
        <v>Móc khoá Crybaby mini Popmart</v>
      </c>
      <c r="D741" s="144" t="str">
        <f>VLOOKUP(B741,'Thống kê'!$C$3:$E$682,3,0)</f>
        <v>cái</v>
      </c>
      <c r="E741" s="158">
        <v>11.48</v>
      </c>
      <c r="F741" s="115">
        <v>12</v>
      </c>
      <c r="G741" s="67"/>
    </row>
    <row r="742" spans="1:7" ht="13.2" hidden="1">
      <c r="A742" s="49"/>
      <c r="B742" s="16" t="s">
        <v>1388</v>
      </c>
      <c r="C742" s="143" t="str">
        <f>VLOOKUP(B742,'Thống kê'!$C$3:$D$669,2,0)</f>
        <v>Móc khoá Crybaby mini Popmart</v>
      </c>
      <c r="D742" s="144" t="str">
        <f>VLOOKUP(B742,'Thống kê'!$C$3:$E$682,3,0)</f>
        <v>cái</v>
      </c>
      <c r="E742" s="158">
        <v>11.48</v>
      </c>
      <c r="F742" s="115">
        <v>8</v>
      </c>
      <c r="G742" s="67"/>
    </row>
    <row r="743" spans="1:7" ht="13.2" hidden="1">
      <c r="A743" s="49"/>
      <c r="B743" s="16" t="s">
        <v>138</v>
      </c>
      <c r="C743" s="143" t="str">
        <f>VLOOKUP(B743,'Thống kê'!$C$3:$D$669,2,0)</f>
        <v>Móc khoá Crybaby mini Popmart</v>
      </c>
      <c r="D743" s="144" t="str">
        <f>VLOOKUP(B743,'Thống kê'!$C$3:$E$682,3,0)</f>
        <v>cái</v>
      </c>
      <c r="E743" s="158">
        <v>11.48</v>
      </c>
      <c r="F743" s="115">
        <v>12</v>
      </c>
      <c r="G743" s="67"/>
    </row>
    <row r="744" spans="1:7" ht="13.2" hidden="1">
      <c r="A744" s="49"/>
      <c r="B744" s="16" t="s">
        <v>1389</v>
      </c>
      <c r="C744" s="143" t="str">
        <f>VLOOKUP(B744,'Thống kê'!$C$3:$D$669,2,0)</f>
        <v>Móc khoá Crybaby mini Popmart</v>
      </c>
      <c r="D744" s="144" t="str">
        <f>VLOOKUP(B744,'Thống kê'!$C$3:$E$682,3,0)</f>
        <v>cái</v>
      </c>
      <c r="E744" s="158">
        <v>11.48</v>
      </c>
      <c r="F744" s="115">
        <v>8</v>
      </c>
      <c r="G744" s="67"/>
    </row>
    <row r="745" spans="1:7" ht="13.2" hidden="1">
      <c r="A745" s="49"/>
      <c r="B745" s="16" t="s">
        <v>258</v>
      </c>
      <c r="C745" s="143" t="str">
        <f>VLOOKUP(B745,'Thống kê'!$C$3:$D$669,2,0)</f>
        <v>Móc khoá Crybaby mini Popmart</v>
      </c>
      <c r="D745" s="144" t="str">
        <f>VLOOKUP(B745,'Thống kê'!$C$3:$E$682,3,0)</f>
        <v>cái</v>
      </c>
      <c r="E745" s="158">
        <v>11.48</v>
      </c>
      <c r="F745" s="115">
        <v>10</v>
      </c>
      <c r="G745" s="67"/>
    </row>
    <row r="746" spans="1:7" ht="13.2" hidden="1">
      <c r="A746" s="49"/>
      <c r="B746" s="16" t="s">
        <v>230</v>
      </c>
      <c r="C746" s="143" t="str">
        <f>VLOOKUP(B746,'Thống kê'!$C$3:$D$669,2,0)</f>
        <v>Móc khoá Crybaby mini Popmart</v>
      </c>
      <c r="D746" s="144" t="str">
        <f>VLOOKUP(B746,'Thống kê'!$C$3:$E$682,3,0)</f>
        <v>cái</v>
      </c>
      <c r="E746" s="158">
        <v>11.48</v>
      </c>
      <c r="F746" s="115">
        <v>12</v>
      </c>
      <c r="G746" s="67"/>
    </row>
    <row r="747" spans="1:7" ht="13.2" hidden="1">
      <c r="A747" s="49"/>
      <c r="B747" s="16" t="s">
        <v>259</v>
      </c>
      <c r="C747" s="143" t="str">
        <f>VLOOKUP(B747,'Thống kê'!$C$3:$D$669,2,0)</f>
        <v>Móc khoá Crybaby mini Popmart</v>
      </c>
      <c r="D747" s="144" t="str">
        <f>VLOOKUP(B747,'Thống kê'!$C$3:$E$682,3,0)</f>
        <v>cái</v>
      </c>
      <c r="E747" s="158">
        <v>11.48</v>
      </c>
      <c r="F747" s="115">
        <v>8</v>
      </c>
      <c r="G747" s="67"/>
    </row>
    <row r="748" spans="1:7" ht="13.2" hidden="1">
      <c r="A748" s="49"/>
      <c r="B748" s="16" t="s">
        <v>1424</v>
      </c>
      <c r="C748" s="143" t="str">
        <f>VLOOKUP(B748,'Thống kê'!$C$3:$D$669,2,0)</f>
        <v>Móc khoá Crybaby mini Popmart</v>
      </c>
      <c r="D748" s="144" t="str">
        <f>VLOOKUP(B748,'Thống kê'!$C$3:$E$682,3,0)</f>
        <v>cái</v>
      </c>
      <c r="E748" s="158">
        <v>11.48</v>
      </c>
      <c r="F748" s="115"/>
      <c r="G748" s="67"/>
    </row>
    <row r="749" spans="1:7" ht="13.2" hidden="1">
      <c r="A749" s="49"/>
      <c r="B749" s="16" t="s">
        <v>1425</v>
      </c>
      <c r="C749" s="143" t="str">
        <f>VLOOKUP(B749,'Thống kê'!$C$3:$D$669,2,0)</f>
        <v>Móc khoá Crybaby mini Popmart</v>
      </c>
      <c r="D749" s="144" t="str">
        <f>VLOOKUP(B749,'Thống kê'!$C$3:$E$682,3,0)</f>
        <v>cái</v>
      </c>
      <c r="E749" s="158">
        <v>11.48</v>
      </c>
      <c r="F749" s="115"/>
      <c r="G749" s="67"/>
    </row>
    <row r="750" spans="1:7" ht="13.2" hidden="1">
      <c r="A750" s="49"/>
      <c r="B750" s="16" t="s">
        <v>192</v>
      </c>
      <c r="C750" s="143">
        <f>VLOOKUP(B750,'Thống kê'!$C$3:$D$669,2,0)</f>
        <v>0</v>
      </c>
      <c r="D750" s="144">
        <f>VLOOKUP(B750,'Thống kê'!$C$3:$E$682,3,0)</f>
        <v>0</v>
      </c>
      <c r="E750" s="158">
        <v>8.49</v>
      </c>
      <c r="F750" s="115">
        <v>25</v>
      </c>
      <c r="G750" s="67"/>
    </row>
    <row r="751" spans="1:7" ht="13.2" hidden="1">
      <c r="A751" s="49"/>
      <c r="B751" s="16" t="s">
        <v>1474</v>
      </c>
      <c r="C751" s="143">
        <f>VLOOKUP(B751,'Thống kê'!$C$3:$D$669,2,0)</f>
        <v>0</v>
      </c>
      <c r="D751" s="144">
        <f>VLOOKUP(B751,'Thống kê'!$C$3:$E$682,3,0)</f>
        <v>0</v>
      </c>
      <c r="E751" s="158">
        <v>8.49</v>
      </c>
      <c r="F751" s="115">
        <v>8</v>
      </c>
      <c r="G751" s="67"/>
    </row>
    <row r="752" spans="1:7" ht="13.2" hidden="1">
      <c r="A752" s="49"/>
      <c r="B752" s="16" t="s">
        <v>1475</v>
      </c>
      <c r="C752" s="143">
        <f>VLOOKUP(B752,'Thống kê'!$C$3:$D$669,2,0)</f>
        <v>0</v>
      </c>
      <c r="D752" s="144">
        <f>VLOOKUP(B752,'Thống kê'!$C$3:$E$682,3,0)</f>
        <v>0</v>
      </c>
      <c r="E752" s="158">
        <v>8.49</v>
      </c>
      <c r="F752" s="115">
        <v>10</v>
      </c>
      <c r="G752" s="67"/>
    </row>
    <row r="753" spans="1:7" ht="13.2" hidden="1">
      <c r="A753" s="49"/>
      <c r="B753" s="16" t="s">
        <v>1476</v>
      </c>
      <c r="C753" s="143">
        <f>VLOOKUP(B753,'Thống kê'!$C$3:$D$669,2,0)</f>
        <v>0</v>
      </c>
      <c r="D753" s="144">
        <f>VLOOKUP(B753,'Thống kê'!$C$3:$E$682,3,0)</f>
        <v>0</v>
      </c>
      <c r="E753" s="158">
        <v>8.49</v>
      </c>
      <c r="F753" s="115">
        <v>8</v>
      </c>
      <c r="G753" s="67"/>
    </row>
    <row r="754" spans="1:7" ht="13.2" hidden="1">
      <c r="A754" s="49"/>
      <c r="B754" s="16" t="s">
        <v>1477</v>
      </c>
      <c r="C754" s="143">
        <f>VLOOKUP(B754,'Thống kê'!$C$3:$D$669,2,0)</f>
        <v>0</v>
      </c>
      <c r="D754" s="144">
        <f>VLOOKUP(B754,'Thống kê'!$C$3:$E$682,3,0)</f>
        <v>0</v>
      </c>
      <c r="E754" s="158">
        <v>8.49</v>
      </c>
      <c r="F754" s="115">
        <v>10</v>
      </c>
      <c r="G754" s="67"/>
    </row>
    <row r="755" spans="1:7" ht="13.2" hidden="1">
      <c r="A755" s="49"/>
      <c r="B755" s="16" t="s">
        <v>1478</v>
      </c>
      <c r="C755" s="143">
        <f>VLOOKUP(B755,'Thống kê'!$C$3:$D$669,2,0)</f>
        <v>0</v>
      </c>
      <c r="D755" s="144">
        <f>VLOOKUP(B755,'Thống kê'!$C$3:$E$682,3,0)</f>
        <v>0</v>
      </c>
      <c r="E755" s="158">
        <v>8.49</v>
      </c>
      <c r="F755" s="115">
        <v>8</v>
      </c>
      <c r="G755" s="67"/>
    </row>
    <row r="756" spans="1:7" ht="13.2" hidden="1">
      <c r="A756" s="49"/>
      <c r="B756" s="16" t="s">
        <v>1479</v>
      </c>
      <c r="C756" s="143">
        <f>VLOOKUP(B756,'Thống kê'!$C$3:$D$669,2,0)</f>
        <v>0</v>
      </c>
      <c r="D756" s="144">
        <f>VLOOKUP(B756,'Thống kê'!$C$3:$E$682,3,0)</f>
        <v>0</v>
      </c>
      <c r="E756" s="158">
        <v>8.49</v>
      </c>
      <c r="F756" s="115">
        <v>10</v>
      </c>
      <c r="G756" s="67"/>
    </row>
    <row r="757" spans="1:7" ht="13.2" hidden="1">
      <c r="A757" s="49"/>
      <c r="B757" s="16" t="s">
        <v>1480</v>
      </c>
      <c r="C757" s="143">
        <f>VLOOKUP(B757,'Thống kê'!$C$3:$D$669,2,0)</f>
        <v>0</v>
      </c>
      <c r="D757" s="144">
        <f>VLOOKUP(B757,'Thống kê'!$C$3:$E$682,3,0)</f>
        <v>0</v>
      </c>
      <c r="E757" s="158">
        <v>14</v>
      </c>
      <c r="F757" s="115">
        <v>12</v>
      </c>
      <c r="G757" s="67"/>
    </row>
    <row r="758" spans="1:7" ht="13.2" hidden="1">
      <c r="A758" s="49"/>
      <c r="B758" s="16" t="s">
        <v>262</v>
      </c>
      <c r="C758" s="143" t="str">
        <f>VLOOKUP(B758,'Thống kê'!$C$3:$D$669,2,0)</f>
        <v>Pop Bean Baked Bread</v>
      </c>
      <c r="D758" s="144" t="str">
        <f>VLOOKUP(B758,'Thống kê'!$C$3:$E$682,3,0)</f>
        <v>cái</v>
      </c>
      <c r="E758" s="158">
        <v>85000</v>
      </c>
      <c r="F758" s="115">
        <v>19</v>
      </c>
      <c r="G758" s="67"/>
    </row>
    <row r="759" spans="1:7" ht="13.2" hidden="1">
      <c r="A759" s="49"/>
      <c r="B759" s="16" t="s">
        <v>206</v>
      </c>
      <c r="C759" s="143" t="str">
        <f>VLOOKUP(B759,'Thống kê'!$C$3:$D$669,2,0)</f>
        <v>Pop Bean Baked Bread</v>
      </c>
      <c r="D759" s="144" t="str">
        <f>VLOOKUP(B759,'Thống kê'!$C$3:$E$682,3,0)</f>
        <v>cái</v>
      </c>
      <c r="E759" s="158">
        <v>85000</v>
      </c>
      <c r="F759" s="115">
        <v>10</v>
      </c>
      <c r="G759" s="67"/>
    </row>
    <row r="760" spans="1:7" ht="13.2" hidden="1">
      <c r="A760" s="49"/>
      <c r="B760" s="16" t="s">
        <v>329</v>
      </c>
      <c r="C760" s="143" t="str">
        <f>VLOOKUP(B760,'Thống kê'!$C$3:$D$669,2,0)</f>
        <v>Pop Bean Baked Bread</v>
      </c>
      <c r="D760" s="144" t="str">
        <f>VLOOKUP(B760,'Thống kê'!$C$3:$E$682,3,0)</f>
        <v>cái</v>
      </c>
      <c r="E760" s="158">
        <v>85000</v>
      </c>
      <c r="F760" s="115">
        <v>10</v>
      </c>
      <c r="G760" s="67"/>
    </row>
    <row r="761" spans="1:7" ht="13.2" hidden="1">
      <c r="A761" s="49"/>
      <c r="B761" s="16" t="s">
        <v>1717</v>
      </c>
      <c r="C761" s="143" t="str">
        <f>VLOOKUP(B761,'Thống kê'!$C$3:$D$669,2,0)</f>
        <v>Pop Bean Baked Bread</v>
      </c>
      <c r="D761" s="144" t="str">
        <f>VLOOKUP(B761,'Thống kê'!$C$3:$E$682,3,0)</f>
        <v>cái</v>
      </c>
      <c r="E761" s="158">
        <v>85000</v>
      </c>
      <c r="F761" s="115">
        <v>10</v>
      </c>
      <c r="G761" s="67"/>
    </row>
    <row r="762" spans="1:7" ht="13.2" hidden="1">
      <c r="A762" s="49"/>
      <c r="B762" s="16" t="s">
        <v>1718</v>
      </c>
      <c r="C762" s="143" t="str">
        <f>VLOOKUP(B762,'Thống kê'!$C$3:$D$669,2,0)</f>
        <v>Pop Bean Baked Bread</v>
      </c>
      <c r="D762" s="144" t="str">
        <f>VLOOKUP(B762,'Thống kê'!$C$3:$E$682,3,0)</f>
        <v>cái</v>
      </c>
      <c r="E762" s="158">
        <v>85000</v>
      </c>
      <c r="F762" s="115">
        <v>3</v>
      </c>
      <c r="G762" s="67"/>
    </row>
    <row r="763" spans="1:7" ht="13.2" hidden="1">
      <c r="A763" s="49"/>
      <c r="B763" s="16" t="s">
        <v>1635</v>
      </c>
      <c r="C763" s="143" t="str">
        <f>VLOOKUP(B763,'Thống kê'!$C$3:$D$669,2,0)</f>
        <v>Mô hình mèo 4</v>
      </c>
      <c r="D763" s="144" t="str">
        <f>VLOOKUP(B763,'Thống kê'!$C$3:$E$682,3,0)</f>
        <v>cái</v>
      </c>
      <c r="E763" s="158">
        <v>5.1100000000000003</v>
      </c>
      <c r="F763" s="115">
        <v>10</v>
      </c>
      <c r="G763" s="67"/>
    </row>
    <row r="764" spans="1:7" ht="13.2" hidden="1">
      <c r="A764" s="49"/>
      <c r="B764" s="16" t="s">
        <v>1623</v>
      </c>
      <c r="C764" s="143" t="str">
        <f>VLOOKUP(B764,'Thống kê'!$C$3:$D$669,2,0)</f>
        <v>Mô hình mèo 5</v>
      </c>
      <c r="D764" s="144" t="str">
        <f>VLOOKUP(B764,'Thống kê'!$C$3:$E$682,3,0)</f>
        <v>cái</v>
      </c>
      <c r="E764" s="158">
        <v>5.1100000000000003</v>
      </c>
      <c r="F764" s="115">
        <v>15</v>
      </c>
      <c r="G764" s="67"/>
    </row>
    <row r="765" spans="1:7" ht="13.2" hidden="1">
      <c r="A765" s="49"/>
      <c r="B765" s="16" t="s">
        <v>1636</v>
      </c>
      <c r="C765" s="143" t="str">
        <f>VLOOKUP(B765,'Thống kê'!$C$3:$D$669,2,0)</f>
        <v>Mô hình mèo 3</v>
      </c>
      <c r="D765" s="144" t="str">
        <f>VLOOKUP(B765,'Thống kê'!$C$3:$E$682,3,0)</f>
        <v>cái</v>
      </c>
      <c r="E765" s="158">
        <v>5.1100000000000003</v>
      </c>
      <c r="F765" s="115">
        <v>7</v>
      </c>
      <c r="G765" s="67"/>
    </row>
    <row r="766" spans="1:7" ht="13.2" hidden="1">
      <c r="A766" s="49"/>
      <c r="B766" s="16" t="s">
        <v>1621</v>
      </c>
      <c r="C766" s="143" t="str">
        <f>VLOOKUP(B766,'Thống kê'!$C$3:$D$669,2,0)</f>
        <v>Mô hình mèo 2</v>
      </c>
      <c r="D766" s="144" t="str">
        <f>VLOOKUP(B766,'Thống kê'!$C$3:$E$682,3,0)</f>
        <v>cái</v>
      </c>
      <c r="E766" s="158">
        <v>5.1100000000000003</v>
      </c>
      <c r="F766" s="115">
        <v>10</v>
      </c>
      <c r="G766" s="67"/>
    </row>
    <row r="767" spans="1:7" ht="13.2" hidden="1">
      <c r="A767" s="49"/>
      <c r="B767" s="16" t="s">
        <v>1499</v>
      </c>
      <c r="C767" s="143">
        <f>VLOOKUP(B767,'Thống kê'!$C$3:$D$669,2,0)</f>
        <v>0</v>
      </c>
      <c r="D767" s="144" t="str">
        <f>VLOOKUP(B767,'Thống kê'!$C$3:$E$682,3,0)</f>
        <v>cái</v>
      </c>
      <c r="E767" s="158"/>
      <c r="F767" s="115">
        <v>8</v>
      </c>
      <c r="G767" s="67"/>
    </row>
    <row r="768" spans="1:7" ht="13.2" hidden="1">
      <c r="A768" s="49"/>
      <c r="B768" s="16" t="s">
        <v>196</v>
      </c>
      <c r="C768" s="143">
        <f>VLOOKUP(B768,'Thống kê'!$C$3:$D$669,2,0)</f>
        <v>0</v>
      </c>
      <c r="D768" s="144" t="str">
        <f>VLOOKUP(B768,'Thống kê'!$C$3:$E$682,3,0)</f>
        <v>cái</v>
      </c>
      <c r="E768" s="158"/>
      <c r="F768" s="115">
        <v>19</v>
      </c>
      <c r="G768" s="67"/>
    </row>
    <row r="769" spans="1:7" ht="13.2" hidden="1">
      <c r="A769" s="49"/>
      <c r="B769" s="16" t="s">
        <v>159</v>
      </c>
      <c r="C769" s="143">
        <f>VLOOKUP(B769,'Thống kê'!$C$3:$D$669,2,0)</f>
        <v>0</v>
      </c>
      <c r="D769" s="144" t="str">
        <f>VLOOKUP(B769,'Thống kê'!$C$3:$E$682,3,0)</f>
        <v>cái</v>
      </c>
      <c r="E769" s="158"/>
      <c r="F769" s="115">
        <v>3</v>
      </c>
      <c r="G769" s="67"/>
    </row>
    <row r="770" spans="1:7" ht="13.2" hidden="1">
      <c r="A770" s="64">
        <v>45705</v>
      </c>
      <c r="B770" s="16" t="s">
        <v>227</v>
      </c>
      <c r="C770" s="143" t="str">
        <f>VLOOKUP(B770,'Thống kê'!$C$3:$D$669,2,0)</f>
        <v>Móc khóa đôi corgy</v>
      </c>
      <c r="D770" s="144" t="str">
        <f>VLOOKUP(B770,'Thống kê'!$C$3:$E$682,3,0)</f>
        <v>cái</v>
      </c>
      <c r="E770" s="158">
        <v>6.27</v>
      </c>
      <c r="F770" s="115">
        <v>8</v>
      </c>
      <c r="G770" s="67"/>
    </row>
    <row r="771" spans="1:7" ht="13.2" hidden="1">
      <c r="A771" s="49"/>
      <c r="B771" s="16" t="s">
        <v>150</v>
      </c>
      <c r="C771" s="143" t="str">
        <f>VLOOKUP(B771,'Thống kê'!$C$3:$D$669,2,0)</f>
        <v>Móc khóa có chuông</v>
      </c>
      <c r="D771" s="144" t="str">
        <f>VLOOKUP(B771,'Thống kê'!$C$3:$E$682,3,0)</f>
        <v>cái</v>
      </c>
      <c r="E771" s="158">
        <v>6.27</v>
      </c>
      <c r="F771" s="115">
        <v>40</v>
      </c>
      <c r="G771" s="67"/>
    </row>
    <row r="772" spans="1:7" ht="13.2" hidden="1">
      <c r="A772" s="49"/>
      <c r="B772" s="16" t="s">
        <v>1534</v>
      </c>
      <c r="C772" s="143" t="e">
        <f>VLOOKUP(B772,'Thống kê'!$C$3:$D$669,2,0)</f>
        <v>#N/A</v>
      </c>
      <c r="D772" s="144" t="e">
        <f>VLOOKUP(B772,'Thống kê'!$C$3:$E$682,3,0)</f>
        <v>#N/A</v>
      </c>
      <c r="E772" s="158">
        <v>2.84</v>
      </c>
      <c r="F772" s="115">
        <v>35</v>
      </c>
      <c r="G772" s="67"/>
    </row>
    <row r="773" spans="1:7" ht="13.2" hidden="1">
      <c r="A773" s="49"/>
      <c r="B773" s="16" t="s">
        <v>1536</v>
      </c>
      <c r="C773" s="143" t="e">
        <f>VLOOKUP(B773,'Thống kê'!$C$3:$D$669,2,0)</f>
        <v>#N/A</v>
      </c>
      <c r="D773" s="144" t="e">
        <f>VLOOKUP(B773,'Thống kê'!$C$3:$E$682,3,0)</f>
        <v>#N/A</v>
      </c>
      <c r="E773" s="158">
        <v>2.84</v>
      </c>
      <c r="F773" s="115">
        <v>35</v>
      </c>
      <c r="G773" s="67"/>
    </row>
    <row r="774" spans="1:7" ht="13.2" hidden="1">
      <c r="A774" s="49"/>
      <c r="B774" s="16" t="s">
        <v>1537</v>
      </c>
      <c r="C774" s="143" t="e">
        <f>VLOOKUP(B774,'Thống kê'!$C$3:$D$669,2,0)</f>
        <v>#N/A</v>
      </c>
      <c r="D774" s="144" t="e">
        <f>VLOOKUP(B774,'Thống kê'!$C$3:$E$682,3,0)</f>
        <v>#N/A</v>
      </c>
      <c r="E774" s="158">
        <v>2.84</v>
      </c>
      <c r="F774" s="115">
        <v>35</v>
      </c>
      <c r="G774" s="67"/>
    </row>
    <row r="775" spans="1:7" ht="13.2" hidden="1">
      <c r="A775" s="49"/>
      <c r="B775" s="16" t="s">
        <v>1538</v>
      </c>
      <c r="C775" s="143" t="e">
        <f>VLOOKUP(B775,'Thống kê'!$C$3:$D$669,2,0)</f>
        <v>#N/A</v>
      </c>
      <c r="D775" s="144" t="e">
        <f>VLOOKUP(B775,'Thống kê'!$C$3:$E$682,3,0)</f>
        <v>#N/A</v>
      </c>
      <c r="E775" s="158">
        <v>1.6</v>
      </c>
      <c r="F775" s="115">
        <v>30</v>
      </c>
      <c r="G775" s="67"/>
    </row>
    <row r="776" spans="1:7" ht="13.2" hidden="1">
      <c r="A776" s="49"/>
      <c r="B776" s="16" t="s">
        <v>1539</v>
      </c>
      <c r="C776" s="143" t="e">
        <f>VLOOKUP(B776,'Thống kê'!$C$3:$D$669,2,0)</f>
        <v>#N/A</v>
      </c>
      <c r="D776" s="144" t="e">
        <f>VLOOKUP(B776,'Thống kê'!$C$3:$E$682,3,0)</f>
        <v>#N/A</v>
      </c>
      <c r="E776" s="158">
        <v>1.6</v>
      </c>
      <c r="F776" s="115">
        <v>30</v>
      </c>
      <c r="G776" s="67"/>
    </row>
    <row r="777" spans="1:7" ht="13.2" hidden="1">
      <c r="A777" s="49"/>
      <c r="B777" s="16" t="s">
        <v>1540</v>
      </c>
      <c r="C777" s="143" t="e">
        <f>VLOOKUP(B777,'Thống kê'!$C$3:$D$669,2,0)</f>
        <v>#N/A</v>
      </c>
      <c r="D777" s="144" t="e">
        <f>VLOOKUP(B777,'Thống kê'!$C$3:$E$682,3,0)</f>
        <v>#N/A</v>
      </c>
      <c r="E777" s="158">
        <v>1.6</v>
      </c>
      <c r="F777" s="115">
        <v>20</v>
      </c>
      <c r="G777" s="67"/>
    </row>
    <row r="778" spans="1:7" ht="13.2" hidden="1">
      <c r="A778" s="49"/>
      <c r="B778" s="16" t="s">
        <v>1541</v>
      </c>
      <c r="C778" s="143" t="e">
        <f>VLOOKUP(B778,'Thống kê'!$C$3:$D$669,2,0)</f>
        <v>#N/A</v>
      </c>
      <c r="D778" s="144" t="e">
        <f>VLOOKUP(B778,'Thống kê'!$C$3:$E$682,3,0)</f>
        <v>#N/A</v>
      </c>
      <c r="E778" s="158">
        <v>1.6</v>
      </c>
      <c r="F778" s="115">
        <v>20</v>
      </c>
      <c r="G778" s="67"/>
    </row>
    <row r="779" spans="1:7" ht="13.2" hidden="1">
      <c r="A779" s="49"/>
      <c r="B779" s="16" t="s">
        <v>1542</v>
      </c>
      <c r="C779" s="143" t="e">
        <f>VLOOKUP(B779,'Thống kê'!$C$3:$D$669,2,0)</f>
        <v>#N/A</v>
      </c>
      <c r="D779" s="144" t="e">
        <f>VLOOKUP(B779,'Thống kê'!$C$3:$E$682,3,0)</f>
        <v>#N/A</v>
      </c>
      <c r="E779" s="158">
        <v>1.6</v>
      </c>
      <c r="F779" s="115">
        <v>30</v>
      </c>
      <c r="G779" s="67"/>
    </row>
    <row r="780" spans="1:7" ht="13.2" hidden="1">
      <c r="A780" s="49"/>
      <c r="B780" s="16" t="s">
        <v>1543</v>
      </c>
      <c r="C780" s="143" t="e">
        <f>VLOOKUP(B780,'Thống kê'!$C$3:$D$669,2,0)</f>
        <v>#N/A</v>
      </c>
      <c r="D780" s="144" t="e">
        <f>VLOOKUP(B780,'Thống kê'!$C$3:$E$682,3,0)</f>
        <v>#N/A</v>
      </c>
      <c r="E780" s="158">
        <v>1.6</v>
      </c>
      <c r="F780" s="115">
        <v>30</v>
      </c>
      <c r="G780" s="67"/>
    </row>
    <row r="781" spans="1:7" ht="13.2" hidden="1">
      <c r="A781" s="49"/>
      <c r="B781" s="16" t="s">
        <v>1506</v>
      </c>
      <c r="C781" s="143" t="str">
        <f>VLOOKUP(B781,'Thống kê'!$C$3:$D$669,2,0)</f>
        <v>Móc Khoá Capybara thổi bong bóng</v>
      </c>
      <c r="D781" s="144" t="str">
        <f>VLOOKUP(B781,'Thống kê'!$C$3:$E$682,3,0)</f>
        <v>cái</v>
      </c>
      <c r="E781" s="158">
        <v>3.4</v>
      </c>
      <c r="F781" s="115">
        <v>40</v>
      </c>
      <c r="G781" s="67"/>
    </row>
    <row r="782" spans="1:7" ht="13.2" hidden="1">
      <c r="A782" s="49"/>
      <c r="B782" s="16" t="s">
        <v>1508</v>
      </c>
      <c r="C782" s="143" t="str">
        <f>VLOOKUP(B782,'Thống kê'!$C$3:$D$669,2,0)</f>
        <v>Móc Khoá Capybara thổi bong bóng</v>
      </c>
      <c r="D782" s="144" t="str">
        <f>VLOOKUP(B782,'Thống kê'!$C$3:$E$682,3,0)</f>
        <v>cái</v>
      </c>
      <c r="E782" s="158">
        <v>3.4</v>
      </c>
      <c r="F782" s="115">
        <v>8</v>
      </c>
      <c r="G782" s="67"/>
    </row>
    <row r="783" spans="1:7" ht="13.2" hidden="1">
      <c r="A783" s="49"/>
      <c r="B783" s="16" t="s">
        <v>1509</v>
      </c>
      <c r="C783" s="143" t="str">
        <f>VLOOKUP(B783,'Thống kê'!$C$3:$D$669,2,0)</f>
        <v>Móc Khoá Capybara thổi bong bóng</v>
      </c>
      <c r="D783" s="144" t="str">
        <f>VLOOKUP(B783,'Thống kê'!$C$3:$E$682,3,0)</f>
        <v>cái</v>
      </c>
      <c r="E783" s="158">
        <v>3.4</v>
      </c>
      <c r="F783" s="115">
        <v>30</v>
      </c>
      <c r="G783" s="67"/>
    </row>
    <row r="784" spans="1:7" ht="13.2" hidden="1">
      <c r="A784" s="49"/>
      <c r="B784" s="16" t="s">
        <v>1510</v>
      </c>
      <c r="C784" s="143" t="str">
        <f>VLOOKUP(B784,'Thống kê'!$C$3:$D$669,2,0)</f>
        <v>Móc Khoá Capybara thổi bong bóng</v>
      </c>
      <c r="D784" s="144" t="str">
        <f>VLOOKUP(B784,'Thống kê'!$C$3:$E$682,3,0)</f>
        <v>cái</v>
      </c>
      <c r="E784" s="158">
        <v>3.4</v>
      </c>
      <c r="F784" s="115">
        <v>40</v>
      </c>
      <c r="G784" s="67"/>
    </row>
    <row r="785" spans="1:7" ht="13.2" hidden="1">
      <c r="A785" s="49"/>
      <c r="B785" s="16" t="s">
        <v>1511</v>
      </c>
      <c r="C785" s="143" t="str">
        <f>VLOOKUP(B785,'Thống kê'!$C$3:$D$669,2,0)</f>
        <v>Móc Khoá Capybara thổi bong bóng</v>
      </c>
      <c r="D785" s="144" t="str">
        <f>VLOOKUP(B785,'Thống kê'!$C$3:$E$682,3,0)</f>
        <v>cái</v>
      </c>
      <c r="E785" s="158">
        <v>3.4</v>
      </c>
      <c r="F785" s="115">
        <v>10</v>
      </c>
      <c r="G785" s="67"/>
    </row>
    <row r="786" spans="1:7" ht="13.2" hidden="1">
      <c r="A786" s="49"/>
      <c r="B786" s="16" t="s">
        <v>1512</v>
      </c>
      <c r="C786" s="143" t="str">
        <f>VLOOKUP(B786,'Thống kê'!$C$3:$D$669,2,0)</f>
        <v>Móc Khoá Capybara thổi bong bóng</v>
      </c>
      <c r="D786" s="144" t="str">
        <f>VLOOKUP(B786,'Thống kê'!$C$3:$E$682,3,0)</f>
        <v>cái</v>
      </c>
      <c r="E786" s="158">
        <v>3.4</v>
      </c>
      <c r="F786" s="115">
        <v>8</v>
      </c>
      <c r="G786" s="67"/>
    </row>
    <row r="787" spans="1:7" ht="13.2" hidden="1">
      <c r="A787" s="49"/>
      <c r="B787" s="16" t="s">
        <v>1513</v>
      </c>
      <c r="C787" s="143" t="str">
        <f>VLOOKUP(B787,'Thống kê'!$C$3:$D$669,2,0)</f>
        <v>Móc Khoá Capybara thổi bong bóng</v>
      </c>
      <c r="D787" s="144" t="str">
        <f>VLOOKUP(B787,'Thống kê'!$C$3:$E$682,3,0)</f>
        <v>cái</v>
      </c>
      <c r="E787" s="158">
        <v>3.4</v>
      </c>
      <c r="F787" s="115">
        <v>15</v>
      </c>
      <c r="G787" s="67"/>
    </row>
    <row r="788" spans="1:7" ht="13.2" hidden="1">
      <c r="A788" s="49"/>
      <c r="B788" s="16" t="s">
        <v>133</v>
      </c>
      <c r="C788" s="143">
        <f>VLOOKUP(B788,'Thống kê'!$C$3:$D$669,2,0)</f>
        <v>0</v>
      </c>
      <c r="D788" s="144">
        <f>VLOOKUP(B788,'Thống kê'!$C$3:$E$682,3,0)</f>
        <v>0</v>
      </c>
      <c r="E788" s="158">
        <v>7</v>
      </c>
      <c r="F788" s="115">
        <v>13</v>
      </c>
      <c r="G788" s="67"/>
    </row>
    <row r="789" spans="1:7" ht="13.2" hidden="1">
      <c r="A789" s="49"/>
      <c r="B789" s="16" t="s">
        <v>77</v>
      </c>
      <c r="C789" s="143">
        <f>VLOOKUP(B789,'Thống kê'!$C$3:$D$970,2,0)</f>
        <v>0</v>
      </c>
      <c r="D789" s="144">
        <f>VLOOKUP(B789,'Thống kê'!$C$3:$E$970,3,0)</f>
        <v>0</v>
      </c>
      <c r="E789" s="158">
        <v>7</v>
      </c>
      <c r="F789" s="115">
        <v>14</v>
      </c>
      <c r="G789" s="67"/>
    </row>
    <row r="790" spans="1:7" ht="13.2" hidden="1">
      <c r="A790" s="49"/>
      <c r="B790" s="16" t="s">
        <v>180</v>
      </c>
      <c r="C790" s="143">
        <f>VLOOKUP(B790,'Thống kê'!$C$3:$D$970,2,0)</f>
        <v>0</v>
      </c>
      <c r="D790" s="144">
        <f>VLOOKUP(B790,'Thống kê'!$C$3:$E$970,3,0)</f>
        <v>0</v>
      </c>
      <c r="E790" s="158">
        <v>7</v>
      </c>
      <c r="F790" s="115">
        <v>6</v>
      </c>
      <c r="G790" s="67"/>
    </row>
    <row r="791" spans="1:7" ht="13.2" hidden="1">
      <c r="A791" s="49"/>
      <c r="B791" s="16" t="s">
        <v>233</v>
      </c>
      <c r="C791" s="143">
        <f>VLOOKUP(B791,'Thống kê'!$C$3:$D$970,2,0)</f>
        <v>0</v>
      </c>
      <c r="D791" s="144">
        <f>VLOOKUP(B791,'Thống kê'!$C$3:$E$970,3,0)</f>
        <v>0</v>
      </c>
      <c r="E791" s="158">
        <v>7</v>
      </c>
      <c r="F791" s="115">
        <v>14</v>
      </c>
      <c r="G791" s="67"/>
    </row>
    <row r="792" spans="1:7" ht="13.2" hidden="1">
      <c r="A792" s="49"/>
      <c r="B792" s="16" t="s">
        <v>1515</v>
      </c>
      <c r="C792" s="143">
        <f>VLOOKUP(B792,'Thống kê'!$C$3:$D$970,2,0)</f>
        <v>0</v>
      </c>
      <c r="D792" s="144">
        <f>VLOOKUP(B792,'Thống kê'!$C$3:$E$970,3,0)</f>
        <v>0</v>
      </c>
      <c r="E792" s="158">
        <v>7</v>
      </c>
      <c r="F792" s="115">
        <v>6</v>
      </c>
      <c r="G792" s="67"/>
    </row>
    <row r="793" spans="1:7" ht="13.2" hidden="1">
      <c r="A793" s="49"/>
      <c r="B793" s="16" t="s">
        <v>1516</v>
      </c>
      <c r="C793" s="143">
        <f>VLOOKUP(B793,'Thống kê'!$C$3:$D$970,2,0)</f>
        <v>0</v>
      </c>
      <c r="D793" s="144">
        <f>VLOOKUP(B793,'Thống kê'!$C$3:$E$970,3,0)</f>
        <v>0</v>
      </c>
      <c r="E793" s="158">
        <v>7</v>
      </c>
      <c r="F793" s="115">
        <v>6</v>
      </c>
      <c r="G793" s="67"/>
    </row>
    <row r="794" spans="1:7" ht="13.2" hidden="1">
      <c r="A794" s="49"/>
      <c r="B794" s="16" t="s">
        <v>1517</v>
      </c>
      <c r="C794" s="143">
        <f>VLOOKUP(B794,'Thống kê'!$C$3:$D$970,2,0)</f>
        <v>0</v>
      </c>
      <c r="D794" s="144">
        <f>VLOOKUP(B794,'Thống kê'!$C$3:$E$970,3,0)</f>
        <v>0</v>
      </c>
      <c r="E794" s="158">
        <v>7</v>
      </c>
      <c r="F794" s="115">
        <v>3</v>
      </c>
      <c r="G794" s="67"/>
    </row>
    <row r="795" spans="1:7" ht="13.2" hidden="1">
      <c r="A795" s="49"/>
      <c r="B795" s="16" t="s">
        <v>1518</v>
      </c>
      <c r="C795" s="143">
        <f>VLOOKUP(B795,'Thống kê'!$C$3:$D$970,2,0)</f>
        <v>0</v>
      </c>
      <c r="D795" s="144">
        <f>VLOOKUP(B795,'Thống kê'!$C$3:$E$970,3,0)</f>
        <v>0</v>
      </c>
      <c r="E795" s="158">
        <v>7</v>
      </c>
      <c r="F795" s="115">
        <v>5</v>
      </c>
      <c r="G795" s="67"/>
    </row>
    <row r="796" spans="1:7" ht="13.2" hidden="1">
      <c r="A796" s="49"/>
      <c r="B796" s="16" t="s">
        <v>1519</v>
      </c>
      <c r="C796" s="143">
        <f>VLOOKUP(B796,'Thống kê'!$C$3:$D$970,2,0)</f>
        <v>0</v>
      </c>
      <c r="D796" s="144">
        <f>VLOOKUP(B796,'Thống kê'!$C$3:$E$970,3,0)</f>
        <v>0</v>
      </c>
      <c r="E796" s="158">
        <v>7</v>
      </c>
      <c r="F796" s="115">
        <v>14</v>
      </c>
      <c r="G796" s="67"/>
    </row>
    <row r="797" spans="1:7" ht="13.2" hidden="1">
      <c r="A797" s="49"/>
      <c r="B797" s="16" t="s">
        <v>231</v>
      </c>
      <c r="C797" s="143" t="str">
        <f>VLOOKUP(B797,'Thống kê'!$C$3:$D$669,2,0)</f>
        <v>Móc khóa đôi gấu trúc</v>
      </c>
      <c r="D797" s="144" t="str">
        <f>VLOOKUP(B797,'Thống kê'!$C$3:$E$682,3,0)</f>
        <v>cái</v>
      </c>
      <c r="E797" s="158">
        <v>6.6</v>
      </c>
      <c r="F797" s="115">
        <v>15</v>
      </c>
      <c r="G797" s="67"/>
    </row>
    <row r="798" spans="1:7" ht="13.2" hidden="1">
      <c r="A798" s="49"/>
      <c r="B798" s="16" t="s">
        <v>227</v>
      </c>
      <c r="C798" s="143" t="str">
        <f>VLOOKUP(B798,'Thống kê'!$C$3:$D$669,2,0)</f>
        <v>Móc khóa đôi corgy</v>
      </c>
      <c r="D798" s="144" t="str">
        <f>VLOOKUP(B798,'Thống kê'!$C$3:$E$682,3,0)</f>
        <v>cái</v>
      </c>
      <c r="E798" s="158">
        <v>6.6</v>
      </c>
      <c r="F798" s="115">
        <v>25</v>
      </c>
      <c r="G798" s="67"/>
    </row>
    <row r="799" spans="1:7" ht="13.2" hidden="1">
      <c r="A799" s="49"/>
      <c r="B799" s="16" t="s">
        <v>150</v>
      </c>
      <c r="C799" s="143" t="str">
        <f>VLOOKUP(B799,'Thống kê'!$C$3:$D$669,2,0)</f>
        <v>Móc khóa có chuông</v>
      </c>
      <c r="D799" s="144" t="str">
        <f>VLOOKUP(B799,'Thống kê'!$C$3:$E$682,3,0)</f>
        <v>cái</v>
      </c>
      <c r="E799" s="158">
        <v>6.6</v>
      </c>
      <c r="F799" s="115">
        <v>50</v>
      </c>
      <c r="G799" s="67"/>
    </row>
    <row r="800" spans="1:7" ht="13.2" hidden="1">
      <c r="A800" s="49"/>
      <c r="B800" s="16" t="s">
        <v>1634</v>
      </c>
      <c r="C800" s="143" t="str">
        <f>VLOOKUP(B800,'Thống kê'!$C$3:$D$669,2,0)</f>
        <v>Móc khóa mèo đen cá</v>
      </c>
      <c r="D800" s="144" t="str">
        <f>VLOOKUP(B800,'Thống kê'!$C$3:$E$682,3,0)</f>
        <v>cái</v>
      </c>
      <c r="E800" s="158">
        <v>6.6</v>
      </c>
      <c r="F800" s="115">
        <v>20</v>
      </c>
      <c r="G800" s="67"/>
    </row>
    <row r="801" spans="1:7" ht="13.2" hidden="1">
      <c r="A801" s="49"/>
      <c r="B801" s="16" t="s">
        <v>133</v>
      </c>
      <c r="C801" s="143">
        <f>VLOOKUP(B801,'Thống kê'!$C$3:$D$669,2,0)</f>
        <v>0</v>
      </c>
      <c r="D801" s="144">
        <f>VLOOKUP(B801,'Thống kê'!$C$3:$E$682,3,0)</f>
        <v>0</v>
      </c>
      <c r="E801" s="158"/>
      <c r="F801" s="115">
        <v>8</v>
      </c>
      <c r="G801" s="67"/>
    </row>
    <row r="802" spans="1:7" ht="13.2" hidden="1">
      <c r="A802" s="49"/>
      <c r="B802" s="16" t="s">
        <v>77</v>
      </c>
      <c r="C802" s="143">
        <f>VLOOKUP(B802,'Thống kê'!$C$3:$D$669,2,0)</f>
        <v>0</v>
      </c>
      <c r="D802" s="144">
        <f>VLOOKUP(B802,'Thống kê'!$C$3:$E$682,3,0)</f>
        <v>0</v>
      </c>
      <c r="E802" s="158"/>
      <c r="F802" s="115">
        <v>8</v>
      </c>
      <c r="G802" s="67"/>
    </row>
    <row r="803" spans="1:7" ht="13.2" hidden="1">
      <c r="A803" s="49"/>
      <c r="B803" s="16" t="s">
        <v>1515</v>
      </c>
      <c r="C803" s="143">
        <f>VLOOKUP(B803,'Thống kê'!$C$3:$D$970,2,0)</f>
        <v>0</v>
      </c>
      <c r="D803" s="144">
        <f>VLOOKUP(B803,'Thống kê'!$C$3:$E$682,3,0)</f>
        <v>0</v>
      </c>
      <c r="E803" s="158"/>
      <c r="F803" s="115">
        <v>5</v>
      </c>
      <c r="G803" s="67"/>
    </row>
    <row r="804" spans="1:7" ht="13.2" hidden="1">
      <c r="A804" s="49"/>
      <c r="B804" s="16" t="s">
        <v>1518</v>
      </c>
      <c r="C804" s="143">
        <f>VLOOKUP(B804,'Thống kê'!$C$3:$D$970,2,0)</f>
        <v>0</v>
      </c>
      <c r="D804" s="144">
        <f>VLOOKUP(B804,'Thống kê'!$C$3:$E$682,3,0)</f>
        <v>0</v>
      </c>
      <c r="E804" s="158"/>
      <c r="F804" s="115">
        <v>5</v>
      </c>
      <c r="G804" s="67"/>
    </row>
    <row r="805" spans="1:7" ht="13.2" hidden="1">
      <c r="A805" s="49"/>
      <c r="B805" s="16" t="s">
        <v>1519</v>
      </c>
      <c r="C805" s="143">
        <f>VLOOKUP(B805,'Thống kê'!$C$3:$D$970,2,0)</f>
        <v>0</v>
      </c>
      <c r="D805" s="144">
        <f>VLOOKUP(B805,'Thống kê'!$C$3:$E$682,3,0)</f>
        <v>0</v>
      </c>
      <c r="E805" s="158"/>
      <c r="F805" s="115">
        <v>8</v>
      </c>
      <c r="G805" s="67"/>
    </row>
    <row r="806" spans="1:7" ht="13.2" hidden="1">
      <c r="A806" s="49"/>
      <c r="B806" s="16" t="s">
        <v>238</v>
      </c>
      <c r="C806" s="143">
        <f>VLOOKUP(B806,'Thống kê'!$C$3:$D$970,2,0)</f>
        <v>0</v>
      </c>
      <c r="D806" s="144">
        <f>VLOOKUP(B806,'Thống kê'!$C$3:$E$682,3,0)</f>
        <v>0</v>
      </c>
      <c r="E806" s="158"/>
      <c r="F806" s="115">
        <v>5</v>
      </c>
      <c r="G806" s="67"/>
    </row>
    <row r="807" spans="1:7" ht="13.2" hidden="1">
      <c r="A807" s="49"/>
      <c r="B807" s="16" t="s">
        <v>150</v>
      </c>
      <c r="C807" s="143" t="str">
        <f>VLOOKUP(B807,'Thống kê'!$C$3:$D$669,2,0)</f>
        <v>Móc khóa có chuông</v>
      </c>
      <c r="D807" s="144" t="str">
        <f>VLOOKUP(B807,'Thống kê'!$C$3:$E$682,3,0)</f>
        <v>cái</v>
      </c>
      <c r="E807" s="158">
        <v>6.27</v>
      </c>
      <c r="F807" s="115">
        <v>43</v>
      </c>
      <c r="G807" s="67"/>
    </row>
    <row r="808" spans="1:7" ht="13.2" hidden="1">
      <c r="A808" s="49"/>
      <c r="B808" s="16" t="s">
        <v>231</v>
      </c>
      <c r="C808" s="143" t="str">
        <f>VLOOKUP(B808,'Thống kê'!$C$3:$D$669,2,0)</f>
        <v>Móc khóa đôi gấu trúc</v>
      </c>
      <c r="D808" s="144" t="str">
        <f>VLOOKUP(B808,'Thống kê'!$C$3:$E$682,3,0)</f>
        <v>cái</v>
      </c>
      <c r="E808" s="158">
        <v>6.27</v>
      </c>
      <c r="F808" s="115">
        <v>2</v>
      </c>
      <c r="G808" s="67"/>
    </row>
    <row r="809" spans="1:7" ht="13.2" hidden="1">
      <c r="A809" s="49"/>
      <c r="B809" s="16" t="s">
        <v>1634</v>
      </c>
      <c r="C809" s="143" t="str">
        <f>VLOOKUP(B809,'Thống kê'!$C$3:$D$669,2,0)</f>
        <v>Móc khóa mèo đen cá</v>
      </c>
      <c r="D809" s="144" t="str">
        <f>VLOOKUP(B809,'Thống kê'!$C$3:$E$682,3,0)</f>
        <v>cái</v>
      </c>
      <c r="E809" s="158">
        <v>6.27</v>
      </c>
      <c r="F809" s="115">
        <v>5</v>
      </c>
      <c r="G809" s="67"/>
    </row>
    <row r="810" spans="1:7" ht="13.2" hidden="1">
      <c r="A810" s="49"/>
      <c r="B810" s="16" t="s">
        <v>1488</v>
      </c>
      <c r="C810" s="143" t="str">
        <f>VLOOKUP(B810,'Thống kê'!$C$3:$D$669,2,0)</f>
        <v>Pop Bean Baked Bread</v>
      </c>
      <c r="D810" s="144" t="str">
        <f>VLOOKUP(B810,'Thống kê'!$C$3:$E$682,3,0)</f>
        <v>cái</v>
      </c>
      <c r="E810" s="158">
        <v>70000</v>
      </c>
      <c r="F810" s="115">
        <v>10</v>
      </c>
      <c r="G810" s="67"/>
    </row>
    <row r="811" spans="1:7" ht="13.2" hidden="1">
      <c r="A811" s="49"/>
      <c r="B811" s="16" t="s">
        <v>1490</v>
      </c>
      <c r="C811" s="143" t="str">
        <f>VLOOKUP(B811,'Thống kê'!$C$3:$D$669,2,0)</f>
        <v>Pop Bean Baked Bread</v>
      </c>
      <c r="D811" s="144" t="str">
        <f>VLOOKUP(B811,'Thống kê'!$C$3:$E$682,3,0)</f>
        <v>cái</v>
      </c>
      <c r="E811" s="158">
        <v>70000</v>
      </c>
      <c r="F811" s="115">
        <v>5</v>
      </c>
      <c r="G811" s="67"/>
    </row>
    <row r="812" spans="1:7" ht="13.2" hidden="1">
      <c r="A812" s="49"/>
      <c r="B812" s="16" t="s">
        <v>238</v>
      </c>
      <c r="C812" s="143">
        <f>VLOOKUP(B812,'Thống kê'!$C$3:$D$970,2,0)</f>
        <v>0</v>
      </c>
      <c r="D812" s="144">
        <f>VLOOKUP(B812,'Thống kê'!$C$3:$E$682,3,0)</f>
        <v>0</v>
      </c>
      <c r="E812" s="158">
        <v>38000</v>
      </c>
      <c r="F812" s="115">
        <v>4</v>
      </c>
      <c r="G812" s="67"/>
    </row>
    <row r="813" spans="1:7" ht="13.2" hidden="1">
      <c r="A813" s="49"/>
      <c r="B813" s="16" t="s">
        <v>191</v>
      </c>
      <c r="C813" s="143">
        <f>VLOOKUP(B813,'Thống kê'!$C$3:$D$970,2,0)</f>
        <v>0</v>
      </c>
      <c r="D813" s="144">
        <f>VLOOKUP(B813,'Thống kê'!$C$3:$E$682,3,0)</f>
        <v>0</v>
      </c>
      <c r="E813" s="158">
        <v>38000</v>
      </c>
      <c r="F813" s="115">
        <v>4</v>
      </c>
      <c r="G813" s="67"/>
    </row>
    <row r="814" spans="1:7" ht="13.2" hidden="1">
      <c r="A814" s="49"/>
      <c r="B814" s="16" t="s">
        <v>1719</v>
      </c>
      <c r="C814" s="143">
        <f>VLOOKUP(B814,'Thống kê'!$C$3:$D$669,2,0)</f>
        <v>0</v>
      </c>
      <c r="D814" s="144" t="str">
        <f>VLOOKUP(B814,'Thống kê'!$C$3:$E$682,3,0)</f>
        <v>cái</v>
      </c>
      <c r="E814" s="159">
        <v>38000</v>
      </c>
      <c r="F814" s="66">
        <v>30</v>
      </c>
      <c r="G814" s="67"/>
    </row>
    <row r="815" spans="1:7" ht="13.2" hidden="1">
      <c r="A815" s="49"/>
      <c r="B815" s="16" t="s">
        <v>1389</v>
      </c>
      <c r="C815" s="143" t="str">
        <f>VLOOKUP(B815,'Thống kê'!$C$3:$D$669,2,0)</f>
        <v>Móc khoá Crybaby mini Popmart</v>
      </c>
      <c r="D815" s="144" t="str">
        <f>VLOOKUP(B815,'Thống kê'!$C$3:$E$682,3,0)</f>
        <v>cái</v>
      </c>
      <c r="E815" s="159">
        <v>11.42</v>
      </c>
      <c r="F815" s="66">
        <v>5</v>
      </c>
      <c r="G815" s="67"/>
    </row>
    <row r="816" spans="1:7" ht="13.2" hidden="1">
      <c r="A816" s="49"/>
      <c r="B816" s="16" t="s">
        <v>1388</v>
      </c>
      <c r="C816" s="143" t="str">
        <f>VLOOKUP(B816,'Thống kê'!$C$3:$D$669,2,0)</f>
        <v>Móc khoá Crybaby mini Popmart</v>
      </c>
      <c r="D816" s="144" t="str">
        <f>VLOOKUP(B816,'Thống kê'!$C$3:$E$682,3,0)</f>
        <v>cái</v>
      </c>
      <c r="E816" s="159">
        <v>11.42</v>
      </c>
      <c r="F816" s="66">
        <v>8</v>
      </c>
      <c r="G816" s="67"/>
    </row>
    <row r="817" spans="1:7" ht="13.2" hidden="1">
      <c r="A817" s="49"/>
      <c r="B817" s="16" t="s">
        <v>138</v>
      </c>
      <c r="C817" s="143" t="str">
        <f>VLOOKUP(B817,'Thống kê'!$C$3:$D$669,2,0)</f>
        <v>Móc khoá Crybaby mini Popmart</v>
      </c>
      <c r="D817" s="144" t="str">
        <f>VLOOKUP(B817,'Thống kê'!$C$3:$E$682,3,0)</f>
        <v>cái</v>
      </c>
      <c r="E817" s="159">
        <v>11.42</v>
      </c>
      <c r="F817" s="66">
        <v>12</v>
      </c>
      <c r="G817" s="67"/>
    </row>
    <row r="818" spans="1:7" ht="13.2" hidden="1">
      <c r="A818" s="49"/>
      <c r="B818" s="16" t="s">
        <v>1386</v>
      </c>
      <c r="C818" s="143" t="str">
        <f>VLOOKUP(B818,'Thống kê'!$C$3:$D$669,2,0)</f>
        <v>Móc khoá Crybaby mini Popmart</v>
      </c>
      <c r="D818" s="144" t="str">
        <f>VLOOKUP(B818,'Thống kê'!$C$3:$E$682,3,0)</f>
        <v>cái</v>
      </c>
      <c r="E818" s="159">
        <v>11.42</v>
      </c>
      <c r="F818" s="66">
        <v>10</v>
      </c>
      <c r="G818" s="67"/>
    </row>
    <row r="819" spans="1:7" ht="13.2" hidden="1">
      <c r="A819" s="49"/>
      <c r="B819" s="16" t="s">
        <v>230</v>
      </c>
      <c r="C819" s="143" t="str">
        <f>VLOOKUP(B819,'Thống kê'!$C$3:$D$669,2,0)</f>
        <v>Móc khoá Crybaby mini Popmart</v>
      </c>
      <c r="D819" s="144" t="str">
        <f>VLOOKUP(B819,'Thống kê'!$C$3:$E$682,3,0)</f>
        <v>cái</v>
      </c>
      <c r="E819" s="159">
        <v>11.42</v>
      </c>
      <c r="F819" s="66">
        <v>8</v>
      </c>
      <c r="G819" s="67"/>
    </row>
    <row r="820" spans="1:7" ht="13.2" hidden="1">
      <c r="A820" s="49"/>
      <c r="B820" s="16" t="s">
        <v>258</v>
      </c>
      <c r="C820" s="143" t="str">
        <f>VLOOKUP(B820,'Thống kê'!$C$3:$D$669,2,0)</f>
        <v>Móc khoá Crybaby mini Popmart</v>
      </c>
      <c r="D820" s="144" t="str">
        <f>VLOOKUP(B820,'Thống kê'!$C$3:$E$682,3,0)</f>
        <v>cái</v>
      </c>
      <c r="E820" s="159">
        <v>11.42</v>
      </c>
      <c r="F820" s="66">
        <v>10</v>
      </c>
      <c r="G820" s="67"/>
    </row>
    <row r="821" spans="1:7" ht="13.2" hidden="1">
      <c r="A821" s="49"/>
      <c r="B821" s="16" t="s">
        <v>259</v>
      </c>
      <c r="C821" s="143" t="str">
        <f>VLOOKUP(B821,'Thống kê'!$C$3:$D$669,2,0)</f>
        <v>Móc khoá Crybaby mini Popmart</v>
      </c>
      <c r="D821" s="144" t="str">
        <f>VLOOKUP(B821,'Thống kê'!$C$3:$E$682,3,0)</f>
        <v>cái</v>
      </c>
      <c r="E821" s="159">
        <v>11.42</v>
      </c>
      <c r="F821" s="66">
        <v>5</v>
      </c>
      <c r="G821" s="67"/>
    </row>
    <row r="822" spans="1:7" ht="13.2" hidden="1">
      <c r="A822" s="49"/>
      <c r="B822" s="16" t="s">
        <v>1387</v>
      </c>
      <c r="C822" s="143" t="str">
        <f>VLOOKUP(B822,'Thống kê'!$C$3:$D$669,2,0)</f>
        <v>Móc khoá Crybaby mini Popmart</v>
      </c>
      <c r="D822" s="144" t="str">
        <f>VLOOKUP(B822,'Thống kê'!$C$3:$E$682,3,0)</f>
        <v>cái</v>
      </c>
      <c r="E822" s="159">
        <v>11.42</v>
      </c>
      <c r="F822" s="66">
        <v>12</v>
      </c>
      <c r="G822" s="67"/>
    </row>
    <row r="823" spans="1:7" ht="13.2" hidden="1">
      <c r="A823" s="49"/>
      <c r="B823" s="16" t="s">
        <v>1488</v>
      </c>
      <c r="C823" s="143" t="str">
        <f>VLOOKUP(B823,'Thống kê'!$C$3:$D$669,2,0)</f>
        <v>Pop Bean Baked Bread</v>
      </c>
      <c r="D823" s="144" t="str">
        <f>VLOOKUP(B823,'Thống kê'!$C$3:$E$682,3,0)</f>
        <v>cái</v>
      </c>
      <c r="E823" s="67"/>
      <c r="F823" s="66">
        <v>5</v>
      </c>
      <c r="G823" s="67"/>
    </row>
    <row r="824" spans="1:7" ht="13.2" hidden="1">
      <c r="A824" s="49"/>
      <c r="B824" s="16" t="s">
        <v>1492</v>
      </c>
      <c r="C824" s="143" t="str">
        <f>VLOOKUP(B824,'Thống kê'!$C$3:$D$669,2,0)</f>
        <v>Pop Bean Baked Bread</v>
      </c>
      <c r="D824" s="144" t="str">
        <f>VLOOKUP(B824,'Thống kê'!$C$3:$E$682,3,0)</f>
        <v>cái</v>
      </c>
      <c r="E824" s="67"/>
      <c r="F824" s="66">
        <v>2</v>
      </c>
      <c r="G824" s="67"/>
    </row>
    <row r="825" spans="1:7" ht="13.2" hidden="1">
      <c r="A825" s="49"/>
      <c r="B825" s="16" t="s">
        <v>1490</v>
      </c>
      <c r="C825" s="143" t="str">
        <f>VLOOKUP(B825,'Thống kê'!$C$3:$D$669,2,0)</f>
        <v>Pop Bean Baked Bread</v>
      </c>
      <c r="D825" s="144" t="str">
        <f>VLOOKUP(B825,'Thống kê'!$C$3:$E$682,3,0)</f>
        <v>cái</v>
      </c>
      <c r="E825" s="67"/>
      <c r="F825" s="66">
        <v>5</v>
      </c>
      <c r="G825" s="67"/>
    </row>
    <row r="826" spans="1:7" ht="13.2" hidden="1">
      <c r="A826" s="49"/>
      <c r="B826" s="16" t="s">
        <v>1720</v>
      </c>
      <c r="C826" s="143">
        <f>VLOOKUP(B826,'Thống kê'!$C$3:$D$970,2,0)</f>
        <v>0</v>
      </c>
      <c r="D826" s="144">
        <f>VLOOKUP(B826,'Thống kê'!$C$3:$E$970,3,0)</f>
        <v>0</v>
      </c>
      <c r="E826" s="67"/>
      <c r="F826" s="66">
        <v>5</v>
      </c>
      <c r="G826" s="67"/>
    </row>
    <row r="827" spans="1:7" ht="13.2" hidden="1">
      <c r="A827" s="49"/>
      <c r="B827" s="16" t="s">
        <v>1721</v>
      </c>
      <c r="C827" s="143">
        <f>VLOOKUP(B827,'Thống kê'!$C$3:$D$970,2,0)</f>
        <v>0</v>
      </c>
      <c r="D827" s="144" t="str">
        <f>VLOOKUP(B827,'Thống kê'!$C$3:$E$970,3,0)</f>
        <v>cái</v>
      </c>
      <c r="E827" s="67"/>
      <c r="F827" s="66">
        <v>15</v>
      </c>
      <c r="G827" s="67"/>
    </row>
    <row r="828" spans="1:7" ht="13.2" hidden="1">
      <c r="A828" s="49"/>
      <c r="B828" s="16" t="s">
        <v>1722</v>
      </c>
      <c r="C828" s="143">
        <f>VLOOKUP(B828,'Thống kê'!$C$3:$D$970,2,0)</f>
        <v>0</v>
      </c>
      <c r="D828" s="144">
        <f>VLOOKUP(B828,'Thống kê'!$C$3:$E$970,3,0)</f>
        <v>0</v>
      </c>
      <c r="E828" s="67"/>
      <c r="F828" s="66">
        <v>10</v>
      </c>
      <c r="G828" s="67"/>
    </row>
    <row r="829" spans="1:7" ht="13.2" hidden="1">
      <c r="A829" s="49"/>
      <c r="B829" s="16" t="s">
        <v>1723</v>
      </c>
      <c r="C829" s="143">
        <f>VLOOKUP(B829,'Thống kê'!$C$3:$D$970,2,0)</f>
        <v>0</v>
      </c>
      <c r="D829" s="144">
        <f>VLOOKUP(B829,'Thống kê'!$C$3:$E$970,3,0)</f>
        <v>0</v>
      </c>
      <c r="E829" s="67"/>
      <c r="F829" s="66">
        <v>10</v>
      </c>
      <c r="G829" s="67"/>
    </row>
    <row r="830" spans="1:7" ht="13.2" hidden="1">
      <c r="A830" s="49"/>
      <c r="B830" s="16" t="s">
        <v>1724</v>
      </c>
      <c r="C830" s="143">
        <f>VLOOKUP(B830,'Thống kê'!$C$3:$D$970,2,0)</f>
        <v>0</v>
      </c>
      <c r="D830" s="144">
        <f>VLOOKUP(B830,'Thống kê'!$C$3:$E$970,3,0)</f>
        <v>0</v>
      </c>
      <c r="E830" s="67"/>
      <c r="F830" s="66">
        <v>10</v>
      </c>
      <c r="G830" s="67"/>
    </row>
    <row r="831" spans="1:7" ht="13.2" hidden="1">
      <c r="A831" s="49"/>
      <c r="B831" s="16" t="s">
        <v>1725</v>
      </c>
      <c r="C831" s="143">
        <f>VLOOKUP(B831,'Thống kê'!$C$3:$D$970,2,0)</f>
        <v>0</v>
      </c>
      <c r="D831" s="144">
        <f>VLOOKUP(B831,'Thống kê'!$C$3:$E$970,3,0)</f>
        <v>0</v>
      </c>
      <c r="E831" s="67"/>
      <c r="F831" s="66">
        <v>5</v>
      </c>
      <c r="G831" s="67"/>
    </row>
    <row r="832" spans="1:7" ht="13.2" hidden="1">
      <c r="A832" s="49"/>
      <c r="B832" s="16" t="s">
        <v>1726</v>
      </c>
      <c r="C832" s="143">
        <f>VLOOKUP(B832,'Thống kê'!$C$3:$D$970,2,0)</f>
        <v>0</v>
      </c>
      <c r="D832" s="144">
        <f>VLOOKUP(B832,'Thống kê'!$C$3:$E$970,3,0)</f>
        <v>0</v>
      </c>
      <c r="E832" s="67"/>
      <c r="F832" s="66">
        <v>10</v>
      </c>
      <c r="G832" s="67"/>
    </row>
    <row r="833" spans="1:7" ht="13.2" hidden="1">
      <c r="A833" s="49"/>
      <c r="B833" s="16" t="s">
        <v>1719</v>
      </c>
      <c r="C833" s="143">
        <f>VLOOKUP(B833,'Thống kê'!$C$3:$D$970,2,0)</f>
        <v>0</v>
      </c>
      <c r="D833" s="144" t="str">
        <f>VLOOKUP(B833,'Thống kê'!$C$3:$E$970,3,0)</f>
        <v>cái</v>
      </c>
      <c r="E833" s="67"/>
      <c r="F833" s="66">
        <v>50</v>
      </c>
      <c r="G833" s="67"/>
    </row>
    <row r="834" spans="1:7" ht="13.2" hidden="1">
      <c r="A834" s="49"/>
      <c r="B834" s="16" t="s">
        <v>1727</v>
      </c>
      <c r="C834" s="143">
        <f>VLOOKUP(B834,'Thống kê'!$C$3:$D$970,2,0)</f>
        <v>0</v>
      </c>
      <c r="D834" s="144">
        <f>VLOOKUP(B834,'Thống kê'!$C$3:$E$970,3,0)</f>
        <v>0</v>
      </c>
      <c r="E834" s="67"/>
      <c r="F834" s="66">
        <v>50</v>
      </c>
      <c r="G834" s="67"/>
    </row>
    <row r="835" spans="1:7" ht="13.2" hidden="1">
      <c r="A835" s="49"/>
      <c r="B835" s="16" t="s">
        <v>1728</v>
      </c>
      <c r="C835" s="143">
        <f>VLOOKUP(B835,'Thống kê'!$C$3:$D$970,2,0)</f>
        <v>0</v>
      </c>
      <c r="D835" s="144">
        <f>VLOOKUP(B835,'Thống kê'!$C$3:$E$970,3,0)</f>
        <v>0</v>
      </c>
      <c r="E835" s="67"/>
      <c r="F835" s="66">
        <v>10</v>
      </c>
      <c r="G835" s="67"/>
    </row>
    <row r="836" spans="1:7" ht="13.2" hidden="1">
      <c r="A836" s="49"/>
      <c r="B836" s="16" t="s">
        <v>1729</v>
      </c>
      <c r="C836" s="143">
        <f>VLOOKUP(B836,'Thống kê'!$C$3:$D$970,2,0)</f>
        <v>0</v>
      </c>
      <c r="D836" s="144">
        <f>VLOOKUP(B836,'Thống kê'!$C$3:$E$970,3,0)</f>
        <v>0</v>
      </c>
      <c r="E836" s="67"/>
      <c r="F836" s="66">
        <v>10</v>
      </c>
      <c r="G836" s="67"/>
    </row>
    <row r="837" spans="1:7" ht="13.2" hidden="1">
      <c r="A837" s="49"/>
      <c r="B837" s="16" t="s">
        <v>1730</v>
      </c>
      <c r="C837" s="143">
        <f>VLOOKUP(B837,'Thống kê'!$C$3:$D$970,2,0)</f>
        <v>0</v>
      </c>
      <c r="D837" s="144">
        <f>VLOOKUP(B837,'Thống kê'!$C$3:$E$970,3,0)</f>
        <v>0</v>
      </c>
      <c r="E837" s="67"/>
      <c r="F837" s="66">
        <v>10</v>
      </c>
      <c r="G837" s="67"/>
    </row>
    <row r="838" spans="1:7" ht="13.2" hidden="1">
      <c r="A838" s="49"/>
      <c r="B838" s="16" t="s">
        <v>1731</v>
      </c>
      <c r="C838" s="143">
        <f>VLOOKUP(B838,'Thống kê'!$C$3:$D$970,2,0)</f>
        <v>0</v>
      </c>
      <c r="D838" s="144">
        <f>VLOOKUP(B838,'Thống kê'!$C$3:$E$970,3,0)</f>
        <v>0</v>
      </c>
      <c r="E838" s="67"/>
      <c r="F838" s="66">
        <v>10</v>
      </c>
      <c r="G838" s="67"/>
    </row>
    <row r="839" spans="1:7" ht="13.2" hidden="1">
      <c r="A839" s="49"/>
      <c r="B839" s="16" t="s">
        <v>1732</v>
      </c>
      <c r="C839" s="143">
        <f>VLOOKUP(B839,'Thống kê'!$C$3:$D$970,2,0)</f>
        <v>0</v>
      </c>
      <c r="D839" s="144">
        <f>VLOOKUP(B839,'Thống kê'!$C$3:$E$970,3,0)</f>
        <v>0</v>
      </c>
      <c r="E839" s="67"/>
      <c r="F839" s="66">
        <v>2</v>
      </c>
      <c r="G839" s="67"/>
    </row>
    <row r="840" spans="1:7" ht="13.2" hidden="1">
      <c r="A840" s="49"/>
      <c r="B840" s="16" t="s">
        <v>1733</v>
      </c>
      <c r="C840" s="143">
        <f>VLOOKUP(B840,'Thống kê'!$C$3:$D$970,2,0)</f>
        <v>0</v>
      </c>
      <c r="D840" s="144">
        <f>VLOOKUP(B840,'Thống kê'!$C$3:$E$970,3,0)</f>
        <v>0</v>
      </c>
      <c r="E840" s="67"/>
      <c r="F840" s="66">
        <v>10</v>
      </c>
      <c r="G840" s="67"/>
    </row>
    <row r="841" spans="1:7" ht="13.2" hidden="1">
      <c r="A841" s="49"/>
      <c r="B841" s="16" t="s">
        <v>1734</v>
      </c>
      <c r="C841" s="143">
        <f>VLOOKUP(B841,'Thống kê'!$C$3:$D$970,2,0)</f>
        <v>0</v>
      </c>
      <c r="D841" s="144">
        <f>VLOOKUP(B841,'Thống kê'!$C$3:$E$970,3,0)</f>
        <v>0</v>
      </c>
      <c r="E841" s="67"/>
      <c r="F841" s="66">
        <v>5</v>
      </c>
      <c r="G841" s="67"/>
    </row>
    <row r="842" spans="1:7" ht="13.2" hidden="1">
      <c r="A842" s="49"/>
      <c r="B842" s="16" t="s">
        <v>1735</v>
      </c>
      <c r="C842" s="143">
        <f>VLOOKUP(B842,'Thống kê'!$C$3:$D$970,2,0)</f>
        <v>0</v>
      </c>
      <c r="D842" s="144">
        <f>VLOOKUP(B842,'Thống kê'!$C$3:$E$970,3,0)</f>
        <v>0</v>
      </c>
      <c r="E842" s="67"/>
      <c r="F842" s="66">
        <v>5</v>
      </c>
      <c r="G842" s="67"/>
    </row>
    <row r="843" spans="1:7" ht="13.2" hidden="1">
      <c r="A843" s="49"/>
      <c r="B843" s="16" t="s">
        <v>1736</v>
      </c>
      <c r="C843" s="143">
        <f>VLOOKUP(B843,'Thống kê'!$C$3:$D$970,2,0)</f>
        <v>0</v>
      </c>
      <c r="D843" s="144">
        <f>VLOOKUP(B843,'Thống kê'!$C$3:$E$970,3,0)</f>
        <v>0</v>
      </c>
      <c r="E843" s="159">
        <v>25900</v>
      </c>
      <c r="F843" s="66">
        <v>5</v>
      </c>
      <c r="G843" s="67"/>
    </row>
    <row r="844" spans="1:7" ht="13.2" hidden="1">
      <c r="A844" s="49"/>
      <c r="B844" s="16" t="s">
        <v>1353</v>
      </c>
      <c r="C844" s="143" t="str">
        <f>VLOOKUP(B844,'Thống kê'!$C$3:$D$970,2,0)</f>
        <v>Trang trí mô hình Vịt</v>
      </c>
      <c r="D844" s="144" t="str">
        <f>VLOOKUP(B844,'Thống kê'!$C$3:$E$970,3,0)</f>
        <v>cái</v>
      </c>
      <c r="E844" s="159">
        <v>3.67</v>
      </c>
      <c r="F844" s="66">
        <v>10</v>
      </c>
      <c r="G844" s="67"/>
    </row>
    <row r="845" spans="1:7" ht="13.2" hidden="1">
      <c r="A845" s="49"/>
      <c r="B845" s="16" t="s">
        <v>1359</v>
      </c>
      <c r="C845" s="143" t="str">
        <f>VLOOKUP(B845,'Thống kê'!$C$3:$D$970,2,0)</f>
        <v>Trang trí mô hình Cún</v>
      </c>
      <c r="D845" s="144" t="str">
        <f>VLOOKUP(B845,'Thống kê'!$C$3:$E$970,3,0)</f>
        <v>cái</v>
      </c>
      <c r="E845" s="159">
        <v>3.67</v>
      </c>
      <c r="F845" s="66">
        <v>5</v>
      </c>
      <c r="G845" s="67"/>
    </row>
    <row r="846" spans="1:7" ht="13.2" hidden="1">
      <c r="A846" s="49"/>
      <c r="B846" s="16" t="s">
        <v>308</v>
      </c>
      <c r="C846" s="143">
        <f>VLOOKUP(B846,'Thống kê'!$C$3:$D$970,2,0)</f>
        <v>0</v>
      </c>
      <c r="D846" s="144">
        <f>VLOOKUP(B846,'Thống kê'!$C$3:$E$970,3,0)</f>
        <v>0</v>
      </c>
      <c r="E846" s="159">
        <v>4.7</v>
      </c>
      <c r="F846" s="66">
        <v>20</v>
      </c>
      <c r="G846" s="67"/>
    </row>
    <row r="847" spans="1:7" ht="13.2" hidden="1">
      <c r="A847" s="49"/>
      <c r="B847" s="16" t="s">
        <v>307</v>
      </c>
      <c r="C847" s="143">
        <f>VLOOKUP(B847,'Thống kê'!$C$3:$D$970,2,0)</f>
        <v>0</v>
      </c>
      <c r="D847" s="144">
        <f>VLOOKUP(B847,'Thống kê'!$C$3:$E$970,3,0)</f>
        <v>0</v>
      </c>
      <c r="E847" s="159">
        <v>4.7</v>
      </c>
      <c r="F847" s="66">
        <v>10</v>
      </c>
      <c r="G847" s="67"/>
    </row>
    <row r="848" spans="1:7" ht="13.2" hidden="1">
      <c r="A848" s="49"/>
      <c r="B848" s="16" t="s">
        <v>309</v>
      </c>
      <c r="C848" s="143">
        <f>VLOOKUP(B848,'Thống kê'!$C$3:$D$970,2,0)</f>
        <v>0</v>
      </c>
      <c r="D848" s="144">
        <f>VLOOKUP(B848,'Thống kê'!$C$3:$E$970,3,0)</f>
        <v>0</v>
      </c>
      <c r="E848" s="159">
        <v>4.7</v>
      </c>
      <c r="F848" s="66">
        <v>10</v>
      </c>
      <c r="G848" s="67"/>
    </row>
    <row r="849" spans="1:7" ht="13.2" hidden="1">
      <c r="A849" s="49"/>
      <c r="B849" s="16" t="s">
        <v>1355</v>
      </c>
      <c r="C849" s="143" t="str">
        <f>VLOOKUP(B849,'Thống kê'!$C$3:$D$970,2,0)</f>
        <v>Trang trí mô hình Gấu</v>
      </c>
      <c r="D849" s="144" t="str">
        <f>VLOOKUP(B849,'Thống kê'!$C$3:$E$970,3,0)</f>
        <v>cái</v>
      </c>
      <c r="E849" s="159">
        <v>3.67</v>
      </c>
      <c r="F849" s="66">
        <v>5</v>
      </c>
      <c r="G849" s="67"/>
    </row>
    <row r="850" spans="1:7" ht="13.2" hidden="1">
      <c r="A850" s="49"/>
      <c r="B850" s="16" t="s">
        <v>129</v>
      </c>
      <c r="C850" s="143">
        <f>VLOOKUP(B850,'Thống kê'!$C$3:$D$970,2,0)</f>
        <v>0</v>
      </c>
      <c r="D850" s="144">
        <f>VLOOKUP(B850,'Thống kê'!$C$3:$E$970,3,0)</f>
        <v>0</v>
      </c>
      <c r="E850" s="159">
        <v>4.7</v>
      </c>
      <c r="F850" s="66">
        <v>10</v>
      </c>
      <c r="G850" s="67"/>
    </row>
    <row r="851" spans="1:7" ht="13.2" hidden="1">
      <c r="A851" s="49"/>
      <c r="B851" s="16" t="s">
        <v>310</v>
      </c>
      <c r="C851" s="143" t="str">
        <f>VLOOKUP(B851,'Thống kê'!$C$3:$D$970,2,0)</f>
        <v>Trang trí mô hình Heo</v>
      </c>
      <c r="D851" s="144" t="str">
        <f>VLOOKUP(B851,'Thống kê'!$C$3:$E$970,3,0)</f>
        <v>cái</v>
      </c>
      <c r="E851" s="159">
        <v>3.67</v>
      </c>
      <c r="F851" s="66">
        <v>15</v>
      </c>
      <c r="G851" s="67"/>
    </row>
    <row r="852" spans="1:7" ht="13.2" hidden="1">
      <c r="A852" s="49"/>
      <c r="B852" s="16" t="s">
        <v>1388</v>
      </c>
      <c r="C852" s="143" t="str">
        <f>VLOOKUP(B852,'Thống kê'!$C$3:$D$970,2,0)</f>
        <v>Móc khoá Crybaby mini Popmart</v>
      </c>
      <c r="D852" s="144" t="str">
        <f>VLOOKUP(B852,'Thống kê'!$C$3:$E$970,3,0)</f>
        <v>cái</v>
      </c>
      <c r="E852" s="159">
        <v>12.45</v>
      </c>
      <c r="F852" s="66">
        <v>5</v>
      </c>
      <c r="G852" s="67"/>
    </row>
    <row r="853" spans="1:7" ht="13.2" hidden="1">
      <c r="A853" s="49"/>
      <c r="B853" s="16" t="s">
        <v>138</v>
      </c>
      <c r="C853" s="143" t="str">
        <f>VLOOKUP(B853,'Thống kê'!$C$3:$D$970,2,0)</f>
        <v>Móc khoá Crybaby mini Popmart</v>
      </c>
      <c r="D853" s="144" t="str">
        <f>VLOOKUP(B853,'Thống kê'!$C$3:$E$970,3,0)</f>
        <v>cái</v>
      </c>
      <c r="E853" s="159">
        <v>12.45</v>
      </c>
      <c r="F853" s="66">
        <v>20</v>
      </c>
      <c r="G853" s="67"/>
    </row>
    <row r="854" spans="1:7" ht="13.2" hidden="1">
      <c r="A854" s="49"/>
      <c r="B854" s="16" t="s">
        <v>1386</v>
      </c>
      <c r="C854" s="143" t="str">
        <f>VLOOKUP(B854,'Thống kê'!$C$3:$D$970,2,0)</f>
        <v>Móc khoá Crybaby mini Popmart</v>
      </c>
      <c r="D854" s="144" t="str">
        <f>VLOOKUP(B854,'Thống kê'!$C$3:$E$970,3,0)</f>
        <v>cái</v>
      </c>
      <c r="E854" s="159">
        <v>12.45</v>
      </c>
      <c r="F854" s="66">
        <v>5</v>
      </c>
      <c r="G854" s="67"/>
    </row>
    <row r="855" spans="1:7" ht="13.2" hidden="1">
      <c r="A855" s="49"/>
      <c r="B855" s="16" t="s">
        <v>258</v>
      </c>
      <c r="C855" s="143" t="str">
        <f>VLOOKUP(B855,'Thống kê'!$C$3:$D$970,2,0)</f>
        <v>Móc khoá Crybaby mini Popmart</v>
      </c>
      <c r="D855" s="144" t="str">
        <f>VLOOKUP(B855,'Thống kê'!$C$3:$E$970,3,0)</f>
        <v>cái</v>
      </c>
      <c r="E855" s="159">
        <v>12.45</v>
      </c>
      <c r="F855" s="66">
        <v>5</v>
      </c>
      <c r="G855" s="67"/>
    </row>
    <row r="856" spans="1:7" ht="13.2" hidden="1">
      <c r="A856" s="49"/>
      <c r="B856" s="16" t="s">
        <v>1384</v>
      </c>
      <c r="C856" s="143" t="str">
        <f>VLOOKUP(B856,'Thống kê'!$C$3:$D$970,2,0)</f>
        <v>Móc khoá Crybaby mini Popmart</v>
      </c>
      <c r="D856" s="144" t="str">
        <f>VLOOKUP(B856,'Thống kê'!$C$3:$E$970,3,0)</f>
        <v>cái</v>
      </c>
      <c r="E856" s="159">
        <v>12.45</v>
      </c>
      <c r="F856" s="66">
        <v>50</v>
      </c>
      <c r="G856" s="67"/>
    </row>
    <row r="857" spans="1:7" ht="13.2" hidden="1">
      <c r="A857" s="49"/>
      <c r="B857" s="16" t="s">
        <v>1387</v>
      </c>
      <c r="C857" s="143" t="str">
        <f>VLOOKUP(B857,'Thống kê'!$C$3:$D$970,2,0)</f>
        <v>Móc khoá Crybaby mini Popmart</v>
      </c>
      <c r="D857" s="144" t="str">
        <f>VLOOKUP(B857,'Thống kê'!$C$3:$E$970,3,0)</f>
        <v>cái</v>
      </c>
      <c r="E857" s="159">
        <v>12.45</v>
      </c>
      <c r="F857" s="66">
        <v>15</v>
      </c>
      <c r="G857" s="67"/>
    </row>
    <row r="858" spans="1:7" ht="13.2" hidden="1">
      <c r="A858" s="49"/>
      <c r="B858" s="16" t="s">
        <v>159</v>
      </c>
      <c r="C858" s="143">
        <f>VLOOKUP(B858,'Thống kê'!$C$3:$D$970,2,0)</f>
        <v>0</v>
      </c>
      <c r="D858" s="144" t="str">
        <f>VLOOKUP(B858,'Thống kê'!$C$3:$E$970,3,0)</f>
        <v>cái</v>
      </c>
      <c r="E858" s="67"/>
      <c r="F858" s="66">
        <v>30</v>
      </c>
      <c r="G858" s="67"/>
    </row>
    <row r="859" spans="1:7" ht="13.2" hidden="1">
      <c r="A859" s="49"/>
      <c r="B859" s="16" t="s">
        <v>242</v>
      </c>
      <c r="C859" s="143">
        <f>VLOOKUP(B859,'Thống kê'!$C$3:$D$970,2,0)</f>
        <v>0</v>
      </c>
      <c r="D859" s="144">
        <f>VLOOKUP(B859,'Thống kê'!$C$3:$E$970,3,0)</f>
        <v>0</v>
      </c>
      <c r="E859" s="67"/>
      <c r="F859" s="66">
        <v>15</v>
      </c>
      <c r="G859" s="67"/>
    </row>
    <row r="860" spans="1:7" ht="13.2" hidden="1">
      <c r="A860" s="49"/>
      <c r="B860" s="16" t="s">
        <v>248</v>
      </c>
      <c r="C860" s="143">
        <f>VLOOKUP(B860,'Thống kê'!$C$3:$D$970,2,0)</f>
        <v>0</v>
      </c>
      <c r="D860" s="144">
        <f>VLOOKUP(B860,'Thống kê'!$C$3:$E$970,3,0)</f>
        <v>0</v>
      </c>
      <c r="E860" s="67"/>
      <c r="F860" s="66">
        <v>15</v>
      </c>
      <c r="G860" s="67"/>
    </row>
    <row r="861" spans="1:7" ht="13.2" hidden="1">
      <c r="A861" s="49"/>
      <c r="B861" s="16" t="s">
        <v>133</v>
      </c>
      <c r="C861" s="143">
        <f>VLOOKUP(B861,'Thống kê'!$C$3:$D$970,2,0)</f>
        <v>0</v>
      </c>
      <c r="D861" s="144">
        <f>VLOOKUP(B861,'Thống kê'!$C$3:$E$970,3,0)</f>
        <v>0</v>
      </c>
      <c r="E861" s="67"/>
      <c r="F861" s="66">
        <v>8</v>
      </c>
      <c r="G861" s="67"/>
    </row>
    <row r="862" spans="1:7" ht="13.2" hidden="1">
      <c r="A862" s="49"/>
      <c r="B862" s="16" t="s">
        <v>77</v>
      </c>
      <c r="C862" s="143">
        <f>VLOOKUP(B862,'Thống kê'!$C$3:$D$970,2,0)</f>
        <v>0</v>
      </c>
      <c r="D862" s="144">
        <f>VLOOKUP(B862,'Thống kê'!$C$3:$E$970,3,0)</f>
        <v>0</v>
      </c>
      <c r="E862" s="67"/>
      <c r="F862" s="66">
        <v>10</v>
      </c>
      <c r="G862" s="67"/>
    </row>
    <row r="863" spans="1:7" ht="13.2" hidden="1">
      <c r="A863" s="49"/>
      <c r="B863" s="16" t="s">
        <v>180</v>
      </c>
      <c r="C863" s="143">
        <f>VLOOKUP(B863,'Thống kê'!$C$3:$D$970,2,0)</f>
        <v>0</v>
      </c>
      <c r="D863" s="144">
        <f>VLOOKUP(B863,'Thống kê'!$C$3:$E$970,3,0)</f>
        <v>0</v>
      </c>
      <c r="E863" s="67"/>
      <c r="F863" s="66">
        <v>3</v>
      </c>
      <c r="G863" s="67"/>
    </row>
    <row r="864" spans="1:7" ht="13.2" hidden="1">
      <c r="A864" s="49"/>
      <c r="B864" s="16" t="s">
        <v>233</v>
      </c>
      <c r="C864" s="143">
        <f>VLOOKUP(B864,'Thống kê'!$C$3:$D$970,2,0)</f>
        <v>0</v>
      </c>
      <c r="D864" s="144">
        <f>VLOOKUP(B864,'Thống kê'!$C$3:$E$970,3,0)</f>
        <v>0</v>
      </c>
      <c r="E864" s="67"/>
      <c r="F864" s="66">
        <v>6</v>
      </c>
      <c r="G864" s="67"/>
    </row>
    <row r="865" spans="1:7" ht="13.2" hidden="1">
      <c r="A865" s="49"/>
      <c r="B865" s="16" t="s">
        <v>1515</v>
      </c>
      <c r="C865" s="143">
        <f>VLOOKUP(B865,'Thống kê'!$C$3:$D$970,2,0)</f>
        <v>0</v>
      </c>
      <c r="D865" s="144">
        <f>VLOOKUP(B865,'Thống kê'!$C$3:$E$970,3,0)</f>
        <v>0</v>
      </c>
      <c r="E865" s="67"/>
      <c r="F865" s="66">
        <v>4</v>
      </c>
      <c r="G865" s="67"/>
    </row>
    <row r="866" spans="1:7" ht="13.2" hidden="1">
      <c r="A866" s="49"/>
      <c r="B866" s="16" t="s">
        <v>1517</v>
      </c>
      <c r="C866" s="143">
        <f>VLOOKUP(B866,'Thống kê'!$C$3:$D$970,2,0)</f>
        <v>0</v>
      </c>
      <c r="D866" s="144">
        <f>VLOOKUP(B866,'Thống kê'!$C$3:$E$970,3,0)</f>
        <v>0</v>
      </c>
      <c r="E866" s="67"/>
      <c r="F866" s="66">
        <v>3</v>
      </c>
      <c r="G866" s="67"/>
    </row>
    <row r="867" spans="1:7" ht="13.2" hidden="1">
      <c r="A867" s="49"/>
      <c r="B867" s="16" t="s">
        <v>1516</v>
      </c>
      <c r="C867" s="143">
        <f>VLOOKUP(B867,'Thống kê'!$C$3:$D$970,2,0)</f>
        <v>0</v>
      </c>
      <c r="D867" s="144">
        <f>VLOOKUP(B867,'Thống kê'!$C$3:$E$970,3,0)</f>
        <v>0</v>
      </c>
      <c r="E867" s="67"/>
      <c r="F867" s="66">
        <v>10</v>
      </c>
      <c r="G867" s="67"/>
    </row>
    <row r="868" spans="1:7" ht="13.2" hidden="1">
      <c r="A868" s="49"/>
      <c r="B868" s="16" t="s">
        <v>1523</v>
      </c>
      <c r="C868" s="143">
        <f>VLOOKUP(B868,'Thống kê'!$C$3:$D$970,2,0)</f>
        <v>0</v>
      </c>
      <c r="D868" s="144">
        <f>VLOOKUP(B868,'Thống kê'!$C$3:$E$970,3,0)</f>
        <v>0</v>
      </c>
      <c r="E868" s="67"/>
      <c r="F868" s="66">
        <v>20</v>
      </c>
      <c r="G868" s="67"/>
    </row>
    <row r="869" spans="1:7" ht="13.2" hidden="1">
      <c r="A869" s="49"/>
      <c r="B869" s="16" t="s">
        <v>1524</v>
      </c>
      <c r="C869" s="143">
        <f>VLOOKUP(B869,'Thống kê'!$C$3:$D$970,2,0)</f>
        <v>0</v>
      </c>
      <c r="D869" s="144">
        <f>VLOOKUP(B869,'Thống kê'!$C$3:$E$970,3,0)</f>
        <v>0</v>
      </c>
      <c r="E869" s="67"/>
      <c r="F869" s="66">
        <v>20</v>
      </c>
      <c r="G869" s="67"/>
    </row>
    <row r="870" spans="1:7" ht="13.2" hidden="1">
      <c r="A870" s="49"/>
      <c r="B870" s="16" t="s">
        <v>1525</v>
      </c>
      <c r="C870" s="143">
        <f>VLOOKUP(B870,'Thống kê'!$C$3:$D$970,2,0)</f>
        <v>0</v>
      </c>
      <c r="D870" s="144">
        <f>VLOOKUP(B870,'Thống kê'!$C$3:$E$970,3,0)</f>
        <v>0</v>
      </c>
      <c r="E870" s="67"/>
      <c r="F870" s="66">
        <v>10</v>
      </c>
      <c r="G870" s="67"/>
    </row>
    <row r="871" spans="1:7" ht="13.2" hidden="1">
      <c r="A871" s="49"/>
      <c r="B871" s="16" t="s">
        <v>191</v>
      </c>
      <c r="C871" s="143">
        <f>VLOOKUP(B871,'Thống kê'!$C$3:$D$970,2,0)</f>
        <v>0</v>
      </c>
      <c r="D871" s="144">
        <f>VLOOKUP(B871,'Thống kê'!$C$3:$E$970,3,0)</f>
        <v>0</v>
      </c>
      <c r="E871" s="67"/>
      <c r="F871" s="66">
        <v>2</v>
      </c>
      <c r="G871" s="67"/>
    </row>
    <row r="872" spans="1:7" ht="13.2" hidden="1">
      <c r="A872" s="49"/>
      <c r="B872" s="16" t="s">
        <v>125</v>
      </c>
      <c r="C872" s="143">
        <f>VLOOKUP(B872,'Thống kê'!$C$3:$D$970,2,0)</f>
        <v>0</v>
      </c>
      <c r="D872" s="144">
        <f>VLOOKUP(B872,'Thống kê'!$C$3:$E$970,3,0)</f>
        <v>0</v>
      </c>
      <c r="E872" s="67"/>
      <c r="F872" s="66">
        <v>10</v>
      </c>
      <c r="G872" s="67"/>
    </row>
    <row r="873" spans="1:7" ht="13.2" hidden="1">
      <c r="A873" s="49"/>
      <c r="B873" s="16" t="s">
        <v>176</v>
      </c>
      <c r="C873" s="143">
        <f>VLOOKUP(B873,'Thống kê'!$C$3:$D$970,2,0)</f>
        <v>0</v>
      </c>
      <c r="D873" s="144">
        <f>VLOOKUP(B873,'Thống kê'!$C$3:$E$970,3,0)</f>
        <v>0</v>
      </c>
      <c r="E873" s="67"/>
      <c r="F873" s="66">
        <v>10</v>
      </c>
      <c r="G873" s="67"/>
    </row>
    <row r="874" spans="1:7" ht="13.2" hidden="1">
      <c r="A874" s="49"/>
      <c r="B874" s="16" t="s">
        <v>279</v>
      </c>
      <c r="C874" s="143">
        <f>VLOOKUP(B874,'Thống kê'!$C$3:$D$970,2,0)</f>
        <v>0</v>
      </c>
      <c r="D874" s="144">
        <f>VLOOKUP(B874,'Thống kê'!$C$3:$E$970,3,0)</f>
        <v>0</v>
      </c>
      <c r="E874" s="67"/>
      <c r="F874" s="66">
        <v>10</v>
      </c>
      <c r="G874" s="67"/>
    </row>
    <row r="875" spans="1:7" ht="13.2" hidden="1">
      <c r="A875" s="49"/>
      <c r="B875" s="16" t="s">
        <v>85</v>
      </c>
      <c r="C875" s="143">
        <f>VLOOKUP(B875,'Thống kê'!$C$3:$D$970,2,0)</f>
        <v>0</v>
      </c>
      <c r="D875" s="144">
        <f>VLOOKUP(B875,'Thống kê'!$C$3:$E$970,3,0)</f>
        <v>0</v>
      </c>
      <c r="E875" s="67"/>
      <c r="F875" s="66">
        <v>5</v>
      </c>
      <c r="G875" s="67"/>
    </row>
    <row r="876" spans="1:7" ht="13.2" hidden="1">
      <c r="A876" s="49"/>
      <c r="B876" s="16" t="s">
        <v>1522</v>
      </c>
      <c r="C876" s="143">
        <f>VLOOKUP(B876,'Thống kê'!$C$3:$D$970,2,0)</f>
        <v>0</v>
      </c>
      <c r="D876" s="144">
        <f>VLOOKUP(B876,'Thống kê'!$C$3:$E$970,3,0)</f>
        <v>0</v>
      </c>
      <c r="E876" s="67"/>
      <c r="F876" s="66">
        <v>6</v>
      </c>
      <c r="G876" s="67"/>
    </row>
    <row r="877" spans="1:7" ht="13.2" hidden="1">
      <c r="A877" s="49"/>
      <c r="B877" s="16" t="s">
        <v>126</v>
      </c>
      <c r="C877" s="143">
        <f>VLOOKUP(B877,'Thống kê'!$C$3:$D$970,2,0)</f>
        <v>0</v>
      </c>
      <c r="D877" s="144">
        <f>VLOOKUP(B877,'Thống kê'!$C$3:$E$970,3,0)</f>
        <v>0</v>
      </c>
      <c r="E877" s="67"/>
      <c r="F877" s="66">
        <v>20</v>
      </c>
      <c r="G877" s="67"/>
    </row>
    <row r="878" spans="1:7" ht="13.2" hidden="1">
      <c r="A878" s="49"/>
      <c r="B878" s="16" t="s">
        <v>80</v>
      </c>
      <c r="C878" s="143">
        <f>VLOOKUP(B878,'Thống kê'!$C$3:$D$970,2,0)</f>
        <v>0</v>
      </c>
      <c r="D878" s="144">
        <f>VLOOKUP(B878,'Thống kê'!$C$3:$E$970,3,0)</f>
        <v>0</v>
      </c>
      <c r="E878" s="67"/>
      <c r="F878" s="66">
        <v>25</v>
      </c>
      <c r="G878" s="67"/>
    </row>
    <row r="879" spans="1:7" ht="13.2" hidden="1">
      <c r="A879" s="49"/>
      <c r="B879" s="16" t="s">
        <v>127</v>
      </c>
      <c r="C879" s="143">
        <f>VLOOKUP(B879,'Thống kê'!$C$3:$D$970,2,0)</f>
        <v>0</v>
      </c>
      <c r="D879" s="144">
        <f>VLOOKUP(B879,'Thống kê'!$C$3:$E$970,3,0)</f>
        <v>0</v>
      </c>
      <c r="E879" s="67"/>
      <c r="F879" s="66">
        <v>25</v>
      </c>
      <c r="G879" s="67"/>
    </row>
    <row r="880" spans="1:7" ht="13.2" hidden="1">
      <c r="A880" s="49"/>
      <c r="B880" s="16" t="s">
        <v>142</v>
      </c>
      <c r="C880" s="143">
        <f>VLOOKUP(B880,'Thống kê'!$C$3:$D$970,2,0)</f>
        <v>0</v>
      </c>
      <c r="D880" s="144">
        <f>VLOOKUP(B880,'Thống kê'!$C$3:$E$970,3,0)</f>
        <v>0</v>
      </c>
      <c r="E880" s="67"/>
      <c r="F880" s="66">
        <v>30</v>
      </c>
      <c r="G880" s="67"/>
    </row>
    <row r="881" spans="1:7" ht="13.2" hidden="1">
      <c r="A881" s="49"/>
      <c r="B881" s="16" t="s">
        <v>171</v>
      </c>
      <c r="C881" s="143">
        <f>VLOOKUP(B881,'Thống kê'!$C$3:$D$970,2,0)</f>
        <v>0</v>
      </c>
      <c r="D881" s="144">
        <f>VLOOKUP(B881,'Thống kê'!$C$3:$E$970,3,0)</f>
        <v>0</v>
      </c>
      <c r="E881" s="67"/>
      <c r="F881" s="66">
        <v>20</v>
      </c>
      <c r="G881" s="67"/>
    </row>
    <row r="882" spans="1:7" ht="13.2" hidden="1">
      <c r="A882" s="49"/>
      <c r="B882" s="16" t="s">
        <v>252</v>
      </c>
      <c r="C882" s="143">
        <f>VLOOKUP(B882,'Thống kê'!$C$3:$D$970,2,0)</f>
        <v>0</v>
      </c>
      <c r="D882" s="144">
        <f>VLOOKUP(B882,'Thống kê'!$C$3:$E$970,3,0)</f>
        <v>0</v>
      </c>
      <c r="E882" s="67"/>
      <c r="F882" s="66">
        <v>12</v>
      </c>
      <c r="G882" s="67"/>
    </row>
    <row r="883" spans="1:7" ht="13.2">
      <c r="A883" s="49"/>
      <c r="B883" s="16" t="s">
        <v>1569</v>
      </c>
      <c r="C883" s="143">
        <f>VLOOKUP(B883,'Thống kê'!$C$3:$D$970,2,0)</f>
        <v>0</v>
      </c>
      <c r="D883" s="144">
        <f>VLOOKUP(B883,'Thống kê'!$C$3:$E$970,3,0)</f>
        <v>0</v>
      </c>
      <c r="E883" s="67"/>
      <c r="F883" s="66">
        <v>3</v>
      </c>
      <c r="G883" s="67"/>
    </row>
    <row r="884" spans="1:7" ht="13.2">
      <c r="A884" s="49"/>
      <c r="B884" s="16" t="s">
        <v>1570</v>
      </c>
      <c r="C884" s="143">
        <f>VLOOKUP(B884,'Thống kê'!$C$3:$D$970,2,0)</f>
        <v>0</v>
      </c>
      <c r="D884" s="144">
        <f>VLOOKUP(B884,'Thống kê'!$C$3:$E$970,3,0)</f>
        <v>0</v>
      </c>
      <c r="E884" s="67"/>
      <c r="F884" s="66">
        <v>10</v>
      </c>
      <c r="G884" s="67"/>
    </row>
    <row r="885" spans="1:7" ht="13.2">
      <c r="A885" s="49"/>
      <c r="B885" s="16" t="s">
        <v>1721</v>
      </c>
      <c r="C885" s="143">
        <f>VLOOKUP(B885,'Thống kê'!$C$3:$D$970,2,0)</f>
        <v>0</v>
      </c>
      <c r="D885" s="144" t="str">
        <f>VLOOKUP(B885,'Thống kê'!$C$3:$E$970,3,0)</f>
        <v>cái</v>
      </c>
      <c r="E885" s="67"/>
      <c r="F885" s="66">
        <v>14</v>
      </c>
      <c r="G885" s="67"/>
    </row>
    <row r="886" spans="1:7" ht="13.2">
      <c r="A886" s="49"/>
      <c r="B886" s="16" t="s">
        <v>1737</v>
      </c>
      <c r="C886" s="143">
        <f>VLOOKUP(B886,'Thống kê'!$C$3:$D$970,2,0)</f>
        <v>0</v>
      </c>
      <c r="D886" s="144">
        <f>VLOOKUP(B886,'Thống kê'!$C$3:$E$970,3,0)</f>
        <v>0</v>
      </c>
      <c r="E886" s="67"/>
      <c r="F886" s="66">
        <v>14</v>
      </c>
      <c r="G886" s="67"/>
    </row>
    <row r="887" spans="1:7" ht="13.2">
      <c r="A887" s="49"/>
      <c r="B887" s="16" t="s">
        <v>1738</v>
      </c>
      <c r="C887" s="143">
        <f>VLOOKUP(B887,'Thống kê'!$C$3:$D$970,2,0)</f>
        <v>0</v>
      </c>
      <c r="D887" s="144">
        <f>VLOOKUP(B887,'Thống kê'!$C$3:$E$970,3,0)</f>
        <v>0</v>
      </c>
      <c r="E887" s="67"/>
      <c r="F887" s="66">
        <v>5</v>
      </c>
      <c r="G887" s="67"/>
    </row>
    <row r="888" spans="1:7" ht="13.2">
      <c r="A888" s="49"/>
      <c r="B888" s="16" t="s">
        <v>1739</v>
      </c>
      <c r="C888" s="143">
        <f>VLOOKUP(B888,'Thống kê'!$C$3:$D$970,2,0)</f>
        <v>0</v>
      </c>
      <c r="D888" s="144">
        <f>VLOOKUP(B888,'Thống kê'!$C$3:$E$970,3,0)</f>
        <v>0</v>
      </c>
      <c r="E888" s="67"/>
      <c r="F888" s="66">
        <v>50</v>
      </c>
      <c r="G888" s="67"/>
    </row>
    <row r="889" spans="1:7" ht="13.2">
      <c r="A889" s="49"/>
      <c r="B889" s="16" t="s">
        <v>221</v>
      </c>
      <c r="C889" s="143">
        <f>VLOOKUP(B889,'Thống kê'!$C$3:$D$970,2,0)</f>
        <v>0</v>
      </c>
      <c r="D889" s="144">
        <f>VLOOKUP(B889,'Thống kê'!$C$3:$E$970,3,0)</f>
        <v>0</v>
      </c>
      <c r="E889" s="67"/>
      <c r="F889" s="66">
        <v>5</v>
      </c>
      <c r="G889" s="67"/>
    </row>
    <row r="890" spans="1:7" ht="13.2">
      <c r="A890" s="49"/>
      <c r="B890" s="16" t="s">
        <v>1527</v>
      </c>
      <c r="C890" s="143">
        <f>VLOOKUP(B890,'Thống kê'!$C$3:$D$970,2,0)</f>
        <v>0</v>
      </c>
      <c r="D890" s="144">
        <f>VLOOKUP(B890,'Thống kê'!$C$3:$E$970,3,0)</f>
        <v>0</v>
      </c>
      <c r="E890" s="67"/>
      <c r="F890" s="66">
        <v>10</v>
      </c>
      <c r="G890" s="67"/>
    </row>
    <row r="891" spans="1:7" ht="13.2">
      <c r="A891" s="49"/>
      <c r="B891" s="16" t="s">
        <v>1528</v>
      </c>
      <c r="C891" s="143">
        <f>VLOOKUP(B891,'Thống kê'!$C$3:$D$970,2,0)</f>
        <v>0</v>
      </c>
      <c r="D891" s="144">
        <f>VLOOKUP(B891,'Thống kê'!$C$3:$E$970,3,0)</f>
        <v>0</v>
      </c>
      <c r="E891" s="67"/>
      <c r="F891" s="66">
        <v>3</v>
      </c>
      <c r="G891" s="67"/>
    </row>
    <row r="892" spans="1:7" ht="13.2">
      <c r="A892" s="49"/>
      <c r="B892" s="16" t="s">
        <v>191</v>
      </c>
      <c r="C892" s="143">
        <f>VLOOKUP(B892,'Thống kê'!$C$3:$D$970,2,0)</f>
        <v>0</v>
      </c>
      <c r="D892" s="144">
        <f>VLOOKUP(B892,'Thống kê'!$C$3:$E$970,3,0)</f>
        <v>0</v>
      </c>
      <c r="E892" s="67"/>
      <c r="F892" s="66">
        <v>15</v>
      </c>
      <c r="G892" s="67"/>
    </row>
    <row r="893" spans="1:7" ht="13.2">
      <c r="A893" s="49"/>
      <c r="B893" s="16" t="s">
        <v>200</v>
      </c>
      <c r="C893" s="143">
        <f>VLOOKUP(B893,'Thống kê'!$C$3:$D$970,2,0)</f>
        <v>0</v>
      </c>
      <c r="D893" s="144">
        <f>VLOOKUP(B893,'Thống kê'!$C$3:$E$970,3,0)</f>
        <v>0</v>
      </c>
      <c r="E893" s="67"/>
      <c r="F893" s="66">
        <v>25</v>
      </c>
      <c r="G893" s="67"/>
    </row>
    <row r="894" spans="1:7" ht="13.2">
      <c r="A894" s="49"/>
      <c r="B894" s="16" t="s">
        <v>1529</v>
      </c>
      <c r="C894" s="143">
        <f>VLOOKUP(B894,'Thống kê'!$C$3:$D$970,2,0)</f>
        <v>0</v>
      </c>
      <c r="D894" s="144">
        <f>VLOOKUP(B894,'Thống kê'!$C$3:$E$970,3,0)</f>
        <v>0</v>
      </c>
      <c r="E894" s="67"/>
      <c r="F894" s="66">
        <v>15</v>
      </c>
      <c r="G894" s="67"/>
    </row>
    <row r="895" spans="1:7" ht="13.2">
      <c r="A895" s="49"/>
      <c r="B895" s="16" t="s">
        <v>1530</v>
      </c>
      <c r="C895" s="143">
        <f>VLOOKUP(B895,'Thống kê'!$C$3:$D$970,2,0)</f>
        <v>0</v>
      </c>
      <c r="D895" s="144">
        <f>VLOOKUP(B895,'Thống kê'!$C$3:$E$970,3,0)</f>
        <v>0</v>
      </c>
      <c r="E895" s="67"/>
      <c r="F895" s="66">
        <v>15</v>
      </c>
      <c r="G895" s="67"/>
    </row>
    <row r="896" spans="1:7" ht="13.2">
      <c r="A896" s="49"/>
      <c r="B896" s="16" t="s">
        <v>171</v>
      </c>
      <c r="C896" s="143">
        <f>VLOOKUP(B896,'Thống kê'!$C$3:$D$970,2,0)</f>
        <v>0</v>
      </c>
      <c r="D896" s="144">
        <f>VLOOKUP(B896,'Thống kê'!$C$3:$E$970,3,0)</f>
        <v>0</v>
      </c>
      <c r="E896" s="67"/>
      <c r="F896" s="66">
        <v>5</v>
      </c>
      <c r="G896" s="67"/>
    </row>
    <row r="897" spans="1:7" ht="13.2">
      <c r="A897" s="49"/>
      <c r="B897" s="16" t="s">
        <v>133</v>
      </c>
      <c r="C897" s="143">
        <f>VLOOKUP(B897,'Thống kê'!$C$3:$D$970,2,0)</f>
        <v>0</v>
      </c>
      <c r="D897" s="144">
        <f>VLOOKUP(B897,'Thống kê'!$C$3:$E$970,3,0)</f>
        <v>0</v>
      </c>
      <c r="E897" s="67"/>
      <c r="F897" s="66">
        <v>15</v>
      </c>
      <c r="G897" s="67"/>
    </row>
    <row r="898" spans="1:7" ht="13.2">
      <c r="A898" s="49"/>
      <c r="B898" s="16" t="s">
        <v>77</v>
      </c>
      <c r="C898" s="143">
        <f>VLOOKUP(B898,'Thống kê'!$C$3:$D$970,2,0)</f>
        <v>0</v>
      </c>
      <c r="D898" s="144">
        <f>VLOOKUP(B898,'Thống kê'!$C$3:$E$970,3,0)</f>
        <v>0</v>
      </c>
      <c r="E898" s="67"/>
      <c r="F898" s="66">
        <v>15</v>
      </c>
      <c r="G898" s="67"/>
    </row>
    <row r="899" spans="1:7" ht="13.2">
      <c r="A899" s="49"/>
      <c r="B899" s="16" t="s">
        <v>180</v>
      </c>
      <c r="C899" s="143">
        <f>VLOOKUP(B899,'Thống kê'!$C$3:$D$970,2,0)</f>
        <v>0</v>
      </c>
      <c r="D899" s="144">
        <f>VLOOKUP(B899,'Thống kê'!$C$3:$E$970,3,0)</f>
        <v>0</v>
      </c>
      <c r="E899" s="67"/>
      <c r="F899" s="66">
        <v>2</v>
      </c>
      <c r="G899" s="67"/>
    </row>
    <row r="900" spans="1:7" ht="13.2">
      <c r="A900" s="49"/>
      <c r="B900" s="16" t="s">
        <v>1515</v>
      </c>
      <c r="C900" s="143">
        <f>VLOOKUP(B900,'Thống kê'!$C$3:$D$970,2,0)</f>
        <v>0</v>
      </c>
      <c r="D900" s="144">
        <f>VLOOKUP(B900,'Thống kê'!$C$3:$E$970,3,0)</f>
        <v>0</v>
      </c>
      <c r="E900" s="67"/>
      <c r="F900" s="66">
        <v>5</v>
      </c>
      <c r="G900" s="67"/>
    </row>
    <row r="901" spans="1:7" ht="13.2">
      <c r="A901" s="49"/>
      <c r="B901" s="16" t="s">
        <v>1516</v>
      </c>
      <c r="C901" s="143">
        <f>VLOOKUP(B901,'Thống kê'!$C$3:$D$970,2,0)</f>
        <v>0</v>
      </c>
      <c r="D901" s="144">
        <f>VLOOKUP(B901,'Thống kê'!$C$3:$E$970,3,0)</f>
        <v>0</v>
      </c>
      <c r="E901" s="67"/>
      <c r="F901" s="66">
        <v>10</v>
      </c>
      <c r="G901" s="67"/>
    </row>
    <row r="902" spans="1:7" ht="13.2">
      <c r="A902" s="49"/>
      <c r="B902" s="16" t="s">
        <v>1517</v>
      </c>
      <c r="C902" s="143">
        <f>VLOOKUP(B902,'Thống kê'!$C$3:$D$970,2,0)</f>
        <v>0</v>
      </c>
      <c r="D902" s="144">
        <f>VLOOKUP(B902,'Thống kê'!$C$3:$E$970,3,0)</f>
        <v>0</v>
      </c>
      <c r="E902" s="67"/>
      <c r="F902" s="66">
        <v>5</v>
      </c>
      <c r="G902" s="67"/>
    </row>
    <row r="903" spans="1:7" ht="13.2">
      <c r="A903" s="49"/>
      <c r="B903" s="16" t="s">
        <v>1740</v>
      </c>
      <c r="C903" s="143">
        <f>VLOOKUP(B903,'Thống kê'!$C$3:$D$970,2,0)</f>
        <v>0</v>
      </c>
      <c r="D903" s="144">
        <f>VLOOKUP(B903,'Thống kê'!$C$3:$E$970,3,0)</f>
        <v>0</v>
      </c>
      <c r="E903" s="67"/>
      <c r="F903" s="66">
        <v>20</v>
      </c>
      <c r="G903" s="67"/>
    </row>
    <row r="904" spans="1:7" ht="13.2">
      <c r="A904" s="49"/>
      <c r="B904" s="16" t="s">
        <v>1531</v>
      </c>
      <c r="C904" s="143">
        <f>VLOOKUP(B904,'Thống kê'!$C$3:$D$970,2,0)</f>
        <v>0</v>
      </c>
      <c r="D904" s="144">
        <f>VLOOKUP(B904,'Thống kê'!$C$3:$E$970,3,0)</f>
        <v>0</v>
      </c>
      <c r="E904" s="67"/>
      <c r="F904" s="66">
        <v>30</v>
      </c>
      <c r="G904" s="67"/>
    </row>
    <row r="905" spans="1:7" ht="13.2">
      <c r="A905" s="49"/>
      <c r="B905" s="16" t="s">
        <v>323</v>
      </c>
      <c r="C905" s="143">
        <f>VLOOKUP(B905,'Thống kê'!$C$3:$D$970,2,0)</f>
        <v>0</v>
      </c>
      <c r="D905" s="144">
        <f>VLOOKUP(B905,'Thống kê'!$C$3:$E$970,3,0)</f>
        <v>0</v>
      </c>
      <c r="E905" s="67"/>
      <c r="F905" s="66">
        <v>20</v>
      </c>
      <c r="G905" s="67"/>
    </row>
    <row r="906" spans="1:7" ht="13.2">
      <c r="A906" s="49"/>
      <c r="B906" s="16" t="s">
        <v>103</v>
      </c>
      <c r="C906" s="143">
        <f>VLOOKUP(B906,'Thống kê'!$C$3:$D$970,2,0)</f>
        <v>0</v>
      </c>
      <c r="D906" s="144">
        <f>VLOOKUP(B906,'Thống kê'!$C$3:$E$970,3,0)</f>
        <v>0</v>
      </c>
      <c r="E906" s="67"/>
      <c r="F906" s="66">
        <v>20</v>
      </c>
      <c r="G906" s="67"/>
    </row>
    <row r="907" spans="1:7" ht="13.2">
      <c r="A907" s="49"/>
      <c r="B907" s="16" t="s">
        <v>137</v>
      </c>
      <c r="C907" s="143">
        <f>VLOOKUP(B907,'Thống kê'!$C$3:$D$970,2,0)</f>
        <v>0</v>
      </c>
      <c r="D907" s="144">
        <f>VLOOKUP(B907,'Thống kê'!$C$3:$E$970,3,0)</f>
        <v>0</v>
      </c>
      <c r="E907" s="67"/>
      <c r="F907" s="66">
        <v>30</v>
      </c>
      <c r="G907" s="67"/>
    </row>
    <row r="908" spans="1:7" ht="13.2">
      <c r="A908" s="49"/>
      <c r="B908" s="16" t="s">
        <v>196</v>
      </c>
      <c r="C908" s="143">
        <f>VLOOKUP(B908,'Thống kê'!$C$3:$D$970,2,0)</f>
        <v>0</v>
      </c>
      <c r="D908" s="144" t="str">
        <f>VLOOKUP(B908,'Thống kê'!$C$3:$E$970,3,0)</f>
        <v>cái</v>
      </c>
      <c r="E908" s="67"/>
      <c r="F908" s="66">
        <v>20</v>
      </c>
      <c r="G908" s="67"/>
    </row>
    <row r="909" spans="1:7" ht="13.2">
      <c r="A909" s="49"/>
      <c r="B909" s="16" t="s">
        <v>140</v>
      </c>
      <c r="C909" s="143">
        <f>VLOOKUP(B909,'Thống kê'!$C$3:$D$970,2,0)</f>
        <v>0</v>
      </c>
      <c r="D909" s="144">
        <f>VLOOKUP(B909,'Thống kê'!$C$3:$E$970,3,0)</f>
        <v>0</v>
      </c>
      <c r="E909" s="67"/>
      <c r="F909" s="66">
        <v>20</v>
      </c>
      <c r="G909" s="67"/>
    </row>
    <row r="910" spans="1:7" ht="13.2">
      <c r="A910" s="49"/>
      <c r="B910" s="16" t="s">
        <v>126</v>
      </c>
      <c r="C910" s="143">
        <f>VLOOKUP(B910,'Thống kê'!$C$3:$D$970,2,0)</f>
        <v>0</v>
      </c>
      <c r="D910" s="144">
        <f>VLOOKUP(B910,'Thống kê'!$C$3:$E$970,3,0)</f>
        <v>0</v>
      </c>
      <c r="E910" s="67"/>
      <c r="F910" s="66">
        <v>40</v>
      </c>
      <c r="G910" s="67"/>
    </row>
    <row r="911" spans="1:7" ht="13.2">
      <c r="A911" s="49"/>
      <c r="B911" s="16" t="s">
        <v>171</v>
      </c>
      <c r="C911" s="143">
        <f>VLOOKUP(B911,'Thống kê'!$C$3:$D$970,2,0)</f>
        <v>0</v>
      </c>
      <c r="D911" s="144">
        <f>VLOOKUP(B911,'Thống kê'!$C$3:$E$970,3,0)</f>
        <v>0</v>
      </c>
      <c r="E911" s="67"/>
      <c r="F911" s="66">
        <v>10</v>
      </c>
      <c r="G911" s="67"/>
    </row>
    <row r="912" spans="1:7" ht="13.2">
      <c r="A912" s="49"/>
      <c r="B912" s="16" t="s">
        <v>142</v>
      </c>
      <c r="C912" s="143">
        <f>VLOOKUP(B912,'Thống kê'!$C$3:$D$970,2,0)</f>
        <v>0</v>
      </c>
      <c r="D912" s="144">
        <f>VLOOKUP(B912,'Thống kê'!$C$3:$E$970,3,0)</f>
        <v>0</v>
      </c>
      <c r="E912" s="67"/>
      <c r="F912" s="66">
        <v>50</v>
      </c>
      <c r="G912" s="67"/>
    </row>
    <row r="913" spans="1:7" ht="13.2">
      <c r="A913" s="49"/>
      <c r="B913" s="16" t="s">
        <v>191</v>
      </c>
      <c r="C913" s="143">
        <f>VLOOKUP(B913,'Thống kê'!$C$3:$D$970,2,0)</f>
        <v>0</v>
      </c>
      <c r="D913" s="144">
        <f>VLOOKUP(B913,'Thống kê'!$C$3:$E$970,3,0)</f>
        <v>0</v>
      </c>
      <c r="E913" s="67"/>
      <c r="F913" s="66">
        <v>5</v>
      </c>
      <c r="G913" s="67"/>
    </row>
    <row r="914" spans="1:7" ht="13.2">
      <c r="A914" s="49"/>
      <c r="B914" s="16" t="s">
        <v>200</v>
      </c>
      <c r="C914" s="143">
        <f>VLOOKUP(B914,'Thống kê'!$C$3:$D$970,2,0)</f>
        <v>0</v>
      </c>
      <c r="D914" s="144">
        <f>VLOOKUP(B914,'Thống kê'!$C$3:$E$970,3,0)</f>
        <v>0</v>
      </c>
      <c r="E914" s="67"/>
      <c r="F914" s="66">
        <v>5</v>
      </c>
      <c r="G914" s="67"/>
    </row>
    <row r="915" spans="1:7" ht="13.2">
      <c r="A915" s="49"/>
      <c r="B915" s="16" t="s">
        <v>1532</v>
      </c>
      <c r="C915" s="143">
        <f>VLOOKUP(B915,'Thống kê'!$C$3:$D$970,2,0)</f>
        <v>0</v>
      </c>
      <c r="D915" s="144">
        <f>VLOOKUP(B915,'Thống kê'!$C$3:$E$970,3,0)</f>
        <v>0</v>
      </c>
      <c r="E915" s="67"/>
      <c r="F915" s="66">
        <v>10</v>
      </c>
      <c r="G915" s="67"/>
    </row>
    <row r="916" spans="1:7" ht="13.2">
      <c r="A916" s="49"/>
      <c r="B916" s="16" t="s">
        <v>155</v>
      </c>
      <c r="C916" s="143">
        <f>VLOOKUP(B916,'Thống kê'!$C$3:$D$970,2,0)</f>
        <v>0</v>
      </c>
      <c r="D916" s="144">
        <f>VLOOKUP(B916,'Thống kê'!$C$3:$E$970,3,0)</f>
        <v>0</v>
      </c>
      <c r="E916" s="67"/>
      <c r="F916" s="66">
        <v>10</v>
      </c>
      <c r="G916" s="67"/>
    </row>
    <row r="917" spans="1:7" ht="13.2">
      <c r="A917" s="49"/>
      <c r="B917" s="16" t="s">
        <v>133</v>
      </c>
      <c r="C917" s="143">
        <f>VLOOKUP(B917,'Thống kê'!$C$3:$D$970,2,0)</f>
        <v>0</v>
      </c>
      <c r="D917" s="144">
        <f>VLOOKUP(B917,'Thống kê'!$C$3:$E$970,3,0)</f>
        <v>0</v>
      </c>
      <c r="E917" s="67"/>
      <c r="F917" s="66">
        <v>15</v>
      </c>
      <c r="G917" s="67"/>
    </row>
    <row r="918" spans="1:7" ht="13.2">
      <c r="A918" s="49"/>
      <c r="B918" s="16" t="s">
        <v>77</v>
      </c>
      <c r="C918" s="143">
        <f>VLOOKUP(B918,'Thống kê'!$C$3:$D$970,2,0)</f>
        <v>0</v>
      </c>
      <c r="D918" s="144">
        <f>VLOOKUP(B918,'Thống kê'!$C$3:$E$970,3,0)</f>
        <v>0</v>
      </c>
      <c r="E918" s="67"/>
      <c r="F918" s="66">
        <v>15</v>
      </c>
      <c r="G918" s="67"/>
    </row>
    <row r="919" spans="1:7" ht="13.2">
      <c r="A919" s="49"/>
      <c r="B919" s="16" t="s">
        <v>93</v>
      </c>
      <c r="C919" s="143">
        <f>VLOOKUP(B919,'Thống kê'!$C$3:$D$970,2,0)</f>
        <v>0</v>
      </c>
      <c r="D919" s="144">
        <f>VLOOKUP(B919,'Thống kê'!$C$3:$E$970,3,0)</f>
        <v>0</v>
      </c>
      <c r="E919" s="67"/>
      <c r="F919" s="66">
        <v>20</v>
      </c>
      <c r="G919" s="67"/>
    </row>
    <row r="920" spans="1:7" ht="13.2">
      <c r="A920" s="49"/>
      <c r="B920" s="16" t="s">
        <v>279</v>
      </c>
      <c r="C920" s="143">
        <f>VLOOKUP(B920,'Thống kê'!$C$3:$D$970,2,0)</f>
        <v>0</v>
      </c>
      <c r="D920" s="144">
        <f>VLOOKUP(B920,'Thống kê'!$C$3:$E$970,3,0)</f>
        <v>0</v>
      </c>
      <c r="E920" s="67"/>
      <c r="F920" s="66">
        <v>8</v>
      </c>
      <c r="G920" s="67"/>
    </row>
    <row r="921" spans="1:7" ht="13.2">
      <c r="A921" s="49"/>
      <c r="B921" s="16" t="s">
        <v>135</v>
      </c>
      <c r="C921" s="143">
        <f>VLOOKUP(B921,'Thống kê'!$C$3:$D$970,2,0)</f>
        <v>0</v>
      </c>
      <c r="D921" s="144">
        <f>VLOOKUP(B921,'Thống kê'!$C$3:$E$970,3,0)</f>
        <v>0</v>
      </c>
      <c r="E921" s="67"/>
      <c r="F921" s="66">
        <v>30</v>
      </c>
      <c r="G921" s="67"/>
    </row>
    <row r="922" spans="1:7" ht="13.2">
      <c r="A922" s="49"/>
      <c r="B922" s="16" t="s">
        <v>1520</v>
      </c>
      <c r="C922" s="143">
        <f>VLOOKUP(B922,'Thống kê'!$C$3:$D$970,2,0)</f>
        <v>0</v>
      </c>
      <c r="D922" s="144">
        <f>VLOOKUP(B922,'Thống kê'!$C$3:$E$970,3,0)</f>
        <v>0</v>
      </c>
      <c r="E922" s="67"/>
      <c r="F922" s="66">
        <v>20</v>
      </c>
      <c r="G922" s="67"/>
    </row>
    <row r="923" spans="1:7" ht="13.2">
      <c r="A923" s="49"/>
      <c r="B923" s="16" t="s">
        <v>118</v>
      </c>
      <c r="C923" s="143">
        <f>VLOOKUP(B923,'Thống kê'!$C$3:$D$970,2,0)</f>
        <v>0</v>
      </c>
      <c r="D923" s="144">
        <f>VLOOKUP(B923,'Thống kê'!$C$3:$E$970,3,0)</f>
        <v>0</v>
      </c>
      <c r="E923" s="67"/>
      <c r="F923" s="66">
        <v>30</v>
      </c>
      <c r="G923" s="67"/>
    </row>
    <row r="924" spans="1:7" ht="13.2">
      <c r="A924" s="49"/>
      <c r="B924" s="16" t="s">
        <v>126</v>
      </c>
      <c r="C924" s="143">
        <f>VLOOKUP(B924,'Thống kê'!$C$3:$D$970,2,0)</f>
        <v>0</v>
      </c>
      <c r="D924" s="144">
        <f>VLOOKUP(B924,'Thống kê'!$C$3:$E$970,3,0)</f>
        <v>0</v>
      </c>
      <c r="E924" s="67"/>
      <c r="F924" s="66">
        <v>30</v>
      </c>
      <c r="G924" s="67"/>
    </row>
    <row r="925" spans="1:7" ht="13.2">
      <c r="A925" s="49"/>
      <c r="B925" s="16" t="s">
        <v>142</v>
      </c>
      <c r="C925" s="143">
        <f>VLOOKUP(B925,'Thống kê'!$C$3:$D$970,2,0)</f>
        <v>0</v>
      </c>
      <c r="D925" s="144">
        <f>VLOOKUP(B925,'Thống kê'!$C$3:$E$970,3,0)</f>
        <v>0</v>
      </c>
      <c r="E925" s="67"/>
      <c r="F925" s="66">
        <v>10</v>
      </c>
      <c r="G925" s="67"/>
    </row>
    <row r="926" spans="1:7" ht="13.2">
      <c r="A926" s="49"/>
      <c r="B926" s="16" t="s">
        <v>171</v>
      </c>
      <c r="C926" s="143">
        <f>VLOOKUP(B926,'Thống kê'!$C$3:$D$970,2,0)</f>
        <v>0</v>
      </c>
      <c r="D926" s="144">
        <f>VLOOKUP(B926,'Thống kê'!$C$3:$E$970,3,0)</f>
        <v>0</v>
      </c>
      <c r="E926" s="67"/>
      <c r="F926" s="66">
        <v>5</v>
      </c>
      <c r="G926" s="67"/>
    </row>
    <row r="927" spans="1:7" ht="13.2">
      <c r="A927" s="49"/>
      <c r="B927" s="16" t="s">
        <v>252</v>
      </c>
      <c r="C927" s="143">
        <f>VLOOKUP(B927,'Thống kê'!$C$3:$D$970,2,0)</f>
        <v>0</v>
      </c>
      <c r="D927" s="144">
        <f>VLOOKUP(B927,'Thống kê'!$C$3:$E$970,3,0)</f>
        <v>0</v>
      </c>
      <c r="E927" s="67"/>
      <c r="F927" s="66">
        <v>20</v>
      </c>
      <c r="G927" s="67"/>
    </row>
    <row r="928" spans="1:7" ht="13.2">
      <c r="A928" s="49"/>
      <c r="B928" s="16" t="s">
        <v>127</v>
      </c>
      <c r="C928" s="143">
        <f>VLOOKUP(B928,'Thống kê'!$C$3:$D$970,2,0)</f>
        <v>0</v>
      </c>
      <c r="D928" s="144">
        <f>VLOOKUP(B928,'Thống kê'!$C$3:$E$970,3,0)</f>
        <v>0</v>
      </c>
      <c r="E928" s="67"/>
      <c r="F928" s="66">
        <v>25</v>
      </c>
      <c r="G928" s="67"/>
    </row>
    <row r="929" spans="1:7" ht="13.2">
      <c r="A929" s="49"/>
      <c r="B929" s="16" t="s">
        <v>238</v>
      </c>
      <c r="C929" s="143">
        <f>VLOOKUP(B929,'Thống kê'!$C$3:$D$970,2,0)</f>
        <v>0</v>
      </c>
      <c r="D929" s="144">
        <f>VLOOKUP(B929,'Thống kê'!$C$3:$E$970,3,0)</f>
        <v>0</v>
      </c>
      <c r="E929" s="67"/>
      <c r="F929" s="66">
        <v>10</v>
      </c>
      <c r="G929" s="67"/>
    </row>
    <row r="930" spans="1:7" ht="13.2">
      <c r="A930" s="49"/>
      <c r="B930" s="16" t="s">
        <v>262</v>
      </c>
      <c r="C930" s="143" t="str">
        <f>VLOOKUP(B930,'Thống kê'!$C$3:$D$970,2,0)</f>
        <v>Pop Bean Baked Bread</v>
      </c>
      <c r="D930" s="144" t="str">
        <f>VLOOKUP(B930,'Thống kê'!$C$3:$E$970,3,0)</f>
        <v>cái</v>
      </c>
      <c r="E930" s="67"/>
      <c r="F930" s="66">
        <v>10</v>
      </c>
      <c r="G930" s="67"/>
    </row>
    <row r="931" spans="1:7" ht="13.2">
      <c r="A931" s="49"/>
      <c r="B931" s="16" t="s">
        <v>206</v>
      </c>
      <c r="C931" s="143" t="str">
        <f>VLOOKUP(B931,'Thống kê'!$C$3:$D$970,2,0)</f>
        <v>Pop Bean Baked Bread</v>
      </c>
      <c r="D931" s="144" t="str">
        <f>VLOOKUP(B931,'Thống kê'!$C$3:$E$970,3,0)</f>
        <v>cái</v>
      </c>
      <c r="E931" s="67"/>
      <c r="F931" s="66">
        <v>10</v>
      </c>
      <c r="G931" s="67"/>
    </row>
    <row r="932" spans="1:7" ht="13.2">
      <c r="A932" s="49"/>
      <c r="B932" s="16" t="s">
        <v>329</v>
      </c>
      <c r="C932" s="143" t="str">
        <f>VLOOKUP(B932,'Thống kê'!$C$3:$D$970,2,0)</f>
        <v>Pop Bean Baked Bread</v>
      </c>
      <c r="D932" s="144" t="str">
        <f>VLOOKUP(B932,'Thống kê'!$C$3:$E$970,3,0)</f>
        <v>cái</v>
      </c>
      <c r="E932" s="67"/>
      <c r="F932" s="66">
        <v>4</v>
      </c>
      <c r="G932" s="67"/>
    </row>
    <row r="933" spans="1:7" ht="13.2">
      <c r="A933" s="49"/>
      <c r="B933" s="16" t="s">
        <v>1717</v>
      </c>
      <c r="C933" s="143" t="str">
        <f>VLOOKUP(B933,'Thống kê'!$C$3:$D$970,2,0)</f>
        <v>Pop Bean Baked Bread</v>
      </c>
      <c r="D933" s="144" t="str">
        <f>VLOOKUP(B933,'Thống kê'!$C$3:$E$970,3,0)</f>
        <v>cái</v>
      </c>
      <c r="E933" s="67"/>
      <c r="F933" s="66">
        <v>4</v>
      </c>
      <c r="G933" s="67"/>
    </row>
    <row r="934" spans="1:7" ht="13.2">
      <c r="A934" s="49"/>
      <c r="B934" s="16" t="s">
        <v>1718</v>
      </c>
      <c r="C934" s="143" t="str">
        <f>VLOOKUP(B934,'Thống kê'!$C$3:$D$970,2,0)</f>
        <v>Pop Bean Baked Bread</v>
      </c>
      <c r="D934" s="144" t="str">
        <f>VLOOKUP(B934,'Thống kê'!$C$3:$E$970,3,0)</f>
        <v>cái</v>
      </c>
      <c r="E934" s="67"/>
      <c r="F934" s="66">
        <v>1</v>
      </c>
      <c r="G934" s="67"/>
    </row>
    <row r="935" spans="1:7" ht="13.2">
      <c r="A935" s="49"/>
      <c r="B935" s="16" t="s">
        <v>96</v>
      </c>
      <c r="C935" s="143">
        <f>VLOOKUP(B935,'Thống kê'!$C$3:$D$970,2,0)</f>
        <v>0</v>
      </c>
      <c r="D935" s="144">
        <f>VLOOKUP(B935,'Thống kê'!$C$3:$E$970,3,0)</f>
        <v>0</v>
      </c>
      <c r="E935" s="67"/>
      <c r="F935" s="66">
        <v>25</v>
      </c>
      <c r="G935" s="67"/>
    </row>
    <row r="936" spans="1:7" ht="13.2">
      <c r="A936" s="49"/>
      <c r="B936" s="16" t="s">
        <v>191</v>
      </c>
      <c r="C936" s="143">
        <f>IFERROR(VLOOKUP(B936,'Thống kê'!$C$3:$D$970,2, FALSE),VLOOKUP(B936,'Thống kê v2 CC'!$A$3:$D$1005,3, FALSE))</f>
        <v>0</v>
      </c>
      <c r="D936" s="144">
        <f>VLOOKUP(B936,'Thống kê'!$C$3:$E$970,3,0)</f>
        <v>0</v>
      </c>
      <c r="E936" s="67"/>
      <c r="F936" s="66">
        <v>15</v>
      </c>
      <c r="G936" s="67"/>
    </row>
    <row r="937" spans="1:7" ht="13.2">
      <c r="A937" s="49"/>
      <c r="B937" s="76" t="s">
        <v>193</v>
      </c>
      <c r="C937" s="143" t="str">
        <f>IFERROR(VLOOKUP(B937,'Thống kê'!$C$3:$D$970,2, FALSE),VLOOKUP(B937,'Thống kê v2 CC'!$A$3:$D$1005,3, FALSE))</f>
        <v>POP BEAN Pajama Party</v>
      </c>
      <c r="D937" s="144" t="e">
        <f>VLOOKUP(B937,'Thống kê'!$C$3:$E$970,3,0)</f>
        <v>#N/A</v>
      </c>
      <c r="E937" s="159">
        <v>13</v>
      </c>
      <c r="F937" s="66">
        <v>65</v>
      </c>
      <c r="G937" s="67"/>
    </row>
    <row r="938" spans="1:7" ht="13.2">
      <c r="A938" s="49"/>
      <c r="B938" s="76" t="s">
        <v>178</v>
      </c>
      <c r="C938" s="143" t="str">
        <f>IFERROR(VLOOKUP(B938,'Thống kê'!$C$3:$D$970,2, FALSE),VLOOKUP(B938,'Thống kê v2 CC'!$A$3:$D$1005,3, FALSE))</f>
        <v>POP BEAN Pajama Party</v>
      </c>
      <c r="D938" s="144" t="e">
        <f>VLOOKUP(B938,'Thống kê'!$C$3:$E$970,3,0)</f>
        <v>#N/A</v>
      </c>
      <c r="E938" s="159">
        <v>17.5</v>
      </c>
      <c r="F938" s="66">
        <v>40</v>
      </c>
      <c r="G938" s="67"/>
    </row>
    <row r="939" spans="1:7" ht="13.2">
      <c r="A939" s="49"/>
      <c r="B939" s="76" t="s">
        <v>257</v>
      </c>
      <c r="C939" s="143" t="str">
        <f>IFERROR(VLOOKUP(B939,'Thống kê'!$C$3:$D$970,2, FALSE),VLOOKUP(B939,'Thống kê v2 CC'!$A$3:$D$1005,3, FALSE))</f>
        <v>POP BEAN Pajama Party</v>
      </c>
      <c r="D939" s="144" t="e">
        <f>VLOOKUP(B939,'Thống kê'!$C$3:$E$970,3,0)</f>
        <v>#N/A</v>
      </c>
      <c r="E939" s="159">
        <v>11.5</v>
      </c>
      <c r="F939" s="66">
        <v>30</v>
      </c>
      <c r="G939" s="67"/>
    </row>
    <row r="940" spans="1:7" ht="13.2">
      <c r="A940" s="49"/>
      <c r="B940" s="76" t="s">
        <v>1741</v>
      </c>
      <c r="C940" s="143" t="str">
        <f>IFERROR(VLOOKUP(B940,'Thống kê'!$C$3:$D$970,2, FALSE),VLOOKUP(B940,'Thống kê v2 CC'!$A$3:$D$1005,3, FALSE))</f>
        <v>POP BEAN Pajama Party</v>
      </c>
      <c r="D940" s="144" t="e">
        <f>VLOOKUP(B940,'Thống kê'!$C$3:$E$970,3,0)</f>
        <v>#N/A</v>
      </c>
      <c r="E940" s="159">
        <v>13</v>
      </c>
      <c r="F940" s="66">
        <v>10</v>
      </c>
      <c r="G940" s="67"/>
    </row>
    <row r="941" spans="1:7" ht="13.2">
      <c r="A941" s="49"/>
      <c r="B941" s="76" t="s">
        <v>1742</v>
      </c>
      <c r="C941" s="143" t="str">
        <f>IFERROR(VLOOKUP(B941,'Thống kê'!$C$3:$D$970,2, FALSE),VLOOKUP(B941,'Thống kê v2 CC'!$A$3:$D$1005,3, FALSE))</f>
        <v>POP BEAN Pajama Party</v>
      </c>
      <c r="D941" s="144" t="e">
        <f>VLOOKUP(B941,'Thống kê'!$C$3:$E$970,3,0)</f>
        <v>#N/A</v>
      </c>
      <c r="E941" s="159">
        <v>13</v>
      </c>
      <c r="F941" s="66">
        <v>5</v>
      </c>
      <c r="G941" s="67"/>
    </row>
    <row r="942" spans="1:7" ht="13.2">
      <c r="A942" s="49"/>
      <c r="B942" s="76" t="s">
        <v>1743</v>
      </c>
      <c r="C942" s="143" t="str">
        <f>IFERROR(VLOOKUP(B942,'Thống kê'!$C$3:$D$970,2, FALSE),VLOOKUP(B942,'Thống kê v2 CC'!$A$3:$D$1005,3, FALSE))</f>
        <v>POP BEAN Pajama Party</v>
      </c>
      <c r="D942" s="144" t="e">
        <f>VLOOKUP(B942,'Thống kê'!$C$3:$E$970,3,0)</f>
        <v>#N/A</v>
      </c>
      <c r="E942" s="159">
        <v>11.5</v>
      </c>
      <c r="F942" s="66">
        <v>2</v>
      </c>
      <c r="G942" s="67"/>
    </row>
    <row r="943" spans="1:7" ht="13.2">
      <c r="A943" s="49"/>
      <c r="B943" s="76" t="s">
        <v>174</v>
      </c>
      <c r="C943" s="143" t="str">
        <f>IFERROR(VLOOKUP(B943,'Thống kê'!$C$3:$D$970,2, FALSE),VLOOKUP(B943,'Thống kê v2 CC'!$A$3:$D$1005,3, FALSE))</f>
        <v>POP BEAN Pajama Party</v>
      </c>
      <c r="D943" s="144" t="e">
        <f>VLOOKUP(B943,'Thống kê'!$C$3:$E$970,3,0)</f>
        <v>#N/A</v>
      </c>
      <c r="E943" s="159">
        <v>12</v>
      </c>
      <c r="F943" s="66">
        <v>5</v>
      </c>
      <c r="G943" s="67"/>
    </row>
    <row r="944" spans="1:7" ht="13.2">
      <c r="A944" s="49"/>
      <c r="B944" s="76" t="s">
        <v>1744</v>
      </c>
      <c r="C944" s="143" t="str">
        <f>IFERROR(VLOOKUP(B944,'Thống kê'!$C$3:$D$970,2, FALSE),VLOOKUP(B944,'Thống kê v2 CC'!$A$3:$D$1005,3, FALSE))</f>
        <v>POP BEAN Pajama Party</v>
      </c>
      <c r="D944" s="144" t="e">
        <f>VLOOKUP(B944,'Thống kê'!$C$3:$E$970,3,0)</f>
        <v>#N/A</v>
      </c>
      <c r="E944" s="159">
        <v>12</v>
      </c>
      <c r="F944" s="66">
        <v>2</v>
      </c>
      <c r="G944" s="67"/>
    </row>
    <row r="945" spans="1:7" ht="13.2">
      <c r="A945" s="49"/>
      <c r="B945" s="76" t="s">
        <v>1745</v>
      </c>
      <c r="C945" s="143" t="str">
        <f>IFERROR(VLOOKUP(B945,'Thống kê'!$C$3:$D$970,2, FALSE),VLOOKUP(B945,'Thống kê v2 CC'!$A$3:$D$1005,3, FALSE))</f>
        <v>POP BEAN Pajama Party</v>
      </c>
      <c r="D945" s="144" t="e">
        <f>VLOOKUP(B945,'Thống kê'!$C$3:$E$970,3,0)</f>
        <v>#N/A</v>
      </c>
      <c r="E945" s="159">
        <v>11.5</v>
      </c>
      <c r="F945" s="66">
        <v>2</v>
      </c>
      <c r="G945" s="67"/>
    </row>
    <row r="946" spans="1:7" ht="13.2">
      <c r="A946" s="49"/>
      <c r="B946" s="76" t="s">
        <v>1746</v>
      </c>
      <c r="C946" s="143" t="str">
        <f>IFERROR(VLOOKUP(B946,'Thống kê'!$C$3:$D$970,2, FALSE),VLOOKUP(B946,'Thống kê v2 CC'!$A$3:$D$1005,3, FALSE))</f>
        <v>POP BEAN Pajama Party</v>
      </c>
      <c r="D946" s="144" t="e">
        <f>VLOOKUP(B946,'Thống kê'!$C$3:$E$970,3,0)</f>
        <v>#N/A</v>
      </c>
      <c r="E946" s="159">
        <v>12</v>
      </c>
      <c r="F946" s="66">
        <v>2</v>
      </c>
      <c r="G946" s="67"/>
    </row>
    <row r="947" spans="1:7" ht="13.2">
      <c r="A947" s="49"/>
      <c r="B947" s="76" t="s">
        <v>195</v>
      </c>
      <c r="C947" s="143" t="str">
        <f>IFERROR(VLOOKUP(B947,'Thống kê'!$C$3:$D$970,2, FALSE),VLOOKUP(B947,'Thống kê v2 CC'!$A$3:$D$1005,3, FALSE))</f>
        <v>POP BEAN Pajama Party</v>
      </c>
      <c r="D947" s="144" t="e">
        <f>VLOOKUP(B947,'Thống kê'!$C$3:$E$970,3,0)</f>
        <v>#N/A</v>
      </c>
      <c r="E947" s="159">
        <v>13</v>
      </c>
      <c r="F947" s="66">
        <v>2</v>
      </c>
      <c r="G947" s="67"/>
    </row>
    <row r="948" spans="1:7" ht="13.2">
      <c r="A948" s="49"/>
      <c r="B948" s="76" t="s">
        <v>1747</v>
      </c>
      <c r="C948" s="143" t="str">
        <f>IFERROR(VLOOKUP(B948,'Thống kê'!$C$3:$D$970,2, FALSE),VLOOKUP(B948,'Thống kê v2 CC'!$A$3:$D$1005,3, FALSE))</f>
        <v>POP BEAN Pajama Party</v>
      </c>
      <c r="D948" s="144" t="e">
        <f>VLOOKUP(B948,'Thống kê'!$C$3:$E$970,3,0)</f>
        <v>#N/A</v>
      </c>
      <c r="E948" s="159">
        <v>13</v>
      </c>
      <c r="F948" s="66">
        <v>2</v>
      </c>
      <c r="G948" s="67"/>
    </row>
    <row r="949" spans="1:7" ht="13.2">
      <c r="A949" s="49"/>
      <c r="B949" s="76" t="s">
        <v>1748</v>
      </c>
      <c r="C949" s="143" t="str">
        <f>IFERROR(VLOOKUP(B949,'Thống kê'!$C$3:$D$970,2, FALSE),VLOOKUP(B949,'Thống kê v2 CC'!$A$3:$D$1005,3, FALSE))</f>
        <v>POP BEAN Pajama Party</v>
      </c>
      <c r="D949" s="144" t="e">
        <f>VLOOKUP(B949,'Thống kê'!$C$3:$E$970,3,0)</f>
        <v>#N/A</v>
      </c>
      <c r="E949" s="159">
        <v>13</v>
      </c>
      <c r="F949" s="66">
        <v>5</v>
      </c>
      <c r="G949" s="67"/>
    </row>
    <row r="950" spans="1:7" ht="13.2">
      <c r="A950" s="49"/>
      <c r="B950" s="76" t="s">
        <v>1749</v>
      </c>
      <c r="C950" s="143" t="str">
        <f>IFERROR(VLOOKUP(B950,'Thống kê'!$C$3:$D$970,2, FALSE),VLOOKUP(B950,'Thống kê v2 CC'!$A$3:$D$1005,3, FALSE))</f>
        <v>POP BEAN Pajama Party</v>
      </c>
      <c r="D950" s="144" t="e">
        <f>VLOOKUP(B950,'Thống kê'!$C$3:$E$970,3,0)</f>
        <v>#N/A</v>
      </c>
      <c r="E950" s="159">
        <v>12</v>
      </c>
      <c r="F950" s="66">
        <v>2</v>
      </c>
      <c r="G950" s="67"/>
    </row>
    <row r="951" spans="1:7" ht="13.2">
      <c r="A951" s="49"/>
      <c r="B951" s="76" t="s">
        <v>1750</v>
      </c>
      <c r="C951" s="143" t="str">
        <f>IFERROR(VLOOKUP(B951,'Thống kê'!$C$3:$D$970,2, FALSE),VLOOKUP(B951,'Thống kê v2 CC'!$A$3:$D$1005,3, FALSE))</f>
        <v>POP BEAN Pajama Party</v>
      </c>
      <c r="D951" s="144" t="e">
        <f>VLOOKUP(B951,'Thống kê'!$C$3:$E$970,3,0)</f>
        <v>#N/A</v>
      </c>
      <c r="E951" s="159">
        <v>11.5</v>
      </c>
      <c r="F951" s="66">
        <v>2</v>
      </c>
      <c r="G951" s="67"/>
    </row>
    <row r="952" spans="1:7" ht="13.2">
      <c r="A952" s="49"/>
      <c r="B952" s="76" t="s">
        <v>178</v>
      </c>
      <c r="C952" s="143" t="str">
        <f>IFERROR(VLOOKUP(B952,'Thống kê'!$C$3:$D$970,2, FALSE),VLOOKUP(B952,'Thống kê v2 CC'!$A$3:$D$1005,3, FALSE))</f>
        <v>POP BEAN Pajama Party</v>
      </c>
      <c r="D952" s="144" t="e">
        <f>VLOOKUP(B952,'Thống kê'!$C$3:$E$970,3,0)</f>
        <v>#N/A</v>
      </c>
      <c r="E952" s="67"/>
      <c r="F952" s="138"/>
      <c r="G952" s="67"/>
    </row>
    <row r="953" spans="1:7" ht="13.2">
      <c r="A953" s="49"/>
      <c r="B953" s="76" t="s">
        <v>257</v>
      </c>
      <c r="C953" s="143" t="str">
        <f>IFERROR(VLOOKUP(B953,'Thống kê'!$C$3:$D$970,2, FALSE),VLOOKUP(B953,'Thống kê v2 CC'!$A$3:$D$1005,3, FALSE))</f>
        <v>POP BEAN Pajama Party</v>
      </c>
      <c r="D953" s="144" t="e">
        <f>VLOOKUP(B953,'Thống kê'!$C$3:$E$970,3,0)</f>
        <v>#N/A</v>
      </c>
      <c r="E953" s="67"/>
      <c r="F953" s="138"/>
      <c r="G953" s="67"/>
    </row>
    <row r="954" spans="1:7" ht="13.2">
      <c r="A954" s="49"/>
      <c r="B954" s="76" t="s">
        <v>1741</v>
      </c>
      <c r="C954" s="143" t="str">
        <f>IFERROR(VLOOKUP(B954,'Thống kê'!$C$3:$D$970,2, FALSE),VLOOKUP(B954,'Thống kê v2 CC'!$A$3:$D$1005,3, FALSE))</f>
        <v>POP BEAN Pajama Party</v>
      </c>
      <c r="D954" s="144" t="e">
        <f>VLOOKUP(B954,'Thống kê'!$C$3:$E$970,3,0)</f>
        <v>#N/A</v>
      </c>
      <c r="E954" s="159">
        <v>13</v>
      </c>
      <c r="F954" s="66">
        <v>10</v>
      </c>
      <c r="G954" s="67"/>
    </row>
    <row r="955" spans="1:7" ht="13.2">
      <c r="A955" s="49"/>
      <c r="B955" s="76" t="s">
        <v>1742</v>
      </c>
      <c r="C955" s="143" t="str">
        <f>IFERROR(VLOOKUP(B955,'Thống kê'!$C$3:$D$970,2, FALSE),VLOOKUP(B955,'Thống kê v2 CC'!$A$3:$D$1005,3, FALSE))</f>
        <v>POP BEAN Pajama Party</v>
      </c>
      <c r="D955" s="144" t="e">
        <f>VLOOKUP(B955,'Thống kê'!$C$3:$E$970,3,0)</f>
        <v>#N/A</v>
      </c>
      <c r="E955" s="67"/>
      <c r="F955" s="138"/>
      <c r="G955" s="67"/>
    </row>
    <row r="956" spans="1:7" ht="13.2">
      <c r="A956" s="49"/>
      <c r="B956" s="76" t="s">
        <v>1743</v>
      </c>
      <c r="C956" s="143" t="str">
        <f>IFERROR(VLOOKUP(B956,'Thống kê'!$C$3:$D$970,2, FALSE),VLOOKUP(B956,'Thống kê v2 CC'!$A$3:$D$1005,3, FALSE))</f>
        <v>POP BEAN Pajama Party</v>
      </c>
      <c r="D956" s="144" t="e">
        <f>VLOOKUP(B956,'Thống kê'!$C$3:$E$970,3,0)</f>
        <v>#N/A</v>
      </c>
      <c r="E956" s="159">
        <v>11.5</v>
      </c>
      <c r="F956" s="66">
        <v>2</v>
      </c>
      <c r="G956" s="67"/>
    </row>
    <row r="957" spans="1:7" ht="13.2">
      <c r="A957" s="49"/>
      <c r="B957" s="76" t="s">
        <v>174</v>
      </c>
      <c r="C957" s="143" t="str">
        <f>IFERROR(VLOOKUP(B957,'Thống kê'!$C$3:$D$970,2, FALSE),VLOOKUP(B957,'Thống kê v2 CC'!$A$3:$D$1005,3, FALSE))</f>
        <v>POP BEAN Pajama Party</v>
      </c>
      <c r="D957" s="144" t="e">
        <f>VLOOKUP(B957,'Thống kê'!$C$3:$E$970,3,0)</f>
        <v>#N/A</v>
      </c>
      <c r="E957" s="159">
        <v>12</v>
      </c>
      <c r="F957" s="66">
        <v>2</v>
      </c>
      <c r="G957" s="67"/>
    </row>
    <row r="958" spans="1:7" ht="13.2">
      <c r="A958" s="49"/>
      <c r="B958" s="76" t="s">
        <v>1744</v>
      </c>
      <c r="C958" s="143" t="str">
        <f>IFERROR(VLOOKUP(B958,'Thống kê'!$C$3:$D$970,2, FALSE),VLOOKUP(B958,'Thống kê v2 CC'!$A$3:$D$1005,3, FALSE))</f>
        <v>POP BEAN Pajama Party</v>
      </c>
      <c r="D958" s="144" t="e">
        <f>VLOOKUP(B958,'Thống kê'!$C$3:$E$970,3,0)</f>
        <v>#N/A</v>
      </c>
      <c r="E958" s="67"/>
      <c r="F958" s="138"/>
      <c r="G958" s="67"/>
    </row>
    <row r="959" spans="1:7" ht="13.2">
      <c r="A959" s="49"/>
      <c r="B959" s="76" t="s">
        <v>1745</v>
      </c>
      <c r="C959" s="143" t="str">
        <f>IFERROR(VLOOKUP(B959,'Thống kê'!$C$3:$D$970,2, FALSE),VLOOKUP(B959,'Thống kê v2 CC'!$A$3:$D$1005,3, FALSE))</f>
        <v>POP BEAN Pajama Party</v>
      </c>
      <c r="D959" s="144" t="e">
        <f>VLOOKUP(B959,'Thống kê'!$C$3:$E$970,3,0)</f>
        <v>#N/A</v>
      </c>
      <c r="E959" s="67"/>
      <c r="F959" s="138"/>
      <c r="G959" s="67"/>
    </row>
    <row r="960" spans="1:7" ht="13.2">
      <c r="A960" s="49"/>
      <c r="B960" s="76" t="s">
        <v>1746</v>
      </c>
      <c r="C960" s="143" t="str">
        <f>IFERROR(VLOOKUP(B960,'Thống kê'!$C$3:$D$970,2, FALSE),VLOOKUP(B960,'Thống kê v2 CC'!$A$3:$D$1005,3, FALSE))</f>
        <v>POP BEAN Pajama Party</v>
      </c>
      <c r="D960" s="144" t="e">
        <f>VLOOKUP(B960,'Thống kê'!$C$3:$E$970,3,0)</f>
        <v>#N/A</v>
      </c>
      <c r="E960" s="159">
        <v>12</v>
      </c>
      <c r="F960" s="66">
        <v>3</v>
      </c>
      <c r="G960" s="67"/>
    </row>
    <row r="961" spans="1:7" ht="13.2">
      <c r="A961" s="49"/>
      <c r="B961" s="76" t="s">
        <v>195</v>
      </c>
      <c r="C961" s="143" t="str">
        <f>IFERROR(VLOOKUP(B961,'Thống kê'!$C$3:$D$970,2, FALSE),VLOOKUP(B961,'Thống kê v2 CC'!$A$3:$D$1005,3, FALSE))</f>
        <v>POP BEAN Pajama Party</v>
      </c>
      <c r="D961" s="144" t="e">
        <f>VLOOKUP(B961,'Thống kê'!$C$3:$E$970,3,0)</f>
        <v>#N/A</v>
      </c>
      <c r="E961" s="159">
        <v>13</v>
      </c>
      <c r="F961" s="66">
        <v>2</v>
      </c>
      <c r="G961" s="67"/>
    </row>
    <row r="962" spans="1:7" ht="13.2">
      <c r="A962" s="49"/>
      <c r="B962" s="76" t="s">
        <v>1747</v>
      </c>
      <c r="C962" s="143" t="str">
        <f>IFERROR(VLOOKUP(B962,'Thống kê'!$C$3:$D$970,2, FALSE),VLOOKUP(B962,'Thống kê v2 CC'!$A$3:$D$1005,3, FALSE))</f>
        <v>POP BEAN Pajama Party</v>
      </c>
      <c r="D962" s="144" t="e">
        <f>VLOOKUP(B962,'Thống kê'!$C$3:$E$970,3,0)</f>
        <v>#N/A</v>
      </c>
      <c r="E962" s="159">
        <v>13</v>
      </c>
      <c r="F962" s="66">
        <v>1</v>
      </c>
      <c r="G962" s="67"/>
    </row>
    <row r="963" spans="1:7" ht="13.2">
      <c r="A963" s="49"/>
      <c r="B963" s="76" t="s">
        <v>1748</v>
      </c>
      <c r="C963" s="143" t="str">
        <f>IFERROR(VLOOKUP(B963,'Thống kê'!$C$3:$D$970,2, FALSE),VLOOKUP(B963,'Thống kê v2 CC'!$A$3:$D$1005,3, FALSE))</f>
        <v>POP BEAN Pajama Party</v>
      </c>
      <c r="D963" s="144" t="e">
        <f>VLOOKUP(B963,'Thống kê'!$C$3:$E$970,3,0)</f>
        <v>#N/A</v>
      </c>
      <c r="E963" s="159">
        <v>13</v>
      </c>
      <c r="F963" s="66">
        <v>1</v>
      </c>
      <c r="G963" s="67"/>
    </row>
    <row r="964" spans="1:7" ht="13.2">
      <c r="A964" s="49"/>
      <c r="B964" s="76" t="s">
        <v>1749</v>
      </c>
      <c r="C964" s="143" t="str">
        <f>IFERROR(VLOOKUP(B964,'Thống kê'!$C$3:$D$970,2, FALSE),VLOOKUP(B964,'Thống kê v2 CC'!$A$3:$D$1005,3, FALSE))</f>
        <v>POP BEAN Pajama Party</v>
      </c>
      <c r="D964" s="144" t="e">
        <f>VLOOKUP(B964,'Thống kê'!$C$3:$E$970,3,0)</f>
        <v>#N/A</v>
      </c>
      <c r="E964" s="159"/>
      <c r="F964" s="66"/>
      <c r="G964" s="67"/>
    </row>
    <row r="965" spans="1:7" ht="13.2">
      <c r="A965" s="49"/>
      <c r="B965" s="76" t="s">
        <v>1750</v>
      </c>
      <c r="C965" s="143" t="str">
        <f>IFERROR(VLOOKUP(B965,'Thống kê'!$C$3:$D$970,2, FALSE),VLOOKUP(B965,'Thống kê v2 CC'!$A$3:$D$1005,3, FALSE))</f>
        <v>POP BEAN Pajama Party</v>
      </c>
      <c r="D965" s="144" t="e">
        <f>VLOOKUP(B965,'Thống kê'!$C$3:$E$970,3,0)</f>
        <v>#N/A</v>
      </c>
      <c r="E965" s="159">
        <v>11.5</v>
      </c>
      <c r="F965" s="66">
        <v>5</v>
      </c>
      <c r="G965" s="67"/>
    </row>
    <row r="966" spans="1:7" ht="13.2">
      <c r="A966" s="49"/>
      <c r="B966" s="76" t="s">
        <v>193</v>
      </c>
      <c r="C966" s="143" t="str">
        <f>IFERROR(VLOOKUP(B966,'Thống kê'!$C$3:$D$970,2, FALSE),VLOOKUP(B966,'Thống kê v2 CC'!$A$3:$D$1005,3, FALSE))</f>
        <v>POP BEAN Pajama Party</v>
      </c>
      <c r="D966" s="144" t="e">
        <f>VLOOKUP(B966,'Thống kê'!$C$3:$E$970,3,0)</f>
        <v>#N/A</v>
      </c>
      <c r="E966" s="159">
        <v>13</v>
      </c>
      <c r="F966" s="66">
        <v>2</v>
      </c>
      <c r="G966" s="67"/>
    </row>
    <row r="967" spans="1:7" ht="13.2">
      <c r="A967" s="49"/>
      <c r="B967" s="76" t="s">
        <v>1662</v>
      </c>
      <c r="C967" s="143" t="str">
        <f>IFERROR(VLOOKUP(B967,'Thống kê'!$C$3:$D$970,2, FALSE),VLOOKUP(B967,'Thống kê v2 CC'!$A$3:$D$1005,3, FALSE))</f>
        <v>Móc khóa Popbean Cry Baby</v>
      </c>
      <c r="D967" s="144" t="str">
        <f>VLOOKUP(B967,'Thống kê'!$C$3:$E$970,3,0)</f>
        <v>cái</v>
      </c>
      <c r="E967" s="159">
        <v>9.3000000000000007</v>
      </c>
      <c r="F967" s="66">
        <v>10</v>
      </c>
      <c r="G967" s="67"/>
    </row>
    <row r="968" spans="1:7" ht="13.2">
      <c r="A968" s="49"/>
      <c r="B968" s="76" t="s">
        <v>1660</v>
      </c>
      <c r="C968" s="143" t="str">
        <f>IFERROR(VLOOKUP(B968,'Thống kê'!$C$3:$D$970,2, FALSE),VLOOKUP(B968,'Thống kê v2 CC'!$A$3:$D$1005,3, FALSE))</f>
        <v>Móc khóa Popbean Skull Panda</v>
      </c>
      <c r="D968" s="144" t="str">
        <f>VLOOKUP(B968,'Thống kê'!$C$3:$E$970,3,0)</f>
        <v>cái</v>
      </c>
      <c r="E968" s="159">
        <v>9.3000000000000007</v>
      </c>
      <c r="F968" s="66">
        <v>10</v>
      </c>
      <c r="G968" s="67"/>
    </row>
    <row r="969" spans="1:7" ht="13.2">
      <c r="A969" s="49"/>
      <c r="B969" s="76" t="s">
        <v>1470</v>
      </c>
      <c r="C969" s="143">
        <f>IFERROR(VLOOKUP(B969,'Thống kê'!$C$3:$D$970,2, FALSE),VLOOKUP(B969,'Thống kê v2 CC'!$A$3:$D$1005,3, FALSE))</f>
        <v>0</v>
      </c>
      <c r="D969" s="144">
        <f>VLOOKUP(B969,'Thống kê'!$C$3:$E$970,3,0)</f>
        <v>0</v>
      </c>
      <c r="E969" s="159">
        <v>17.5</v>
      </c>
      <c r="F969" s="66">
        <v>3</v>
      </c>
      <c r="G969" s="67"/>
    </row>
    <row r="970" spans="1:7" ht="13.2">
      <c r="A970" s="49"/>
      <c r="B970" s="76" t="s">
        <v>1751</v>
      </c>
      <c r="C970" s="143" t="str">
        <f>IFERROR(VLOOKUP(B970,'Thống kê'!$C$3:$D$970,2, FALSE),VLOOKUP(B970,'Thống kê v2 CC'!$A$3:$D$1005,3, FALSE))</f>
        <v xml:space="preserve">Pop Bean Popmart </v>
      </c>
      <c r="D970" s="144" t="e">
        <f>VLOOKUP(B970,'Thống kê'!$C$3:$E$970,3,0)</f>
        <v>#N/A</v>
      </c>
      <c r="E970" s="159">
        <v>17</v>
      </c>
      <c r="F970" s="66">
        <v>5</v>
      </c>
      <c r="G970" s="67"/>
    </row>
    <row r="971" spans="1:7" ht="13.2">
      <c r="A971" s="49"/>
      <c r="B971" s="76" t="s">
        <v>369</v>
      </c>
      <c r="C971" s="143" t="str">
        <f>IFERROR(VLOOKUP(B971,'Thống kê'!$C$3:$D$970,2, FALSE),VLOOKUP(B971,'Thống kê v2 CC'!$A$3:$D$1005,3, FALSE))</f>
        <v xml:space="preserve">Pop Bean Popmart </v>
      </c>
      <c r="D971" s="144" t="e">
        <f>VLOOKUP(B971,'Thống kê'!$C$3:$E$970,3,0)</f>
        <v>#N/A</v>
      </c>
      <c r="E971" s="159">
        <v>9.5</v>
      </c>
      <c r="F971" s="66">
        <v>10</v>
      </c>
      <c r="G971" s="67"/>
    </row>
    <row r="972" spans="1:7" ht="13.2">
      <c r="A972" s="49"/>
      <c r="B972" s="76" t="s">
        <v>224</v>
      </c>
      <c r="C972" s="143" t="str">
        <f>IFERROR(VLOOKUP(B972,'Thống kê'!$C$3:$D$970,2, FALSE),VLOOKUP(B972,'Thống kê v2 CC'!$A$3:$D$1005,3, FALSE))</f>
        <v xml:space="preserve">Pop Bean Popmart </v>
      </c>
      <c r="D972" s="144" t="e">
        <f>VLOOKUP(B972,'Thống kê'!$C$3:$E$970,3,0)</f>
        <v>#N/A</v>
      </c>
      <c r="E972" s="159">
        <v>8.8000000000000007</v>
      </c>
      <c r="F972" s="66">
        <v>10</v>
      </c>
      <c r="G972" s="67"/>
    </row>
    <row r="973" spans="1:7" ht="13.2">
      <c r="A973" s="49"/>
      <c r="B973" s="76" t="s">
        <v>345</v>
      </c>
      <c r="C973" s="143" t="str">
        <f>IFERROR(VLOOKUP(B973,'Thống kê'!$C$3:$D$970,2, FALSE),VLOOKUP(B973,'Thống kê v2 CC'!$A$3:$D$1005,3, FALSE))</f>
        <v>POP BEAN Pajama Party</v>
      </c>
      <c r="D973" s="144" t="e">
        <f>VLOOKUP(B973,'Thống kê'!$C$3:$E$970,3,0)</f>
        <v>#N/A</v>
      </c>
      <c r="E973" s="159">
        <v>28</v>
      </c>
      <c r="F973" s="66">
        <v>10</v>
      </c>
      <c r="G973" s="67"/>
    </row>
    <row r="974" spans="1:7" ht="13.2">
      <c r="A974" s="49"/>
      <c r="B974" s="76" t="s">
        <v>370</v>
      </c>
      <c r="C974" s="143" t="str">
        <f>IFERROR(VLOOKUP(B974,'Thống kê'!$C$3:$D$970,2, FALSE),VLOOKUP(B974,'Thống kê v2 CC'!$A$3:$D$1005,3, FALSE))</f>
        <v xml:space="preserve">Pop Bean Popmart </v>
      </c>
      <c r="D974" s="144" t="e">
        <f>VLOOKUP(B974,'Thống kê'!$C$3:$E$970,3,0)</f>
        <v>#N/A</v>
      </c>
      <c r="E974" s="159">
        <v>24.5</v>
      </c>
      <c r="F974" s="66">
        <v>10</v>
      </c>
      <c r="G974" s="67"/>
    </row>
    <row r="975" spans="1:7" ht="13.2">
      <c r="A975" s="49"/>
      <c r="B975" s="76" t="s">
        <v>1752</v>
      </c>
      <c r="C975" s="143" t="e">
        <f>IFERROR(VLOOKUP(B975,'Thống kê'!$C$3:$D$970,2, FALSE),VLOOKUP(B975,'Thống kê v2 CC'!$A$3:$D$1005,3, FALSE))</f>
        <v>#N/A</v>
      </c>
      <c r="D975" s="144" t="e">
        <f>VLOOKUP(B975,'Thống kê'!$C$3:$E$970,3,0)</f>
        <v>#N/A</v>
      </c>
      <c r="E975" s="159">
        <v>27</v>
      </c>
      <c r="F975" s="66">
        <v>12</v>
      </c>
      <c r="G975" s="67"/>
    </row>
    <row r="976" spans="1:7" ht="13.2">
      <c r="A976" s="49"/>
      <c r="B976" s="76" t="s">
        <v>131</v>
      </c>
      <c r="C976" s="143" t="e">
        <f>IFERROR(VLOOKUP(B976,'Thống kê'!$C$3:$D$970,2, FALSE),VLOOKUP(B976,'Thống kê v2 CC'!$A$3:$D$1005,3, FALSE))</f>
        <v>#N/A</v>
      </c>
      <c r="D976" s="144" t="e">
        <f>VLOOKUP(B976,'Thống kê'!$C$3:$E$970,3,0)</f>
        <v>#N/A</v>
      </c>
      <c r="E976" s="159">
        <v>28</v>
      </c>
      <c r="F976" s="66">
        <v>32</v>
      </c>
      <c r="G976" s="67"/>
    </row>
    <row r="977" spans="1:7" ht="13.2">
      <c r="A977" s="49"/>
      <c r="B977" s="76" t="s">
        <v>215</v>
      </c>
      <c r="C977" s="143" t="e">
        <f>IFERROR(VLOOKUP(B977,'Thống kê'!$C$3:$D$970,2, FALSE),VLOOKUP(B977,'Thống kê v2 CC'!$A$3:$D$1005,3, FALSE))</f>
        <v>#N/A</v>
      </c>
      <c r="D977" s="144" t="e">
        <f>VLOOKUP(B977,'Thống kê'!$C$3:$E$970,3,0)</f>
        <v>#N/A</v>
      </c>
      <c r="E977" s="159">
        <v>25</v>
      </c>
      <c r="F977" s="66">
        <v>8</v>
      </c>
      <c r="G977" s="67"/>
    </row>
    <row r="978" spans="1:7" ht="13.2">
      <c r="A978" s="49"/>
      <c r="B978" s="76" t="s">
        <v>1753</v>
      </c>
      <c r="C978" s="143" t="e">
        <f>IFERROR(VLOOKUP(B978,'Thống kê'!$C$3:$D$970,2, FALSE),VLOOKUP(B978,'Thống kê v2 CC'!$A$3:$D$1005,3, FALSE))</f>
        <v>#N/A</v>
      </c>
      <c r="D978" s="144" t="e">
        <f>VLOOKUP(B978,'Thống kê'!$C$3:$E$970,3,0)</f>
        <v>#N/A</v>
      </c>
      <c r="E978" s="159">
        <v>27</v>
      </c>
      <c r="F978" s="66">
        <v>3</v>
      </c>
      <c r="G978" s="67"/>
    </row>
    <row r="979" spans="1:7" ht="13.2">
      <c r="A979" s="49"/>
      <c r="B979" s="76" t="s">
        <v>288</v>
      </c>
      <c r="C979" s="143" t="e">
        <f>IFERROR(VLOOKUP(B979,'Thống kê'!$C$3:$D$970,2, FALSE),VLOOKUP(B979,'Thống kê v2 CC'!$A$3:$D$1005,3, FALSE))</f>
        <v>#N/A</v>
      </c>
      <c r="D979" s="144" t="e">
        <f>VLOOKUP(B979,'Thống kê'!$C$3:$E$970,3,0)</f>
        <v>#N/A</v>
      </c>
      <c r="E979" s="159">
        <v>27</v>
      </c>
      <c r="F979" s="66">
        <v>20</v>
      </c>
      <c r="G979" s="67"/>
    </row>
    <row r="980" spans="1:7" ht="13.2">
      <c r="A980" s="49"/>
      <c r="B980" s="76" t="s">
        <v>1754</v>
      </c>
      <c r="C980" s="143" t="e">
        <f>IFERROR(VLOOKUP(B980,'Thống kê'!$C$3:$D$970,2, FALSE),VLOOKUP(B980,'Thống kê v2 CC'!$A$3:$D$1005,3, FALSE))</f>
        <v>#N/A</v>
      </c>
      <c r="D980" s="144" t="e">
        <f>VLOOKUP(B980,'Thống kê'!$C$3:$E$970,3,0)</f>
        <v>#N/A</v>
      </c>
      <c r="E980" s="159">
        <v>29</v>
      </c>
      <c r="F980" s="66">
        <v>10</v>
      </c>
      <c r="G980" s="67"/>
    </row>
    <row r="981" spans="1:7" ht="13.2">
      <c r="A981" s="49"/>
      <c r="B981" s="76" t="s">
        <v>1755</v>
      </c>
      <c r="C981" s="143" t="e">
        <f>IFERROR(VLOOKUP(B981,'Thống kê'!$C$3:$D$970,2, FALSE),VLOOKUP(B981,'Thống kê v2 CC'!$A$3:$D$1005,3, FALSE))</f>
        <v>#N/A</v>
      </c>
      <c r="D981" s="144" t="e">
        <f>VLOOKUP(B981,'Thống kê'!$C$3:$E$970,3,0)</f>
        <v>#N/A</v>
      </c>
      <c r="E981" s="159">
        <v>35</v>
      </c>
      <c r="F981" s="66">
        <v>5</v>
      </c>
      <c r="G981" s="67"/>
    </row>
    <row r="982" spans="1:7" ht="13.2">
      <c r="A982" s="49"/>
      <c r="B982" s="76" t="s">
        <v>1756</v>
      </c>
      <c r="C982" s="143" t="e">
        <f>IFERROR(VLOOKUP(B982,'Thống kê'!$C$3:$D$970,2, FALSE),VLOOKUP(B982,'Thống kê v2 CC'!$A$3:$D$1005,3, FALSE))</f>
        <v>#N/A</v>
      </c>
      <c r="D982" s="144" t="e">
        <f>VLOOKUP(B982,'Thống kê'!$C$3:$E$970,3,0)</f>
        <v>#N/A</v>
      </c>
      <c r="E982" s="159">
        <v>27</v>
      </c>
      <c r="F982" s="66">
        <v>10</v>
      </c>
      <c r="G982" s="67"/>
    </row>
    <row r="983" spans="1:7" ht="13.2">
      <c r="A983" s="49"/>
      <c r="B983" s="76" t="s">
        <v>141</v>
      </c>
      <c r="C983" s="143">
        <f>IFERROR(VLOOKUP(B983,'Thống kê'!$C$3:$D$970,2, FALSE),VLOOKUP(B983,'Thống kê v2 CC'!$A$3:$D$1005,3, FALSE))</f>
        <v>0</v>
      </c>
      <c r="D983" s="144">
        <f>VLOOKUP(B983,'Thống kê'!$C$3:$E$970,3,0)</f>
        <v>0</v>
      </c>
      <c r="E983" s="67"/>
      <c r="F983" s="66">
        <v>10</v>
      </c>
      <c r="G983" s="67"/>
    </row>
    <row r="984" spans="1:7" ht="13.2">
      <c r="A984" s="49"/>
      <c r="B984" s="76" t="s">
        <v>214</v>
      </c>
      <c r="C984" s="143">
        <f>IFERROR(VLOOKUP(B984,'Thống kê'!$C$3:$D$970,2, FALSE),VLOOKUP(B984,'Thống kê v2 CC'!$A$3:$D$1005,3, FALSE))</f>
        <v>0</v>
      </c>
      <c r="D984" s="144">
        <f>VLOOKUP(B984,'Thống kê'!$C$3:$E$970,3,0)</f>
        <v>0</v>
      </c>
      <c r="E984" s="67"/>
      <c r="F984" s="66">
        <v>25</v>
      </c>
      <c r="G984" s="67"/>
    </row>
    <row r="985" spans="1:7" ht="13.2">
      <c r="A985" s="49"/>
      <c r="B985" s="76" t="s">
        <v>251</v>
      </c>
      <c r="C985" s="143">
        <f>IFERROR(VLOOKUP(B985,'Thống kê'!$C$3:$D$970,2, FALSE),VLOOKUP(B985,'Thống kê v2 CC'!$A$3:$D$1005,3, FALSE))</f>
        <v>0</v>
      </c>
      <c r="D985" s="144">
        <f>VLOOKUP(B985,'Thống kê'!$C$3:$E$970,3,0)</f>
        <v>0</v>
      </c>
      <c r="E985" s="67"/>
      <c r="F985" s="66">
        <v>15</v>
      </c>
      <c r="G985" s="67"/>
    </row>
    <row r="986" spans="1:7" ht="13.2">
      <c r="A986" s="49"/>
      <c r="B986" s="76" t="s">
        <v>101</v>
      </c>
      <c r="C986" s="143">
        <f>IFERROR(VLOOKUP(B986,'Thống kê'!$C$3:$D$970,2, FALSE),VLOOKUP(B986,'Thống kê v2 CC'!$A$3:$D$1005,3, FALSE))</f>
        <v>0</v>
      </c>
      <c r="D986" s="144">
        <f>VLOOKUP(B986,'Thống kê'!$C$3:$E$970,3,0)</f>
        <v>0</v>
      </c>
      <c r="E986" s="67"/>
      <c r="F986" s="66">
        <v>25</v>
      </c>
      <c r="G986" s="67"/>
    </row>
    <row r="987" spans="1:7" ht="13.2">
      <c r="A987" s="49"/>
      <c r="B987" s="76" t="s">
        <v>228</v>
      </c>
      <c r="C987" s="143">
        <f>IFERROR(VLOOKUP(B987,'Thống kê'!$C$3:$D$970,2, FALSE),VLOOKUP(B987,'Thống kê v2 CC'!$A$3:$D$1005,3, FALSE))</f>
        <v>0</v>
      </c>
      <c r="D987" s="144">
        <f>VLOOKUP(B987,'Thống kê'!$C$3:$E$970,3,0)</f>
        <v>0</v>
      </c>
      <c r="E987" s="67"/>
      <c r="F987" s="66">
        <v>10</v>
      </c>
      <c r="G987" s="67"/>
    </row>
    <row r="988" spans="1:7" ht="13.2">
      <c r="A988" s="49"/>
      <c r="B988" s="76" t="s">
        <v>134</v>
      </c>
      <c r="C988" s="143">
        <f>IFERROR(VLOOKUP(B988,'Thống kê'!$C$3:$D$970,2, FALSE),VLOOKUP(B988,'Thống kê v2 CC'!$A$3:$D$1005,3, FALSE))</f>
        <v>0</v>
      </c>
      <c r="D988" s="144">
        <f>VLOOKUP(B988,'Thống kê'!$C$3:$E$970,3,0)</f>
        <v>0</v>
      </c>
      <c r="E988" s="67"/>
      <c r="F988" s="66">
        <v>10</v>
      </c>
      <c r="G988" s="67"/>
    </row>
    <row r="989" spans="1:7" ht="13.2">
      <c r="A989" s="49"/>
      <c r="B989" s="76" t="s">
        <v>104</v>
      </c>
      <c r="C989" s="143">
        <f>IFERROR(VLOOKUP(B989,'Thống kê'!$C$3:$D$970,2, FALSE),VLOOKUP(B989,'Thống kê v2 CC'!$A$3:$D$1005,3, FALSE))</f>
        <v>0</v>
      </c>
      <c r="D989" s="144">
        <f>VLOOKUP(B989,'Thống kê'!$C$3:$E$970,3,0)</f>
        <v>0</v>
      </c>
      <c r="E989" s="67"/>
      <c r="F989" s="66">
        <v>10</v>
      </c>
      <c r="G989" s="67"/>
    </row>
    <row r="990" spans="1:7" ht="13.2">
      <c r="A990" s="49"/>
      <c r="B990" s="76" t="s">
        <v>199</v>
      </c>
      <c r="C990" s="143">
        <f>IFERROR(VLOOKUP(B990,'Thống kê'!$C$3:$D$970,2, FALSE),VLOOKUP(B990,'Thống kê v2 CC'!$A$3:$D$1005,3, FALSE))</f>
        <v>0</v>
      </c>
      <c r="D990" s="144">
        <f>VLOOKUP(B990,'Thống kê'!$C$3:$E$970,3,0)</f>
        <v>0</v>
      </c>
      <c r="E990" s="67"/>
      <c r="F990" s="66">
        <v>28</v>
      </c>
      <c r="G990" s="67"/>
    </row>
    <row r="991" spans="1:7" ht="13.2">
      <c r="A991" s="49"/>
      <c r="B991" s="76" t="s">
        <v>77</v>
      </c>
      <c r="C991" s="143">
        <f>IFERROR(VLOOKUP(B991,'Thống kê'!$C$3:$D$970,2, FALSE),VLOOKUP(B991,'Thống kê v2 CC'!$A$3:$D$1005,3, FALSE))</f>
        <v>0</v>
      </c>
      <c r="D991" s="144">
        <f>VLOOKUP(B991,'Thống kê'!$C$3:$E$970,3,0)</f>
        <v>0</v>
      </c>
      <c r="E991" s="67"/>
      <c r="F991" s="66">
        <v>15</v>
      </c>
      <c r="G991" s="67"/>
    </row>
    <row r="992" spans="1:7" ht="13.2">
      <c r="A992" s="49"/>
      <c r="B992" s="76" t="s">
        <v>180</v>
      </c>
      <c r="C992" s="143">
        <f>IFERROR(VLOOKUP(B992,'Thống kê'!$C$3:$D$970,2, FALSE),VLOOKUP(B992,'Thống kê v2 CC'!$A$3:$D$1005,3, FALSE))</f>
        <v>0</v>
      </c>
      <c r="D992" s="144">
        <f>VLOOKUP(B992,'Thống kê'!$C$3:$E$970,3,0)</f>
        <v>0</v>
      </c>
      <c r="E992" s="67"/>
      <c r="F992" s="66">
        <v>15</v>
      </c>
      <c r="G992" s="67"/>
    </row>
    <row r="993" spans="1:7" ht="13.2">
      <c r="A993" s="49"/>
      <c r="B993" s="76" t="s">
        <v>96</v>
      </c>
      <c r="C993" s="143">
        <f>IFERROR(VLOOKUP(B993,'Thống kê'!$C$3:$D$970,2, FALSE),VLOOKUP(B993,'Thống kê v2 CC'!$A$3:$D$1005,3, FALSE))</f>
        <v>0</v>
      </c>
      <c r="D993" s="144">
        <f>VLOOKUP(B993,'Thống kê'!$C$3:$E$970,3,0)</f>
        <v>0</v>
      </c>
      <c r="E993" s="67"/>
      <c r="F993" s="66">
        <v>10</v>
      </c>
      <c r="G993" s="67"/>
    </row>
    <row r="994" spans="1:7" ht="13.2">
      <c r="A994" s="49"/>
      <c r="B994" s="76" t="s">
        <v>233</v>
      </c>
      <c r="C994" s="143">
        <f>IFERROR(VLOOKUP(B994,'Thống kê'!$C$3:$D$970,2, FALSE),VLOOKUP(B994,'Thống kê v2 CC'!$A$3:$D$1005,3, FALSE))</f>
        <v>0</v>
      </c>
      <c r="D994" s="144">
        <f>VLOOKUP(B994,'Thống kê'!$C$3:$E$970,3,0)</f>
        <v>0</v>
      </c>
      <c r="E994" s="67"/>
      <c r="F994" s="66">
        <v>10</v>
      </c>
      <c r="G994" s="67"/>
    </row>
    <row r="995" spans="1:7" ht="13.2">
      <c r="A995" s="49"/>
      <c r="B995" s="76" t="s">
        <v>196</v>
      </c>
      <c r="C995" s="143">
        <f>IFERROR(VLOOKUP(B995,'Thống kê'!$C$3:$D$970,2, FALSE),VLOOKUP(B995,'Thống kê v2 CC'!$A$3:$D$1005,3, FALSE))</f>
        <v>0</v>
      </c>
      <c r="D995" s="144" t="str">
        <f>VLOOKUP(B995,'Thống kê'!$C$3:$E$970,3,0)</f>
        <v>cái</v>
      </c>
      <c r="E995" s="67"/>
      <c r="F995" s="66">
        <v>5</v>
      </c>
      <c r="G995" s="67"/>
    </row>
    <row r="996" spans="1:7" ht="13.2">
      <c r="A996" s="49"/>
      <c r="B996" s="76" t="s">
        <v>140</v>
      </c>
      <c r="C996" s="143">
        <f>IFERROR(VLOOKUP(B996,'Thống kê'!$C$3:$D$970,2, FALSE),VLOOKUP(B996,'Thống kê v2 CC'!$A$3:$D$1005,3, FALSE))</f>
        <v>0</v>
      </c>
      <c r="D996" s="144">
        <f>VLOOKUP(B996,'Thống kê'!$C$3:$E$970,3,0)</f>
        <v>0</v>
      </c>
      <c r="E996" s="67"/>
      <c r="F996" s="66">
        <v>5</v>
      </c>
      <c r="G996" s="67"/>
    </row>
    <row r="997" spans="1:7" ht="13.2">
      <c r="A997" s="49"/>
      <c r="B997" s="76" t="s">
        <v>323</v>
      </c>
      <c r="C997" s="143">
        <f>IFERROR(VLOOKUP(B997,'Thống kê'!$C$3:$D$970,2, FALSE),VLOOKUP(B997,'Thống kê v2 CC'!$A$3:$D$1005,3, FALSE))</f>
        <v>0</v>
      </c>
      <c r="D997" s="144">
        <f>VLOOKUP(B997,'Thống kê'!$C$3:$E$970,3,0)</f>
        <v>0</v>
      </c>
      <c r="E997" s="67"/>
      <c r="F997" s="66">
        <v>10</v>
      </c>
      <c r="G997" s="67"/>
    </row>
    <row r="998" spans="1:7" ht="13.2">
      <c r="A998" s="49"/>
      <c r="B998" s="76" t="s">
        <v>1499</v>
      </c>
      <c r="C998" s="143">
        <f>IFERROR(VLOOKUP(B998,'Thống kê'!$C$3:$D$970,2, FALSE),VLOOKUP(B998,'Thống kê v2 CC'!$A$3:$D$1005,3, FALSE))</f>
        <v>0</v>
      </c>
      <c r="D998" s="144" t="str">
        <f>VLOOKUP(B998,'Thống kê'!$C$3:$E$970,3,0)</f>
        <v>cái</v>
      </c>
      <c r="E998" s="67"/>
      <c r="F998" s="66">
        <v>13</v>
      </c>
      <c r="G998" s="67"/>
    </row>
    <row r="999" spans="1:7" ht="13.2">
      <c r="A999" s="49"/>
      <c r="C999" s="143" t="e">
        <f>IFERROR(VLOOKUP(B999,'Thống kê'!$C$3:$D$970,2, FALSE),VLOOKUP(B999,'Thống kê v2 CC'!$A$3:$D$1005,3, FALSE))</f>
        <v>#N/A</v>
      </c>
      <c r="D999" s="144" t="e">
        <f>VLOOKUP(B999,'Thống kê'!$C$3:$E$970,3,0)</f>
        <v>#N/A</v>
      </c>
      <c r="E999" s="67"/>
      <c r="F999" s="138"/>
      <c r="G999" s="67"/>
    </row>
    <row r="1000" spans="1:7" ht="13.2">
      <c r="A1000" s="49"/>
      <c r="C1000" s="143" t="e">
        <f>IFERROR(VLOOKUP(B1000,'Thống kê'!$C$3:$D$970,2, FALSE),VLOOKUP(B1000,'Thống kê v2 CC'!$A$3:$D$1005,3, FALSE))</f>
        <v>#N/A</v>
      </c>
      <c r="D1000" s="144" t="e">
        <f>VLOOKUP(B1000,'Thống kê'!$C$3:$E$970,3,0)</f>
        <v>#N/A</v>
      </c>
      <c r="E1000" s="67"/>
      <c r="F1000" s="138"/>
      <c r="G1000" s="67"/>
    </row>
    <row r="1001" spans="1:7" ht="13.2">
      <c r="A1001" s="49"/>
      <c r="C1001" s="143" t="e">
        <f>IFERROR(VLOOKUP(B1001,'Thống kê'!$C$3:$D$970,2, FALSE),VLOOKUP(B1001,'Thống kê v2 CC'!$A$3:$D$1005,3, FALSE))</f>
        <v>#N/A</v>
      </c>
      <c r="D1001" s="144" t="e">
        <f>VLOOKUP(B1001,'Thống kê'!$C$3:$E$970,3,0)</f>
        <v>#N/A</v>
      </c>
      <c r="E1001" s="67"/>
      <c r="F1001" s="138"/>
      <c r="G1001" s="67"/>
    </row>
    <row r="1002" spans="1:7" ht="13.2">
      <c r="A1002" s="49"/>
      <c r="C1002" s="143" t="e">
        <f>IFERROR(VLOOKUP(B1002,'Thống kê'!$C$3:$D$970,2, FALSE),VLOOKUP(B1002,'Thống kê v2 CC'!$A$3:$D$1005,3, FALSE))</f>
        <v>#N/A</v>
      </c>
      <c r="D1002" s="144" t="e">
        <f>VLOOKUP(B1002,'Thống kê'!$C$3:$E$970,3,0)</f>
        <v>#N/A</v>
      </c>
      <c r="E1002" s="67"/>
      <c r="F1002" s="138"/>
      <c r="G1002" s="67"/>
    </row>
    <row r="1003" spans="1:7" ht="13.2">
      <c r="A1003" s="49"/>
      <c r="C1003" s="143" t="e">
        <f>IFERROR(VLOOKUP(B1003,'Thống kê'!$C$3:$D$970,2, FALSE),VLOOKUP(B1003,'Thống kê v2 CC'!$A$3:$D$1005,3, FALSE))</f>
        <v>#N/A</v>
      </c>
      <c r="D1003" s="144" t="e">
        <f>VLOOKUP(B1003,'Thống kê'!$C$3:$E$970,3,0)</f>
        <v>#N/A</v>
      </c>
      <c r="E1003" s="67"/>
      <c r="F1003" s="138"/>
      <c r="G1003" s="67"/>
    </row>
    <row r="1004" spans="1:7" ht="13.2">
      <c r="A1004" s="49"/>
      <c r="C1004" s="143" t="e">
        <f>IFERROR(VLOOKUP(B1004,'Thống kê'!$C$3:$D$970,2, FALSE),VLOOKUP(B1004,'Thống kê v2 CC'!$A$3:$D$1005,3, FALSE))</f>
        <v>#N/A</v>
      </c>
      <c r="D1004" s="144" t="e">
        <f>VLOOKUP(B1004,'Thống kê'!$C$3:$E$970,3,0)</f>
        <v>#N/A</v>
      </c>
      <c r="E1004" s="67"/>
      <c r="F1004" s="138"/>
      <c r="G1004" s="67"/>
    </row>
    <row r="1005" spans="1:7" ht="13.2">
      <c r="A1005" s="49"/>
      <c r="C1005" s="143" t="e">
        <f>IFERROR(VLOOKUP(B1005,'Thống kê'!$C$3:$D$970,2, FALSE),VLOOKUP(B1005,'Thống kê v2 CC'!$A$3:$D$1005,3, FALSE))</f>
        <v>#N/A</v>
      </c>
      <c r="D1005" s="144" t="e">
        <f>VLOOKUP(B1005,'Thống kê'!$C$3:$E$970,3,0)</f>
        <v>#N/A</v>
      </c>
      <c r="E1005" s="67"/>
      <c r="F1005" s="138"/>
      <c r="G1005" s="67"/>
    </row>
    <row r="1006" spans="1:7" ht="13.2">
      <c r="A1006" s="49"/>
      <c r="C1006" s="143" t="e">
        <f>IFERROR(VLOOKUP(B1006,'Thống kê'!$C$3:$D$970,2, FALSE),VLOOKUP(B1006,'Thống kê v2 CC'!$A$3:$D$1005,3, FALSE))</f>
        <v>#N/A</v>
      </c>
      <c r="D1006" s="144" t="e">
        <f>VLOOKUP(B1006,'Thống kê'!$C$3:$E$970,3,0)</f>
        <v>#N/A</v>
      </c>
      <c r="E1006" s="67"/>
      <c r="F1006" s="138"/>
      <c r="G1006" s="67"/>
    </row>
    <row r="1007" spans="1:7" ht="13.2">
      <c r="A1007" s="49"/>
      <c r="C1007" s="143" t="e">
        <f>IFERROR(VLOOKUP(B1007,'Thống kê'!$C$3:$D$970,2, FALSE),VLOOKUP(B1007,'Thống kê v2 CC'!$A$3:$D$1005,3, FALSE))</f>
        <v>#N/A</v>
      </c>
      <c r="D1007" s="144" t="e">
        <f>VLOOKUP(B1007,'Thống kê'!$C$3:$E$970,3,0)</f>
        <v>#N/A</v>
      </c>
      <c r="E1007" s="67"/>
      <c r="F1007" s="138"/>
      <c r="G1007" s="67"/>
    </row>
    <row r="1008" spans="1:7" ht="13.2">
      <c r="A1008" s="49"/>
      <c r="C1008" s="143" t="e">
        <f>IFERROR(VLOOKUP(B1008,'Thống kê'!$C$3:$D$970,2, FALSE),VLOOKUP(B1008,'Thống kê v2 CC'!$A$3:$D$1005,3, FALSE))</f>
        <v>#N/A</v>
      </c>
      <c r="D1008" s="144" t="e">
        <f>VLOOKUP(B1008,'Thống kê'!$C$3:$E$970,3,0)</f>
        <v>#N/A</v>
      </c>
      <c r="E1008" s="67"/>
      <c r="F1008" s="138"/>
      <c r="G1008" s="67"/>
    </row>
    <row r="1009" spans="1:7" ht="13.2">
      <c r="A1009" s="49"/>
      <c r="C1009" s="143" t="e">
        <f>IFERROR(VLOOKUP(B1009,'Thống kê'!$C$3:$D$970,2, FALSE),VLOOKUP(B1009,'Thống kê v2 CC'!$A$3:$D$1005,3, FALSE))</f>
        <v>#N/A</v>
      </c>
      <c r="D1009" s="144" t="e">
        <f>VLOOKUP(B1009,'Thống kê'!$C$3:$E$970,3,0)</f>
        <v>#N/A</v>
      </c>
      <c r="E1009" s="67"/>
      <c r="F1009" s="138"/>
      <c r="G1009" s="67"/>
    </row>
    <row r="1010" spans="1:7" ht="13.2">
      <c r="A1010" s="49"/>
      <c r="C1010" s="143" t="e">
        <f>IFERROR(VLOOKUP(B1010,'Thống kê'!$C$3:$D$970,2, FALSE),VLOOKUP(B1010,'Thống kê v2 CC'!$A$3:$D$1005,3, FALSE))</f>
        <v>#N/A</v>
      </c>
      <c r="D1010" s="144" t="e">
        <f>VLOOKUP(B1010,'Thống kê'!$C$3:$E$970,3,0)</f>
        <v>#N/A</v>
      </c>
      <c r="E1010" s="67"/>
      <c r="F1010" s="138"/>
      <c r="G1010" s="67"/>
    </row>
    <row r="1011" spans="1:7" ht="13.2">
      <c r="A1011" s="49"/>
      <c r="C1011" s="143" t="e">
        <f>IFERROR(VLOOKUP(B1011,'Thống kê'!$C$3:$D$970,2, FALSE),VLOOKUP(B1011,'Thống kê v2 CC'!$A$3:$D$1005,3, FALSE))</f>
        <v>#N/A</v>
      </c>
      <c r="D1011" s="144" t="e">
        <f>VLOOKUP(B1011,'Thống kê'!$C$3:$E$970,3,0)</f>
        <v>#N/A</v>
      </c>
      <c r="E1011" s="67"/>
      <c r="F1011" s="138"/>
      <c r="G1011" s="67"/>
    </row>
    <row r="1012" spans="1:7" ht="13.2">
      <c r="A1012" s="49"/>
      <c r="C1012" s="143" t="e">
        <f>IFERROR(VLOOKUP(B1012,'Thống kê'!$C$3:$D$970,2, FALSE),VLOOKUP(B1012,'Thống kê v2 CC'!$A$3:$D$1005,3, FALSE))</f>
        <v>#N/A</v>
      </c>
      <c r="D1012" s="144" t="e">
        <f>VLOOKUP(B1012,'Thống kê'!$C$3:$E$970,3,0)</f>
        <v>#N/A</v>
      </c>
      <c r="E1012" s="67"/>
      <c r="F1012" s="138"/>
      <c r="G1012" s="67"/>
    </row>
    <row r="1013" spans="1:7" ht="13.2">
      <c r="A1013" s="49"/>
      <c r="C1013" s="143" t="e">
        <f>IFERROR(VLOOKUP(B1013,'Thống kê'!$C$3:$D$970,2, FALSE),VLOOKUP(B1013,'Thống kê v2 CC'!$A$3:$D$1005,3, FALSE))</f>
        <v>#N/A</v>
      </c>
      <c r="D1013" s="144" t="e">
        <f>VLOOKUP(B1013,'Thống kê'!$C$3:$E$970,3,0)</f>
        <v>#N/A</v>
      </c>
      <c r="E1013" s="67"/>
      <c r="F1013" s="138"/>
      <c r="G1013" s="67"/>
    </row>
    <row r="1014" spans="1:7" ht="13.2">
      <c r="A1014" s="49"/>
      <c r="C1014" s="143" t="e">
        <f>IFERROR(VLOOKUP(B1014,'Thống kê'!$C$3:$D$970,2, FALSE),VLOOKUP(B1014,'Thống kê v2 CC'!$A$3:$D$1005,3, FALSE))</f>
        <v>#N/A</v>
      </c>
      <c r="D1014" s="144" t="e">
        <f>VLOOKUP(B1014,'Thống kê'!$C$3:$E$970,3,0)</f>
        <v>#N/A</v>
      </c>
      <c r="E1014" s="67"/>
      <c r="F1014" s="138"/>
      <c r="G1014" s="67"/>
    </row>
    <row r="1015" spans="1:7" ht="13.2">
      <c r="A1015" s="49"/>
      <c r="C1015" s="143" t="e">
        <f>IFERROR(VLOOKUP(B1015,'Thống kê'!$C$3:$D$970,2, FALSE),VLOOKUP(B1015,'Thống kê v2 CC'!$A$3:$D$1005,3, FALSE))</f>
        <v>#N/A</v>
      </c>
      <c r="D1015" s="144" t="e">
        <f>VLOOKUP(B1015,'Thống kê'!$C$3:$E$970,3,0)</f>
        <v>#N/A</v>
      </c>
      <c r="E1015" s="67"/>
      <c r="F1015" s="138"/>
      <c r="G1015" s="67"/>
    </row>
    <row r="1016" spans="1:7" ht="13.2">
      <c r="A1016" s="49"/>
      <c r="C1016" s="143" t="e">
        <f>IFERROR(VLOOKUP(B1016,'Thống kê'!$C$3:$D$970,2, FALSE),VLOOKUP(B1016,'Thống kê v2 CC'!$A$3:$D$1005,3, FALSE))</f>
        <v>#N/A</v>
      </c>
      <c r="D1016" s="144" t="e">
        <f>VLOOKUP(B1016,'Thống kê'!$C$3:$E$970,3,0)</f>
        <v>#N/A</v>
      </c>
      <c r="E1016" s="67"/>
      <c r="F1016" s="138"/>
      <c r="G1016" s="67"/>
    </row>
    <row r="1017" spans="1:7" ht="13.2">
      <c r="A1017" s="49"/>
      <c r="C1017" s="143" t="e">
        <f>IFERROR(VLOOKUP(B1017,'Thống kê'!$C$3:$D$970,2, FALSE),VLOOKUP(B1017,'Thống kê v2 CC'!$A$3:$D$1005,3, FALSE))</f>
        <v>#N/A</v>
      </c>
      <c r="D1017" s="144" t="e">
        <f>VLOOKUP(B1017,'Thống kê'!$C$3:$E$970,3,0)</f>
        <v>#N/A</v>
      </c>
      <c r="E1017" s="67"/>
      <c r="F1017" s="138"/>
      <c r="G1017" s="67"/>
    </row>
    <row r="1018" spans="1:7" ht="13.2">
      <c r="A1018" s="49"/>
      <c r="C1018" s="143" t="e">
        <f>IFERROR(VLOOKUP(B1018,'Thống kê'!$C$3:$D$970,2, FALSE),VLOOKUP(B1018,'Thống kê v2 CC'!$A$3:$D$1005,3, FALSE))</f>
        <v>#N/A</v>
      </c>
      <c r="D1018" s="144" t="e">
        <f>VLOOKUP(B1018,'Thống kê'!$C$3:$E$970,3,0)</f>
        <v>#N/A</v>
      </c>
      <c r="E1018" s="67"/>
      <c r="F1018" s="138"/>
      <c r="G1018" s="67"/>
    </row>
    <row r="1019" spans="1:7" ht="13.2">
      <c r="A1019" s="49"/>
      <c r="C1019" s="143" t="e">
        <f>IFERROR(VLOOKUP(B1019,'Thống kê'!$C$3:$D$970,2, FALSE),VLOOKUP(B1019,'Thống kê v2 CC'!$A$3:$D$1005,3, FALSE))</f>
        <v>#N/A</v>
      </c>
      <c r="D1019" s="144" t="e">
        <f>VLOOKUP(B1019,'Thống kê'!$C$3:$E$970,3,0)</f>
        <v>#N/A</v>
      </c>
      <c r="E1019" s="67"/>
      <c r="F1019" s="138"/>
      <c r="G1019" s="67"/>
    </row>
    <row r="1020" spans="1:7" ht="13.2">
      <c r="A1020" s="49"/>
      <c r="C1020" s="143" t="e">
        <f>IFERROR(VLOOKUP(B1020,'Thống kê'!$C$3:$D$970,2, FALSE),VLOOKUP(B1020,'Thống kê v2 CC'!$A$3:$D$1005,3, FALSE))</f>
        <v>#N/A</v>
      </c>
      <c r="D1020" s="144" t="e">
        <f>VLOOKUP(B1020,'Thống kê'!$C$3:$E$970,3,0)</f>
        <v>#N/A</v>
      </c>
      <c r="E1020" s="67"/>
      <c r="F1020" s="138"/>
      <c r="G1020" s="67"/>
    </row>
    <row r="1021" spans="1:7" ht="13.2">
      <c r="A1021" s="49"/>
      <c r="C1021" s="143" t="e">
        <f>IFERROR(VLOOKUP(B1021,'Thống kê'!$C$3:$D$970,2, FALSE),VLOOKUP(B1021,'Thống kê v2 CC'!$A$3:$D$1005,3, FALSE))</f>
        <v>#N/A</v>
      </c>
      <c r="D1021" s="144" t="e">
        <f>VLOOKUP(B1021,'Thống kê'!$C$3:$E$970,3,0)</f>
        <v>#N/A</v>
      </c>
      <c r="E1021" s="67"/>
      <c r="F1021" s="138"/>
      <c r="G1021" s="67"/>
    </row>
    <row r="1022" spans="1:7" ht="13.2">
      <c r="A1022" s="49"/>
      <c r="C1022" s="143" t="e">
        <f>IFERROR(VLOOKUP(B1022,'Thống kê'!$C$3:$D$970,2, FALSE),VLOOKUP(B1022,'Thống kê v2 CC'!$A$3:$D$1005,3, FALSE))</f>
        <v>#N/A</v>
      </c>
      <c r="D1022" s="144" t="e">
        <f>VLOOKUP(B1022,'Thống kê'!$C$3:$E$970,3,0)</f>
        <v>#N/A</v>
      </c>
      <c r="E1022" s="67"/>
      <c r="F1022" s="138"/>
      <c r="G1022" s="67"/>
    </row>
    <row r="1023" spans="1:7" ht="13.2">
      <c r="A1023" s="49"/>
      <c r="C1023" s="143" t="e">
        <f>IFERROR(VLOOKUP(B1023,'Thống kê'!$C$3:$D$970,2, FALSE),VLOOKUP(B1023,'Thống kê v2 CC'!$A$3:$D$1005,3, FALSE))</f>
        <v>#N/A</v>
      </c>
      <c r="D1023" s="144" t="e">
        <f>VLOOKUP(B1023,'Thống kê'!$C$3:$E$970,3,0)</f>
        <v>#N/A</v>
      </c>
      <c r="E1023" s="67"/>
      <c r="F1023" s="138"/>
      <c r="G1023" s="67"/>
    </row>
    <row r="1024" spans="1:7" ht="13.2">
      <c r="A1024" s="49"/>
      <c r="C1024" s="143" t="e">
        <f>IFERROR(VLOOKUP(B1024,'Thống kê'!$C$3:$D$970,2, FALSE),VLOOKUP(B1024,'Thống kê v2 CC'!$A$3:$D$1005,3, FALSE))</f>
        <v>#N/A</v>
      </c>
      <c r="D1024" s="144" t="e">
        <f>VLOOKUP(B1024,'Thống kê'!$C$3:$E$970,3,0)</f>
        <v>#N/A</v>
      </c>
      <c r="E1024" s="67"/>
      <c r="F1024" s="138"/>
      <c r="G1024" s="67"/>
    </row>
    <row r="1025" spans="1:7" ht="13.2">
      <c r="A1025" s="49"/>
      <c r="C1025" s="143" t="e">
        <f>IFERROR(VLOOKUP(B1025,'Thống kê'!$C$3:$D$970,2, FALSE),VLOOKUP(B1025,'Thống kê v2 CC'!$A$3:$D$1005,3, FALSE))</f>
        <v>#N/A</v>
      </c>
      <c r="D1025" s="144" t="e">
        <f>VLOOKUP(B1025,'Thống kê'!$C$3:$E$970,3,0)</f>
        <v>#N/A</v>
      </c>
      <c r="E1025" s="67"/>
      <c r="F1025" s="138"/>
      <c r="G1025" s="67"/>
    </row>
    <row r="1026" spans="1:7" ht="13.2">
      <c r="A1026" s="49"/>
      <c r="C1026" s="143" t="e">
        <f>IFERROR(VLOOKUP(B1026,'Thống kê'!$C$3:$D$970,2, FALSE),VLOOKUP(B1026,'Thống kê v2 CC'!$A$3:$D$1005,3, FALSE))</f>
        <v>#N/A</v>
      </c>
      <c r="D1026" s="144" t="e">
        <f>VLOOKUP(B1026,'Thống kê'!$C$3:$E$970,3,0)</f>
        <v>#N/A</v>
      </c>
      <c r="E1026" s="67"/>
      <c r="F1026" s="138"/>
      <c r="G1026" s="67"/>
    </row>
    <row r="1027" spans="1:7" ht="13.2">
      <c r="A1027" s="49"/>
      <c r="C1027" s="143" t="e">
        <f>IFERROR(VLOOKUP(B1027,'Thống kê'!$C$3:$D$970,2, FALSE),VLOOKUP(B1027,'Thống kê v2 CC'!$A$3:$D$1005,3, FALSE))</f>
        <v>#N/A</v>
      </c>
      <c r="D1027" s="144" t="e">
        <f>VLOOKUP(B1027,'Thống kê'!$C$3:$E$970,3,0)</f>
        <v>#N/A</v>
      </c>
      <c r="E1027" s="67"/>
      <c r="F1027" s="138"/>
      <c r="G1027" s="67"/>
    </row>
    <row r="1028" spans="1:7" ht="13.2">
      <c r="A1028" s="49"/>
      <c r="C1028" s="143" t="e">
        <f>IFERROR(VLOOKUP(B1028,'Thống kê'!$C$3:$D$970,2, FALSE),VLOOKUP(B1028,'Thống kê v2 CC'!$A$3:$D$1005,3, FALSE))</f>
        <v>#N/A</v>
      </c>
      <c r="D1028" s="144" t="e">
        <f>VLOOKUP(B1028,'Thống kê'!$C$3:$E$970,3,0)</f>
        <v>#N/A</v>
      </c>
      <c r="E1028" s="67"/>
      <c r="F1028" s="138"/>
      <c r="G1028" s="67"/>
    </row>
    <row r="1029" spans="1:7" ht="13.2">
      <c r="A1029" s="49"/>
      <c r="C1029" s="143" t="e">
        <f>IFERROR(VLOOKUP(B1029,'Thống kê'!$C$3:$D$970,2, FALSE),VLOOKUP(B1029,'Thống kê v2 CC'!$A$3:$D$1005,3, FALSE))</f>
        <v>#N/A</v>
      </c>
      <c r="D1029" s="144" t="e">
        <f>VLOOKUP(B1029,'Thống kê'!$C$3:$E$970,3,0)</f>
        <v>#N/A</v>
      </c>
      <c r="E1029" s="67"/>
      <c r="F1029" s="138"/>
      <c r="G1029" s="67"/>
    </row>
    <row r="1030" spans="1:7" ht="13.2">
      <c r="A1030" s="49"/>
      <c r="C1030" s="143" t="e">
        <f>IFERROR(VLOOKUP(B1030,'Thống kê'!$C$3:$D$970,2, FALSE),VLOOKUP(B1030,'Thống kê v2 CC'!$A$3:$D$1005,3, FALSE))</f>
        <v>#N/A</v>
      </c>
      <c r="D1030" s="144" t="e">
        <f>VLOOKUP(B1030,'Thống kê'!$C$3:$E$970,3,0)</f>
        <v>#N/A</v>
      </c>
      <c r="E1030" s="67"/>
      <c r="F1030" s="138"/>
      <c r="G1030" s="67"/>
    </row>
    <row r="1031" spans="1:7" ht="13.2">
      <c r="A1031" s="49"/>
      <c r="C1031" s="143" t="e">
        <f>IFERROR(VLOOKUP(B1031,'Thống kê'!$C$3:$D$970,2, FALSE),VLOOKUP(B1031,'Thống kê v2 CC'!$A$3:$D$1005,3, FALSE))</f>
        <v>#N/A</v>
      </c>
      <c r="D1031" s="144" t="e">
        <f>VLOOKUP(B1031,'Thống kê'!$C$3:$E$970,3,0)</f>
        <v>#N/A</v>
      </c>
      <c r="E1031" s="67"/>
      <c r="F1031" s="138"/>
      <c r="G1031" s="67"/>
    </row>
    <row r="1032" spans="1:7" ht="13.2">
      <c r="A1032" s="49"/>
      <c r="C1032" s="143" t="e">
        <f>IFERROR(VLOOKUP(B1032,'Thống kê'!$C$3:$D$970,2, FALSE),VLOOKUP(B1032,'Thống kê v2 CC'!$A$3:$D$1005,3, FALSE))</f>
        <v>#N/A</v>
      </c>
      <c r="D1032" s="144" t="e">
        <f>VLOOKUP(B1032,'Thống kê'!$C$3:$E$970,3,0)</f>
        <v>#N/A</v>
      </c>
      <c r="E1032" s="67"/>
      <c r="F1032" s="138"/>
      <c r="G1032" s="67"/>
    </row>
    <row r="1033" spans="1:7" ht="13.2">
      <c r="A1033" s="49"/>
      <c r="C1033" s="143" t="e">
        <f>IFERROR(VLOOKUP(B1033,'Thống kê'!$C$3:$D$970,2, FALSE),VLOOKUP(B1033,'Thống kê v2 CC'!$A$3:$D$1005,3, FALSE))</f>
        <v>#N/A</v>
      </c>
      <c r="D1033" s="144" t="e">
        <f>VLOOKUP(B1033,'Thống kê'!$C$3:$E$970,3,0)</f>
        <v>#N/A</v>
      </c>
      <c r="E1033" s="67"/>
      <c r="F1033" s="138"/>
      <c r="G1033" s="67"/>
    </row>
    <row r="1034" spans="1:7" ht="13.2">
      <c r="A1034" s="49"/>
      <c r="C1034" s="143" t="e">
        <f>IFERROR(VLOOKUP(B1034,'Thống kê'!$C$3:$D$970,2, FALSE),VLOOKUP(B1034,'Thống kê v2 CC'!$A$3:$D$1005,3, FALSE))</f>
        <v>#N/A</v>
      </c>
      <c r="D1034" s="144" t="e">
        <f>VLOOKUP(B1034,'Thống kê'!$C$3:$E$970,3,0)</f>
        <v>#N/A</v>
      </c>
      <c r="E1034" s="67"/>
      <c r="F1034" s="138"/>
      <c r="G1034" s="67"/>
    </row>
    <row r="1035" spans="1:7" ht="13.2">
      <c r="A1035" s="49"/>
      <c r="C1035" s="143" t="e">
        <f>IFERROR(VLOOKUP(B1035,'Thống kê'!$C$3:$D$970,2, FALSE),VLOOKUP(B1035,'Thống kê v2 CC'!$A$3:$D$1005,3, FALSE))</f>
        <v>#N/A</v>
      </c>
      <c r="D1035" s="144" t="e">
        <f>VLOOKUP(B1035,'Thống kê'!$C$3:$E$970,3,0)</f>
        <v>#N/A</v>
      </c>
      <c r="E1035" s="67"/>
      <c r="F1035" s="138"/>
      <c r="G1035" s="67"/>
    </row>
    <row r="1036" spans="1:7" ht="13.2">
      <c r="A1036" s="49"/>
      <c r="C1036" s="143" t="e">
        <f>IFERROR(VLOOKUP(B1036,'Thống kê'!$C$3:$D$970,2, FALSE),VLOOKUP(B1036,'Thống kê v2 CC'!$A$3:$D$1005,3, FALSE))</f>
        <v>#N/A</v>
      </c>
      <c r="D1036" s="144" t="e">
        <f>VLOOKUP(B1036,'Thống kê'!$C$3:$E$970,3,0)</f>
        <v>#N/A</v>
      </c>
      <c r="E1036" s="67"/>
      <c r="F1036" s="138"/>
      <c r="G1036" s="67"/>
    </row>
    <row r="1037" spans="1:7" ht="13.2">
      <c r="A1037" s="49"/>
      <c r="C1037" s="143" t="e">
        <f>IFERROR(VLOOKUP(B1037,'Thống kê'!$C$3:$D$970,2, FALSE),VLOOKUP(B1037,'Thống kê v2 CC'!$A$3:$D$1005,3, FALSE))</f>
        <v>#N/A</v>
      </c>
      <c r="D1037" s="144" t="e">
        <f>VLOOKUP(B1037,'Thống kê'!$C$3:$E$970,3,0)</f>
        <v>#N/A</v>
      </c>
      <c r="E1037" s="67"/>
      <c r="F1037" s="138"/>
      <c r="G1037" s="67"/>
    </row>
    <row r="1038" spans="1:7" ht="13.2">
      <c r="A1038" s="49"/>
      <c r="C1038" s="143" t="e">
        <f>IFERROR(VLOOKUP(B1038,'Thống kê'!$C$3:$D$970,2, FALSE),VLOOKUP(B1038,'Thống kê v2 CC'!$A$3:$D$1005,3, FALSE))</f>
        <v>#N/A</v>
      </c>
      <c r="D1038" s="144" t="e">
        <f>VLOOKUP(B1038,'Thống kê'!$C$3:$E$970,3,0)</f>
        <v>#N/A</v>
      </c>
      <c r="E1038" s="67"/>
      <c r="F1038" s="138"/>
      <c r="G1038" s="67"/>
    </row>
    <row r="1039" spans="1:7" ht="13.2">
      <c r="A1039" s="49"/>
      <c r="C1039" s="143" t="e">
        <f>IFERROR(VLOOKUP(B1039,'Thống kê'!$C$3:$D$970,2, FALSE),VLOOKUP(B1039,'Thống kê v2 CC'!$A$3:$D$1005,3, FALSE))</f>
        <v>#N/A</v>
      </c>
      <c r="D1039" s="144" t="e">
        <f>VLOOKUP(B1039,'Thống kê'!$C$3:$E$970,3,0)</f>
        <v>#N/A</v>
      </c>
      <c r="E1039" s="67"/>
      <c r="F1039" s="138"/>
      <c r="G1039" s="67"/>
    </row>
    <row r="1040" spans="1:7" ht="13.2">
      <c r="A1040" s="49"/>
      <c r="C1040" s="143" t="e">
        <f>IFERROR(VLOOKUP(B1040,'Thống kê'!$C$3:$D$970,2, FALSE),VLOOKUP(B1040,'Thống kê v2 CC'!$A$3:$D$1005,3, FALSE))</f>
        <v>#N/A</v>
      </c>
      <c r="D1040" s="144" t="e">
        <f>VLOOKUP(B1040,'Thống kê'!$C$3:$E$970,3,0)</f>
        <v>#N/A</v>
      </c>
      <c r="E1040" s="67"/>
      <c r="F1040" s="138"/>
      <c r="G1040" s="67"/>
    </row>
    <row r="1041" spans="1:7" ht="13.2">
      <c r="A1041" s="49"/>
      <c r="C1041" s="143" t="e">
        <f>IFERROR(VLOOKUP(B1041,'Thống kê'!$C$3:$D$970,2, FALSE),VLOOKUP(B1041,'Thống kê v2 CC'!$A$3:$D$1005,3, FALSE))</f>
        <v>#N/A</v>
      </c>
      <c r="D1041" s="144" t="e">
        <f>VLOOKUP(B1041,'Thống kê'!$C$3:$E$970,3,0)</f>
        <v>#N/A</v>
      </c>
      <c r="E1041" s="67"/>
      <c r="F1041" s="138"/>
      <c r="G1041" s="67"/>
    </row>
    <row r="1042" spans="1:7" ht="13.2">
      <c r="A1042" s="49"/>
      <c r="C1042" s="143" t="e">
        <f>IFERROR(VLOOKUP(B1042,'Thống kê'!$C$3:$D$970,2, FALSE),VLOOKUP(B1042,'Thống kê v2 CC'!$A$3:$D$1005,3, FALSE))</f>
        <v>#N/A</v>
      </c>
      <c r="D1042" s="144" t="e">
        <f>VLOOKUP(B1042,'Thống kê'!$C$3:$E$970,3,0)</f>
        <v>#N/A</v>
      </c>
      <c r="E1042" s="67"/>
      <c r="F1042" s="138"/>
      <c r="G1042" s="67"/>
    </row>
    <row r="1043" spans="1:7" ht="13.2">
      <c r="A1043" s="49"/>
      <c r="C1043" s="143" t="e">
        <f>IFERROR(VLOOKUP(B1043,'Thống kê'!$C$3:$D$970,2, FALSE),VLOOKUP(B1043,'Thống kê v2 CC'!$A$3:$D$1005,3, FALSE))</f>
        <v>#N/A</v>
      </c>
      <c r="D1043" s="144" t="e">
        <f>VLOOKUP(B1043,'Thống kê'!$C$3:$E$970,3,0)</f>
        <v>#N/A</v>
      </c>
      <c r="E1043" s="67"/>
      <c r="F1043" s="138"/>
      <c r="G1043" s="67"/>
    </row>
    <row r="1044" spans="1:7" ht="13.2">
      <c r="A1044" s="49"/>
      <c r="C1044" s="143" t="e">
        <f>IFERROR(VLOOKUP(B1044,'Thống kê'!$C$3:$D$970,2, FALSE),VLOOKUP(B1044,'Thống kê v2 CC'!$A$3:$D$1005,3, FALSE))</f>
        <v>#N/A</v>
      </c>
      <c r="D1044" s="144" t="e">
        <f>VLOOKUP(B1044,'Thống kê'!$C$3:$E$970,3,0)</f>
        <v>#N/A</v>
      </c>
      <c r="E1044" s="67"/>
      <c r="F1044" s="138"/>
      <c r="G1044" s="67"/>
    </row>
    <row r="1045" spans="1:7" ht="13.2">
      <c r="A1045" s="49"/>
      <c r="C1045" s="143" t="e">
        <f>IFERROR(VLOOKUP(B1045,'Thống kê'!$C$3:$D$970,2, FALSE),VLOOKUP(B1045,'Thống kê v2 CC'!$A$3:$D$1005,3, FALSE))</f>
        <v>#N/A</v>
      </c>
      <c r="D1045" s="144" t="e">
        <f>VLOOKUP(B1045,'Thống kê'!$C$3:$E$970,3,0)</f>
        <v>#N/A</v>
      </c>
      <c r="E1045" s="67"/>
      <c r="F1045" s="138"/>
      <c r="G1045" s="67"/>
    </row>
    <row r="1046" spans="1:7" ht="13.2">
      <c r="A1046" s="49"/>
      <c r="C1046" s="143" t="e">
        <f>IFERROR(VLOOKUP(B1046,'Thống kê'!$C$3:$D$970,2, FALSE),VLOOKUP(B1046,'Thống kê v2 CC'!$A$3:$D$1005,3, FALSE))</f>
        <v>#N/A</v>
      </c>
      <c r="D1046" s="144" t="e">
        <f>VLOOKUP(B1046,'Thống kê'!$C$3:$E$970,3,0)</f>
        <v>#N/A</v>
      </c>
      <c r="E1046" s="67"/>
      <c r="F1046" s="138"/>
      <c r="G1046" s="67"/>
    </row>
    <row r="1047" spans="1:7" ht="13.2">
      <c r="A1047" s="49"/>
      <c r="C1047" s="143" t="e">
        <f>IFERROR(VLOOKUP(B1047,'Thống kê'!$C$3:$D$970,2, FALSE),VLOOKUP(B1047,'Thống kê v2 CC'!$A$3:$D$1005,3, FALSE))</f>
        <v>#N/A</v>
      </c>
      <c r="D1047" s="144" t="e">
        <f>VLOOKUP(B1047,'Thống kê'!$C$3:$E$970,3,0)</f>
        <v>#N/A</v>
      </c>
      <c r="E1047" s="67"/>
      <c r="F1047" s="138"/>
      <c r="G1047" s="67"/>
    </row>
    <row r="1048" spans="1:7" ht="13.2">
      <c r="A1048" s="49"/>
      <c r="C1048" s="143" t="e">
        <f>IFERROR(VLOOKUP(B1048,'Thống kê'!$C$3:$D$970,2, FALSE),VLOOKUP(B1048,'Thống kê v2 CC'!$A$3:$D$1005,3, FALSE))</f>
        <v>#N/A</v>
      </c>
      <c r="D1048" s="144" t="e">
        <f>VLOOKUP(B1048,'Thống kê'!$C$3:$E$970,3,0)</f>
        <v>#N/A</v>
      </c>
      <c r="E1048" s="67"/>
      <c r="F1048" s="138"/>
      <c r="G1048" s="67"/>
    </row>
    <row r="1049" spans="1:7" ht="13.2">
      <c r="A1049" s="49"/>
      <c r="C1049" s="143" t="e">
        <f>IFERROR(VLOOKUP(B1049,'Thống kê'!$C$3:$D$970,2, FALSE),VLOOKUP(B1049,'Thống kê v2 CC'!$A$3:$D$1005,3, FALSE))</f>
        <v>#N/A</v>
      </c>
      <c r="D1049" s="144" t="e">
        <f>VLOOKUP(B1049,'Thống kê'!$C$3:$E$970,3,0)</f>
        <v>#N/A</v>
      </c>
      <c r="E1049" s="67"/>
      <c r="F1049" s="138"/>
      <c r="G1049" s="67"/>
    </row>
    <row r="1050" spans="1:7" ht="13.2">
      <c r="A1050" s="49"/>
      <c r="C1050" s="143" t="e">
        <f>IFERROR(VLOOKUP(B1050,'Thống kê'!$C$3:$D$970,2, FALSE),VLOOKUP(B1050,'Thống kê v2 CC'!$A$3:$D$1005,3, FALSE))</f>
        <v>#N/A</v>
      </c>
      <c r="D1050" s="144" t="e">
        <f>VLOOKUP(B1050,'Thống kê'!$C$3:$E$970,3,0)</f>
        <v>#N/A</v>
      </c>
      <c r="E1050" s="67"/>
      <c r="F1050" s="138"/>
      <c r="G1050" s="67"/>
    </row>
    <row r="1051" spans="1:7" ht="13.2">
      <c r="A1051" s="49"/>
      <c r="C1051" s="143" t="e">
        <f>IFERROR(VLOOKUP(B1051,'Thống kê'!$C$3:$D$970,2, FALSE),VLOOKUP(B1051,'Thống kê v2 CC'!$A$3:$D$1005,3, FALSE))</f>
        <v>#N/A</v>
      </c>
      <c r="D1051" s="144" t="e">
        <f>VLOOKUP(B1051,'Thống kê'!$C$3:$E$970,3,0)</f>
        <v>#N/A</v>
      </c>
      <c r="E1051" s="67"/>
      <c r="F1051" s="138"/>
      <c r="G1051" s="67"/>
    </row>
    <row r="1052" spans="1:7" ht="13.2">
      <c r="A1052" s="49"/>
      <c r="C1052" s="143" t="e">
        <f>IFERROR(VLOOKUP(B1052,'Thống kê'!$C$3:$D$970,2, FALSE),VLOOKUP(B1052,'Thống kê v2 CC'!$A$3:$D$1005,3, FALSE))</f>
        <v>#N/A</v>
      </c>
      <c r="D1052" s="144" t="e">
        <f>VLOOKUP(B1052,'Thống kê'!$C$3:$E$970,3,0)</f>
        <v>#N/A</v>
      </c>
      <c r="E1052" s="67"/>
      <c r="F1052" s="138"/>
      <c r="G1052" s="67"/>
    </row>
    <row r="1053" spans="1:7" ht="13.2">
      <c r="A1053" s="49"/>
      <c r="C1053" s="143" t="e">
        <f>IFERROR(VLOOKUP(B1053,'Thống kê'!$C$3:$D$970,2, FALSE),VLOOKUP(B1053,'Thống kê v2 CC'!$A$3:$D$1005,3, FALSE))</f>
        <v>#N/A</v>
      </c>
      <c r="D1053" s="144" t="e">
        <f>VLOOKUP(B1053,'Thống kê'!$C$3:$E$970,3,0)</f>
        <v>#N/A</v>
      </c>
      <c r="E1053" s="67"/>
      <c r="F1053" s="138"/>
      <c r="G1053" s="67"/>
    </row>
    <row r="1054" spans="1:7" ht="13.2">
      <c r="A1054" s="49"/>
      <c r="C1054" s="143" t="e">
        <f>IFERROR(VLOOKUP(B1054,'Thống kê'!$C$3:$D$970,2, FALSE),VLOOKUP(B1054,'Thống kê v2 CC'!$A$3:$D$1005,3, FALSE))</f>
        <v>#N/A</v>
      </c>
      <c r="D1054" s="144" t="e">
        <f>VLOOKUP(B1054,'Thống kê'!$C$3:$E$970,3,0)</f>
        <v>#N/A</v>
      </c>
      <c r="E1054" s="67"/>
      <c r="F1054" s="138"/>
      <c r="G1054" s="67"/>
    </row>
    <row r="1055" spans="1:7" ht="13.2">
      <c r="A1055" s="49"/>
      <c r="C1055" s="143" t="e">
        <f>IFERROR(VLOOKUP(B1055,'Thống kê'!$C$3:$D$970,2, FALSE),VLOOKUP(B1055,'Thống kê v2 CC'!$A$3:$D$1005,3, FALSE))</f>
        <v>#N/A</v>
      </c>
      <c r="D1055" s="144" t="e">
        <f>VLOOKUP(B1055,'Thống kê'!$C$3:$E$970,3,0)</f>
        <v>#N/A</v>
      </c>
      <c r="E1055" s="67"/>
      <c r="F1055" s="138"/>
      <c r="G1055" s="67"/>
    </row>
    <row r="1056" spans="1:7" ht="13.2">
      <c r="A1056" s="49"/>
      <c r="C1056" s="143" t="e">
        <f>IFERROR(VLOOKUP(B1056,'Thống kê'!$C$3:$D$970,2, FALSE),VLOOKUP(B1056,'Thống kê v2 CC'!$A$3:$D$1005,3, FALSE))</f>
        <v>#N/A</v>
      </c>
      <c r="D1056" s="144" t="e">
        <f>VLOOKUP(B1056,'Thống kê'!$C$3:$E$970,3,0)</f>
        <v>#N/A</v>
      </c>
      <c r="E1056" s="67"/>
      <c r="F1056" s="138"/>
      <c r="G1056" s="67"/>
    </row>
    <row r="1057" spans="1:7" ht="13.2">
      <c r="A1057" s="49"/>
      <c r="C1057" s="143" t="e">
        <f>IFERROR(VLOOKUP(B1057,'Thống kê'!$C$3:$D$970,2, FALSE),VLOOKUP(B1057,'Thống kê v2 CC'!$A$3:$D$1005,3, FALSE))</f>
        <v>#N/A</v>
      </c>
      <c r="D1057" s="144" t="e">
        <f>VLOOKUP(B1057,'Thống kê'!$C$3:$E$970,3,0)</f>
        <v>#N/A</v>
      </c>
      <c r="E1057" s="67"/>
      <c r="F1057" s="138"/>
      <c r="G1057" s="67"/>
    </row>
    <row r="1058" spans="1:7" ht="13.2">
      <c r="A1058" s="49"/>
      <c r="C1058" s="143" t="e">
        <f>IFERROR(VLOOKUP(B1058,'Thống kê'!$C$3:$D$970,2, FALSE),VLOOKUP(B1058,'Thống kê v2 CC'!$A$3:$D$1005,3, FALSE))</f>
        <v>#N/A</v>
      </c>
      <c r="D1058" s="144" t="e">
        <f>VLOOKUP(B1058,'Thống kê'!$C$3:$E$970,3,0)</f>
        <v>#N/A</v>
      </c>
      <c r="E1058" s="67"/>
      <c r="F1058" s="138"/>
      <c r="G1058" s="67"/>
    </row>
    <row r="1059" spans="1:7" ht="13.2">
      <c r="A1059" s="49"/>
      <c r="C1059" s="143" t="e">
        <f>IFERROR(VLOOKUP(B1059,'Thống kê'!$C$3:$D$970,2, FALSE),VLOOKUP(B1059,'Thống kê v2 CC'!$A$3:$D$1005,3, FALSE))</f>
        <v>#N/A</v>
      </c>
      <c r="D1059" s="144" t="e">
        <f>VLOOKUP(B1059,'Thống kê'!$C$3:$E$970,3,0)</f>
        <v>#N/A</v>
      </c>
      <c r="E1059" s="67"/>
      <c r="F1059" s="138"/>
      <c r="G1059" s="67"/>
    </row>
    <row r="1060" spans="1:7" ht="13.2">
      <c r="A1060" s="49"/>
      <c r="C1060" s="143" t="e">
        <f>IFERROR(VLOOKUP(B1060,'Thống kê'!$C$3:$D$970,2, FALSE),VLOOKUP(B1060,'Thống kê v2 CC'!$A$3:$D$1005,3, FALSE))</f>
        <v>#N/A</v>
      </c>
      <c r="D1060" s="144" t="e">
        <f>VLOOKUP(B1060,'Thống kê'!$C$3:$E$970,3,0)</f>
        <v>#N/A</v>
      </c>
      <c r="E1060" s="67"/>
      <c r="F1060" s="138"/>
      <c r="G1060" s="67"/>
    </row>
    <row r="1061" spans="1:7" ht="13.2">
      <c r="A1061" s="49"/>
      <c r="C1061" s="143" t="e">
        <f>IFERROR(VLOOKUP(B1061,'Thống kê'!$C$3:$D$970,2, FALSE),VLOOKUP(B1061,'Thống kê v2 CC'!$A$3:$D$1005,3, FALSE))</f>
        <v>#N/A</v>
      </c>
      <c r="D1061" s="144" t="e">
        <f>VLOOKUP(B1061,'Thống kê'!$C$3:$E$970,3,0)</f>
        <v>#N/A</v>
      </c>
      <c r="E1061" s="67"/>
      <c r="F1061" s="138"/>
      <c r="G1061" s="67"/>
    </row>
    <row r="1062" spans="1:7" ht="13.2">
      <c r="A1062" s="49"/>
      <c r="C1062" s="143" t="e">
        <f>IFERROR(VLOOKUP(B1062,'Thống kê'!$C$3:$D$970,2, FALSE),VLOOKUP(B1062,'Thống kê v2 CC'!$A$3:$D$1005,3, FALSE))</f>
        <v>#N/A</v>
      </c>
      <c r="D1062" s="144" t="e">
        <f>VLOOKUP(B1062,'Thống kê'!$C$3:$E$970,3,0)</f>
        <v>#N/A</v>
      </c>
      <c r="E1062" s="67"/>
      <c r="F1062" s="138"/>
      <c r="G1062" s="67"/>
    </row>
    <row r="1063" spans="1:7" ht="13.2">
      <c r="A1063" s="49"/>
      <c r="C1063" s="143" t="e">
        <f>IFERROR(VLOOKUP(B1063,'Thống kê'!$C$3:$D$970,2, FALSE),VLOOKUP(B1063,'Thống kê v2 CC'!$A$3:$D$1005,3, FALSE))</f>
        <v>#N/A</v>
      </c>
      <c r="D1063" s="144" t="e">
        <f>VLOOKUP(B1063,'Thống kê'!$C$3:$E$970,3,0)</f>
        <v>#N/A</v>
      </c>
      <c r="E1063" s="67"/>
      <c r="F1063" s="138"/>
      <c r="G1063" s="67"/>
    </row>
    <row r="1064" spans="1:7" ht="13.2">
      <c r="A1064" s="49"/>
      <c r="C1064" s="143" t="e">
        <f>IFERROR(VLOOKUP(B1064,'Thống kê'!$C$3:$D$970,2, FALSE),VLOOKUP(B1064,'Thống kê v2 CC'!$A$3:$D$1005,3, FALSE))</f>
        <v>#N/A</v>
      </c>
      <c r="D1064" s="144" t="e">
        <f>VLOOKUP(B1064,'Thống kê'!$C$3:$E$970,3,0)</f>
        <v>#N/A</v>
      </c>
      <c r="E1064" s="67"/>
      <c r="F1064" s="138"/>
      <c r="G1064" s="67"/>
    </row>
    <row r="1065" spans="1:7" ht="13.2">
      <c r="A1065" s="49"/>
      <c r="C1065" s="143" t="e">
        <f>IFERROR(VLOOKUP(B1065,'Thống kê'!$C$3:$D$970,2, FALSE),VLOOKUP(B1065,'Thống kê v2 CC'!$A$3:$D$1005,3, FALSE))</f>
        <v>#N/A</v>
      </c>
      <c r="D1065" s="144" t="e">
        <f>VLOOKUP(B1065,'Thống kê'!$C$3:$E$970,3,0)</f>
        <v>#N/A</v>
      </c>
      <c r="E1065" s="67"/>
      <c r="F1065" s="138"/>
      <c r="G1065" s="67"/>
    </row>
    <row r="1066" spans="1:7" ht="13.2">
      <c r="A1066" s="49"/>
      <c r="C1066" s="143" t="e">
        <f>IFERROR(VLOOKUP(B1066,'Thống kê'!$C$3:$D$970,2, FALSE),VLOOKUP(B1066,'Thống kê v2 CC'!$A$3:$D$1005,3, FALSE))</f>
        <v>#N/A</v>
      </c>
      <c r="D1066" s="144" t="e">
        <f>VLOOKUP(B1066,'Thống kê'!$C$3:$E$970,3,0)</f>
        <v>#N/A</v>
      </c>
      <c r="E1066" s="67"/>
      <c r="F1066" s="138"/>
      <c r="G1066" s="67"/>
    </row>
    <row r="1067" spans="1:7" ht="13.2">
      <c r="A1067" s="49"/>
      <c r="C1067" s="143" t="e">
        <f>IFERROR(VLOOKUP(B1067,'Thống kê'!$C$3:$D$970,2, FALSE),VLOOKUP(B1067,'Thống kê v2 CC'!$A$3:$D$1005,3, FALSE))</f>
        <v>#N/A</v>
      </c>
      <c r="D1067" s="75"/>
      <c r="E1067" s="67"/>
      <c r="F1067" s="138"/>
      <c r="G1067" s="67"/>
    </row>
    <row r="1068" spans="1:7" ht="13.2">
      <c r="A1068" s="49"/>
      <c r="C1068" s="143" t="e">
        <f>IFERROR(VLOOKUP(B1068,'Thống kê'!$C$3:$D$970,2, FALSE),VLOOKUP(B1068,'Thống kê v2 CC'!$A$3:$D$1005,3, FALSE))</f>
        <v>#N/A</v>
      </c>
      <c r="D1068" s="75"/>
      <c r="E1068" s="67"/>
      <c r="F1068" s="138"/>
      <c r="G1068" s="67"/>
    </row>
    <row r="1069" spans="1:7" ht="13.2">
      <c r="A1069" s="49"/>
      <c r="C1069" s="143" t="e">
        <f>IFERROR(VLOOKUP(B1069,'Thống kê'!$C$3:$D$970,2, FALSE),VLOOKUP(B1069,'Thống kê v2 CC'!$A$3:$D$1005,3, FALSE))</f>
        <v>#N/A</v>
      </c>
      <c r="D1069" s="75"/>
      <c r="E1069" s="67"/>
      <c r="F1069" s="138"/>
      <c r="G1069" s="67"/>
    </row>
    <row r="1070" spans="1:7" ht="13.2">
      <c r="A1070" s="49"/>
      <c r="C1070" s="143" t="e">
        <f>IFERROR(VLOOKUP(B1070,'Thống kê'!$C$3:$D$970,2, FALSE),VLOOKUP(B1070,'Thống kê v2 CC'!$A$3:$D$1005,3, FALSE))</f>
        <v>#N/A</v>
      </c>
      <c r="D1070" s="75"/>
      <c r="E1070" s="67"/>
      <c r="F1070" s="138"/>
      <c r="G1070" s="67"/>
    </row>
    <row r="1071" spans="1:7" ht="13.2">
      <c r="A1071" s="49"/>
      <c r="C1071" s="143" t="e">
        <f>IFERROR(VLOOKUP(B1071,'Thống kê'!$C$3:$D$970,2, FALSE),VLOOKUP(B1071,'Thống kê v2 CC'!$A$3:$D$1005,3, FALSE))</f>
        <v>#N/A</v>
      </c>
      <c r="D1071" s="75"/>
      <c r="E1071" s="67"/>
      <c r="F1071" s="138"/>
      <c r="G1071" s="67"/>
    </row>
    <row r="1072" spans="1:7" ht="13.2">
      <c r="A1072" s="49"/>
      <c r="C1072" s="143" t="e">
        <f>IFERROR(VLOOKUP(B1072,'Thống kê'!$C$3:$D$970,2, FALSE),VLOOKUP(B1072,'Thống kê v2 CC'!$A$3:$D$1005,3, FALSE))</f>
        <v>#N/A</v>
      </c>
      <c r="D1072" s="75"/>
      <c r="E1072" s="67"/>
      <c r="F1072" s="138"/>
      <c r="G1072" s="67"/>
    </row>
    <row r="1073" spans="1:7" ht="13.2">
      <c r="A1073" s="49"/>
      <c r="C1073" s="143" t="e">
        <f>IFERROR(VLOOKUP(B1073,'Thống kê'!$C$3:$D$970,2, FALSE),VLOOKUP(B1073,'Thống kê v2 CC'!$A$3:$D$1005,3, FALSE))</f>
        <v>#N/A</v>
      </c>
      <c r="D1073" s="75"/>
      <c r="E1073" s="67"/>
      <c r="F1073" s="138"/>
      <c r="G1073" s="67"/>
    </row>
    <row r="1074" spans="1:7" ht="13.2">
      <c r="A1074" s="49"/>
      <c r="C1074" s="143" t="e">
        <f>IFERROR(VLOOKUP(B1074,'Thống kê'!$C$3:$D$970,2, FALSE),VLOOKUP(B1074,'Thống kê v2 CC'!$A$3:$D$1005,3, FALSE))</f>
        <v>#N/A</v>
      </c>
      <c r="D1074" s="75"/>
      <c r="E1074" s="67"/>
      <c r="F1074" s="138"/>
      <c r="G1074" s="67"/>
    </row>
    <row r="1075" spans="1:7" ht="13.2">
      <c r="A1075" s="49"/>
      <c r="C1075" s="143" t="e">
        <f>IFERROR(VLOOKUP(B1075,'Thống kê'!$C$3:$D$970,2, FALSE),VLOOKUP(B1075,'Thống kê v2 CC'!$A$3:$D$1005,3, FALSE))</f>
        <v>#N/A</v>
      </c>
      <c r="D1075" s="75"/>
      <c r="E1075" s="67"/>
      <c r="F1075" s="138"/>
      <c r="G1075" s="67"/>
    </row>
    <row r="1076" spans="1:7" ht="13.2">
      <c r="A1076" s="49"/>
      <c r="C1076" s="143" t="e">
        <f>IFERROR(VLOOKUP(B1076,'Thống kê'!$C$3:$D$970,2, FALSE),VLOOKUP(B1076,'Thống kê v2 CC'!$A$3:$D$1005,3, FALSE))</f>
        <v>#N/A</v>
      </c>
      <c r="D1076" s="75"/>
      <c r="E1076" s="67"/>
      <c r="F1076" s="138"/>
      <c r="G1076" s="67"/>
    </row>
    <row r="1077" spans="1:7" ht="13.2">
      <c r="A1077" s="49"/>
      <c r="C1077" s="143" t="e">
        <f>IFERROR(VLOOKUP(B1077,'Thống kê'!$C$3:$D$970,2, FALSE),VLOOKUP(B1077,'Thống kê v2 CC'!$A$3:$D$1005,3, FALSE))</f>
        <v>#N/A</v>
      </c>
      <c r="D1077" s="75"/>
      <c r="E1077" s="67"/>
      <c r="F1077" s="138"/>
      <c r="G1077" s="67"/>
    </row>
    <row r="1078" spans="1:7" ht="13.2">
      <c r="A1078" s="49"/>
      <c r="C1078" s="143" t="e">
        <f>IFERROR(VLOOKUP(B1078,'Thống kê'!$C$3:$D$970,2, FALSE),VLOOKUP(B1078,'Thống kê v2 CC'!$A$3:$D$1005,3, FALSE))</f>
        <v>#N/A</v>
      </c>
      <c r="D1078" s="75"/>
      <c r="E1078" s="67"/>
      <c r="F1078" s="138"/>
      <c r="G1078" s="67"/>
    </row>
    <row r="1079" spans="1:7" ht="13.2">
      <c r="A1079" s="49"/>
      <c r="C1079" s="143" t="e">
        <f>IFERROR(VLOOKUP(B1079,'Thống kê'!$C$3:$D$970,2, FALSE),VLOOKUP(B1079,'Thống kê v2 CC'!$A$3:$D$1005,3, FALSE))</f>
        <v>#N/A</v>
      </c>
      <c r="D1079" s="75"/>
      <c r="E1079" s="67"/>
      <c r="F1079" s="138"/>
      <c r="G1079" s="67"/>
    </row>
    <row r="1080" spans="1:7" ht="13.2">
      <c r="A1080" s="49"/>
      <c r="C1080" s="143" t="e">
        <f>IFERROR(VLOOKUP(B1080,'Thống kê'!$C$3:$D$970,2, FALSE),VLOOKUP(B1080,'Thống kê v2 CC'!$A$3:$D$1005,3, FALSE))</f>
        <v>#N/A</v>
      </c>
      <c r="D1080" s="75"/>
      <c r="E1080" s="67"/>
      <c r="F1080" s="138"/>
      <c r="G1080" s="67"/>
    </row>
    <row r="1081" spans="1:7" ht="13.2">
      <c r="A1081" s="49"/>
      <c r="C1081" s="143" t="e">
        <f>IFERROR(VLOOKUP(B1081,'Thống kê'!$C$3:$D$970,2, FALSE),VLOOKUP(B1081,'Thống kê v2 CC'!$A$3:$D$1005,3, FALSE))</f>
        <v>#N/A</v>
      </c>
      <c r="D1081" s="75"/>
      <c r="E1081" s="67"/>
      <c r="F1081" s="138"/>
      <c r="G1081" s="67"/>
    </row>
    <row r="1082" spans="1:7" ht="13.2">
      <c r="A1082" s="49"/>
      <c r="C1082" s="143" t="e">
        <f>IFERROR(VLOOKUP(B1082,'Thống kê'!$C$3:$D$970,2, FALSE),VLOOKUP(B1082,'Thống kê v2 CC'!$A$3:$D$1005,3, FALSE))</f>
        <v>#N/A</v>
      </c>
      <c r="D1082" s="75"/>
      <c r="E1082" s="67"/>
      <c r="F1082" s="138"/>
      <c r="G1082" s="67"/>
    </row>
    <row r="1083" spans="1:7" ht="13.2">
      <c r="A1083" s="49"/>
      <c r="C1083" s="143" t="e">
        <f>IFERROR(VLOOKUP(B1083,'Thống kê'!$C$3:$D$970,2, FALSE),VLOOKUP(B1083,'Thống kê v2 CC'!$A$3:$D$1005,3, FALSE))</f>
        <v>#N/A</v>
      </c>
      <c r="D1083" s="75"/>
      <c r="E1083" s="67"/>
      <c r="F1083" s="138"/>
      <c r="G1083" s="67"/>
    </row>
    <row r="1084" spans="1:7" ht="13.2">
      <c r="A1084" s="49"/>
      <c r="C1084" s="143" t="e">
        <f>IFERROR(VLOOKUP(B1084,'Thống kê'!$C$3:$D$970,2, FALSE),VLOOKUP(B1084,'Thống kê v2 CC'!$A$3:$D$1005,3, FALSE))</f>
        <v>#N/A</v>
      </c>
      <c r="D1084" s="75"/>
      <c r="E1084" s="67"/>
      <c r="F1084" s="138"/>
      <c r="G1084" s="67"/>
    </row>
    <row r="1085" spans="1:7" ht="13.2">
      <c r="A1085" s="49"/>
      <c r="C1085" s="143" t="e">
        <f>IFERROR(VLOOKUP(B1085,'Thống kê'!$C$3:$D$970,2, FALSE),VLOOKUP(B1085,'Thống kê v2 CC'!$A$3:$D$1005,3, FALSE))</f>
        <v>#N/A</v>
      </c>
      <c r="D1085" s="75"/>
      <c r="E1085" s="67"/>
      <c r="F1085" s="138"/>
      <c r="G1085" s="67"/>
    </row>
    <row r="1086" spans="1:7" ht="13.2">
      <c r="A1086" s="49"/>
      <c r="C1086" s="143" t="e">
        <f>IFERROR(VLOOKUP(B1086,'Thống kê'!$C$3:$D$970,2, FALSE),VLOOKUP(B1086,'Thống kê v2 CC'!$A$3:$D$1005,3, FALSE))</f>
        <v>#N/A</v>
      </c>
      <c r="D1086" s="75"/>
      <c r="E1086" s="67"/>
      <c r="F1086" s="138"/>
      <c r="G1086" s="67"/>
    </row>
    <row r="1087" spans="1:7" ht="13.2">
      <c r="A1087" s="49"/>
      <c r="D1087" s="75"/>
      <c r="E1087" s="67"/>
      <c r="F1087" s="138"/>
      <c r="G1087" s="67"/>
    </row>
    <row r="1088" spans="1:7" ht="13.2">
      <c r="A1088" s="49"/>
      <c r="D1088" s="75"/>
      <c r="E1088" s="67"/>
      <c r="F1088" s="138"/>
      <c r="G1088" s="67"/>
    </row>
    <row r="1089" spans="1:7" ht="13.2">
      <c r="A1089" s="49"/>
      <c r="D1089" s="75"/>
      <c r="E1089" s="67"/>
      <c r="F1089" s="138"/>
      <c r="G1089" s="67"/>
    </row>
    <row r="1090" spans="1:7" ht="13.2">
      <c r="A1090" s="49"/>
      <c r="D1090" s="75"/>
      <c r="E1090" s="67"/>
      <c r="F1090" s="138"/>
      <c r="G1090" s="67"/>
    </row>
    <row r="1091" spans="1:7" ht="13.2">
      <c r="A1091" s="49"/>
      <c r="D1091" s="75"/>
      <c r="E1091" s="67"/>
      <c r="F1091" s="138"/>
      <c r="G1091" s="67"/>
    </row>
    <row r="1092" spans="1:7" ht="13.2">
      <c r="A1092" s="49"/>
      <c r="D1092" s="75"/>
      <c r="E1092" s="67"/>
      <c r="F1092" s="138"/>
      <c r="G1092" s="67"/>
    </row>
    <row r="1093" spans="1:7" ht="13.2">
      <c r="A1093" s="49"/>
      <c r="D1093" s="75"/>
      <c r="E1093" s="67"/>
      <c r="F1093" s="138"/>
      <c r="G1093" s="67"/>
    </row>
    <row r="1094" spans="1:7" ht="13.2">
      <c r="A1094" s="49"/>
      <c r="D1094" s="75"/>
      <c r="E1094" s="67"/>
      <c r="F1094" s="138"/>
      <c r="G1094" s="67"/>
    </row>
    <row r="1095" spans="1:7" ht="13.2">
      <c r="A1095" s="49"/>
      <c r="D1095" s="75"/>
      <c r="E1095" s="67"/>
      <c r="F1095" s="138"/>
      <c r="G1095" s="67"/>
    </row>
    <row r="1096" spans="1:7" ht="13.2">
      <c r="A1096" s="49"/>
      <c r="D1096" s="75"/>
      <c r="E1096" s="67"/>
      <c r="F1096" s="138"/>
      <c r="G1096" s="67"/>
    </row>
    <row r="1097" spans="1:7" ht="13.2">
      <c r="A1097" s="49"/>
      <c r="D1097" s="75"/>
      <c r="E1097" s="67"/>
      <c r="F1097" s="138"/>
      <c r="G1097" s="67"/>
    </row>
    <row r="1098" spans="1:7" ht="13.2">
      <c r="A1098" s="49"/>
      <c r="D1098" s="75"/>
      <c r="E1098" s="67"/>
      <c r="F1098" s="138"/>
      <c r="G1098" s="67"/>
    </row>
    <row r="1099" spans="1:7" ht="13.2">
      <c r="A1099" s="49"/>
      <c r="D1099" s="75"/>
      <c r="E1099" s="67"/>
      <c r="F1099" s="138"/>
      <c r="G1099" s="67"/>
    </row>
    <row r="1100" spans="1:7" ht="13.2">
      <c r="A1100" s="49"/>
      <c r="D1100" s="75"/>
      <c r="E1100" s="67"/>
      <c r="F1100" s="138"/>
      <c r="G1100" s="67"/>
    </row>
    <row r="1101" spans="1:7" ht="13.2">
      <c r="A1101" s="49"/>
      <c r="D1101" s="75"/>
      <c r="E1101" s="67"/>
      <c r="F1101" s="138"/>
      <c r="G1101" s="67"/>
    </row>
    <row r="1102" spans="1:7" ht="13.2">
      <c r="A1102" s="49"/>
      <c r="D1102" s="75"/>
      <c r="E1102" s="67"/>
      <c r="F1102" s="138"/>
      <c r="G1102" s="67"/>
    </row>
    <row r="1103" spans="1:7" ht="13.2">
      <c r="A1103" s="49"/>
      <c r="D1103" s="75"/>
      <c r="E1103" s="67"/>
      <c r="F1103" s="138"/>
      <c r="G1103" s="67"/>
    </row>
    <row r="1104" spans="1:7" ht="13.2">
      <c r="A1104" s="49"/>
      <c r="D1104" s="75"/>
      <c r="E1104" s="67"/>
      <c r="F1104" s="138"/>
      <c r="G1104" s="67"/>
    </row>
    <row r="1105" spans="1:7" ht="13.2">
      <c r="A1105" s="49"/>
      <c r="D1105" s="75"/>
      <c r="E1105" s="67"/>
      <c r="F1105" s="138"/>
      <c r="G1105" s="67"/>
    </row>
    <row r="1106" spans="1:7" ht="13.2">
      <c r="A1106" s="49"/>
      <c r="D1106" s="75"/>
      <c r="E1106" s="67"/>
      <c r="F1106" s="138"/>
      <c r="G1106" s="67"/>
    </row>
    <row r="1107" spans="1:7" ht="13.2">
      <c r="A1107" s="49"/>
      <c r="D1107" s="75"/>
      <c r="E1107" s="67"/>
      <c r="F1107" s="138"/>
      <c r="G1107" s="67"/>
    </row>
    <row r="1108" spans="1:7" ht="13.2">
      <c r="A1108" s="49"/>
      <c r="D1108" s="75"/>
      <c r="E1108" s="67"/>
      <c r="F1108" s="138"/>
      <c r="G1108" s="67"/>
    </row>
    <row r="1109" spans="1:7" ht="13.2">
      <c r="A1109" s="49"/>
      <c r="D1109" s="75"/>
      <c r="E1109" s="67"/>
      <c r="F1109" s="138"/>
      <c r="G1109" s="67"/>
    </row>
    <row r="1110" spans="1:7" ht="13.2">
      <c r="A1110" s="49"/>
      <c r="D1110" s="75"/>
      <c r="E1110" s="67"/>
      <c r="F1110" s="138"/>
      <c r="G1110" s="67"/>
    </row>
    <row r="1111" spans="1:7" ht="13.2">
      <c r="A1111" s="49"/>
      <c r="D1111" s="75"/>
      <c r="E1111" s="67"/>
      <c r="F1111" s="138"/>
      <c r="G1111" s="67"/>
    </row>
    <row r="1112" spans="1:7" ht="13.2">
      <c r="A1112" s="49"/>
      <c r="D1112" s="75"/>
      <c r="E1112" s="67"/>
      <c r="F1112" s="138"/>
      <c r="G1112" s="67"/>
    </row>
    <row r="1113" spans="1:7" ht="13.2">
      <c r="A1113" s="49"/>
      <c r="D1113" s="75"/>
      <c r="E1113" s="67"/>
      <c r="F1113" s="138"/>
      <c r="G1113" s="67"/>
    </row>
    <row r="1114" spans="1:7" ht="13.2">
      <c r="A1114" s="49"/>
      <c r="D1114" s="75"/>
      <c r="E1114" s="67"/>
      <c r="F1114" s="138"/>
      <c r="G1114" s="67"/>
    </row>
    <row r="1115" spans="1:7" ht="13.2">
      <c r="A1115" s="49"/>
      <c r="D1115" s="75"/>
      <c r="E1115" s="67"/>
      <c r="F1115" s="138"/>
      <c r="G1115" s="67"/>
    </row>
    <row r="1116" spans="1:7" ht="13.2">
      <c r="A1116" s="49"/>
      <c r="D1116" s="75"/>
      <c r="E1116" s="67"/>
      <c r="F1116" s="138"/>
      <c r="G1116" s="67"/>
    </row>
    <row r="1117" spans="1:7" ht="13.2">
      <c r="A1117" s="49"/>
      <c r="D1117" s="75"/>
      <c r="E1117" s="67"/>
      <c r="F1117" s="138"/>
      <c r="G1117" s="67"/>
    </row>
    <row r="1118" spans="1:7" ht="13.2">
      <c r="A1118" s="49"/>
      <c r="D1118" s="75"/>
      <c r="E1118" s="67"/>
      <c r="F1118" s="138"/>
      <c r="G1118" s="67"/>
    </row>
    <row r="1119" spans="1:7" ht="13.2">
      <c r="A1119" s="49"/>
      <c r="D1119" s="75"/>
      <c r="E1119" s="67"/>
      <c r="F1119" s="138"/>
      <c r="G1119" s="67"/>
    </row>
    <row r="1120" spans="1:7" ht="13.2">
      <c r="A1120" s="49"/>
      <c r="D1120" s="75"/>
      <c r="E1120" s="67"/>
      <c r="F1120" s="138"/>
      <c r="G1120" s="67"/>
    </row>
    <row r="1121" spans="1:7" ht="13.2">
      <c r="A1121" s="49"/>
      <c r="D1121" s="75"/>
      <c r="E1121" s="67"/>
      <c r="F1121" s="138"/>
      <c r="G1121" s="67"/>
    </row>
    <row r="1122" spans="1:7" ht="13.2">
      <c r="A1122" s="49"/>
      <c r="D1122" s="75"/>
      <c r="E1122" s="67"/>
      <c r="F1122" s="138"/>
      <c r="G1122" s="67"/>
    </row>
    <row r="1123" spans="1:7" ht="13.2">
      <c r="A1123" s="49"/>
      <c r="D1123" s="75"/>
      <c r="E1123" s="67"/>
      <c r="F1123" s="138"/>
      <c r="G1123" s="67"/>
    </row>
    <row r="1124" spans="1:7" ht="13.2">
      <c r="A1124" s="49"/>
      <c r="D1124" s="75"/>
      <c r="E1124" s="67"/>
      <c r="F1124" s="138"/>
      <c r="G1124" s="67"/>
    </row>
    <row r="1125" spans="1:7" ht="13.2">
      <c r="A1125" s="49"/>
      <c r="D1125" s="75"/>
      <c r="E1125" s="67"/>
      <c r="F1125" s="138"/>
      <c r="G1125" s="67"/>
    </row>
    <row r="1126" spans="1:7" ht="13.2">
      <c r="A1126" s="49"/>
      <c r="D1126" s="75"/>
      <c r="E1126" s="67"/>
      <c r="F1126" s="138"/>
      <c r="G1126" s="67"/>
    </row>
    <row r="1127" spans="1:7" ht="13.2">
      <c r="A1127" s="49"/>
      <c r="D1127" s="75"/>
      <c r="E1127" s="67"/>
      <c r="F1127" s="138"/>
      <c r="G1127" s="67"/>
    </row>
    <row r="1128" spans="1:7" ht="13.2">
      <c r="A1128" s="49"/>
      <c r="D1128" s="75"/>
      <c r="E1128" s="67"/>
      <c r="F1128" s="138"/>
      <c r="G1128" s="67"/>
    </row>
    <row r="1129" spans="1:7" ht="13.2">
      <c r="A1129" s="49"/>
      <c r="D1129" s="75"/>
      <c r="E1129" s="67"/>
      <c r="F1129" s="138"/>
      <c r="G1129" s="67"/>
    </row>
    <row r="1130" spans="1:7" ht="13.2">
      <c r="A1130" s="49"/>
      <c r="D1130" s="75"/>
      <c r="E1130" s="67"/>
      <c r="F1130" s="138"/>
      <c r="G1130" s="67"/>
    </row>
    <row r="1131" spans="1:7" ht="13.2">
      <c r="A1131" s="49"/>
      <c r="D1131" s="75"/>
      <c r="E1131" s="67"/>
      <c r="F1131" s="138"/>
      <c r="G1131" s="67"/>
    </row>
    <row r="1132" spans="1:7" ht="13.2">
      <c r="A1132" s="49"/>
      <c r="D1132" s="75"/>
      <c r="E1132" s="67"/>
      <c r="F1132" s="138"/>
      <c r="G1132" s="67"/>
    </row>
    <row r="1133" spans="1:7" ht="13.2">
      <c r="A1133" s="49"/>
      <c r="D1133" s="75"/>
      <c r="E1133" s="67"/>
      <c r="F1133" s="138"/>
      <c r="G1133" s="67"/>
    </row>
    <row r="1134" spans="1:7" ht="13.2">
      <c r="A1134" s="49"/>
      <c r="D1134" s="75"/>
      <c r="E1134" s="67"/>
      <c r="F1134" s="138"/>
      <c r="G1134" s="67"/>
    </row>
    <row r="1135" spans="1:7" ht="13.2">
      <c r="A1135" s="49"/>
      <c r="D1135" s="75"/>
      <c r="E1135" s="67"/>
      <c r="F1135" s="138"/>
      <c r="G1135" s="67"/>
    </row>
    <row r="1136" spans="1:7" ht="13.2">
      <c r="A1136" s="49"/>
      <c r="D1136" s="75"/>
      <c r="E1136" s="67"/>
      <c r="F1136" s="138"/>
      <c r="G1136" s="67"/>
    </row>
    <row r="1137" spans="1:7" ht="13.2">
      <c r="A1137" s="49"/>
      <c r="D1137" s="75"/>
      <c r="E1137" s="67"/>
      <c r="F1137" s="138"/>
      <c r="G1137" s="67"/>
    </row>
    <row r="1138" spans="1:7" ht="13.2">
      <c r="A1138" s="49"/>
      <c r="D1138" s="75"/>
      <c r="E1138" s="67"/>
      <c r="F1138" s="138"/>
      <c r="G1138" s="67"/>
    </row>
    <row r="1139" spans="1:7" ht="13.2">
      <c r="A1139" s="49"/>
      <c r="D1139" s="75"/>
      <c r="E1139" s="67"/>
      <c r="F1139" s="138"/>
      <c r="G1139" s="67"/>
    </row>
    <row r="1140" spans="1:7" ht="13.2">
      <c r="A1140" s="49"/>
      <c r="D1140" s="75"/>
      <c r="E1140" s="67"/>
      <c r="F1140" s="138"/>
      <c r="G1140" s="67"/>
    </row>
    <row r="1141" spans="1:7" ht="13.2">
      <c r="A1141" s="49"/>
      <c r="D1141" s="75"/>
      <c r="E1141" s="67"/>
      <c r="F1141" s="138"/>
      <c r="G1141" s="67"/>
    </row>
    <row r="1142" spans="1:7" ht="13.2">
      <c r="A1142" s="49"/>
      <c r="D1142" s="75"/>
      <c r="E1142" s="67"/>
      <c r="F1142" s="138"/>
      <c r="G1142" s="67"/>
    </row>
    <row r="1143" spans="1:7" ht="13.2">
      <c r="A1143" s="49"/>
      <c r="D1143" s="75"/>
      <c r="E1143" s="67"/>
      <c r="F1143" s="138"/>
      <c r="G1143" s="67"/>
    </row>
    <row r="1144" spans="1:7" ht="13.2">
      <c r="A1144" s="49"/>
      <c r="D1144" s="75"/>
      <c r="E1144" s="67"/>
      <c r="F1144" s="138"/>
      <c r="G1144" s="67"/>
    </row>
    <row r="1145" spans="1:7" ht="13.2">
      <c r="A1145" s="49"/>
      <c r="D1145" s="75"/>
      <c r="E1145" s="67"/>
      <c r="F1145" s="138"/>
      <c r="G1145" s="67"/>
    </row>
    <row r="1146" spans="1:7" ht="13.2">
      <c r="A1146" s="49"/>
      <c r="D1146" s="75"/>
      <c r="E1146" s="67"/>
      <c r="F1146" s="138"/>
      <c r="G1146" s="67"/>
    </row>
    <row r="1147" spans="1:7" ht="13.2">
      <c r="A1147" s="49"/>
      <c r="D1147" s="75"/>
      <c r="E1147" s="67"/>
      <c r="F1147" s="138"/>
      <c r="G1147" s="67"/>
    </row>
    <row r="1148" spans="1:7" ht="13.2">
      <c r="A1148" s="49"/>
      <c r="D1148" s="75"/>
      <c r="E1148" s="67"/>
      <c r="F1148" s="138"/>
      <c r="G1148" s="67"/>
    </row>
    <row r="1149" spans="1:7" ht="13.2">
      <c r="A1149" s="49"/>
      <c r="D1149" s="75"/>
      <c r="E1149" s="67"/>
      <c r="F1149" s="138"/>
      <c r="G1149" s="67"/>
    </row>
    <row r="1150" spans="1:7" ht="13.2">
      <c r="A1150" s="49"/>
      <c r="D1150" s="75"/>
      <c r="E1150" s="67"/>
      <c r="F1150" s="138"/>
      <c r="G1150" s="67"/>
    </row>
    <row r="1151" spans="1:7" ht="13.2">
      <c r="A1151" s="49"/>
      <c r="D1151" s="75"/>
      <c r="E1151" s="67"/>
      <c r="F1151" s="138"/>
      <c r="G1151" s="67"/>
    </row>
    <row r="1152" spans="1:7" ht="13.2">
      <c r="A1152" s="49"/>
      <c r="D1152" s="75"/>
      <c r="E1152" s="67"/>
      <c r="F1152" s="138"/>
      <c r="G1152" s="67"/>
    </row>
    <row r="1153" spans="1:7" ht="13.2">
      <c r="A1153" s="49"/>
      <c r="D1153" s="75"/>
      <c r="E1153" s="67"/>
      <c r="F1153" s="138"/>
      <c r="G1153" s="67"/>
    </row>
    <row r="1154" spans="1:7" ht="13.2">
      <c r="A1154" s="49"/>
      <c r="D1154" s="75"/>
      <c r="E1154" s="67"/>
      <c r="F1154" s="138"/>
      <c r="G1154" s="67"/>
    </row>
    <row r="1155" spans="1:7" ht="13.2">
      <c r="A1155" s="49"/>
      <c r="D1155" s="75"/>
      <c r="E1155" s="67"/>
      <c r="F1155" s="138"/>
      <c r="G1155" s="67"/>
    </row>
    <row r="1156" spans="1:7" ht="13.2">
      <c r="A1156" s="49"/>
      <c r="D1156" s="75"/>
      <c r="E1156" s="67"/>
      <c r="F1156" s="138"/>
      <c r="G1156" s="67"/>
    </row>
    <row r="1157" spans="1:7" ht="13.2">
      <c r="A1157" s="49"/>
      <c r="D1157" s="75"/>
      <c r="E1157" s="67"/>
      <c r="F1157" s="138"/>
      <c r="G1157" s="67"/>
    </row>
    <row r="1158" spans="1:7" ht="13.2">
      <c r="A1158" s="49"/>
      <c r="D1158" s="75"/>
      <c r="E1158" s="67"/>
      <c r="F1158" s="138"/>
      <c r="G1158" s="67"/>
    </row>
    <row r="1159" spans="1:7" ht="13.2">
      <c r="A1159" s="49"/>
      <c r="D1159" s="75"/>
      <c r="E1159" s="67"/>
      <c r="F1159" s="138"/>
      <c r="G1159" s="67"/>
    </row>
    <row r="1160" spans="1:7" ht="13.2">
      <c r="A1160" s="49"/>
      <c r="D1160" s="75"/>
      <c r="E1160" s="67"/>
      <c r="F1160" s="138"/>
      <c r="G1160" s="67"/>
    </row>
    <row r="1161" spans="1:7" ht="13.2">
      <c r="A1161" s="49"/>
      <c r="D1161" s="75"/>
      <c r="E1161" s="67"/>
      <c r="F1161" s="138"/>
      <c r="G1161" s="67"/>
    </row>
    <row r="1162" spans="1:7" ht="13.2">
      <c r="A1162" s="49"/>
      <c r="D1162" s="75"/>
      <c r="E1162" s="67"/>
      <c r="F1162" s="138"/>
      <c r="G1162" s="67"/>
    </row>
    <row r="1163" spans="1:7" ht="13.2">
      <c r="A1163" s="49"/>
      <c r="D1163" s="75"/>
      <c r="E1163" s="67"/>
      <c r="F1163" s="138"/>
      <c r="G1163" s="67"/>
    </row>
    <row r="1164" spans="1:7" ht="13.2">
      <c r="A1164" s="49"/>
      <c r="D1164" s="75"/>
      <c r="E1164" s="67"/>
      <c r="F1164" s="138"/>
      <c r="G1164" s="67"/>
    </row>
    <row r="1165" spans="1:7" ht="13.2">
      <c r="A1165" s="49"/>
      <c r="D1165" s="75"/>
      <c r="E1165" s="67"/>
      <c r="F1165" s="138"/>
      <c r="G1165" s="67"/>
    </row>
    <row r="1166" spans="1:7" ht="13.2">
      <c r="A1166" s="49"/>
      <c r="D1166" s="75"/>
      <c r="E1166" s="67"/>
      <c r="F1166" s="138"/>
      <c r="G1166" s="67"/>
    </row>
    <row r="1167" spans="1:7" ht="13.2">
      <c r="A1167" s="49"/>
      <c r="D1167" s="75"/>
      <c r="E1167" s="67"/>
      <c r="F1167" s="138"/>
      <c r="G1167" s="67"/>
    </row>
    <row r="1168" spans="1:7" ht="13.2">
      <c r="A1168" s="49"/>
      <c r="D1168" s="75"/>
      <c r="E1168" s="67"/>
      <c r="F1168" s="138"/>
      <c r="G1168" s="67"/>
    </row>
    <row r="1169" spans="1:7" ht="13.2">
      <c r="A1169" s="49"/>
      <c r="D1169" s="75"/>
      <c r="E1169" s="67"/>
      <c r="F1169" s="138"/>
      <c r="G1169" s="67"/>
    </row>
    <row r="1170" spans="1:7" ht="13.2">
      <c r="A1170" s="49"/>
      <c r="D1170" s="75"/>
      <c r="E1170" s="67"/>
      <c r="F1170" s="138"/>
      <c r="G1170" s="67"/>
    </row>
    <row r="1171" spans="1:7" ht="13.2">
      <c r="A1171" s="49"/>
      <c r="D1171" s="75"/>
      <c r="E1171" s="67"/>
      <c r="F1171" s="138"/>
      <c r="G1171" s="67"/>
    </row>
    <row r="1172" spans="1:7" ht="13.2">
      <c r="A1172" s="49"/>
      <c r="D1172" s="75"/>
      <c r="E1172" s="67"/>
      <c r="F1172" s="138"/>
      <c r="G1172" s="67"/>
    </row>
    <row r="1173" spans="1:7" ht="13.2">
      <c r="A1173" s="49"/>
      <c r="D1173" s="75"/>
      <c r="E1173" s="67"/>
      <c r="F1173" s="138"/>
      <c r="G1173" s="67"/>
    </row>
    <row r="1174" spans="1:7" ht="13.2">
      <c r="A1174" s="49"/>
      <c r="D1174" s="75"/>
      <c r="E1174" s="67"/>
      <c r="F1174" s="138"/>
      <c r="G1174" s="67"/>
    </row>
    <row r="1175" spans="1:7" ht="13.2">
      <c r="A1175" s="49"/>
      <c r="D1175" s="75"/>
      <c r="E1175" s="67"/>
      <c r="F1175" s="138"/>
      <c r="G1175" s="67"/>
    </row>
    <row r="1176" spans="1:7" ht="13.2">
      <c r="A1176" s="49"/>
      <c r="D1176" s="75"/>
      <c r="E1176" s="67"/>
      <c r="F1176" s="138"/>
      <c r="G1176" s="67"/>
    </row>
    <row r="1177" spans="1:7" ht="13.2">
      <c r="A1177" s="49"/>
      <c r="D1177" s="75"/>
      <c r="E1177" s="67"/>
      <c r="F1177" s="138"/>
      <c r="G1177" s="67"/>
    </row>
    <row r="1178" spans="1:7" ht="13.2">
      <c r="A1178" s="49"/>
      <c r="D1178" s="75"/>
      <c r="E1178" s="67"/>
      <c r="F1178" s="138"/>
      <c r="G1178" s="67"/>
    </row>
    <row r="1179" spans="1:7" ht="13.2">
      <c r="A1179" s="49"/>
      <c r="D1179" s="75"/>
      <c r="E1179" s="67"/>
      <c r="F1179" s="138"/>
      <c r="G1179" s="67"/>
    </row>
    <row r="1180" spans="1:7" ht="13.2">
      <c r="A1180" s="49"/>
      <c r="D1180" s="75"/>
      <c r="E1180" s="67"/>
      <c r="F1180" s="138"/>
      <c r="G1180" s="67"/>
    </row>
    <row r="1181" spans="1:7" ht="13.2">
      <c r="A1181" s="49"/>
      <c r="D1181" s="75"/>
      <c r="E1181" s="67"/>
      <c r="F1181" s="138"/>
      <c r="G1181" s="67"/>
    </row>
    <row r="1182" spans="1:7" ht="13.2">
      <c r="A1182" s="49"/>
      <c r="D1182" s="75"/>
      <c r="E1182" s="67"/>
      <c r="F1182" s="138"/>
      <c r="G1182" s="67"/>
    </row>
    <row r="1183" spans="1:7" ht="13.2">
      <c r="A1183" s="49"/>
      <c r="D1183" s="75"/>
      <c r="E1183" s="67"/>
      <c r="F1183" s="138"/>
      <c r="G1183" s="67"/>
    </row>
    <row r="1184" spans="1:7" ht="13.2">
      <c r="A1184" s="49"/>
      <c r="D1184" s="75"/>
      <c r="E1184" s="67"/>
      <c r="F1184" s="138"/>
      <c r="G1184" s="67"/>
    </row>
    <row r="1185" spans="1:7" ht="13.2">
      <c r="A1185" s="49"/>
      <c r="D1185" s="75"/>
      <c r="E1185" s="67"/>
      <c r="F1185" s="138"/>
      <c r="G1185" s="67"/>
    </row>
    <row r="1186" spans="1:7" ht="13.2">
      <c r="A1186" s="49"/>
      <c r="D1186" s="75"/>
      <c r="E1186" s="67"/>
      <c r="F1186" s="138"/>
      <c r="G1186" s="67"/>
    </row>
    <row r="1187" spans="1:7" ht="13.2">
      <c r="A1187" s="49"/>
      <c r="D1187" s="75"/>
      <c r="E1187" s="67"/>
      <c r="F1187" s="138"/>
      <c r="G1187" s="67"/>
    </row>
    <row r="1188" spans="1:7" ht="13.2">
      <c r="A1188" s="49"/>
      <c r="D1188" s="75"/>
      <c r="E1188" s="67"/>
      <c r="F1188" s="138"/>
      <c r="G1188" s="67"/>
    </row>
    <row r="1189" spans="1:7" ht="13.2">
      <c r="A1189" s="49"/>
      <c r="D1189" s="75"/>
      <c r="E1189" s="67"/>
      <c r="F1189" s="138"/>
      <c r="G1189" s="67"/>
    </row>
    <row r="1190" spans="1:7" ht="13.2">
      <c r="A1190" s="49"/>
      <c r="D1190" s="75"/>
      <c r="E1190" s="67"/>
      <c r="F1190" s="138"/>
      <c r="G1190" s="67"/>
    </row>
    <row r="1191" spans="1:7" ht="13.2">
      <c r="A1191" s="49"/>
      <c r="D1191" s="75"/>
      <c r="E1191" s="67"/>
      <c r="F1191" s="138"/>
      <c r="G1191" s="67"/>
    </row>
    <row r="1192" spans="1:7" ht="13.2">
      <c r="A1192" s="49"/>
      <c r="D1192" s="75"/>
      <c r="E1192" s="67"/>
      <c r="F1192" s="138"/>
      <c r="G1192" s="67"/>
    </row>
    <row r="1193" spans="1:7" ht="13.2">
      <c r="A1193" s="49"/>
      <c r="D1193" s="75"/>
      <c r="E1193" s="67"/>
      <c r="F1193" s="138"/>
      <c r="G1193" s="67"/>
    </row>
    <row r="1194" spans="1:7" ht="13.2">
      <c r="A1194" s="49"/>
      <c r="D1194" s="75"/>
      <c r="E1194" s="67"/>
      <c r="F1194" s="138"/>
      <c r="G1194" s="67"/>
    </row>
    <row r="1195" spans="1:7" ht="13.2">
      <c r="A1195" s="49"/>
      <c r="D1195" s="75"/>
      <c r="E1195" s="67"/>
      <c r="F1195" s="138"/>
      <c r="G1195" s="67"/>
    </row>
    <row r="1196" spans="1:7" ht="13.2">
      <c r="A1196" s="49"/>
      <c r="D1196" s="75"/>
      <c r="E1196" s="67"/>
      <c r="F1196" s="138"/>
      <c r="G1196" s="67"/>
    </row>
    <row r="1197" spans="1:7" ht="13.2">
      <c r="A1197" s="49"/>
      <c r="D1197" s="75"/>
      <c r="E1197" s="67"/>
      <c r="F1197" s="138"/>
      <c r="G1197" s="67"/>
    </row>
    <row r="1198" spans="1:7" ht="13.2">
      <c r="A1198" s="49"/>
      <c r="D1198" s="75"/>
      <c r="E1198" s="67"/>
      <c r="F1198" s="138"/>
      <c r="G1198" s="67"/>
    </row>
    <row r="1199" spans="1:7" ht="13.2">
      <c r="A1199" s="49"/>
      <c r="D1199" s="75"/>
      <c r="E1199" s="67"/>
      <c r="F1199" s="138"/>
      <c r="G1199" s="67"/>
    </row>
    <row r="1200" spans="1:7" ht="13.2">
      <c r="A1200" s="49"/>
      <c r="D1200" s="75"/>
      <c r="E1200" s="67"/>
      <c r="F1200" s="138"/>
      <c r="G1200" s="67"/>
    </row>
    <row r="1201" spans="1:7" ht="13.2">
      <c r="A1201" s="49"/>
      <c r="D1201" s="75"/>
      <c r="E1201" s="67"/>
      <c r="F1201" s="138"/>
      <c r="G1201" s="67"/>
    </row>
    <row r="1202" spans="1:7" ht="13.2">
      <c r="A1202" s="49"/>
      <c r="D1202" s="75"/>
      <c r="E1202" s="67"/>
      <c r="F1202" s="138"/>
      <c r="G1202" s="67"/>
    </row>
    <row r="1203" spans="1:7" ht="13.2">
      <c r="A1203" s="49"/>
      <c r="D1203" s="75"/>
      <c r="E1203" s="67"/>
      <c r="F1203" s="138"/>
      <c r="G1203" s="67"/>
    </row>
    <row r="1204" spans="1:7" ht="13.2">
      <c r="A1204" s="49"/>
      <c r="D1204" s="75"/>
      <c r="E1204" s="67"/>
      <c r="F1204" s="138"/>
      <c r="G1204" s="67"/>
    </row>
    <row r="1205" spans="1:7" ht="13.2">
      <c r="A1205" s="49"/>
      <c r="D1205" s="75"/>
      <c r="E1205" s="67"/>
      <c r="F1205" s="138"/>
      <c r="G1205" s="67"/>
    </row>
    <row r="1206" spans="1:7" ht="13.2">
      <c r="A1206" s="49"/>
      <c r="D1206" s="75"/>
      <c r="E1206" s="67"/>
      <c r="F1206" s="138"/>
      <c r="G1206" s="67"/>
    </row>
    <row r="1207" spans="1:7" ht="13.2">
      <c r="A1207" s="49"/>
      <c r="D1207" s="75"/>
      <c r="E1207" s="67"/>
      <c r="F1207" s="138"/>
      <c r="G1207" s="67"/>
    </row>
    <row r="1208" spans="1:7" ht="13.2">
      <c r="A1208" s="49"/>
      <c r="D1208" s="75"/>
      <c r="E1208" s="67"/>
      <c r="F1208" s="138"/>
      <c r="G1208" s="67"/>
    </row>
    <row r="1209" spans="1:7" ht="13.2">
      <c r="A1209" s="49"/>
      <c r="D1209" s="75"/>
      <c r="E1209" s="67"/>
      <c r="F1209" s="138"/>
      <c r="G1209" s="67"/>
    </row>
    <row r="1210" spans="1:7" ht="13.2">
      <c r="A1210" s="49"/>
      <c r="D1210" s="75"/>
      <c r="E1210" s="67"/>
      <c r="F1210" s="138"/>
      <c r="G1210" s="67"/>
    </row>
    <row r="1211" spans="1:7" ht="13.2">
      <c r="A1211" s="49"/>
      <c r="D1211" s="75"/>
      <c r="E1211" s="67"/>
      <c r="F1211" s="138"/>
      <c r="G1211" s="67"/>
    </row>
    <row r="1212" spans="1:7" ht="13.2">
      <c r="A1212" s="49"/>
      <c r="D1212" s="75"/>
      <c r="E1212" s="67"/>
      <c r="F1212" s="138"/>
      <c r="G1212" s="67"/>
    </row>
    <row r="1213" spans="1:7" ht="13.2">
      <c r="A1213" s="49"/>
      <c r="D1213" s="75"/>
      <c r="E1213" s="67"/>
      <c r="F1213" s="138"/>
      <c r="G1213" s="67"/>
    </row>
    <row r="1214" spans="1:7" ht="13.2">
      <c r="A1214" s="49"/>
      <c r="D1214" s="75"/>
      <c r="E1214" s="67"/>
      <c r="F1214" s="138"/>
      <c r="G1214" s="67"/>
    </row>
    <row r="1215" spans="1:7" ht="13.2">
      <c r="A1215" s="49"/>
      <c r="D1215" s="75"/>
      <c r="E1215" s="67"/>
      <c r="F1215" s="138"/>
      <c r="G1215" s="67"/>
    </row>
    <row r="1216" spans="1:7" ht="13.2">
      <c r="A1216" s="49"/>
      <c r="D1216" s="75"/>
      <c r="E1216" s="67"/>
      <c r="F1216" s="138"/>
      <c r="G1216" s="67"/>
    </row>
    <row r="1217" spans="1:7" ht="13.2">
      <c r="A1217" s="49"/>
      <c r="D1217" s="75"/>
      <c r="E1217" s="67"/>
      <c r="F1217" s="138"/>
      <c r="G1217" s="67"/>
    </row>
    <row r="1218" spans="1:7" ht="13.2">
      <c r="A1218" s="49"/>
      <c r="D1218" s="75"/>
      <c r="E1218" s="67"/>
      <c r="F1218" s="138"/>
      <c r="G1218" s="67"/>
    </row>
    <row r="1219" spans="1:7" ht="13.2">
      <c r="A1219" s="49"/>
      <c r="D1219" s="75"/>
      <c r="E1219" s="67"/>
      <c r="F1219" s="138"/>
      <c r="G1219" s="67"/>
    </row>
    <row r="1220" spans="1:7" ht="13.2">
      <c r="A1220" s="49"/>
      <c r="D1220" s="75"/>
      <c r="E1220" s="67"/>
      <c r="F1220" s="138"/>
      <c r="G1220" s="67"/>
    </row>
    <row r="1221" spans="1:7" ht="13.2">
      <c r="A1221" s="49"/>
      <c r="D1221" s="75"/>
      <c r="E1221" s="67"/>
      <c r="F1221" s="138"/>
      <c r="G1221" s="67"/>
    </row>
    <row r="1222" spans="1:7" ht="13.2">
      <c r="A1222" s="49"/>
      <c r="D1222" s="75"/>
      <c r="E1222" s="67"/>
      <c r="F1222" s="138"/>
      <c r="G1222" s="67"/>
    </row>
    <row r="1223" spans="1:7" ht="13.2">
      <c r="A1223" s="49"/>
      <c r="D1223" s="75"/>
      <c r="E1223" s="67"/>
      <c r="F1223" s="138"/>
      <c r="G1223" s="67"/>
    </row>
    <row r="1224" spans="1:7" ht="13.2">
      <c r="A1224" s="49"/>
      <c r="D1224" s="75"/>
      <c r="E1224" s="67"/>
      <c r="F1224" s="138"/>
      <c r="G1224" s="67"/>
    </row>
    <row r="1225" spans="1:7" ht="13.2">
      <c r="A1225" s="49"/>
      <c r="D1225" s="75"/>
      <c r="E1225" s="67"/>
      <c r="F1225" s="138"/>
      <c r="G1225" s="67"/>
    </row>
    <row r="1226" spans="1:7" ht="13.2">
      <c r="A1226" s="49"/>
      <c r="D1226" s="75"/>
      <c r="E1226" s="67"/>
      <c r="F1226" s="138"/>
      <c r="G1226" s="67"/>
    </row>
    <row r="1227" spans="1:7" ht="13.2">
      <c r="A1227" s="49"/>
      <c r="D1227" s="75"/>
      <c r="E1227" s="67"/>
      <c r="F1227" s="138"/>
      <c r="G1227" s="67"/>
    </row>
    <row r="1228" spans="1:7" ht="13.2">
      <c r="A1228" s="49"/>
      <c r="D1228" s="75"/>
      <c r="E1228" s="67"/>
      <c r="F1228" s="138"/>
      <c r="G1228" s="67"/>
    </row>
    <row r="1229" spans="1:7" ht="13.2">
      <c r="A1229" s="49"/>
      <c r="D1229" s="75"/>
      <c r="E1229" s="67"/>
      <c r="F1229" s="138"/>
      <c r="G1229" s="67"/>
    </row>
    <row r="1230" spans="1:7" ht="13.2">
      <c r="A1230" s="49"/>
      <c r="D1230" s="75"/>
      <c r="E1230" s="67"/>
      <c r="F1230" s="138"/>
      <c r="G1230" s="67"/>
    </row>
    <row r="1231" spans="1:7" ht="13.2">
      <c r="A1231" s="49"/>
      <c r="D1231" s="75"/>
      <c r="E1231" s="67"/>
      <c r="F1231" s="138"/>
      <c r="G1231" s="67"/>
    </row>
    <row r="1232" spans="1:7" ht="13.2">
      <c r="A1232" s="49"/>
      <c r="D1232" s="75"/>
      <c r="E1232" s="67"/>
      <c r="F1232" s="138"/>
      <c r="G1232" s="67"/>
    </row>
    <row r="1233" spans="1:7" ht="13.2">
      <c r="A1233" s="49"/>
      <c r="D1233" s="75"/>
      <c r="E1233" s="67"/>
      <c r="F1233" s="138"/>
      <c r="G1233" s="67"/>
    </row>
    <row r="1234" spans="1:7" ht="13.2">
      <c r="A1234" s="49"/>
      <c r="D1234" s="75"/>
      <c r="E1234" s="67"/>
      <c r="F1234" s="138"/>
      <c r="G1234" s="67"/>
    </row>
    <row r="1235" spans="1:7" ht="13.2">
      <c r="A1235" s="49"/>
      <c r="D1235" s="75"/>
      <c r="E1235" s="67"/>
      <c r="F1235" s="138"/>
      <c r="G1235" s="67"/>
    </row>
    <row r="1236" spans="1:7" ht="13.2">
      <c r="A1236" s="49"/>
      <c r="D1236" s="75"/>
      <c r="E1236" s="67"/>
      <c r="F1236" s="138"/>
      <c r="G1236" s="67"/>
    </row>
    <row r="1237" spans="1:7" ht="13.2">
      <c r="A1237" s="49"/>
      <c r="D1237" s="75"/>
      <c r="E1237" s="67"/>
      <c r="F1237" s="138"/>
      <c r="G1237" s="67"/>
    </row>
    <row r="1238" spans="1:7" ht="13.2">
      <c r="A1238" s="49"/>
      <c r="D1238" s="75"/>
      <c r="E1238" s="67"/>
      <c r="F1238" s="138"/>
      <c r="G1238" s="67"/>
    </row>
    <row r="1239" spans="1:7" ht="13.2">
      <c r="A1239" s="49"/>
      <c r="D1239" s="75"/>
      <c r="E1239" s="67"/>
      <c r="F1239" s="138"/>
      <c r="G1239" s="67"/>
    </row>
    <row r="1240" spans="1:7" ht="13.2">
      <c r="A1240" s="49"/>
      <c r="D1240" s="75"/>
      <c r="E1240" s="67"/>
      <c r="F1240" s="138"/>
      <c r="G1240" s="67"/>
    </row>
    <row r="1241" spans="1:7" ht="13.2">
      <c r="A1241" s="49"/>
      <c r="D1241" s="75"/>
      <c r="E1241" s="67"/>
      <c r="F1241" s="138"/>
      <c r="G1241" s="67"/>
    </row>
    <row r="1242" spans="1:7" ht="13.2">
      <c r="A1242" s="49"/>
      <c r="D1242" s="75"/>
      <c r="E1242" s="67"/>
      <c r="F1242" s="138"/>
      <c r="G1242" s="67"/>
    </row>
    <row r="1243" spans="1:7" ht="13.2">
      <c r="A1243" s="49"/>
      <c r="D1243" s="75"/>
      <c r="E1243" s="67"/>
      <c r="F1243" s="138"/>
      <c r="G1243" s="67"/>
    </row>
    <row r="1244" spans="1:7" ht="13.2">
      <c r="A1244" s="49"/>
      <c r="D1244" s="75"/>
      <c r="E1244" s="67"/>
      <c r="F1244" s="138"/>
      <c r="G1244" s="67"/>
    </row>
    <row r="1245" spans="1:7" ht="13.2">
      <c r="A1245" s="49"/>
      <c r="D1245" s="75"/>
      <c r="E1245" s="67"/>
      <c r="F1245" s="138"/>
      <c r="G1245" s="67"/>
    </row>
    <row r="1246" spans="1:7" ht="13.2">
      <c r="A1246" s="49"/>
      <c r="D1246" s="75"/>
      <c r="E1246" s="67"/>
      <c r="F1246" s="138"/>
      <c r="G1246" s="67"/>
    </row>
    <row r="1247" spans="1:7" ht="13.2">
      <c r="A1247" s="49"/>
      <c r="D1247" s="75"/>
      <c r="E1247" s="67"/>
      <c r="F1247" s="138"/>
      <c r="G1247" s="67"/>
    </row>
    <row r="1248" spans="1:7" ht="13.2">
      <c r="A1248" s="49"/>
      <c r="D1248" s="75"/>
      <c r="E1248" s="67"/>
      <c r="F1248" s="138"/>
      <c r="G1248" s="67"/>
    </row>
    <row r="1249" spans="1:7" ht="13.2">
      <c r="A1249" s="49"/>
      <c r="D1249" s="75"/>
      <c r="E1249" s="67"/>
      <c r="F1249" s="138"/>
      <c r="G1249" s="67"/>
    </row>
    <row r="1250" spans="1:7" ht="13.2">
      <c r="A1250" s="49"/>
      <c r="D1250" s="75"/>
      <c r="E1250" s="67"/>
      <c r="F1250" s="138"/>
      <c r="G1250" s="67"/>
    </row>
    <row r="1251" spans="1:7" ht="13.2">
      <c r="A1251" s="49"/>
      <c r="D1251" s="75"/>
      <c r="E1251" s="67"/>
      <c r="F1251" s="138"/>
      <c r="G1251" s="67"/>
    </row>
    <row r="1252" spans="1:7" ht="13.2">
      <c r="A1252" s="49"/>
      <c r="D1252" s="75"/>
      <c r="E1252" s="67"/>
      <c r="F1252" s="138"/>
      <c r="G1252" s="67"/>
    </row>
    <row r="1253" spans="1:7" ht="13.2">
      <c r="A1253" s="49"/>
      <c r="D1253" s="75"/>
      <c r="E1253" s="67"/>
      <c r="F1253" s="138"/>
      <c r="G1253" s="67"/>
    </row>
    <row r="1254" spans="1:7" ht="13.2">
      <c r="A1254" s="49"/>
      <c r="D1254" s="75"/>
      <c r="E1254" s="67"/>
      <c r="F1254" s="138"/>
      <c r="G1254" s="67"/>
    </row>
    <row r="1255" spans="1:7" ht="13.2">
      <c r="A1255" s="49"/>
      <c r="D1255" s="75"/>
      <c r="E1255" s="67"/>
      <c r="F1255" s="138"/>
      <c r="G1255" s="67"/>
    </row>
    <row r="1256" spans="1:7" ht="13.2">
      <c r="A1256" s="49"/>
      <c r="D1256" s="75"/>
      <c r="E1256" s="67"/>
      <c r="F1256" s="138"/>
      <c r="G1256" s="67"/>
    </row>
    <row r="1257" spans="1:7" ht="13.2">
      <c r="A1257" s="49"/>
      <c r="D1257" s="75"/>
      <c r="E1257" s="67"/>
      <c r="F1257" s="138"/>
      <c r="G1257" s="67"/>
    </row>
    <row r="1258" spans="1:7" ht="13.2">
      <c r="A1258" s="49"/>
      <c r="D1258" s="75"/>
      <c r="E1258" s="67"/>
      <c r="F1258" s="138"/>
      <c r="G1258" s="67"/>
    </row>
    <row r="1259" spans="1:7" ht="13.2">
      <c r="A1259" s="49"/>
      <c r="D1259" s="75"/>
      <c r="E1259" s="67"/>
      <c r="F1259" s="138"/>
      <c r="G1259" s="67"/>
    </row>
    <row r="1260" spans="1:7" ht="13.2">
      <c r="A1260" s="49"/>
      <c r="D1260" s="75"/>
      <c r="E1260" s="67"/>
      <c r="F1260" s="138"/>
      <c r="G1260" s="67"/>
    </row>
    <row r="1261" spans="1:7" ht="13.2">
      <c r="A1261" s="49"/>
      <c r="D1261" s="75"/>
      <c r="E1261" s="67"/>
      <c r="F1261" s="138"/>
      <c r="G1261" s="67"/>
    </row>
    <row r="1262" spans="1:7" ht="13.2">
      <c r="A1262" s="49"/>
      <c r="D1262" s="75"/>
      <c r="E1262" s="67"/>
      <c r="F1262" s="138"/>
      <c r="G1262" s="67"/>
    </row>
    <row r="1263" spans="1:7" ht="13.2">
      <c r="A1263" s="49"/>
      <c r="D1263" s="75"/>
      <c r="E1263" s="67"/>
      <c r="F1263" s="138"/>
      <c r="G1263" s="67"/>
    </row>
    <row r="1264" spans="1:7" ht="13.2">
      <c r="A1264" s="49"/>
      <c r="D1264" s="75"/>
      <c r="E1264" s="67"/>
      <c r="F1264" s="138"/>
      <c r="G1264" s="67"/>
    </row>
    <row r="1265" spans="1:7" ht="13.2">
      <c r="A1265" s="49"/>
      <c r="D1265" s="75"/>
      <c r="E1265" s="67"/>
      <c r="F1265" s="138"/>
      <c r="G1265" s="67"/>
    </row>
    <row r="1266" spans="1:7" ht="13.2">
      <c r="A1266" s="49"/>
      <c r="D1266" s="75"/>
      <c r="E1266" s="67"/>
      <c r="F1266" s="138"/>
      <c r="G1266" s="67"/>
    </row>
    <row r="1267" spans="1:7" ht="13.2">
      <c r="A1267" s="49"/>
      <c r="D1267" s="75"/>
      <c r="E1267" s="67"/>
      <c r="F1267" s="138"/>
      <c r="G1267" s="67"/>
    </row>
    <row r="1268" spans="1:7" ht="13.2">
      <c r="A1268" s="49"/>
      <c r="D1268" s="75"/>
      <c r="E1268" s="67"/>
      <c r="F1268" s="138"/>
      <c r="G1268" s="67"/>
    </row>
    <row r="1269" spans="1:7" ht="13.2">
      <c r="A1269" s="49"/>
      <c r="D1269" s="75"/>
      <c r="E1269" s="67"/>
      <c r="F1269" s="138"/>
      <c r="G1269" s="67"/>
    </row>
    <row r="1270" spans="1:7" ht="13.2">
      <c r="A1270" s="49"/>
      <c r="D1270" s="75"/>
      <c r="E1270" s="67"/>
      <c r="F1270" s="138"/>
      <c r="G1270" s="67"/>
    </row>
    <row r="1271" spans="1:7" ht="13.2">
      <c r="A1271" s="49"/>
      <c r="D1271" s="75"/>
      <c r="E1271" s="67"/>
      <c r="F1271" s="138"/>
      <c r="G1271" s="67"/>
    </row>
    <row r="1272" spans="1:7" ht="13.2">
      <c r="A1272" s="49"/>
      <c r="D1272" s="75"/>
      <c r="E1272" s="67"/>
      <c r="F1272" s="138"/>
      <c r="G1272" s="67"/>
    </row>
    <row r="1273" spans="1:7" ht="13.2">
      <c r="A1273" s="49"/>
      <c r="D1273" s="75"/>
      <c r="E1273" s="67"/>
      <c r="F1273" s="138"/>
      <c r="G1273" s="67"/>
    </row>
    <row r="1274" spans="1:7" ht="13.2">
      <c r="A1274" s="49"/>
      <c r="D1274" s="75"/>
      <c r="E1274" s="67"/>
      <c r="F1274" s="138"/>
      <c r="G1274" s="67"/>
    </row>
    <row r="1275" spans="1:7" ht="13.2">
      <c r="A1275" s="49"/>
      <c r="D1275" s="75"/>
      <c r="E1275" s="67"/>
      <c r="F1275" s="138"/>
      <c r="G1275" s="67"/>
    </row>
    <row r="1276" spans="1:7" ht="13.2">
      <c r="A1276" s="49"/>
      <c r="D1276" s="75"/>
      <c r="E1276" s="67"/>
      <c r="F1276" s="138"/>
      <c r="G1276" s="67"/>
    </row>
    <row r="1277" spans="1:7" ht="13.2">
      <c r="A1277" s="49"/>
      <c r="D1277" s="75"/>
      <c r="E1277" s="67"/>
      <c r="F1277" s="138"/>
      <c r="G1277" s="67"/>
    </row>
    <row r="1278" spans="1:7" ht="13.2">
      <c r="A1278" s="49"/>
      <c r="D1278" s="75"/>
      <c r="E1278" s="67"/>
      <c r="F1278" s="138"/>
      <c r="G1278" s="67"/>
    </row>
    <row r="1279" spans="1:7" ht="13.2">
      <c r="A1279" s="49"/>
      <c r="D1279" s="75"/>
      <c r="E1279" s="67"/>
      <c r="F1279" s="138"/>
      <c r="G1279" s="67"/>
    </row>
    <row r="1280" spans="1:7" ht="13.2">
      <c r="A1280" s="49"/>
      <c r="D1280" s="75"/>
      <c r="E1280" s="67"/>
      <c r="F1280" s="138"/>
      <c r="G1280" s="67"/>
    </row>
    <row r="1281" spans="1:7" ht="13.2">
      <c r="A1281" s="49"/>
      <c r="D1281" s="75"/>
      <c r="E1281" s="67"/>
      <c r="F1281" s="138"/>
      <c r="G1281" s="67"/>
    </row>
    <row r="1282" spans="1:7" ht="13.2">
      <c r="A1282" s="49"/>
      <c r="D1282" s="75"/>
      <c r="E1282" s="67"/>
      <c r="F1282" s="138"/>
      <c r="G1282" s="67"/>
    </row>
    <row r="1283" spans="1:7" ht="13.2">
      <c r="A1283" s="49"/>
      <c r="D1283" s="75"/>
      <c r="E1283" s="67"/>
      <c r="F1283" s="138"/>
      <c r="G1283" s="67"/>
    </row>
    <row r="1284" spans="1:7" ht="13.2">
      <c r="A1284" s="49"/>
      <c r="D1284" s="75"/>
      <c r="E1284" s="67"/>
      <c r="F1284" s="138"/>
      <c r="G1284" s="67"/>
    </row>
    <row r="1285" spans="1:7" ht="13.2">
      <c r="A1285" s="49"/>
      <c r="D1285" s="75"/>
      <c r="E1285" s="67"/>
      <c r="F1285" s="138"/>
      <c r="G1285" s="67"/>
    </row>
    <row r="1286" spans="1:7" ht="13.2">
      <c r="A1286" s="49"/>
      <c r="D1286" s="75"/>
      <c r="E1286" s="67"/>
      <c r="F1286" s="138"/>
      <c r="G1286" s="67"/>
    </row>
    <row r="1287" spans="1:7" ht="13.2">
      <c r="A1287" s="49"/>
      <c r="D1287" s="75"/>
      <c r="E1287" s="67"/>
      <c r="F1287" s="138"/>
      <c r="G1287" s="67"/>
    </row>
    <row r="1288" spans="1:7" ht="13.2">
      <c r="A1288" s="49"/>
      <c r="D1288" s="75"/>
      <c r="E1288" s="67"/>
      <c r="F1288" s="138"/>
      <c r="G1288" s="67"/>
    </row>
    <row r="1289" spans="1:7" ht="13.2">
      <c r="A1289" s="49"/>
      <c r="D1289" s="75"/>
      <c r="E1289" s="67"/>
      <c r="F1289" s="138"/>
      <c r="G1289" s="67"/>
    </row>
    <row r="1290" spans="1:7" ht="13.2">
      <c r="A1290" s="49"/>
      <c r="D1290" s="75"/>
      <c r="E1290" s="67"/>
      <c r="F1290" s="138"/>
      <c r="G1290" s="67"/>
    </row>
    <row r="1291" spans="1:7" ht="13.2">
      <c r="A1291" s="49"/>
      <c r="D1291" s="75"/>
      <c r="E1291" s="67"/>
      <c r="F1291" s="138"/>
      <c r="G1291" s="67"/>
    </row>
    <row r="1292" spans="1:7" ht="13.2">
      <c r="A1292" s="49"/>
      <c r="D1292" s="75"/>
      <c r="E1292" s="67"/>
      <c r="F1292" s="138"/>
      <c r="G1292" s="67"/>
    </row>
    <row r="1293" spans="1:7" ht="13.2">
      <c r="A1293" s="49"/>
      <c r="D1293" s="75"/>
      <c r="E1293" s="67"/>
      <c r="F1293" s="138"/>
      <c r="G1293" s="67"/>
    </row>
    <row r="1294" spans="1:7" ht="13.2">
      <c r="A1294" s="49"/>
      <c r="D1294" s="75"/>
      <c r="E1294" s="67"/>
      <c r="F1294" s="138"/>
      <c r="G1294" s="67"/>
    </row>
    <row r="1295" spans="1:7" ht="13.2">
      <c r="A1295" s="49"/>
      <c r="D1295" s="75"/>
      <c r="E1295" s="67"/>
      <c r="F1295" s="138"/>
      <c r="G1295" s="67"/>
    </row>
    <row r="1296" spans="1:7" ht="13.2">
      <c r="A1296" s="49"/>
      <c r="D1296" s="75"/>
      <c r="E1296" s="67"/>
      <c r="F1296" s="138"/>
      <c r="G1296" s="67"/>
    </row>
    <row r="1297" spans="1:7" ht="13.2">
      <c r="A1297" s="49"/>
      <c r="D1297" s="75"/>
      <c r="E1297" s="67"/>
      <c r="F1297" s="138"/>
      <c r="G1297" s="67"/>
    </row>
    <row r="1298" spans="1:7" ht="13.2">
      <c r="A1298" s="49"/>
      <c r="D1298" s="75"/>
      <c r="E1298" s="67"/>
      <c r="F1298" s="138"/>
      <c r="G1298" s="67"/>
    </row>
    <row r="1299" spans="1:7" ht="13.2">
      <c r="A1299" s="49"/>
      <c r="D1299" s="75"/>
      <c r="E1299" s="67"/>
      <c r="F1299" s="138"/>
      <c r="G1299" s="67"/>
    </row>
    <row r="1300" spans="1:7" ht="13.2">
      <c r="A1300" s="49"/>
      <c r="D1300" s="75"/>
      <c r="E1300" s="67"/>
      <c r="F1300" s="138"/>
      <c r="G1300" s="67"/>
    </row>
    <row r="1301" spans="1:7" ht="13.2">
      <c r="A1301" s="49"/>
      <c r="D1301" s="75"/>
      <c r="E1301" s="67"/>
      <c r="F1301" s="138"/>
      <c r="G1301" s="67"/>
    </row>
    <row r="1302" spans="1:7" ht="13.2">
      <c r="A1302" s="49"/>
      <c r="D1302" s="75"/>
      <c r="E1302" s="67"/>
      <c r="F1302" s="138"/>
      <c r="G1302" s="67"/>
    </row>
    <row r="1303" spans="1:7" ht="13.2">
      <c r="A1303" s="49"/>
      <c r="D1303" s="75"/>
      <c r="E1303" s="67"/>
      <c r="F1303" s="138"/>
      <c r="G1303" s="67"/>
    </row>
    <row r="1304" spans="1:7" ht="13.2">
      <c r="A1304" s="49"/>
      <c r="D1304" s="75"/>
      <c r="E1304" s="67"/>
      <c r="F1304" s="138"/>
      <c r="G1304" s="67"/>
    </row>
    <row r="1305" spans="1:7" ht="13.2">
      <c r="A1305" s="49"/>
      <c r="D1305" s="75"/>
      <c r="E1305" s="67"/>
      <c r="F1305" s="138"/>
      <c r="G1305" s="67"/>
    </row>
    <row r="1306" spans="1:7" ht="13.2">
      <c r="A1306" s="49"/>
      <c r="D1306" s="75"/>
      <c r="E1306" s="67"/>
      <c r="F1306" s="138"/>
      <c r="G1306" s="67"/>
    </row>
    <row r="1307" spans="1:7" ht="13.2">
      <c r="A1307" s="49"/>
      <c r="D1307" s="75"/>
      <c r="E1307" s="67"/>
      <c r="F1307" s="138"/>
      <c r="G1307" s="67"/>
    </row>
    <row r="1308" spans="1:7" ht="13.2">
      <c r="A1308" s="49"/>
      <c r="D1308" s="75"/>
      <c r="E1308" s="67"/>
      <c r="F1308" s="138"/>
      <c r="G1308" s="67"/>
    </row>
    <row r="1309" spans="1:7" ht="13.2">
      <c r="A1309" s="49"/>
      <c r="D1309" s="75"/>
      <c r="E1309" s="67"/>
      <c r="F1309" s="138"/>
      <c r="G1309" s="67"/>
    </row>
    <row r="1310" spans="1:7" ht="13.2">
      <c r="A1310" s="49"/>
      <c r="D1310" s="75"/>
      <c r="E1310" s="67"/>
      <c r="F1310" s="138"/>
      <c r="G1310" s="67"/>
    </row>
    <row r="1311" spans="1:7" ht="13.2">
      <c r="A1311" s="49"/>
      <c r="D1311" s="75"/>
      <c r="E1311" s="67"/>
      <c r="F1311" s="138"/>
      <c r="G1311" s="67"/>
    </row>
    <row r="1312" spans="1:7" ht="13.2">
      <c r="A1312" s="49"/>
      <c r="D1312" s="75"/>
      <c r="E1312" s="67"/>
      <c r="F1312" s="138"/>
      <c r="G1312" s="67"/>
    </row>
    <row r="1313" spans="1:7" ht="13.2">
      <c r="A1313" s="49"/>
      <c r="D1313" s="75"/>
      <c r="E1313" s="67"/>
      <c r="F1313" s="138"/>
      <c r="G1313" s="67"/>
    </row>
    <row r="1314" spans="1:7" ht="13.2">
      <c r="A1314" s="49"/>
      <c r="D1314" s="75"/>
      <c r="E1314" s="67"/>
      <c r="F1314" s="138"/>
      <c r="G1314" s="67"/>
    </row>
    <row r="1315" spans="1:7" ht="13.2">
      <c r="A1315" s="49"/>
      <c r="D1315" s="75"/>
      <c r="E1315" s="67"/>
      <c r="F1315" s="138"/>
      <c r="G1315" s="67"/>
    </row>
    <row r="1316" spans="1:7" ht="13.2">
      <c r="A1316" s="49"/>
      <c r="D1316" s="75"/>
      <c r="E1316" s="67"/>
      <c r="F1316" s="138"/>
      <c r="G1316" s="67"/>
    </row>
    <row r="1317" spans="1:7" ht="13.2">
      <c r="A1317" s="49"/>
      <c r="D1317" s="75"/>
      <c r="E1317" s="67"/>
      <c r="F1317" s="138"/>
      <c r="G1317" s="67"/>
    </row>
    <row r="1318" spans="1:7" ht="13.2">
      <c r="A1318" s="49"/>
      <c r="D1318" s="75"/>
      <c r="E1318" s="67"/>
      <c r="F1318" s="138"/>
      <c r="G1318" s="67"/>
    </row>
    <row r="1319" spans="1:7" ht="13.2">
      <c r="A1319" s="49"/>
      <c r="D1319" s="75"/>
      <c r="E1319" s="67"/>
      <c r="F1319" s="138"/>
      <c r="G1319" s="67"/>
    </row>
    <row r="1320" spans="1:7" ht="13.2">
      <c r="A1320" s="49"/>
      <c r="D1320" s="75"/>
      <c r="E1320" s="67"/>
      <c r="F1320" s="138"/>
      <c r="G1320" s="67"/>
    </row>
    <row r="1321" spans="1:7" ht="13.2">
      <c r="A1321" s="49"/>
      <c r="D1321" s="75"/>
      <c r="E1321" s="67"/>
      <c r="F1321" s="138"/>
      <c r="G1321" s="67"/>
    </row>
    <row r="1322" spans="1:7" ht="13.2">
      <c r="A1322" s="49"/>
      <c r="D1322" s="75"/>
      <c r="E1322" s="67"/>
      <c r="F1322" s="138"/>
      <c r="G1322" s="67"/>
    </row>
    <row r="1323" spans="1:7" ht="13.2">
      <c r="A1323" s="49"/>
      <c r="D1323" s="75"/>
      <c r="E1323" s="67"/>
      <c r="F1323" s="138"/>
      <c r="G1323" s="67"/>
    </row>
    <row r="1324" spans="1:7" ht="13.2">
      <c r="A1324" s="49"/>
      <c r="D1324" s="75"/>
      <c r="E1324" s="67"/>
      <c r="F1324" s="138"/>
      <c r="G1324" s="67"/>
    </row>
    <row r="1325" spans="1:7" ht="13.2">
      <c r="A1325" s="49"/>
      <c r="D1325" s="75"/>
      <c r="E1325" s="67"/>
      <c r="F1325" s="138"/>
      <c r="G1325" s="67"/>
    </row>
    <row r="1326" spans="1:7" ht="13.2">
      <c r="A1326" s="49"/>
      <c r="D1326" s="75"/>
      <c r="E1326" s="67"/>
      <c r="F1326" s="138"/>
      <c r="G1326" s="67"/>
    </row>
    <row r="1327" spans="1:7" ht="13.2">
      <c r="A1327" s="49"/>
      <c r="D1327" s="75"/>
      <c r="E1327" s="67"/>
      <c r="F1327" s="138"/>
      <c r="G1327" s="67"/>
    </row>
    <row r="1328" spans="1:7" ht="13.2">
      <c r="A1328" s="49"/>
      <c r="D1328" s="75"/>
      <c r="E1328" s="67"/>
      <c r="F1328" s="138"/>
      <c r="G1328" s="67"/>
    </row>
    <row r="1329" spans="1:7" ht="13.2">
      <c r="A1329" s="49"/>
      <c r="D1329" s="75"/>
      <c r="E1329" s="67"/>
      <c r="F1329" s="138"/>
      <c r="G1329" s="67"/>
    </row>
    <row r="1330" spans="1:7" ht="13.2">
      <c r="A1330" s="49"/>
      <c r="D1330" s="75"/>
      <c r="E1330" s="67"/>
      <c r="F1330" s="138"/>
      <c r="G1330" s="67"/>
    </row>
    <row r="1331" spans="1:7" ht="13.2">
      <c r="A1331" s="49"/>
      <c r="D1331" s="75"/>
      <c r="E1331" s="67"/>
      <c r="F1331" s="138"/>
      <c r="G1331" s="67"/>
    </row>
    <row r="1332" spans="1:7" ht="13.2">
      <c r="A1332" s="49"/>
      <c r="D1332" s="75"/>
      <c r="E1332" s="67"/>
      <c r="F1332" s="138"/>
      <c r="G1332" s="67"/>
    </row>
    <row r="1333" spans="1:7" ht="13.2">
      <c r="A1333" s="49"/>
      <c r="D1333" s="75"/>
      <c r="E1333" s="67"/>
      <c r="F1333" s="138"/>
      <c r="G1333" s="67"/>
    </row>
    <row r="1334" spans="1:7" ht="13.2">
      <c r="A1334" s="49"/>
      <c r="D1334" s="75"/>
      <c r="E1334" s="67"/>
      <c r="F1334" s="138"/>
      <c r="G1334" s="67"/>
    </row>
    <row r="1335" spans="1:7" ht="13.2">
      <c r="A1335" s="49"/>
      <c r="D1335" s="75"/>
      <c r="E1335" s="67"/>
      <c r="F1335" s="138"/>
      <c r="G1335" s="67"/>
    </row>
    <row r="1336" spans="1:7" ht="13.2">
      <c r="A1336" s="49"/>
      <c r="D1336" s="75"/>
      <c r="E1336" s="67"/>
      <c r="F1336" s="138"/>
      <c r="G1336" s="67"/>
    </row>
    <row r="1337" spans="1:7" ht="13.2">
      <c r="A1337" s="49"/>
      <c r="D1337" s="75"/>
      <c r="E1337" s="67"/>
      <c r="F1337" s="138"/>
      <c r="G1337" s="67"/>
    </row>
    <row r="1338" spans="1:7" ht="13.2">
      <c r="A1338" s="49"/>
      <c r="D1338" s="75"/>
      <c r="E1338" s="67"/>
      <c r="F1338" s="138"/>
      <c r="G1338" s="67"/>
    </row>
    <row r="1339" spans="1:7" ht="13.2">
      <c r="A1339" s="49"/>
      <c r="D1339" s="75"/>
      <c r="E1339" s="67"/>
      <c r="F1339" s="138"/>
      <c r="G1339" s="67"/>
    </row>
    <row r="1340" spans="1:7" ht="13.2">
      <c r="A1340" s="49"/>
      <c r="D1340" s="75"/>
      <c r="E1340" s="67"/>
      <c r="F1340" s="138"/>
      <c r="G1340" s="67"/>
    </row>
    <row r="1341" spans="1:7" ht="13.2">
      <c r="A1341" s="49"/>
      <c r="D1341" s="75"/>
      <c r="E1341" s="67"/>
      <c r="F1341" s="138"/>
      <c r="G1341" s="67"/>
    </row>
    <row r="1342" spans="1:7" ht="13.2">
      <c r="A1342" s="49"/>
      <c r="D1342" s="75"/>
      <c r="E1342" s="67"/>
      <c r="F1342" s="138"/>
      <c r="G1342" s="67"/>
    </row>
    <row r="1343" spans="1:7" ht="13.2">
      <c r="A1343" s="49"/>
      <c r="D1343" s="75"/>
      <c r="E1343" s="67"/>
      <c r="F1343" s="138"/>
      <c r="G1343" s="67"/>
    </row>
    <row r="1344" spans="1:7" ht="13.2">
      <c r="A1344" s="49"/>
      <c r="D1344" s="75"/>
      <c r="E1344" s="67"/>
      <c r="F1344" s="138"/>
      <c r="G1344" s="67"/>
    </row>
    <row r="1345" spans="1:7" ht="13.2">
      <c r="A1345" s="49"/>
      <c r="D1345" s="75"/>
      <c r="E1345" s="67"/>
      <c r="F1345" s="138"/>
      <c r="G1345" s="67"/>
    </row>
    <row r="1346" spans="1:7" ht="13.2">
      <c r="A1346" s="49"/>
      <c r="D1346" s="75"/>
      <c r="E1346" s="67"/>
      <c r="F1346" s="138"/>
      <c r="G1346" s="67"/>
    </row>
    <row r="1347" spans="1:7" ht="13.2">
      <c r="A1347" s="49"/>
      <c r="D1347" s="75"/>
      <c r="E1347" s="67"/>
      <c r="F1347" s="138"/>
      <c r="G1347" s="67"/>
    </row>
    <row r="1348" spans="1:7" ht="13.2">
      <c r="A1348" s="49"/>
      <c r="D1348" s="75"/>
      <c r="E1348" s="67"/>
      <c r="F1348" s="138"/>
      <c r="G1348" s="67"/>
    </row>
    <row r="1349" spans="1:7" ht="13.2">
      <c r="A1349" s="49"/>
      <c r="D1349" s="75"/>
      <c r="E1349" s="67"/>
      <c r="F1349" s="138"/>
      <c r="G1349" s="67"/>
    </row>
    <row r="1350" spans="1:7" ht="13.2">
      <c r="A1350" s="49"/>
      <c r="D1350" s="75"/>
      <c r="E1350" s="67"/>
      <c r="F1350" s="138"/>
      <c r="G1350" s="67"/>
    </row>
    <row r="1351" spans="1:7" ht="13.2">
      <c r="A1351" s="49"/>
      <c r="D1351" s="75"/>
      <c r="E1351" s="67"/>
      <c r="F1351" s="138"/>
      <c r="G1351" s="67"/>
    </row>
    <row r="1352" spans="1:7" ht="13.2">
      <c r="A1352" s="49"/>
      <c r="D1352" s="75"/>
      <c r="E1352" s="67"/>
      <c r="F1352" s="138"/>
      <c r="G1352" s="67"/>
    </row>
    <row r="1353" spans="1:7" ht="13.2">
      <c r="A1353" s="49"/>
      <c r="D1353" s="75"/>
      <c r="E1353" s="67"/>
      <c r="F1353" s="138"/>
      <c r="G1353" s="67"/>
    </row>
    <row r="1354" spans="1:7" ht="13.2">
      <c r="A1354" s="49"/>
      <c r="D1354" s="75"/>
      <c r="E1354" s="67"/>
      <c r="F1354" s="138"/>
      <c r="G1354" s="67"/>
    </row>
    <row r="1355" spans="1:7" ht="13.2">
      <c r="A1355" s="49"/>
      <c r="D1355" s="75"/>
      <c r="E1355" s="67"/>
      <c r="F1355" s="138"/>
      <c r="G1355" s="67"/>
    </row>
    <row r="1356" spans="1:7" ht="13.2">
      <c r="A1356" s="49"/>
      <c r="D1356" s="75"/>
      <c r="E1356" s="67"/>
      <c r="F1356" s="138"/>
      <c r="G1356" s="67"/>
    </row>
    <row r="1357" spans="1:7" ht="13.2">
      <c r="A1357" s="49"/>
      <c r="D1357" s="75"/>
      <c r="E1357" s="67"/>
      <c r="F1357" s="138"/>
      <c r="G1357" s="67"/>
    </row>
    <row r="1358" spans="1:7" ht="13.2">
      <c r="A1358" s="49"/>
      <c r="D1358" s="75"/>
      <c r="E1358" s="67"/>
      <c r="F1358" s="138"/>
      <c r="G1358" s="67"/>
    </row>
    <row r="1359" spans="1:7" ht="13.2">
      <c r="A1359" s="49"/>
      <c r="D1359" s="75"/>
      <c r="E1359" s="67"/>
      <c r="F1359" s="138"/>
      <c r="G1359" s="67"/>
    </row>
    <row r="1360" spans="1:7" ht="13.2">
      <c r="A1360" s="49"/>
      <c r="D1360" s="75"/>
      <c r="E1360" s="67"/>
      <c r="F1360" s="138"/>
      <c r="G1360" s="67"/>
    </row>
    <row r="1361" spans="1:7" ht="13.2">
      <c r="A1361" s="49"/>
      <c r="D1361" s="75"/>
      <c r="E1361" s="67"/>
      <c r="F1361" s="138"/>
      <c r="G1361" s="67"/>
    </row>
    <row r="1362" spans="1:7" ht="13.2">
      <c r="A1362" s="49"/>
      <c r="D1362" s="75"/>
      <c r="E1362" s="67"/>
      <c r="F1362" s="138"/>
      <c r="G1362" s="67"/>
    </row>
    <row r="1363" spans="1:7" ht="13.2">
      <c r="A1363" s="49"/>
      <c r="D1363" s="75"/>
      <c r="E1363" s="67"/>
      <c r="F1363" s="138"/>
      <c r="G1363" s="67"/>
    </row>
    <row r="1364" spans="1:7" ht="13.2">
      <c r="A1364" s="49"/>
      <c r="D1364" s="75"/>
      <c r="E1364" s="67"/>
      <c r="F1364" s="138"/>
      <c r="G1364" s="67"/>
    </row>
    <row r="1365" spans="1:7" ht="13.2">
      <c r="A1365" s="49"/>
      <c r="D1365" s="75"/>
      <c r="E1365" s="67"/>
      <c r="F1365" s="138"/>
      <c r="G1365" s="67"/>
    </row>
    <row r="1366" spans="1:7" ht="13.2">
      <c r="A1366" s="49"/>
      <c r="D1366" s="75"/>
      <c r="E1366" s="67"/>
      <c r="F1366" s="138"/>
      <c r="G1366" s="67"/>
    </row>
    <row r="1367" spans="1:7" ht="13.2">
      <c r="A1367" s="49"/>
      <c r="D1367" s="75"/>
      <c r="E1367" s="67"/>
      <c r="F1367" s="138"/>
      <c r="G1367" s="67"/>
    </row>
    <row r="1368" spans="1:7" ht="13.2">
      <c r="A1368" s="49"/>
      <c r="D1368" s="75"/>
      <c r="E1368" s="67"/>
      <c r="F1368" s="138"/>
      <c r="G1368" s="67"/>
    </row>
    <row r="1369" spans="1:7" ht="13.2">
      <c r="A1369" s="49"/>
      <c r="D1369" s="75"/>
      <c r="E1369" s="67"/>
      <c r="F1369" s="138"/>
      <c r="G1369" s="67"/>
    </row>
    <row r="1370" spans="1:7" ht="13.2">
      <c r="A1370" s="49"/>
      <c r="D1370" s="75"/>
      <c r="E1370" s="67"/>
      <c r="F1370" s="138"/>
      <c r="G1370" s="67"/>
    </row>
    <row r="1371" spans="1:7" ht="13.2">
      <c r="A1371" s="49"/>
      <c r="D1371" s="75"/>
      <c r="E1371" s="67"/>
      <c r="F1371" s="138"/>
      <c r="G1371" s="67"/>
    </row>
    <row r="1372" spans="1:7" ht="13.2">
      <c r="A1372" s="49"/>
      <c r="D1372" s="75"/>
      <c r="E1372" s="67"/>
      <c r="F1372" s="138"/>
      <c r="G1372" s="67"/>
    </row>
    <row r="1373" spans="1:7" ht="13.2">
      <c r="A1373" s="49"/>
      <c r="D1373" s="75"/>
      <c r="E1373" s="67"/>
      <c r="F1373" s="138"/>
      <c r="G1373" s="67"/>
    </row>
    <row r="1374" spans="1:7" ht="13.2">
      <c r="A1374" s="49"/>
      <c r="D1374" s="75"/>
      <c r="E1374" s="67"/>
      <c r="F1374" s="138"/>
      <c r="G1374" s="67"/>
    </row>
    <row r="1375" spans="1:7" ht="13.2">
      <c r="A1375" s="49"/>
      <c r="D1375" s="75"/>
      <c r="E1375" s="67"/>
      <c r="F1375" s="138"/>
      <c r="G1375" s="67"/>
    </row>
    <row r="1376" spans="1:7" ht="13.2">
      <c r="A1376" s="49"/>
      <c r="D1376" s="75"/>
      <c r="E1376" s="67"/>
      <c r="F1376" s="138"/>
      <c r="G1376" s="67"/>
    </row>
    <row r="1377" spans="1:7" ht="13.2">
      <c r="A1377" s="49"/>
      <c r="D1377" s="75"/>
      <c r="E1377" s="67"/>
      <c r="F1377" s="138"/>
      <c r="G1377" s="67"/>
    </row>
    <row r="1378" spans="1:7" ht="13.2">
      <c r="A1378" s="49"/>
      <c r="D1378" s="75"/>
      <c r="E1378" s="67"/>
      <c r="F1378" s="138"/>
      <c r="G1378" s="67"/>
    </row>
    <row r="1379" spans="1:7" ht="13.2">
      <c r="A1379" s="49"/>
      <c r="D1379" s="75"/>
      <c r="E1379" s="67"/>
      <c r="F1379" s="138"/>
      <c r="G1379" s="67"/>
    </row>
    <row r="1380" spans="1:7" ht="13.2">
      <c r="A1380" s="49"/>
      <c r="D1380" s="75"/>
      <c r="E1380" s="67"/>
      <c r="F1380" s="138"/>
      <c r="G1380" s="67"/>
    </row>
    <row r="1381" spans="1:7" ht="13.2">
      <c r="A1381" s="49"/>
      <c r="D1381" s="75"/>
      <c r="E1381" s="67"/>
      <c r="F1381" s="138"/>
      <c r="G1381" s="67"/>
    </row>
    <row r="1382" spans="1:7" ht="13.2">
      <c r="A1382" s="49"/>
      <c r="D1382" s="75"/>
      <c r="E1382" s="67"/>
      <c r="F1382" s="138"/>
      <c r="G1382" s="67"/>
    </row>
    <row r="1383" spans="1:7" ht="13.2">
      <c r="A1383" s="49"/>
      <c r="D1383" s="75"/>
      <c r="E1383" s="67"/>
      <c r="F1383" s="138"/>
      <c r="G1383" s="67"/>
    </row>
    <row r="1384" spans="1:7" ht="13.2">
      <c r="A1384" s="49"/>
      <c r="D1384" s="75"/>
      <c r="E1384" s="67"/>
      <c r="F1384" s="138"/>
      <c r="G1384" s="67"/>
    </row>
    <row r="1385" spans="1:7" ht="13.2">
      <c r="A1385" s="49"/>
      <c r="D1385" s="75"/>
      <c r="E1385" s="67"/>
      <c r="F1385" s="138"/>
      <c r="G1385" s="67"/>
    </row>
    <row r="1386" spans="1:7" ht="13.2">
      <c r="A1386" s="49"/>
      <c r="D1386" s="75"/>
      <c r="E1386" s="67"/>
      <c r="F1386" s="138"/>
      <c r="G1386" s="67"/>
    </row>
    <row r="1387" spans="1:7" ht="13.2">
      <c r="A1387" s="49"/>
      <c r="D1387" s="75"/>
      <c r="E1387" s="67"/>
      <c r="F1387" s="138"/>
      <c r="G1387" s="67"/>
    </row>
    <row r="1388" spans="1:7" ht="13.2">
      <c r="A1388" s="49"/>
      <c r="D1388" s="75"/>
      <c r="E1388" s="67"/>
      <c r="F1388" s="138"/>
      <c r="G1388" s="67"/>
    </row>
    <row r="1389" spans="1:7" ht="13.2">
      <c r="A1389" s="49"/>
      <c r="D1389" s="75"/>
      <c r="E1389" s="67"/>
      <c r="F1389" s="138"/>
      <c r="G1389" s="67"/>
    </row>
    <row r="1390" spans="1:7" ht="13.2">
      <c r="A1390" s="49"/>
      <c r="D1390" s="75"/>
      <c r="E1390" s="67"/>
      <c r="F1390" s="138"/>
      <c r="G1390" s="67"/>
    </row>
    <row r="1391" spans="1:7" ht="13.2">
      <c r="A1391" s="49"/>
      <c r="D1391" s="75"/>
      <c r="E1391" s="67"/>
      <c r="F1391" s="138"/>
      <c r="G1391" s="67"/>
    </row>
    <row r="1392" spans="1:7" ht="13.2">
      <c r="A1392" s="49"/>
      <c r="D1392" s="75"/>
      <c r="E1392" s="67"/>
      <c r="F1392" s="138"/>
      <c r="G1392" s="67"/>
    </row>
    <row r="1393" spans="1:7" ht="13.2">
      <c r="A1393" s="49"/>
      <c r="D1393" s="75"/>
      <c r="E1393" s="67"/>
      <c r="F1393" s="138"/>
      <c r="G1393" s="67"/>
    </row>
    <row r="1394" spans="1:7" ht="13.2">
      <c r="A1394" s="49"/>
      <c r="D1394" s="75"/>
      <c r="E1394" s="67"/>
      <c r="F1394" s="138"/>
      <c r="G1394" s="67"/>
    </row>
    <row r="1395" spans="1:7" ht="13.2">
      <c r="A1395" s="49"/>
      <c r="D1395" s="75"/>
      <c r="E1395" s="67"/>
      <c r="F1395" s="138"/>
      <c r="G1395" s="67"/>
    </row>
    <row r="1396" spans="1:7" ht="13.2">
      <c r="A1396" s="49"/>
      <c r="D1396" s="75"/>
      <c r="E1396" s="67"/>
      <c r="F1396" s="138"/>
      <c r="G1396" s="67"/>
    </row>
    <row r="1397" spans="1:7" ht="13.2">
      <c r="A1397" s="49"/>
      <c r="D1397" s="75"/>
      <c r="E1397" s="67"/>
      <c r="F1397" s="138"/>
      <c r="G1397" s="67"/>
    </row>
    <row r="1398" spans="1:7" ht="13.2">
      <c r="A1398" s="49"/>
      <c r="D1398" s="75"/>
      <c r="E1398" s="67"/>
      <c r="F1398" s="138"/>
      <c r="G1398" s="67"/>
    </row>
    <row r="1399" spans="1:7" ht="13.2">
      <c r="A1399" s="49"/>
      <c r="D1399" s="75"/>
      <c r="E1399" s="67"/>
      <c r="F1399" s="138"/>
      <c r="G1399" s="67"/>
    </row>
    <row r="1400" spans="1:7" ht="13.2">
      <c r="A1400" s="49"/>
      <c r="D1400" s="75"/>
      <c r="E1400" s="67"/>
      <c r="F1400" s="138"/>
      <c r="G1400" s="67"/>
    </row>
    <row r="1401" spans="1:7" ht="13.2">
      <c r="A1401" s="49"/>
      <c r="D1401" s="75"/>
      <c r="E1401" s="67"/>
      <c r="F1401" s="138"/>
      <c r="G1401" s="67"/>
    </row>
    <row r="1402" spans="1:7" ht="13.2">
      <c r="A1402" s="49"/>
      <c r="D1402" s="75"/>
      <c r="E1402" s="67"/>
      <c r="F1402" s="138"/>
      <c r="G1402" s="67"/>
    </row>
    <row r="1403" spans="1:7" ht="13.2">
      <c r="A1403" s="49"/>
      <c r="D1403" s="75"/>
      <c r="E1403" s="67"/>
      <c r="F1403" s="138"/>
      <c r="G1403" s="67"/>
    </row>
    <row r="1404" spans="1:7" ht="13.2">
      <c r="A1404" s="49"/>
      <c r="D1404" s="75"/>
      <c r="E1404" s="67"/>
      <c r="F1404" s="138"/>
      <c r="G1404" s="67"/>
    </row>
    <row r="1405" spans="1:7" ht="13.2">
      <c r="A1405" s="49"/>
      <c r="D1405" s="75"/>
      <c r="E1405" s="67"/>
      <c r="F1405" s="138"/>
      <c r="G1405" s="67"/>
    </row>
    <row r="1406" spans="1:7" ht="13.2">
      <c r="A1406" s="49"/>
      <c r="D1406" s="75"/>
      <c r="E1406" s="67"/>
      <c r="F1406" s="138"/>
      <c r="G1406" s="67"/>
    </row>
    <row r="1407" spans="1:7" ht="13.2">
      <c r="A1407" s="49"/>
      <c r="D1407" s="75"/>
      <c r="E1407" s="67"/>
      <c r="F1407" s="138"/>
      <c r="G1407" s="67"/>
    </row>
    <row r="1408" spans="1:7" ht="13.2">
      <c r="A1408" s="49"/>
      <c r="D1408" s="75"/>
      <c r="E1408" s="67"/>
      <c r="F1408" s="138"/>
      <c r="G1408" s="67"/>
    </row>
    <row r="1409" spans="1:7" ht="13.2">
      <c r="A1409" s="49"/>
      <c r="D1409" s="75"/>
      <c r="E1409" s="67"/>
      <c r="F1409" s="138"/>
      <c r="G1409" s="67"/>
    </row>
    <row r="1410" spans="1:7" ht="13.2">
      <c r="A1410" s="49"/>
      <c r="D1410" s="75"/>
      <c r="E1410" s="67"/>
      <c r="F1410" s="138"/>
      <c r="G1410" s="67"/>
    </row>
    <row r="1411" spans="1:7" ht="13.2">
      <c r="A1411" s="49"/>
      <c r="D1411" s="75"/>
      <c r="E1411" s="67"/>
      <c r="F1411" s="138"/>
      <c r="G1411" s="67"/>
    </row>
    <row r="1412" spans="1:7" ht="13.2">
      <c r="A1412" s="49"/>
      <c r="D1412" s="75"/>
      <c r="E1412" s="67"/>
      <c r="F1412" s="138"/>
      <c r="G1412" s="67"/>
    </row>
    <row r="1413" spans="1:7" ht="13.2">
      <c r="A1413" s="49"/>
      <c r="D1413" s="75"/>
      <c r="E1413" s="67"/>
      <c r="F1413" s="138"/>
      <c r="G1413" s="67"/>
    </row>
    <row r="1414" spans="1:7" ht="13.2">
      <c r="A1414" s="49"/>
      <c r="D1414" s="75"/>
      <c r="E1414" s="67"/>
      <c r="F1414" s="138"/>
      <c r="G1414" s="67"/>
    </row>
    <row r="1415" spans="1:7" ht="13.2">
      <c r="A1415" s="49"/>
      <c r="D1415" s="75"/>
      <c r="E1415" s="67"/>
      <c r="F1415" s="138"/>
      <c r="G1415" s="67"/>
    </row>
    <row r="1416" spans="1:7" ht="13.2">
      <c r="A1416" s="49"/>
      <c r="D1416" s="75"/>
      <c r="E1416" s="67"/>
      <c r="F1416" s="138"/>
      <c r="G1416" s="67"/>
    </row>
    <row r="1417" spans="1:7" ht="13.2">
      <c r="A1417" s="49"/>
      <c r="D1417" s="75"/>
      <c r="E1417" s="67"/>
      <c r="F1417" s="138"/>
      <c r="G1417" s="67"/>
    </row>
    <row r="1418" spans="1:7" ht="13.2">
      <c r="A1418" s="49"/>
      <c r="D1418" s="75"/>
      <c r="E1418" s="67"/>
      <c r="F1418" s="138"/>
      <c r="G1418" s="67"/>
    </row>
    <row r="1419" spans="1:7" ht="13.2">
      <c r="A1419" s="49"/>
      <c r="D1419" s="75"/>
      <c r="E1419" s="67"/>
      <c r="F1419" s="138"/>
      <c r="G1419" s="67"/>
    </row>
    <row r="1420" spans="1:7" ht="13.2">
      <c r="A1420" s="49"/>
      <c r="D1420" s="75"/>
      <c r="E1420" s="67"/>
      <c r="F1420" s="138"/>
      <c r="G1420" s="67"/>
    </row>
    <row r="1421" spans="1:7" ht="13.2">
      <c r="A1421" s="49"/>
      <c r="D1421" s="75"/>
      <c r="E1421" s="67"/>
      <c r="F1421" s="138"/>
      <c r="G1421" s="67"/>
    </row>
    <row r="1422" spans="1:7" ht="13.2">
      <c r="A1422" s="49"/>
      <c r="D1422" s="75"/>
      <c r="E1422" s="67"/>
      <c r="F1422" s="138"/>
      <c r="G1422" s="67"/>
    </row>
    <row r="1423" spans="1:7" ht="13.2">
      <c r="A1423" s="49"/>
      <c r="D1423" s="75"/>
      <c r="E1423" s="67"/>
      <c r="F1423" s="138"/>
      <c r="G1423" s="67"/>
    </row>
    <row r="1424" spans="1:7" ht="13.2">
      <c r="A1424" s="49"/>
      <c r="D1424" s="75"/>
      <c r="E1424" s="67"/>
      <c r="F1424" s="138"/>
      <c r="G1424" s="67"/>
    </row>
    <row r="1425" spans="1:7" ht="13.2">
      <c r="A1425" s="49"/>
      <c r="D1425" s="75"/>
      <c r="E1425" s="67"/>
      <c r="F1425" s="138"/>
      <c r="G1425" s="67"/>
    </row>
    <row r="1426" spans="1:7" ht="13.2">
      <c r="A1426" s="49"/>
      <c r="D1426" s="75"/>
      <c r="E1426" s="67"/>
      <c r="F1426" s="138"/>
      <c r="G1426" s="67"/>
    </row>
    <row r="1427" spans="1:7" ht="13.2">
      <c r="A1427" s="49"/>
      <c r="D1427" s="75"/>
      <c r="E1427" s="67"/>
      <c r="F1427" s="138"/>
      <c r="G1427" s="67"/>
    </row>
    <row r="1428" spans="1:7" ht="13.2">
      <c r="A1428" s="49"/>
      <c r="D1428" s="75"/>
      <c r="E1428" s="67"/>
      <c r="F1428" s="138"/>
      <c r="G1428" s="67"/>
    </row>
    <row r="1429" spans="1:7" ht="13.2">
      <c r="A1429" s="49"/>
      <c r="D1429" s="75"/>
      <c r="E1429" s="67"/>
      <c r="F1429" s="138"/>
      <c r="G1429" s="67"/>
    </row>
    <row r="1430" spans="1:7" ht="13.2">
      <c r="A1430" s="49"/>
      <c r="D1430" s="75"/>
      <c r="E1430" s="67"/>
      <c r="F1430" s="138"/>
      <c r="G1430" s="67"/>
    </row>
    <row r="1431" spans="1:7" ht="13.2">
      <c r="A1431" s="49"/>
      <c r="D1431" s="75"/>
      <c r="E1431" s="67"/>
      <c r="F1431" s="138"/>
      <c r="G1431" s="67"/>
    </row>
    <row r="1432" spans="1:7" ht="13.2">
      <c r="A1432" s="49"/>
      <c r="D1432" s="75"/>
      <c r="E1432" s="67"/>
      <c r="F1432" s="138"/>
      <c r="G1432" s="67"/>
    </row>
    <row r="1433" spans="1:7" ht="13.2">
      <c r="A1433" s="49"/>
      <c r="D1433" s="75"/>
      <c r="E1433" s="67"/>
      <c r="F1433" s="138"/>
      <c r="G1433" s="67"/>
    </row>
    <row r="1434" spans="1:7" ht="13.2">
      <c r="A1434" s="49"/>
      <c r="D1434" s="75"/>
      <c r="E1434" s="67"/>
      <c r="F1434" s="138"/>
      <c r="G1434" s="67"/>
    </row>
    <row r="1435" spans="1:7" ht="13.2">
      <c r="A1435" s="49"/>
      <c r="D1435" s="75"/>
      <c r="E1435" s="67"/>
      <c r="F1435" s="138"/>
      <c r="G1435" s="67"/>
    </row>
    <row r="1436" spans="1:7" ht="13.2">
      <c r="A1436" s="49"/>
      <c r="D1436" s="75"/>
      <c r="E1436" s="67"/>
      <c r="F1436" s="138"/>
      <c r="G1436" s="67"/>
    </row>
    <row r="1437" spans="1:7" ht="13.2">
      <c r="A1437" s="49"/>
      <c r="D1437" s="75"/>
      <c r="E1437" s="67"/>
      <c r="F1437" s="138"/>
      <c r="G1437" s="67"/>
    </row>
    <row r="1438" spans="1:7" ht="13.2">
      <c r="A1438" s="49"/>
      <c r="D1438" s="75"/>
      <c r="E1438" s="67"/>
      <c r="F1438" s="138"/>
      <c r="G1438" s="67"/>
    </row>
    <row r="1439" spans="1:7" ht="13.2">
      <c r="A1439" s="49"/>
      <c r="D1439" s="75"/>
      <c r="E1439" s="67"/>
      <c r="F1439" s="138"/>
      <c r="G1439" s="67"/>
    </row>
    <row r="1440" spans="1:7" ht="13.2">
      <c r="A1440" s="49"/>
      <c r="D1440" s="75"/>
      <c r="E1440" s="67"/>
      <c r="F1440" s="138"/>
      <c r="G1440" s="67"/>
    </row>
    <row r="1441" spans="1:7" ht="13.2">
      <c r="A1441" s="49"/>
      <c r="D1441" s="75"/>
      <c r="E1441" s="67"/>
      <c r="F1441" s="138"/>
      <c r="G1441" s="67"/>
    </row>
    <row r="1442" spans="1:7" ht="13.2">
      <c r="A1442" s="49"/>
      <c r="D1442" s="75"/>
      <c r="E1442" s="67"/>
      <c r="F1442" s="138"/>
      <c r="G1442" s="67"/>
    </row>
    <row r="1443" spans="1:7" ht="13.2">
      <c r="A1443" s="49"/>
      <c r="D1443" s="75"/>
      <c r="E1443" s="67"/>
      <c r="F1443" s="138"/>
      <c r="G1443" s="67"/>
    </row>
    <row r="1444" spans="1:7" ht="13.2">
      <c r="A1444" s="49"/>
      <c r="D1444" s="75"/>
      <c r="E1444" s="67"/>
      <c r="F1444" s="138"/>
      <c r="G1444" s="67"/>
    </row>
    <row r="1445" spans="1:7" ht="13.2">
      <c r="A1445" s="49"/>
      <c r="D1445" s="75"/>
      <c r="E1445" s="67"/>
      <c r="F1445" s="138"/>
      <c r="G1445" s="67"/>
    </row>
    <row r="1446" spans="1:7" ht="13.2">
      <c r="A1446" s="49"/>
      <c r="D1446" s="75"/>
      <c r="E1446" s="67"/>
      <c r="F1446" s="138"/>
      <c r="G1446" s="67"/>
    </row>
    <row r="1447" spans="1:7" ht="13.2">
      <c r="A1447" s="49"/>
      <c r="D1447" s="75"/>
      <c r="E1447" s="67"/>
      <c r="F1447" s="138"/>
      <c r="G1447" s="67"/>
    </row>
    <row r="1448" spans="1:7" ht="13.2">
      <c r="A1448" s="49"/>
      <c r="D1448" s="75"/>
      <c r="E1448" s="67"/>
      <c r="F1448" s="138"/>
      <c r="G1448" s="67"/>
    </row>
    <row r="1449" spans="1:7" ht="13.2">
      <c r="A1449" s="49"/>
      <c r="D1449" s="75"/>
      <c r="E1449" s="67"/>
      <c r="F1449" s="138"/>
      <c r="G1449" s="67"/>
    </row>
    <row r="1450" spans="1:7" ht="13.2">
      <c r="A1450" s="49"/>
      <c r="D1450" s="75"/>
      <c r="E1450" s="67"/>
      <c r="F1450" s="138"/>
      <c r="G1450" s="67"/>
    </row>
    <row r="1451" spans="1:7" ht="13.2">
      <c r="A1451" s="49"/>
      <c r="D1451" s="75"/>
      <c r="E1451" s="67"/>
      <c r="F1451" s="138"/>
      <c r="G1451" s="67"/>
    </row>
    <row r="1452" spans="1:7" ht="13.2">
      <c r="A1452" s="49"/>
      <c r="D1452" s="75"/>
      <c r="E1452" s="67"/>
      <c r="F1452" s="138"/>
      <c r="G1452" s="67"/>
    </row>
    <row r="1453" spans="1:7" ht="13.2">
      <c r="A1453" s="49"/>
      <c r="D1453" s="75"/>
      <c r="E1453" s="67"/>
      <c r="F1453" s="138"/>
      <c r="G1453" s="67"/>
    </row>
    <row r="1454" spans="1:7" ht="13.2">
      <c r="A1454" s="49"/>
      <c r="D1454" s="75"/>
      <c r="E1454" s="67"/>
      <c r="F1454" s="138"/>
      <c r="G1454" s="67"/>
    </row>
    <row r="1455" spans="1:7" ht="13.2">
      <c r="A1455" s="49"/>
      <c r="D1455" s="75"/>
      <c r="E1455" s="67"/>
      <c r="F1455" s="138"/>
      <c r="G1455" s="67"/>
    </row>
    <row r="1456" spans="1:7" ht="13.2">
      <c r="A1456" s="49"/>
      <c r="D1456" s="75"/>
      <c r="E1456" s="67"/>
      <c r="F1456" s="138"/>
      <c r="G1456" s="67"/>
    </row>
    <row r="1457" spans="1:7" ht="13.2">
      <c r="A1457" s="49"/>
      <c r="D1457" s="75"/>
      <c r="E1457" s="67"/>
      <c r="F1457" s="138"/>
      <c r="G1457" s="67"/>
    </row>
    <row r="1458" spans="1:7" ht="13.2">
      <c r="A1458" s="49"/>
      <c r="D1458" s="75"/>
      <c r="E1458" s="67"/>
      <c r="F1458" s="138"/>
      <c r="G1458" s="67"/>
    </row>
    <row r="1459" spans="1:7" ht="13.2">
      <c r="A1459" s="49"/>
      <c r="D1459" s="75"/>
      <c r="E1459" s="67"/>
      <c r="F1459" s="138"/>
      <c r="G1459" s="67"/>
    </row>
    <row r="1460" spans="1:7" ht="13.2">
      <c r="A1460" s="49"/>
      <c r="D1460" s="75"/>
      <c r="E1460" s="67"/>
      <c r="F1460" s="138"/>
      <c r="G1460" s="67"/>
    </row>
    <row r="1461" spans="1:7" ht="13.2">
      <c r="A1461" s="49"/>
      <c r="D1461" s="75"/>
      <c r="E1461" s="67"/>
      <c r="F1461" s="138"/>
      <c r="G1461" s="67"/>
    </row>
    <row r="1462" spans="1:7" ht="13.2">
      <c r="A1462" s="49"/>
      <c r="D1462" s="75"/>
      <c r="E1462" s="67"/>
      <c r="F1462" s="138"/>
      <c r="G1462" s="67"/>
    </row>
    <row r="1463" spans="1:7" ht="13.2">
      <c r="A1463" s="49"/>
      <c r="D1463" s="75"/>
      <c r="E1463" s="67"/>
      <c r="F1463" s="138"/>
      <c r="G1463" s="67"/>
    </row>
    <row r="1464" spans="1:7" ht="13.2">
      <c r="A1464" s="49"/>
      <c r="D1464" s="75"/>
      <c r="E1464" s="67"/>
      <c r="F1464" s="138"/>
      <c r="G1464" s="67"/>
    </row>
    <row r="1465" spans="1:7" ht="13.2">
      <c r="A1465" s="49"/>
      <c r="D1465" s="75"/>
      <c r="E1465" s="67"/>
      <c r="F1465" s="138"/>
      <c r="G1465" s="67"/>
    </row>
    <row r="1466" spans="1:7" ht="13.2">
      <c r="A1466" s="49"/>
      <c r="D1466" s="75"/>
      <c r="E1466" s="67"/>
      <c r="F1466" s="138"/>
      <c r="G1466" s="67"/>
    </row>
    <row r="1467" spans="1:7" ht="13.2">
      <c r="A1467" s="49"/>
      <c r="D1467" s="75"/>
      <c r="E1467" s="67"/>
      <c r="F1467" s="138"/>
      <c r="G1467" s="67"/>
    </row>
    <row r="1468" spans="1:7" ht="13.2">
      <c r="A1468" s="49"/>
      <c r="D1468" s="75"/>
      <c r="E1468" s="67"/>
      <c r="F1468" s="138"/>
      <c r="G1468" s="67"/>
    </row>
    <row r="1469" spans="1:7" ht="13.2">
      <c r="A1469" s="49"/>
      <c r="D1469" s="75"/>
      <c r="E1469" s="67"/>
      <c r="F1469" s="138"/>
      <c r="G1469" s="67"/>
    </row>
    <row r="1470" spans="1:7" ht="13.2">
      <c r="A1470" s="49"/>
      <c r="D1470" s="75"/>
      <c r="E1470" s="67"/>
      <c r="F1470" s="138"/>
      <c r="G1470" s="67"/>
    </row>
    <row r="1471" spans="1:7" ht="13.2">
      <c r="A1471" s="49"/>
      <c r="D1471" s="75"/>
      <c r="E1471" s="67"/>
      <c r="F1471" s="138"/>
      <c r="G1471" s="67"/>
    </row>
    <row r="1472" spans="1:7" ht="13.2">
      <c r="A1472" s="49"/>
      <c r="D1472" s="75"/>
      <c r="E1472" s="67"/>
      <c r="F1472" s="138"/>
      <c r="G1472" s="67"/>
    </row>
    <row r="1473" spans="1:7" ht="13.2">
      <c r="A1473" s="49"/>
      <c r="D1473" s="75"/>
      <c r="E1473" s="67"/>
      <c r="F1473" s="138"/>
      <c r="G1473" s="67"/>
    </row>
    <row r="1474" spans="1:7" ht="13.2">
      <c r="A1474" s="49"/>
      <c r="D1474" s="75"/>
      <c r="E1474" s="67"/>
      <c r="F1474" s="138"/>
      <c r="G1474" s="67"/>
    </row>
    <row r="1475" spans="1:7" ht="13.2">
      <c r="A1475" s="49"/>
      <c r="D1475" s="75"/>
      <c r="E1475" s="67"/>
      <c r="F1475" s="138"/>
      <c r="G1475" s="67"/>
    </row>
    <row r="1476" spans="1:7" ht="13.2">
      <c r="A1476" s="49"/>
      <c r="D1476" s="75"/>
      <c r="E1476" s="67"/>
      <c r="F1476" s="138"/>
      <c r="G1476" s="67"/>
    </row>
    <row r="1477" spans="1:7" ht="13.2">
      <c r="A1477" s="49"/>
      <c r="D1477" s="75"/>
      <c r="E1477" s="67"/>
      <c r="F1477" s="138"/>
      <c r="G1477" s="67"/>
    </row>
    <row r="1478" spans="1:7" ht="13.2">
      <c r="A1478" s="49"/>
      <c r="D1478" s="75"/>
      <c r="E1478" s="67"/>
      <c r="F1478" s="138"/>
      <c r="G1478" s="67"/>
    </row>
    <row r="1479" spans="1:7" ht="13.2">
      <c r="A1479" s="49"/>
      <c r="D1479" s="75"/>
      <c r="E1479" s="67"/>
      <c r="F1479" s="138"/>
      <c r="G1479" s="67"/>
    </row>
    <row r="1480" spans="1:7" ht="13.2">
      <c r="A1480" s="49"/>
      <c r="D1480" s="75"/>
      <c r="E1480" s="67"/>
      <c r="F1480" s="138"/>
      <c r="G1480" s="67"/>
    </row>
    <row r="1481" spans="1:7" ht="13.2">
      <c r="A1481" s="49"/>
      <c r="D1481" s="75"/>
      <c r="E1481" s="67"/>
      <c r="F1481" s="138"/>
      <c r="G1481" s="67"/>
    </row>
    <row r="1482" spans="1:7" ht="13.2">
      <c r="A1482" s="49"/>
      <c r="D1482" s="75"/>
      <c r="E1482" s="67"/>
      <c r="F1482" s="138"/>
      <c r="G1482" s="67"/>
    </row>
    <row r="1483" spans="1:7" ht="13.2">
      <c r="A1483" s="49"/>
      <c r="D1483" s="75"/>
      <c r="E1483" s="67"/>
      <c r="F1483" s="138"/>
      <c r="G1483" s="67"/>
    </row>
    <row r="1484" spans="1:7" ht="13.2">
      <c r="A1484" s="49"/>
      <c r="D1484" s="75"/>
      <c r="E1484" s="67"/>
      <c r="F1484" s="138"/>
      <c r="G1484" s="67"/>
    </row>
    <row r="1485" spans="1:7" ht="13.2">
      <c r="A1485" s="49"/>
      <c r="D1485" s="75"/>
      <c r="E1485" s="67"/>
      <c r="F1485" s="138"/>
      <c r="G1485" s="67"/>
    </row>
    <row r="1486" spans="1:7" ht="13.2">
      <c r="A1486" s="49"/>
      <c r="D1486" s="75"/>
      <c r="E1486" s="67"/>
      <c r="F1486" s="138"/>
      <c r="G1486" s="67"/>
    </row>
    <row r="1487" spans="1:7" ht="13.2">
      <c r="A1487" s="49"/>
      <c r="D1487" s="75"/>
      <c r="E1487" s="67"/>
      <c r="F1487" s="138"/>
      <c r="G1487" s="67"/>
    </row>
    <row r="1488" spans="1:7" ht="13.2">
      <c r="A1488" s="49"/>
      <c r="D1488" s="75"/>
      <c r="E1488" s="67"/>
      <c r="F1488" s="138"/>
      <c r="G1488" s="67"/>
    </row>
    <row r="1489" spans="1:7" ht="13.2">
      <c r="A1489" s="49"/>
      <c r="D1489" s="75"/>
      <c r="E1489" s="67"/>
      <c r="F1489" s="138"/>
      <c r="G1489" s="67"/>
    </row>
    <row r="1490" spans="1:7" ht="13.2">
      <c r="A1490" s="49"/>
      <c r="D1490" s="75"/>
      <c r="E1490" s="67"/>
      <c r="F1490" s="138"/>
      <c r="G1490" s="67"/>
    </row>
    <row r="1491" spans="1:7" ht="13.2">
      <c r="A1491" s="49"/>
      <c r="D1491" s="75"/>
      <c r="E1491" s="67"/>
      <c r="F1491" s="138"/>
      <c r="G1491" s="67"/>
    </row>
    <row r="1492" spans="1:7" ht="13.2">
      <c r="A1492" s="49"/>
      <c r="D1492" s="75"/>
      <c r="E1492" s="67"/>
      <c r="F1492" s="138"/>
      <c r="G1492" s="67"/>
    </row>
    <row r="1493" spans="1:7" ht="13.2">
      <c r="A1493" s="49"/>
      <c r="D1493" s="75"/>
      <c r="E1493" s="67"/>
      <c r="F1493" s="138"/>
      <c r="G1493" s="67"/>
    </row>
    <row r="1494" spans="1:7" ht="13.2">
      <c r="A1494" s="49"/>
      <c r="D1494" s="75"/>
      <c r="E1494" s="67"/>
      <c r="F1494" s="138"/>
      <c r="G1494" s="67"/>
    </row>
    <row r="1495" spans="1:7" ht="13.2">
      <c r="A1495" s="49"/>
      <c r="D1495" s="75"/>
      <c r="E1495" s="67"/>
      <c r="F1495" s="138"/>
      <c r="G1495" s="67"/>
    </row>
    <row r="1496" spans="1:7" ht="13.2">
      <c r="A1496" s="49"/>
      <c r="D1496" s="75"/>
      <c r="E1496" s="67"/>
      <c r="F1496" s="138"/>
      <c r="G1496" s="67"/>
    </row>
    <row r="1497" spans="1:7" ht="13.2">
      <c r="A1497" s="49"/>
      <c r="D1497" s="75"/>
      <c r="E1497" s="67"/>
      <c r="F1497" s="138"/>
      <c r="G1497" s="67"/>
    </row>
    <row r="1498" spans="1:7" ht="13.2">
      <c r="A1498" s="49"/>
      <c r="D1498" s="75"/>
      <c r="E1498" s="67"/>
      <c r="F1498" s="138"/>
      <c r="G1498" s="67"/>
    </row>
    <row r="1499" spans="1:7" ht="13.2">
      <c r="A1499" s="49"/>
      <c r="D1499" s="75"/>
      <c r="E1499" s="67"/>
      <c r="F1499" s="138"/>
      <c r="G1499" s="67"/>
    </row>
    <row r="1500" spans="1:7" ht="13.2">
      <c r="A1500" s="49"/>
      <c r="D1500" s="75"/>
      <c r="E1500" s="67"/>
      <c r="F1500" s="138"/>
      <c r="G1500" s="67"/>
    </row>
    <row r="1501" spans="1:7" ht="13.2">
      <c r="A1501" s="49"/>
      <c r="D1501" s="75"/>
      <c r="E1501" s="67"/>
      <c r="F1501" s="138"/>
      <c r="G1501" s="67"/>
    </row>
    <row r="1502" spans="1:7" ht="13.2">
      <c r="A1502" s="49"/>
      <c r="D1502" s="75"/>
      <c r="E1502" s="67"/>
      <c r="F1502" s="138"/>
      <c r="G1502" s="67"/>
    </row>
    <row r="1503" spans="1:7" ht="13.2">
      <c r="A1503" s="49"/>
      <c r="D1503" s="75"/>
      <c r="E1503" s="67"/>
      <c r="F1503" s="138"/>
      <c r="G1503" s="67"/>
    </row>
    <row r="1504" spans="1:7" ht="13.2">
      <c r="A1504" s="49"/>
      <c r="D1504" s="75"/>
      <c r="E1504" s="67"/>
      <c r="F1504" s="138"/>
      <c r="G1504" s="67"/>
    </row>
    <row r="1505" spans="1:7" ht="13.2">
      <c r="A1505" s="49"/>
      <c r="D1505" s="75"/>
      <c r="E1505" s="67"/>
      <c r="F1505" s="138"/>
      <c r="G1505" s="67"/>
    </row>
    <row r="1506" spans="1:7" ht="13.2">
      <c r="A1506" s="49"/>
      <c r="D1506" s="75"/>
      <c r="E1506" s="67"/>
      <c r="F1506" s="138"/>
      <c r="G1506" s="67"/>
    </row>
    <row r="1507" spans="1:7" ht="13.2">
      <c r="A1507" s="49"/>
      <c r="D1507" s="75"/>
      <c r="E1507" s="67"/>
      <c r="F1507" s="138"/>
      <c r="G1507" s="67"/>
    </row>
    <row r="1508" spans="1:7" ht="13.2">
      <c r="A1508" s="49"/>
      <c r="D1508" s="75"/>
      <c r="E1508" s="67"/>
      <c r="F1508" s="138"/>
      <c r="G1508" s="67"/>
    </row>
    <row r="1509" spans="1:7" ht="13.2">
      <c r="A1509" s="49"/>
      <c r="D1509" s="75"/>
      <c r="E1509" s="67"/>
      <c r="F1509" s="138"/>
      <c r="G1509" s="67"/>
    </row>
    <row r="1510" spans="1:7" ht="13.2">
      <c r="A1510" s="49"/>
      <c r="D1510" s="75"/>
      <c r="E1510" s="67"/>
      <c r="F1510" s="138"/>
      <c r="G1510" s="67"/>
    </row>
    <row r="1511" spans="1:7" ht="13.2">
      <c r="A1511" s="49"/>
      <c r="D1511" s="75"/>
      <c r="E1511" s="67"/>
      <c r="F1511" s="138"/>
      <c r="G1511" s="67"/>
    </row>
    <row r="1512" spans="1:7" ht="13.2">
      <c r="A1512" s="49"/>
      <c r="D1512" s="75"/>
      <c r="E1512" s="67"/>
      <c r="F1512" s="138"/>
      <c r="G1512" s="67"/>
    </row>
    <row r="1513" spans="1:7" ht="13.2">
      <c r="A1513" s="49"/>
      <c r="D1513" s="75"/>
      <c r="E1513" s="67"/>
      <c r="F1513" s="138"/>
      <c r="G1513" s="67"/>
    </row>
    <row r="1514" spans="1:7" ht="13.2">
      <c r="A1514" s="49"/>
      <c r="D1514" s="75"/>
      <c r="E1514" s="67"/>
      <c r="F1514" s="138"/>
      <c r="G1514" s="67"/>
    </row>
    <row r="1515" spans="1:7" ht="13.2">
      <c r="A1515" s="49"/>
      <c r="D1515" s="75"/>
      <c r="E1515" s="67"/>
      <c r="F1515" s="138"/>
      <c r="G1515" s="67"/>
    </row>
    <row r="1516" spans="1:7" ht="13.2">
      <c r="A1516" s="49"/>
      <c r="D1516" s="75"/>
      <c r="E1516" s="67"/>
      <c r="F1516" s="138"/>
      <c r="G1516" s="67"/>
    </row>
    <row r="1517" spans="1:7" ht="13.2">
      <c r="A1517" s="49"/>
      <c r="D1517" s="75"/>
      <c r="E1517" s="67"/>
      <c r="F1517" s="138"/>
      <c r="G1517" s="67"/>
    </row>
    <row r="1518" spans="1:7" ht="13.2">
      <c r="A1518" s="49"/>
      <c r="D1518" s="75"/>
      <c r="E1518" s="67"/>
      <c r="F1518" s="138"/>
      <c r="G1518" s="67"/>
    </row>
    <row r="1519" spans="1:7" ht="13.2">
      <c r="A1519" s="49"/>
      <c r="D1519" s="75"/>
      <c r="E1519" s="67"/>
      <c r="F1519" s="138"/>
      <c r="G1519" s="67"/>
    </row>
    <row r="1520" spans="1:7" ht="13.2">
      <c r="A1520" s="49"/>
      <c r="D1520" s="75"/>
      <c r="E1520" s="67"/>
      <c r="F1520" s="138"/>
      <c r="G1520" s="67"/>
    </row>
    <row r="1521" spans="1:7" ht="13.2">
      <c r="A1521" s="49"/>
      <c r="D1521" s="75"/>
      <c r="E1521" s="67"/>
      <c r="F1521" s="138"/>
      <c r="G1521" s="67"/>
    </row>
    <row r="1522" spans="1:7" ht="13.2">
      <c r="A1522" s="49"/>
      <c r="D1522" s="75"/>
      <c r="E1522" s="67"/>
      <c r="F1522" s="138"/>
      <c r="G1522" s="67"/>
    </row>
    <row r="1523" spans="1:7" ht="13.2">
      <c r="A1523" s="49"/>
      <c r="D1523" s="75"/>
      <c r="E1523" s="67"/>
      <c r="F1523" s="138"/>
      <c r="G1523" s="67"/>
    </row>
    <row r="1524" spans="1:7" ht="13.2">
      <c r="A1524" s="49"/>
      <c r="D1524" s="75"/>
      <c r="E1524" s="67"/>
      <c r="F1524" s="138"/>
      <c r="G1524" s="67"/>
    </row>
    <row r="1525" spans="1:7" ht="13.2">
      <c r="A1525" s="49"/>
      <c r="D1525" s="75"/>
      <c r="E1525" s="67"/>
      <c r="F1525" s="138"/>
      <c r="G1525" s="67"/>
    </row>
    <row r="1526" spans="1:7" ht="13.2">
      <c r="A1526" s="49"/>
      <c r="D1526" s="75"/>
      <c r="E1526" s="67"/>
      <c r="F1526" s="138"/>
      <c r="G1526" s="67"/>
    </row>
    <row r="1527" spans="1:7" ht="13.2">
      <c r="A1527" s="49"/>
      <c r="D1527" s="75"/>
      <c r="E1527" s="67"/>
      <c r="F1527" s="138"/>
      <c r="G1527" s="67"/>
    </row>
    <row r="1528" spans="1:7" ht="13.2">
      <c r="A1528" s="49"/>
      <c r="D1528" s="75"/>
      <c r="E1528" s="67"/>
      <c r="F1528" s="138"/>
      <c r="G1528" s="67"/>
    </row>
    <row r="1529" spans="1:7" ht="13.2">
      <c r="A1529" s="49"/>
      <c r="D1529" s="75"/>
      <c r="E1529" s="67"/>
      <c r="F1529" s="138"/>
      <c r="G1529" s="67"/>
    </row>
    <row r="1530" spans="1:7" ht="13.2">
      <c r="A1530" s="49"/>
      <c r="D1530" s="75"/>
      <c r="E1530" s="67"/>
      <c r="F1530" s="138"/>
      <c r="G1530" s="67"/>
    </row>
    <row r="1531" spans="1:7" ht="13.2">
      <c r="A1531" s="49"/>
      <c r="D1531" s="75"/>
      <c r="E1531" s="67"/>
      <c r="F1531" s="138"/>
      <c r="G1531" s="67"/>
    </row>
    <row r="1532" spans="1:7" ht="13.2">
      <c r="A1532" s="49"/>
      <c r="D1532" s="75"/>
      <c r="E1532" s="67"/>
      <c r="F1532" s="138"/>
      <c r="G1532" s="67"/>
    </row>
    <row r="1533" spans="1:7" ht="13.2">
      <c r="A1533" s="49"/>
      <c r="D1533" s="75"/>
      <c r="E1533" s="67"/>
      <c r="F1533" s="138"/>
      <c r="G1533" s="67"/>
    </row>
  </sheetData>
  <mergeCells count="11">
    <mergeCell ref="A115:A147"/>
    <mergeCell ref="A148:A176"/>
    <mergeCell ref="A177:A181"/>
    <mergeCell ref="A285:A301"/>
    <mergeCell ref="A1:G1"/>
    <mergeCell ref="A3:A9"/>
    <mergeCell ref="A10:A27"/>
    <mergeCell ref="A28:A68"/>
    <mergeCell ref="A69:A80"/>
    <mergeCell ref="A81:A90"/>
    <mergeCell ref="A91:A114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I500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2" max="2" width="14.6640625" customWidth="1"/>
    <col min="3" max="3" width="38" customWidth="1"/>
    <col min="7" max="7" width="12.6640625" hidden="1"/>
    <col min="8" max="8" width="16.109375" customWidth="1"/>
  </cols>
  <sheetData>
    <row r="1" spans="1:9" ht="24.6">
      <c r="A1" s="397">
        <v>2025</v>
      </c>
      <c r="B1" s="385"/>
      <c r="C1" s="385"/>
      <c r="D1" s="385"/>
      <c r="E1" s="385"/>
      <c r="F1" s="385"/>
      <c r="G1" s="386"/>
      <c r="H1" s="160"/>
    </row>
    <row r="2" spans="1:9" ht="15" customHeight="1">
      <c r="A2" s="18" t="s">
        <v>69</v>
      </c>
      <c r="B2" s="95" t="s">
        <v>382</v>
      </c>
      <c r="C2" s="94" t="s">
        <v>383</v>
      </c>
      <c r="D2" s="161" t="s">
        <v>1757</v>
      </c>
      <c r="E2" s="162" t="s">
        <v>1758</v>
      </c>
      <c r="F2" s="95" t="s">
        <v>337</v>
      </c>
      <c r="G2" s="95" t="s">
        <v>7</v>
      </c>
      <c r="H2" s="163" t="s">
        <v>6</v>
      </c>
      <c r="I2" s="164">
        <f>SUM(H3:H5494)</f>
        <v>324180102</v>
      </c>
    </row>
    <row r="3" spans="1:9" ht="13.2">
      <c r="A3" s="165">
        <v>45658</v>
      </c>
      <c r="B3" s="28" t="s">
        <v>1759</v>
      </c>
      <c r="C3" s="143" t="e">
        <f>VLOOKUP(B3,'Thống kê'!$C$3:$D$669,2,0)</f>
        <v>#N/A</v>
      </c>
      <c r="D3" s="166" t="e">
        <f>VLOOKUP(B3,'Danh mục hàng hóa'!$C$3:$M$656,6,0)</f>
        <v>#N/A</v>
      </c>
      <c r="E3" s="167"/>
      <c r="F3" s="168" t="e">
        <f t="shared" ref="F3:F257" si="0">D3*E3</f>
        <v>#N/A</v>
      </c>
      <c r="G3" s="144"/>
      <c r="H3" s="169">
        <v>800000</v>
      </c>
    </row>
    <row r="4" spans="1:9" ht="13.2">
      <c r="A4" s="170"/>
      <c r="B4" s="28" t="s">
        <v>1384</v>
      </c>
      <c r="C4" s="143" t="str">
        <f>VLOOKUP(B4,'Thống kê'!$C$3:$D$669,2,0)</f>
        <v>Móc khoá Crybaby mini Popmart</v>
      </c>
      <c r="D4" s="166" t="e">
        <f>VLOOKUP(B4,'Danh mục hàng hóa'!$C$3:$M$656,6,0)</f>
        <v>#N/A</v>
      </c>
      <c r="E4" s="167">
        <v>1</v>
      </c>
      <c r="F4" s="168" t="e">
        <f t="shared" si="0"/>
        <v>#N/A</v>
      </c>
      <c r="G4" s="144"/>
      <c r="H4" s="171">
        <v>93700</v>
      </c>
    </row>
    <row r="5" spans="1:9" ht="13.2">
      <c r="A5" s="172">
        <v>45659</v>
      </c>
      <c r="B5" s="28" t="s">
        <v>1587</v>
      </c>
      <c r="C5" s="143" t="str">
        <f>VLOOKUP(B5,'Thống kê'!$C$3:$D$669,2,0)</f>
        <v>Vịt ú bay</v>
      </c>
      <c r="D5" s="166">
        <f>VLOOKUP(B5,'Danh mục hàng hóa'!$C$3:$M$656,6,0)</f>
        <v>64500</v>
      </c>
      <c r="E5" s="167">
        <v>1</v>
      </c>
      <c r="F5" s="168">
        <f t="shared" si="0"/>
        <v>64500</v>
      </c>
      <c r="G5" s="144"/>
      <c r="H5" s="173">
        <v>56256</v>
      </c>
    </row>
    <row r="6" spans="1:9" ht="13.2">
      <c r="A6" s="170"/>
      <c r="B6" s="28" t="s">
        <v>1384</v>
      </c>
      <c r="C6" s="143" t="str">
        <f>VLOOKUP(B6,'Thống kê'!$C$3:$D$669,2,0)</f>
        <v>Móc khoá Crybaby mini Popmart</v>
      </c>
      <c r="D6" s="166" t="e">
        <f>VLOOKUP(B6,'Danh mục hàng hóa'!$C$3:$M$656,6,0)</f>
        <v>#N/A</v>
      </c>
      <c r="E6" s="167">
        <v>1</v>
      </c>
      <c r="F6" s="168" t="e">
        <f t="shared" si="0"/>
        <v>#N/A</v>
      </c>
      <c r="G6" s="144"/>
      <c r="H6" s="174">
        <v>91020</v>
      </c>
    </row>
    <row r="7" spans="1:9" ht="13.2">
      <c r="A7" s="170"/>
      <c r="B7" s="28" t="s">
        <v>115</v>
      </c>
      <c r="C7" s="143" t="str">
        <f>VLOOKUP(B7,'Thống kê'!$C$3:$D$669,2,0)</f>
        <v>Heo ú</v>
      </c>
      <c r="D7" s="166">
        <f>VLOOKUP(B7,'Danh mục hàng hóa'!$C$3:$M$656,6,0)</f>
        <v>61275</v>
      </c>
      <c r="E7" s="167">
        <v>1</v>
      </c>
      <c r="F7" s="168">
        <f t="shared" si="0"/>
        <v>61275</v>
      </c>
      <c r="G7" s="144"/>
      <c r="H7" s="169">
        <v>48195</v>
      </c>
    </row>
    <row r="8" spans="1:9" ht="13.2">
      <c r="A8" s="170"/>
      <c r="B8" s="28" t="s">
        <v>143</v>
      </c>
      <c r="C8" s="143" t="str">
        <f>VLOOKUP(B8,'Thống kê'!$C$3:$D$669,2,0)</f>
        <v>Mèo ú</v>
      </c>
      <c r="D8" s="166">
        <f>VLOOKUP(B8,'Danh mục hàng hóa'!$C$3:$M$656,6,0)</f>
        <v>54740</v>
      </c>
      <c r="E8" s="167"/>
      <c r="F8" s="168">
        <f t="shared" si="0"/>
        <v>0</v>
      </c>
      <c r="G8" s="144"/>
      <c r="H8" s="401">
        <v>96760</v>
      </c>
    </row>
    <row r="9" spans="1:9" ht="13.2">
      <c r="A9" s="170"/>
      <c r="B9" s="28" t="s">
        <v>325</v>
      </c>
      <c r="C9" s="143" t="str">
        <f>VLOOKUP(B9,'Thống kê'!$C$3:$D$669,2,0)</f>
        <v>Gấu ú</v>
      </c>
      <c r="D9" s="166">
        <f>VLOOKUP(B9,'Danh mục hàng hóa'!$C$3:$M$656,6,0)</f>
        <v>56525</v>
      </c>
      <c r="E9" s="167"/>
      <c r="F9" s="168">
        <f t="shared" si="0"/>
        <v>0</v>
      </c>
      <c r="G9" s="144"/>
      <c r="H9" s="373"/>
    </row>
    <row r="10" spans="1:9" ht="13.2">
      <c r="A10" s="170"/>
      <c r="B10" s="28" t="s">
        <v>1401</v>
      </c>
      <c r="C10" s="143" t="str">
        <f>VLOOKUP(B10,'Thống kê'!$C$3:$D$669,2,0)</f>
        <v>Móc khoá Dimoo size mini (hàng remake)</v>
      </c>
      <c r="D10" s="166" t="e">
        <f>VLOOKUP(B10,'Danh mục hàng hóa'!$C$3:$M$656,6,0)</f>
        <v>#N/A</v>
      </c>
      <c r="E10" s="167"/>
      <c r="F10" s="168" t="e">
        <f t="shared" si="0"/>
        <v>#N/A</v>
      </c>
      <c r="G10" s="144"/>
      <c r="H10" s="402">
        <v>190733</v>
      </c>
    </row>
    <row r="11" spans="1:9" ht="13.2">
      <c r="A11" s="170"/>
      <c r="B11" s="28" t="s">
        <v>1687</v>
      </c>
      <c r="C11" s="143">
        <f>VLOOKUP(B11,'Thống kê'!$C$3:$D$669,2,0)</f>
        <v>0</v>
      </c>
      <c r="D11" s="166" t="e">
        <f>VLOOKUP(B11,'Danh mục hàng hóa'!$C$3:$M$656,6,0)</f>
        <v>#N/A</v>
      </c>
      <c r="E11" s="167"/>
      <c r="F11" s="168" t="e">
        <f t="shared" si="0"/>
        <v>#N/A</v>
      </c>
      <c r="G11" s="144"/>
      <c r="H11" s="372"/>
    </row>
    <row r="12" spans="1:9" ht="13.2">
      <c r="A12" s="170"/>
      <c r="B12" s="28" t="s">
        <v>1382</v>
      </c>
      <c r="C12" s="143" t="str">
        <f>VLOOKUP(B12,'Thống kê'!$C$3:$D$669,2,0)</f>
        <v>miếng dán silicon điện thoại</v>
      </c>
      <c r="D12" s="166" t="e">
        <f>VLOOKUP(B12,'Danh mục hàng hóa'!$C$3:$M$656,6,0)</f>
        <v>#N/A</v>
      </c>
      <c r="E12" s="167"/>
      <c r="F12" s="168" t="e">
        <f t="shared" si="0"/>
        <v>#N/A</v>
      </c>
      <c r="G12" s="144"/>
      <c r="H12" s="373"/>
    </row>
    <row r="13" spans="1:9" ht="13.2">
      <c r="A13" s="170"/>
      <c r="B13" s="28" t="s">
        <v>115</v>
      </c>
      <c r="C13" s="143" t="str">
        <f>VLOOKUP(B13,'Thống kê'!$C$3:$D$669,2,0)</f>
        <v>Heo ú</v>
      </c>
      <c r="D13" s="166">
        <f>VLOOKUP(B13,'Danh mục hàng hóa'!$C$3:$M$656,6,0)</f>
        <v>61275</v>
      </c>
      <c r="E13" s="167"/>
      <c r="F13" s="168">
        <f t="shared" si="0"/>
        <v>0</v>
      </c>
      <c r="G13" s="144"/>
      <c r="H13" s="176">
        <v>47895</v>
      </c>
    </row>
    <row r="14" spans="1:9" ht="13.2">
      <c r="A14" s="170"/>
      <c r="B14" s="28" t="s">
        <v>150</v>
      </c>
      <c r="C14" s="143" t="str">
        <f>VLOOKUP(B14,'Thống kê'!$C$3:$D$669,2,0)</f>
        <v>Móc khóa có chuông</v>
      </c>
      <c r="D14" s="166" t="e">
        <f>VLOOKUP(B14,'Danh mục hàng hóa'!$C$3:$M$656,6,0)</f>
        <v>#N/A</v>
      </c>
      <c r="E14" s="167"/>
      <c r="F14" s="168" t="e">
        <f t="shared" si="0"/>
        <v>#N/A</v>
      </c>
      <c r="G14" s="144"/>
      <c r="H14" s="177">
        <v>45135</v>
      </c>
    </row>
    <row r="15" spans="1:9" ht="13.2">
      <c r="A15" s="170"/>
      <c r="B15" s="28" t="s">
        <v>186</v>
      </c>
      <c r="C15" s="143" t="str">
        <f>VLOOKUP(B15,'Thống kê'!$C$3:$D$669,2,0)</f>
        <v>Thỏ ú bay</v>
      </c>
      <c r="D15" s="166">
        <f>VLOOKUP(B15,'Danh mục hàng hóa'!$C$3:$M$656,6,0)</f>
        <v>61275</v>
      </c>
      <c r="E15" s="167"/>
      <c r="F15" s="168">
        <f t="shared" si="0"/>
        <v>0</v>
      </c>
      <c r="G15" s="144"/>
      <c r="H15" s="403">
        <v>253101</v>
      </c>
    </row>
    <row r="16" spans="1:9" ht="13.2">
      <c r="A16" s="170"/>
      <c r="B16" s="28" t="s">
        <v>1210</v>
      </c>
      <c r="C16" s="143" t="str">
        <f>VLOOKUP(B16,'Thống kê'!$C$3:$D$669,2,0)</f>
        <v>Shiba ú cầm hoa</v>
      </c>
      <c r="D16" s="166" t="e">
        <f>VLOOKUP(B16,'Danh mục hàng hóa'!$C$3:$M$656,6,0)</f>
        <v>#N/A</v>
      </c>
      <c r="E16" s="167"/>
      <c r="F16" s="168" t="e">
        <f t="shared" si="0"/>
        <v>#N/A</v>
      </c>
      <c r="G16" s="144"/>
      <c r="H16" s="372"/>
    </row>
    <row r="17" spans="1:8" ht="13.2">
      <c r="A17" s="170"/>
      <c r="B17" s="28" t="s">
        <v>183</v>
      </c>
      <c r="C17" s="143" t="str">
        <f>VLOOKUP(B17,'Thống kê'!$C$3:$D$669,2,0)</f>
        <v>Thỏ máy bay gắn xe</v>
      </c>
      <c r="D17" s="166">
        <f>VLOOKUP(B17,'Danh mục hàng hóa'!$C$3:$M$656,6,0)</f>
        <v>59340</v>
      </c>
      <c r="E17" s="167"/>
      <c r="F17" s="168">
        <f t="shared" si="0"/>
        <v>0</v>
      </c>
      <c r="G17" s="144"/>
      <c r="H17" s="372"/>
    </row>
    <row r="18" spans="1:8" ht="13.2">
      <c r="A18" s="170"/>
      <c r="B18" s="28" t="s">
        <v>119</v>
      </c>
      <c r="C18" s="143" t="str">
        <f>VLOOKUP(B18,'Thống kê'!$C$3:$D$669,2,0)</f>
        <v>Thỏ chạy xe gắn xe</v>
      </c>
      <c r="D18" s="166">
        <f>VLOOKUP(B18,'Danh mục hàng hóa'!$C$3:$M$656,6,0)</f>
        <v>59340</v>
      </c>
      <c r="E18" s="167"/>
      <c r="F18" s="168">
        <f t="shared" si="0"/>
        <v>0</v>
      </c>
      <c r="G18" s="144"/>
      <c r="H18" s="372"/>
    </row>
    <row r="19" spans="1:8" ht="13.2">
      <c r="A19" s="170"/>
      <c r="B19" s="28" t="s">
        <v>1343</v>
      </c>
      <c r="C19" s="143" t="str">
        <f>VLOOKUP(B19,'Thống kê'!$C$3:$D$669,2,0)</f>
        <v>Móc khóa chuối</v>
      </c>
      <c r="D19" s="166" t="e">
        <f>VLOOKUP(B19,'Danh mục hàng hóa'!$C$3:$M$656,6,0)</f>
        <v>#N/A</v>
      </c>
      <c r="E19" s="167"/>
      <c r="F19" s="168" t="e">
        <f t="shared" si="0"/>
        <v>#N/A</v>
      </c>
      <c r="G19" s="144"/>
      <c r="H19" s="372"/>
    </row>
    <row r="20" spans="1:8" ht="13.2">
      <c r="A20" s="170"/>
      <c r="B20" s="28" t="s">
        <v>1382</v>
      </c>
      <c r="C20" s="143" t="str">
        <f>VLOOKUP(B20,'Thống kê'!$C$3:$D$669,2,0)</f>
        <v>miếng dán silicon điện thoại</v>
      </c>
      <c r="D20" s="166" t="e">
        <f>VLOOKUP(B20,'Danh mục hàng hóa'!$C$3:$M$656,6,0)</f>
        <v>#N/A</v>
      </c>
      <c r="E20" s="167"/>
      <c r="F20" s="168" t="e">
        <f t="shared" si="0"/>
        <v>#N/A</v>
      </c>
      <c r="G20" s="144"/>
      <c r="H20" s="372"/>
    </row>
    <row r="21" spans="1:8" ht="13.2">
      <c r="A21" s="170"/>
      <c r="B21" s="28" t="s">
        <v>1760</v>
      </c>
      <c r="C21" s="143">
        <f>VLOOKUP(B21,'Thống kê'!$C$3:$D$669,2,0)</f>
        <v>0</v>
      </c>
      <c r="D21" s="166" t="e">
        <f>VLOOKUP(B21,'Danh mục hàng hóa'!$C$3:$M$656,6,0)</f>
        <v>#N/A</v>
      </c>
      <c r="E21" s="167">
        <v>2</v>
      </c>
      <c r="F21" s="168" t="e">
        <f t="shared" si="0"/>
        <v>#N/A</v>
      </c>
      <c r="G21" s="144"/>
      <c r="H21" s="402">
        <v>620000</v>
      </c>
    </row>
    <row r="22" spans="1:8" ht="13.2">
      <c r="A22" s="170"/>
      <c r="B22" s="28" t="s">
        <v>1761</v>
      </c>
      <c r="C22" s="143">
        <f>VLOOKUP(B22,'Thống kê'!$C$3:$D$669,2,0)</f>
        <v>0</v>
      </c>
      <c r="D22" s="166" t="e">
        <f>VLOOKUP(B22,'Danh mục hàng hóa'!$C$3:$M$656,6,0)</f>
        <v>#N/A</v>
      </c>
      <c r="E22" s="167">
        <v>2</v>
      </c>
      <c r="F22" s="168" t="e">
        <f t="shared" si="0"/>
        <v>#N/A</v>
      </c>
      <c r="G22" s="144"/>
      <c r="H22" s="372"/>
    </row>
    <row r="23" spans="1:8" ht="13.2">
      <c r="A23" s="170"/>
      <c r="B23" s="28" t="s">
        <v>1762</v>
      </c>
      <c r="C23" s="143">
        <f>VLOOKUP(B23,'Thống kê'!$C$3:$D$669,2,0)</f>
        <v>0</v>
      </c>
      <c r="D23" s="166" t="e">
        <f>VLOOKUP(B23,'Danh mục hàng hóa'!$C$3:$M$656,6,0)</f>
        <v>#N/A</v>
      </c>
      <c r="E23" s="167">
        <v>2</v>
      </c>
      <c r="F23" s="168" t="e">
        <f t="shared" si="0"/>
        <v>#N/A</v>
      </c>
      <c r="G23" s="144"/>
      <c r="H23" s="372"/>
    </row>
    <row r="24" spans="1:8" ht="13.2">
      <c r="A24" s="170"/>
      <c r="B24" s="28" t="s">
        <v>1763</v>
      </c>
      <c r="C24" s="143">
        <f>VLOOKUP(B24,'Thống kê'!$C$3:$D$669,2,0)</f>
        <v>0</v>
      </c>
      <c r="D24" s="166" t="e">
        <f>VLOOKUP(B24,'Danh mục hàng hóa'!$C$3:$M$656,6,0)</f>
        <v>#N/A</v>
      </c>
      <c r="E24" s="167">
        <v>2</v>
      </c>
      <c r="F24" s="168" t="e">
        <f t="shared" si="0"/>
        <v>#N/A</v>
      </c>
      <c r="G24" s="144"/>
      <c r="H24" s="372"/>
    </row>
    <row r="25" spans="1:8" ht="13.2">
      <c r="A25" s="170"/>
      <c r="B25" s="124" t="s">
        <v>1764</v>
      </c>
      <c r="C25" s="143">
        <f>VLOOKUP(B25,'Thống kê'!$C$3:$D$669,2,0)</f>
        <v>0</v>
      </c>
      <c r="D25" s="166" t="e">
        <f>VLOOKUP(B25,'Danh mục hàng hóa'!$C$3:$M$656,6,0)</f>
        <v>#N/A</v>
      </c>
      <c r="E25" s="167">
        <v>2</v>
      </c>
      <c r="F25" s="168" t="e">
        <f t="shared" si="0"/>
        <v>#N/A</v>
      </c>
      <c r="G25" s="144"/>
      <c r="H25" s="373"/>
    </row>
    <row r="26" spans="1:8" ht="13.2">
      <c r="A26" s="170"/>
      <c r="B26" s="28" t="s">
        <v>1765</v>
      </c>
      <c r="C26" s="143">
        <f>VLOOKUP(B26,'Thống kê'!$C$3:$D$669,2,0)</f>
        <v>0</v>
      </c>
      <c r="D26" s="166" t="e">
        <f>VLOOKUP(B26,'Danh mục hàng hóa'!$C$3:$M$656,6,0)</f>
        <v>#N/A</v>
      </c>
      <c r="E26" s="167">
        <v>1</v>
      </c>
      <c r="F26" s="168" t="e">
        <f t="shared" si="0"/>
        <v>#N/A</v>
      </c>
      <c r="G26" s="144"/>
      <c r="H26" s="175">
        <v>124640</v>
      </c>
    </row>
    <row r="27" spans="1:8" ht="13.2">
      <c r="A27" s="170"/>
      <c r="B27" s="28" t="s">
        <v>116</v>
      </c>
      <c r="C27" s="143" t="str">
        <f>VLOOKUP(B27,'Thống kê'!$C$3:$D$669,2,0)</f>
        <v>heo ú cầm hoa</v>
      </c>
      <c r="D27" s="166" t="e">
        <f>VLOOKUP(B27,'Danh mục hàng hóa'!$C$3:$M$656,6,0)</f>
        <v>#N/A</v>
      </c>
      <c r="E27" s="167">
        <v>1</v>
      </c>
      <c r="F27" s="168" t="e">
        <f t="shared" si="0"/>
        <v>#N/A</v>
      </c>
      <c r="G27" s="144"/>
      <c r="H27" s="402">
        <v>88560</v>
      </c>
    </row>
    <row r="28" spans="1:8" ht="13.2">
      <c r="A28" s="170"/>
      <c r="B28" s="124" t="s">
        <v>119</v>
      </c>
      <c r="C28" s="143" t="str">
        <f>VLOOKUP(B28,'Thống kê'!$C$3:$D$669,2,0)</f>
        <v>Thỏ chạy xe gắn xe</v>
      </c>
      <c r="D28" s="166">
        <f>VLOOKUP(B28,'Danh mục hàng hóa'!$C$3:$M$656,6,0)</f>
        <v>59340</v>
      </c>
      <c r="E28" s="167">
        <v>1</v>
      </c>
      <c r="F28" s="168">
        <f t="shared" si="0"/>
        <v>59340</v>
      </c>
      <c r="G28" s="144"/>
      <c r="H28" s="372"/>
    </row>
    <row r="29" spans="1:8" ht="13.2">
      <c r="A29" s="172">
        <v>45660</v>
      </c>
      <c r="B29" s="28" t="s">
        <v>1661</v>
      </c>
      <c r="C29" s="143" t="str">
        <f>VLOOKUP(B29,'Thống kê'!$C$3:$D$669,2,0)</f>
        <v>Móc khóa Popbean Kubo</v>
      </c>
      <c r="D29" s="166" t="e">
        <f>VLOOKUP(B29,'Danh mục hàng hóa'!$C$3:$M$656,6,0)</f>
        <v>#N/A</v>
      </c>
      <c r="E29" s="167">
        <v>1</v>
      </c>
      <c r="F29" s="168" t="e">
        <f t="shared" si="0"/>
        <v>#N/A</v>
      </c>
      <c r="G29" s="144"/>
      <c r="H29" s="402">
        <v>178038</v>
      </c>
    </row>
    <row r="30" spans="1:8" ht="13.2">
      <c r="A30" s="170"/>
      <c r="B30" s="28" t="s">
        <v>1662</v>
      </c>
      <c r="C30" s="143" t="str">
        <f>VLOOKUP(B30,'Thống kê'!$C$3:$D$669,2,0)</f>
        <v>Móc khóa Popbean Cry Baby</v>
      </c>
      <c r="D30" s="166" t="e">
        <f>VLOOKUP(B30,'Danh mục hàng hóa'!$C$3:$M$656,6,0)</f>
        <v>#N/A</v>
      </c>
      <c r="E30" s="167">
        <v>1</v>
      </c>
      <c r="F30" s="168" t="e">
        <f t="shared" si="0"/>
        <v>#N/A</v>
      </c>
      <c r="G30" s="144"/>
      <c r="H30" s="372"/>
    </row>
    <row r="31" spans="1:8" ht="13.2">
      <c r="A31" s="170"/>
      <c r="B31" s="124" t="s">
        <v>1382</v>
      </c>
      <c r="C31" s="143" t="str">
        <f>VLOOKUP(B31,'Thống kê'!$C$3:$D$669,2,0)</f>
        <v>miếng dán silicon điện thoại</v>
      </c>
      <c r="D31" s="166" t="e">
        <f>VLOOKUP(B31,'Danh mục hàng hóa'!$C$3:$M$656,6,0)</f>
        <v>#N/A</v>
      </c>
      <c r="E31" s="167">
        <v>1</v>
      </c>
      <c r="F31" s="168" t="e">
        <f t="shared" si="0"/>
        <v>#N/A</v>
      </c>
      <c r="G31" s="144"/>
      <c r="H31" s="372"/>
    </row>
    <row r="32" spans="1:8" ht="13.2">
      <c r="A32" s="170"/>
      <c r="B32" s="28" t="s">
        <v>128</v>
      </c>
      <c r="C32" s="143" t="str">
        <f>VLOOKUP(B32,'Thống kê'!$C$3:$D$669,2,0)</f>
        <v>Mèo ú bay</v>
      </c>
      <c r="D32" s="166">
        <f>VLOOKUP(B32,'Danh mục hàng hóa'!$C$3:$M$656,6,0)</f>
        <v>61275</v>
      </c>
      <c r="E32" s="167">
        <v>1</v>
      </c>
      <c r="F32" s="168">
        <f t="shared" si="0"/>
        <v>61275</v>
      </c>
      <c r="G32" s="144"/>
      <c r="H32" s="175">
        <v>56456</v>
      </c>
    </row>
    <row r="33" spans="1:8" ht="13.2">
      <c r="A33" s="170"/>
      <c r="B33" s="28" t="s">
        <v>1766</v>
      </c>
      <c r="C33" s="143" t="str">
        <f>VLOOKUP(B33,'Thống kê'!$C$3:$D$669,2,0)</f>
        <v>bao lì xì Tết 2025</v>
      </c>
      <c r="D33" s="166" t="e">
        <f>VLOOKUP(B33,'Danh mục hàng hóa'!$C$3:$M$656,6,0)</f>
        <v>#N/A</v>
      </c>
      <c r="E33" s="167">
        <v>2</v>
      </c>
      <c r="F33" s="168" t="e">
        <f t="shared" si="0"/>
        <v>#N/A</v>
      </c>
      <c r="G33" s="144"/>
      <c r="H33" s="402">
        <v>33195</v>
      </c>
    </row>
    <row r="34" spans="1:8" ht="13.2">
      <c r="A34" s="170"/>
      <c r="B34" s="28" t="s">
        <v>1767</v>
      </c>
      <c r="C34" s="143" t="str">
        <f>VLOOKUP(B34,'Thống kê'!$C$3:$D$669,2,0)</f>
        <v>bao lì xì Tết 2025</v>
      </c>
      <c r="D34" s="166" t="e">
        <f>VLOOKUP(B34,'Danh mục hàng hóa'!$C$3:$M$656,6,0)</f>
        <v>#N/A</v>
      </c>
      <c r="E34" s="167">
        <v>1</v>
      </c>
      <c r="F34" s="168" t="e">
        <f t="shared" si="0"/>
        <v>#N/A</v>
      </c>
      <c r="G34" s="144"/>
      <c r="H34" s="372"/>
    </row>
    <row r="35" spans="1:8" ht="13.2">
      <c r="A35" s="170"/>
      <c r="B35" s="28" t="s">
        <v>1768</v>
      </c>
      <c r="C35" s="143" t="str">
        <f>VLOOKUP(B35,'Thống kê'!$C$3:$D$669,2,0)</f>
        <v>bao lì xì Tết 2025</v>
      </c>
      <c r="D35" s="166" t="e">
        <f>VLOOKUP(B35,'Danh mục hàng hóa'!$C$3:$M$656,6,0)</f>
        <v>#N/A</v>
      </c>
      <c r="E35" s="167">
        <v>1</v>
      </c>
      <c r="F35" s="168" t="e">
        <f t="shared" si="0"/>
        <v>#N/A</v>
      </c>
      <c r="G35" s="144"/>
      <c r="H35" s="372"/>
    </row>
    <row r="36" spans="1:8" ht="13.2">
      <c r="A36" s="170"/>
      <c r="B36" s="124" t="s">
        <v>1769</v>
      </c>
      <c r="C36" s="143" t="str">
        <f>VLOOKUP(B36,'Thống kê'!$C$3:$D$669,2,0)</f>
        <v>bao lì xì Tết 2025</v>
      </c>
      <c r="D36" s="166" t="e">
        <f>VLOOKUP(B36,'Danh mục hàng hóa'!$C$3:$M$656,6,0)</f>
        <v>#N/A</v>
      </c>
      <c r="E36" s="167">
        <v>1</v>
      </c>
      <c r="F36" s="168" t="e">
        <f t="shared" si="0"/>
        <v>#N/A</v>
      </c>
      <c r="G36" s="144"/>
      <c r="H36" s="373"/>
    </row>
    <row r="37" spans="1:8" ht="13.2">
      <c r="A37" s="170"/>
      <c r="B37" s="28" t="s">
        <v>245</v>
      </c>
      <c r="C37" s="143" t="str">
        <f>VLOOKUP(B37,'Thống kê'!$C$3:$D$669,2,0)</f>
        <v>Móc khóa Popbean</v>
      </c>
      <c r="D37" s="166" t="e">
        <f>VLOOKUP(B37,'Danh mục hàng hóa'!$C$3:$M$656,6,0)</f>
        <v>#N/A</v>
      </c>
      <c r="E37" s="167">
        <v>1</v>
      </c>
      <c r="F37" s="168" t="e">
        <f t="shared" si="0"/>
        <v>#N/A</v>
      </c>
      <c r="G37" s="144"/>
      <c r="H37" s="403">
        <v>128740</v>
      </c>
    </row>
    <row r="38" spans="1:8" ht="13.2">
      <c r="A38" s="170"/>
      <c r="B38" s="28" t="s">
        <v>1382</v>
      </c>
      <c r="C38" s="143" t="str">
        <f>VLOOKUP(B38,'Thống kê'!$C$3:$D$669,2,0)</f>
        <v>miếng dán silicon điện thoại</v>
      </c>
      <c r="D38" s="166" t="e">
        <f>VLOOKUP(B38,'Danh mục hàng hóa'!$C$3:$M$656,6,0)</f>
        <v>#N/A</v>
      </c>
      <c r="E38" s="167">
        <v>1</v>
      </c>
      <c r="F38" s="168" t="e">
        <f t="shared" si="0"/>
        <v>#N/A</v>
      </c>
      <c r="G38" s="144"/>
      <c r="H38" s="373"/>
    </row>
    <row r="39" spans="1:8" ht="13.2">
      <c r="A39" s="170"/>
      <c r="B39" s="124" t="s">
        <v>1384</v>
      </c>
      <c r="C39" s="143" t="str">
        <f>VLOOKUP(B39,'Thống kê'!$C$3:$D$669,2,0)</f>
        <v>Móc khoá Crybaby mini Popmart</v>
      </c>
      <c r="D39" s="166" t="e">
        <f>VLOOKUP(B39,'Danh mục hàng hóa'!$C$3:$M$656,6,0)</f>
        <v>#N/A</v>
      </c>
      <c r="E39" s="167">
        <v>1</v>
      </c>
      <c r="F39" s="168" t="e">
        <f t="shared" si="0"/>
        <v>#N/A</v>
      </c>
      <c r="G39" s="144"/>
      <c r="H39" s="403">
        <v>91020</v>
      </c>
    </row>
    <row r="40" spans="1:8" ht="13.2">
      <c r="A40" s="170"/>
      <c r="B40" s="153" t="s">
        <v>1382</v>
      </c>
      <c r="C40" s="143" t="str">
        <f>VLOOKUP(B40,'Thống kê'!$C$3:$D$669,2,0)</f>
        <v>miếng dán silicon điện thoại</v>
      </c>
      <c r="D40" s="166" t="e">
        <f>VLOOKUP(B40,'Danh mục hàng hóa'!$C$3:$M$656,6,0)</f>
        <v>#N/A</v>
      </c>
      <c r="E40" s="167">
        <v>1</v>
      </c>
      <c r="F40" s="168" t="e">
        <f t="shared" si="0"/>
        <v>#N/A</v>
      </c>
      <c r="G40" s="144"/>
      <c r="H40" s="373"/>
    </row>
    <row r="41" spans="1:8" ht="13.2">
      <c r="A41" s="172">
        <v>45661</v>
      </c>
      <c r="B41" s="153" t="s">
        <v>1770</v>
      </c>
      <c r="C41" s="143" t="str">
        <f>VLOOKUP(B41,'Thống kê'!$C$3:$D$669,2,0)</f>
        <v>Cài áo trái tim bạc</v>
      </c>
      <c r="D41" s="166">
        <f>VLOOKUP(B41,'Danh mục hàng hóa'!$C$3:$M$656,6,0)</f>
        <v>23000</v>
      </c>
      <c r="E41" s="167">
        <v>1</v>
      </c>
      <c r="F41" s="168">
        <f t="shared" si="0"/>
        <v>23000</v>
      </c>
      <c r="G41" s="144"/>
      <c r="H41" s="403">
        <v>246086</v>
      </c>
    </row>
    <row r="42" spans="1:8" ht="13.2">
      <c r="A42" s="170"/>
      <c r="B42" s="153" t="s">
        <v>1600</v>
      </c>
      <c r="C42" s="143" t="str">
        <f>VLOOKUP(B42,'Thống kê'!$C$3:$D$669,2,0)</f>
        <v>Dao rọc giấy 18</v>
      </c>
      <c r="D42" s="166" t="e">
        <f>VLOOKUP(B42,'Danh mục hàng hóa'!$C$3:$M$656,6,0)</f>
        <v>#N/A</v>
      </c>
      <c r="E42" s="167">
        <v>1</v>
      </c>
      <c r="F42" s="168" t="e">
        <f t="shared" si="0"/>
        <v>#N/A</v>
      </c>
      <c r="G42" s="144"/>
      <c r="H42" s="372"/>
    </row>
    <row r="43" spans="1:8" ht="13.2">
      <c r="A43" s="170"/>
      <c r="B43" s="153" t="s">
        <v>1603</v>
      </c>
      <c r="C43" s="143" t="str">
        <f>VLOOKUP(B43,'Thống kê'!$C$3:$D$669,2,0)</f>
        <v>Thước dây hồng phấn</v>
      </c>
      <c r="D43" s="166">
        <f>VLOOKUP(B43,'Danh mục hàng hóa'!$C$3:$M$656,6,0)</f>
        <v>9000</v>
      </c>
      <c r="E43" s="167">
        <v>1</v>
      </c>
      <c r="F43" s="168">
        <f t="shared" si="0"/>
        <v>9000</v>
      </c>
      <c r="G43" s="144"/>
      <c r="H43" s="372"/>
    </row>
    <row r="44" spans="1:8" ht="13.2">
      <c r="A44" s="170"/>
      <c r="B44" s="153" t="s">
        <v>1771</v>
      </c>
      <c r="C44" s="143" t="e">
        <f>VLOOKUP(B44,'Thống kê'!$C$3:$D$669,2,0)</f>
        <v>#N/A</v>
      </c>
      <c r="D44" s="166" t="e">
        <f>VLOOKUP(B44,'Danh mục hàng hóa'!$C$3:$M$656,6,0)</f>
        <v>#N/A</v>
      </c>
      <c r="E44" s="167">
        <v>1</v>
      </c>
      <c r="F44" s="168" t="e">
        <f t="shared" si="0"/>
        <v>#N/A</v>
      </c>
      <c r="G44" s="144"/>
      <c r="H44" s="372"/>
    </row>
    <row r="45" spans="1:8" ht="13.2">
      <c r="A45" s="170"/>
      <c r="B45" s="153" t="s">
        <v>1712</v>
      </c>
      <c r="C45" s="143" t="str">
        <f>VLOOKUP(B45,'Thống kê'!$C$3:$D$669,2,0)</f>
        <v xml:space="preserve">Bao lì xì </v>
      </c>
      <c r="D45" s="166">
        <f>VLOOKUP(B45,'Danh mục hàng hóa'!$C$3:$M$656,6,0)</f>
        <v>7720</v>
      </c>
      <c r="E45" s="167">
        <v>1</v>
      </c>
      <c r="F45" s="168">
        <f t="shared" si="0"/>
        <v>7720</v>
      </c>
      <c r="G45" s="144"/>
      <c r="H45" s="372"/>
    </row>
    <row r="46" spans="1:8" ht="13.2">
      <c r="A46" s="170"/>
      <c r="B46" s="153" t="s">
        <v>1334</v>
      </c>
      <c r="C46" s="143" t="str">
        <f>VLOOKUP(B46,'Thống kê'!$C$3:$D$669,2,0)</f>
        <v>Móc khóa Popbean</v>
      </c>
      <c r="D46" s="166" t="e">
        <f>VLOOKUP(B46,'Danh mục hàng hóa'!$C$3:$M$656,6,0)</f>
        <v>#N/A</v>
      </c>
      <c r="E46" s="167">
        <v>1</v>
      </c>
      <c r="F46" s="168" t="e">
        <f t="shared" si="0"/>
        <v>#N/A</v>
      </c>
      <c r="G46" s="144"/>
      <c r="H46" s="372"/>
    </row>
    <row r="47" spans="1:8" ht="13.2">
      <c r="A47" s="170"/>
      <c r="B47" s="153" t="s">
        <v>1687</v>
      </c>
      <c r="C47" s="143">
        <f>VLOOKUP(B47,'Thống kê'!$C$3:$D$669,2,0)</f>
        <v>0</v>
      </c>
      <c r="D47" s="166" t="e">
        <f>VLOOKUP(B47,'Danh mục hàng hóa'!$C$3:$M$656,6,0)</f>
        <v>#N/A</v>
      </c>
      <c r="E47" s="167">
        <v>1</v>
      </c>
      <c r="F47" s="168" t="e">
        <f t="shared" si="0"/>
        <v>#N/A</v>
      </c>
      <c r="G47" s="144"/>
      <c r="H47" s="372"/>
    </row>
    <row r="48" spans="1:8" ht="13.2">
      <c r="A48" s="170"/>
      <c r="B48" s="153" t="s">
        <v>1382</v>
      </c>
      <c r="C48" s="143" t="str">
        <f>VLOOKUP(B48,'Thống kê'!$C$3:$D$669,2,0)</f>
        <v>miếng dán silicon điện thoại</v>
      </c>
      <c r="D48" s="166" t="e">
        <f>VLOOKUP(B48,'Danh mục hàng hóa'!$C$3:$M$656,6,0)</f>
        <v>#N/A</v>
      </c>
      <c r="E48" s="167">
        <v>1</v>
      </c>
      <c r="F48" s="168" t="e">
        <f t="shared" si="0"/>
        <v>#N/A</v>
      </c>
      <c r="G48" s="144"/>
      <c r="H48" s="373"/>
    </row>
    <row r="49" spans="1:8" ht="13.2">
      <c r="A49" s="170"/>
      <c r="B49" s="153" t="s">
        <v>115</v>
      </c>
      <c r="C49" s="143" t="str">
        <f>VLOOKUP(B49,'Thống kê'!$C$3:$D$669,2,0)</f>
        <v>Heo ú</v>
      </c>
      <c r="D49" s="166">
        <f>VLOOKUP(B49,'Danh mục hàng hóa'!$C$3:$M$656,6,0)</f>
        <v>61275</v>
      </c>
      <c r="E49" s="167">
        <v>1</v>
      </c>
      <c r="F49" s="168">
        <f t="shared" si="0"/>
        <v>61275</v>
      </c>
      <c r="G49" s="144"/>
      <c r="H49" s="178">
        <v>46494</v>
      </c>
    </row>
    <row r="50" spans="1:8" ht="13.2">
      <c r="A50" s="170"/>
      <c r="B50" s="153" t="s">
        <v>143</v>
      </c>
      <c r="C50" s="143" t="str">
        <f>VLOOKUP(B50,'Thống kê'!$C$3:$D$669,2,0)</f>
        <v>Mèo ú</v>
      </c>
      <c r="D50" s="166">
        <f>VLOOKUP(B50,'Danh mục hàng hóa'!$C$3:$M$656,6,0)</f>
        <v>54740</v>
      </c>
      <c r="E50" s="167">
        <v>1</v>
      </c>
      <c r="F50" s="168">
        <f t="shared" si="0"/>
        <v>54740</v>
      </c>
      <c r="G50" s="144"/>
      <c r="H50" s="175">
        <v>46494</v>
      </c>
    </row>
    <row r="51" spans="1:8" ht="13.2">
      <c r="A51" s="170"/>
      <c r="B51" s="153" t="s">
        <v>1711</v>
      </c>
      <c r="C51" s="143" t="str">
        <f>VLOOKUP(B51,'Thống kê'!$C$3:$D$669,2,0)</f>
        <v xml:space="preserve">Bao lì xì </v>
      </c>
      <c r="D51" s="166">
        <f>VLOOKUP(B51,'Danh mục hàng hóa'!$C$3:$M$656,6,0)</f>
        <v>7720</v>
      </c>
      <c r="E51" s="167">
        <v>2</v>
      </c>
      <c r="F51" s="168">
        <f t="shared" si="0"/>
        <v>15440</v>
      </c>
      <c r="G51" s="144"/>
      <c r="H51" s="176">
        <v>48926</v>
      </c>
    </row>
    <row r="52" spans="1:8" ht="13.2">
      <c r="A52" s="170"/>
      <c r="B52" s="153" t="s">
        <v>115</v>
      </c>
      <c r="C52" s="143" t="str">
        <f>VLOOKUP(B52,'Thống kê'!$C$3:$D$669,2,0)</f>
        <v>Heo ú</v>
      </c>
      <c r="D52" s="166">
        <f>VLOOKUP(B52,'Danh mục hàng hóa'!$C$3:$M$656,6,0)</f>
        <v>61275</v>
      </c>
      <c r="E52" s="167">
        <v>1</v>
      </c>
      <c r="F52" s="168">
        <f t="shared" si="0"/>
        <v>61275</v>
      </c>
      <c r="G52" s="144"/>
      <c r="H52" s="178">
        <v>46494</v>
      </c>
    </row>
    <row r="53" spans="1:8" ht="13.2">
      <c r="A53" s="170"/>
      <c r="B53" s="153" t="s">
        <v>1710</v>
      </c>
      <c r="C53" s="143" t="str">
        <f>VLOOKUP(B53,'Thống kê'!$C$3:$D$669,2,0)</f>
        <v xml:space="preserve">Bao lì xì </v>
      </c>
      <c r="D53" s="166">
        <f>VLOOKUP(B53,'Danh mục hàng hóa'!$C$3:$M$656,6,0)</f>
        <v>7720</v>
      </c>
      <c r="E53" s="167">
        <v>1</v>
      </c>
      <c r="F53" s="168">
        <f t="shared" si="0"/>
        <v>7720</v>
      </c>
      <c r="G53" s="144"/>
      <c r="H53" s="176">
        <v>39187</v>
      </c>
    </row>
    <row r="54" spans="1:8" ht="13.2">
      <c r="A54" s="170"/>
      <c r="B54" s="153" t="s">
        <v>1210</v>
      </c>
      <c r="C54" s="143" t="str">
        <f>VLOOKUP(B54,'Thống kê'!$C$3:$D$669,2,0)</f>
        <v>Shiba ú cầm hoa</v>
      </c>
      <c r="D54" s="166" t="e">
        <f>VLOOKUP(B54,'Danh mục hàng hóa'!$C$3:$M$656,6,0)</f>
        <v>#N/A</v>
      </c>
      <c r="E54" s="167">
        <v>1</v>
      </c>
      <c r="F54" s="168" t="e">
        <f t="shared" si="0"/>
        <v>#N/A</v>
      </c>
      <c r="G54" s="144"/>
      <c r="H54" s="178">
        <v>56456</v>
      </c>
    </row>
    <row r="55" spans="1:8" ht="13.2">
      <c r="A55" s="172">
        <v>45662</v>
      </c>
      <c r="B55" s="153" t="s">
        <v>1711</v>
      </c>
      <c r="C55" s="143" t="str">
        <f>VLOOKUP(B55,'Thống kê'!$C$3:$D$669,2,0)</f>
        <v xml:space="preserve">Bao lì xì </v>
      </c>
      <c r="D55" s="166">
        <f>VLOOKUP(B55,'Danh mục hàng hóa'!$C$3:$M$656,6,0)</f>
        <v>7720</v>
      </c>
      <c r="E55" s="167">
        <v>2</v>
      </c>
      <c r="F55" s="168">
        <f t="shared" si="0"/>
        <v>15440</v>
      </c>
      <c r="G55" s="144"/>
      <c r="H55" s="175">
        <v>49151</v>
      </c>
    </row>
    <row r="56" spans="1:8" ht="13.2">
      <c r="A56" s="170"/>
      <c r="B56" s="28" t="s">
        <v>1772</v>
      </c>
      <c r="C56" s="143" t="str">
        <f>VLOOKUP(B56,'Thống kê'!$C$3:$D$669,2,0)</f>
        <v>bao lì xì Tết 2025</v>
      </c>
      <c r="D56" s="166" t="e">
        <f>VLOOKUP(B56,'Danh mục hàng hóa'!$C$3:$M$656,6,0)</f>
        <v>#N/A</v>
      </c>
      <c r="E56" s="167">
        <v>4</v>
      </c>
      <c r="F56" s="168" t="e">
        <f t="shared" si="0"/>
        <v>#N/A</v>
      </c>
      <c r="G56" s="144"/>
      <c r="H56" s="175">
        <v>42804</v>
      </c>
    </row>
    <row r="57" spans="1:8" ht="13.2">
      <c r="A57" s="170"/>
      <c r="B57" s="28" t="s">
        <v>1589</v>
      </c>
      <c r="C57" s="143" t="str">
        <f>VLOOKUP(B57,'Thống kê'!$C$3:$D$669,2,0)</f>
        <v>Heo ú bay</v>
      </c>
      <c r="D57" s="166">
        <f>VLOOKUP(B57,'Danh mục hàng hóa'!$C$3:$M$656,6,0)</f>
        <v>61275</v>
      </c>
      <c r="E57" s="167">
        <v>1</v>
      </c>
      <c r="F57" s="168">
        <f t="shared" si="0"/>
        <v>61275</v>
      </c>
      <c r="G57" s="144"/>
      <c r="H57" s="175">
        <v>55806</v>
      </c>
    </row>
    <row r="58" spans="1:8" ht="13.2">
      <c r="A58" s="179"/>
      <c r="B58" s="28" t="s">
        <v>1711</v>
      </c>
      <c r="C58" s="143" t="str">
        <f>VLOOKUP(B58,'Thống kê'!$C$3:$D$669,2,0)</f>
        <v xml:space="preserve">Bao lì xì </v>
      </c>
      <c r="D58" s="166">
        <f>VLOOKUP(B58,'Danh mục hàng hóa'!$C$3:$M$656,6,0)</f>
        <v>7720</v>
      </c>
      <c r="E58" s="167">
        <v>2</v>
      </c>
      <c r="F58" s="168">
        <f t="shared" si="0"/>
        <v>15440</v>
      </c>
      <c r="G58" s="144"/>
      <c r="H58" s="175">
        <v>48001</v>
      </c>
    </row>
    <row r="59" spans="1:8" ht="13.2">
      <c r="A59" s="180"/>
      <c r="B59" s="28" t="s">
        <v>112</v>
      </c>
      <c r="C59" s="143">
        <f>VLOOKUP(B59,'Thống kê'!$C$3:$D$669,2,0)</f>
        <v>0</v>
      </c>
      <c r="D59" s="166" t="e">
        <f>VLOOKUP(B59,'Danh mục hàng hóa'!$C$3:$M$656,6,0)</f>
        <v>#N/A</v>
      </c>
      <c r="E59" s="167">
        <v>1</v>
      </c>
      <c r="F59" s="168" t="e">
        <f t="shared" si="0"/>
        <v>#N/A</v>
      </c>
      <c r="G59" s="144"/>
      <c r="H59" s="402">
        <v>192226</v>
      </c>
    </row>
    <row r="60" spans="1:8" ht="13.2">
      <c r="A60" s="170"/>
      <c r="B60" s="28" t="s">
        <v>1765</v>
      </c>
      <c r="C60" s="143">
        <f>VLOOKUP(B60,'Thống kê'!$C$3:$D$669,2,0)</f>
        <v>0</v>
      </c>
      <c r="D60" s="166" t="e">
        <f>VLOOKUP(B60,'Danh mục hàng hóa'!$C$3:$M$656,6,0)</f>
        <v>#N/A</v>
      </c>
      <c r="E60" s="167">
        <v>1</v>
      </c>
      <c r="F60" s="168" t="e">
        <f t="shared" si="0"/>
        <v>#N/A</v>
      </c>
      <c r="G60" s="144"/>
      <c r="H60" s="372"/>
    </row>
    <row r="61" spans="1:8" ht="13.2">
      <c r="A61" s="172"/>
      <c r="B61" s="28" t="s">
        <v>1382</v>
      </c>
      <c r="C61" s="143" t="str">
        <f>VLOOKUP(B61,'Thống kê'!$C$3:$D$669,2,0)</f>
        <v>miếng dán silicon điện thoại</v>
      </c>
      <c r="D61" s="166" t="e">
        <f>VLOOKUP(B61,'Danh mục hàng hóa'!$C$3:$M$656,6,0)</f>
        <v>#N/A</v>
      </c>
      <c r="E61" s="167">
        <v>1</v>
      </c>
      <c r="F61" s="168" t="e">
        <f t="shared" si="0"/>
        <v>#N/A</v>
      </c>
      <c r="G61" s="144"/>
      <c r="H61" s="372"/>
    </row>
    <row r="62" spans="1:8" ht="13.2">
      <c r="A62" s="170"/>
      <c r="B62" s="28" t="s">
        <v>1710</v>
      </c>
      <c r="C62" s="143" t="str">
        <f>VLOOKUP(B62,'Thống kê'!$C$3:$D$669,2,0)</f>
        <v xml:space="preserve">Bao lì xì </v>
      </c>
      <c r="D62" s="166">
        <f>VLOOKUP(B62,'Danh mục hàng hóa'!$C$3:$M$656,6,0)</f>
        <v>7720</v>
      </c>
      <c r="E62" s="167">
        <v>1</v>
      </c>
      <c r="F62" s="168">
        <f t="shared" si="0"/>
        <v>7720</v>
      </c>
      <c r="G62" s="144"/>
      <c r="H62" s="402">
        <v>51090</v>
      </c>
    </row>
    <row r="63" spans="1:8" ht="13.2">
      <c r="A63" s="170"/>
      <c r="B63" s="28" t="s">
        <v>1773</v>
      </c>
      <c r="C63" s="143" t="e">
        <f>VLOOKUP(B63,'Thống kê'!$C$3:$D$669,2,0)</f>
        <v>#N/A</v>
      </c>
      <c r="D63" s="166" t="e">
        <f>VLOOKUP(B63,'Danh mục hàng hóa'!$C$3:$M$656,6,0)</f>
        <v>#N/A</v>
      </c>
      <c r="E63" s="167">
        <v>1</v>
      </c>
      <c r="F63" s="168" t="e">
        <f t="shared" si="0"/>
        <v>#N/A</v>
      </c>
      <c r="G63" s="144"/>
      <c r="H63" s="372"/>
    </row>
    <row r="64" spans="1:8" ht="13.2">
      <c r="A64" s="170"/>
      <c r="B64" s="28" t="s">
        <v>1773</v>
      </c>
      <c r="C64" s="143" t="e">
        <f>VLOOKUP(B64,'Thống kê'!$C$3:$D$669,2,0)</f>
        <v>#N/A</v>
      </c>
      <c r="D64" s="166" t="e">
        <f>VLOOKUP(B64,'Danh mục hàng hóa'!$C$3:$M$656,6,0)</f>
        <v>#N/A</v>
      </c>
      <c r="E64" s="167">
        <v>1</v>
      </c>
      <c r="F64" s="168" t="e">
        <f t="shared" si="0"/>
        <v>#N/A</v>
      </c>
      <c r="G64" s="144"/>
      <c r="H64" s="372"/>
    </row>
    <row r="65" spans="1:8" ht="13.2">
      <c r="A65" s="170"/>
      <c r="B65" s="28" t="s">
        <v>1711</v>
      </c>
      <c r="C65" s="143" t="str">
        <f>VLOOKUP(B65,'Thống kê'!$C$3:$D$669,2,0)</f>
        <v xml:space="preserve">Bao lì xì </v>
      </c>
      <c r="D65" s="166">
        <f>VLOOKUP(B65,'Danh mục hàng hóa'!$C$3:$M$656,6,0)</f>
        <v>7720</v>
      </c>
      <c r="E65" s="167">
        <v>2</v>
      </c>
      <c r="F65" s="168">
        <f t="shared" si="0"/>
        <v>15440</v>
      </c>
      <c r="G65" s="144"/>
      <c r="H65" s="175">
        <v>49151</v>
      </c>
    </row>
    <row r="66" spans="1:8" ht="13.2">
      <c r="A66" s="170"/>
      <c r="B66" s="28" t="s">
        <v>150</v>
      </c>
      <c r="C66" s="143" t="str">
        <f>VLOOKUP(B66,'Thống kê'!$C$3:$D$669,2,0)</f>
        <v>Móc khóa có chuông</v>
      </c>
      <c r="D66" s="166" t="e">
        <f>VLOOKUP(B66,'Danh mục hàng hóa'!$C$3:$M$656,6,0)</f>
        <v>#N/A</v>
      </c>
      <c r="E66" s="167">
        <v>1</v>
      </c>
      <c r="F66" s="168" t="e">
        <f t="shared" si="0"/>
        <v>#N/A</v>
      </c>
      <c r="G66" s="144"/>
      <c r="H66" s="175">
        <v>43142</v>
      </c>
    </row>
    <row r="67" spans="1:8" ht="13.2">
      <c r="A67" s="170"/>
      <c r="B67" s="28" t="s">
        <v>1446</v>
      </c>
      <c r="C67" s="143" t="str">
        <f>VLOOKUP(B67,'Thống kê'!$C$3:$D$669,2,0)</f>
        <v>túi mù mô hình</v>
      </c>
      <c r="D67" s="166" t="e">
        <f>VLOOKUP(B67,'Danh mục hàng hóa'!$C$3:$M$656,6,0)</f>
        <v>#N/A</v>
      </c>
      <c r="E67" s="167">
        <v>1</v>
      </c>
      <c r="F67" s="168" t="e">
        <f t="shared" si="0"/>
        <v>#N/A</v>
      </c>
      <c r="G67" s="144"/>
      <c r="H67" s="402">
        <v>519920</v>
      </c>
    </row>
    <row r="68" spans="1:8" ht="13.2">
      <c r="A68" s="170"/>
      <c r="B68" s="28" t="s">
        <v>1339</v>
      </c>
      <c r="C68" s="143" t="str">
        <f>VLOOKUP(B68,'Thống kê'!$C$3:$D$669,2,0)</f>
        <v>Móc khóa chuối</v>
      </c>
      <c r="D68" s="166" t="e">
        <f>VLOOKUP(B68,'Danh mục hàng hóa'!$C$3:$M$656,6,0)</f>
        <v>#N/A</v>
      </c>
      <c r="E68" s="167">
        <v>1</v>
      </c>
      <c r="F68" s="168" t="e">
        <f t="shared" si="0"/>
        <v>#N/A</v>
      </c>
      <c r="G68" s="144"/>
      <c r="H68" s="372"/>
    </row>
    <row r="69" spans="1:8" ht="13.2">
      <c r="A69" s="170"/>
      <c r="B69" s="28" t="s">
        <v>1703</v>
      </c>
      <c r="C69" s="143">
        <f>VLOOKUP(B69,'Thống kê'!$C$3:$D$669,2,0)</f>
        <v>0</v>
      </c>
      <c r="D69" s="166" t="e">
        <f>VLOOKUP(B69,'Danh mục hàng hóa'!$C$3:$M$656,6,0)</f>
        <v>#N/A</v>
      </c>
      <c r="E69" s="167">
        <v>1</v>
      </c>
      <c r="F69" s="168" t="e">
        <f t="shared" si="0"/>
        <v>#N/A</v>
      </c>
      <c r="G69" s="144"/>
      <c r="H69" s="372"/>
    </row>
    <row r="70" spans="1:8" ht="13.2">
      <c r="A70" s="170"/>
      <c r="B70" s="28" t="s">
        <v>1687</v>
      </c>
      <c r="C70" s="143">
        <f>VLOOKUP(B70,'Thống kê'!$C$3:$D$669,2,0)</f>
        <v>0</v>
      </c>
      <c r="D70" s="166" t="e">
        <f>VLOOKUP(B70,'Danh mục hàng hóa'!$C$3:$M$656,6,0)</f>
        <v>#N/A</v>
      </c>
      <c r="E70" s="167">
        <v>1</v>
      </c>
      <c r="F70" s="168" t="e">
        <f t="shared" si="0"/>
        <v>#N/A</v>
      </c>
      <c r="G70" s="144"/>
      <c r="H70" s="372"/>
    </row>
    <row r="71" spans="1:8" ht="13.2">
      <c r="A71" s="170"/>
      <c r="B71" s="28" t="s">
        <v>1384</v>
      </c>
      <c r="C71" s="143" t="str">
        <f>VLOOKUP(B71,'Thống kê'!$C$3:$D$669,2,0)</f>
        <v>Móc khoá Crybaby mini Popmart</v>
      </c>
      <c r="D71" s="166" t="e">
        <f>VLOOKUP(B71,'Danh mục hàng hóa'!$C$3:$M$656,6,0)</f>
        <v>#N/A</v>
      </c>
      <c r="E71" s="167">
        <v>1</v>
      </c>
      <c r="F71" s="168" t="e">
        <f t="shared" si="0"/>
        <v>#N/A</v>
      </c>
      <c r="G71" s="144"/>
      <c r="H71" s="372"/>
    </row>
    <row r="72" spans="1:8" ht="13.2">
      <c r="A72" s="170"/>
      <c r="B72" s="28" t="s">
        <v>138</v>
      </c>
      <c r="C72" s="143" t="str">
        <f>VLOOKUP(B72,'Thống kê'!$C$3:$D$669,2,0)</f>
        <v>Móc khoá Crybaby mini Popmart</v>
      </c>
      <c r="D72" s="166" t="e">
        <f>VLOOKUP(B72,'Danh mục hàng hóa'!$C$3:$M$656,6,0)</f>
        <v>#N/A</v>
      </c>
      <c r="E72" s="167">
        <v>1</v>
      </c>
      <c r="F72" s="168" t="e">
        <f t="shared" si="0"/>
        <v>#N/A</v>
      </c>
      <c r="G72" s="144"/>
      <c r="H72" s="372"/>
    </row>
    <row r="73" spans="1:8" ht="13.2">
      <c r="A73" s="170"/>
      <c r="B73" s="28" t="s">
        <v>1382</v>
      </c>
      <c r="C73" s="143" t="str">
        <f>VLOOKUP(B73,'Thống kê'!$C$3:$D$669,2,0)</f>
        <v>miếng dán silicon điện thoại</v>
      </c>
      <c r="D73" s="166" t="e">
        <f>VLOOKUP(B73,'Danh mục hàng hóa'!$C$3:$M$656,6,0)</f>
        <v>#N/A</v>
      </c>
      <c r="E73" s="167">
        <v>1</v>
      </c>
      <c r="F73" s="168" t="e">
        <f t="shared" si="0"/>
        <v>#N/A</v>
      </c>
      <c r="G73" s="144"/>
      <c r="H73" s="372"/>
    </row>
    <row r="74" spans="1:8" ht="13.2">
      <c r="A74" s="170"/>
      <c r="B74" s="28" t="s">
        <v>1711</v>
      </c>
      <c r="C74" s="143" t="str">
        <f>VLOOKUP(B74,'Thống kê'!$C$3:$D$669,2,0)</f>
        <v xml:space="preserve">Bao lì xì </v>
      </c>
      <c r="D74" s="166">
        <f>VLOOKUP(B74,'Danh mục hàng hóa'!$C$3:$M$656,6,0)</f>
        <v>7720</v>
      </c>
      <c r="E74" s="167">
        <v>1</v>
      </c>
      <c r="F74" s="168">
        <f t="shared" si="0"/>
        <v>7720</v>
      </c>
      <c r="G74" s="144"/>
      <c r="H74" s="175">
        <v>26481</v>
      </c>
    </row>
    <row r="75" spans="1:8" ht="13.2">
      <c r="A75" s="170"/>
      <c r="B75" s="28" t="s">
        <v>1766</v>
      </c>
      <c r="C75" s="143" t="str">
        <f>VLOOKUP(B75,'Thống kê'!$C$3:$D$669,2,0)</f>
        <v>bao lì xì Tết 2025</v>
      </c>
      <c r="D75" s="166" t="e">
        <f>VLOOKUP(B75,'Danh mục hàng hóa'!$C$3:$M$656,6,0)</f>
        <v>#N/A</v>
      </c>
      <c r="E75" s="167">
        <v>1</v>
      </c>
      <c r="F75" s="168" t="e">
        <f t="shared" si="0"/>
        <v>#N/A</v>
      </c>
      <c r="G75" s="144"/>
      <c r="H75" s="402">
        <v>40344</v>
      </c>
    </row>
    <row r="76" spans="1:8" ht="13.2">
      <c r="A76" s="170"/>
      <c r="B76" s="28" t="s">
        <v>1774</v>
      </c>
      <c r="C76" s="143" t="str">
        <f>VLOOKUP(B76,'Thống kê'!$C$3:$D$669,2,0)</f>
        <v>bao lì xì Tết 2025</v>
      </c>
      <c r="D76" s="166" t="e">
        <f>VLOOKUP(B76,'Danh mục hàng hóa'!$C$3:$M$656,6,0)</f>
        <v>#N/A</v>
      </c>
      <c r="E76" s="167">
        <v>1</v>
      </c>
      <c r="F76" s="168" t="e">
        <f t="shared" si="0"/>
        <v>#N/A</v>
      </c>
      <c r="G76" s="144"/>
      <c r="H76" s="372"/>
    </row>
    <row r="77" spans="1:8" ht="13.2">
      <c r="A77" s="170"/>
      <c r="B77" s="28" t="s">
        <v>1768</v>
      </c>
      <c r="C77" s="143" t="str">
        <f>VLOOKUP(B77,'Thống kê'!$C$3:$D$669,2,0)</f>
        <v>bao lì xì Tết 2025</v>
      </c>
      <c r="D77" s="166" t="e">
        <f>VLOOKUP(B77,'Danh mục hàng hóa'!$C$3:$M$656,6,0)</f>
        <v>#N/A</v>
      </c>
      <c r="E77" s="167">
        <v>2</v>
      </c>
      <c r="F77" s="168" t="e">
        <f t="shared" si="0"/>
        <v>#N/A</v>
      </c>
      <c r="G77" s="144"/>
      <c r="H77" s="372"/>
    </row>
    <row r="78" spans="1:8" ht="13.2">
      <c r="A78" s="170"/>
      <c r="B78" s="28" t="s">
        <v>1711</v>
      </c>
      <c r="C78" s="143" t="str">
        <f>VLOOKUP(B78,'Thống kê'!$C$3:$D$669,2,0)</f>
        <v xml:space="preserve">Bao lì xì </v>
      </c>
      <c r="D78" s="166">
        <f>VLOOKUP(B78,'Danh mục hàng hóa'!$C$3:$M$656,6,0)</f>
        <v>7720</v>
      </c>
      <c r="E78" s="167">
        <v>2</v>
      </c>
      <c r="F78" s="168">
        <f t="shared" si="0"/>
        <v>15440</v>
      </c>
      <c r="G78" s="144"/>
      <c r="H78" s="372"/>
    </row>
    <row r="79" spans="1:8" ht="13.2">
      <c r="A79" s="172"/>
      <c r="B79" s="28" t="s">
        <v>181</v>
      </c>
      <c r="C79" s="143" t="str">
        <f>VLOOKUP(B79,'Thống kê'!$C$3:$D$669,2,0)</f>
        <v>Thỏ mặt trăng gắn xe</v>
      </c>
      <c r="D79" s="166">
        <f>VLOOKUP(B79,'Danh mục hàng hóa'!$C$3:$M$656,6,0)</f>
        <v>0</v>
      </c>
      <c r="E79" s="167">
        <v>1</v>
      </c>
      <c r="F79" s="168">
        <f t="shared" si="0"/>
        <v>0</v>
      </c>
      <c r="G79" s="144"/>
      <c r="H79" s="402">
        <v>57902</v>
      </c>
    </row>
    <row r="80" spans="1:8" ht="13.2">
      <c r="A80" s="170"/>
      <c r="B80" s="28" t="s">
        <v>119</v>
      </c>
      <c r="C80" s="143" t="str">
        <f>VLOOKUP(B80,'Thống kê'!$C$3:$D$669,2,0)</f>
        <v>Thỏ chạy xe gắn xe</v>
      </c>
      <c r="D80" s="166">
        <f>VLOOKUP(B80,'Danh mục hàng hóa'!$C$3:$M$656,6,0)</f>
        <v>59340</v>
      </c>
      <c r="E80" s="167">
        <v>1</v>
      </c>
      <c r="F80" s="168">
        <f t="shared" si="0"/>
        <v>59340</v>
      </c>
      <c r="G80" s="144"/>
      <c r="H80" s="372"/>
    </row>
    <row r="81" spans="1:8" ht="13.2">
      <c r="A81" s="172">
        <v>45663</v>
      </c>
      <c r="B81" s="28" t="s">
        <v>1706</v>
      </c>
      <c r="C81" s="143" t="str">
        <f>VLOOKUP(B81,'Thống kê'!$C$3:$D$669,2,0)</f>
        <v>Bao lì xì</v>
      </c>
      <c r="D81" s="166">
        <f>VLOOKUP(B81,'Danh mục hàng hóa'!$C$3:$M$656,6,0)</f>
        <v>14500</v>
      </c>
      <c r="E81" s="167">
        <v>1</v>
      </c>
      <c r="F81" s="168">
        <f t="shared" si="0"/>
        <v>14500</v>
      </c>
      <c r="G81" s="144"/>
      <c r="H81" s="175">
        <v>9525</v>
      </c>
    </row>
    <row r="82" spans="1:8" ht="13.2">
      <c r="A82" s="170"/>
      <c r="B82" s="28" t="s">
        <v>1710</v>
      </c>
      <c r="C82" s="143" t="str">
        <f>VLOOKUP(B82,'Thống kê'!$C$3:$D$669,2,0)</f>
        <v xml:space="preserve">Bao lì xì </v>
      </c>
      <c r="D82" s="166">
        <f>VLOOKUP(B82,'Danh mục hàng hóa'!$C$3:$M$656,6,0)</f>
        <v>7720</v>
      </c>
      <c r="E82" s="167">
        <v>1</v>
      </c>
      <c r="F82" s="168">
        <f t="shared" si="0"/>
        <v>7720</v>
      </c>
      <c r="G82" s="144"/>
      <c r="H82" s="175">
        <v>39187</v>
      </c>
    </row>
    <row r="83" spans="1:8" ht="13.2">
      <c r="A83" s="170"/>
      <c r="B83" s="28" t="s">
        <v>1710</v>
      </c>
      <c r="C83" s="143" t="str">
        <f>VLOOKUP(B83,'Thống kê'!$C$3:$D$669,2,0)</f>
        <v xml:space="preserve">Bao lì xì </v>
      </c>
      <c r="D83" s="166">
        <f>VLOOKUP(B83,'Danh mục hàng hóa'!$C$3:$M$656,6,0)</f>
        <v>7720</v>
      </c>
      <c r="E83" s="167">
        <v>1</v>
      </c>
      <c r="F83" s="168">
        <f t="shared" si="0"/>
        <v>7720</v>
      </c>
      <c r="G83" s="144"/>
      <c r="H83" s="175">
        <v>43542</v>
      </c>
    </row>
    <row r="84" spans="1:8" ht="13.2">
      <c r="A84" s="170"/>
      <c r="B84" s="28" t="s">
        <v>1711</v>
      </c>
      <c r="C84" s="143" t="str">
        <f>VLOOKUP(B84,'Thống kê'!$C$3:$D$669,2,0)</f>
        <v xml:space="preserve">Bao lì xì </v>
      </c>
      <c r="D84" s="166">
        <f>VLOOKUP(B84,'Danh mục hàng hóa'!$C$3:$M$656,6,0)</f>
        <v>7720</v>
      </c>
      <c r="E84" s="167">
        <v>3</v>
      </c>
      <c r="F84" s="168">
        <f t="shared" si="0"/>
        <v>23160</v>
      </c>
      <c r="G84" s="144"/>
      <c r="H84" s="175">
        <v>81718</v>
      </c>
    </row>
    <row r="85" spans="1:8" ht="13.2">
      <c r="A85" s="170"/>
      <c r="B85" s="28" t="s">
        <v>1382</v>
      </c>
      <c r="C85" s="143" t="str">
        <f>VLOOKUP(B85,'Thống kê'!$C$3:$D$669,2,0)</f>
        <v>miếng dán silicon điện thoại</v>
      </c>
      <c r="D85" s="166" t="e">
        <f>VLOOKUP(B85,'Danh mục hàng hóa'!$C$3:$M$656,6,0)</f>
        <v>#N/A</v>
      </c>
      <c r="E85" s="167">
        <v>2</v>
      </c>
      <c r="F85" s="168" t="e">
        <f t="shared" si="0"/>
        <v>#N/A</v>
      </c>
      <c r="G85" s="144"/>
      <c r="H85" s="402">
        <v>59342</v>
      </c>
    </row>
    <row r="86" spans="1:8" ht="13.2">
      <c r="A86" s="170"/>
      <c r="B86" s="28" t="s">
        <v>1775</v>
      </c>
      <c r="C86" s="143" t="e">
        <f>VLOOKUP(B86,'Thống kê'!$C$3:$D$669,2,0)</f>
        <v>#N/A</v>
      </c>
      <c r="D86" s="166" t="e">
        <f>VLOOKUP(B86,'Danh mục hàng hóa'!$C$3:$M$656,6,0)</f>
        <v>#N/A</v>
      </c>
      <c r="E86" s="167">
        <v>1</v>
      </c>
      <c r="F86" s="168" t="e">
        <f t="shared" si="0"/>
        <v>#N/A</v>
      </c>
      <c r="G86" s="144"/>
      <c r="H86" s="372"/>
    </row>
    <row r="87" spans="1:8" ht="13.8">
      <c r="A87" s="179"/>
      <c r="B87" s="181" t="s">
        <v>1382</v>
      </c>
      <c r="C87" s="143" t="str">
        <f>VLOOKUP(B87,'Thống kê'!$C$3:$D$669,2,0)</f>
        <v>miếng dán silicon điện thoại</v>
      </c>
      <c r="D87" s="166" t="e">
        <f>VLOOKUP(B87,'Danh mục hàng hóa'!$C$3:$M$656,6,0)</f>
        <v>#N/A</v>
      </c>
      <c r="E87" s="167">
        <v>1</v>
      </c>
      <c r="F87" s="168" t="e">
        <f t="shared" si="0"/>
        <v>#N/A</v>
      </c>
      <c r="G87" s="144"/>
      <c r="H87" s="372"/>
    </row>
    <row r="88" spans="1:8" ht="13.2">
      <c r="A88" s="404"/>
      <c r="B88" s="28" t="s">
        <v>1384</v>
      </c>
      <c r="C88" s="143" t="str">
        <f>VLOOKUP(B88,'Thống kê'!$C$3:$D$669,2,0)</f>
        <v>Móc khoá Crybaby mini Popmart</v>
      </c>
      <c r="D88" s="166" t="e">
        <f>VLOOKUP(B88,'Danh mục hàng hóa'!$C$3:$M$656,6,0)</f>
        <v>#N/A</v>
      </c>
      <c r="E88" s="167">
        <v>1</v>
      </c>
      <c r="F88" s="168" t="e">
        <f t="shared" si="0"/>
        <v>#N/A</v>
      </c>
      <c r="G88" s="144"/>
      <c r="H88" s="402">
        <v>91020</v>
      </c>
    </row>
    <row r="89" spans="1:8" ht="13.2">
      <c r="A89" s="372"/>
      <c r="B89" s="28" t="s">
        <v>1382</v>
      </c>
      <c r="C89" s="143" t="str">
        <f>VLOOKUP(B89,'Thống kê'!$C$3:$D$669,2,0)</f>
        <v>miếng dán silicon điện thoại</v>
      </c>
      <c r="D89" s="166" t="e">
        <f>VLOOKUP(B89,'Danh mục hàng hóa'!$C$3:$M$656,6,0)</f>
        <v>#N/A</v>
      </c>
      <c r="E89" s="167">
        <v>1</v>
      </c>
      <c r="F89" s="168" t="e">
        <f t="shared" si="0"/>
        <v>#N/A</v>
      </c>
      <c r="G89" s="144"/>
      <c r="H89" s="372"/>
    </row>
    <row r="90" spans="1:8" ht="13.2">
      <c r="A90" s="372"/>
      <c r="B90" s="28" t="s">
        <v>1662</v>
      </c>
      <c r="C90" s="143" t="str">
        <f>VLOOKUP(B90,'Thống kê'!$C$3:$D$669,2,0)</f>
        <v>Móc khóa Popbean Cry Baby</v>
      </c>
      <c r="D90" s="166" t="e">
        <f>VLOOKUP(B90,'Danh mục hàng hóa'!$C$3:$M$656,6,0)</f>
        <v>#N/A</v>
      </c>
      <c r="E90" s="167">
        <v>1</v>
      </c>
      <c r="F90" s="168" t="e">
        <f t="shared" si="0"/>
        <v>#N/A</v>
      </c>
      <c r="G90" s="144"/>
      <c r="H90" s="402">
        <v>90200</v>
      </c>
    </row>
    <row r="91" spans="1:8" ht="13.2">
      <c r="A91" s="372"/>
      <c r="B91" s="28" t="s">
        <v>1382</v>
      </c>
      <c r="C91" s="143" t="str">
        <f>VLOOKUP(B91,'Thống kê'!$C$3:$D$669,2,0)</f>
        <v>miếng dán silicon điện thoại</v>
      </c>
      <c r="D91" s="166" t="e">
        <f>VLOOKUP(B91,'Danh mục hàng hóa'!$C$3:$M$656,6,0)</f>
        <v>#N/A</v>
      </c>
      <c r="E91" s="167">
        <v>1</v>
      </c>
      <c r="F91" s="168" t="e">
        <f t="shared" si="0"/>
        <v>#N/A</v>
      </c>
      <c r="G91" s="144"/>
      <c r="H91" s="372"/>
    </row>
    <row r="92" spans="1:8" ht="13.2">
      <c r="A92" s="372"/>
      <c r="B92" s="28" t="s">
        <v>116</v>
      </c>
      <c r="C92" s="143" t="str">
        <f>VLOOKUP(B92,'Thống kê'!$C$3:$D$669,2,0)</f>
        <v>heo ú cầm hoa</v>
      </c>
      <c r="D92" s="166" t="e">
        <f>VLOOKUP(B92,'Danh mục hàng hóa'!$C$3:$M$656,6,0)</f>
        <v>#N/A</v>
      </c>
      <c r="E92" s="167">
        <v>1</v>
      </c>
      <c r="F92" s="168" t="e">
        <f t="shared" si="0"/>
        <v>#N/A</v>
      </c>
      <c r="G92" s="144"/>
      <c r="H92" s="175">
        <v>55806</v>
      </c>
    </row>
    <row r="93" spans="1:8" ht="13.2">
      <c r="A93" s="372"/>
      <c r="B93" s="28" t="s">
        <v>1210</v>
      </c>
      <c r="C93" s="143" t="str">
        <f>VLOOKUP(B93,'Thống kê'!$C$3:$D$669,2,0)</f>
        <v>Shiba ú cầm hoa</v>
      </c>
      <c r="D93" s="166" t="e">
        <f>VLOOKUP(B93,'Danh mục hàng hóa'!$C$3:$M$656,6,0)</f>
        <v>#N/A</v>
      </c>
      <c r="E93" s="167">
        <v>1</v>
      </c>
      <c r="F93" s="168" t="e">
        <f t="shared" si="0"/>
        <v>#N/A</v>
      </c>
      <c r="G93" s="144"/>
      <c r="H93" s="402">
        <v>113734</v>
      </c>
    </row>
    <row r="94" spans="1:8" ht="13.2">
      <c r="A94" s="372"/>
      <c r="B94" s="28" t="s">
        <v>1353</v>
      </c>
      <c r="C94" s="143" t="str">
        <f>VLOOKUP(B94,'Thống kê'!$C$3:$D$669,2,0)</f>
        <v>Trang trí mô hình Vịt</v>
      </c>
      <c r="D94" s="166" t="e">
        <f>VLOOKUP(B94,'Danh mục hàng hóa'!$C$3:$M$656,6,0)</f>
        <v>#N/A</v>
      </c>
      <c r="E94" s="167">
        <v>1</v>
      </c>
      <c r="F94" s="168" t="e">
        <f t="shared" si="0"/>
        <v>#N/A</v>
      </c>
      <c r="G94" s="144"/>
      <c r="H94" s="372"/>
    </row>
    <row r="95" spans="1:8" ht="13.2">
      <c r="A95" s="372"/>
      <c r="B95" s="28" t="s">
        <v>1357</v>
      </c>
      <c r="C95" s="143" t="str">
        <f>VLOOKUP(B95,'Thống kê'!$C$3:$D$669,2,0)</f>
        <v>Trang trí mô hình Thỏ</v>
      </c>
      <c r="D95" s="166" t="e">
        <f>VLOOKUP(B95,'Danh mục hàng hóa'!$C$3:$M$656,6,0)</f>
        <v>#N/A</v>
      </c>
      <c r="E95" s="167">
        <v>1</v>
      </c>
      <c r="F95" s="168" t="e">
        <f t="shared" si="0"/>
        <v>#N/A</v>
      </c>
      <c r="G95" s="144"/>
      <c r="H95" s="372"/>
    </row>
    <row r="96" spans="1:8" ht="13.2">
      <c r="A96" s="372"/>
      <c r="B96" s="28" t="s">
        <v>1706</v>
      </c>
      <c r="C96" s="143" t="str">
        <f>VLOOKUP(B96,'Thống kê'!$C$3:$D$669,2,0)</f>
        <v>Bao lì xì</v>
      </c>
      <c r="D96" s="166">
        <f>VLOOKUP(B96,'Danh mục hàng hóa'!$C$3:$M$656,6,0)</f>
        <v>14500</v>
      </c>
      <c r="E96" s="167">
        <v>1</v>
      </c>
      <c r="F96" s="168">
        <f t="shared" si="0"/>
        <v>14500</v>
      </c>
      <c r="G96" s="144"/>
      <c r="H96" s="402">
        <v>28945</v>
      </c>
    </row>
    <row r="97" spans="1:8" ht="13.2">
      <c r="A97" s="372"/>
      <c r="B97" s="28" t="s">
        <v>1707</v>
      </c>
      <c r="C97" s="143" t="str">
        <f>VLOOKUP(B97,'Thống kê'!$C$3:$D$669,2,0)</f>
        <v xml:space="preserve">Bao lì xì </v>
      </c>
      <c r="D97" s="166">
        <f>VLOOKUP(B97,'Danh mục hàng hóa'!$C$3:$M$656,6,0)</f>
        <v>14500</v>
      </c>
      <c r="E97" s="167">
        <v>1</v>
      </c>
      <c r="F97" s="168">
        <f t="shared" si="0"/>
        <v>14500</v>
      </c>
      <c r="G97" s="144"/>
      <c r="H97" s="372"/>
    </row>
    <row r="98" spans="1:8" ht="13.2">
      <c r="A98" s="373"/>
      <c r="B98" s="28" t="s">
        <v>1708</v>
      </c>
      <c r="C98" s="143" t="str">
        <f>VLOOKUP(B98,'Thống kê'!$C$3:$D$669,2,0)</f>
        <v xml:space="preserve">Bao lì xì </v>
      </c>
      <c r="D98" s="166">
        <f>VLOOKUP(B98,'Danh mục hàng hóa'!$C$3:$M$656,6,0)</f>
        <v>7720</v>
      </c>
      <c r="E98" s="167">
        <v>1</v>
      </c>
      <c r="F98" s="168">
        <f t="shared" si="0"/>
        <v>7720</v>
      </c>
      <c r="G98" s="144"/>
      <c r="H98" s="372"/>
    </row>
    <row r="99" spans="1:8" ht="13.2">
      <c r="A99" s="165">
        <v>45664</v>
      </c>
      <c r="B99" s="28" t="s">
        <v>1382</v>
      </c>
      <c r="C99" s="143" t="str">
        <f>VLOOKUP(B99,'Thống kê'!$C$3:$D$669,2,0)</f>
        <v>miếng dán silicon điện thoại</v>
      </c>
      <c r="D99" s="166" t="e">
        <f>VLOOKUP(B99,'Danh mục hàng hóa'!$C$3:$M$656,6,0)</f>
        <v>#N/A</v>
      </c>
      <c r="E99" s="167">
        <v>10</v>
      </c>
      <c r="F99" s="168" t="e">
        <f t="shared" si="0"/>
        <v>#N/A</v>
      </c>
      <c r="G99" s="144"/>
      <c r="H99" s="175">
        <v>21985</v>
      </c>
    </row>
    <row r="100" spans="1:8" ht="13.2">
      <c r="A100" s="170"/>
      <c r="B100" s="28" t="s">
        <v>1708</v>
      </c>
      <c r="C100" s="143" t="str">
        <f>VLOOKUP(B100,'Thống kê'!$C$3:$D$669,2,0)</f>
        <v xml:space="preserve">Bao lì xì </v>
      </c>
      <c r="D100" s="166">
        <f>VLOOKUP(B100,'Danh mục hàng hóa'!$C$3:$M$656,6,0)</f>
        <v>7720</v>
      </c>
      <c r="E100" s="167">
        <v>5</v>
      </c>
      <c r="F100" s="168">
        <f t="shared" si="0"/>
        <v>38600</v>
      </c>
      <c r="G100" s="144"/>
      <c r="H100" s="175">
        <v>40165</v>
      </c>
    </row>
    <row r="101" spans="1:8" ht="13.2">
      <c r="A101" s="170"/>
      <c r="B101" s="28" t="s">
        <v>1387</v>
      </c>
      <c r="C101" s="143" t="str">
        <f>VLOOKUP(B101,'Thống kê'!$C$3:$D$669,2,0)</f>
        <v>Móc khoá Crybaby mini Popmart</v>
      </c>
      <c r="D101" s="166" t="e">
        <f>VLOOKUP(B101,'Danh mục hàng hóa'!$C$3:$M$656,6,0)</f>
        <v>#N/A</v>
      </c>
      <c r="E101" s="167">
        <v>1</v>
      </c>
      <c r="F101" s="168" t="e">
        <f t="shared" si="0"/>
        <v>#N/A</v>
      </c>
      <c r="G101" s="144"/>
      <c r="H101" s="402">
        <v>89380</v>
      </c>
    </row>
    <row r="102" spans="1:8" ht="13.2">
      <c r="A102" s="170"/>
      <c r="B102" s="28" t="s">
        <v>1382</v>
      </c>
      <c r="C102" s="143" t="str">
        <f>VLOOKUP(B102,'Thống kê'!$C$3:$D$669,2,0)</f>
        <v>miếng dán silicon điện thoại</v>
      </c>
      <c r="D102" s="166" t="e">
        <f>VLOOKUP(B102,'Danh mục hàng hóa'!$C$3:$M$656,6,0)</f>
        <v>#N/A</v>
      </c>
      <c r="E102" s="167">
        <v>1</v>
      </c>
      <c r="F102" s="168" t="e">
        <f t="shared" si="0"/>
        <v>#N/A</v>
      </c>
      <c r="G102" s="144"/>
      <c r="H102" s="373"/>
    </row>
    <row r="103" spans="1:8" ht="13.2">
      <c r="A103" s="170"/>
      <c r="B103" s="28" t="s">
        <v>1766</v>
      </c>
      <c r="C103" s="143" t="str">
        <f>VLOOKUP(B103,'Thống kê'!$C$3:$D$669,2,0)</f>
        <v>bao lì xì Tết 2025</v>
      </c>
      <c r="D103" s="166" t="e">
        <f>VLOOKUP(B103,'Danh mục hàng hóa'!$C$3:$M$656,6,0)</f>
        <v>#N/A</v>
      </c>
      <c r="E103" s="167">
        <v>1</v>
      </c>
      <c r="F103" s="168" t="e">
        <f t="shared" si="0"/>
        <v>#N/A</v>
      </c>
      <c r="G103" s="144"/>
      <c r="H103" s="403">
        <v>18539</v>
      </c>
    </row>
    <row r="104" spans="1:8" ht="13.2">
      <c r="A104" s="170"/>
      <c r="B104" s="28" t="s">
        <v>1772</v>
      </c>
      <c r="C104" s="143" t="str">
        <f>VLOOKUP(B104,'Thống kê'!$C$3:$D$669,2,0)</f>
        <v>bao lì xì Tết 2025</v>
      </c>
      <c r="D104" s="166" t="e">
        <f>VLOOKUP(B104,'Danh mục hàng hóa'!$C$3:$M$656,6,0)</f>
        <v>#N/A</v>
      </c>
      <c r="E104" s="167">
        <v>1</v>
      </c>
      <c r="F104" s="168" t="e">
        <f t="shared" si="0"/>
        <v>#N/A</v>
      </c>
      <c r="G104" s="144"/>
      <c r="H104" s="373"/>
    </row>
    <row r="105" spans="1:8" ht="13.2">
      <c r="A105" s="170"/>
      <c r="B105" s="28" t="s">
        <v>1596</v>
      </c>
      <c r="C105" s="143" t="str">
        <f>VLOOKUP(B105,'Thống kê'!$C$3:$D$669,2,0)</f>
        <v>Dao rọc giấy 11</v>
      </c>
      <c r="D105" s="166" t="e">
        <f>VLOOKUP(B105,'Danh mục hàng hóa'!$C$3:$M$656,6,0)</f>
        <v>#N/A</v>
      </c>
      <c r="E105" s="167">
        <v>1</v>
      </c>
      <c r="F105" s="168" t="e">
        <f t="shared" si="0"/>
        <v>#N/A</v>
      </c>
      <c r="G105" s="144"/>
      <c r="H105" s="402">
        <v>17637</v>
      </c>
    </row>
    <row r="106" spans="1:8" ht="13.2">
      <c r="A106" s="170"/>
      <c r="B106" s="28" t="s">
        <v>161</v>
      </c>
      <c r="C106" s="143" t="str">
        <f>VLOOKUP(B106,'Thống kê'!$C$3:$D$669,2,0)</f>
        <v>Dao rọc giấy 07</v>
      </c>
      <c r="D106" s="166" t="e">
        <f>VLOOKUP(B106,'Danh mục hàng hóa'!$C$3:$M$656,6,0)</f>
        <v>#N/A</v>
      </c>
      <c r="E106" s="167">
        <v>1</v>
      </c>
      <c r="F106" s="168" t="e">
        <f t="shared" si="0"/>
        <v>#N/A</v>
      </c>
      <c r="G106" s="144"/>
      <c r="H106" s="372"/>
    </row>
    <row r="107" spans="1:8" ht="13.2">
      <c r="A107" s="170"/>
      <c r="B107" s="28" t="s">
        <v>1710</v>
      </c>
      <c r="C107" s="143" t="str">
        <f>VLOOKUP(B107,'Thống kê'!$C$3:$D$669,2,0)</f>
        <v xml:space="preserve">Bao lì xì </v>
      </c>
      <c r="D107" s="166">
        <f>VLOOKUP(B107,'Danh mục hàng hóa'!$C$3:$M$656,6,0)</f>
        <v>7720</v>
      </c>
      <c r="E107" s="167">
        <v>1</v>
      </c>
      <c r="F107" s="168">
        <f t="shared" si="0"/>
        <v>7720</v>
      </c>
      <c r="G107" s="144"/>
      <c r="H107" s="402">
        <v>83312</v>
      </c>
    </row>
    <row r="108" spans="1:8" ht="13.2">
      <c r="A108" s="170"/>
      <c r="B108" s="28" t="s">
        <v>1706</v>
      </c>
      <c r="C108" s="143" t="str">
        <f>VLOOKUP(B108,'Thống kê'!$C$3:$D$669,2,0)</f>
        <v>Bao lì xì</v>
      </c>
      <c r="D108" s="166">
        <f>VLOOKUP(B108,'Danh mục hàng hóa'!$C$3:$M$656,6,0)</f>
        <v>14500</v>
      </c>
      <c r="E108" s="167">
        <v>1</v>
      </c>
      <c r="F108" s="168">
        <f t="shared" si="0"/>
        <v>14500</v>
      </c>
      <c r="G108" s="144"/>
      <c r="H108" s="372"/>
    </row>
    <row r="109" spans="1:8" ht="13.2">
      <c r="A109" s="170"/>
      <c r="B109" s="28" t="s">
        <v>1707</v>
      </c>
      <c r="C109" s="143" t="str">
        <f>VLOOKUP(B109,'Thống kê'!$C$3:$D$669,2,0)</f>
        <v xml:space="preserve">Bao lì xì </v>
      </c>
      <c r="D109" s="166">
        <f>VLOOKUP(B109,'Danh mục hàng hóa'!$C$3:$M$656,6,0)</f>
        <v>14500</v>
      </c>
      <c r="E109" s="167">
        <v>1</v>
      </c>
      <c r="F109" s="168">
        <f t="shared" si="0"/>
        <v>14500</v>
      </c>
      <c r="G109" s="144"/>
      <c r="H109" s="372"/>
    </row>
    <row r="110" spans="1:8" ht="13.2">
      <c r="A110" s="170"/>
      <c r="B110" s="28" t="s">
        <v>1696</v>
      </c>
      <c r="C110" s="143" t="str">
        <f>VLOOKUP(B110,'Thống kê'!$C$3:$D$669,2,0)</f>
        <v>gấu</v>
      </c>
      <c r="D110" s="166" t="e">
        <f>VLOOKUP(B110,'Danh mục hàng hóa'!$C$3:$M$656,6,0)</f>
        <v>#N/A</v>
      </c>
      <c r="E110" s="167">
        <v>1</v>
      </c>
      <c r="F110" s="168" t="e">
        <f t="shared" si="0"/>
        <v>#N/A</v>
      </c>
      <c r="G110" s="144"/>
      <c r="H110" s="372"/>
    </row>
    <row r="111" spans="1:8" ht="13.2">
      <c r="A111" s="179"/>
      <c r="B111" s="28" t="s">
        <v>1605</v>
      </c>
      <c r="C111" s="143" t="str">
        <f>VLOOKUP(B111,'Thống kê'!$C$3:$D$669,2,0)</f>
        <v>Thước dây xanh</v>
      </c>
      <c r="D111" s="166">
        <f>VLOOKUP(B111,'Danh mục hàng hóa'!$C$3:$M$656,6,0)</f>
        <v>9000</v>
      </c>
      <c r="E111" s="167">
        <v>1</v>
      </c>
      <c r="F111" s="168">
        <f t="shared" si="0"/>
        <v>9000</v>
      </c>
      <c r="G111" s="144"/>
      <c r="H111" s="402">
        <v>27474</v>
      </c>
    </row>
    <row r="112" spans="1:8" ht="13.2">
      <c r="A112" s="180"/>
      <c r="B112" s="28" t="s">
        <v>1704</v>
      </c>
      <c r="C112" s="143" t="str">
        <f>VLOOKUP(B112,'Thống kê'!$C$3:$D$669,2,0)</f>
        <v>Dây treo điện thoại có charm xinh xắn</v>
      </c>
      <c r="D112" s="166" t="e">
        <f>VLOOKUP(B112,'Danh mục hàng hóa'!$C$3:$M$656,6,0)</f>
        <v>#N/A</v>
      </c>
      <c r="E112" s="167">
        <v>1</v>
      </c>
      <c r="F112" s="168" t="e">
        <f t="shared" si="0"/>
        <v>#N/A</v>
      </c>
      <c r="G112" s="144"/>
      <c r="H112" s="373"/>
    </row>
    <row r="113" spans="1:8" ht="13.2">
      <c r="A113" s="170"/>
      <c r="B113" s="28" t="s">
        <v>1706</v>
      </c>
      <c r="C113" s="143" t="str">
        <f>VLOOKUP(B113,'Thống kê'!$C$3:$D$669,2,0)</f>
        <v>Bao lì xì</v>
      </c>
      <c r="D113" s="166">
        <f>VLOOKUP(B113,'Danh mục hàng hóa'!$C$3:$M$656,6,0)</f>
        <v>14500</v>
      </c>
      <c r="E113" s="167">
        <v>2</v>
      </c>
      <c r="F113" s="168">
        <f t="shared" si="0"/>
        <v>29000</v>
      </c>
      <c r="G113" s="144"/>
      <c r="H113" s="403">
        <v>70520</v>
      </c>
    </row>
    <row r="114" spans="1:8" ht="13.2">
      <c r="A114" s="170"/>
      <c r="B114" s="28" t="s">
        <v>1707</v>
      </c>
      <c r="C114" s="143" t="str">
        <f>VLOOKUP(B114,'Thống kê'!$C$3:$D$669,2,0)</f>
        <v xml:space="preserve">Bao lì xì </v>
      </c>
      <c r="D114" s="166">
        <f>VLOOKUP(B114,'Danh mục hàng hóa'!$C$3:$M$656,6,0)</f>
        <v>14500</v>
      </c>
      <c r="E114" s="167">
        <v>2</v>
      </c>
      <c r="F114" s="168">
        <f t="shared" si="0"/>
        <v>29000</v>
      </c>
      <c r="G114" s="144"/>
      <c r="H114" s="372"/>
    </row>
    <row r="115" spans="1:8" ht="13.2">
      <c r="A115" s="170"/>
      <c r="B115" s="28" t="s">
        <v>1708</v>
      </c>
      <c r="C115" s="143" t="str">
        <f>VLOOKUP(B115,'Thống kê'!$C$3:$D$669,2,0)</f>
        <v xml:space="preserve">Bao lì xì </v>
      </c>
      <c r="D115" s="166">
        <f>VLOOKUP(B115,'Danh mục hàng hóa'!$C$3:$M$656,6,0)</f>
        <v>7720</v>
      </c>
      <c r="E115" s="167">
        <v>4</v>
      </c>
      <c r="F115" s="168">
        <f t="shared" si="0"/>
        <v>30880</v>
      </c>
      <c r="G115" s="144"/>
      <c r="H115" s="373"/>
    </row>
    <row r="116" spans="1:8" ht="13.2">
      <c r="A116" s="172">
        <v>45665</v>
      </c>
      <c r="B116" s="28" t="s">
        <v>1760</v>
      </c>
      <c r="C116" s="143">
        <f>VLOOKUP(B116,'Thống kê'!$C$3:$D$669,2,0)</f>
        <v>0</v>
      </c>
      <c r="D116" s="166" t="e">
        <f>VLOOKUP(B116,'Danh mục hàng hóa'!$C$3:$M$656,6,0)</f>
        <v>#N/A</v>
      </c>
      <c r="E116" s="167">
        <v>1</v>
      </c>
      <c r="F116" s="168" t="e">
        <f t="shared" si="0"/>
        <v>#N/A</v>
      </c>
      <c r="G116" s="144"/>
      <c r="H116" s="177">
        <v>78235</v>
      </c>
    </row>
    <row r="117" spans="1:8" ht="13.2">
      <c r="A117" s="170"/>
      <c r="B117" s="28" t="s">
        <v>1776</v>
      </c>
      <c r="C117" s="143" t="e">
        <f>VLOOKUP(B117,'Thống kê'!$C$3:$D$669,2,0)</f>
        <v>#N/A</v>
      </c>
      <c r="D117" s="166" t="e">
        <f>VLOOKUP(B117,'Danh mục hàng hóa'!$C$3:$M$656,6,0)</f>
        <v>#N/A</v>
      </c>
      <c r="E117" s="167">
        <v>2</v>
      </c>
      <c r="F117" s="168" t="e">
        <f t="shared" si="0"/>
        <v>#N/A</v>
      </c>
      <c r="G117" s="144"/>
      <c r="H117" s="403">
        <v>164735</v>
      </c>
    </row>
    <row r="118" spans="1:8" ht="13.2">
      <c r="A118" s="170"/>
      <c r="B118" s="28" t="s">
        <v>1382</v>
      </c>
      <c r="C118" s="143" t="str">
        <f>VLOOKUP(B118,'Thống kê'!$C$3:$D$669,2,0)</f>
        <v>miếng dán silicon điện thoại</v>
      </c>
      <c r="D118" s="166" t="e">
        <f>VLOOKUP(B118,'Danh mục hàng hóa'!$C$3:$M$656,6,0)</f>
        <v>#N/A</v>
      </c>
      <c r="E118" s="167">
        <v>2</v>
      </c>
      <c r="F118" s="168" t="e">
        <f t="shared" si="0"/>
        <v>#N/A</v>
      </c>
      <c r="G118" s="144"/>
      <c r="H118" s="372"/>
    </row>
    <row r="119" spans="1:8" ht="13.2">
      <c r="A119" s="170"/>
      <c r="B119" s="28" t="s">
        <v>245</v>
      </c>
      <c r="C119" s="143" t="str">
        <f>VLOOKUP(B119,'Thống kê'!$C$3:$D$669,2,0)</f>
        <v>Móc khóa Popbean</v>
      </c>
      <c r="D119" s="166" t="e">
        <f>VLOOKUP(B119,'Danh mục hàng hóa'!$C$3:$M$656,6,0)</f>
        <v>#N/A</v>
      </c>
      <c r="E119" s="167">
        <v>1</v>
      </c>
      <c r="F119" s="168" t="e">
        <f t="shared" si="0"/>
        <v>#N/A</v>
      </c>
      <c r="G119" s="144"/>
      <c r="H119" s="372"/>
    </row>
    <row r="120" spans="1:8" ht="13.2">
      <c r="A120" s="170"/>
      <c r="B120" s="28" t="s">
        <v>1382</v>
      </c>
      <c r="C120" s="143" t="str">
        <f>VLOOKUP(B120,'Thống kê'!$C$3:$D$669,2,0)</f>
        <v>miếng dán silicon điện thoại</v>
      </c>
      <c r="D120" s="166" t="e">
        <f>VLOOKUP(B120,'Danh mục hàng hóa'!$C$3:$M$656,6,0)</f>
        <v>#N/A</v>
      </c>
      <c r="E120" s="167">
        <v>1</v>
      </c>
      <c r="F120" s="168" t="e">
        <f t="shared" si="0"/>
        <v>#N/A</v>
      </c>
      <c r="G120" s="144"/>
      <c r="H120" s="372"/>
    </row>
    <row r="121" spans="1:8" ht="13.2">
      <c r="A121" s="170"/>
      <c r="B121" s="28" t="s">
        <v>149</v>
      </c>
      <c r="C121" s="143" t="str">
        <f>VLOOKUP(B121,'Thống kê'!$C$3:$D$669,2,0)</f>
        <v>ếch</v>
      </c>
      <c r="D121" s="166" t="e">
        <f>VLOOKUP(B121,'Danh mục hàng hóa'!$C$3:$M$656,6,0)</f>
        <v>#N/A</v>
      </c>
      <c r="E121" s="167">
        <v>1</v>
      </c>
      <c r="F121" s="168" t="e">
        <f t="shared" si="0"/>
        <v>#N/A</v>
      </c>
      <c r="G121" s="144"/>
      <c r="H121" s="373"/>
    </row>
    <row r="122" spans="1:8" ht="13.2">
      <c r="A122" s="170"/>
      <c r="B122" s="28" t="s">
        <v>1710</v>
      </c>
      <c r="C122" s="143" t="str">
        <f>VLOOKUP(B122,'Thống kê'!$C$3:$D$669,2,0)</f>
        <v xml:space="preserve">Bao lì xì </v>
      </c>
      <c r="D122" s="166">
        <f>VLOOKUP(B122,'Danh mục hàng hóa'!$C$3:$M$656,6,0)</f>
        <v>7720</v>
      </c>
      <c r="E122" s="167">
        <v>1</v>
      </c>
      <c r="F122" s="168">
        <f t="shared" si="0"/>
        <v>7720</v>
      </c>
      <c r="G122" s="144"/>
      <c r="H122" s="402">
        <v>91594</v>
      </c>
    </row>
    <row r="123" spans="1:8" ht="13.2">
      <c r="A123" s="170"/>
      <c r="B123" s="28" t="s">
        <v>1711</v>
      </c>
      <c r="C123" s="143" t="str">
        <f>VLOOKUP(B123,'Thống kê'!$C$3:$D$669,2,0)</f>
        <v xml:space="preserve">Bao lì xì </v>
      </c>
      <c r="D123" s="166">
        <f>VLOOKUP(B123,'Danh mục hàng hóa'!$C$3:$M$656,6,0)</f>
        <v>7720</v>
      </c>
      <c r="E123" s="167">
        <v>2</v>
      </c>
      <c r="F123" s="168">
        <f t="shared" si="0"/>
        <v>15440</v>
      </c>
      <c r="G123" s="144"/>
      <c r="H123" s="373"/>
    </row>
    <row r="124" spans="1:8" ht="13.2">
      <c r="A124" s="170"/>
      <c r="B124" s="28" t="s">
        <v>325</v>
      </c>
      <c r="C124" s="143" t="str">
        <f>VLOOKUP(B124,'Thống kê'!$C$3:$D$669,2,0)</f>
        <v>Gấu ú</v>
      </c>
      <c r="D124" s="166">
        <f>VLOOKUP(B124,'Danh mục hàng hóa'!$C$3:$M$656,6,0)</f>
        <v>56525</v>
      </c>
      <c r="E124" s="167">
        <v>1</v>
      </c>
      <c r="F124" s="168">
        <f t="shared" si="0"/>
        <v>56525</v>
      </c>
      <c r="G124" s="144"/>
      <c r="H124" s="402">
        <v>107865</v>
      </c>
    </row>
    <row r="125" spans="1:8" ht="13.2">
      <c r="A125" s="170"/>
      <c r="B125" s="28" t="s">
        <v>145</v>
      </c>
      <c r="C125" s="143" t="str">
        <f>VLOOKUP(B125,'Thống kê'!$C$3:$D$669,2,0)</f>
        <v>Thỏ đi vịt gắn xe</v>
      </c>
      <c r="D125" s="166">
        <f>VLOOKUP(B125,'Danh mục hàng hóa'!$C$3:$M$656,6,0)</f>
        <v>45000</v>
      </c>
      <c r="E125" s="167">
        <v>1</v>
      </c>
      <c r="F125" s="168">
        <f t="shared" si="0"/>
        <v>45000</v>
      </c>
      <c r="G125" s="144"/>
      <c r="H125" s="372"/>
    </row>
    <row r="126" spans="1:8" ht="13.2">
      <c r="A126" s="170"/>
      <c r="B126" s="28" t="s">
        <v>232</v>
      </c>
      <c r="C126" s="143" t="str">
        <f>VLOOKUP(B126,'Thống kê'!$C$3:$D$669,2,0)</f>
        <v>Cáo gắn xe</v>
      </c>
      <c r="D126" s="166">
        <f>VLOOKUP(B126,'Danh mục hàng hóa'!$C$3:$M$656,6,0)</f>
        <v>59340</v>
      </c>
      <c r="E126" s="167">
        <v>1</v>
      </c>
      <c r="F126" s="168">
        <f t="shared" si="0"/>
        <v>59340</v>
      </c>
      <c r="G126" s="144"/>
      <c r="H126" s="373"/>
    </row>
    <row r="127" spans="1:8" ht="13.2">
      <c r="A127" s="170"/>
      <c r="B127" s="28" t="s">
        <v>1624</v>
      </c>
      <c r="C127" s="143" t="str">
        <f>VLOOKUP(B127,'Thống kê'!$C$3:$D$669,2,0)</f>
        <v>Móc khóa mèo trái tim</v>
      </c>
      <c r="D127" s="166" t="e">
        <f>VLOOKUP(B127,'Danh mục hàng hóa'!$C$3:$M$656,6,0)</f>
        <v>#N/A</v>
      </c>
      <c r="E127" s="167">
        <v>1</v>
      </c>
      <c r="F127" s="168" t="e">
        <f t="shared" si="0"/>
        <v>#N/A</v>
      </c>
      <c r="G127" s="144"/>
      <c r="H127" s="175">
        <v>43142</v>
      </c>
    </row>
    <row r="128" spans="1:8" ht="13.2">
      <c r="A128" s="170"/>
      <c r="B128" s="28" t="s">
        <v>1774</v>
      </c>
      <c r="C128" s="143" t="str">
        <f>VLOOKUP(B128,'Thống kê'!$C$3:$D$669,2,0)</f>
        <v>bao lì xì Tết 2025</v>
      </c>
      <c r="D128" s="166" t="e">
        <f>VLOOKUP(B128,'Danh mục hàng hóa'!$C$3:$M$656,6,0)</f>
        <v>#N/A</v>
      </c>
      <c r="E128" s="167">
        <v>2</v>
      </c>
      <c r="F128" s="168" t="e">
        <f t="shared" si="0"/>
        <v>#N/A</v>
      </c>
      <c r="G128" s="144"/>
      <c r="H128" s="402">
        <v>41536</v>
      </c>
    </row>
    <row r="129" spans="1:8" ht="13.2">
      <c r="A129" s="170"/>
      <c r="B129" s="28" t="s">
        <v>1767</v>
      </c>
      <c r="C129" s="143" t="str">
        <f>VLOOKUP(B129,'Thống kê'!$C$3:$D$669,2,0)</f>
        <v>bao lì xì Tết 2025</v>
      </c>
      <c r="D129" s="166" t="e">
        <f>VLOOKUP(B129,'Danh mục hàng hóa'!$C$3:$M$656,6,0)</f>
        <v>#N/A</v>
      </c>
      <c r="E129" s="167">
        <v>2</v>
      </c>
      <c r="F129" s="168" t="e">
        <f t="shared" si="0"/>
        <v>#N/A</v>
      </c>
      <c r="G129" s="144"/>
      <c r="H129" s="372"/>
    </row>
    <row r="130" spans="1:8" ht="13.2">
      <c r="A130" s="170"/>
      <c r="B130" s="28" t="s">
        <v>1769</v>
      </c>
      <c r="C130" s="143" t="str">
        <f>VLOOKUP(B130,'Thống kê'!$C$3:$D$669,2,0)</f>
        <v>bao lì xì Tết 2025</v>
      </c>
      <c r="D130" s="166" t="e">
        <f>VLOOKUP(B130,'Danh mục hàng hóa'!$C$3:$M$656,6,0)</f>
        <v>#N/A</v>
      </c>
      <c r="E130" s="167">
        <v>1</v>
      </c>
      <c r="F130" s="168" t="e">
        <f t="shared" si="0"/>
        <v>#N/A</v>
      </c>
      <c r="G130" s="144"/>
      <c r="H130" s="372"/>
    </row>
    <row r="131" spans="1:8" ht="13.2">
      <c r="A131" s="170"/>
      <c r="B131" s="28" t="s">
        <v>1777</v>
      </c>
      <c r="C131" s="143" t="str">
        <f>VLOOKUP(B131,'Thống kê'!$C$3:$D$669,2,0)</f>
        <v>bao lì xì Tết 2025</v>
      </c>
      <c r="D131" s="166" t="e">
        <f>VLOOKUP(B131,'Danh mục hàng hóa'!$C$3:$M$656,6,0)</f>
        <v>#N/A</v>
      </c>
      <c r="E131" s="167">
        <v>1</v>
      </c>
      <c r="F131" s="168" t="e">
        <f t="shared" si="0"/>
        <v>#N/A</v>
      </c>
      <c r="G131" s="144"/>
      <c r="H131" s="372"/>
    </row>
    <row r="132" spans="1:8" ht="13.2">
      <c r="A132" s="179"/>
      <c r="B132" s="28" t="s">
        <v>1711</v>
      </c>
      <c r="C132" s="143" t="str">
        <f>VLOOKUP(B132,'Thống kê'!$C$3:$D$669,2,0)</f>
        <v xml:space="preserve">Bao lì xì </v>
      </c>
      <c r="D132" s="166">
        <f>VLOOKUP(B132,'Danh mục hàng hóa'!$C$3:$M$656,6,0)</f>
        <v>7720</v>
      </c>
      <c r="E132" s="167">
        <v>1</v>
      </c>
      <c r="F132" s="168">
        <f t="shared" si="0"/>
        <v>7720</v>
      </c>
      <c r="G132" s="144"/>
      <c r="H132" s="373"/>
    </row>
    <row r="133" spans="1:8" ht="13.2">
      <c r="A133" s="165">
        <v>45666</v>
      </c>
      <c r="B133" s="28" t="s">
        <v>1446</v>
      </c>
      <c r="C133" s="143" t="str">
        <f>VLOOKUP(B133,'Thống kê'!$C$3:$D$669,2,0)</f>
        <v>túi mù mô hình</v>
      </c>
      <c r="D133" s="166" t="e">
        <f>VLOOKUP(B133,'Danh mục hàng hóa'!$C$3:$M$656,6,0)</f>
        <v>#N/A</v>
      </c>
      <c r="E133" s="167">
        <v>5</v>
      </c>
      <c r="F133" s="168" t="e">
        <f t="shared" si="0"/>
        <v>#N/A</v>
      </c>
      <c r="G133" s="144"/>
      <c r="H133" s="403">
        <v>201990</v>
      </c>
    </row>
    <row r="134" spans="1:8" ht="13.2">
      <c r="A134" s="170"/>
      <c r="B134" s="28" t="s">
        <v>1382</v>
      </c>
      <c r="C134" s="143" t="str">
        <f>VLOOKUP(B134,'Thống kê'!$C$3:$D$669,2,0)</f>
        <v>miếng dán silicon điện thoại</v>
      </c>
      <c r="D134" s="166" t="e">
        <f>VLOOKUP(B134,'Danh mục hàng hóa'!$C$3:$M$656,6,0)</f>
        <v>#N/A</v>
      </c>
      <c r="E134" s="167">
        <v>1</v>
      </c>
      <c r="F134" s="168" t="e">
        <f t="shared" si="0"/>
        <v>#N/A</v>
      </c>
      <c r="G134" s="144"/>
      <c r="H134" s="372"/>
    </row>
    <row r="135" spans="1:8" ht="13.2">
      <c r="A135" s="170"/>
      <c r="B135" s="28" t="s">
        <v>115</v>
      </c>
      <c r="C135" s="143" t="str">
        <f>VLOOKUP(B135,'Thống kê'!$C$3:$D$669,2,0)</f>
        <v>Heo ú</v>
      </c>
      <c r="D135" s="166">
        <f>VLOOKUP(B135,'Danh mục hàng hóa'!$C$3:$M$656,6,0)</f>
        <v>61275</v>
      </c>
      <c r="E135" s="167">
        <v>2</v>
      </c>
      <c r="F135" s="168">
        <f t="shared" si="0"/>
        <v>122550</v>
      </c>
      <c r="G135" s="144"/>
      <c r="H135" s="176">
        <v>96760</v>
      </c>
    </row>
    <row r="136" spans="1:8" ht="13.2">
      <c r="A136" s="170"/>
      <c r="B136" s="28" t="s">
        <v>1382</v>
      </c>
      <c r="C136" s="143" t="str">
        <f>VLOOKUP(B136,'Thống kê'!$C$3:$D$669,2,0)</f>
        <v>miếng dán silicon điện thoại</v>
      </c>
      <c r="D136" s="166" t="e">
        <f>VLOOKUP(B136,'Danh mục hàng hóa'!$C$3:$M$656,6,0)</f>
        <v>#N/A</v>
      </c>
      <c r="E136" s="167">
        <v>3</v>
      </c>
      <c r="F136" s="168" t="e">
        <f t="shared" si="0"/>
        <v>#N/A</v>
      </c>
      <c r="G136" s="144"/>
      <c r="H136" s="177">
        <v>6148</v>
      </c>
    </row>
    <row r="137" spans="1:8" ht="13.2">
      <c r="A137" s="170"/>
      <c r="B137" s="28" t="s">
        <v>1778</v>
      </c>
      <c r="C137" s="143" t="e">
        <f>VLOOKUP(B137,'Thống kê'!$C$3:$D$669,2,0)</f>
        <v>#N/A</v>
      </c>
      <c r="D137" s="166" t="e">
        <f>VLOOKUP(B137,'Danh mục hàng hóa'!$C$3:$M$656,6,0)</f>
        <v>#N/A</v>
      </c>
      <c r="E137" s="167">
        <v>6</v>
      </c>
      <c r="F137" s="168" t="e">
        <f t="shared" si="0"/>
        <v>#N/A</v>
      </c>
      <c r="G137" s="144"/>
      <c r="H137" s="403">
        <v>87829</v>
      </c>
    </row>
    <row r="138" spans="1:8" ht="13.2">
      <c r="A138" s="170"/>
      <c r="B138" s="28" t="s">
        <v>1767</v>
      </c>
      <c r="C138" s="143" t="str">
        <f>VLOOKUP(B138,'Thống kê'!$C$3:$D$669,2,0)</f>
        <v>bao lì xì Tết 2025</v>
      </c>
      <c r="D138" s="166" t="e">
        <f>VLOOKUP(B138,'Danh mục hàng hóa'!$C$3:$M$656,6,0)</f>
        <v>#N/A</v>
      </c>
      <c r="E138" s="167">
        <v>6</v>
      </c>
      <c r="F138" s="168" t="e">
        <f t="shared" si="0"/>
        <v>#N/A</v>
      </c>
      <c r="G138" s="144"/>
      <c r="H138" s="373"/>
    </row>
    <row r="139" spans="1:8" ht="13.2">
      <c r="A139" s="170"/>
      <c r="B139" s="28" t="s">
        <v>1660</v>
      </c>
      <c r="C139" s="143" t="str">
        <f>VLOOKUP(B139,'Thống kê'!$C$3:$D$669,2,0)</f>
        <v>Móc khóa Popbean Skull Panda</v>
      </c>
      <c r="D139" s="166" t="e">
        <f>VLOOKUP(B139,'Danh mục hàng hóa'!$C$3:$M$656,6,0)</f>
        <v>#N/A</v>
      </c>
      <c r="E139" s="167">
        <v>1</v>
      </c>
      <c r="F139" s="168" t="e">
        <f t="shared" si="0"/>
        <v>#N/A</v>
      </c>
      <c r="G139" s="144"/>
      <c r="H139" s="176">
        <v>100860</v>
      </c>
    </row>
    <row r="140" spans="1:8" ht="13.2">
      <c r="A140" s="170"/>
      <c r="B140" s="28" t="s">
        <v>1624</v>
      </c>
      <c r="C140" s="143" t="str">
        <f>VLOOKUP(B140,'Thống kê'!$C$3:$D$669,2,0)</f>
        <v>Móc khóa mèo trái tim</v>
      </c>
      <c r="D140" s="166" t="e">
        <f>VLOOKUP(B140,'Danh mục hàng hóa'!$C$3:$M$656,6,0)</f>
        <v>#N/A</v>
      </c>
      <c r="E140" s="167">
        <v>1</v>
      </c>
      <c r="F140" s="168" t="e">
        <f t="shared" si="0"/>
        <v>#N/A</v>
      </c>
      <c r="G140" s="144"/>
      <c r="H140" s="178">
        <v>41902</v>
      </c>
    </row>
    <row r="141" spans="1:8" ht="13.2">
      <c r="A141" s="170"/>
      <c r="B141" s="28" t="s">
        <v>1446</v>
      </c>
      <c r="C141" s="143" t="str">
        <f>VLOOKUP(B141,'Thống kê'!$C$3:$D$669,2,0)</f>
        <v>túi mù mô hình</v>
      </c>
      <c r="D141" s="166" t="e">
        <f>VLOOKUP(B141,'Danh mục hàng hóa'!$C$3:$M$656,6,0)</f>
        <v>#N/A</v>
      </c>
      <c r="E141" s="167">
        <v>3</v>
      </c>
      <c r="F141" s="168" t="e">
        <f t="shared" si="0"/>
        <v>#N/A</v>
      </c>
      <c r="G141" s="144"/>
      <c r="H141" s="175">
        <v>125172</v>
      </c>
    </row>
    <row r="142" spans="1:8" ht="13.2">
      <c r="A142" s="170"/>
      <c r="B142" s="28" t="s">
        <v>1660</v>
      </c>
      <c r="C142" s="143" t="str">
        <f>VLOOKUP(B142,'Thống kê'!$C$3:$D$669,2,0)</f>
        <v>Móc khóa Popbean Skull Panda</v>
      </c>
      <c r="D142" s="166" t="e">
        <f>VLOOKUP(B142,'Danh mục hàng hóa'!$C$3:$M$656,6,0)</f>
        <v>#N/A</v>
      </c>
      <c r="E142" s="167">
        <v>1</v>
      </c>
      <c r="F142" s="168" t="e">
        <f t="shared" si="0"/>
        <v>#N/A</v>
      </c>
      <c r="G142" s="144"/>
      <c r="H142" s="402">
        <v>94300</v>
      </c>
    </row>
    <row r="143" spans="1:8" ht="13.2">
      <c r="A143" s="170"/>
      <c r="B143" s="28" t="s">
        <v>1382</v>
      </c>
      <c r="C143" s="143" t="str">
        <f>VLOOKUP(B143,'Thống kê'!$C$3:$D$669,2,0)</f>
        <v>miếng dán silicon điện thoại</v>
      </c>
      <c r="D143" s="166" t="e">
        <f>VLOOKUP(B143,'Danh mục hàng hóa'!$C$3:$M$656,6,0)</f>
        <v>#N/A</v>
      </c>
      <c r="E143" s="167">
        <v>1</v>
      </c>
      <c r="F143" s="168" t="e">
        <f t="shared" si="0"/>
        <v>#N/A</v>
      </c>
      <c r="G143" s="144"/>
      <c r="H143" s="373"/>
    </row>
    <row r="144" spans="1:8" ht="13.2">
      <c r="A144" s="170"/>
      <c r="B144" s="28" t="s">
        <v>1769</v>
      </c>
      <c r="C144" s="143" t="str">
        <f>VLOOKUP(B144,'Thống kê'!$C$3:$D$669,2,0)</f>
        <v>bao lì xì Tết 2025</v>
      </c>
      <c r="D144" s="166" t="e">
        <f>VLOOKUP(B144,'Danh mục hàng hóa'!$C$3:$M$656,6,0)</f>
        <v>#N/A</v>
      </c>
      <c r="E144" s="167">
        <v>1</v>
      </c>
      <c r="F144" s="168" t="e">
        <f t="shared" si="0"/>
        <v>#N/A</v>
      </c>
      <c r="G144" s="144"/>
      <c r="H144" s="403">
        <v>70937</v>
      </c>
    </row>
    <row r="145" spans="1:8" ht="13.2">
      <c r="A145" s="170"/>
      <c r="B145" s="28" t="s">
        <v>1710</v>
      </c>
      <c r="C145" s="143" t="str">
        <f>VLOOKUP(B145,'Thống kê'!$C$3:$D$669,2,0)</f>
        <v xml:space="preserve">Bao lì xì </v>
      </c>
      <c r="D145" s="166">
        <f>VLOOKUP(B145,'Danh mục hàng hóa'!$C$3:$M$656,6,0)</f>
        <v>7720</v>
      </c>
      <c r="E145" s="167">
        <v>1</v>
      </c>
      <c r="F145" s="168">
        <f t="shared" si="0"/>
        <v>7720</v>
      </c>
      <c r="G145" s="144"/>
      <c r="H145" s="372"/>
    </row>
    <row r="146" spans="1:8" ht="13.2">
      <c r="A146" s="170"/>
      <c r="B146" s="28" t="s">
        <v>1711</v>
      </c>
      <c r="C146" s="143" t="str">
        <f>VLOOKUP(B146,'Thống kê'!$C$3:$D$669,2,0)</f>
        <v xml:space="preserve">Bao lì xì </v>
      </c>
      <c r="D146" s="166">
        <f>VLOOKUP(B146,'Danh mục hàng hóa'!$C$3:$M$656,6,0)</f>
        <v>7720</v>
      </c>
      <c r="E146" s="167">
        <v>1</v>
      </c>
      <c r="F146" s="168">
        <f t="shared" si="0"/>
        <v>7720</v>
      </c>
      <c r="G146" s="144"/>
      <c r="H146" s="373"/>
    </row>
    <row r="147" spans="1:8" ht="13.2">
      <c r="A147" s="170"/>
      <c r="B147" s="28" t="s">
        <v>325</v>
      </c>
      <c r="C147" s="143" t="str">
        <f>VLOOKUP(B147,'Thống kê'!$C$3:$D$669,2,0)</f>
        <v>Gấu ú</v>
      </c>
      <c r="D147" s="166">
        <f>VLOOKUP(B147,'Danh mục hàng hóa'!$C$3:$M$656,6,0)</f>
        <v>56525</v>
      </c>
      <c r="E147" s="167">
        <v>1</v>
      </c>
      <c r="F147" s="168">
        <f t="shared" si="0"/>
        <v>56525</v>
      </c>
      <c r="G147" s="144"/>
      <c r="H147" s="176">
        <v>46494</v>
      </c>
    </row>
    <row r="148" spans="1:8" ht="13.2">
      <c r="A148" s="170"/>
      <c r="B148" s="28" t="s">
        <v>1384</v>
      </c>
      <c r="C148" s="143" t="str">
        <f>VLOOKUP(B148,'Thống kê'!$C$3:$D$669,2,0)</f>
        <v>Móc khoá Crybaby mini Popmart</v>
      </c>
      <c r="D148" s="166" t="e">
        <f>VLOOKUP(B148,'Danh mục hàng hóa'!$C$3:$M$656,6,0)</f>
        <v>#N/A</v>
      </c>
      <c r="E148" s="167">
        <v>1</v>
      </c>
      <c r="F148" s="168" t="e">
        <f t="shared" si="0"/>
        <v>#N/A</v>
      </c>
      <c r="G148" s="144"/>
      <c r="H148" s="403">
        <v>90945</v>
      </c>
    </row>
    <row r="149" spans="1:8" ht="13.2">
      <c r="A149" s="170"/>
      <c r="B149" s="28" t="s">
        <v>1382</v>
      </c>
      <c r="C149" s="143" t="str">
        <f>VLOOKUP(B149,'Thống kê'!$C$3:$D$669,2,0)</f>
        <v>miếng dán silicon điện thoại</v>
      </c>
      <c r="D149" s="166" t="e">
        <f>VLOOKUP(B149,'Danh mục hàng hóa'!$C$3:$M$656,6,0)</f>
        <v>#N/A</v>
      </c>
      <c r="E149" s="167">
        <v>1</v>
      </c>
      <c r="F149" s="168" t="e">
        <f t="shared" si="0"/>
        <v>#N/A</v>
      </c>
      <c r="G149" s="144"/>
      <c r="H149" s="372"/>
    </row>
    <row r="150" spans="1:8" ht="13.2">
      <c r="A150" s="170"/>
      <c r="B150" s="28" t="s">
        <v>1697</v>
      </c>
      <c r="C150" s="143" t="str">
        <f>VLOOKUP(B150,'Thống kê'!$C$3:$D$669,2,0)</f>
        <v>heo</v>
      </c>
      <c r="D150" s="166" t="e">
        <f>VLOOKUP(B150,'Danh mục hàng hóa'!$C$3:$M$656,6,0)</f>
        <v>#N/A</v>
      </c>
      <c r="E150" s="167">
        <v>1</v>
      </c>
      <c r="F150" s="168" t="e">
        <f t="shared" si="0"/>
        <v>#N/A</v>
      </c>
      <c r="G150" s="144"/>
      <c r="H150" s="175">
        <v>25405</v>
      </c>
    </row>
    <row r="151" spans="1:8" ht="13.2">
      <c r="A151" s="170"/>
      <c r="B151" s="28" t="s">
        <v>1660</v>
      </c>
      <c r="C151" s="143" t="str">
        <f>VLOOKUP(B151,'Thống kê'!$C$3:$D$669,2,0)</f>
        <v>Móc khóa Popbean Skull Panda</v>
      </c>
      <c r="D151" s="166" t="e">
        <f>VLOOKUP(B151,'Danh mục hàng hóa'!$C$3:$M$656,6,0)</f>
        <v>#N/A</v>
      </c>
      <c r="E151" s="167">
        <v>1</v>
      </c>
      <c r="F151" s="168" t="e">
        <f t="shared" si="0"/>
        <v>#N/A</v>
      </c>
      <c r="G151" s="144"/>
      <c r="H151" s="402">
        <v>270830</v>
      </c>
    </row>
    <row r="152" spans="1:8" ht="13.2">
      <c r="A152" s="170"/>
      <c r="B152" s="28" t="s">
        <v>1662</v>
      </c>
      <c r="C152" s="143" t="str">
        <f>VLOOKUP(B152,'Thống kê'!$C$3:$D$669,2,0)</f>
        <v>Móc khóa Popbean Cry Baby</v>
      </c>
      <c r="D152" s="166" t="e">
        <f>VLOOKUP(B152,'Danh mục hàng hóa'!$C$3:$M$656,6,0)</f>
        <v>#N/A</v>
      </c>
      <c r="E152" s="167">
        <v>2</v>
      </c>
      <c r="F152" s="168" t="e">
        <f t="shared" si="0"/>
        <v>#N/A</v>
      </c>
      <c r="G152" s="144"/>
      <c r="H152" s="372"/>
    </row>
    <row r="153" spans="1:8" ht="13.2">
      <c r="A153" s="170"/>
      <c r="B153" s="28" t="s">
        <v>1382</v>
      </c>
      <c r="C153" s="143" t="str">
        <f>VLOOKUP(B153,'Thống kê'!$C$3:$D$669,2,0)</f>
        <v>miếng dán silicon điện thoại</v>
      </c>
      <c r="D153" s="166" t="e">
        <f>VLOOKUP(B153,'Danh mục hàng hóa'!$C$3:$M$656,6,0)</f>
        <v>#N/A</v>
      </c>
      <c r="E153" s="167">
        <v>1</v>
      </c>
      <c r="F153" s="168" t="e">
        <f t="shared" si="0"/>
        <v>#N/A</v>
      </c>
      <c r="G153" s="144"/>
      <c r="H153" s="373"/>
    </row>
    <row r="154" spans="1:8" ht="13.2">
      <c r="A154" s="172">
        <v>45667</v>
      </c>
      <c r="B154" s="28" t="s">
        <v>1779</v>
      </c>
      <c r="C154" s="143">
        <f>VLOOKUP(B154,'Thống kê'!$C$3:$D$669,2,0)</f>
        <v>0</v>
      </c>
      <c r="D154" s="166" t="e">
        <f>VLOOKUP(B154,'Danh mục hàng hóa'!$C$3:$M$656,6,0)</f>
        <v>#N/A</v>
      </c>
      <c r="E154" s="167">
        <v>1</v>
      </c>
      <c r="F154" s="168" t="e">
        <f t="shared" si="0"/>
        <v>#N/A</v>
      </c>
      <c r="G154" s="144"/>
      <c r="H154" s="402">
        <v>96760</v>
      </c>
    </row>
    <row r="155" spans="1:8" ht="13.2">
      <c r="A155" s="170"/>
      <c r="B155" s="28" t="s">
        <v>1382</v>
      </c>
      <c r="C155" s="143" t="str">
        <f>VLOOKUP(B155,'Thống kê'!$C$3:$D$669,2,0)</f>
        <v>miếng dán silicon điện thoại</v>
      </c>
      <c r="D155" s="166" t="e">
        <f>VLOOKUP(B155,'Danh mục hàng hóa'!$C$3:$M$656,6,0)</f>
        <v>#N/A</v>
      </c>
      <c r="E155" s="167">
        <v>1</v>
      </c>
      <c r="F155" s="168" t="e">
        <f t="shared" si="0"/>
        <v>#N/A</v>
      </c>
      <c r="G155" s="144"/>
      <c r="H155" s="372"/>
    </row>
    <row r="156" spans="1:8" ht="13.2">
      <c r="A156" s="170"/>
      <c r="B156" s="28" t="s">
        <v>94</v>
      </c>
      <c r="C156" s="143" t="str">
        <f>VLOOKUP(B156,'Thống kê'!$C$3:$D$669,2,0)</f>
        <v>thỏ</v>
      </c>
      <c r="D156" s="166" t="e">
        <f>VLOOKUP(B156,'Danh mục hàng hóa'!$C$3:$M$656,6,0)</f>
        <v>#N/A</v>
      </c>
      <c r="E156" s="167">
        <v>1</v>
      </c>
      <c r="F156" s="168" t="e">
        <f t="shared" si="0"/>
        <v>#N/A</v>
      </c>
      <c r="G156" s="144"/>
      <c r="H156" s="175">
        <v>25655</v>
      </c>
    </row>
    <row r="157" spans="1:8" ht="13.2">
      <c r="A157" s="170"/>
      <c r="B157" s="28" t="s">
        <v>1767</v>
      </c>
      <c r="C157" s="143" t="str">
        <f>VLOOKUP(B157,'Thống kê'!$C$3:$D$669,2,0)</f>
        <v>bao lì xì Tết 2025</v>
      </c>
      <c r="D157" s="166" t="e">
        <f>VLOOKUP(B157,'Danh mục hàng hóa'!$C$3:$M$656,6,0)</f>
        <v>#N/A</v>
      </c>
      <c r="E157" s="167">
        <v>2</v>
      </c>
      <c r="F157" s="168" t="e">
        <f t="shared" si="0"/>
        <v>#N/A</v>
      </c>
      <c r="G157" s="144"/>
      <c r="H157" s="176">
        <v>17815</v>
      </c>
    </row>
    <row r="158" spans="1:8" ht="13.2">
      <c r="A158" s="170"/>
      <c r="B158" s="28" t="s">
        <v>1710</v>
      </c>
      <c r="C158" s="143" t="str">
        <f>VLOOKUP(B158,'Thống kê'!$C$3:$D$669,2,0)</f>
        <v xml:space="preserve">Bao lì xì </v>
      </c>
      <c r="D158" s="166">
        <f>VLOOKUP(B158,'Danh mục hàng hóa'!$C$3:$M$656,6,0)</f>
        <v>7720</v>
      </c>
      <c r="E158" s="167">
        <v>1</v>
      </c>
      <c r="F158" s="168">
        <f t="shared" si="0"/>
        <v>7720</v>
      </c>
      <c r="G158" s="144"/>
      <c r="H158" s="177">
        <v>39137</v>
      </c>
    </row>
    <row r="159" spans="1:8" ht="13.2">
      <c r="A159" s="170"/>
      <c r="B159" s="28" t="s">
        <v>1767</v>
      </c>
      <c r="C159" s="143" t="str">
        <f>VLOOKUP(B159,'Thống kê'!$C$3:$D$669,2,0)</f>
        <v>bao lì xì Tết 2025</v>
      </c>
      <c r="D159" s="166" t="e">
        <f>VLOOKUP(B159,'Danh mục hàng hóa'!$C$3:$M$656,6,0)</f>
        <v>#N/A</v>
      </c>
      <c r="E159" s="167">
        <v>2</v>
      </c>
      <c r="F159" s="168" t="e">
        <f t="shared" si="0"/>
        <v>#N/A</v>
      </c>
      <c r="G159" s="144"/>
      <c r="H159" s="403">
        <v>54464</v>
      </c>
    </row>
    <row r="160" spans="1:8" ht="13.2">
      <c r="A160" s="170"/>
      <c r="B160" s="28" t="s">
        <v>1768</v>
      </c>
      <c r="C160" s="143" t="str">
        <f>VLOOKUP(B160,'Thống kê'!$C$3:$D$669,2,0)</f>
        <v>bao lì xì Tết 2025</v>
      </c>
      <c r="D160" s="166" t="e">
        <f>VLOOKUP(B160,'Danh mục hàng hóa'!$C$3:$M$656,6,0)</f>
        <v>#N/A</v>
      </c>
      <c r="E160" s="167">
        <v>2</v>
      </c>
      <c r="F160" s="168" t="e">
        <f t="shared" si="0"/>
        <v>#N/A</v>
      </c>
      <c r="G160" s="144"/>
      <c r="H160" s="372"/>
    </row>
    <row r="161" spans="1:8" ht="13.2">
      <c r="A161" s="170"/>
      <c r="B161" s="28" t="s">
        <v>1769</v>
      </c>
      <c r="C161" s="143" t="str">
        <f>VLOOKUP(B161,'Thống kê'!$C$3:$D$669,2,0)</f>
        <v>bao lì xì Tết 2025</v>
      </c>
      <c r="D161" s="166" t="e">
        <f>VLOOKUP(B161,'Danh mục hàng hóa'!$C$3:$M$656,6,0)</f>
        <v>#N/A</v>
      </c>
      <c r="E161" s="167">
        <v>2</v>
      </c>
      <c r="F161" s="168" t="e">
        <f t="shared" si="0"/>
        <v>#N/A</v>
      </c>
      <c r="G161" s="144"/>
      <c r="H161" s="372"/>
    </row>
    <row r="162" spans="1:8" ht="13.2">
      <c r="A162" s="170"/>
      <c r="B162" s="28" t="s">
        <v>1777</v>
      </c>
      <c r="C162" s="143" t="str">
        <f>VLOOKUP(B162,'Thống kê'!$C$3:$D$669,2,0)</f>
        <v>bao lì xì Tết 2025</v>
      </c>
      <c r="D162" s="166" t="e">
        <f>VLOOKUP(B162,'Danh mục hàng hóa'!$C$3:$M$656,6,0)</f>
        <v>#N/A</v>
      </c>
      <c r="E162" s="167">
        <v>3</v>
      </c>
      <c r="F162" s="168" t="e">
        <f t="shared" si="0"/>
        <v>#N/A</v>
      </c>
      <c r="G162" s="144"/>
      <c r="H162" s="373"/>
    </row>
    <row r="163" spans="1:8" ht="13.2">
      <c r="A163" s="170"/>
      <c r="B163" s="28" t="s">
        <v>1710</v>
      </c>
      <c r="C163" s="143" t="str">
        <f>VLOOKUP(B163,'Thống kê'!$C$3:$D$669,2,0)</f>
        <v xml:space="preserve">Bao lì xì </v>
      </c>
      <c r="D163" s="166">
        <f>VLOOKUP(B163,'Danh mục hàng hóa'!$C$3:$M$656,6,0)</f>
        <v>7720</v>
      </c>
      <c r="E163" s="167">
        <v>3</v>
      </c>
      <c r="F163" s="168">
        <f t="shared" si="0"/>
        <v>23160</v>
      </c>
      <c r="G163" s="144"/>
      <c r="H163" s="402">
        <v>144566</v>
      </c>
    </row>
    <row r="164" spans="1:8" ht="13.2">
      <c r="A164" s="170"/>
      <c r="B164" s="28" t="s">
        <v>1766</v>
      </c>
      <c r="C164" s="143" t="str">
        <f>VLOOKUP(B164,'Thống kê'!$C$3:$D$669,2,0)</f>
        <v>bao lì xì Tết 2025</v>
      </c>
      <c r="D164" s="166" t="e">
        <f>VLOOKUP(B164,'Danh mục hàng hóa'!$C$3:$M$656,6,0)</f>
        <v>#N/A</v>
      </c>
      <c r="E164" s="167">
        <v>1</v>
      </c>
      <c r="F164" s="168" t="e">
        <f t="shared" si="0"/>
        <v>#N/A</v>
      </c>
      <c r="G164" s="144"/>
      <c r="H164" s="372"/>
    </row>
    <row r="165" spans="1:8" ht="13.2">
      <c r="A165" s="170"/>
      <c r="B165" s="28" t="s">
        <v>1707</v>
      </c>
      <c r="C165" s="143" t="str">
        <f>VLOOKUP(B165,'Thống kê'!$C$3:$D$669,2,0)</f>
        <v xml:space="preserve">Bao lì xì </v>
      </c>
      <c r="D165" s="166">
        <f>VLOOKUP(B165,'Danh mục hàng hóa'!$C$3:$M$656,6,0)</f>
        <v>14500</v>
      </c>
      <c r="E165" s="167">
        <v>1</v>
      </c>
      <c r="F165" s="168">
        <f t="shared" si="0"/>
        <v>14500</v>
      </c>
      <c r="G165" s="144"/>
      <c r="H165" s="373"/>
    </row>
    <row r="166" spans="1:8" ht="13.2">
      <c r="A166" s="170"/>
      <c r="B166" s="28" t="s">
        <v>116</v>
      </c>
      <c r="C166" s="143" t="str">
        <f>VLOOKUP(B166,'Thống kê'!$C$3:$D$669,2,0)</f>
        <v>heo ú cầm hoa</v>
      </c>
      <c r="D166" s="166" t="e">
        <f>VLOOKUP(B166,'Danh mục hàng hóa'!$C$3:$M$656,6,0)</f>
        <v>#N/A</v>
      </c>
      <c r="E166" s="167">
        <v>1</v>
      </c>
      <c r="F166" s="168" t="e">
        <f t="shared" si="0"/>
        <v>#N/A</v>
      </c>
      <c r="G166" s="144"/>
      <c r="H166" s="177">
        <v>56281</v>
      </c>
    </row>
    <row r="167" spans="1:8" ht="13.2">
      <c r="A167" s="170"/>
      <c r="B167" s="28" t="s">
        <v>1711</v>
      </c>
      <c r="C167" s="143" t="str">
        <f>VLOOKUP(B167,'Thống kê'!$C$3:$D$669,2,0)</f>
        <v xml:space="preserve">Bao lì xì </v>
      </c>
      <c r="D167" s="166">
        <f>VLOOKUP(B167,'Danh mục hàng hóa'!$C$3:$M$656,6,0)</f>
        <v>7720</v>
      </c>
      <c r="E167" s="167">
        <v>1</v>
      </c>
      <c r="F167" s="168">
        <f t="shared" si="0"/>
        <v>7720</v>
      </c>
      <c r="G167" s="144"/>
      <c r="H167" s="178">
        <v>26156</v>
      </c>
    </row>
    <row r="168" spans="1:8" ht="13.2">
      <c r="A168" s="170"/>
      <c r="B168" s="28" t="s">
        <v>1696</v>
      </c>
      <c r="C168" s="143" t="str">
        <f>VLOOKUP(B168,'Thống kê'!$C$3:$D$669,2,0)</f>
        <v>gấu</v>
      </c>
      <c r="D168" s="166" t="e">
        <f>VLOOKUP(B168,'Danh mục hàng hóa'!$C$3:$M$656,6,0)</f>
        <v>#N/A</v>
      </c>
      <c r="E168" s="167">
        <v>1</v>
      </c>
      <c r="F168" s="168" t="e">
        <f t="shared" si="0"/>
        <v>#N/A</v>
      </c>
      <c r="G168" s="144"/>
      <c r="H168" s="176">
        <v>25005</v>
      </c>
    </row>
    <row r="169" spans="1:8" ht="13.2">
      <c r="A169" s="170"/>
      <c r="B169" s="28" t="s">
        <v>1705</v>
      </c>
      <c r="C169" s="143" t="str">
        <f>VLOOKUP(B169,'Thống kê'!$C$3:$D$669,2,0)</f>
        <v>Dây treo điện thoại có charm xinh xắn</v>
      </c>
      <c r="D169" s="166" t="e">
        <f>VLOOKUP(B169,'Danh mục hàng hóa'!$C$3:$M$656,6,0)</f>
        <v>#N/A</v>
      </c>
      <c r="E169" s="167">
        <v>1</v>
      </c>
      <c r="F169" s="168" t="e">
        <f t="shared" si="0"/>
        <v>#N/A</v>
      </c>
      <c r="G169" s="144"/>
      <c r="H169" s="178">
        <v>19744</v>
      </c>
    </row>
    <row r="170" spans="1:8" ht="13.2">
      <c r="A170" s="170"/>
      <c r="B170" s="28" t="s">
        <v>1710</v>
      </c>
      <c r="C170" s="143" t="str">
        <f>VLOOKUP(B170,'Thống kê'!$C$3:$D$669,2,0)</f>
        <v xml:space="preserve">Bao lì xì </v>
      </c>
      <c r="D170" s="166">
        <f>VLOOKUP(B170,'Danh mục hàng hóa'!$C$3:$M$656,6,0)</f>
        <v>7720</v>
      </c>
      <c r="E170" s="167">
        <v>1</v>
      </c>
      <c r="F170" s="168">
        <f t="shared" si="0"/>
        <v>7720</v>
      </c>
      <c r="G170" s="144"/>
      <c r="H170" s="175">
        <v>39037</v>
      </c>
    </row>
    <row r="171" spans="1:8" ht="13.2">
      <c r="A171" s="170"/>
      <c r="B171" s="28" t="s">
        <v>1705</v>
      </c>
      <c r="C171" s="143" t="str">
        <f>VLOOKUP(B171,'Thống kê'!$C$3:$D$669,2,0)</f>
        <v>Dây treo điện thoại có charm xinh xắn</v>
      </c>
      <c r="D171" s="166" t="e">
        <f>VLOOKUP(B171,'Danh mục hàng hóa'!$C$3:$M$656,6,0)</f>
        <v>#N/A</v>
      </c>
      <c r="E171" s="167">
        <v>1</v>
      </c>
      <c r="F171" s="168" t="e">
        <f t="shared" si="0"/>
        <v>#N/A</v>
      </c>
      <c r="G171" s="144"/>
      <c r="H171" s="175">
        <v>19744</v>
      </c>
    </row>
    <row r="172" spans="1:8" ht="13.2">
      <c r="A172" s="172">
        <v>45668</v>
      </c>
      <c r="B172" s="28" t="s">
        <v>149</v>
      </c>
      <c r="C172" s="143" t="str">
        <f>VLOOKUP(B172,'Thống kê'!$C$3:$D$669,2,0)</f>
        <v>ếch</v>
      </c>
      <c r="D172" s="166" t="e">
        <f>VLOOKUP(B172,'Danh mục hàng hóa'!$C$3:$M$656,6,0)</f>
        <v>#N/A</v>
      </c>
      <c r="E172" s="167">
        <v>1</v>
      </c>
      <c r="F172" s="168" t="e">
        <f t="shared" si="0"/>
        <v>#N/A</v>
      </c>
      <c r="G172" s="144"/>
      <c r="H172" s="402">
        <v>46494</v>
      </c>
    </row>
    <row r="173" spans="1:8" ht="13.2">
      <c r="A173" s="170"/>
      <c r="B173" s="28" t="s">
        <v>94</v>
      </c>
      <c r="C173" s="143" t="str">
        <f>VLOOKUP(B173,'Thống kê'!$C$3:$D$669,2,0)</f>
        <v>thỏ</v>
      </c>
      <c r="D173" s="166" t="e">
        <f>VLOOKUP(B173,'Danh mục hàng hóa'!$C$3:$M$656,6,0)</f>
        <v>#N/A</v>
      </c>
      <c r="E173" s="167">
        <v>1</v>
      </c>
      <c r="F173" s="168" t="e">
        <f t="shared" si="0"/>
        <v>#N/A</v>
      </c>
      <c r="G173" s="144"/>
      <c r="H173" s="373"/>
    </row>
    <row r="174" spans="1:8" ht="13.2">
      <c r="A174" s="170"/>
      <c r="B174" s="28" t="s">
        <v>1710</v>
      </c>
      <c r="C174" s="143" t="str">
        <f>VLOOKUP(B174,'Thống kê'!$C$3:$D$669,2,0)</f>
        <v xml:space="preserve">Bao lì xì </v>
      </c>
      <c r="D174" s="166">
        <f>VLOOKUP(B174,'Danh mục hàng hóa'!$C$3:$M$656,6,0)</f>
        <v>7720</v>
      </c>
      <c r="E174" s="167">
        <v>1</v>
      </c>
      <c r="F174" s="168">
        <f t="shared" si="0"/>
        <v>7720</v>
      </c>
      <c r="G174" s="144"/>
      <c r="H174" s="175">
        <v>39187</v>
      </c>
    </row>
    <row r="175" spans="1:8" ht="13.2">
      <c r="A175" s="170"/>
      <c r="B175" s="28" t="s">
        <v>1766</v>
      </c>
      <c r="C175" s="143" t="str">
        <f>VLOOKUP(B175,'Thống kê'!$C$3:$D$669,2,0)</f>
        <v>bao lì xì Tết 2025</v>
      </c>
      <c r="D175" s="166" t="e">
        <f>VLOOKUP(B175,'Danh mục hàng hóa'!$C$3:$M$656,6,0)</f>
        <v>#N/A</v>
      </c>
      <c r="E175" s="167">
        <v>1</v>
      </c>
      <c r="F175" s="168" t="e">
        <f t="shared" si="0"/>
        <v>#N/A</v>
      </c>
      <c r="G175" s="144"/>
      <c r="H175" s="402">
        <v>44483</v>
      </c>
    </row>
    <row r="176" spans="1:8" ht="13.2">
      <c r="A176" s="170"/>
      <c r="B176" s="28" t="s">
        <v>1774</v>
      </c>
      <c r="C176" s="143" t="str">
        <f>VLOOKUP(B176,'Thống kê'!$C$3:$D$669,2,0)</f>
        <v>bao lì xì Tết 2025</v>
      </c>
      <c r="D176" s="166" t="e">
        <f>VLOOKUP(B176,'Danh mục hàng hóa'!$C$3:$M$656,6,0)</f>
        <v>#N/A</v>
      </c>
      <c r="E176" s="167">
        <v>1</v>
      </c>
      <c r="F176" s="168" t="e">
        <f t="shared" si="0"/>
        <v>#N/A</v>
      </c>
      <c r="G176" s="144"/>
      <c r="H176" s="372"/>
    </row>
    <row r="177" spans="1:8" ht="13.2">
      <c r="A177" s="170"/>
      <c r="B177" s="28" t="s">
        <v>1712</v>
      </c>
      <c r="C177" s="143" t="str">
        <f>VLOOKUP(B177,'Thống kê'!$C$3:$D$669,2,0)</f>
        <v xml:space="preserve">Bao lì xì </v>
      </c>
      <c r="D177" s="166">
        <f>VLOOKUP(B177,'Danh mục hàng hóa'!$C$3:$M$656,6,0)</f>
        <v>7720</v>
      </c>
      <c r="E177" s="167">
        <v>2</v>
      </c>
      <c r="F177" s="168">
        <f t="shared" si="0"/>
        <v>15440</v>
      </c>
      <c r="G177" s="144"/>
      <c r="H177" s="372"/>
    </row>
    <row r="178" spans="1:8" ht="13.2">
      <c r="A178" s="170"/>
      <c r="B178" s="28" t="s">
        <v>1769</v>
      </c>
      <c r="C178" s="143" t="str">
        <f>VLOOKUP(B178,'Thống kê'!$C$3:$D$669,2,0)</f>
        <v>bao lì xì Tết 2025</v>
      </c>
      <c r="D178" s="166" t="e">
        <f>VLOOKUP(B178,'Danh mục hàng hóa'!$C$3:$M$656,6,0)</f>
        <v>#N/A</v>
      </c>
      <c r="E178" s="167">
        <v>2</v>
      </c>
      <c r="F178" s="168" t="e">
        <f t="shared" si="0"/>
        <v>#N/A</v>
      </c>
      <c r="G178" s="144"/>
      <c r="H178" s="372"/>
    </row>
    <row r="179" spans="1:8" ht="13.2">
      <c r="A179" s="170"/>
      <c r="B179" s="28" t="s">
        <v>1661</v>
      </c>
      <c r="C179" s="143" t="str">
        <f>VLOOKUP(B179,'Thống kê'!$C$3:$D$669,2,0)</f>
        <v>Móc khóa Popbean Kubo</v>
      </c>
      <c r="D179" s="166" t="e">
        <f>VLOOKUP(B179,'Danh mục hàng hóa'!$C$3:$M$656,6,0)</f>
        <v>#N/A</v>
      </c>
      <c r="E179" s="167">
        <v>1</v>
      </c>
      <c r="F179" s="168" t="e">
        <f t="shared" si="0"/>
        <v>#N/A</v>
      </c>
      <c r="G179" s="144"/>
      <c r="H179" s="402">
        <v>267058</v>
      </c>
    </row>
    <row r="180" spans="1:8" ht="13.2">
      <c r="A180" s="170"/>
      <c r="B180" s="28" t="s">
        <v>1333</v>
      </c>
      <c r="C180" s="143" t="str">
        <f>VLOOKUP(B180,'Thống kê'!$C$3:$D$669,2,0)</f>
        <v>Móc khóa Popbean</v>
      </c>
      <c r="D180" s="166" t="e">
        <f>VLOOKUP(B180,'Danh mục hàng hóa'!$C$3:$M$656,6,0)</f>
        <v>#N/A</v>
      </c>
      <c r="E180" s="167">
        <v>1</v>
      </c>
      <c r="F180" s="168" t="e">
        <f t="shared" si="0"/>
        <v>#N/A</v>
      </c>
      <c r="G180" s="144"/>
      <c r="H180" s="372"/>
    </row>
    <row r="181" spans="1:8" ht="13.2">
      <c r="A181" s="170"/>
      <c r="B181" s="28" t="s">
        <v>1662</v>
      </c>
      <c r="C181" s="143" t="str">
        <f>VLOOKUP(B181,'Thống kê'!$C$3:$D$669,2,0)</f>
        <v>Móc khóa Popbean Cry Baby</v>
      </c>
      <c r="D181" s="166" t="e">
        <f>VLOOKUP(B181,'Danh mục hàng hóa'!$C$3:$M$656,6,0)</f>
        <v>#N/A</v>
      </c>
      <c r="E181" s="167">
        <v>1</v>
      </c>
      <c r="F181" s="168" t="e">
        <f t="shared" si="0"/>
        <v>#N/A</v>
      </c>
      <c r="G181" s="144"/>
      <c r="H181" s="372"/>
    </row>
    <row r="182" spans="1:8" ht="13.2">
      <c r="A182" s="170"/>
      <c r="B182" s="28" t="s">
        <v>1382</v>
      </c>
      <c r="C182" s="143" t="str">
        <f>VLOOKUP(B182,'Thống kê'!$C$3:$D$669,2,0)</f>
        <v>miếng dán silicon điện thoại</v>
      </c>
      <c r="D182" s="166" t="e">
        <f>VLOOKUP(B182,'Danh mục hàng hóa'!$C$3:$M$656,6,0)</f>
        <v>#N/A</v>
      </c>
      <c r="E182" s="167">
        <v>1</v>
      </c>
      <c r="F182" s="168" t="e">
        <f t="shared" si="0"/>
        <v>#N/A</v>
      </c>
      <c r="G182" s="144"/>
      <c r="H182" s="373"/>
    </row>
    <row r="183" spans="1:8" ht="13.2">
      <c r="A183" s="170"/>
      <c r="B183" s="28" t="s">
        <v>1710</v>
      </c>
      <c r="C183" s="143" t="str">
        <f>VLOOKUP(B183,'Thống kê'!$C$3:$D$669,2,0)</f>
        <v xml:space="preserve">Bao lì xì </v>
      </c>
      <c r="D183" s="166">
        <f>VLOOKUP(B183,'Danh mục hàng hóa'!$C$3:$M$656,6,0)</f>
        <v>7720</v>
      </c>
      <c r="E183" s="167">
        <v>1</v>
      </c>
      <c r="F183" s="168">
        <f t="shared" si="0"/>
        <v>7720</v>
      </c>
      <c r="G183" s="144"/>
      <c r="H183" s="402">
        <v>91594</v>
      </c>
    </row>
    <row r="184" spans="1:8" ht="13.2">
      <c r="A184" s="170"/>
      <c r="B184" s="28" t="s">
        <v>1711</v>
      </c>
      <c r="C184" s="143" t="str">
        <f>VLOOKUP(B184,'Thống kê'!$C$3:$D$669,2,0)</f>
        <v xml:space="preserve">Bao lì xì </v>
      </c>
      <c r="D184" s="166">
        <f>VLOOKUP(B184,'Danh mục hàng hóa'!$C$3:$M$656,6,0)</f>
        <v>7720</v>
      </c>
      <c r="E184" s="167">
        <v>2</v>
      </c>
      <c r="F184" s="168">
        <f t="shared" si="0"/>
        <v>15440</v>
      </c>
      <c r="G184" s="144"/>
      <c r="H184" s="372"/>
    </row>
    <row r="185" spans="1:8" ht="13.2">
      <c r="A185" s="170"/>
      <c r="B185" s="28" t="s">
        <v>1587</v>
      </c>
      <c r="C185" s="143" t="str">
        <f>VLOOKUP(B185,'Thống kê'!$C$3:$D$669,2,0)</f>
        <v>Vịt ú bay</v>
      </c>
      <c r="D185" s="166">
        <f>VLOOKUP(B185,'Danh mục hàng hóa'!$C$3:$M$656,6,0)</f>
        <v>64500</v>
      </c>
      <c r="E185" s="167">
        <v>1</v>
      </c>
      <c r="F185" s="168">
        <f t="shared" si="0"/>
        <v>64500</v>
      </c>
      <c r="G185" s="144"/>
      <c r="H185" s="402">
        <v>162950</v>
      </c>
    </row>
    <row r="186" spans="1:8" ht="13.2">
      <c r="A186" s="170"/>
      <c r="B186" s="28" t="s">
        <v>115</v>
      </c>
      <c r="C186" s="143" t="str">
        <f>VLOOKUP(B186,'Thống kê'!$C$3:$D$669,2,0)</f>
        <v>Heo ú</v>
      </c>
      <c r="D186" s="166">
        <f>VLOOKUP(B186,'Danh mục hàng hóa'!$C$3:$M$656,6,0)</f>
        <v>61275</v>
      </c>
      <c r="E186" s="167">
        <v>1</v>
      </c>
      <c r="F186" s="168">
        <f t="shared" si="0"/>
        <v>61275</v>
      </c>
      <c r="G186" s="144"/>
      <c r="H186" s="372"/>
    </row>
    <row r="187" spans="1:8" ht="13.2">
      <c r="A187" s="170"/>
      <c r="B187" s="28" t="s">
        <v>128</v>
      </c>
      <c r="C187" s="143" t="str">
        <f>VLOOKUP(B187,'Thống kê'!$C$3:$D$669,2,0)</f>
        <v>Mèo ú bay</v>
      </c>
      <c r="D187" s="166">
        <f>VLOOKUP(B187,'Danh mục hàng hóa'!$C$3:$M$656,6,0)</f>
        <v>61275</v>
      </c>
      <c r="E187" s="167">
        <v>1</v>
      </c>
      <c r="F187" s="168">
        <f t="shared" si="0"/>
        <v>61275</v>
      </c>
      <c r="G187" s="144"/>
      <c r="H187" s="373"/>
    </row>
    <row r="188" spans="1:8" ht="13.2">
      <c r="A188" s="170"/>
      <c r="B188" s="28" t="s">
        <v>1384</v>
      </c>
      <c r="C188" s="143" t="str">
        <f>VLOOKUP(B188,'Thống kê'!$C$3:$D$669,2,0)</f>
        <v>Móc khoá Crybaby mini Popmart</v>
      </c>
      <c r="D188" s="166" t="e">
        <f>VLOOKUP(B188,'Danh mục hàng hóa'!$C$3:$M$656,6,0)</f>
        <v>#N/A</v>
      </c>
      <c r="E188" s="167">
        <v>1</v>
      </c>
      <c r="F188" s="168" t="e">
        <f t="shared" si="0"/>
        <v>#N/A</v>
      </c>
      <c r="G188" s="144"/>
      <c r="H188" s="402">
        <v>91520</v>
      </c>
    </row>
    <row r="189" spans="1:8" ht="13.2">
      <c r="A189" s="170"/>
      <c r="B189" s="28" t="s">
        <v>1382</v>
      </c>
      <c r="C189" s="143" t="str">
        <f>VLOOKUP(B189,'Thống kê'!$C$3:$D$669,2,0)</f>
        <v>miếng dán silicon điện thoại</v>
      </c>
      <c r="D189" s="166" t="e">
        <f>VLOOKUP(B189,'Danh mục hàng hóa'!$C$3:$M$656,6,0)</f>
        <v>#N/A</v>
      </c>
      <c r="E189" s="167">
        <v>1</v>
      </c>
      <c r="F189" s="168" t="e">
        <f t="shared" si="0"/>
        <v>#N/A</v>
      </c>
      <c r="G189" s="144"/>
      <c r="H189" s="372"/>
    </row>
    <row r="190" spans="1:8" ht="13.2">
      <c r="A190" s="170"/>
      <c r="B190" s="28" t="s">
        <v>1366</v>
      </c>
      <c r="C190" s="143" t="str">
        <f>VLOOKUP(B190,'Thống kê'!$C$3:$D$669,2,0)</f>
        <v>Móc khóa Popbean</v>
      </c>
      <c r="D190" s="166" t="e">
        <f>VLOOKUP(B190,'Danh mục hàng hóa'!$C$3:$M$656,6,0)</f>
        <v>#N/A</v>
      </c>
      <c r="E190" s="167">
        <v>1</v>
      </c>
      <c r="F190" s="168" t="e">
        <f t="shared" si="0"/>
        <v>#N/A</v>
      </c>
      <c r="G190" s="144"/>
      <c r="H190" s="402">
        <v>119770</v>
      </c>
    </row>
    <row r="191" spans="1:8" ht="13.2">
      <c r="A191" s="170"/>
      <c r="B191" s="28" t="s">
        <v>1382</v>
      </c>
      <c r="C191" s="143" t="str">
        <f>VLOOKUP(B191,'Thống kê'!$C$3:$D$669,2,0)</f>
        <v>miếng dán silicon điện thoại</v>
      </c>
      <c r="D191" s="166" t="e">
        <f>VLOOKUP(B191,'Danh mục hàng hóa'!$C$3:$M$656,6,0)</f>
        <v>#N/A</v>
      </c>
      <c r="E191" s="167">
        <v>1</v>
      </c>
      <c r="F191" s="168" t="e">
        <f t="shared" si="0"/>
        <v>#N/A</v>
      </c>
      <c r="G191" s="144"/>
      <c r="H191" s="372"/>
    </row>
    <row r="192" spans="1:8" ht="13.2">
      <c r="A192" s="170"/>
      <c r="B192" s="28" t="s">
        <v>1780</v>
      </c>
      <c r="C192" s="143" t="str">
        <f>VLOOKUP(B192,'Thống kê'!$C$3:$D$669,2,0)</f>
        <v>Cánh cụt nơ vàng treo gương</v>
      </c>
      <c r="D192" s="166">
        <f>VLOOKUP(B192,'Danh mục hàng hóa'!$C$3:$M$656,6,0)</f>
        <v>6110</v>
      </c>
      <c r="E192" s="167">
        <v>1</v>
      </c>
      <c r="F192" s="168">
        <f t="shared" si="0"/>
        <v>6110</v>
      </c>
      <c r="G192" s="144"/>
      <c r="H192" s="175">
        <v>107830</v>
      </c>
    </row>
    <row r="193" spans="1:8" ht="13.2">
      <c r="A193" s="172">
        <v>45669</v>
      </c>
      <c r="B193" s="28" t="s">
        <v>1386</v>
      </c>
      <c r="C193" s="143" t="str">
        <f>VLOOKUP(B193,'Thống kê'!$C$3:$D$669,2,0)</f>
        <v>Móc khoá Crybaby mini Popmart</v>
      </c>
      <c r="D193" s="166" t="e">
        <f>VLOOKUP(B193,'Danh mục hàng hóa'!$C$3:$M$656,6,0)</f>
        <v>#N/A</v>
      </c>
      <c r="E193" s="167">
        <v>2</v>
      </c>
      <c r="F193" s="168" t="e">
        <f t="shared" si="0"/>
        <v>#N/A</v>
      </c>
      <c r="G193" s="144"/>
      <c r="H193" s="175">
        <v>89380</v>
      </c>
    </row>
    <row r="194" spans="1:8" ht="13.2">
      <c r="A194" s="170"/>
      <c r="B194" s="28" t="s">
        <v>1706</v>
      </c>
      <c r="C194" s="143" t="str">
        <f>VLOOKUP(B194,'Thống kê'!$C$3:$D$669,2,0)</f>
        <v>Bao lì xì</v>
      </c>
      <c r="D194" s="166">
        <f>VLOOKUP(B194,'Danh mục hàng hóa'!$C$3:$M$656,6,0)</f>
        <v>14500</v>
      </c>
      <c r="E194" s="167">
        <v>1</v>
      </c>
      <c r="F194" s="168">
        <f t="shared" si="0"/>
        <v>14500</v>
      </c>
      <c r="G194" s="144"/>
      <c r="H194" s="402">
        <v>38540</v>
      </c>
    </row>
    <row r="195" spans="1:8" ht="13.2">
      <c r="A195" s="170"/>
      <c r="B195" s="28" t="s">
        <v>1707</v>
      </c>
      <c r="C195" s="143" t="str">
        <f>VLOOKUP(B195,'Thống kê'!$C$3:$D$669,2,0)</f>
        <v xml:space="preserve">Bao lì xì </v>
      </c>
      <c r="D195" s="166">
        <f>VLOOKUP(B195,'Danh mục hàng hóa'!$C$3:$M$656,6,0)</f>
        <v>14500</v>
      </c>
      <c r="E195" s="167">
        <v>1</v>
      </c>
      <c r="F195" s="168">
        <f t="shared" si="0"/>
        <v>14500</v>
      </c>
      <c r="G195" s="144"/>
      <c r="H195" s="372"/>
    </row>
    <row r="196" spans="1:8" ht="13.2">
      <c r="A196" s="170"/>
      <c r="B196" s="28" t="s">
        <v>1708</v>
      </c>
      <c r="C196" s="143" t="str">
        <f>VLOOKUP(B196,'Thống kê'!$C$3:$D$669,2,0)</f>
        <v xml:space="preserve">Bao lì xì </v>
      </c>
      <c r="D196" s="166">
        <f>VLOOKUP(B196,'Danh mục hàng hóa'!$C$3:$M$656,6,0)</f>
        <v>7720</v>
      </c>
      <c r="E196" s="167">
        <v>1</v>
      </c>
      <c r="F196" s="168">
        <f t="shared" si="0"/>
        <v>7720</v>
      </c>
      <c r="G196" s="144"/>
      <c r="H196" s="372"/>
    </row>
    <row r="197" spans="1:8" ht="13.2">
      <c r="A197" s="170"/>
      <c r="B197" s="28" t="s">
        <v>1769</v>
      </c>
      <c r="C197" s="143" t="str">
        <f>VLOOKUP(B197,'Thống kê'!$C$3:$D$669,2,0)</f>
        <v>bao lì xì Tết 2025</v>
      </c>
      <c r="D197" s="166" t="e">
        <f>VLOOKUP(B197,'Danh mục hàng hóa'!$C$3:$M$656,6,0)</f>
        <v>#N/A</v>
      </c>
      <c r="E197" s="167">
        <v>1</v>
      </c>
      <c r="F197" s="168" t="e">
        <f t="shared" si="0"/>
        <v>#N/A</v>
      </c>
      <c r="G197" s="144"/>
      <c r="H197" s="372"/>
    </row>
    <row r="198" spans="1:8" ht="13.2">
      <c r="A198" s="170"/>
      <c r="B198" s="28" t="s">
        <v>1710</v>
      </c>
      <c r="C198" s="143" t="str">
        <f>VLOOKUP(B198,'Thống kê'!$C$3:$D$669,2,0)</f>
        <v xml:space="preserve">Bao lì xì </v>
      </c>
      <c r="D198" s="166">
        <f>VLOOKUP(B198,'Danh mục hàng hóa'!$C$3:$M$656,6,0)</f>
        <v>7720</v>
      </c>
      <c r="E198" s="167">
        <v>2</v>
      </c>
      <c r="F198" s="168">
        <f t="shared" si="0"/>
        <v>15440</v>
      </c>
      <c r="G198" s="144"/>
      <c r="H198" s="402">
        <v>186035</v>
      </c>
    </row>
    <row r="199" spans="1:8" ht="13.2">
      <c r="A199" s="170"/>
      <c r="B199" s="28" t="s">
        <v>1351</v>
      </c>
      <c r="C199" s="143" t="str">
        <f>VLOOKUP(B199,'Thống kê'!$C$3:$D$669,2,0)</f>
        <v>Trang trí mô hình Heo</v>
      </c>
      <c r="D199" s="166" t="e">
        <f>VLOOKUP(B199,'Danh mục hàng hóa'!$C$3:$M$656,6,0)</f>
        <v>#N/A</v>
      </c>
      <c r="E199" s="167">
        <v>1</v>
      </c>
      <c r="F199" s="168" t="e">
        <f t="shared" si="0"/>
        <v>#N/A</v>
      </c>
      <c r="G199" s="144"/>
      <c r="H199" s="372"/>
    </row>
    <row r="200" spans="1:8" ht="13.2">
      <c r="A200" s="170"/>
      <c r="B200" s="28" t="s">
        <v>310</v>
      </c>
      <c r="C200" s="143" t="str">
        <f>VLOOKUP(B200,'Thống kê'!$C$3:$D$669,2,0)</f>
        <v>Trang trí mô hình Heo</v>
      </c>
      <c r="D200" s="166" t="e">
        <f>VLOOKUP(B200,'Danh mục hàng hóa'!$C$3:$M$656,6,0)</f>
        <v>#N/A</v>
      </c>
      <c r="E200" s="167">
        <v>1</v>
      </c>
      <c r="F200" s="168" t="e">
        <f t="shared" si="0"/>
        <v>#N/A</v>
      </c>
      <c r="G200" s="144"/>
      <c r="H200" s="372"/>
    </row>
    <row r="201" spans="1:8" ht="13.2">
      <c r="A201" s="170"/>
      <c r="B201" s="28" t="s">
        <v>1353</v>
      </c>
      <c r="C201" s="143" t="str">
        <f>VLOOKUP(B201,'Thống kê'!$C$3:$D$669,2,0)</f>
        <v>Trang trí mô hình Vịt</v>
      </c>
      <c r="D201" s="166" t="e">
        <f>VLOOKUP(B201,'Danh mục hàng hóa'!$C$3:$M$656,6,0)</f>
        <v>#N/A</v>
      </c>
      <c r="E201" s="167">
        <v>1</v>
      </c>
      <c r="F201" s="168" t="e">
        <f t="shared" si="0"/>
        <v>#N/A</v>
      </c>
      <c r="G201" s="144"/>
      <c r="H201" s="372"/>
    </row>
    <row r="202" spans="1:8" ht="13.2">
      <c r="A202" s="170"/>
      <c r="B202" s="28" t="s">
        <v>1357</v>
      </c>
      <c r="C202" s="143" t="str">
        <f>VLOOKUP(B202,'Thống kê'!$C$3:$D$669,2,0)</f>
        <v>Trang trí mô hình Thỏ</v>
      </c>
      <c r="D202" s="166" t="e">
        <f>VLOOKUP(B202,'Danh mục hàng hóa'!$C$3:$M$656,6,0)</f>
        <v>#N/A</v>
      </c>
      <c r="E202" s="167">
        <v>1</v>
      </c>
      <c r="F202" s="168" t="e">
        <f t="shared" si="0"/>
        <v>#N/A</v>
      </c>
      <c r="G202" s="144"/>
      <c r="H202" s="372"/>
    </row>
    <row r="203" spans="1:8" ht="13.2">
      <c r="A203" s="170"/>
      <c r="B203" s="28" t="s">
        <v>1210</v>
      </c>
      <c r="C203" s="143" t="str">
        <f>VLOOKUP(B203,'Thống kê'!$C$3:$D$669,2,0)</f>
        <v>Shiba ú cầm hoa</v>
      </c>
      <c r="D203" s="166" t="e">
        <f>VLOOKUP(B203,'Danh mục hàng hóa'!$C$3:$M$656,6,0)</f>
        <v>#N/A</v>
      </c>
      <c r="E203" s="167">
        <v>1</v>
      </c>
      <c r="F203" s="168" t="e">
        <f t="shared" si="0"/>
        <v>#N/A</v>
      </c>
      <c r="G203" s="144"/>
      <c r="H203" s="176">
        <v>60256</v>
      </c>
    </row>
    <row r="204" spans="1:8" ht="13.2">
      <c r="A204" s="170"/>
      <c r="B204" s="28" t="s">
        <v>1710</v>
      </c>
      <c r="C204" s="143" t="str">
        <f>VLOOKUP(B204,'Thống kê'!$C$3:$D$669,2,0)</f>
        <v xml:space="preserve">Bao lì xì </v>
      </c>
      <c r="D204" s="166">
        <f>VLOOKUP(B204,'Danh mục hàng hóa'!$C$3:$M$656,6,0)</f>
        <v>7720</v>
      </c>
      <c r="E204" s="167">
        <v>1</v>
      </c>
      <c r="F204" s="168">
        <f t="shared" si="0"/>
        <v>7720</v>
      </c>
      <c r="G204" s="144"/>
      <c r="H204" s="403">
        <v>91594</v>
      </c>
    </row>
    <row r="205" spans="1:8" ht="13.2">
      <c r="A205" s="170"/>
      <c r="B205" s="28" t="s">
        <v>1711</v>
      </c>
      <c r="C205" s="143" t="str">
        <f>VLOOKUP(B205,'Thống kê'!$C$3:$D$669,2,0)</f>
        <v xml:space="preserve">Bao lì xì </v>
      </c>
      <c r="D205" s="166">
        <f>VLOOKUP(B205,'Danh mục hàng hóa'!$C$3:$M$656,6,0)</f>
        <v>7720</v>
      </c>
      <c r="E205" s="167">
        <v>2</v>
      </c>
      <c r="F205" s="168">
        <f t="shared" si="0"/>
        <v>15440</v>
      </c>
      <c r="G205" s="144"/>
      <c r="H205" s="373"/>
    </row>
    <row r="206" spans="1:8" ht="13.2">
      <c r="A206" s="170"/>
      <c r="B206" s="28" t="s">
        <v>1769</v>
      </c>
      <c r="C206" s="143" t="str">
        <f>VLOOKUP(B206,'Thống kê'!$C$3:$D$669,2,0)</f>
        <v>bao lì xì Tết 2025</v>
      </c>
      <c r="D206" s="166" t="e">
        <f>VLOOKUP(B206,'Danh mục hàng hóa'!$C$3:$M$656,6,0)</f>
        <v>#N/A</v>
      </c>
      <c r="E206" s="167">
        <v>2</v>
      </c>
      <c r="F206" s="168" t="e">
        <f t="shared" si="0"/>
        <v>#N/A</v>
      </c>
      <c r="G206" s="144"/>
      <c r="H206" s="178">
        <v>17615</v>
      </c>
    </row>
    <row r="207" spans="1:8" ht="13.2">
      <c r="A207" s="170"/>
      <c r="B207" s="28" t="s">
        <v>1777</v>
      </c>
      <c r="C207" s="143" t="str">
        <f>VLOOKUP(B207,'Thống kê'!$C$3:$D$669,2,0)</f>
        <v>bao lì xì Tết 2025</v>
      </c>
      <c r="D207" s="166" t="e">
        <f>VLOOKUP(B207,'Danh mục hàng hóa'!$C$3:$M$656,6,0)</f>
        <v>#N/A</v>
      </c>
      <c r="E207" s="167">
        <v>2</v>
      </c>
      <c r="F207" s="168" t="e">
        <f t="shared" si="0"/>
        <v>#N/A</v>
      </c>
      <c r="G207" s="144"/>
      <c r="H207" s="402">
        <v>42036</v>
      </c>
    </row>
    <row r="208" spans="1:8" ht="13.2">
      <c r="A208" s="170"/>
      <c r="B208" s="28" t="s">
        <v>1708</v>
      </c>
      <c r="C208" s="143" t="str">
        <f>VLOOKUP(B208,'Thống kê'!$C$3:$D$669,2,0)</f>
        <v xml:space="preserve">Bao lì xì </v>
      </c>
      <c r="D208" s="166">
        <f>VLOOKUP(B208,'Danh mục hàng hóa'!$C$3:$M$656,6,0)</f>
        <v>7720</v>
      </c>
      <c r="E208" s="167">
        <v>2</v>
      </c>
      <c r="F208" s="168">
        <f t="shared" si="0"/>
        <v>15440</v>
      </c>
      <c r="G208" s="144"/>
      <c r="H208" s="372"/>
    </row>
    <row r="209" spans="1:8" ht="13.2">
      <c r="A209" s="170"/>
      <c r="B209" s="28" t="s">
        <v>1769</v>
      </c>
      <c r="C209" s="143" t="str">
        <f>VLOOKUP(B209,'Thống kê'!$C$3:$D$669,2,0)</f>
        <v>bao lì xì Tết 2025</v>
      </c>
      <c r="D209" s="166" t="e">
        <f>VLOOKUP(B209,'Danh mục hàng hóa'!$C$3:$M$656,6,0)</f>
        <v>#N/A</v>
      </c>
      <c r="E209" s="167">
        <v>3</v>
      </c>
      <c r="F209" s="168" t="e">
        <f t="shared" si="0"/>
        <v>#N/A</v>
      </c>
      <c r="G209" s="144"/>
      <c r="H209" s="372"/>
    </row>
    <row r="210" spans="1:8" ht="13.2">
      <c r="A210" s="170"/>
      <c r="B210" s="28" t="s">
        <v>1777</v>
      </c>
      <c r="C210" s="143" t="str">
        <f>VLOOKUP(B210,'Thống kê'!$C$3:$D$669,2,0)</f>
        <v>bao lì xì Tết 2025</v>
      </c>
      <c r="D210" s="166" t="e">
        <f>VLOOKUP(B210,'Danh mục hàng hóa'!$C$3:$M$656,6,0)</f>
        <v>#N/A</v>
      </c>
      <c r="E210" s="167">
        <v>1</v>
      </c>
      <c r="F210" s="168" t="e">
        <f t="shared" si="0"/>
        <v>#N/A</v>
      </c>
      <c r="G210" s="144"/>
      <c r="H210" s="372"/>
    </row>
    <row r="211" spans="1:8" ht="13.2">
      <c r="A211" s="170"/>
      <c r="B211" s="28" t="s">
        <v>1707</v>
      </c>
      <c r="C211" s="143" t="str">
        <f>VLOOKUP(B211,'Thống kê'!$C$3:$D$669,2,0)</f>
        <v xml:space="preserve">Bao lì xì </v>
      </c>
      <c r="D211" s="166">
        <f>VLOOKUP(B211,'Danh mục hàng hóa'!$C$3:$M$656,6,0)</f>
        <v>14500</v>
      </c>
      <c r="E211" s="167">
        <v>4</v>
      </c>
      <c r="F211" s="168">
        <f t="shared" si="0"/>
        <v>58000</v>
      </c>
      <c r="G211" s="144"/>
      <c r="H211" s="402">
        <v>56819</v>
      </c>
    </row>
    <row r="212" spans="1:8" ht="13.2">
      <c r="A212" s="170"/>
      <c r="B212" s="28" t="s">
        <v>1707</v>
      </c>
      <c r="C212" s="143" t="str">
        <f>VLOOKUP(B212,'Thống kê'!$C$3:$D$669,2,0)</f>
        <v xml:space="preserve">Bao lì xì </v>
      </c>
      <c r="D212" s="166">
        <f>VLOOKUP(B212,'Danh mục hàng hóa'!$C$3:$M$656,6,0)</f>
        <v>14500</v>
      </c>
      <c r="E212" s="167">
        <v>3</v>
      </c>
      <c r="F212" s="168">
        <f t="shared" si="0"/>
        <v>43500</v>
      </c>
      <c r="G212" s="144"/>
      <c r="H212" s="373"/>
    </row>
    <row r="213" spans="1:8" ht="13.2">
      <c r="A213" s="170"/>
      <c r="B213" s="28" t="s">
        <v>1781</v>
      </c>
      <c r="C213" s="143" t="e">
        <f>VLOOKUP(B213,'Thống kê'!$C$3:$D$669,2,0)</f>
        <v>#N/A</v>
      </c>
      <c r="D213" s="166" t="e">
        <f>VLOOKUP(B213,'Danh mục hàng hóa'!$C$3:$M$656,6,0)</f>
        <v>#N/A</v>
      </c>
      <c r="E213" s="167">
        <v>1</v>
      </c>
      <c r="F213" s="168" t="e">
        <f t="shared" si="0"/>
        <v>#N/A</v>
      </c>
      <c r="G213" s="144"/>
      <c r="H213" s="402">
        <v>74620</v>
      </c>
    </row>
    <row r="214" spans="1:8" ht="13.2">
      <c r="A214" s="170"/>
      <c r="B214" s="28" t="s">
        <v>1382</v>
      </c>
      <c r="C214" s="143" t="str">
        <f>VLOOKUP(B214,'Thống kê'!$C$3:$D$669,2,0)</f>
        <v>miếng dán silicon điện thoại</v>
      </c>
      <c r="D214" s="166" t="e">
        <f>VLOOKUP(B214,'Danh mục hàng hóa'!$C$3:$M$656,6,0)</f>
        <v>#N/A</v>
      </c>
      <c r="E214" s="167">
        <v>1</v>
      </c>
      <c r="F214" s="168" t="e">
        <f t="shared" si="0"/>
        <v>#N/A</v>
      </c>
      <c r="G214" s="144"/>
      <c r="H214" s="373"/>
    </row>
    <row r="215" spans="1:8" ht="13.2">
      <c r="A215" s="170"/>
      <c r="B215" s="28" t="s">
        <v>150</v>
      </c>
      <c r="C215" s="143" t="str">
        <f>VLOOKUP(B215,'Thống kê'!$C$3:$D$669,2,0)</f>
        <v>Móc khóa có chuông</v>
      </c>
      <c r="D215" s="166" t="e">
        <f>VLOOKUP(B215,'Danh mục hàng hóa'!$C$3:$M$656,6,0)</f>
        <v>#N/A</v>
      </c>
      <c r="E215" s="167">
        <v>1</v>
      </c>
      <c r="F215" s="168" t="e">
        <f t="shared" si="0"/>
        <v>#N/A</v>
      </c>
      <c r="G215" s="144"/>
      <c r="H215" s="177">
        <v>43542</v>
      </c>
    </row>
    <row r="216" spans="1:8" ht="13.2">
      <c r="A216" s="170"/>
      <c r="B216" s="28" t="s">
        <v>183</v>
      </c>
      <c r="C216" s="143" t="str">
        <f>VLOOKUP(B216,'Thống kê'!$C$3:$D$669,2,0)</f>
        <v>Thỏ máy bay gắn xe</v>
      </c>
      <c r="D216" s="166">
        <f>VLOOKUP(B216,'Danh mục hàng hóa'!$C$3:$M$656,6,0)</f>
        <v>59340</v>
      </c>
      <c r="E216" s="167">
        <v>1</v>
      </c>
      <c r="F216" s="168">
        <f t="shared" si="0"/>
        <v>59340</v>
      </c>
      <c r="G216" s="144"/>
      <c r="H216" s="178">
        <v>32390</v>
      </c>
    </row>
    <row r="217" spans="1:8" ht="13.2">
      <c r="A217" s="170"/>
      <c r="B217" s="28" t="s">
        <v>1710</v>
      </c>
      <c r="C217" s="143" t="str">
        <f>VLOOKUP(B217,'Thống kê'!$C$3:$D$669,2,0)</f>
        <v xml:space="preserve">Bao lì xì </v>
      </c>
      <c r="D217" s="166">
        <f>VLOOKUP(B217,'Danh mục hàng hóa'!$C$3:$M$656,6,0)</f>
        <v>7720</v>
      </c>
      <c r="E217" s="167">
        <v>1</v>
      </c>
      <c r="F217" s="168">
        <f t="shared" si="0"/>
        <v>7720</v>
      </c>
      <c r="G217" s="144"/>
      <c r="H217" s="175">
        <v>38762</v>
      </c>
    </row>
    <row r="218" spans="1:8" ht="13.2">
      <c r="A218" s="170"/>
      <c r="B218" s="28" t="s">
        <v>1461</v>
      </c>
      <c r="C218" s="143">
        <f>VLOOKUP(B218,'Thống kê'!$C$3:$D$669,2,0)</f>
        <v>0</v>
      </c>
      <c r="D218" s="166" t="e">
        <f>VLOOKUP(B218,'Danh mục hàng hóa'!$C$3:$M$656,6,0)</f>
        <v>#N/A</v>
      </c>
      <c r="E218" s="167">
        <v>1</v>
      </c>
      <c r="F218" s="168" t="e">
        <f t="shared" si="0"/>
        <v>#N/A</v>
      </c>
      <c r="G218" s="144"/>
      <c r="H218" s="402">
        <v>74615</v>
      </c>
    </row>
    <row r="219" spans="1:8" ht="13.2">
      <c r="A219" s="170"/>
      <c r="B219" s="28" t="s">
        <v>1382</v>
      </c>
      <c r="C219" s="143" t="str">
        <f>VLOOKUP(B219,'Thống kê'!$C$3:$D$669,2,0)</f>
        <v>miếng dán silicon điện thoại</v>
      </c>
      <c r="D219" s="166" t="e">
        <f>VLOOKUP(B219,'Danh mục hàng hóa'!$C$3:$M$656,6,0)</f>
        <v>#N/A</v>
      </c>
      <c r="E219" s="167">
        <v>1</v>
      </c>
      <c r="F219" s="168" t="e">
        <f t="shared" si="0"/>
        <v>#N/A</v>
      </c>
      <c r="G219" s="144"/>
      <c r="H219" s="373"/>
    </row>
    <row r="220" spans="1:8" ht="13.2">
      <c r="A220" s="170"/>
      <c r="B220" s="28" t="s">
        <v>1710</v>
      </c>
      <c r="C220" s="143" t="str">
        <f>VLOOKUP(B220,'Thống kê'!$C$3:$D$669,2,0)</f>
        <v xml:space="preserve">Bao lì xì </v>
      </c>
      <c r="D220" s="166">
        <f>VLOOKUP(B220,'Danh mục hàng hóa'!$C$3:$M$656,6,0)</f>
        <v>7720</v>
      </c>
      <c r="E220" s="167">
        <v>3</v>
      </c>
      <c r="F220" s="168">
        <f t="shared" si="0"/>
        <v>23160</v>
      </c>
      <c r="G220" s="144"/>
      <c r="H220" s="177">
        <v>124066</v>
      </c>
    </row>
    <row r="221" spans="1:8" ht="13.2">
      <c r="A221" s="170"/>
      <c r="B221" s="28" t="s">
        <v>1386</v>
      </c>
      <c r="C221" s="143" t="str">
        <f>VLOOKUP(B221,'Thống kê'!$C$3:$D$669,2,0)</f>
        <v>Móc khoá Crybaby mini Popmart</v>
      </c>
      <c r="D221" s="166" t="e">
        <f>VLOOKUP(B221,'Danh mục hàng hóa'!$C$3:$M$656,6,0)</f>
        <v>#N/A</v>
      </c>
      <c r="E221" s="167">
        <v>1</v>
      </c>
      <c r="F221" s="168" t="e">
        <f t="shared" si="0"/>
        <v>#N/A</v>
      </c>
      <c r="G221" s="144"/>
      <c r="H221" s="403">
        <v>171928</v>
      </c>
    </row>
    <row r="222" spans="1:8" ht="13.2">
      <c r="A222" s="170"/>
      <c r="B222" s="28" t="s">
        <v>1480</v>
      </c>
      <c r="C222" s="143">
        <f>VLOOKUP(B222,'Thống kê'!$C$3:$D$669,2,0)</f>
        <v>0</v>
      </c>
      <c r="D222" s="166" t="e">
        <f>VLOOKUP(B222,'Danh mục hàng hóa'!$C$3:$M$656,6,0)</f>
        <v>#N/A</v>
      </c>
      <c r="E222" s="167">
        <v>1</v>
      </c>
      <c r="F222" s="168" t="e">
        <f t="shared" si="0"/>
        <v>#N/A</v>
      </c>
      <c r="G222" s="144"/>
      <c r="H222" s="372"/>
    </row>
    <row r="223" spans="1:8" ht="13.2">
      <c r="A223" s="170"/>
      <c r="B223" s="28" t="s">
        <v>1382</v>
      </c>
      <c r="C223" s="143" t="str">
        <f>VLOOKUP(B223,'Thống kê'!$C$3:$D$669,2,0)</f>
        <v>miếng dán silicon điện thoại</v>
      </c>
      <c r="D223" s="166" t="e">
        <f>VLOOKUP(B223,'Danh mục hàng hóa'!$C$3:$M$656,6,0)</f>
        <v>#N/A</v>
      </c>
      <c r="E223" s="167">
        <v>1</v>
      </c>
      <c r="F223" s="168" t="e">
        <f t="shared" si="0"/>
        <v>#N/A</v>
      </c>
      <c r="G223" s="144"/>
      <c r="H223" s="372"/>
    </row>
    <row r="224" spans="1:8" ht="13.2">
      <c r="A224" s="170"/>
      <c r="B224" s="28" t="s">
        <v>1711</v>
      </c>
      <c r="C224" s="143" t="str">
        <f>VLOOKUP(B224,'Thống kê'!$C$3:$D$669,2,0)</f>
        <v xml:space="preserve">Bao lì xì </v>
      </c>
      <c r="D224" s="166">
        <f>VLOOKUP(B224,'Danh mục hàng hóa'!$C$3:$M$656,6,0)</f>
        <v>7720</v>
      </c>
      <c r="E224" s="167">
        <v>2</v>
      </c>
      <c r="F224" s="168">
        <f t="shared" si="0"/>
        <v>15440</v>
      </c>
      <c r="G224" s="144"/>
      <c r="H224" s="176">
        <v>49076</v>
      </c>
    </row>
    <row r="225" spans="1:8" ht="13.2">
      <c r="A225" s="182">
        <v>45670</v>
      </c>
      <c r="B225" s="28" t="s">
        <v>1587</v>
      </c>
      <c r="C225" s="143" t="str">
        <f>VLOOKUP(B225,'Thống kê'!$C$3:$D$669,2,0)</f>
        <v>Vịt ú bay</v>
      </c>
      <c r="D225" s="166">
        <f>VLOOKUP(B225,'Danh mục hàng hóa'!$C$3:$M$656,6,0)</f>
        <v>64500</v>
      </c>
      <c r="E225" s="167">
        <v>1</v>
      </c>
      <c r="F225" s="168">
        <f t="shared" si="0"/>
        <v>64500</v>
      </c>
      <c r="G225" s="144"/>
      <c r="H225" s="177">
        <v>56456</v>
      </c>
    </row>
    <row r="226" spans="1:8" ht="13.2">
      <c r="A226" s="152"/>
      <c r="B226" s="28" t="s">
        <v>1387</v>
      </c>
      <c r="C226" s="143" t="str">
        <f>VLOOKUP(B226,'Thống kê'!$C$3:$D$669,2,0)</f>
        <v>Móc khoá Crybaby mini Popmart</v>
      </c>
      <c r="D226" s="166" t="e">
        <f>VLOOKUP(B226,'Danh mục hàng hóa'!$C$3:$M$656,6,0)</f>
        <v>#N/A</v>
      </c>
      <c r="E226" s="167">
        <v>1</v>
      </c>
      <c r="F226" s="168" t="e">
        <f t="shared" si="0"/>
        <v>#N/A</v>
      </c>
      <c r="G226" s="144"/>
      <c r="H226" s="403">
        <v>164459</v>
      </c>
    </row>
    <row r="227" spans="1:8" ht="13.2">
      <c r="A227" s="183"/>
      <c r="B227" s="28" t="s">
        <v>1384</v>
      </c>
      <c r="C227" s="143" t="str">
        <f>VLOOKUP(B227,'Thống kê'!$C$3:$D$669,2,0)</f>
        <v>Móc khoá Crybaby mini Popmart</v>
      </c>
      <c r="D227" s="166" t="e">
        <f>VLOOKUP(B227,'Danh mục hàng hóa'!$C$3:$M$656,6,0)</f>
        <v>#N/A</v>
      </c>
      <c r="E227" s="167">
        <v>1</v>
      </c>
      <c r="F227" s="168" t="e">
        <f t="shared" si="0"/>
        <v>#N/A</v>
      </c>
      <c r="G227" s="144"/>
      <c r="H227" s="372"/>
    </row>
    <row r="228" spans="1:8" ht="13.2">
      <c r="A228" s="183"/>
      <c r="B228" s="28" t="s">
        <v>1382</v>
      </c>
      <c r="C228" s="143" t="str">
        <f>VLOOKUP(B228,'Thống kê'!$C$3:$D$669,2,0)</f>
        <v>miếng dán silicon điện thoại</v>
      </c>
      <c r="D228" s="166" t="e">
        <f>VLOOKUP(B228,'Danh mục hàng hóa'!$C$3:$M$656,6,0)</f>
        <v>#N/A</v>
      </c>
      <c r="E228" s="167">
        <v>1</v>
      </c>
      <c r="F228" s="168" t="e">
        <f t="shared" si="0"/>
        <v>#N/A</v>
      </c>
      <c r="G228" s="144"/>
      <c r="H228" s="373"/>
    </row>
    <row r="229" spans="1:8" ht="13.2">
      <c r="A229" s="183"/>
      <c r="B229" s="28" t="s">
        <v>1589</v>
      </c>
      <c r="C229" s="143" t="str">
        <f>VLOOKUP(B229,'Thống kê'!$C$3:$D$669,2,0)</f>
        <v>Heo ú bay</v>
      </c>
      <c r="D229" s="166">
        <f>VLOOKUP(B229,'Danh mục hàng hóa'!$C$3:$M$656,6,0)</f>
        <v>61275</v>
      </c>
      <c r="E229" s="167">
        <v>1</v>
      </c>
      <c r="F229" s="168">
        <f t="shared" si="0"/>
        <v>61275</v>
      </c>
      <c r="G229" s="144"/>
      <c r="H229" s="403">
        <v>118900</v>
      </c>
    </row>
    <row r="230" spans="1:8" ht="13.2">
      <c r="A230" s="183"/>
      <c r="B230" s="28" t="s">
        <v>186</v>
      </c>
      <c r="C230" s="143" t="str">
        <f>VLOOKUP(B230,'Thống kê'!$C$3:$D$669,2,0)</f>
        <v>Thỏ ú bay</v>
      </c>
      <c r="D230" s="166">
        <f>VLOOKUP(B230,'Danh mục hàng hóa'!$C$3:$M$656,6,0)</f>
        <v>61275</v>
      </c>
      <c r="E230" s="167">
        <v>1</v>
      </c>
      <c r="F230" s="168">
        <f t="shared" si="0"/>
        <v>61275</v>
      </c>
      <c r="G230" s="144"/>
      <c r="H230" s="373"/>
    </row>
    <row r="231" spans="1:8" ht="13.2">
      <c r="A231" s="183"/>
      <c r="B231" s="28" t="s">
        <v>1774</v>
      </c>
      <c r="C231" s="143" t="str">
        <f>VLOOKUP(B231,'Thống kê'!$C$3:$D$669,2,0)</f>
        <v>bao lì xì Tết 2025</v>
      </c>
      <c r="D231" s="166" t="e">
        <f>VLOOKUP(B231,'Danh mục hàng hóa'!$C$3:$M$656,6,0)</f>
        <v>#N/A</v>
      </c>
      <c r="E231" s="167">
        <v>1</v>
      </c>
      <c r="F231" s="168" t="e">
        <f t="shared" si="0"/>
        <v>#N/A</v>
      </c>
      <c r="G231" s="144"/>
      <c r="H231" s="403">
        <v>19597</v>
      </c>
    </row>
    <row r="232" spans="1:8" ht="13.2">
      <c r="A232" s="183"/>
      <c r="B232" s="28" t="s">
        <v>1767</v>
      </c>
      <c r="C232" s="143" t="str">
        <f>VLOOKUP(B232,'Thống kê'!$C$3:$D$669,2,0)</f>
        <v>bao lì xì Tết 2025</v>
      </c>
      <c r="D232" s="166" t="e">
        <f>VLOOKUP(B232,'Danh mục hàng hóa'!$C$3:$M$656,6,0)</f>
        <v>#N/A</v>
      </c>
      <c r="E232" s="167">
        <v>1</v>
      </c>
      <c r="F232" s="168" t="e">
        <f t="shared" si="0"/>
        <v>#N/A</v>
      </c>
      <c r="G232" s="144"/>
      <c r="H232" s="372"/>
    </row>
    <row r="233" spans="1:8" ht="13.2">
      <c r="A233" s="183"/>
      <c r="B233" s="28" t="s">
        <v>1768</v>
      </c>
      <c r="C233" s="143" t="str">
        <f>VLOOKUP(B233,'Thống kê'!$C$3:$D$669,2,0)</f>
        <v>bao lì xì Tết 2025</v>
      </c>
      <c r="D233" s="166" t="e">
        <f>VLOOKUP(B233,'Danh mục hàng hóa'!$C$3:$M$656,6,0)</f>
        <v>#N/A</v>
      </c>
      <c r="E233" s="167">
        <v>1</v>
      </c>
      <c r="F233" s="168" t="e">
        <f t="shared" si="0"/>
        <v>#N/A</v>
      </c>
      <c r="G233" s="144"/>
      <c r="H233" s="373"/>
    </row>
    <row r="234" spans="1:8" ht="13.2">
      <c r="A234" s="183"/>
      <c r="B234" s="28" t="s">
        <v>1774</v>
      </c>
      <c r="C234" s="143" t="str">
        <f>VLOOKUP(B234,'Thống kê'!$C$3:$D$669,2,0)</f>
        <v>bao lì xì Tết 2025</v>
      </c>
      <c r="D234" s="166" t="e">
        <f>VLOOKUP(B234,'Danh mục hàng hóa'!$C$3:$M$656,6,0)</f>
        <v>#N/A</v>
      </c>
      <c r="E234" s="167">
        <v>4</v>
      </c>
      <c r="F234" s="168" t="e">
        <f t="shared" si="0"/>
        <v>#N/A</v>
      </c>
      <c r="G234" s="144"/>
      <c r="H234" s="403">
        <v>49307</v>
      </c>
    </row>
    <row r="235" spans="1:8" ht="13.2">
      <c r="A235" s="183"/>
      <c r="B235" s="28" t="s">
        <v>1774</v>
      </c>
      <c r="C235" s="143" t="str">
        <f>VLOOKUP(B235,'Thống kê'!$C$3:$D$669,2,0)</f>
        <v>bao lì xì Tết 2025</v>
      </c>
      <c r="D235" s="166" t="e">
        <f>VLOOKUP(B235,'Danh mục hàng hóa'!$C$3:$M$656,6,0)</f>
        <v>#N/A</v>
      </c>
      <c r="E235" s="167">
        <v>4</v>
      </c>
      <c r="F235" s="168" t="e">
        <f t="shared" si="0"/>
        <v>#N/A</v>
      </c>
      <c r="G235" s="144"/>
      <c r="H235" s="372"/>
    </row>
    <row r="236" spans="1:8" ht="13.2">
      <c r="A236" s="183"/>
      <c r="B236" s="28" t="s">
        <v>1774</v>
      </c>
      <c r="C236" s="143" t="str">
        <f>VLOOKUP(B236,'Thống kê'!$C$3:$D$669,2,0)</f>
        <v>bao lì xì Tết 2025</v>
      </c>
      <c r="D236" s="166" t="e">
        <f>VLOOKUP(B236,'Danh mục hàng hóa'!$C$3:$M$656,6,0)</f>
        <v>#N/A</v>
      </c>
      <c r="E236" s="167">
        <v>2</v>
      </c>
      <c r="F236" s="168" t="e">
        <f t="shared" si="0"/>
        <v>#N/A</v>
      </c>
      <c r="G236" s="144"/>
      <c r="H236" s="373"/>
    </row>
    <row r="237" spans="1:8" ht="13.2">
      <c r="A237" s="183"/>
      <c r="B237" s="28" t="s">
        <v>1660</v>
      </c>
      <c r="C237" s="143" t="str">
        <f>VLOOKUP(B237,'Thống kê'!$C$3:$D$669,2,0)</f>
        <v>Móc khóa Popbean Skull Panda</v>
      </c>
      <c r="D237" s="166" t="e">
        <f>VLOOKUP(B237,'Danh mục hàng hóa'!$C$3:$M$656,6,0)</f>
        <v>#N/A</v>
      </c>
      <c r="E237" s="167">
        <v>1</v>
      </c>
      <c r="F237" s="168" t="e">
        <f t="shared" si="0"/>
        <v>#N/A</v>
      </c>
      <c r="G237" s="144"/>
      <c r="H237" s="403">
        <v>1840000</v>
      </c>
    </row>
    <row r="238" spans="1:8" ht="13.2">
      <c r="A238" s="183"/>
      <c r="B238" s="28" t="s">
        <v>1662</v>
      </c>
      <c r="C238" s="143" t="str">
        <f>VLOOKUP(B238,'Thống kê'!$C$3:$D$669,2,0)</f>
        <v>Móc khóa Popbean Cry Baby</v>
      </c>
      <c r="D238" s="166" t="e">
        <f>VLOOKUP(B238,'Danh mục hàng hóa'!$C$3:$M$656,6,0)</f>
        <v>#N/A</v>
      </c>
      <c r="E238" s="167">
        <v>1</v>
      </c>
      <c r="F238" s="168" t="e">
        <f t="shared" si="0"/>
        <v>#N/A</v>
      </c>
      <c r="G238" s="144"/>
      <c r="H238" s="372"/>
    </row>
    <row r="239" spans="1:8" ht="13.2">
      <c r="A239" s="183"/>
      <c r="B239" s="28" t="s">
        <v>1330</v>
      </c>
      <c r="C239" s="143" t="str">
        <f>VLOOKUP(B239,'Thống kê'!$C$3:$D$669,2,0)</f>
        <v>Móc khóa Popbean</v>
      </c>
      <c r="D239" s="166" t="e">
        <f>VLOOKUP(B239,'Danh mục hàng hóa'!$C$3:$M$656,6,0)</f>
        <v>#N/A</v>
      </c>
      <c r="E239" s="167">
        <v>1</v>
      </c>
      <c r="F239" s="168" t="e">
        <f t="shared" si="0"/>
        <v>#N/A</v>
      </c>
      <c r="G239" s="144"/>
      <c r="H239" s="372"/>
    </row>
    <row r="240" spans="1:8" ht="13.2">
      <c r="A240" s="183"/>
      <c r="B240" s="28" t="s">
        <v>1661</v>
      </c>
      <c r="C240" s="143" t="str">
        <f>VLOOKUP(B240,'Thống kê'!$C$3:$D$669,2,0)</f>
        <v>Móc khóa Popbean Kubo</v>
      </c>
      <c r="D240" s="166" t="e">
        <f>VLOOKUP(B240,'Danh mục hàng hóa'!$C$3:$M$656,6,0)</f>
        <v>#N/A</v>
      </c>
      <c r="E240" s="167">
        <v>1</v>
      </c>
      <c r="F240" s="168" t="e">
        <f t="shared" si="0"/>
        <v>#N/A</v>
      </c>
      <c r="G240" s="144"/>
      <c r="H240" s="372"/>
    </row>
    <row r="241" spans="1:8" ht="13.2">
      <c r="A241" s="183"/>
      <c r="B241" s="28" t="s">
        <v>1664</v>
      </c>
      <c r="C241" s="143" t="str">
        <f>VLOOKUP(B241,'Thống kê'!$C$3:$D$669,2,0)</f>
        <v>Móc khóa Popbean Lilios</v>
      </c>
      <c r="D241" s="166" t="e">
        <f>VLOOKUP(B241,'Danh mục hàng hóa'!$C$3:$M$656,6,0)</f>
        <v>#N/A</v>
      </c>
      <c r="E241" s="167">
        <v>1</v>
      </c>
      <c r="F241" s="168" t="e">
        <f t="shared" si="0"/>
        <v>#N/A</v>
      </c>
      <c r="G241" s="144"/>
      <c r="H241" s="372"/>
    </row>
    <row r="242" spans="1:8" ht="13.2">
      <c r="A242" s="183"/>
      <c r="B242" s="28" t="s">
        <v>1333</v>
      </c>
      <c r="C242" s="143" t="str">
        <f>VLOOKUP(B242,'Thống kê'!$C$3:$D$669,2,0)</f>
        <v>Móc khóa Popbean</v>
      </c>
      <c r="D242" s="166" t="e">
        <f>VLOOKUP(B242,'Danh mục hàng hóa'!$C$3:$M$656,6,0)</f>
        <v>#N/A</v>
      </c>
      <c r="E242" s="167">
        <v>1</v>
      </c>
      <c r="F242" s="168" t="e">
        <f t="shared" si="0"/>
        <v>#N/A</v>
      </c>
      <c r="G242" s="144"/>
      <c r="H242" s="372"/>
    </row>
    <row r="243" spans="1:8" ht="13.2">
      <c r="A243" s="183"/>
      <c r="B243" s="28" t="s">
        <v>1334</v>
      </c>
      <c r="C243" s="143" t="str">
        <f>VLOOKUP(B243,'Thống kê'!$C$3:$D$669,2,0)</f>
        <v>Móc khóa Popbean</v>
      </c>
      <c r="D243" s="166" t="e">
        <f>VLOOKUP(B243,'Danh mục hàng hóa'!$C$3:$M$656,6,0)</f>
        <v>#N/A</v>
      </c>
      <c r="E243" s="167">
        <v>1</v>
      </c>
      <c r="F243" s="168" t="e">
        <f t="shared" si="0"/>
        <v>#N/A</v>
      </c>
      <c r="G243" s="144"/>
      <c r="H243" s="372"/>
    </row>
    <row r="244" spans="1:8" ht="13.2">
      <c r="A244" s="183"/>
      <c r="B244" s="28" t="s">
        <v>1368</v>
      </c>
      <c r="C244" s="143" t="str">
        <f>VLOOKUP(B244,'Thống kê'!$C$3:$D$669,2,0)</f>
        <v>Móc khóa Popbean</v>
      </c>
      <c r="D244" s="166" t="e">
        <f>VLOOKUP(B244,'Danh mục hàng hóa'!$C$3:$M$656,6,0)</f>
        <v>#N/A</v>
      </c>
      <c r="E244" s="167">
        <v>1</v>
      </c>
      <c r="F244" s="168" t="e">
        <f t="shared" si="0"/>
        <v>#N/A</v>
      </c>
      <c r="G244" s="144"/>
      <c r="H244" s="372"/>
    </row>
    <row r="245" spans="1:8" ht="13.2">
      <c r="A245" s="183"/>
      <c r="B245" s="28" t="s">
        <v>1423</v>
      </c>
      <c r="C245" s="143">
        <f>VLOOKUP(B245,'Thống kê'!$C$3:$D$669,2,0)</f>
        <v>0</v>
      </c>
      <c r="D245" s="166" t="e">
        <f>VLOOKUP(B245,'Danh mục hàng hóa'!$C$3:$M$656,6,0)</f>
        <v>#N/A</v>
      </c>
      <c r="E245" s="167">
        <v>1</v>
      </c>
      <c r="F245" s="168" t="e">
        <f t="shared" si="0"/>
        <v>#N/A</v>
      </c>
      <c r="G245" s="144"/>
      <c r="H245" s="372"/>
    </row>
    <row r="246" spans="1:8" ht="13.2">
      <c r="A246" s="183"/>
      <c r="B246" s="28" t="s">
        <v>1687</v>
      </c>
      <c r="C246" s="143">
        <f>VLOOKUP(B246,'Thống kê'!$C$3:$D$669,2,0)</f>
        <v>0</v>
      </c>
      <c r="D246" s="166" t="e">
        <f>VLOOKUP(B246,'Danh mục hàng hóa'!$C$3:$M$656,6,0)</f>
        <v>#N/A</v>
      </c>
      <c r="E246" s="167">
        <v>1</v>
      </c>
      <c r="F246" s="168" t="e">
        <f t="shared" si="0"/>
        <v>#N/A</v>
      </c>
      <c r="G246" s="144"/>
      <c r="H246" s="372"/>
    </row>
    <row r="247" spans="1:8" ht="13.2">
      <c r="A247" s="183"/>
      <c r="B247" s="28" t="s">
        <v>1703</v>
      </c>
      <c r="C247" s="143">
        <f>VLOOKUP(B247,'Thống kê'!$C$3:$D$669,2,0)</f>
        <v>0</v>
      </c>
      <c r="D247" s="166" t="e">
        <f>VLOOKUP(B247,'Danh mục hàng hóa'!$C$3:$M$656,6,0)</f>
        <v>#N/A</v>
      </c>
      <c r="E247" s="167">
        <v>2</v>
      </c>
      <c r="F247" s="168" t="e">
        <f t="shared" si="0"/>
        <v>#N/A</v>
      </c>
      <c r="G247" s="144"/>
      <c r="H247" s="372"/>
    </row>
    <row r="248" spans="1:8" ht="13.2">
      <c r="A248" s="183"/>
      <c r="B248" s="28" t="s">
        <v>1366</v>
      </c>
      <c r="C248" s="143" t="str">
        <f>VLOOKUP(B248,'Thống kê'!$C$3:$D$669,2,0)</f>
        <v>Móc khóa Popbean</v>
      </c>
      <c r="D248" s="166" t="e">
        <f>VLOOKUP(B248,'Danh mục hàng hóa'!$C$3:$M$656,6,0)</f>
        <v>#N/A</v>
      </c>
      <c r="E248" s="167">
        <v>1</v>
      </c>
      <c r="F248" s="168" t="e">
        <f t="shared" si="0"/>
        <v>#N/A</v>
      </c>
      <c r="G248" s="144"/>
      <c r="H248" s="372"/>
    </row>
    <row r="249" spans="1:8" ht="13.2">
      <c r="A249" s="183"/>
      <c r="B249" s="28" t="s">
        <v>165</v>
      </c>
      <c r="C249" s="143" t="str">
        <f>VLOOKUP(B249,'Thống kê'!$C$3:$D$669,2,0)</f>
        <v>Móc khóa Popbean</v>
      </c>
      <c r="D249" s="166" t="e">
        <f>VLOOKUP(B249,'Danh mục hàng hóa'!$C$3:$M$656,6,0)</f>
        <v>#N/A</v>
      </c>
      <c r="E249" s="167">
        <v>1</v>
      </c>
      <c r="F249" s="168" t="e">
        <f t="shared" si="0"/>
        <v>#N/A</v>
      </c>
      <c r="G249" s="144"/>
      <c r="H249" s="372"/>
    </row>
    <row r="250" spans="1:8" ht="13.2">
      <c r="A250" s="183"/>
      <c r="B250" s="28" t="s">
        <v>1367</v>
      </c>
      <c r="C250" s="143" t="str">
        <f>VLOOKUP(B250,'Thống kê'!$C$3:$D$669,2,0)</f>
        <v>Móc khóa Popbean</v>
      </c>
      <c r="D250" s="166" t="e">
        <f>VLOOKUP(B250,'Danh mục hàng hóa'!$C$3:$M$656,6,0)</f>
        <v>#N/A</v>
      </c>
      <c r="E250" s="167">
        <v>2</v>
      </c>
      <c r="F250" s="168" t="e">
        <f t="shared" si="0"/>
        <v>#N/A</v>
      </c>
      <c r="G250" s="144"/>
      <c r="H250" s="372"/>
    </row>
    <row r="251" spans="1:8" ht="13.2">
      <c r="A251" s="183"/>
      <c r="B251" s="28" t="s">
        <v>1659</v>
      </c>
      <c r="C251" s="143" t="str">
        <f>VLOOKUP(B251,'Thống kê'!$C$3:$D$669,2,0)</f>
        <v>Móc khóa Popbean Molly</v>
      </c>
      <c r="D251" s="166" t="e">
        <f>VLOOKUP(B251,'Danh mục hàng hóa'!$C$3:$M$656,6,0)</f>
        <v>#N/A</v>
      </c>
      <c r="E251" s="167">
        <v>2</v>
      </c>
      <c r="F251" s="168" t="e">
        <f t="shared" si="0"/>
        <v>#N/A</v>
      </c>
      <c r="G251" s="144"/>
      <c r="H251" s="373"/>
    </row>
    <row r="252" spans="1:8" ht="13.2">
      <c r="A252" s="183"/>
      <c r="B252" s="153" t="s">
        <v>1710</v>
      </c>
      <c r="C252" s="143" t="str">
        <f>VLOOKUP(B252,'Thống kê'!$C$3:$D$669,2,0)</f>
        <v xml:space="preserve">Bao lì xì </v>
      </c>
      <c r="D252" s="166">
        <f>VLOOKUP(B252,'Danh mục hàng hóa'!$C$3:$M$656,6,0)</f>
        <v>7720</v>
      </c>
      <c r="E252" s="167">
        <v>2</v>
      </c>
      <c r="F252" s="168">
        <f t="shared" si="0"/>
        <v>15440</v>
      </c>
      <c r="G252" s="144"/>
      <c r="H252" s="402">
        <v>111356</v>
      </c>
    </row>
    <row r="253" spans="1:8" ht="13.2">
      <c r="A253" s="183"/>
      <c r="B253" s="153" t="s">
        <v>1706</v>
      </c>
      <c r="C253" s="143" t="str">
        <f>VLOOKUP(B253,'Thống kê'!$C$3:$D$669,2,0)</f>
        <v>Bao lì xì</v>
      </c>
      <c r="D253" s="166">
        <f>VLOOKUP(B253,'Danh mục hàng hóa'!$C$3:$M$656,6,0)</f>
        <v>14500</v>
      </c>
      <c r="E253" s="167">
        <v>1</v>
      </c>
      <c r="F253" s="168">
        <f t="shared" si="0"/>
        <v>14500</v>
      </c>
      <c r="G253" s="144"/>
      <c r="H253" s="372"/>
    </row>
    <row r="254" spans="1:8" ht="13.2">
      <c r="A254" s="183"/>
      <c r="B254" s="153" t="s">
        <v>1707</v>
      </c>
      <c r="C254" s="143" t="str">
        <f>VLOOKUP(B254,'Thống kê'!$C$3:$D$669,2,0)</f>
        <v xml:space="preserve">Bao lì xì </v>
      </c>
      <c r="D254" s="166">
        <f>VLOOKUP(B254,'Danh mục hàng hóa'!$C$3:$M$656,6,0)</f>
        <v>14500</v>
      </c>
      <c r="E254" s="167">
        <v>1</v>
      </c>
      <c r="F254" s="168">
        <f t="shared" si="0"/>
        <v>14500</v>
      </c>
      <c r="G254" s="144"/>
      <c r="H254" s="372"/>
    </row>
    <row r="255" spans="1:8" ht="13.2">
      <c r="A255" s="183"/>
      <c r="B255" s="28" t="s">
        <v>1708</v>
      </c>
      <c r="C255" s="143" t="str">
        <f>VLOOKUP(B255,'Thống kê'!$C$3:$D$669,2,0)</f>
        <v xml:space="preserve">Bao lì xì </v>
      </c>
      <c r="D255" s="166">
        <f>VLOOKUP(B255,'Danh mục hàng hóa'!$C$3:$M$656,6,0)</f>
        <v>7720</v>
      </c>
      <c r="E255" s="167">
        <v>1</v>
      </c>
      <c r="F255" s="168">
        <f t="shared" si="0"/>
        <v>7720</v>
      </c>
      <c r="G255" s="144"/>
      <c r="H255" s="372"/>
    </row>
    <row r="256" spans="1:8" ht="13.2">
      <c r="A256" s="183"/>
      <c r="B256" s="28" t="s">
        <v>1709</v>
      </c>
      <c r="C256" s="143" t="str">
        <f>VLOOKUP(B256,'Thống kê'!$C$3:$D$669,2,0)</f>
        <v xml:space="preserve">Bao lì xì </v>
      </c>
      <c r="D256" s="166">
        <f>VLOOKUP(B256,'Danh mục hàng hóa'!$C$3:$M$656,6,0)</f>
        <v>7720</v>
      </c>
      <c r="E256" s="167">
        <v>1</v>
      </c>
      <c r="F256" s="168">
        <f t="shared" si="0"/>
        <v>7720</v>
      </c>
      <c r="G256" s="144"/>
      <c r="H256" s="372"/>
    </row>
    <row r="257" spans="1:8" ht="13.2">
      <c r="A257" s="183"/>
      <c r="B257" s="28" t="s">
        <v>1782</v>
      </c>
      <c r="C257" s="143" t="str">
        <f>VLOOKUP(B257,'Thống kê'!$C$3:$D$669,2,0)</f>
        <v>Mèo xám treo gương</v>
      </c>
      <c r="D257" s="166">
        <f>VLOOKUP(B257,'Danh mục hàng hóa'!$C$3:$M$656,6,0)</f>
        <v>71500</v>
      </c>
      <c r="E257" s="167">
        <v>1</v>
      </c>
      <c r="F257" s="168">
        <f t="shared" si="0"/>
        <v>71500</v>
      </c>
      <c r="G257" s="144"/>
      <c r="H257" s="175">
        <v>47415</v>
      </c>
    </row>
    <row r="258" spans="1:8" ht="13.2">
      <c r="A258" s="183"/>
      <c r="B258" s="28" t="s">
        <v>1708</v>
      </c>
      <c r="C258" s="143" t="str">
        <f>VLOOKUP(B258,'Thống kê'!$C$3:$D$669,2,0)</f>
        <v xml:space="preserve">Bao lì xì </v>
      </c>
      <c r="D258" s="166">
        <f>VLOOKUP(B258,'Danh mục hàng hóa'!$C$3:$M$656,6,0)</f>
        <v>7720</v>
      </c>
      <c r="E258" s="167">
        <v>1</v>
      </c>
      <c r="F258" s="168">
        <f t="shared" ref="F258:F512" si="1">D258*E258</f>
        <v>7720</v>
      </c>
      <c r="G258" s="144"/>
      <c r="H258" s="402">
        <v>18040</v>
      </c>
    </row>
    <row r="259" spans="1:8" ht="13.2">
      <c r="A259" s="183"/>
      <c r="B259" s="28" t="s">
        <v>1709</v>
      </c>
      <c r="C259" s="143" t="str">
        <f>VLOOKUP(B259,'Thống kê'!$C$3:$D$669,2,0)</f>
        <v xml:space="preserve">Bao lì xì </v>
      </c>
      <c r="D259" s="166">
        <f>VLOOKUP(B259,'Danh mục hàng hóa'!$C$3:$M$656,6,0)</f>
        <v>7720</v>
      </c>
      <c r="E259" s="167">
        <v>1</v>
      </c>
      <c r="F259" s="168">
        <f t="shared" si="1"/>
        <v>7720</v>
      </c>
      <c r="G259" s="144"/>
      <c r="H259" s="372"/>
    </row>
    <row r="260" spans="1:8" ht="13.2">
      <c r="A260" s="183"/>
      <c r="B260" s="28" t="s">
        <v>1710</v>
      </c>
      <c r="C260" s="143" t="str">
        <f>VLOOKUP(B260,'Thống kê'!$C$3:$D$669,2,0)</f>
        <v xml:space="preserve">Bao lì xì </v>
      </c>
      <c r="D260" s="166">
        <f>VLOOKUP(B260,'Danh mục hàng hóa'!$C$3:$M$656,6,0)</f>
        <v>7720</v>
      </c>
      <c r="E260" s="167">
        <v>3</v>
      </c>
      <c r="F260" s="168">
        <f t="shared" si="1"/>
        <v>23160</v>
      </c>
      <c r="G260" s="144"/>
      <c r="H260" s="175">
        <v>123566</v>
      </c>
    </row>
    <row r="261" spans="1:8" ht="13.2">
      <c r="A261" s="183"/>
      <c r="B261" s="28" t="s">
        <v>1703</v>
      </c>
      <c r="C261" s="143">
        <f>VLOOKUP(B261,'Thống kê'!$C$3:$D$669,2,0)</f>
        <v>0</v>
      </c>
      <c r="D261" s="166" t="e">
        <f>VLOOKUP(B261,'Danh mục hàng hóa'!$C$3:$M$656,6,0)</f>
        <v>#N/A</v>
      </c>
      <c r="E261" s="167">
        <v>1</v>
      </c>
      <c r="F261" s="168" t="e">
        <f t="shared" si="1"/>
        <v>#N/A</v>
      </c>
      <c r="G261" s="144"/>
      <c r="H261" s="402">
        <v>187091</v>
      </c>
    </row>
    <row r="262" spans="1:8" ht="13.2">
      <c r="A262" s="183"/>
      <c r="B262" s="28" t="s">
        <v>1389</v>
      </c>
      <c r="C262" s="143" t="str">
        <f>VLOOKUP(B262,'Thống kê'!$C$3:$D$669,2,0)</f>
        <v>Móc khoá Crybaby mini Popmart</v>
      </c>
      <c r="D262" s="166" t="e">
        <f>VLOOKUP(B262,'Danh mục hàng hóa'!$C$3:$M$656,6,0)</f>
        <v>#N/A</v>
      </c>
      <c r="E262" s="167">
        <v>1</v>
      </c>
      <c r="F262" s="168" t="e">
        <f t="shared" si="1"/>
        <v>#N/A</v>
      </c>
      <c r="G262" s="144"/>
      <c r="H262" s="372"/>
    </row>
    <row r="263" spans="1:8" ht="13.2">
      <c r="A263" s="183"/>
      <c r="B263" s="28" t="s">
        <v>1382</v>
      </c>
      <c r="C263" s="143" t="str">
        <f>VLOOKUP(B263,'Thống kê'!$C$3:$D$669,2,0)</f>
        <v>miếng dán silicon điện thoại</v>
      </c>
      <c r="D263" s="166" t="e">
        <f>VLOOKUP(B263,'Danh mục hàng hóa'!$C$3:$M$656,6,0)</f>
        <v>#N/A</v>
      </c>
      <c r="E263" s="167">
        <v>1</v>
      </c>
      <c r="F263" s="168" t="e">
        <f t="shared" si="1"/>
        <v>#N/A</v>
      </c>
      <c r="G263" s="144"/>
      <c r="H263" s="372"/>
    </row>
    <row r="264" spans="1:8" ht="13.2">
      <c r="A264" s="183"/>
      <c r="B264" s="28" t="s">
        <v>138</v>
      </c>
      <c r="C264" s="143" t="str">
        <f>VLOOKUP(B264,'Thống kê'!$C$3:$D$669,2,0)</f>
        <v>Móc khoá Crybaby mini Popmart</v>
      </c>
      <c r="D264" s="166" t="e">
        <f>VLOOKUP(B264,'Danh mục hàng hóa'!$C$3:$M$656,6,0)</f>
        <v>#N/A</v>
      </c>
      <c r="E264" s="167">
        <v>1</v>
      </c>
      <c r="F264" s="168" t="e">
        <f t="shared" si="1"/>
        <v>#N/A</v>
      </c>
      <c r="G264" s="144"/>
      <c r="H264" s="402">
        <v>82820</v>
      </c>
    </row>
    <row r="265" spans="1:8" ht="13.2">
      <c r="A265" s="183"/>
      <c r="B265" s="28" t="s">
        <v>1382</v>
      </c>
      <c r="C265" s="143" t="str">
        <f>VLOOKUP(B265,'Thống kê'!$C$3:$D$669,2,0)</f>
        <v>miếng dán silicon điện thoại</v>
      </c>
      <c r="D265" s="166" t="e">
        <f>VLOOKUP(B265,'Danh mục hàng hóa'!$C$3:$M$656,6,0)</f>
        <v>#N/A</v>
      </c>
      <c r="E265" s="167">
        <v>1</v>
      </c>
      <c r="F265" s="168" t="e">
        <f t="shared" si="1"/>
        <v>#N/A</v>
      </c>
      <c r="G265" s="144"/>
      <c r="H265" s="372"/>
    </row>
    <row r="266" spans="1:8" ht="13.2">
      <c r="A266" s="184">
        <v>45671</v>
      </c>
      <c r="B266" s="28" t="s">
        <v>1710</v>
      </c>
      <c r="C266" s="143" t="str">
        <f>VLOOKUP(B266,'Thống kê'!$C$3:$D$669,2,0)</f>
        <v xml:space="preserve">Bao lì xì </v>
      </c>
      <c r="D266" s="166">
        <f>VLOOKUP(B266,'Danh mục hàng hóa'!$C$3:$M$656,6,0)</f>
        <v>7720</v>
      </c>
      <c r="E266" s="167">
        <v>2</v>
      </c>
      <c r="F266" s="168">
        <f t="shared" si="1"/>
        <v>15440</v>
      </c>
      <c r="G266" s="144"/>
      <c r="H266" s="175">
        <v>79874</v>
      </c>
    </row>
    <row r="267" spans="1:8" ht="13.2">
      <c r="A267" s="183"/>
      <c r="B267" s="28" t="s">
        <v>1710</v>
      </c>
      <c r="C267" s="143" t="str">
        <f>VLOOKUP(B267,'Thống kê'!$C$3:$D$669,2,0)</f>
        <v xml:space="preserve">Bao lì xì </v>
      </c>
      <c r="D267" s="166">
        <f>VLOOKUP(B267,'Danh mục hàng hóa'!$C$3:$M$656,6,0)</f>
        <v>7720</v>
      </c>
      <c r="E267" s="167">
        <v>1</v>
      </c>
      <c r="F267" s="168">
        <f t="shared" si="1"/>
        <v>7720</v>
      </c>
      <c r="G267" s="144"/>
      <c r="H267" s="175">
        <v>38537</v>
      </c>
    </row>
    <row r="268" spans="1:8" ht="13.2">
      <c r="A268" s="183"/>
      <c r="B268" s="28" t="s">
        <v>1708</v>
      </c>
      <c r="C268" s="143" t="str">
        <f>VLOOKUP(B268,'Thống kê'!$C$3:$D$669,2,0)</f>
        <v xml:space="preserve">Bao lì xì </v>
      </c>
      <c r="D268" s="166">
        <f>VLOOKUP(B268,'Danh mục hàng hóa'!$C$3:$M$656,6,0)</f>
        <v>7720</v>
      </c>
      <c r="E268" s="167">
        <v>4</v>
      </c>
      <c r="F268" s="168">
        <f t="shared" si="1"/>
        <v>30880</v>
      </c>
      <c r="G268" s="144"/>
      <c r="H268" s="175">
        <v>28439</v>
      </c>
    </row>
    <row r="269" spans="1:8" ht="13.2">
      <c r="A269" s="183"/>
      <c r="B269" s="28" t="s">
        <v>186</v>
      </c>
      <c r="C269" s="143" t="str">
        <f>VLOOKUP(B269,'Thống kê'!$C$3:$D$669,2,0)</f>
        <v>Thỏ ú bay</v>
      </c>
      <c r="D269" s="166">
        <f>VLOOKUP(B269,'Danh mục hàng hóa'!$C$3:$M$656,6,0)</f>
        <v>61275</v>
      </c>
      <c r="E269" s="167">
        <v>1</v>
      </c>
      <c r="F269" s="168">
        <f t="shared" si="1"/>
        <v>61275</v>
      </c>
      <c r="G269" s="144"/>
      <c r="H269" s="175">
        <v>56256</v>
      </c>
    </row>
    <row r="270" spans="1:8" ht="13.2">
      <c r="A270" s="183"/>
      <c r="B270" s="28" t="s">
        <v>1706</v>
      </c>
      <c r="C270" s="143" t="str">
        <f>VLOOKUP(B270,'Thống kê'!$C$3:$D$669,2,0)</f>
        <v>Bao lì xì</v>
      </c>
      <c r="D270" s="166">
        <f>VLOOKUP(B270,'Danh mục hàng hóa'!$C$3:$M$656,6,0)</f>
        <v>14500</v>
      </c>
      <c r="E270" s="167">
        <v>3</v>
      </c>
      <c r="F270" s="168">
        <f t="shared" si="1"/>
        <v>43500</v>
      </c>
      <c r="G270" s="144"/>
      <c r="H270" s="402">
        <v>88150</v>
      </c>
    </row>
    <row r="271" spans="1:8" ht="13.2">
      <c r="A271" s="183"/>
      <c r="B271" s="28" t="s">
        <v>1707</v>
      </c>
      <c r="C271" s="143" t="str">
        <f>VLOOKUP(B271,'Thống kê'!$C$3:$D$669,2,0)</f>
        <v xml:space="preserve">Bao lì xì </v>
      </c>
      <c r="D271" s="166">
        <f>VLOOKUP(B271,'Danh mục hàng hóa'!$C$3:$M$656,6,0)</f>
        <v>14500</v>
      </c>
      <c r="E271" s="167">
        <v>1</v>
      </c>
      <c r="F271" s="168">
        <f t="shared" si="1"/>
        <v>14500</v>
      </c>
      <c r="G271" s="144"/>
      <c r="H271" s="372"/>
    </row>
    <row r="272" spans="1:8" ht="13.2">
      <c r="A272" s="183"/>
      <c r="B272" s="28" t="s">
        <v>1707</v>
      </c>
      <c r="C272" s="143" t="str">
        <f>VLOOKUP(B272,'Thống kê'!$C$3:$D$669,2,0)</f>
        <v xml:space="preserve">Bao lì xì </v>
      </c>
      <c r="D272" s="166">
        <f>VLOOKUP(B272,'Danh mục hàng hóa'!$C$3:$M$656,6,0)</f>
        <v>14500</v>
      </c>
      <c r="E272" s="167">
        <v>4</v>
      </c>
      <c r="F272" s="168">
        <f t="shared" si="1"/>
        <v>58000</v>
      </c>
      <c r="G272" s="144"/>
      <c r="H272" s="372"/>
    </row>
    <row r="273" spans="1:8" ht="13.2">
      <c r="A273" s="183"/>
      <c r="B273" s="28" t="s">
        <v>1706</v>
      </c>
      <c r="C273" s="143" t="str">
        <f>VLOOKUP(B273,'Thống kê'!$C$3:$D$669,2,0)</f>
        <v>Bao lì xì</v>
      </c>
      <c r="D273" s="166">
        <f>VLOOKUP(B273,'Danh mục hàng hóa'!$C$3:$M$656,6,0)</f>
        <v>14500</v>
      </c>
      <c r="E273" s="167">
        <v>3</v>
      </c>
      <c r="F273" s="168">
        <f t="shared" si="1"/>
        <v>43500</v>
      </c>
      <c r="G273" s="144"/>
      <c r="H273" s="372"/>
    </row>
    <row r="274" spans="1:8" ht="13.2">
      <c r="A274" s="183"/>
      <c r="B274" s="28" t="s">
        <v>115</v>
      </c>
      <c r="C274" s="143" t="str">
        <f>VLOOKUP(B274,'Thống kê'!$C$3:$D$669,2,0)</f>
        <v>Heo ú</v>
      </c>
      <c r="D274" s="166">
        <f>VLOOKUP(B274,'Danh mục hàng hóa'!$C$3:$M$656,6,0)</f>
        <v>61275</v>
      </c>
      <c r="E274" s="167">
        <v>1</v>
      </c>
      <c r="F274" s="168">
        <f t="shared" si="1"/>
        <v>61275</v>
      </c>
      <c r="G274" s="144"/>
      <c r="H274" s="175">
        <v>45311</v>
      </c>
    </row>
    <row r="275" spans="1:8" ht="13.2">
      <c r="A275" s="183"/>
      <c r="B275" s="28" t="s">
        <v>1401</v>
      </c>
      <c r="C275" s="143" t="str">
        <f>VLOOKUP(B275,'Thống kê'!$C$3:$D$669,2,0)</f>
        <v>Móc khoá Dimoo size mini (hàng remake)</v>
      </c>
      <c r="D275" s="166" t="e">
        <f>VLOOKUP(B275,'Danh mục hàng hóa'!$C$3:$M$656,6,0)</f>
        <v>#N/A</v>
      </c>
      <c r="E275" s="167">
        <v>1</v>
      </c>
      <c r="F275" s="168" t="e">
        <f t="shared" si="1"/>
        <v>#N/A</v>
      </c>
      <c r="G275" s="144"/>
      <c r="H275" s="402">
        <v>203688</v>
      </c>
    </row>
    <row r="276" spans="1:8" ht="13.2">
      <c r="A276" s="183"/>
      <c r="B276" s="28" t="s">
        <v>245</v>
      </c>
      <c r="C276" s="143" t="str">
        <f>VLOOKUP(B276,'Thống kê'!$C$3:$D$669,2,0)</f>
        <v>Móc khóa Popbean</v>
      </c>
      <c r="D276" s="166" t="e">
        <f>VLOOKUP(B276,'Danh mục hàng hóa'!$C$3:$M$656,6,0)</f>
        <v>#N/A</v>
      </c>
      <c r="E276" s="167">
        <v>1</v>
      </c>
      <c r="F276" s="168" t="e">
        <f t="shared" si="1"/>
        <v>#N/A</v>
      </c>
      <c r="G276" s="144"/>
      <c r="H276" s="372"/>
    </row>
    <row r="277" spans="1:8" ht="13.2">
      <c r="A277" s="183"/>
      <c r="B277" s="28" t="s">
        <v>1382</v>
      </c>
      <c r="C277" s="143" t="str">
        <f>VLOOKUP(B277,'Thống kê'!$C$3:$D$669,2,0)</f>
        <v>miếng dán silicon điện thoại</v>
      </c>
      <c r="D277" s="166" t="e">
        <f>VLOOKUP(B277,'Danh mục hàng hóa'!$C$3:$M$656,6,0)</f>
        <v>#N/A</v>
      </c>
      <c r="E277" s="167">
        <v>1</v>
      </c>
      <c r="F277" s="168" t="e">
        <f t="shared" si="1"/>
        <v>#N/A</v>
      </c>
      <c r="G277" s="144"/>
      <c r="H277" s="372"/>
    </row>
    <row r="278" spans="1:8" ht="13.2">
      <c r="A278" s="183"/>
      <c r="B278" s="28" t="s">
        <v>1703</v>
      </c>
      <c r="C278" s="143">
        <f>VLOOKUP(B278,'Thống kê'!$C$3:$D$669,2,0)</f>
        <v>0</v>
      </c>
      <c r="D278" s="166" t="e">
        <f>VLOOKUP(B278,'Danh mục hàng hóa'!$C$3:$M$656,6,0)</f>
        <v>#N/A</v>
      </c>
      <c r="E278" s="167">
        <v>1</v>
      </c>
      <c r="F278" s="168" t="e">
        <f t="shared" si="1"/>
        <v>#N/A</v>
      </c>
      <c r="G278" s="144"/>
      <c r="H278" s="403">
        <v>107420</v>
      </c>
    </row>
    <row r="279" spans="1:8" ht="13.2">
      <c r="A279" s="183"/>
      <c r="B279" s="28" t="s">
        <v>1382</v>
      </c>
      <c r="C279" s="143" t="str">
        <f>VLOOKUP(B279,'Thống kê'!$C$3:$D$669,2,0)</f>
        <v>miếng dán silicon điện thoại</v>
      </c>
      <c r="D279" s="166" t="e">
        <f>VLOOKUP(B279,'Danh mục hàng hóa'!$C$3:$M$656,6,0)</f>
        <v>#N/A</v>
      </c>
      <c r="E279" s="167">
        <v>1</v>
      </c>
      <c r="F279" s="168" t="e">
        <f t="shared" si="1"/>
        <v>#N/A</v>
      </c>
      <c r="G279" s="144"/>
      <c r="H279" s="372"/>
    </row>
    <row r="280" spans="1:8" ht="13.2">
      <c r="A280" s="183"/>
      <c r="B280" s="28" t="s">
        <v>1382</v>
      </c>
      <c r="C280" s="143" t="str">
        <f>VLOOKUP(B280,'Thống kê'!$C$3:$D$669,2,0)</f>
        <v>miếng dán silicon điện thoại</v>
      </c>
      <c r="D280" s="166" t="e">
        <f>VLOOKUP(B280,'Danh mục hàng hóa'!$C$3:$M$656,6,0)</f>
        <v>#N/A</v>
      </c>
      <c r="E280" s="167">
        <v>1</v>
      </c>
      <c r="F280" s="168" t="e">
        <f t="shared" si="1"/>
        <v>#N/A</v>
      </c>
      <c r="G280" s="144"/>
      <c r="H280" s="402">
        <v>174768</v>
      </c>
    </row>
    <row r="281" spans="1:8" ht="13.2">
      <c r="A281" s="183"/>
      <c r="B281" s="28" t="s">
        <v>258</v>
      </c>
      <c r="C281" s="143" t="str">
        <f>VLOOKUP(B281,'Thống kê'!$C$3:$D$669,2,0)</f>
        <v>Móc khoá Crybaby mini Popmart</v>
      </c>
      <c r="D281" s="166" t="e">
        <f>VLOOKUP(B281,'Danh mục hàng hóa'!$C$3:$M$656,6,0)</f>
        <v>#N/A</v>
      </c>
      <c r="E281" s="167">
        <v>1</v>
      </c>
      <c r="F281" s="168" t="e">
        <f t="shared" si="1"/>
        <v>#N/A</v>
      </c>
      <c r="G281" s="144"/>
      <c r="H281" s="372"/>
    </row>
    <row r="282" spans="1:8" ht="13.2">
      <c r="A282" s="183"/>
      <c r="B282" s="28" t="s">
        <v>138</v>
      </c>
      <c r="C282" s="143" t="str">
        <f>VLOOKUP(B282,'Thống kê'!$C$3:$D$669,2,0)</f>
        <v>Móc khoá Crybaby mini Popmart</v>
      </c>
      <c r="D282" s="166" t="e">
        <f>VLOOKUP(B282,'Danh mục hàng hóa'!$C$3:$M$656,6,0)</f>
        <v>#N/A</v>
      </c>
      <c r="E282" s="167">
        <v>1</v>
      </c>
      <c r="F282" s="168" t="e">
        <f t="shared" si="1"/>
        <v>#N/A</v>
      </c>
      <c r="G282" s="144"/>
      <c r="H282" s="372"/>
    </row>
    <row r="283" spans="1:8" ht="13.2">
      <c r="A283" s="183"/>
      <c r="B283" s="28" t="s">
        <v>1382</v>
      </c>
      <c r="C283" s="143" t="str">
        <f>VLOOKUP(B283,'Thống kê'!$C$3:$D$669,2,0)</f>
        <v>miếng dán silicon điện thoại</v>
      </c>
      <c r="D283" s="166" t="e">
        <f>VLOOKUP(B283,'Danh mục hàng hóa'!$C$3:$M$656,6,0)</f>
        <v>#N/A</v>
      </c>
      <c r="E283" s="167">
        <v>1</v>
      </c>
      <c r="F283" s="168" t="e">
        <f t="shared" si="1"/>
        <v>#N/A</v>
      </c>
      <c r="G283" s="144"/>
      <c r="H283" s="373"/>
    </row>
    <row r="284" spans="1:8" ht="13.2">
      <c r="A284" s="183"/>
      <c r="B284" s="28" t="s">
        <v>1659</v>
      </c>
      <c r="C284" s="143" t="str">
        <f>VLOOKUP(B284,'Thống kê'!$C$3:$D$669,2,0)</f>
        <v>Móc khóa Popbean Molly</v>
      </c>
      <c r="D284" s="166" t="e">
        <f>VLOOKUP(B284,'Danh mục hàng hóa'!$C$3:$M$656,6,0)</f>
        <v>#N/A</v>
      </c>
      <c r="E284" s="167">
        <v>1</v>
      </c>
      <c r="F284" s="168" t="e">
        <f t="shared" si="1"/>
        <v>#N/A</v>
      </c>
      <c r="G284" s="144"/>
      <c r="H284" s="403">
        <v>165214</v>
      </c>
    </row>
    <row r="285" spans="1:8" ht="13.2">
      <c r="A285" s="183"/>
      <c r="B285" s="28" t="s">
        <v>107</v>
      </c>
      <c r="C285" s="143">
        <f>VLOOKUP(B285,'Thống kê'!$C$3:$D$669,2,0)</f>
        <v>0</v>
      </c>
      <c r="D285" s="166" t="e">
        <f>VLOOKUP(B285,'Danh mục hàng hóa'!$C$3:$M$656,6,0)</f>
        <v>#N/A</v>
      </c>
      <c r="E285" s="167">
        <v>1</v>
      </c>
      <c r="F285" s="168" t="e">
        <f t="shared" si="1"/>
        <v>#N/A</v>
      </c>
      <c r="G285" s="144"/>
      <c r="H285" s="372"/>
    </row>
    <row r="286" spans="1:8" ht="13.2">
      <c r="A286" s="183"/>
      <c r="B286" s="28" t="s">
        <v>1382</v>
      </c>
      <c r="C286" s="143" t="str">
        <f>VLOOKUP(B286,'Thống kê'!$C$3:$D$669,2,0)</f>
        <v>miếng dán silicon điện thoại</v>
      </c>
      <c r="D286" s="166" t="e">
        <f>VLOOKUP(B286,'Danh mục hàng hóa'!$C$3:$M$656,6,0)</f>
        <v>#N/A</v>
      </c>
      <c r="E286" s="167">
        <v>1</v>
      </c>
      <c r="F286" s="168" t="e">
        <f t="shared" si="1"/>
        <v>#N/A</v>
      </c>
      <c r="G286" s="144"/>
      <c r="H286" s="373"/>
    </row>
    <row r="287" spans="1:8" ht="13.2">
      <c r="A287" s="183"/>
      <c r="B287" s="28" t="s">
        <v>1382</v>
      </c>
      <c r="C287" s="143" t="str">
        <f>VLOOKUP(B287,'Thống kê'!$C$3:$D$669,2,0)</f>
        <v>miếng dán silicon điện thoại</v>
      </c>
      <c r="D287" s="166" t="e">
        <f>VLOOKUP(B287,'Danh mục hàng hóa'!$C$3:$M$656,6,0)</f>
        <v>#N/A</v>
      </c>
      <c r="E287" s="167">
        <v>2</v>
      </c>
      <c r="F287" s="168" t="e">
        <f t="shared" si="1"/>
        <v>#N/A</v>
      </c>
      <c r="G287" s="144"/>
      <c r="H287" s="178">
        <v>4057</v>
      </c>
    </row>
    <row r="288" spans="1:8" ht="13.2">
      <c r="A288" s="183"/>
      <c r="B288" s="28" t="s">
        <v>1365</v>
      </c>
      <c r="C288" s="143" t="str">
        <f>VLOOKUP(B288,'Thống kê'!$C$3:$D$669,2,0)</f>
        <v>Móc khóa Popbean</v>
      </c>
      <c r="D288" s="166" t="e">
        <f>VLOOKUP(B288,'Danh mục hàng hóa'!$C$3:$M$656,6,0)</f>
        <v>#N/A</v>
      </c>
      <c r="E288" s="167">
        <v>1</v>
      </c>
      <c r="F288" s="168" t="e">
        <f t="shared" si="1"/>
        <v>#N/A</v>
      </c>
      <c r="G288" s="144"/>
      <c r="H288" s="175">
        <v>107420</v>
      </c>
    </row>
    <row r="289" spans="1:8" ht="13.2">
      <c r="A289" s="183"/>
      <c r="B289" s="28" t="s">
        <v>1382</v>
      </c>
      <c r="C289" s="143" t="str">
        <f>VLOOKUP(B289,'Thống kê'!$C$3:$D$669,2,0)</f>
        <v>miếng dán silicon điện thoại</v>
      </c>
      <c r="D289" s="166" t="e">
        <f>VLOOKUP(B289,'Danh mục hàng hóa'!$C$3:$M$656,6,0)</f>
        <v>#N/A</v>
      </c>
      <c r="E289" s="167">
        <v>1</v>
      </c>
      <c r="F289" s="168" t="e">
        <f t="shared" si="1"/>
        <v>#N/A</v>
      </c>
      <c r="G289" s="144"/>
      <c r="H289" s="175"/>
    </row>
    <row r="290" spans="1:8" ht="13.2">
      <c r="A290" s="183"/>
      <c r="B290" s="28" t="s">
        <v>115</v>
      </c>
      <c r="C290" s="143" t="str">
        <f>VLOOKUP(B290,'Thống kê'!$C$3:$D$669,2,0)</f>
        <v>Heo ú</v>
      </c>
      <c r="D290" s="166">
        <f>VLOOKUP(B290,'Danh mục hàng hóa'!$C$3:$M$656,6,0)</f>
        <v>61275</v>
      </c>
      <c r="E290" s="167">
        <v>-1</v>
      </c>
      <c r="F290" s="168">
        <f t="shared" si="1"/>
        <v>-61275</v>
      </c>
      <c r="G290" s="144"/>
      <c r="H290" s="175">
        <v>-45311</v>
      </c>
    </row>
    <row r="291" spans="1:8" ht="13.2">
      <c r="A291" s="183"/>
      <c r="B291" s="28" t="s">
        <v>1710</v>
      </c>
      <c r="C291" s="143" t="str">
        <f>VLOOKUP(B291,'Thống kê'!$C$3:$D$669,2,0)</f>
        <v xml:space="preserve">Bao lì xì </v>
      </c>
      <c r="D291" s="166">
        <f>VLOOKUP(B291,'Danh mục hàng hóa'!$C$3:$M$656,6,0)</f>
        <v>7720</v>
      </c>
      <c r="E291" s="167">
        <v>2</v>
      </c>
      <c r="F291" s="168">
        <f t="shared" si="1"/>
        <v>15440</v>
      </c>
      <c r="G291" s="144"/>
      <c r="H291" s="402">
        <v>121934</v>
      </c>
    </row>
    <row r="292" spans="1:8" ht="13.2">
      <c r="A292" s="183"/>
      <c r="B292" s="28" t="s">
        <v>1707</v>
      </c>
      <c r="C292" s="143" t="str">
        <f>VLOOKUP(B292,'Thống kê'!$C$3:$D$669,2,0)</f>
        <v xml:space="preserve">Bao lì xì </v>
      </c>
      <c r="D292" s="166">
        <f>VLOOKUP(B292,'Danh mục hàng hóa'!$C$3:$M$656,6,0)</f>
        <v>14500</v>
      </c>
      <c r="E292" s="167">
        <v>4</v>
      </c>
      <c r="F292" s="168">
        <f t="shared" si="1"/>
        <v>58000</v>
      </c>
      <c r="G292" s="144"/>
      <c r="H292" s="372"/>
    </row>
    <row r="293" spans="1:8" ht="13.2">
      <c r="A293" s="183"/>
      <c r="B293" s="28" t="s">
        <v>1707</v>
      </c>
      <c r="C293" s="143" t="str">
        <f>VLOOKUP(B293,'Thống kê'!$C$3:$D$669,2,0)</f>
        <v xml:space="preserve">Bao lì xì </v>
      </c>
      <c r="D293" s="166">
        <f>VLOOKUP(B293,'Danh mục hàng hóa'!$C$3:$M$656,6,0)</f>
        <v>14500</v>
      </c>
      <c r="E293" s="167">
        <v>1</v>
      </c>
      <c r="F293" s="168">
        <f t="shared" si="1"/>
        <v>14500</v>
      </c>
      <c r="G293" s="144"/>
      <c r="H293" s="372"/>
    </row>
    <row r="294" spans="1:8" ht="13.2">
      <c r="A294" s="183"/>
      <c r="B294" s="28" t="s">
        <v>116</v>
      </c>
      <c r="C294" s="143" t="str">
        <f>VLOOKUP(B294,'Thống kê'!$C$3:$D$669,2,0)</f>
        <v>heo ú cầm hoa</v>
      </c>
      <c r="D294" s="166" t="e">
        <f>VLOOKUP(B294,'Danh mục hàng hóa'!$C$3:$M$656,6,0)</f>
        <v>#N/A</v>
      </c>
      <c r="E294" s="167">
        <v>1</v>
      </c>
      <c r="F294" s="168" t="e">
        <f t="shared" si="1"/>
        <v>#N/A</v>
      </c>
      <c r="G294" s="144"/>
      <c r="H294" s="175">
        <v>56056</v>
      </c>
    </row>
    <row r="295" spans="1:8" ht="13.2">
      <c r="A295" s="183"/>
      <c r="B295" s="28" t="s">
        <v>1710</v>
      </c>
      <c r="C295" s="143" t="str">
        <f>VLOOKUP(B295,'Thống kê'!$C$3:$D$669,2,0)</f>
        <v xml:space="preserve">Bao lì xì </v>
      </c>
      <c r="D295" s="166">
        <f>VLOOKUP(B295,'Danh mục hàng hóa'!$C$3:$M$656,6,0)</f>
        <v>7720</v>
      </c>
      <c r="E295" s="167">
        <v>2</v>
      </c>
      <c r="F295" s="168">
        <f t="shared" si="1"/>
        <v>15440</v>
      </c>
      <c r="G295" s="144"/>
      <c r="H295" s="175">
        <v>80349</v>
      </c>
    </row>
    <row r="296" spans="1:8" ht="13.2">
      <c r="A296" s="183"/>
      <c r="B296" s="28" t="s">
        <v>1706</v>
      </c>
      <c r="C296" s="143" t="str">
        <f>VLOOKUP(B296,'Thống kê'!$C$3:$D$669,2,0)</f>
        <v>Bao lì xì</v>
      </c>
      <c r="D296" s="166">
        <f>VLOOKUP(B296,'Danh mục hàng hóa'!$C$3:$M$656,6,0)</f>
        <v>14500</v>
      </c>
      <c r="E296" s="167">
        <v>4</v>
      </c>
      <c r="F296" s="168">
        <f t="shared" si="1"/>
        <v>58000</v>
      </c>
      <c r="G296" s="144"/>
      <c r="H296" s="402">
        <v>67330</v>
      </c>
    </row>
    <row r="297" spans="1:8" ht="13.2">
      <c r="A297" s="183"/>
      <c r="B297" s="28" t="s">
        <v>1706</v>
      </c>
      <c r="C297" s="143" t="str">
        <f>VLOOKUP(B297,'Thống kê'!$C$3:$D$669,2,0)</f>
        <v>Bao lì xì</v>
      </c>
      <c r="D297" s="166">
        <f>VLOOKUP(B297,'Danh mục hàng hóa'!$C$3:$M$656,6,0)</f>
        <v>14500</v>
      </c>
      <c r="E297" s="167">
        <v>1</v>
      </c>
      <c r="F297" s="168">
        <f t="shared" si="1"/>
        <v>14500</v>
      </c>
      <c r="G297" s="144"/>
      <c r="H297" s="372"/>
    </row>
    <row r="298" spans="1:8" ht="13.2">
      <c r="A298" s="183"/>
      <c r="B298" s="28" t="s">
        <v>1708</v>
      </c>
      <c r="C298" s="143" t="str">
        <f>VLOOKUP(B298,'Thống kê'!$C$3:$D$669,2,0)</f>
        <v xml:space="preserve">Bao lì xì </v>
      </c>
      <c r="D298" s="166">
        <f>VLOOKUP(B298,'Danh mục hàng hóa'!$C$3:$M$656,6,0)</f>
        <v>7720</v>
      </c>
      <c r="E298" s="167">
        <v>2</v>
      </c>
      <c r="F298" s="168">
        <f t="shared" si="1"/>
        <v>15440</v>
      </c>
      <c r="G298" s="144"/>
      <c r="H298" s="372"/>
    </row>
    <row r="299" spans="1:8" ht="13.2">
      <c r="A299" s="183"/>
      <c r="B299" s="28" t="s">
        <v>1384</v>
      </c>
      <c r="C299" s="143" t="str">
        <f>VLOOKUP(B299,'Thống kê'!$C$3:$D$669,2,0)</f>
        <v>Móc khoá Crybaby mini Popmart</v>
      </c>
      <c r="D299" s="166" t="e">
        <f>VLOOKUP(B299,'Danh mục hàng hóa'!$C$3:$M$656,6,0)</f>
        <v>#N/A</v>
      </c>
      <c r="E299" s="167">
        <v>1</v>
      </c>
      <c r="F299" s="168" t="e">
        <f t="shared" si="1"/>
        <v>#N/A</v>
      </c>
      <c r="G299" s="144"/>
      <c r="H299" s="402">
        <v>82820</v>
      </c>
    </row>
    <row r="300" spans="1:8" ht="13.2">
      <c r="A300" s="183"/>
      <c r="B300" s="28" t="s">
        <v>1382</v>
      </c>
      <c r="C300" s="143" t="str">
        <f>VLOOKUP(B300,'Thống kê'!$C$3:$D$669,2,0)</f>
        <v>miếng dán silicon điện thoại</v>
      </c>
      <c r="D300" s="166" t="e">
        <f>VLOOKUP(B300,'Danh mục hàng hóa'!$C$3:$M$656,6,0)</f>
        <v>#N/A</v>
      </c>
      <c r="E300" s="167">
        <v>1</v>
      </c>
      <c r="F300" s="168" t="e">
        <f t="shared" si="1"/>
        <v>#N/A</v>
      </c>
      <c r="G300" s="144"/>
      <c r="H300" s="372"/>
    </row>
    <row r="301" spans="1:8" ht="13.2">
      <c r="A301" s="184">
        <v>45672</v>
      </c>
      <c r="B301" s="28" t="s">
        <v>1710</v>
      </c>
      <c r="C301" s="143" t="str">
        <f>VLOOKUP(B301,'Thống kê'!$C$3:$D$669,2,0)</f>
        <v xml:space="preserve">Bao lì xì </v>
      </c>
      <c r="D301" s="166">
        <f>VLOOKUP(B301,'Danh mục hàng hóa'!$C$3:$M$656,6,0)</f>
        <v>7720</v>
      </c>
      <c r="E301" s="167">
        <v>1</v>
      </c>
      <c r="F301" s="168">
        <f t="shared" si="1"/>
        <v>7720</v>
      </c>
      <c r="G301" s="144"/>
      <c r="H301" s="175">
        <v>39112</v>
      </c>
    </row>
    <row r="302" spans="1:8" ht="13.2">
      <c r="A302" s="183"/>
      <c r="B302" s="28" t="s">
        <v>1710</v>
      </c>
      <c r="C302" s="143" t="str">
        <f>VLOOKUP(B302,'Thống kê'!$C$3:$D$669,2,0)</f>
        <v xml:space="preserve">Bao lì xì </v>
      </c>
      <c r="D302" s="166">
        <f>VLOOKUP(B302,'Danh mục hàng hóa'!$C$3:$M$656,6,0)</f>
        <v>7720</v>
      </c>
      <c r="E302" s="167">
        <v>1</v>
      </c>
      <c r="F302" s="168">
        <f t="shared" si="1"/>
        <v>7720</v>
      </c>
      <c r="G302" s="144"/>
      <c r="H302" s="175">
        <v>38537</v>
      </c>
    </row>
    <row r="303" spans="1:8" ht="13.2">
      <c r="A303" s="183"/>
      <c r="B303" s="28" t="s">
        <v>1707</v>
      </c>
      <c r="C303" s="143" t="str">
        <f>VLOOKUP(B303,'Thống kê'!$C$3:$D$669,2,0)</f>
        <v xml:space="preserve">Bao lì xì </v>
      </c>
      <c r="D303" s="166">
        <f>VLOOKUP(B303,'Danh mục hàng hóa'!$C$3:$M$656,6,0)</f>
        <v>14500</v>
      </c>
      <c r="E303" s="167">
        <v>4</v>
      </c>
      <c r="F303" s="168">
        <f t="shared" si="1"/>
        <v>58000</v>
      </c>
      <c r="G303" s="144"/>
      <c r="H303" s="402">
        <v>96924</v>
      </c>
    </row>
    <row r="304" spans="1:8" ht="13.2">
      <c r="A304" s="183"/>
      <c r="B304" s="28" t="s">
        <v>1706</v>
      </c>
      <c r="C304" s="143" t="str">
        <f>VLOOKUP(B304,'Thống kê'!$C$3:$D$669,2,0)</f>
        <v>Bao lì xì</v>
      </c>
      <c r="D304" s="166">
        <f>VLOOKUP(B304,'Danh mục hàng hóa'!$C$3:$M$656,6,0)</f>
        <v>14500</v>
      </c>
      <c r="E304" s="167">
        <v>4</v>
      </c>
      <c r="F304" s="168">
        <f t="shared" si="1"/>
        <v>58000</v>
      </c>
      <c r="G304" s="144"/>
      <c r="H304" s="372"/>
    </row>
    <row r="305" spans="1:8" ht="13.2">
      <c r="A305" s="183"/>
      <c r="B305" s="28" t="s">
        <v>1708</v>
      </c>
      <c r="C305" s="143" t="str">
        <f>VLOOKUP(B305,'Thống kê'!$C$3:$D$669,2,0)</f>
        <v xml:space="preserve">Bao lì xì </v>
      </c>
      <c r="D305" s="166">
        <f>VLOOKUP(B305,'Danh mục hàng hóa'!$C$3:$M$656,6,0)</f>
        <v>7720</v>
      </c>
      <c r="E305" s="167">
        <v>4</v>
      </c>
      <c r="F305" s="168">
        <f t="shared" si="1"/>
        <v>30880</v>
      </c>
      <c r="G305" s="144"/>
      <c r="H305" s="372"/>
    </row>
    <row r="306" spans="1:8" ht="13.2">
      <c r="A306" s="183"/>
      <c r="B306" s="28" t="s">
        <v>1708</v>
      </c>
      <c r="C306" s="143" t="str">
        <f>VLOOKUP(B306,'Thống kê'!$C$3:$D$669,2,0)</f>
        <v xml:space="preserve">Bao lì xì </v>
      </c>
      <c r="D306" s="166">
        <f>VLOOKUP(B306,'Danh mục hàng hóa'!$C$3:$M$656,6,0)</f>
        <v>7720</v>
      </c>
      <c r="E306" s="167">
        <v>1</v>
      </c>
      <c r="F306" s="168">
        <f t="shared" si="1"/>
        <v>7720</v>
      </c>
      <c r="G306" s="144"/>
      <c r="H306" s="373"/>
    </row>
    <row r="307" spans="1:8" ht="13.2">
      <c r="A307" s="183"/>
      <c r="B307" s="28" t="s">
        <v>1600</v>
      </c>
      <c r="C307" s="143" t="str">
        <f>VLOOKUP(B307,'Thống kê'!$C$3:$D$669,2,0)</f>
        <v>Dao rọc giấy 18</v>
      </c>
      <c r="D307" s="166" t="e">
        <f>VLOOKUP(B307,'Danh mục hàng hóa'!$C$3:$M$656,6,0)</f>
        <v>#N/A</v>
      </c>
      <c r="E307" s="167">
        <v>1</v>
      </c>
      <c r="F307" s="168" t="e">
        <f t="shared" si="1"/>
        <v>#N/A</v>
      </c>
      <c r="G307" s="144"/>
      <c r="H307" s="403">
        <v>80000</v>
      </c>
    </row>
    <row r="308" spans="1:8" ht="13.2">
      <c r="A308" s="183"/>
      <c r="B308" s="28" t="s">
        <v>119</v>
      </c>
      <c r="C308" s="143" t="str">
        <f>VLOOKUP(B308,'Thống kê'!$C$3:$D$669,2,0)</f>
        <v>Thỏ chạy xe gắn xe</v>
      </c>
      <c r="D308" s="166">
        <f>VLOOKUP(B308,'Danh mục hàng hóa'!$C$3:$M$656,6,0)</f>
        <v>59340</v>
      </c>
      <c r="E308" s="167">
        <v>1</v>
      </c>
      <c r="F308" s="168">
        <f t="shared" si="1"/>
        <v>59340</v>
      </c>
      <c r="G308" s="144"/>
      <c r="H308" s="372"/>
    </row>
    <row r="309" spans="1:8" ht="13.2">
      <c r="A309" s="183"/>
      <c r="B309" s="28" t="s">
        <v>1710</v>
      </c>
      <c r="C309" s="143" t="str">
        <f>VLOOKUP(B309,'Thống kê'!$C$3:$D$669,2,0)</f>
        <v xml:space="preserve">Bao lì xì </v>
      </c>
      <c r="D309" s="166">
        <f>VLOOKUP(B309,'Danh mục hàng hóa'!$C$3:$M$656,6,0)</f>
        <v>7720</v>
      </c>
      <c r="E309" s="167">
        <v>1</v>
      </c>
      <c r="F309" s="168">
        <f t="shared" si="1"/>
        <v>7720</v>
      </c>
      <c r="G309" s="144"/>
      <c r="H309" s="372"/>
    </row>
    <row r="310" spans="1:8" ht="13.2">
      <c r="A310" s="183"/>
      <c r="B310" s="28" t="s">
        <v>1707</v>
      </c>
      <c r="C310" s="143" t="str">
        <f>VLOOKUP(B310,'Thống kê'!$C$3:$D$669,2,0)</f>
        <v xml:space="preserve">Bao lì xì </v>
      </c>
      <c r="D310" s="166">
        <f>VLOOKUP(B310,'Danh mục hàng hóa'!$C$3:$M$656,6,0)</f>
        <v>14500</v>
      </c>
      <c r="E310" s="167">
        <v>1</v>
      </c>
      <c r="F310" s="168">
        <f t="shared" si="1"/>
        <v>14500</v>
      </c>
      <c r="G310" s="144"/>
      <c r="H310" s="372"/>
    </row>
    <row r="311" spans="1:8" ht="13.2">
      <c r="A311" s="183"/>
      <c r="B311" s="28" t="s">
        <v>1708</v>
      </c>
      <c r="C311" s="143" t="str">
        <f>VLOOKUP(B311,'Thống kê'!$C$3:$D$669,2,0)</f>
        <v xml:space="preserve">Bao lì xì </v>
      </c>
      <c r="D311" s="166">
        <f>VLOOKUP(B311,'Danh mục hàng hóa'!$C$3:$M$656,6,0)</f>
        <v>7720</v>
      </c>
      <c r="E311" s="167">
        <v>1</v>
      </c>
      <c r="F311" s="168">
        <f t="shared" si="1"/>
        <v>7720</v>
      </c>
      <c r="G311" s="144"/>
      <c r="H311" s="373"/>
    </row>
    <row r="312" spans="1:8" ht="13.2">
      <c r="A312" s="183"/>
      <c r="B312" s="28" t="s">
        <v>1710</v>
      </c>
      <c r="C312" s="143" t="str">
        <f>VLOOKUP(B312,'Thống kê'!$C$3:$D$669,2,0)</f>
        <v xml:space="preserve">Bao lì xì </v>
      </c>
      <c r="D312" s="166">
        <f>VLOOKUP(B312,'Danh mục hàng hóa'!$C$3:$M$656,6,0)</f>
        <v>7720</v>
      </c>
      <c r="E312" s="167">
        <v>1</v>
      </c>
      <c r="F312" s="168">
        <f t="shared" si="1"/>
        <v>7720</v>
      </c>
      <c r="G312" s="144"/>
      <c r="H312" s="178">
        <v>38987</v>
      </c>
    </row>
    <row r="313" spans="1:8" ht="13.2">
      <c r="A313" s="183"/>
      <c r="B313" s="28" t="s">
        <v>1705</v>
      </c>
      <c r="C313" s="143" t="str">
        <f>VLOOKUP(B313,'Thống kê'!$C$3:$D$669,2,0)</f>
        <v>Dây treo điện thoại có charm xinh xắn</v>
      </c>
      <c r="D313" s="166" t="e">
        <f>VLOOKUP(B313,'Danh mục hàng hóa'!$C$3:$M$656,6,0)</f>
        <v>#N/A</v>
      </c>
      <c r="E313" s="167">
        <v>1</v>
      </c>
      <c r="F313" s="168" t="e">
        <f t="shared" si="1"/>
        <v>#N/A</v>
      </c>
      <c r="G313" s="144"/>
      <c r="H313" s="176">
        <v>20094</v>
      </c>
    </row>
    <row r="314" spans="1:8" ht="13.2">
      <c r="A314" s="183"/>
      <c r="B314" s="28" t="s">
        <v>1710</v>
      </c>
      <c r="C314" s="143" t="str">
        <f>VLOOKUP(B314,'Thống kê'!$C$3:$D$669,2,0)</f>
        <v xml:space="preserve">Bao lì xì </v>
      </c>
      <c r="D314" s="166">
        <f>VLOOKUP(B314,'Danh mục hàng hóa'!$C$3:$M$656,6,0)</f>
        <v>7720</v>
      </c>
      <c r="E314" s="167">
        <v>2</v>
      </c>
      <c r="F314" s="168">
        <f t="shared" si="1"/>
        <v>15440</v>
      </c>
      <c r="G314" s="144"/>
      <c r="H314" s="178">
        <v>80524</v>
      </c>
    </row>
    <row r="315" spans="1:8" ht="13.2">
      <c r="A315" s="183"/>
      <c r="B315" s="28" t="s">
        <v>1717</v>
      </c>
      <c r="C315" s="143" t="str">
        <f>VLOOKUP(B315,'Thống kê'!$C$3:$D$669,2,0)</f>
        <v>Pop Bean Baked Bread</v>
      </c>
      <c r="D315" s="166" t="e">
        <f>VLOOKUP(B315,'Danh mục hàng hóa'!$C$3:$M$656,6,0)</f>
        <v>#N/A</v>
      </c>
      <c r="E315" s="167">
        <v>1</v>
      </c>
      <c r="F315" s="168" t="e">
        <f t="shared" si="1"/>
        <v>#N/A</v>
      </c>
      <c r="G315" s="144"/>
      <c r="H315" s="176">
        <v>138610</v>
      </c>
    </row>
    <row r="316" spans="1:8" ht="13.2">
      <c r="A316" s="183"/>
      <c r="B316" s="28" t="s">
        <v>1710</v>
      </c>
      <c r="C316" s="143" t="str">
        <f>VLOOKUP(B316,'Thống kê'!$C$3:$D$669,2,0)</f>
        <v xml:space="preserve">Bao lì xì </v>
      </c>
      <c r="D316" s="166">
        <f>VLOOKUP(B316,'Danh mục hàng hóa'!$C$3:$M$656,6,0)</f>
        <v>7720</v>
      </c>
      <c r="E316" s="167">
        <v>1</v>
      </c>
      <c r="F316" s="168">
        <f t="shared" si="1"/>
        <v>7720</v>
      </c>
      <c r="G316" s="144"/>
      <c r="H316" s="177">
        <v>39187</v>
      </c>
    </row>
    <row r="317" spans="1:8" ht="13.2">
      <c r="A317" s="183"/>
      <c r="B317" s="28" t="s">
        <v>1599</v>
      </c>
      <c r="C317" s="143" t="str">
        <f>VLOOKUP(B317,'Thống kê'!$C$3:$D$669,2,0)</f>
        <v>Dao rọc giấy 14</v>
      </c>
      <c r="D317" s="166" t="e">
        <f>VLOOKUP(B317,'Danh mục hàng hóa'!$C$3:$M$656,6,0)</f>
        <v>#N/A</v>
      </c>
      <c r="E317" s="167">
        <v>1</v>
      </c>
      <c r="F317" s="168" t="e">
        <f t="shared" si="1"/>
        <v>#N/A</v>
      </c>
      <c r="G317" s="144"/>
      <c r="H317" s="403">
        <v>49328</v>
      </c>
    </row>
    <row r="318" spans="1:8" ht="13.2">
      <c r="A318" s="185"/>
      <c r="B318" s="28" t="s">
        <v>1783</v>
      </c>
      <c r="C318" s="143" t="str">
        <f>VLOOKUP(B318,'Thống kê'!$C$3:$D$669,2,0)</f>
        <v>Trâm cài 10</v>
      </c>
      <c r="D318" s="166">
        <f>VLOOKUP(B318,'Danh mục hàng hóa'!$C$3:$M$656,6,0)</f>
        <v>8722</v>
      </c>
      <c r="E318" s="167">
        <v>2</v>
      </c>
      <c r="F318" s="168">
        <f t="shared" si="1"/>
        <v>17444</v>
      </c>
      <c r="G318" s="144"/>
      <c r="H318" s="372"/>
    </row>
    <row r="319" spans="1:8" ht="13.2">
      <c r="A319" s="152"/>
      <c r="B319" s="28" t="s">
        <v>1784</v>
      </c>
      <c r="C319" s="143" t="e">
        <f>VLOOKUP(B319,'Thống kê'!$C$3:$D$669,2,0)</f>
        <v>#N/A</v>
      </c>
      <c r="D319" s="166" t="e">
        <f>VLOOKUP(B319,'Danh mục hàng hóa'!$C$3:$M$656,6,0)</f>
        <v>#N/A</v>
      </c>
      <c r="E319" s="167">
        <v>4</v>
      </c>
      <c r="F319" s="168" t="e">
        <f t="shared" si="1"/>
        <v>#N/A</v>
      </c>
      <c r="G319" s="144"/>
      <c r="H319" s="372"/>
    </row>
    <row r="320" spans="1:8" ht="13.2">
      <c r="A320" s="183"/>
      <c r="B320" s="28" t="s">
        <v>1784</v>
      </c>
      <c r="C320" s="143" t="e">
        <f>VLOOKUP(B320,'Thống kê'!$C$3:$D$669,2,0)</f>
        <v>#N/A</v>
      </c>
      <c r="D320" s="166" t="e">
        <f>VLOOKUP(B320,'Danh mục hàng hóa'!$C$3:$M$656,6,0)</f>
        <v>#N/A</v>
      </c>
      <c r="E320" s="167">
        <v>1</v>
      </c>
      <c r="F320" s="168" t="e">
        <f t="shared" si="1"/>
        <v>#N/A</v>
      </c>
      <c r="G320" s="144"/>
      <c r="H320" s="373"/>
    </row>
    <row r="321" spans="1:8" ht="13.2">
      <c r="A321" s="183"/>
      <c r="B321" s="28" t="s">
        <v>1710</v>
      </c>
      <c r="C321" s="143" t="str">
        <f>VLOOKUP(B321,'Thống kê'!$C$3:$D$669,2,0)</f>
        <v xml:space="preserve">Bao lì xì </v>
      </c>
      <c r="D321" s="166">
        <f>VLOOKUP(B321,'Danh mục hàng hóa'!$C$3:$M$656,6,0)</f>
        <v>7720</v>
      </c>
      <c r="E321" s="167">
        <v>1</v>
      </c>
      <c r="F321" s="168">
        <f t="shared" si="1"/>
        <v>7720</v>
      </c>
      <c r="G321" s="144"/>
      <c r="H321" s="175">
        <v>39187</v>
      </c>
    </row>
    <row r="322" spans="1:8" ht="13.2">
      <c r="A322" s="183"/>
      <c r="B322" s="28" t="s">
        <v>186</v>
      </c>
      <c r="C322" s="143" t="str">
        <f>VLOOKUP(B322,'Thống kê'!$C$3:$D$669,2,0)</f>
        <v>Thỏ ú bay</v>
      </c>
      <c r="D322" s="166">
        <f>VLOOKUP(B322,'Danh mục hàng hóa'!$C$3:$M$656,6,0)</f>
        <v>61275</v>
      </c>
      <c r="E322" s="167">
        <v>1</v>
      </c>
      <c r="F322" s="168">
        <f t="shared" si="1"/>
        <v>61275</v>
      </c>
      <c r="G322" s="144"/>
      <c r="H322" s="175">
        <v>56456</v>
      </c>
    </row>
    <row r="323" spans="1:8" ht="13.2">
      <c r="A323" s="183"/>
      <c r="B323" s="28" t="s">
        <v>1710</v>
      </c>
      <c r="C323" s="143" t="str">
        <f>VLOOKUP(B323,'Thống kê'!$C$3:$D$669,2,0)</f>
        <v xml:space="preserve">Bao lì xì </v>
      </c>
      <c r="D323" s="166">
        <f>VLOOKUP(B323,'Danh mục hàng hóa'!$C$3:$M$656,6,0)</f>
        <v>7720</v>
      </c>
      <c r="E323" s="167">
        <v>3</v>
      </c>
      <c r="F323" s="168">
        <f t="shared" si="1"/>
        <v>23160</v>
      </c>
      <c r="G323" s="144"/>
      <c r="H323" s="175">
        <v>124066</v>
      </c>
    </row>
    <row r="324" spans="1:8" ht="13.2">
      <c r="A324" s="183"/>
      <c r="B324" s="28" t="s">
        <v>1709</v>
      </c>
      <c r="C324" s="143" t="str">
        <f>VLOOKUP(B324,'Thống kê'!$C$3:$D$669,2,0)</f>
        <v xml:space="preserve">Bao lì xì </v>
      </c>
      <c r="D324" s="166">
        <f>VLOOKUP(B324,'Danh mục hàng hóa'!$C$3:$M$656,6,0)</f>
        <v>7720</v>
      </c>
      <c r="E324" s="167">
        <v>4</v>
      </c>
      <c r="F324" s="168">
        <f t="shared" si="1"/>
        <v>30880</v>
      </c>
      <c r="G324" s="144"/>
      <c r="H324" s="402">
        <v>42214</v>
      </c>
    </row>
    <row r="325" spans="1:8" ht="13.2">
      <c r="A325" s="183"/>
      <c r="B325" s="28" t="s">
        <v>1708</v>
      </c>
      <c r="C325" s="143" t="str">
        <f>VLOOKUP(B325,'Thống kê'!$C$3:$D$669,2,0)</f>
        <v xml:space="preserve">Bao lì xì </v>
      </c>
      <c r="D325" s="166">
        <f>VLOOKUP(B325,'Danh mục hàng hóa'!$C$3:$M$656,6,0)</f>
        <v>7720</v>
      </c>
      <c r="E325" s="167">
        <v>1</v>
      </c>
      <c r="F325" s="168">
        <f t="shared" si="1"/>
        <v>7720</v>
      </c>
      <c r="G325" s="144"/>
      <c r="H325" s="372"/>
    </row>
    <row r="326" spans="1:8" ht="13.2">
      <c r="A326" s="183"/>
      <c r="B326" s="28" t="s">
        <v>1709</v>
      </c>
      <c r="C326" s="143" t="str">
        <f>VLOOKUP(B326,'Thống kê'!$C$3:$D$669,2,0)</f>
        <v xml:space="preserve">Bao lì xì </v>
      </c>
      <c r="D326" s="166">
        <f>VLOOKUP(B326,'Danh mục hàng hóa'!$C$3:$M$656,6,0)</f>
        <v>7720</v>
      </c>
      <c r="E326" s="167">
        <v>1</v>
      </c>
      <c r="F326" s="168">
        <f t="shared" si="1"/>
        <v>7720</v>
      </c>
      <c r="G326" s="144"/>
      <c r="H326" s="372"/>
    </row>
    <row r="327" spans="1:8" ht="13.2">
      <c r="A327" s="183"/>
      <c r="B327" s="28" t="s">
        <v>1710</v>
      </c>
      <c r="C327" s="143" t="str">
        <f>VLOOKUP(B327,'Thống kê'!$C$3:$D$669,2,0)</f>
        <v xml:space="preserve">Bao lì xì </v>
      </c>
      <c r="D327" s="166">
        <f>VLOOKUP(B327,'Danh mục hàng hóa'!$C$3:$M$656,6,0)</f>
        <v>7720</v>
      </c>
      <c r="E327" s="167">
        <v>1</v>
      </c>
      <c r="F327" s="168">
        <f t="shared" si="1"/>
        <v>7720</v>
      </c>
      <c r="G327" s="144"/>
      <c r="H327" s="176">
        <v>39187</v>
      </c>
    </row>
    <row r="328" spans="1:8" ht="13.2">
      <c r="A328" s="183"/>
      <c r="B328" s="28" t="s">
        <v>1765</v>
      </c>
      <c r="C328" s="143">
        <f>VLOOKUP(B328,'Thống kê'!$C$3:$D$669,2,0)</f>
        <v>0</v>
      </c>
      <c r="D328" s="166" t="e">
        <f>VLOOKUP(B328,'Danh mục hàng hóa'!$C$3:$M$656,6,0)</f>
        <v>#N/A</v>
      </c>
      <c r="E328" s="167">
        <v>1</v>
      </c>
      <c r="F328" s="168" t="e">
        <f t="shared" si="1"/>
        <v>#N/A</v>
      </c>
      <c r="G328" s="144"/>
      <c r="H328" s="177">
        <v>98400</v>
      </c>
    </row>
    <row r="329" spans="1:8" ht="13.2">
      <c r="A329" s="183"/>
      <c r="B329" s="28" t="s">
        <v>1778</v>
      </c>
      <c r="C329" s="143" t="e">
        <f>VLOOKUP(B329,'Thống kê'!$C$3:$D$669,2,0)</f>
        <v>#N/A</v>
      </c>
      <c r="D329" s="166" t="e">
        <f>VLOOKUP(B329,'Danh mục hàng hóa'!$C$3:$M$656,6,0)</f>
        <v>#N/A</v>
      </c>
      <c r="E329" s="167">
        <v>1</v>
      </c>
      <c r="F329" s="168" t="e">
        <f t="shared" si="1"/>
        <v>#N/A</v>
      </c>
      <c r="G329" s="144"/>
      <c r="H329" s="403">
        <v>20097</v>
      </c>
    </row>
    <row r="330" spans="1:8" ht="13.2">
      <c r="A330" s="183"/>
      <c r="B330" s="28" t="s">
        <v>1778</v>
      </c>
      <c r="C330" s="143" t="e">
        <f>VLOOKUP(B330,'Thống kê'!$C$3:$D$669,2,0)</f>
        <v>#N/A</v>
      </c>
      <c r="D330" s="166" t="e">
        <f>VLOOKUP(B330,'Danh mục hàng hóa'!$C$3:$M$656,6,0)</f>
        <v>#N/A</v>
      </c>
      <c r="E330" s="167">
        <v>2</v>
      </c>
      <c r="F330" s="168" t="e">
        <f t="shared" si="1"/>
        <v>#N/A</v>
      </c>
      <c r="G330" s="144"/>
      <c r="H330" s="373"/>
    </row>
    <row r="331" spans="1:8" ht="13.2">
      <c r="A331" s="183"/>
      <c r="B331" s="28" t="s">
        <v>1708</v>
      </c>
      <c r="C331" s="143" t="str">
        <f>VLOOKUP(B331,'Thống kê'!$C$3:$D$669,2,0)</f>
        <v xml:space="preserve">Bao lì xì </v>
      </c>
      <c r="D331" s="166">
        <f>VLOOKUP(B331,'Danh mục hàng hóa'!$C$3:$M$656,6,0)</f>
        <v>7720</v>
      </c>
      <c r="E331" s="167">
        <v>1</v>
      </c>
      <c r="F331" s="168">
        <f t="shared" si="1"/>
        <v>7720</v>
      </c>
      <c r="G331" s="144"/>
      <c r="H331" s="177">
        <v>9020</v>
      </c>
    </row>
    <row r="332" spans="1:8" ht="13.2">
      <c r="A332" s="183"/>
      <c r="B332" s="28" t="s">
        <v>1690</v>
      </c>
      <c r="C332" s="143">
        <f>VLOOKUP(B332,'Thống kê'!$C$3:$D$669,2,0)</f>
        <v>0</v>
      </c>
      <c r="D332" s="166" t="e">
        <f>VLOOKUP(B332,'Danh mục hàng hóa'!$C$3:$M$656,6,0)</f>
        <v>#N/A</v>
      </c>
      <c r="E332" s="167">
        <v>1</v>
      </c>
      <c r="F332" s="168" t="e">
        <f t="shared" si="1"/>
        <v>#N/A</v>
      </c>
      <c r="G332" s="144"/>
      <c r="H332" s="178">
        <v>20094</v>
      </c>
    </row>
    <row r="333" spans="1:8" ht="13.2">
      <c r="A333" s="183"/>
      <c r="B333" s="28" t="s">
        <v>115</v>
      </c>
      <c r="C333" s="143" t="str">
        <f>VLOOKUP(B333,'Thống kê'!$C$3:$D$669,2,0)</f>
        <v>Heo ú</v>
      </c>
      <c r="D333" s="166">
        <f>VLOOKUP(B333,'Danh mục hàng hóa'!$C$3:$M$656,6,0)</f>
        <v>61275</v>
      </c>
      <c r="E333" s="167">
        <v>1</v>
      </c>
      <c r="F333" s="168">
        <f t="shared" si="1"/>
        <v>61275</v>
      </c>
      <c r="G333" s="144"/>
      <c r="H333" s="175">
        <v>46419</v>
      </c>
    </row>
    <row r="334" spans="1:8" ht="13.2">
      <c r="A334" s="183"/>
      <c r="B334" s="28" t="s">
        <v>128</v>
      </c>
      <c r="C334" s="143" t="str">
        <f>VLOOKUP(B334,'Thống kê'!$C$3:$D$669,2,0)</f>
        <v>Mèo ú bay</v>
      </c>
      <c r="D334" s="166">
        <f>VLOOKUP(B334,'Danh mục hàng hóa'!$C$3:$M$656,6,0)</f>
        <v>61275</v>
      </c>
      <c r="E334" s="167">
        <v>1</v>
      </c>
      <c r="F334" s="168">
        <f t="shared" si="1"/>
        <v>61275</v>
      </c>
      <c r="G334" s="144"/>
      <c r="H334" s="175">
        <v>56381</v>
      </c>
    </row>
    <row r="335" spans="1:8" ht="13.2">
      <c r="A335" s="183"/>
      <c r="B335" s="28" t="s">
        <v>1785</v>
      </c>
      <c r="C335" s="143" t="str">
        <f>VLOOKUP(B335,'Thống kê'!$C$3:$D$669,2,0)</f>
        <v>Trâm cài 25</v>
      </c>
      <c r="D335" s="166" t="e">
        <f>VLOOKUP(B335,'Danh mục hàng hóa'!$C$3:$M$656,6,0)</f>
        <v>#N/A</v>
      </c>
      <c r="E335" s="167">
        <v>1</v>
      </c>
      <c r="F335" s="168" t="e">
        <f t="shared" si="1"/>
        <v>#N/A</v>
      </c>
      <c r="G335" s="144"/>
      <c r="H335" s="175">
        <v>26568</v>
      </c>
    </row>
    <row r="336" spans="1:8" ht="13.2">
      <c r="A336" s="183"/>
      <c r="B336" s="28" t="s">
        <v>1778</v>
      </c>
      <c r="C336" s="143" t="e">
        <f>VLOOKUP(B336,'Thống kê'!$C$3:$D$669,2,0)</f>
        <v>#N/A</v>
      </c>
      <c r="D336" s="166" t="e">
        <f>VLOOKUP(B336,'Danh mục hàng hóa'!$C$3:$M$656,6,0)</f>
        <v>#N/A</v>
      </c>
      <c r="E336" s="167">
        <v>1</v>
      </c>
      <c r="F336" s="168" t="e">
        <f t="shared" si="1"/>
        <v>#N/A</v>
      </c>
      <c r="G336" s="144"/>
      <c r="H336" s="175">
        <v>6649</v>
      </c>
    </row>
    <row r="337" spans="1:8" ht="13.2">
      <c r="A337" s="183"/>
      <c r="B337" s="28" t="s">
        <v>1633</v>
      </c>
      <c r="C337" s="143" t="str">
        <f>VLOOKUP(B337,'Thống kê'!$C$3:$D$669,2,0)</f>
        <v>Móc khóa đôi gà rán bia</v>
      </c>
      <c r="D337" s="166">
        <f>VLOOKUP(B337,'Danh mục hàng hóa'!$C$3:$M$656,6,0)</f>
        <v>56580</v>
      </c>
      <c r="E337" s="167">
        <v>1</v>
      </c>
      <c r="F337" s="168">
        <f t="shared" si="1"/>
        <v>56580</v>
      </c>
      <c r="G337" s="144"/>
      <c r="H337" s="402">
        <v>60270</v>
      </c>
    </row>
    <row r="338" spans="1:8" ht="13.2">
      <c r="A338" s="183"/>
      <c r="B338" s="28" t="s">
        <v>1706</v>
      </c>
      <c r="C338" s="143" t="str">
        <f>VLOOKUP(B338,'Thống kê'!$C$3:$D$669,2,0)</f>
        <v>Bao lì xì</v>
      </c>
      <c r="D338" s="166">
        <f>VLOOKUP(B338,'Danh mục hàng hóa'!$C$3:$M$656,6,0)</f>
        <v>14500</v>
      </c>
      <c r="E338" s="167">
        <v>2</v>
      </c>
      <c r="F338" s="168">
        <f t="shared" si="1"/>
        <v>29000</v>
      </c>
      <c r="G338" s="144"/>
      <c r="H338" s="372"/>
    </row>
    <row r="339" spans="1:8" ht="13.2">
      <c r="A339" s="183"/>
      <c r="B339" s="28" t="s">
        <v>1387</v>
      </c>
      <c r="C339" s="143" t="str">
        <f>VLOOKUP(B339,'Thống kê'!$C$3:$D$669,2,0)</f>
        <v>Móc khoá Crybaby mini Popmart</v>
      </c>
      <c r="D339" s="166" t="e">
        <f>VLOOKUP(B339,'Danh mục hàng hóa'!$C$3:$M$656,6,0)</f>
        <v>#N/A</v>
      </c>
      <c r="E339" s="167">
        <v>1</v>
      </c>
      <c r="F339" s="168" t="e">
        <f t="shared" si="1"/>
        <v>#N/A</v>
      </c>
      <c r="G339" s="144"/>
      <c r="H339" s="175">
        <v>82820</v>
      </c>
    </row>
    <row r="340" spans="1:8" ht="13.2">
      <c r="A340" s="185"/>
      <c r="B340" s="28" t="s">
        <v>1706</v>
      </c>
      <c r="C340" s="143" t="str">
        <f>VLOOKUP(B340,'Thống kê'!$C$3:$D$669,2,0)</f>
        <v>Bao lì xì</v>
      </c>
      <c r="D340" s="166">
        <f>VLOOKUP(B340,'Danh mục hàng hóa'!$C$3:$M$656,6,0)</f>
        <v>14500</v>
      </c>
      <c r="E340" s="167">
        <v>1</v>
      </c>
      <c r="F340" s="168">
        <f t="shared" si="1"/>
        <v>14500</v>
      </c>
      <c r="G340" s="144"/>
      <c r="H340" s="402">
        <v>39427</v>
      </c>
    </row>
    <row r="341" spans="1:8" ht="13.2">
      <c r="A341" s="152"/>
      <c r="B341" s="28" t="s">
        <v>1707</v>
      </c>
      <c r="C341" s="143" t="str">
        <f>VLOOKUP(B341,'Thống kê'!$C$3:$D$669,2,0)</f>
        <v xml:space="preserve">Bao lì xì </v>
      </c>
      <c r="D341" s="166">
        <f>VLOOKUP(B341,'Danh mục hàng hóa'!$C$3:$M$656,6,0)</f>
        <v>14500</v>
      </c>
      <c r="E341" s="167">
        <v>1</v>
      </c>
      <c r="F341" s="168">
        <f t="shared" si="1"/>
        <v>14500</v>
      </c>
      <c r="G341" s="144"/>
      <c r="H341" s="372"/>
    </row>
    <row r="342" spans="1:8" ht="13.2">
      <c r="A342" s="183"/>
      <c r="B342" s="28" t="s">
        <v>1709</v>
      </c>
      <c r="C342" s="143" t="str">
        <f>VLOOKUP(B342,'Thống kê'!$C$3:$D$669,2,0)</f>
        <v xml:space="preserve">Bao lì xì </v>
      </c>
      <c r="D342" s="166">
        <f>VLOOKUP(B342,'Danh mục hàng hóa'!$C$3:$M$656,6,0)</f>
        <v>7720</v>
      </c>
      <c r="E342" s="167">
        <v>2</v>
      </c>
      <c r="F342" s="168">
        <f t="shared" si="1"/>
        <v>15440</v>
      </c>
      <c r="G342" s="144"/>
      <c r="H342" s="372"/>
    </row>
    <row r="343" spans="1:8" ht="13.2">
      <c r="A343" s="183"/>
      <c r="B343" s="28" t="s">
        <v>1708</v>
      </c>
      <c r="C343" s="143" t="str">
        <f>VLOOKUP(B343,'Thống kê'!$C$3:$D$669,2,0)</f>
        <v xml:space="preserve">Bao lì xì </v>
      </c>
      <c r="D343" s="166">
        <f>VLOOKUP(B343,'Danh mục hàng hóa'!$C$3:$M$656,6,0)</f>
        <v>7720</v>
      </c>
      <c r="E343" s="167">
        <v>1</v>
      </c>
      <c r="F343" s="168">
        <f t="shared" si="1"/>
        <v>7720</v>
      </c>
      <c r="G343" s="144"/>
      <c r="H343" s="372"/>
    </row>
    <row r="344" spans="1:8" ht="13.2">
      <c r="A344" s="183"/>
      <c r="B344" s="28" t="s">
        <v>1367</v>
      </c>
      <c r="C344" s="143" t="str">
        <f>VLOOKUP(B344,'Thống kê'!$C$3:$D$669,2,0)</f>
        <v>Móc khóa Popbean</v>
      </c>
      <c r="D344" s="166" t="e">
        <f>VLOOKUP(B344,'Danh mục hàng hóa'!$C$3:$M$656,6,0)</f>
        <v>#N/A</v>
      </c>
      <c r="E344" s="167">
        <v>1</v>
      </c>
      <c r="F344" s="168" t="e">
        <f t="shared" si="1"/>
        <v>#N/A</v>
      </c>
      <c r="G344" s="144"/>
      <c r="H344" s="175">
        <v>107420</v>
      </c>
    </row>
    <row r="345" spans="1:8" ht="13.2">
      <c r="A345" s="184">
        <v>45673</v>
      </c>
      <c r="B345" s="28" t="s">
        <v>1485</v>
      </c>
      <c r="C345" s="143" t="str">
        <f>VLOOKUP(B345,'Thống kê'!$C$3:$D$669,2,0)</f>
        <v>Móc khoá Dudu nhiều màu sắc treo túi, đeo điện thoại</v>
      </c>
      <c r="D345" s="166" t="e">
        <f>VLOOKUP(B345,'Danh mục hàng hóa'!$C$3:$M$656,6,0)</f>
        <v>#N/A</v>
      </c>
      <c r="E345" s="167">
        <v>1</v>
      </c>
      <c r="F345" s="168" t="e">
        <f t="shared" si="1"/>
        <v>#N/A</v>
      </c>
      <c r="G345" s="144"/>
      <c r="H345" s="176">
        <v>36525</v>
      </c>
    </row>
    <row r="346" spans="1:8" ht="13.2">
      <c r="A346" s="183"/>
      <c r="B346" s="28" t="s">
        <v>1480</v>
      </c>
      <c r="C346" s="143">
        <f>VLOOKUP(B346,'Thống kê'!$C$3:$D$669,2,0)</f>
        <v>0</v>
      </c>
      <c r="D346" s="166" t="e">
        <f>VLOOKUP(B346,'Danh mục hàng hóa'!$C$3:$M$656,6,0)</f>
        <v>#N/A</v>
      </c>
      <c r="E346" s="167">
        <v>1</v>
      </c>
      <c r="F346" s="168" t="e">
        <f t="shared" si="1"/>
        <v>#N/A</v>
      </c>
      <c r="G346" s="144"/>
      <c r="H346" s="403">
        <v>91020</v>
      </c>
    </row>
    <row r="347" spans="1:8" ht="13.2">
      <c r="A347" s="183"/>
      <c r="B347" s="28" t="s">
        <v>1382</v>
      </c>
      <c r="C347" s="143" t="str">
        <f>VLOOKUP(B347,'Thống kê'!$C$3:$D$669,2,0)</f>
        <v>miếng dán silicon điện thoại</v>
      </c>
      <c r="D347" s="166" t="e">
        <f>VLOOKUP(B347,'Danh mục hàng hóa'!$C$3:$M$656,6,0)</f>
        <v>#N/A</v>
      </c>
      <c r="E347" s="167">
        <v>1</v>
      </c>
      <c r="F347" s="168" t="e">
        <f t="shared" si="1"/>
        <v>#N/A</v>
      </c>
      <c r="G347" s="144"/>
      <c r="H347" s="373"/>
    </row>
    <row r="348" spans="1:8" ht="13.2">
      <c r="A348" s="183"/>
      <c r="B348" s="28" t="s">
        <v>1660</v>
      </c>
      <c r="C348" s="143" t="str">
        <f>VLOOKUP(B348,'Thống kê'!$C$3:$D$669,2,0)</f>
        <v>Móc khóa Popbean Skull Panda</v>
      </c>
      <c r="D348" s="166" t="e">
        <f>VLOOKUP(B348,'Danh mục hàng hóa'!$C$3:$M$656,6,0)</f>
        <v>#N/A</v>
      </c>
      <c r="E348" s="167">
        <v>1</v>
      </c>
      <c r="F348" s="168" t="e">
        <f t="shared" si="1"/>
        <v>#N/A</v>
      </c>
      <c r="G348" s="144"/>
      <c r="H348" s="177">
        <v>98000</v>
      </c>
    </row>
    <row r="349" spans="1:8" ht="13.2">
      <c r="A349" s="184">
        <v>45674</v>
      </c>
      <c r="B349" s="28" t="s">
        <v>1382</v>
      </c>
      <c r="C349" s="143" t="str">
        <f>VLOOKUP(B349,'Thống kê'!$C$3:$D$669,2,0)</f>
        <v>miếng dán silicon điện thoại</v>
      </c>
      <c r="D349" s="166" t="e">
        <f>VLOOKUP(B349,'Danh mục hàng hóa'!$C$3:$M$656,6,0)</f>
        <v>#N/A</v>
      </c>
      <c r="E349" s="167">
        <v>3</v>
      </c>
      <c r="F349" s="168" t="e">
        <f t="shared" si="1"/>
        <v>#N/A</v>
      </c>
      <c r="G349" s="144"/>
      <c r="H349" s="177">
        <v>6298</v>
      </c>
    </row>
    <row r="350" spans="1:8" ht="13.2">
      <c r="A350" s="183"/>
      <c r="B350" s="28" t="s">
        <v>1784</v>
      </c>
      <c r="C350" s="143" t="e">
        <f>VLOOKUP(B350,'Thống kê'!$C$3:$D$669,2,0)</f>
        <v>#N/A</v>
      </c>
      <c r="D350" s="166" t="e">
        <f>VLOOKUP(B350,'Danh mục hàng hóa'!$C$3:$M$656,6,0)</f>
        <v>#N/A</v>
      </c>
      <c r="E350" s="167">
        <v>4</v>
      </c>
      <c r="F350" s="168" t="e">
        <f t="shared" si="1"/>
        <v>#N/A</v>
      </c>
      <c r="G350" s="144"/>
      <c r="H350" s="403">
        <v>38730</v>
      </c>
    </row>
    <row r="351" spans="1:8" ht="13.2">
      <c r="A351" s="183"/>
      <c r="B351" s="28" t="s">
        <v>1784</v>
      </c>
      <c r="C351" s="143" t="e">
        <f>VLOOKUP(B351,'Thống kê'!$C$3:$D$669,2,0)</f>
        <v>#N/A</v>
      </c>
      <c r="D351" s="166" t="e">
        <f>VLOOKUP(B351,'Danh mục hàng hóa'!$C$3:$M$656,6,0)</f>
        <v>#N/A</v>
      </c>
      <c r="E351" s="167">
        <v>4</v>
      </c>
      <c r="F351" s="168" t="e">
        <f t="shared" si="1"/>
        <v>#N/A</v>
      </c>
      <c r="G351" s="144"/>
      <c r="H351" s="372"/>
    </row>
    <row r="352" spans="1:8" ht="13.2">
      <c r="A352" s="183"/>
      <c r="B352" s="28" t="s">
        <v>138</v>
      </c>
      <c r="C352" s="143" t="str">
        <f>VLOOKUP(B352,'Thống kê'!$C$3:$D$669,2,0)</f>
        <v>Móc khoá Crybaby mini Popmart</v>
      </c>
      <c r="D352" s="166" t="e">
        <f>VLOOKUP(B352,'Danh mục hàng hóa'!$C$3:$M$656,6,0)</f>
        <v>#N/A</v>
      </c>
      <c r="E352" s="167">
        <v>1</v>
      </c>
      <c r="F352" s="168" t="e">
        <f t="shared" si="1"/>
        <v>#N/A</v>
      </c>
      <c r="G352" s="144"/>
      <c r="H352" s="402">
        <v>164459</v>
      </c>
    </row>
    <row r="353" spans="1:8" ht="13.2">
      <c r="A353" s="183"/>
      <c r="B353" s="28" t="s">
        <v>1424</v>
      </c>
      <c r="C353" s="143" t="str">
        <f>VLOOKUP(B353,'Thống kê'!$C$3:$D$669,2,0)</f>
        <v>Móc khoá Crybaby mini Popmart</v>
      </c>
      <c r="D353" s="166" t="e">
        <f>VLOOKUP(B353,'Danh mục hàng hóa'!$C$3:$M$656,6,0)</f>
        <v>#N/A</v>
      </c>
      <c r="E353" s="167">
        <v>1</v>
      </c>
      <c r="F353" s="168" t="e">
        <f t="shared" si="1"/>
        <v>#N/A</v>
      </c>
      <c r="G353" s="144"/>
      <c r="H353" s="372"/>
    </row>
    <row r="354" spans="1:8" ht="13.2">
      <c r="A354" s="183"/>
      <c r="B354" s="28" t="s">
        <v>1382</v>
      </c>
      <c r="C354" s="143" t="str">
        <f>VLOOKUP(B354,'Thống kê'!$C$3:$D$669,2,0)</f>
        <v>miếng dán silicon điện thoại</v>
      </c>
      <c r="D354" s="166" t="e">
        <f>VLOOKUP(B354,'Danh mục hàng hóa'!$C$3:$M$656,6,0)</f>
        <v>#N/A</v>
      </c>
      <c r="E354" s="167">
        <v>1</v>
      </c>
      <c r="F354" s="168" t="e">
        <f t="shared" si="1"/>
        <v>#N/A</v>
      </c>
      <c r="G354" s="144"/>
      <c r="H354" s="372"/>
    </row>
    <row r="355" spans="1:8" ht="13.2">
      <c r="A355" s="183"/>
      <c r="B355" s="28" t="s">
        <v>115</v>
      </c>
      <c r="C355" s="143" t="str">
        <f>VLOOKUP(B355,'Thống kê'!$C$3:$D$669,2,0)</f>
        <v>Heo ú</v>
      </c>
      <c r="D355" s="166">
        <f>VLOOKUP(B355,'Danh mục hàng hóa'!$C$3:$M$656,6,0)</f>
        <v>61275</v>
      </c>
      <c r="E355" s="167">
        <v>1</v>
      </c>
      <c r="F355" s="168">
        <f t="shared" si="1"/>
        <v>61275</v>
      </c>
      <c r="G355" s="144"/>
      <c r="H355" s="175">
        <v>46494</v>
      </c>
    </row>
    <row r="356" spans="1:8" ht="13.2">
      <c r="A356" s="183"/>
      <c r="B356" s="28" t="s">
        <v>1706</v>
      </c>
      <c r="C356" s="143" t="str">
        <f>VLOOKUP(B356,'Thống kê'!$C$3:$D$669,2,0)</f>
        <v>Bao lì xì</v>
      </c>
      <c r="D356" s="166">
        <f>VLOOKUP(B356,'Danh mục hàng hóa'!$C$3:$M$656,6,0)</f>
        <v>14500</v>
      </c>
      <c r="E356" s="167">
        <v>4</v>
      </c>
      <c r="F356" s="168">
        <f t="shared" si="1"/>
        <v>58000</v>
      </c>
      <c r="G356" s="144"/>
      <c r="H356" s="402">
        <v>78890</v>
      </c>
    </row>
    <row r="357" spans="1:8" ht="13.2">
      <c r="A357" s="183"/>
      <c r="B357" s="28" t="s">
        <v>1706</v>
      </c>
      <c r="C357" s="143" t="str">
        <f>VLOOKUP(B357,'Thống kê'!$C$3:$D$669,2,0)</f>
        <v>Bao lì xì</v>
      </c>
      <c r="D357" s="166">
        <f>VLOOKUP(B357,'Danh mục hàng hóa'!$C$3:$M$656,6,0)</f>
        <v>14500</v>
      </c>
      <c r="E357" s="167">
        <v>4</v>
      </c>
      <c r="F357" s="168">
        <f t="shared" si="1"/>
        <v>58000</v>
      </c>
      <c r="G357" s="144"/>
      <c r="H357" s="372"/>
    </row>
    <row r="358" spans="1:8" ht="13.2">
      <c r="A358" s="183"/>
      <c r="B358" s="28" t="s">
        <v>1706</v>
      </c>
      <c r="C358" s="143" t="str">
        <f>VLOOKUP(B358,'Thống kê'!$C$3:$D$669,2,0)</f>
        <v>Bao lì xì</v>
      </c>
      <c r="D358" s="166">
        <f>VLOOKUP(B358,'Danh mục hàng hóa'!$C$3:$M$656,6,0)</f>
        <v>14500</v>
      </c>
      <c r="E358" s="167">
        <v>2</v>
      </c>
      <c r="F358" s="168">
        <f t="shared" si="1"/>
        <v>29000</v>
      </c>
      <c r="G358" s="144"/>
      <c r="H358" s="372"/>
    </row>
    <row r="359" spans="1:8" ht="13.2">
      <c r="A359" s="183"/>
      <c r="B359" s="28" t="s">
        <v>1708</v>
      </c>
      <c r="C359" s="143" t="str">
        <f>VLOOKUP(B359,'Thống kê'!$C$3:$D$669,2,0)</f>
        <v xml:space="preserve">Bao lì xì </v>
      </c>
      <c r="D359" s="166">
        <f>VLOOKUP(B359,'Danh mục hàng hóa'!$C$3:$M$656,6,0)</f>
        <v>7720</v>
      </c>
      <c r="E359" s="167">
        <v>2</v>
      </c>
      <c r="F359" s="168">
        <f t="shared" si="1"/>
        <v>15440</v>
      </c>
      <c r="G359" s="144"/>
      <c r="H359" s="175">
        <v>17615</v>
      </c>
    </row>
    <row r="360" spans="1:8" ht="13.2">
      <c r="A360" s="183"/>
      <c r="B360" s="28" t="s">
        <v>1624</v>
      </c>
      <c r="C360" s="143" t="str">
        <f>VLOOKUP(B360,'Thống kê'!$C$3:$D$669,2,0)</f>
        <v>Móc khóa mèo trái tim</v>
      </c>
      <c r="D360" s="166" t="e">
        <f>VLOOKUP(B360,'Danh mục hàng hóa'!$C$3:$M$656,6,0)</f>
        <v>#N/A</v>
      </c>
      <c r="E360" s="167">
        <v>1</v>
      </c>
      <c r="F360" s="168" t="e">
        <f t="shared" si="1"/>
        <v>#N/A</v>
      </c>
      <c r="G360" s="144"/>
      <c r="H360" s="175">
        <v>43467</v>
      </c>
    </row>
    <row r="361" spans="1:8" ht="13.2">
      <c r="A361" s="185"/>
      <c r="B361" s="28" t="s">
        <v>1706</v>
      </c>
      <c r="C361" s="143" t="str">
        <f>VLOOKUP(B361,'Thống kê'!$C$3:$D$669,2,0)</f>
        <v>Bao lì xì</v>
      </c>
      <c r="D361" s="166">
        <f>VLOOKUP(B361,'Danh mục hàng hóa'!$C$3:$M$656,6,0)</f>
        <v>14500</v>
      </c>
      <c r="E361" s="167">
        <v>3</v>
      </c>
      <c r="F361" s="168">
        <f t="shared" si="1"/>
        <v>43500</v>
      </c>
      <c r="G361" s="144"/>
      <c r="H361" s="402">
        <v>147600</v>
      </c>
    </row>
    <row r="362" spans="1:8" ht="13.2">
      <c r="A362" s="152"/>
      <c r="B362" s="28" t="s">
        <v>1707</v>
      </c>
      <c r="C362" s="143" t="str">
        <f>VLOOKUP(B362,'Thống kê'!$C$3:$D$669,2,0)</f>
        <v xml:space="preserve">Bao lì xì </v>
      </c>
      <c r="D362" s="166">
        <f>VLOOKUP(B362,'Danh mục hàng hóa'!$C$3:$M$656,6,0)</f>
        <v>14500</v>
      </c>
      <c r="E362" s="167">
        <v>1</v>
      </c>
      <c r="F362" s="168">
        <f t="shared" si="1"/>
        <v>14500</v>
      </c>
      <c r="G362" s="144"/>
      <c r="H362" s="372"/>
    </row>
    <row r="363" spans="1:8" ht="13.2">
      <c r="A363" s="183"/>
      <c r="B363" s="28" t="s">
        <v>1707</v>
      </c>
      <c r="C363" s="143" t="str">
        <f>VLOOKUP(B363,'Thống kê'!$C$3:$D$669,2,0)</f>
        <v xml:space="preserve">Bao lì xì </v>
      </c>
      <c r="D363" s="166">
        <f>VLOOKUP(B363,'Danh mục hàng hóa'!$C$3:$M$656,6,0)</f>
        <v>14500</v>
      </c>
      <c r="E363" s="167">
        <v>4</v>
      </c>
      <c r="F363" s="168">
        <f t="shared" si="1"/>
        <v>58000</v>
      </c>
      <c r="G363" s="144"/>
      <c r="H363" s="372"/>
    </row>
    <row r="364" spans="1:8" ht="13.2">
      <c r="A364" s="183"/>
      <c r="B364" s="28" t="s">
        <v>1706</v>
      </c>
      <c r="C364" s="143" t="str">
        <f>VLOOKUP(B364,'Thống kê'!$C$3:$D$669,2,0)</f>
        <v>Bao lì xì</v>
      </c>
      <c r="D364" s="166">
        <f>VLOOKUP(B364,'Danh mục hàng hóa'!$C$3:$M$656,6,0)</f>
        <v>14500</v>
      </c>
      <c r="E364" s="167">
        <v>2</v>
      </c>
      <c r="F364" s="168">
        <f t="shared" si="1"/>
        <v>29000</v>
      </c>
      <c r="G364" s="144"/>
      <c r="H364" s="372"/>
    </row>
    <row r="365" spans="1:8" ht="13.2">
      <c r="A365" s="183"/>
      <c r="B365" s="28" t="s">
        <v>1709</v>
      </c>
      <c r="C365" s="143" t="str">
        <f>VLOOKUP(B365,'Thống kê'!$C$3:$D$669,2,0)</f>
        <v xml:space="preserve">Bao lì xì </v>
      </c>
      <c r="D365" s="166">
        <f>VLOOKUP(B365,'Danh mục hàng hóa'!$C$3:$M$656,6,0)</f>
        <v>7720</v>
      </c>
      <c r="E365" s="167">
        <v>2</v>
      </c>
      <c r="F365" s="168">
        <f t="shared" si="1"/>
        <v>15440</v>
      </c>
      <c r="G365" s="144"/>
      <c r="H365" s="372"/>
    </row>
    <row r="366" spans="1:8" ht="13.2">
      <c r="A366" s="183"/>
      <c r="B366" s="28" t="s">
        <v>1708</v>
      </c>
      <c r="C366" s="143" t="str">
        <f>VLOOKUP(B366,'Thống kê'!$C$3:$D$669,2,0)</f>
        <v xml:space="preserve">Bao lì xì </v>
      </c>
      <c r="D366" s="166">
        <f>VLOOKUP(B366,'Danh mục hàng hóa'!$C$3:$M$656,6,0)</f>
        <v>7720</v>
      </c>
      <c r="E366" s="167">
        <v>1</v>
      </c>
      <c r="F366" s="168">
        <f t="shared" si="1"/>
        <v>7720</v>
      </c>
      <c r="G366" s="144"/>
      <c r="H366" s="372"/>
    </row>
    <row r="367" spans="1:8" ht="13.2">
      <c r="A367" s="183"/>
      <c r="B367" s="28" t="s">
        <v>1709</v>
      </c>
      <c r="C367" s="143" t="str">
        <f>VLOOKUP(B367,'Thống kê'!$C$3:$D$669,2,0)</f>
        <v xml:space="preserve">Bao lì xì </v>
      </c>
      <c r="D367" s="166">
        <f>VLOOKUP(B367,'Danh mục hàng hóa'!$C$3:$M$656,6,0)</f>
        <v>7720</v>
      </c>
      <c r="E367" s="167">
        <v>3</v>
      </c>
      <c r="F367" s="168">
        <f t="shared" si="1"/>
        <v>23160</v>
      </c>
      <c r="G367" s="144"/>
      <c r="H367" s="372"/>
    </row>
    <row r="368" spans="1:8" ht="13.2">
      <c r="A368" s="183"/>
      <c r="B368" s="28" t="s">
        <v>1708</v>
      </c>
      <c r="C368" s="143" t="str">
        <f>VLOOKUP(B368,'Thống kê'!$C$3:$D$669,2,0)</f>
        <v xml:space="preserve">Bao lì xì </v>
      </c>
      <c r="D368" s="166">
        <f>VLOOKUP(B368,'Danh mục hàng hóa'!$C$3:$M$656,6,0)</f>
        <v>7720</v>
      </c>
      <c r="E368" s="167">
        <v>4</v>
      </c>
      <c r="F368" s="168">
        <f t="shared" si="1"/>
        <v>30880</v>
      </c>
      <c r="G368" s="144"/>
      <c r="H368" s="372"/>
    </row>
    <row r="369" spans="1:8" ht="13.2">
      <c r="A369" s="183"/>
      <c r="B369" s="28" t="s">
        <v>1697</v>
      </c>
      <c r="C369" s="143" t="str">
        <f>VLOOKUP(B369,'Thống kê'!$C$3:$D$669,2,0)</f>
        <v>heo</v>
      </c>
      <c r="D369" s="166" t="e">
        <f>VLOOKUP(B369,'Danh mục hàng hóa'!$C$3:$M$656,6,0)</f>
        <v>#N/A</v>
      </c>
      <c r="E369" s="167">
        <v>1</v>
      </c>
      <c r="F369" s="168" t="e">
        <f t="shared" si="1"/>
        <v>#N/A</v>
      </c>
      <c r="G369" s="144"/>
      <c r="H369" s="175">
        <v>25405</v>
      </c>
    </row>
    <row r="370" spans="1:8" ht="13.2">
      <c r="A370" s="183"/>
      <c r="B370" s="28" t="s">
        <v>1711</v>
      </c>
      <c r="C370" s="143" t="str">
        <f>VLOOKUP(B370,'Thống kê'!$C$3:$D$669,2,0)</f>
        <v xml:space="preserve">Bao lì xì </v>
      </c>
      <c r="D370" s="166">
        <f>VLOOKUP(B370,'Danh mục hàng hóa'!$C$3:$M$656,6,0)</f>
        <v>7720</v>
      </c>
      <c r="E370" s="167">
        <v>1</v>
      </c>
      <c r="F370" s="168">
        <f t="shared" si="1"/>
        <v>7720</v>
      </c>
      <c r="G370" s="144"/>
      <c r="H370" s="402">
        <v>51880</v>
      </c>
    </row>
    <row r="371" spans="1:8" ht="13.2">
      <c r="A371" s="183"/>
      <c r="B371" s="28" t="s">
        <v>1778</v>
      </c>
      <c r="C371" s="143" t="e">
        <f>VLOOKUP(B371,'Thống kê'!$C$3:$D$669,2,0)</f>
        <v>#N/A</v>
      </c>
      <c r="D371" s="166" t="e">
        <f>VLOOKUP(B371,'Danh mục hàng hóa'!$C$3:$M$656,6,0)</f>
        <v>#N/A</v>
      </c>
      <c r="E371" s="167">
        <v>2</v>
      </c>
      <c r="F371" s="168" t="e">
        <f t="shared" si="1"/>
        <v>#N/A</v>
      </c>
      <c r="G371" s="144"/>
      <c r="H371" s="372"/>
    </row>
    <row r="372" spans="1:8" ht="13.2">
      <c r="A372" s="183"/>
      <c r="B372" s="28" t="s">
        <v>1706</v>
      </c>
      <c r="C372" s="143" t="str">
        <f>VLOOKUP(B372,'Thống kê'!$C$3:$D$669,2,0)</f>
        <v>Bao lì xì</v>
      </c>
      <c r="D372" s="166">
        <f>VLOOKUP(B372,'Danh mục hàng hóa'!$C$3:$M$656,6,0)</f>
        <v>14500</v>
      </c>
      <c r="E372" s="167">
        <v>2</v>
      </c>
      <c r="F372" s="168">
        <f t="shared" si="1"/>
        <v>29000</v>
      </c>
      <c r="G372" s="144"/>
      <c r="H372" s="372"/>
    </row>
    <row r="373" spans="1:8" ht="13.2">
      <c r="A373" s="183"/>
      <c r="B373" s="28" t="s">
        <v>1708</v>
      </c>
      <c r="C373" s="143" t="str">
        <f>VLOOKUP(B373,'Thống kê'!$C$3:$D$669,2,0)</f>
        <v xml:space="preserve">Bao lì xì </v>
      </c>
      <c r="D373" s="166">
        <f>VLOOKUP(B373,'Danh mục hàng hóa'!$C$3:$M$656,6,0)</f>
        <v>7720</v>
      </c>
      <c r="E373" s="167">
        <v>2</v>
      </c>
      <c r="F373" s="168">
        <f t="shared" si="1"/>
        <v>15440</v>
      </c>
      <c r="G373" s="144"/>
      <c r="H373" s="372"/>
    </row>
    <row r="374" spans="1:8" ht="13.2">
      <c r="A374" s="183"/>
      <c r="B374" s="28" t="s">
        <v>1778</v>
      </c>
      <c r="C374" s="143" t="e">
        <f>VLOOKUP(B374,'Thống kê'!$C$3:$D$669,2,0)</f>
        <v>#N/A</v>
      </c>
      <c r="D374" s="166" t="e">
        <f>VLOOKUP(B374,'Danh mục hàng hóa'!$C$3:$M$656,6,0)</f>
        <v>#N/A</v>
      </c>
      <c r="E374" s="167">
        <v>1</v>
      </c>
      <c r="F374" s="168" t="e">
        <f t="shared" si="1"/>
        <v>#N/A</v>
      </c>
      <c r="G374" s="144"/>
      <c r="H374" s="372"/>
    </row>
    <row r="375" spans="1:8" ht="13.2">
      <c r="A375" s="183"/>
      <c r="B375" s="28" t="s">
        <v>1707</v>
      </c>
      <c r="C375" s="143" t="str">
        <f>VLOOKUP(B375,'Thống kê'!$C$3:$D$669,2,0)</f>
        <v xml:space="preserve">Bao lì xì </v>
      </c>
      <c r="D375" s="166">
        <f>VLOOKUP(B375,'Danh mục hàng hóa'!$C$3:$M$656,6,0)</f>
        <v>14500</v>
      </c>
      <c r="E375" s="167">
        <v>1</v>
      </c>
      <c r="F375" s="168">
        <f t="shared" si="1"/>
        <v>14500</v>
      </c>
      <c r="G375" s="144"/>
      <c r="H375" s="402">
        <v>37433</v>
      </c>
    </row>
    <row r="376" spans="1:8" ht="13.2">
      <c r="A376" s="183"/>
      <c r="B376" s="28" t="s">
        <v>1708</v>
      </c>
      <c r="C376" s="143" t="str">
        <f>VLOOKUP(B376,'Thống kê'!$C$3:$D$669,2,0)</f>
        <v xml:space="preserve">Bao lì xì </v>
      </c>
      <c r="D376" s="166">
        <f>VLOOKUP(B376,'Danh mục hàng hóa'!$C$3:$M$656,6,0)</f>
        <v>7720</v>
      </c>
      <c r="E376" s="167">
        <v>1</v>
      </c>
      <c r="F376" s="168">
        <f t="shared" si="1"/>
        <v>7720</v>
      </c>
      <c r="G376" s="144"/>
      <c r="H376" s="372"/>
    </row>
    <row r="377" spans="1:8" ht="13.2">
      <c r="A377" s="185"/>
      <c r="B377" s="28" t="s">
        <v>1709</v>
      </c>
      <c r="C377" s="143" t="str">
        <f>VLOOKUP(B377,'Thống kê'!$C$3:$D$669,2,0)</f>
        <v xml:space="preserve">Bao lì xì </v>
      </c>
      <c r="D377" s="166">
        <f>VLOOKUP(B377,'Danh mục hàng hóa'!$C$3:$M$656,6,0)</f>
        <v>7720</v>
      </c>
      <c r="E377" s="167">
        <v>2</v>
      </c>
      <c r="F377" s="168">
        <f t="shared" si="1"/>
        <v>15440</v>
      </c>
      <c r="G377" s="144"/>
      <c r="H377" s="372"/>
    </row>
    <row r="378" spans="1:8" ht="13.2">
      <c r="A378" s="152"/>
      <c r="B378" s="28" t="s">
        <v>1708</v>
      </c>
      <c r="C378" s="143" t="str">
        <f>VLOOKUP(B378,'Thống kê'!$C$3:$D$669,2,0)</f>
        <v xml:space="preserve">Bao lì xì </v>
      </c>
      <c r="D378" s="166">
        <f>VLOOKUP(B378,'Danh mục hàng hóa'!$C$3:$M$656,6,0)</f>
        <v>7720</v>
      </c>
      <c r="E378" s="167">
        <v>1</v>
      </c>
      <c r="F378" s="168">
        <f t="shared" si="1"/>
        <v>7720</v>
      </c>
      <c r="G378" s="144"/>
      <c r="H378" s="372"/>
    </row>
    <row r="379" spans="1:8" ht="13.2">
      <c r="A379" s="183"/>
      <c r="B379" s="28" t="s">
        <v>1706</v>
      </c>
      <c r="C379" s="143" t="str">
        <f>VLOOKUP(B379,'Thống kê'!$C$3:$D$669,2,0)</f>
        <v>Bao lì xì</v>
      </c>
      <c r="D379" s="166">
        <f>VLOOKUP(B379,'Danh mục hàng hóa'!$C$3:$M$656,6,0)</f>
        <v>14500</v>
      </c>
      <c r="E379" s="167">
        <v>4</v>
      </c>
      <c r="F379" s="168">
        <f t="shared" si="1"/>
        <v>58000</v>
      </c>
      <c r="G379" s="144"/>
      <c r="H379" s="402">
        <v>38019</v>
      </c>
    </row>
    <row r="380" spans="1:8" ht="13.2">
      <c r="A380" s="183"/>
      <c r="B380" s="28" t="s">
        <v>1706</v>
      </c>
      <c r="C380" s="143" t="str">
        <f>VLOOKUP(B380,'Thống kê'!$C$3:$D$669,2,0)</f>
        <v>Bao lì xì</v>
      </c>
      <c r="D380" s="166">
        <f>VLOOKUP(B380,'Danh mục hàng hóa'!$C$3:$M$656,6,0)</f>
        <v>14500</v>
      </c>
      <c r="E380" s="167">
        <v>1</v>
      </c>
      <c r="F380" s="168">
        <f t="shared" si="1"/>
        <v>14500</v>
      </c>
      <c r="G380" s="144"/>
      <c r="H380" s="372"/>
    </row>
    <row r="381" spans="1:8" ht="13.2">
      <c r="A381" s="183"/>
      <c r="B381" s="28" t="s">
        <v>1707</v>
      </c>
      <c r="C381" s="143" t="str">
        <f>VLOOKUP(B381,'Thống kê'!$C$3:$D$669,2,0)</f>
        <v xml:space="preserve">Bao lì xì </v>
      </c>
      <c r="D381" s="166">
        <f>VLOOKUP(B381,'Danh mục hàng hóa'!$C$3:$M$656,6,0)</f>
        <v>14500</v>
      </c>
      <c r="E381" s="167">
        <v>4</v>
      </c>
      <c r="F381" s="168">
        <f t="shared" si="1"/>
        <v>58000</v>
      </c>
      <c r="G381" s="144"/>
      <c r="H381" s="402">
        <v>55559</v>
      </c>
    </row>
    <row r="382" spans="1:8" ht="13.2">
      <c r="A382" s="183"/>
      <c r="B382" s="28" t="s">
        <v>1707</v>
      </c>
      <c r="C382" s="143" t="str">
        <f>VLOOKUP(B382,'Thống kê'!$C$3:$D$669,2,0)</f>
        <v xml:space="preserve">Bao lì xì </v>
      </c>
      <c r="D382" s="166">
        <f>VLOOKUP(B382,'Danh mục hàng hóa'!$C$3:$M$656,6,0)</f>
        <v>14500</v>
      </c>
      <c r="E382" s="167">
        <v>3</v>
      </c>
      <c r="F382" s="168">
        <f t="shared" si="1"/>
        <v>43500</v>
      </c>
      <c r="G382" s="144"/>
      <c r="H382" s="372"/>
    </row>
    <row r="383" spans="1:8" ht="13.2">
      <c r="A383" s="183"/>
      <c r="B383" s="28" t="s">
        <v>1785</v>
      </c>
      <c r="C383" s="143" t="str">
        <f>VLOOKUP(B383,'Thống kê'!$C$3:$D$669,2,0)</f>
        <v>Trâm cài 25</v>
      </c>
      <c r="D383" s="166" t="e">
        <f>VLOOKUP(B383,'Danh mục hàng hóa'!$C$3:$M$656,6,0)</f>
        <v>#N/A</v>
      </c>
      <c r="E383" s="167">
        <v>1</v>
      </c>
      <c r="F383" s="168" t="e">
        <f t="shared" si="1"/>
        <v>#N/A</v>
      </c>
      <c r="G383" s="144"/>
      <c r="H383" s="402">
        <v>41179</v>
      </c>
    </row>
    <row r="384" spans="1:8" ht="13.2">
      <c r="A384" s="183"/>
      <c r="B384" s="28" t="s">
        <v>1707</v>
      </c>
      <c r="C384" s="143" t="str">
        <f>VLOOKUP(B384,'Thống kê'!$C$3:$D$669,2,0)</f>
        <v xml:space="preserve">Bao lì xì </v>
      </c>
      <c r="D384" s="166">
        <f>VLOOKUP(B384,'Danh mục hàng hóa'!$C$3:$M$656,6,0)</f>
        <v>14500</v>
      </c>
      <c r="E384" s="167">
        <v>1</v>
      </c>
      <c r="F384" s="168">
        <f t="shared" si="1"/>
        <v>14500</v>
      </c>
      <c r="G384" s="144"/>
      <c r="H384" s="372"/>
    </row>
    <row r="385" spans="1:8" ht="13.2">
      <c r="A385" s="183"/>
      <c r="B385" s="28" t="s">
        <v>1709</v>
      </c>
      <c r="C385" s="143" t="str">
        <f>VLOOKUP(B385,'Thống kê'!$C$3:$D$669,2,0)</f>
        <v xml:space="preserve">Bao lì xì </v>
      </c>
      <c r="D385" s="166">
        <f>VLOOKUP(B385,'Danh mục hàng hóa'!$C$3:$M$656,6,0)</f>
        <v>7720</v>
      </c>
      <c r="E385" s="167">
        <v>1</v>
      </c>
      <c r="F385" s="168">
        <f t="shared" si="1"/>
        <v>7720</v>
      </c>
      <c r="G385" s="144"/>
      <c r="H385" s="372"/>
    </row>
    <row r="386" spans="1:8" ht="13.2">
      <c r="A386" s="183"/>
      <c r="B386" s="28" t="s">
        <v>1711</v>
      </c>
      <c r="C386" s="143" t="str">
        <f>VLOOKUP(B386,'Thống kê'!$C$3:$D$669,2,0)</f>
        <v xml:space="preserve">Bao lì xì </v>
      </c>
      <c r="D386" s="166">
        <f>VLOOKUP(B386,'Danh mục hàng hóa'!$C$3:$M$656,6,0)</f>
        <v>7720</v>
      </c>
      <c r="E386" s="167">
        <v>1</v>
      </c>
      <c r="F386" s="168">
        <f t="shared" si="1"/>
        <v>7720</v>
      </c>
      <c r="G386" s="144"/>
      <c r="H386" s="402">
        <v>31489</v>
      </c>
    </row>
    <row r="387" spans="1:8" ht="13.2">
      <c r="A387" s="183"/>
      <c r="B387" s="28" t="s">
        <v>1708</v>
      </c>
      <c r="C387" s="143" t="str">
        <f>VLOOKUP(B387,'Thống kê'!$C$3:$D$669,2,0)</f>
        <v xml:space="preserve">Bao lì xì </v>
      </c>
      <c r="D387" s="166">
        <f>VLOOKUP(B387,'Danh mục hàng hóa'!$C$3:$M$656,6,0)</f>
        <v>7720</v>
      </c>
      <c r="E387" s="167">
        <v>1</v>
      </c>
      <c r="F387" s="168">
        <f t="shared" si="1"/>
        <v>7720</v>
      </c>
      <c r="G387" s="144"/>
      <c r="H387" s="372"/>
    </row>
    <row r="388" spans="1:8" ht="13.2">
      <c r="A388" s="183"/>
      <c r="B388" s="28" t="s">
        <v>1709</v>
      </c>
      <c r="C388" s="143" t="str">
        <f>VLOOKUP(B388,'Thống kê'!$C$3:$D$669,2,0)</f>
        <v xml:space="preserve">Bao lì xì </v>
      </c>
      <c r="D388" s="166">
        <f>VLOOKUP(B388,'Danh mục hàng hóa'!$C$3:$M$656,6,0)</f>
        <v>7720</v>
      </c>
      <c r="E388" s="167">
        <v>1</v>
      </c>
      <c r="F388" s="168">
        <f t="shared" si="1"/>
        <v>7720</v>
      </c>
      <c r="G388" s="144"/>
      <c r="H388" s="372"/>
    </row>
    <row r="389" spans="1:8" ht="13.2">
      <c r="A389" s="183"/>
      <c r="B389" s="28" t="s">
        <v>1778</v>
      </c>
      <c r="C389" s="143" t="e">
        <f>VLOOKUP(B389,'Thống kê'!$C$3:$D$669,2,0)</f>
        <v>#N/A</v>
      </c>
      <c r="D389" s="166" t="e">
        <f>VLOOKUP(B389,'Danh mục hàng hóa'!$C$3:$M$656,6,0)</f>
        <v>#N/A</v>
      </c>
      <c r="E389" s="167">
        <v>1</v>
      </c>
      <c r="F389" s="168" t="e">
        <f t="shared" si="1"/>
        <v>#N/A</v>
      </c>
      <c r="G389" s="144"/>
      <c r="H389" s="372"/>
    </row>
    <row r="390" spans="1:8" ht="13.2">
      <c r="A390" s="183"/>
      <c r="B390" s="28" t="s">
        <v>1708</v>
      </c>
      <c r="C390" s="143" t="str">
        <f>VLOOKUP(B390,'Thống kê'!$C$3:$D$669,2,0)</f>
        <v xml:space="preserve">Bao lì xì </v>
      </c>
      <c r="D390" s="166">
        <f>VLOOKUP(B390,'Danh mục hàng hóa'!$C$3:$M$656,6,0)</f>
        <v>7720</v>
      </c>
      <c r="E390" s="167">
        <v>1</v>
      </c>
      <c r="F390" s="168">
        <f t="shared" si="1"/>
        <v>7720</v>
      </c>
      <c r="G390" s="144"/>
      <c r="H390" s="372"/>
    </row>
    <row r="391" spans="1:8" ht="13.2">
      <c r="A391" s="183"/>
      <c r="B391" s="28" t="s">
        <v>1778</v>
      </c>
      <c r="C391" s="143" t="e">
        <f>VLOOKUP(B391,'Thống kê'!$C$3:$D$669,2,0)</f>
        <v>#N/A</v>
      </c>
      <c r="D391" s="166" t="e">
        <f>VLOOKUP(B391,'Danh mục hàng hóa'!$C$3:$M$656,6,0)</f>
        <v>#N/A</v>
      </c>
      <c r="E391" s="167">
        <v>3</v>
      </c>
      <c r="F391" s="168" t="e">
        <f t="shared" si="1"/>
        <v>#N/A</v>
      </c>
      <c r="G391" s="144"/>
      <c r="H391" s="402">
        <v>37520</v>
      </c>
    </row>
    <row r="392" spans="1:8" ht="13.2">
      <c r="A392" s="183"/>
      <c r="B392" s="28" t="s">
        <v>1778</v>
      </c>
      <c r="C392" s="143" t="e">
        <f>VLOOKUP(B392,'Thống kê'!$C$3:$D$669,2,0)</f>
        <v>#N/A</v>
      </c>
      <c r="D392" s="166" t="e">
        <f>VLOOKUP(B392,'Danh mục hàng hóa'!$C$3:$M$656,6,0)</f>
        <v>#N/A</v>
      </c>
      <c r="E392" s="167">
        <v>1</v>
      </c>
      <c r="F392" s="168" t="e">
        <f t="shared" si="1"/>
        <v>#N/A</v>
      </c>
      <c r="G392" s="144"/>
      <c r="H392" s="372"/>
    </row>
    <row r="393" spans="1:8" ht="13.2">
      <c r="A393" s="183"/>
      <c r="B393" s="28" t="s">
        <v>1778</v>
      </c>
      <c r="C393" s="143" t="e">
        <f>VLOOKUP(B393,'Thống kê'!$C$3:$D$669,2,0)</f>
        <v>#N/A</v>
      </c>
      <c r="D393" s="166" t="e">
        <f>VLOOKUP(B393,'Danh mục hàng hóa'!$C$3:$M$656,6,0)</f>
        <v>#N/A</v>
      </c>
      <c r="E393" s="167">
        <v>3</v>
      </c>
      <c r="F393" s="168" t="e">
        <f t="shared" si="1"/>
        <v>#N/A</v>
      </c>
      <c r="G393" s="144"/>
      <c r="H393" s="372"/>
    </row>
    <row r="394" spans="1:8" ht="13.2">
      <c r="A394" s="184">
        <v>45675</v>
      </c>
      <c r="B394" s="28" t="s">
        <v>1786</v>
      </c>
      <c r="C394" s="143" t="str">
        <f>VLOOKUP(B394,'Thống kê'!$C$3:$D$669,2,0)</f>
        <v>Trâm cài 09</v>
      </c>
      <c r="D394" s="166">
        <f>VLOOKUP(B394,'Danh mục hàng hóa'!$C$3:$M$656,6,0)</f>
        <v>28520</v>
      </c>
      <c r="E394" s="167">
        <v>1</v>
      </c>
      <c r="F394" s="168">
        <f t="shared" si="1"/>
        <v>28520</v>
      </c>
      <c r="G394" s="144"/>
      <c r="H394" s="402">
        <v>40590</v>
      </c>
    </row>
    <row r="395" spans="1:8" ht="13.2">
      <c r="A395" s="183"/>
      <c r="B395" s="28" t="s">
        <v>1787</v>
      </c>
      <c r="C395" s="143" t="str">
        <f>VLOOKUP(B395,'Thống kê'!$C$3:$D$669,2,0)</f>
        <v>Trâm cài 07</v>
      </c>
      <c r="D395" s="166">
        <f>VLOOKUP(B395,'Danh mục hàng hóa'!$C$3:$M$656,6,0)</f>
        <v>23674.6</v>
      </c>
      <c r="E395" s="167">
        <v>1</v>
      </c>
      <c r="F395" s="168">
        <f t="shared" si="1"/>
        <v>23674.6</v>
      </c>
      <c r="G395" s="144"/>
      <c r="H395" s="372"/>
    </row>
    <row r="396" spans="1:8" ht="13.2">
      <c r="A396" s="183"/>
      <c r="B396" s="28" t="s">
        <v>1705</v>
      </c>
      <c r="C396" s="143" t="str">
        <f>VLOOKUP(B396,'Thống kê'!$C$3:$D$669,2,0)</f>
        <v>Dây treo điện thoại có charm xinh xắn</v>
      </c>
      <c r="D396" s="166" t="e">
        <f>VLOOKUP(B396,'Danh mục hàng hóa'!$C$3:$M$656,6,0)</f>
        <v>#N/A</v>
      </c>
      <c r="E396" s="167">
        <v>1</v>
      </c>
      <c r="F396" s="168" t="e">
        <f t="shared" si="1"/>
        <v>#N/A</v>
      </c>
      <c r="G396" s="144"/>
      <c r="H396" s="175">
        <v>19744</v>
      </c>
    </row>
    <row r="397" spans="1:8" ht="13.2">
      <c r="A397" s="183"/>
      <c r="B397" s="28" t="s">
        <v>150</v>
      </c>
      <c r="C397" s="143" t="str">
        <f>VLOOKUP(B397,'Thống kê'!$C$3:$D$669,2,0)</f>
        <v>Móc khóa có chuông</v>
      </c>
      <c r="D397" s="166" t="e">
        <f>VLOOKUP(B397,'Danh mục hàng hóa'!$C$3:$M$656,6,0)</f>
        <v>#N/A</v>
      </c>
      <c r="E397" s="167">
        <v>1</v>
      </c>
      <c r="F397" s="168" t="e">
        <f t="shared" si="1"/>
        <v>#N/A</v>
      </c>
      <c r="G397" s="144"/>
      <c r="H397" s="175">
        <v>42892</v>
      </c>
    </row>
    <row r="398" spans="1:8" ht="13.2">
      <c r="A398" s="183"/>
      <c r="B398" s="28" t="s">
        <v>1706</v>
      </c>
      <c r="C398" s="143" t="str">
        <f>VLOOKUP(B398,'Thống kê'!$C$3:$D$669,2,0)</f>
        <v>Bao lì xì</v>
      </c>
      <c r="D398" s="166">
        <f>VLOOKUP(B398,'Danh mục hàng hóa'!$C$3:$M$656,6,0)</f>
        <v>14500</v>
      </c>
      <c r="E398" s="167">
        <v>1</v>
      </c>
      <c r="F398" s="168">
        <f t="shared" si="1"/>
        <v>14500</v>
      </c>
      <c r="G398" s="144"/>
      <c r="H398" s="402">
        <v>134644</v>
      </c>
    </row>
    <row r="399" spans="1:8" ht="13.2">
      <c r="A399" s="183"/>
      <c r="B399" s="28" t="s">
        <v>1707</v>
      </c>
      <c r="C399" s="143" t="str">
        <f>VLOOKUP(B399,'Thống kê'!$C$3:$D$669,2,0)</f>
        <v xml:space="preserve">Bao lì xì </v>
      </c>
      <c r="D399" s="166">
        <f>VLOOKUP(B399,'Danh mục hàng hóa'!$C$3:$M$656,6,0)</f>
        <v>14500</v>
      </c>
      <c r="E399" s="167">
        <v>1</v>
      </c>
      <c r="F399" s="168">
        <f t="shared" si="1"/>
        <v>14500</v>
      </c>
      <c r="G399" s="144"/>
      <c r="H399" s="372"/>
    </row>
    <row r="400" spans="1:8" ht="13.2">
      <c r="A400" s="183"/>
      <c r="B400" s="28" t="s">
        <v>1370</v>
      </c>
      <c r="C400" s="143" t="str">
        <f>VLOOKUP(B400,'Thống kê'!$C$3:$D$669,2,0)</f>
        <v>Móc khóa Popbean</v>
      </c>
      <c r="D400" s="166" t="e">
        <f>VLOOKUP(B400,'Danh mục hàng hóa'!$C$3:$M$656,6,0)</f>
        <v>#N/A</v>
      </c>
      <c r="E400" s="167">
        <v>1</v>
      </c>
      <c r="F400" s="168" t="e">
        <f t="shared" si="1"/>
        <v>#N/A</v>
      </c>
      <c r="G400" s="144"/>
      <c r="H400" s="372"/>
    </row>
    <row r="401" spans="1:8" ht="13.2">
      <c r="A401" s="183"/>
      <c r="B401" s="28" t="s">
        <v>1382</v>
      </c>
      <c r="C401" s="143" t="str">
        <f>VLOOKUP(B401,'Thống kê'!$C$3:$D$669,2,0)</f>
        <v>miếng dán silicon điện thoại</v>
      </c>
      <c r="D401" s="166" t="e">
        <f>VLOOKUP(B401,'Danh mục hàng hóa'!$C$3:$M$656,6,0)</f>
        <v>#N/A</v>
      </c>
      <c r="E401" s="167">
        <v>1</v>
      </c>
      <c r="F401" s="168" t="e">
        <f t="shared" si="1"/>
        <v>#N/A</v>
      </c>
      <c r="G401" s="144"/>
      <c r="H401" s="372"/>
    </row>
    <row r="402" spans="1:8" ht="13.2">
      <c r="A402" s="183"/>
      <c r="B402" s="28" t="s">
        <v>1784</v>
      </c>
      <c r="C402" s="143" t="e">
        <f>VLOOKUP(B402,'Thống kê'!$C$3:$D$669,2,0)</f>
        <v>#N/A</v>
      </c>
      <c r="D402" s="166" t="e">
        <f>VLOOKUP(B402,'Danh mục hàng hóa'!$C$3:$M$656,6,0)</f>
        <v>#N/A</v>
      </c>
      <c r="E402" s="167">
        <v>1</v>
      </c>
      <c r="F402" s="168" t="e">
        <f t="shared" si="1"/>
        <v>#N/A</v>
      </c>
      <c r="G402" s="144"/>
      <c r="H402" s="372"/>
    </row>
    <row r="403" spans="1:8" ht="13.2">
      <c r="A403" s="183"/>
      <c r="B403" s="28" t="s">
        <v>1760</v>
      </c>
      <c r="C403" s="143">
        <f>VLOOKUP(B403,'Thống kê'!$C$3:$D$669,2,0)</f>
        <v>0</v>
      </c>
      <c r="D403" s="166" t="e">
        <f>VLOOKUP(B403,'Danh mục hàng hóa'!$C$3:$M$656,6,0)</f>
        <v>#N/A</v>
      </c>
      <c r="E403" s="167">
        <v>1</v>
      </c>
      <c r="F403" s="168" t="e">
        <f t="shared" si="1"/>
        <v>#N/A</v>
      </c>
      <c r="G403" s="144"/>
      <c r="H403" s="175">
        <v>78310</v>
      </c>
    </row>
    <row r="404" spans="1:8" ht="13.2">
      <c r="A404" s="183"/>
      <c r="B404" s="28" t="s">
        <v>1708</v>
      </c>
      <c r="C404" s="143" t="str">
        <f>VLOOKUP(B404,'Thống kê'!$C$3:$D$669,2,0)</f>
        <v xml:space="preserve">Bao lì xì </v>
      </c>
      <c r="D404" s="166">
        <f>VLOOKUP(B404,'Danh mục hàng hóa'!$C$3:$M$656,6,0)</f>
        <v>7720</v>
      </c>
      <c r="E404" s="167">
        <v>1</v>
      </c>
      <c r="F404" s="168">
        <f t="shared" si="1"/>
        <v>7720</v>
      </c>
      <c r="G404" s="144"/>
      <c r="H404" s="402">
        <v>17615</v>
      </c>
    </row>
    <row r="405" spans="1:8" ht="13.2">
      <c r="A405" s="183"/>
      <c r="B405" s="28" t="s">
        <v>1709</v>
      </c>
      <c r="C405" s="143" t="str">
        <f>VLOOKUP(B405,'Thống kê'!$C$3:$D$669,2,0)</f>
        <v xml:space="preserve">Bao lì xì </v>
      </c>
      <c r="D405" s="166">
        <f>VLOOKUP(B405,'Danh mục hàng hóa'!$C$3:$M$656,6,0)</f>
        <v>7720</v>
      </c>
      <c r="E405" s="167">
        <v>1</v>
      </c>
      <c r="F405" s="168">
        <f t="shared" si="1"/>
        <v>7720</v>
      </c>
      <c r="G405" s="144"/>
      <c r="H405" s="372"/>
    </row>
    <row r="406" spans="1:8" ht="13.2">
      <c r="A406" s="183"/>
      <c r="B406" s="28" t="s">
        <v>1706</v>
      </c>
      <c r="C406" s="143" t="str">
        <f>VLOOKUP(B406,'Thống kê'!$C$3:$D$669,2,0)</f>
        <v>Bao lì xì</v>
      </c>
      <c r="D406" s="166">
        <f>VLOOKUP(B406,'Danh mục hàng hóa'!$C$3:$M$656,6,0)</f>
        <v>14500</v>
      </c>
      <c r="E406" s="167">
        <v>1</v>
      </c>
      <c r="F406" s="168">
        <f t="shared" si="1"/>
        <v>14500</v>
      </c>
      <c r="G406" s="144"/>
      <c r="H406" s="402">
        <v>17714</v>
      </c>
    </row>
    <row r="407" spans="1:8" ht="13.2">
      <c r="A407" s="183"/>
      <c r="B407" s="28" t="s">
        <v>1712</v>
      </c>
      <c r="C407" s="143" t="str">
        <f>VLOOKUP(B407,'Thống kê'!$C$3:$D$669,2,0)</f>
        <v xml:space="preserve">Bao lì xì </v>
      </c>
      <c r="D407" s="166">
        <f>VLOOKUP(B407,'Danh mục hàng hóa'!$C$3:$M$656,6,0)</f>
        <v>7720</v>
      </c>
      <c r="E407" s="167">
        <v>1</v>
      </c>
      <c r="F407" s="168">
        <f t="shared" si="1"/>
        <v>7720</v>
      </c>
      <c r="G407" s="144"/>
      <c r="H407" s="372"/>
    </row>
    <row r="408" spans="1:8" ht="13.2">
      <c r="A408" s="185"/>
      <c r="B408" s="28" t="s">
        <v>1706</v>
      </c>
      <c r="C408" s="143" t="str">
        <f>VLOOKUP(B408,'Thống kê'!$C$3:$D$669,2,0)</f>
        <v>Bao lì xì</v>
      </c>
      <c r="D408" s="166">
        <f>VLOOKUP(B408,'Danh mục hàng hóa'!$C$3:$M$656,6,0)</f>
        <v>14500</v>
      </c>
      <c r="E408" s="167">
        <v>1</v>
      </c>
      <c r="F408" s="168">
        <f t="shared" si="1"/>
        <v>14500</v>
      </c>
      <c r="G408" s="144"/>
      <c r="H408" s="175">
        <v>41825</v>
      </c>
    </row>
    <row r="409" spans="1:8" ht="13.2">
      <c r="A409" s="152"/>
      <c r="B409" s="28" t="s">
        <v>1706</v>
      </c>
      <c r="C409" s="143" t="str">
        <f>VLOOKUP(B409,'Thống kê'!$C$3:$D$669,2,0)</f>
        <v>Bao lì xì</v>
      </c>
      <c r="D409" s="166">
        <f>VLOOKUP(B409,'Danh mục hàng hóa'!$C$3:$M$656,6,0)</f>
        <v>14500</v>
      </c>
      <c r="E409" s="167">
        <v>2</v>
      </c>
      <c r="F409" s="168">
        <f t="shared" si="1"/>
        <v>29000</v>
      </c>
      <c r="G409" s="144"/>
      <c r="H409" s="175">
        <v>20075</v>
      </c>
    </row>
    <row r="410" spans="1:8" ht="13.2">
      <c r="A410" s="183"/>
      <c r="B410" s="28" t="s">
        <v>1706</v>
      </c>
      <c r="C410" s="143" t="str">
        <f>VLOOKUP(B410,'Thống kê'!$C$3:$D$669,2,0)</f>
        <v>Bao lì xì</v>
      </c>
      <c r="D410" s="166">
        <f>VLOOKUP(B410,'Danh mục hàng hóa'!$C$3:$M$656,6,0)</f>
        <v>14500</v>
      </c>
      <c r="E410" s="167">
        <v>1</v>
      </c>
      <c r="F410" s="168">
        <f t="shared" si="1"/>
        <v>14500</v>
      </c>
      <c r="G410" s="144"/>
      <c r="H410" s="402">
        <v>18570</v>
      </c>
    </row>
    <row r="411" spans="1:8" ht="13.2">
      <c r="A411" s="183"/>
      <c r="B411" s="28" t="s">
        <v>1709</v>
      </c>
      <c r="C411" s="143" t="str">
        <f>VLOOKUP(B411,'Thống kê'!$C$3:$D$669,2,0)</f>
        <v xml:space="preserve">Bao lì xì </v>
      </c>
      <c r="D411" s="166">
        <f>VLOOKUP(B411,'Danh mục hàng hóa'!$C$3:$M$656,6,0)</f>
        <v>7720</v>
      </c>
      <c r="E411" s="167">
        <v>1</v>
      </c>
      <c r="F411" s="168">
        <f t="shared" si="1"/>
        <v>7720</v>
      </c>
      <c r="G411" s="144"/>
      <c r="H411" s="372"/>
    </row>
    <row r="412" spans="1:8" ht="13.2">
      <c r="A412" s="183"/>
      <c r="B412" s="28" t="s">
        <v>1706</v>
      </c>
      <c r="C412" s="143" t="str">
        <f>VLOOKUP(B412,'Thống kê'!$C$3:$D$669,2,0)</f>
        <v>Bao lì xì</v>
      </c>
      <c r="D412" s="166">
        <f>VLOOKUP(B412,'Danh mục hàng hóa'!$C$3:$M$656,6,0)</f>
        <v>14500</v>
      </c>
      <c r="E412" s="167">
        <v>1</v>
      </c>
      <c r="F412" s="168">
        <f t="shared" si="1"/>
        <v>14500</v>
      </c>
      <c r="G412" s="144"/>
      <c r="H412" s="402">
        <v>18370</v>
      </c>
    </row>
    <row r="413" spans="1:8" ht="13.2">
      <c r="A413" s="183"/>
      <c r="B413" s="28" t="s">
        <v>1708</v>
      </c>
      <c r="C413" s="143" t="str">
        <f>VLOOKUP(B413,'Thống kê'!$C$3:$D$669,2,0)</f>
        <v xml:space="preserve">Bao lì xì </v>
      </c>
      <c r="D413" s="166">
        <f>VLOOKUP(B413,'Danh mục hàng hóa'!$C$3:$M$656,6,0)</f>
        <v>7720</v>
      </c>
      <c r="E413" s="167">
        <v>1</v>
      </c>
      <c r="F413" s="168">
        <f t="shared" si="1"/>
        <v>7720</v>
      </c>
      <c r="G413" s="144"/>
      <c r="H413" s="372"/>
    </row>
    <row r="414" spans="1:8" ht="13.2">
      <c r="A414" s="183"/>
      <c r="B414" s="28" t="s">
        <v>1709</v>
      </c>
      <c r="C414" s="143" t="str">
        <f>VLOOKUP(B414,'Thống kê'!$C$3:$D$669,2,0)</f>
        <v xml:space="preserve">Bao lì xì </v>
      </c>
      <c r="D414" s="166">
        <f>VLOOKUP(B414,'Danh mục hàng hóa'!$C$3:$M$656,6,0)</f>
        <v>7720</v>
      </c>
      <c r="E414" s="167">
        <v>1</v>
      </c>
      <c r="F414" s="168">
        <f t="shared" si="1"/>
        <v>7720</v>
      </c>
      <c r="G414" s="144"/>
      <c r="H414" s="175">
        <v>17615</v>
      </c>
    </row>
    <row r="415" spans="1:8" ht="13.2">
      <c r="A415" s="183"/>
      <c r="B415" s="28" t="s">
        <v>1707</v>
      </c>
      <c r="C415" s="143" t="str">
        <f>VLOOKUP(B415,'Thống kê'!$C$3:$D$669,2,0)</f>
        <v xml:space="preserve">Bao lì xì </v>
      </c>
      <c r="D415" s="166">
        <f>VLOOKUP(B415,'Danh mục hàng hóa'!$C$3:$M$656,6,0)</f>
        <v>14500</v>
      </c>
      <c r="E415" s="167">
        <v>1</v>
      </c>
      <c r="F415" s="168">
        <f t="shared" si="1"/>
        <v>14500</v>
      </c>
      <c r="G415" s="144"/>
      <c r="H415" s="402">
        <v>27865</v>
      </c>
    </row>
    <row r="416" spans="1:8" ht="13.2">
      <c r="A416" s="183"/>
      <c r="B416" s="28" t="s">
        <v>1708</v>
      </c>
      <c r="C416" s="143" t="str">
        <f>VLOOKUP(B416,'Thống kê'!$C$3:$D$669,2,0)</f>
        <v xml:space="preserve">Bao lì xì </v>
      </c>
      <c r="D416" s="166">
        <f>VLOOKUP(B416,'Danh mục hàng hóa'!$C$3:$M$656,6,0)</f>
        <v>7720</v>
      </c>
      <c r="E416" s="167">
        <v>1</v>
      </c>
      <c r="F416" s="168">
        <f t="shared" si="1"/>
        <v>7720</v>
      </c>
      <c r="G416" s="144"/>
      <c r="H416" s="372"/>
    </row>
    <row r="417" spans="1:8" ht="13.2">
      <c r="A417" s="183"/>
      <c r="B417" s="28" t="s">
        <v>1709</v>
      </c>
      <c r="C417" s="143" t="str">
        <f>VLOOKUP(B417,'Thống kê'!$C$3:$D$669,2,0)</f>
        <v xml:space="preserve">Bao lì xì </v>
      </c>
      <c r="D417" s="166">
        <f>VLOOKUP(B417,'Danh mục hàng hóa'!$C$3:$M$656,6,0)</f>
        <v>7720</v>
      </c>
      <c r="E417" s="167">
        <v>1</v>
      </c>
      <c r="F417" s="168">
        <f t="shared" si="1"/>
        <v>7720</v>
      </c>
      <c r="G417" s="144"/>
      <c r="H417" s="372"/>
    </row>
    <row r="418" spans="1:8" ht="13.2">
      <c r="A418" s="183"/>
      <c r="B418" s="28" t="s">
        <v>259</v>
      </c>
      <c r="C418" s="143" t="str">
        <f>VLOOKUP(B418,'Thống kê'!$C$3:$D$669,2,0)</f>
        <v>Móc khoá Crybaby mini Popmart</v>
      </c>
      <c r="D418" s="166" t="e">
        <f>VLOOKUP(B418,'Danh mục hàng hóa'!$C$3:$M$656,6,0)</f>
        <v>#N/A</v>
      </c>
      <c r="E418" s="167">
        <v>1</v>
      </c>
      <c r="F418" s="168" t="e">
        <f t="shared" si="1"/>
        <v>#N/A</v>
      </c>
      <c r="G418" s="144"/>
      <c r="H418" s="402">
        <v>82820</v>
      </c>
    </row>
    <row r="419" spans="1:8" ht="13.2">
      <c r="A419" s="183"/>
      <c r="B419" s="28" t="s">
        <v>1382</v>
      </c>
      <c r="C419" s="143" t="str">
        <f>VLOOKUP(B419,'Thống kê'!$C$3:$D$669,2,0)</f>
        <v>miếng dán silicon điện thoại</v>
      </c>
      <c r="D419" s="166" t="e">
        <f>VLOOKUP(B419,'Danh mục hàng hóa'!$C$3:$M$656,6,0)</f>
        <v>#N/A</v>
      </c>
      <c r="E419" s="167">
        <v>1</v>
      </c>
      <c r="F419" s="168" t="e">
        <f t="shared" si="1"/>
        <v>#N/A</v>
      </c>
      <c r="G419" s="144"/>
      <c r="H419" s="372"/>
    </row>
    <row r="420" spans="1:8" ht="13.2">
      <c r="A420" s="183"/>
      <c r="B420" s="28" t="s">
        <v>1706</v>
      </c>
      <c r="C420" s="143" t="str">
        <f>VLOOKUP(B420,'Thống kê'!$C$3:$D$669,2,0)</f>
        <v>Bao lì xì</v>
      </c>
      <c r="D420" s="166">
        <f>VLOOKUP(B420,'Danh mục hàng hóa'!$C$3:$M$656,6,0)</f>
        <v>14500</v>
      </c>
      <c r="E420" s="167">
        <v>2</v>
      </c>
      <c r="F420" s="168">
        <f t="shared" si="1"/>
        <v>29000</v>
      </c>
      <c r="G420" s="144"/>
      <c r="H420" s="402">
        <v>43490</v>
      </c>
    </row>
    <row r="421" spans="1:8" ht="13.2">
      <c r="A421" s="183"/>
      <c r="B421" s="28" t="s">
        <v>1707</v>
      </c>
      <c r="C421" s="143" t="str">
        <f>VLOOKUP(B421,'Thống kê'!$C$3:$D$669,2,0)</f>
        <v xml:space="preserve">Bao lì xì </v>
      </c>
      <c r="D421" s="166">
        <f>VLOOKUP(B421,'Danh mục hàng hóa'!$C$3:$M$656,6,0)</f>
        <v>14500</v>
      </c>
      <c r="E421" s="167">
        <v>2</v>
      </c>
      <c r="F421" s="168">
        <f t="shared" si="1"/>
        <v>29000</v>
      </c>
      <c r="G421" s="144"/>
      <c r="H421" s="372"/>
    </row>
    <row r="422" spans="1:8" ht="13.2">
      <c r="A422" s="183"/>
      <c r="B422" s="28" t="s">
        <v>1708</v>
      </c>
      <c r="C422" s="143" t="str">
        <f>VLOOKUP(B422,'Thống kê'!$C$3:$D$669,2,0)</f>
        <v xml:space="preserve">Bao lì xì </v>
      </c>
      <c r="D422" s="166">
        <f>VLOOKUP(B422,'Danh mục hàng hóa'!$C$3:$M$656,6,0)</f>
        <v>7720</v>
      </c>
      <c r="E422" s="167">
        <v>1</v>
      </c>
      <c r="F422" s="168">
        <f t="shared" si="1"/>
        <v>7720</v>
      </c>
      <c r="G422" s="144"/>
      <c r="H422" s="372"/>
    </row>
    <row r="423" spans="1:8" ht="13.2">
      <c r="A423" s="183"/>
      <c r="B423" s="28" t="s">
        <v>1784</v>
      </c>
      <c r="C423" s="143" t="e">
        <f>VLOOKUP(B423,'Thống kê'!$C$3:$D$669,2,0)</f>
        <v>#N/A</v>
      </c>
      <c r="D423" s="166" t="e">
        <f>VLOOKUP(B423,'Danh mục hàng hóa'!$C$3:$M$656,6,0)</f>
        <v>#N/A</v>
      </c>
      <c r="E423" s="167">
        <v>1</v>
      </c>
      <c r="F423" s="168" t="e">
        <f t="shared" si="1"/>
        <v>#N/A</v>
      </c>
      <c r="G423" s="144"/>
      <c r="H423" s="372"/>
    </row>
    <row r="424" spans="1:8" ht="13.2">
      <c r="A424" s="183"/>
      <c r="B424" s="28" t="s">
        <v>1706</v>
      </c>
      <c r="C424" s="143" t="str">
        <f>VLOOKUP(B424,'Thống kê'!$C$3:$D$669,2,0)</f>
        <v>Bao lì xì</v>
      </c>
      <c r="D424" s="166">
        <f>VLOOKUP(B424,'Danh mục hàng hóa'!$C$3:$M$656,6,0)</f>
        <v>14500</v>
      </c>
      <c r="E424" s="167">
        <v>4</v>
      </c>
      <c r="F424" s="168">
        <f t="shared" si="1"/>
        <v>58000</v>
      </c>
      <c r="G424" s="144"/>
      <c r="H424" s="402">
        <v>37594</v>
      </c>
    </row>
    <row r="425" spans="1:8" ht="13.2">
      <c r="A425" s="183"/>
      <c r="B425" s="28" t="s">
        <v>1706</v>
      </c>
      <c r="C425" s="143" t="str">
        <f>VLOOKUP(B425,'Thống kê'!$C$3:$D$669,2,0)</f>
        <v>Bao lì xì</v>
      </c>
      <c r="D425" s="166">
        <f>VLOOKUP(B425,'Danh mục hàng hóa'!$C$3:$M$656,6,0)</f>
        <v>14500</v>
      </c>
      <c r="E425" s="167">
        <v>1</v>
      </c>
      <c r="F425" s="168">
        <f t="shared" si="1"/>
        <v>14500</v>
      </c>
      <c r="G425" s="144"/>
      <c r="H425" s="372"/>
    </row>
    <row r="426" spans="1:8" ht="13.2">
      <c r="A426" s="183"/>
      <c r="B426" s="28" t="s">
        <v>1788</v>
      </c>
      <c r="C426" s="143" t="str">
        <f>VLOOKUP(B426,'Thống kê'!$C$3:$D$669,2,0)</f>
        <v>Túi chườm bụng thỏ hồng 500ml</v>
      </c>
      <c r="D426" s="166" t="e">
        <f>VLOOKUP(B426,'Danh mục hàng hóa'!$C$3:$M$656,6,0)</f>
        <v>#N/A</v>
      </c>
      <c r="E426" s="167">
        <v>1</v>
      </c>
      <c r="F426" s="168" t="e">
        <f t="shared" si="1"/>
        <v>#N/A</v>
      </c>
      <c r="G426" s="144"/>
      <c r="H426" s="402">
        <v>142523</v>
      </c>
    </row>
    <row r="427" spans="1:8" ht="13.2">
      <c r="A427" s="183"/>
      <c r="B427" s="28" t="s">
        <v>1384</v>
      </c>
      <c r="C427" s="143" t="str">
        <f>VLOOKUP(B427,'Thống kê'!$C$3:$D$669,2,0)</f>
        <v>Móc khoá Crybaby mini Popmart</v>
      </c>
      <c r="D427" s="166" t="e">
        <f>VLOOKUP(B427,'Danh mục hàng hóa'!$C$3:$M$656,6,0)</f>
        <v>#N/A</v>
      </c>
      <c r="E427" s="167">
        <v>1</v>
      </c>
      <c r="F427" s="168" t="e">
        <f t="shared" si="1"/>
        <v>#N/A</v>
      </c>
      <c r="G427" s="144"/>
      <c r="H427" s="372"/>
    </row>
    <row r="428" spans="1:8" ht="13.2">
      <c r="A428" s="183"/>
      <c r="B428" s="28" t="s">
        <v>1382</v>
      </c>
      <c r="C428" s="143" t="str">
        <f>VLOOKUP(B428,'Thống kê'!$C$3:$D$669,2,0)</f>
        <v>miếng dán silicon điện thoại</v>
      </c>
      <c r="D428" s="166" t="e">
        <f>VLOOKUP(B428,'Danh mục hàng hóa'!$C$3:$M$656,6,0)</f>
        <v>#N/A</v>
      </c>
      <c r="E428" s="167">
        <v>1</v>
      </c>
      <c r="F428" s="168" t="e">
        <f t="shared" si="1"/>
        <v>#N/A</v>
      </c>
      <c r="G428" s="144"/>
      <c r="H428" s="372"/>
    </row>
    <row r="429" spans="1:8" ht="13.2">
      <c r="A429" s="183"/>
      <c r="B429" s="28" t="s">
        <v>1709</v>
      </c>
      <c r="C429" s="143" t="str">
        <f>VLOOKUP(B429,'Thống kê'!$C$3:$D$669,2,0)</f>
        <v xml:space="preserve">Bao lì xì </v>
      </c>
      <c r="D429" s="166">
        <f>VLOOKUP(B429,'Danh mục hàng hóa'!$C$3:$M$656,6,0)</f>
        <v>7720</v>
      </c>
      <c r="E429" s="167">
        <v>1</v>
      </c>
      <c r="F429" s="168">
        <f t="shared" si="1"/>
        <v>7720</v>
      </c>
      <c r="G429" s="144"/>
      <c r="H429" s="175">
        <v>8595</v>
      </c>
    </row>
    <row r="430" spans="1:8" ht="13.2">
      <c r="A430" s="183"/>
      <c r="B430" s="28" t="s">
        <v>1461</v>
      </c>
      <c r="C430" s="143">
        <f>VLOOKUP(B430,'Thống kê'!$C$3:$D$669,2,0)</f>
        <v>0</v>
      </c>
      <c r="D430" s="166" t="e">
        <f>VLOOKUP(B430,'Danh mục hàng hóa'!$C$3:$M$656,6,0)</f>
        <v>#N/A</v>
      </c>
      <c r="E430" s="167">
        <v>1</v>
      </c>
      <c r="F430" s="168" t="e">
        <f t="shared" si="1"/>
        <v>#N/A</v>
      </c>
      <c r="G430" s="144"/>
      <c r="H430" s="402">
        <v>75040</v>
      </c>
    </row>
    <row r="431" spans="1:8" ht="13.2">
      <c r="A431" s="183"/>
      <c r="B431" s="28" t="s">
        <v>1382</v>
      </c>
      <c r="C431" s="143" t="str">
        <f>VLOOKUP(B431,'Thống kê'!$C$3:$D$669,2,0)</f>
        <v>miếng dán silicon điện thoại</v>
      </c>
      <c r="D431" s="166" t="e">
        <f>VLOOKUP(B431,'Danh mục hàng hóa'!$C$3:$M$656,6,0)</f>
        <v>#N/A</v>
      </c>
      <c r="E431" s="167">
        <v>1</v>
      </c>
      <c r="F431" s="168" t="e">
        <f t="shared" si="1"/>
        <v>#N/A</v>
      </c>
      <c r="G431" s="144"/>
      <c r="H431" s="372"/>
    </row>
    <row r="432" spans="1:8" ht="13.2">
      <c r="A432" s="183"/>
      <c r="B432" s="28" t="s">
        <v>1784</v>
      </c>
      <c r="C432" s="143" t="e">
        <f>VLOOKUP(B432,'Thống kê'!$C$3:$D$669,2,0)</f>
        <v>#N/A</v>
      </c>
      <c r="D432" s="166" t="e">
        <f>VLOOKUP(B432,'Danh mục hàng hóa'!$C$3:$M$656,6,0)</f>
        <v>#N/A</v>
      </c>
      <c r="E432" s="167">
        <v>4</v>
      </c>
      <c r="F432" s="168" t="e">
        <f t="shared" si="1"/>
        <v>#N/A</v>
      </c>
      <c r="G432" s="144"/>
      <c r="H432" s="402">
        <v>78549</v>
      </c>
    </row>
    <row r="433" spans="1:8" ht="13.2">
      <c r="A433" s="183"/>
      <c r="B433" s="28" t="s">
        <v>1784</v>
      </c>
      <c r="C433" s="143" t="e">
        <f>VLOOKUP(B433,'Thống kê'!$C$3:$D$669,2,0)</f>
        <v>#N/A</v>
      </c>
      <c r="D433" s="166" t="e">
        <f>VLOOKUP(B433,'Danh mục hàng hóa'!$C$3:$M$656,6,0)</f>
        <v>#N/A</v>
      </c>
      <c r="E433" s="167">
        <v>4</v>
      </c>
      <c r="F433" s="168" t="e">
        <f t="shared" si="1"/>
        <v>#N/A</v>
      </c>
      <c r="G433" s="144"/>
      <c r="H433" s="372"/>
    </row>
    <row r="434" spans="1:8" ht="13.2">
      <c r="A434" s="183"/>
      <c r="B434" s="28" t="s">
        <v>1784</v>
      </c>
      <c r="C434" s="143" t="e">
        <f>VLOOKUP(B434,'Thống kê'!$C$3:$D$669,2,0)</f>
        <v>#N/A</v>
      </c>
      <c r="D434" s="166" t="e">
        <f>VLOOKUP(B434,'Danh mục hàng hóa'!$C$3:$M$656,6,0)</f>
        <v>#N/A</v>
      </c>
      <c r="E434" s="167">
        <v>2</v>
      </c>
      <c r="F434" s="168" t="e">
        <f t="shared" si="1"/>
        <v>#N/A</v>
      </c>
      <c r="G434" s="144"/>
      <c r="H434" s="372"/>
    </row>
    <row r="435" spans="1:8" ht="13.2">
      <c r="A435" s="183"/>
      <c r="B435" s="28" t="s">
        <v>1707</v>
      </c>
      <c r="C435" s="143" t="str">
        <f>VLOOKUP(B435,'Thống kê'!$C$3:$D$669,2,0)</f>
        <v xml:space="preserve">Bao lì xì </v>
      </c>
      <c r="D435" s="166">
        <f>VLOOKUP(B435,'Danh mục hàng hóa'!$C$3:$M$656,6,0)</f>
        <v>14500</v>
      </c>
      <c r="E435" s="167">
        <v>2</v>
      </c>
      <c r="F435" s="168">
        <f t="shared" si="1"/>
        <v>29000</v>
      </c>
      <c r="G435" s="144"/>
      <c r="H435" s="372"/>
    </row>
    <row r="436" spans="1:8" ht="13.2">
      <c r="A436" s="183"/>
      <c r="B436" s="28" t="s">
        <v>1709</v>
      </c>
      <c r="C436" s="143" t="str">
        <f>VLOOKUP(B436,'Thống kê'!$C$3:$D$669,2,0)</f>
        <v xml:space="preserve">Bao lì xì </v>
      </c>
      <c r="D436" s="166">
        <f>VLOOKUP(B436,'Danh mục hàng hóa'!$C$3:$M$656,6,0)</f>
        <v>7720</v>
      </c>
      <c r="E436" s="167">
        <v>2</v>
      </c>
      <c r="F436" s="168">
        <f t="shared" si="1"/>
        <v>15440</v>
      </c>
      <c r="G436" s="144"/>
      <c r="H436" s="372"/>
    </row>
    <row r="437" spans="1:8" ht="13.2">
      <c r="A437" s="183"/>
      <c r="B437" s="28" t="s">
        <v>1661</v>
      </c>
      <c r="C437" s="143" t="str">
        <f>VLOOKUP(B437,'Thống kê'!$C$3:$D$669,2,0)</f>
        <v>Móc khóa Popbean Kubo</v>
      </c>
      <c r="D437" s="166" t="e">
        <f>VLOOKUP(B437,'Danh mục hàng hóa'!$C$3:$M$656,6,0)</f>
        <v>#N/A</v>
      </c>
      <c r="E437" s="167">
        <v>1</v>
      </c>
      <c r="F437" s="168" t="e">
        <f t="shared" si="1"/>
        <v>#N/A</v>
      </c>
      <c r="G437" s="144"/>
      <c r="H437" s="402">
        <v>88565</v>
      </c>
    </row>
    <row r="438" spans="1:8" ht="13.2">
      <c r="A438" s="183"/>
      <c r="B438" s="28" t="s">
        <v>1382</v>
      </c>
      <c r="C438" s="143" t="str">
        <f>VLOOKUP(B438,'Thống kê'!$C$3:$D$669,2,0)</f>
        <v>miếng dán silicon điện thoại</v>
      </c>
      <c r="D438" s="166" t="e">
        <f>VLOOKUP(B438,'Danh mục hàng hóa'!$C$3:$M$656,6,0)</f>
        <v>#N/A</v>
      </c>
      <c r="E438" s="167">
        <v>1</v>
      </c>
      <c r="F438" s="168" t="e">
        <f t="shared" si="1"/>
        <v>#N/A</v>
      </c>
      <c r="G438" s="144"/>
      <c r="H438" s="372"/>
    </row>
    <row r="439" spans="1:8" ht="13.2">
      <c r="A439" s="183"/>
      <c r="B439" s="28" t="s">
        <v>1706</v>
      </c>
      <c r="C439" s="143" t="str">
        <f>VLOOKUP(B439,'Thống kê'!$C$3:$D$669,2,0)</f>
        <v>Bao lì xì</v>
      </c>
      <c r="D439" s="166">
        <f>VLOOKUP(B439,'Danh mục hàng hóa'!$C$3:$M$656,6,0)</f>
        <v>14500</v>
      </c>
      <c r="E439" s="167">
        <v>2</v>
      </c>
      <c r="F439" s="168">
        <f t="shared" si="1"/>
        <v>29000</v>
      </c>
      <c r="G439" s="144"/>
      <c r="H439" s="402">
        <v>54998</v>
      </c>
    </row>
    <row r="440" spans="1:8" ht="13.2">
      <c r="A440" s="183"/>
      <c r="B440" s="28" t="s">
        <v>1707</v>
      </c>
      <c r="C440" s="143" t="str">
        <f>VLOOKUP(B440,'Thống kê'!$C$3:$D$669,2,0)</f>
        <v xml:space="preserve">Bao lì xì </v>
      </c>
      <c r="D440" s="166">
        <f>VLOOKUP(B440,'Danh mục hàng hóa'!$C$3:$M$656,6,0)</f>
        <v>14500</v>
      </c>
      <c r="E440" s="167">
        <v>2</v>
      </c>
      <c r="F440" s="168">
        <f t="shared" si="1"/>
        <v>29000</v>
      </c>
      <c r="G440" s="144"/>
      <c r="H440" s="372"/>
    </row>
    <row r="441" spans="1:8" ht="13.2">
      <c r="A441" s="183"/>
      <c r="B441" s="28" t="s">
        <v>1708</v>
      </c>
      <c r="C441" s="143" t="str">
        <f>VLOOKUP(B441,'Thống kê'!$C$3:$D$669,2,0)</f>
        <v xml:space="preserve">Bao lì xì </v>
      </c>
      <c r="D441" s="166">
        <f>VLOOKUP(B441,'Danh mục hàng hóa'!$C$3:$M$656,6,0)</f>
        <v>7720</v>
      </c>
      <c r="E441" s="167">
        <v>3</v>
      </c>
      <c r="F441" s="168">
        <f t="shared" si="1"/>
        <v>23160</v>
      </c>
      <c r="G441" s="144"/>
      <c r="H441" s="372"/>
    </row>
    <row r="442" spans="1:8" ht="13.2">
      <c r="A442" s="183"/>
      <c r="B442" s="28" t="s">
        <v>1709</v>
      </c>
      <c r="C442" s="143" t="str">
        <f>VLOOKUP(B442,'Thống kê'!$C$3:$D$669,2,0)</f>
        <v xml:space="preserve">Bao lì xì </v>
      </c>
      <c r="D442" s="166">
        <f>VLOOKUP(B442,'Danh mục hàng hóa'!$C$3:$M$656,6,0)</f>
        <v>7720</v>
      </c>
      <c r="E442" s="167">
        <v>1</v>
      </c>
      <c r="F442" s="168">
        <f t="shared" si="1"/>
        <v>7720</v>
      </c>
      <c r="G442" s="144"/>
      <c r="H442" s="373"/>
    </row>
    <row r="443" spans="1:8" ht="13.2">
      <c r="A443" s="183"/>
      <c r="B443" s="28" t="s">
        <v>1706</v>
      </c>
      <c r="C443" s="143" t="str">
        <f>VLOOKUP(B443,'Thống kê'!$C$3:$D$669,2,0)</f>
        <v>Bao lì xì</v>
      </c>
      <c r="D443" s="166">
        <f>VLOOKUP(B443,'Danh mục hàng hóa'!$C$3:$M$656,6,0)</f>
        <v>14500</v>
      </c>
      <c r="E443" s="167">
        <v>1</v>
      </c>
      <c r="F443" s="168">
        <f t="shared" si="1"/>
        <v>14500</v>
      </c>
      <c r="G443" s="144"/>
      <c r="H443" s="403">
        <v>18860</v>
      </c>
    </row>
    <row r="444" spans="1:8" ht="13.2">
      <c r="A444" s="183"/>
      <c r="B444" s="28" t="s">
        <v>1707</v>
      </c>
      <c r="C444" s="143" t="str">
        <f>VLOOKUP(B444,'Thống kê'!$C$3:$D$669,2,0)</f>
        <v xml:space="preserve">Bao lì xì </v>
      </c>
      <c r="D444" s="166">
        <f>VLOOKUP(B444,'Danh mục hàng hóa'!$C$3:$M$656,6,0)</f>
        <v>14500</v>
      </c>
      <c r="E444" s="167">
        <v>1</v>
      </c>
      <c r="F444" s="168">
        <f t="shared" si="1"/>
        <v>14500</v>
      </c>
      <c r="G444" s="144"/>
      <c r="H444" s="372"/>
    </row>
    <row r="445" spans="1:8" ht="13.2">
      <c r="A445" s="183"/>
      <c r="B445" s="28" t="s">
        <v>1706</v>
      </c>
      <c r="C445" s="143" t="str">
        <f>VLOOKUP(B445,'Thống kê'!$C$3:$D$669,2,0)</f>
        <v>Bao lì xì</v>
      </c>
      <c r="D445" s="166">
        <f>VLOOKUP(B445,'Danh mục hàng hóa'!$C$3:$M$656,6,0)</f>
        <v>14500</v>
      </c>
      <c r="E445" s="167">
        <v>1</v>
      </c>
      <c r="F445" s="168">
        <f t="shared" si="1"/>
        <v>14500</v>
      </c>
      <c r="G445" s="144"/>
      <c r="H445" s="402">
        <v>47970</v>
      </c>
    </row>
    <row r="446" spans="1:8" ht="13.2">
      <c r="A446" s="183"/>
      <c r="B446" s="28" t="s">
        <v>1707</v>
      </c>
      <c r="C446" s="143" t="str">
        <f>VLOOKUP(B446,'Thống kê'!$C$3:$D$669,2,0)</f>
        <v xml:space="preserve">Bao lì xì </v>
      </c>
      <c r="D446" s="166">
        <f>VLOOKUP(B446,'Danh mục hàng hóa'!$C$3:$M$656,6,0)</f>
        <v>14500</v>
      </c>
      <c r="E446" s="167">
        <v>3</v>
      </c>
      <c r="F446" s="168">
        <f t="shared" si="1"/>
        <v>43500</v>
      </c>
      <c r="G446" s="144"/>
      <c r="H446" s="372"/>
    </row>
    <row r="447" spans="1:8" ht="13.2">
      <c r="A447" s="185"/>
      <c r="B447" s="28" t="s">
        <v>1706</v>
      </c>
      <c r="C447" s="143" t="str">
        <f>VLOOKUP(B447,'Thống kê'!$C$3:$D$669,2,0)</f>
        <v>Bao lì xì</v>
      </c>
      <c r="D447" s="166">
        <f>VLOOKUP(B447,'Danh mục hàng hóa'!$C$3:$M$656,6,0)</f>
        <v>14500</v>
      </c>
      <c r="E447" s="167">
        <v>2</v>
      </c>
      <c r="F447" s="168">
        <f t="shared" si="1"/>
        <v>29000</v>
      </c>
      <c r="G447" s="144"/>
      <c r="H447" s="372"/>
    </row>
    <row r="448" spans="1:8" ht="13.2">
      <c r="A448" s="186">
        <v>45676</v>
      </c>
      <c r="B448" s="28" t="s">
        <v>1707</v>
      </c>
      <c r="C448" s="143" t="str">
        <f>VLOOKUP(B448,'Thống kê'!$C$3:$D$669,2,0)</f>
        <v xml:space="preserve">Bao lì xì </v>
      </c>
      <c r="D448" s="166">
        <f>VLOOKUP(B448,'Danh mục hàng hóa'!$C$3:$M$656,6,0)</f>
        <v>14500</v>
      </c>
      <c r="E448" s="167">
        <v>4</v>
      </c>
      <c r="F448" s="168">
        <f t="shared" si="1"/>
        <v>58000</v>
      </c>
      <c r="G448" s="144"/>
      <c r="H448" s="402">
        <v>37969</v>
      </c>
    </row>
    <row r="449" spans="1:8" ht="13.2">
      <c r="A449" s="183"/>
      <c r="B449" s="28" t="s">
        <v>1707</v>
      </c>
      <c r="C449" s="143" t="str">
        <f>VLOOKUP(B449,'Thống kê'!$C$3:$D$669,2,0)</f>
        <v xml:space="preserve">Bao lì xì </v>
      </c>
      <c r="D449" s="166">
        <f>VLOOKUP(B449,'Danh mục hàng hóa'!$C$3:$M$656,6,0)</f>
        <v>14500</v>
      </c>
      <c r="E449" s="167">
        <v>1</v>
      </c>
      <c r="F449" s="168">
        <f t="shared" si="1"/>
        <v>14500</v>
      </c>
      <c r="G449" s="144"/>
      <c r="H449" s="372"/>
    </row>
    <row r="450" spans="1:8" ht="13.2">
      <c r="A450" s="183"/>
      <c r="B450" s="28" t="s">
        <v>1706</v>
      </c>
      <c r="C450" s="143" t="str">
        <f>VLOOKUP(B450,'Thống kê'!$C$3:$D$669,2,0)</f>
        <v>Bao lì xì</v>
      </c>
      <c r="D450" s="166">
        <f>VLOOKUP(B450,'Danh mục hàng hóa'!$C$3:$M$656,6,0)</f>
        <v>14500</v>
      </c>
      <c r="E450" s="167">
        <v>1</v>
      </c>
      <c r="F450" s="168">
        <f t="shared" si="1"/>
        <v>14500</v>
      </c>
      <c r="G450" s="144"/>
      <c r="H450" s="402">
        <v>27465</v>
      </c>
    </row>
    <row r="451" spans="1:8" ht="13.2">
      <c r="A451" s="183"/>
      <c r="B451" s="28" t="s">
        <v>1708</v>
      </c>
      <c r="C451" s="143" t="str">
        <f>VLOOKUP(B451,'Thống kê'!$C$3:$D$669,2,0)</f>
        <v xml:space="preserve">Bao lì xì </v>
      </c>
      <c r="D451" s="166">
        <f>VLOOKUP(B451,'Danh mục hàng hóa'!$C$3:$M$656,6,0)</f>
        <v>7720</v>
      </c>
      <c r="E451" s="167">
        <v>2</v>
      </c>
      <c r="F451" s="168">
        <f t="shared" si="1"/>
        <v>15440</v>
      </c>
      <c r="G451" s="144"/>
      <c r="H451" s="372"/>
    </row>
    <row r="452" spans="1:8" ht="13.2">
      <c r="A452" s="183"/>
      <c r="B452" s="28" t="s">
        <v>1706</v>
      </c>
      <c r="C452" s="143" t="str">
        <f>VLOOKUP(B452,'Thống kê'!$C$3:$D$669,2,0)</f>
        <v>Bao lì xì</v>
      </c>
      <c r="D452" s="166">
        <f>VLOOKUP(B452,'Danh mục hàng hóa'!$C$3:$M$656,6,0)</f>
        <v>14500</v>
      </c>
      <c r="E452" s="167">
        <v>1</v>
      </c>
      <c r="F452" s="168">
        <f t="shared" si="1"/>
        <v>14500</v>
      </c>
      <c r="G452" s="144"/>
      <c r="H452" s="402">
        <v>39202</v>
      </c>
    </row>
    <row r="453" spans="1:8" ht="13.2">
      <c r="A453" s="183"/>
      <c r="B453" s="28" t="s">
        <v>1707</v>
      </c>
      <c r="C453" s="143" t="str">
        <f>VLOOKUP(B453,'Thống kê'!$C$3:$D$669,2,0)</f>
        <v xml:space="preserve">Bao lì xì </v>
      </c>
      <c r="D453" s="166">
        <f>VLOOKUP(B453,'Danh mục hàng hóa'!$C$3:$M$656,6,0)</f>
        <v>14500</v>
      </c>
      <c r="E453" s="167">
        <v>1</v>
      </c>
      <c r="F453" s="168">
        <f t="shared" si="1"/>
        <v>14500</v>
      </c>
      <c r="G453" s="144"/>
      <c r="H453" s="372"/>
    </row>
    <row r="454" spans="1:8" ht="13.2">
      <c r="A454" s="183"/>
      <c r="B454" s="28" t="s">
        <v>1708</v>
      </c>
      <c r="C454" s="143" t="str">
        <f>VLOOKUP(B454,'Thống kê'!$C$3:$D$669,2,0)</f>
        <v xml:space="preserve">Bao lì xì </v>
      </c>
      <c r="D454" s="166">
        <f>VLOOKUP(B454,'Danh mục hàng hóa'!$C$3:$M$656,6,0)</f>
        <v>7720</v>
      </c>
      <c r="E454" s="167">
        <v>2</v>
      </c>
      <c r="F454" s="168">
        <f t="shared" si="1"/>
        <v>15440</v>
      </c>
      <c r="G454" s="144"/>
      <c r="H454" s="372"/>
    </row>
    <row r="455" spans="1:8" ht="13.2">
      <c r="A455" s="183"/>
      <c r="B455" s="28" t="s">
        <v>1708</v>
      </c>
      <c r="C455" s="143" t="str">
        <f>VLOOKUP(B455,'Thống kê'!$C$3:$D$669,2,0)</f>
        <v xml:space="preserve">Bao lì xì </v>
      </c>
      <c r="D455" s="166">
        <f>VLOOKUP(B455,'Danh mục hàng hóa'!$C$3:$M$656,6,0)</f>
        <v>7720</v>
      </c>
      <c r="E455" s="167">
        <v>1</v>
      </c>
      <c r="F455" s="168">
        <f t="shared" si="1"/>
        <v>7720</v>
      </c>
      <c r="G455" s="144"/>
      <c r="H455" s="372"/>
    </row>
    <row r="456" spans="1:8" ht="13.2">
      <c r="A456" s="183"/>
      <c r="B456" s="28" t="s">
        <v>1707</v>
      </c>
      <c r="C456" s="143" t="str">
        <f>VLOOKUP(B456,'Thống kê'!$C$3:$D$669,2,0)</f>
        <v xml:space="preserve">Bao lì xì </v>
      </c>
      <c r="D456" s="166">
        <f>VLOOKUP(B456,'Danh mục hàng hóa'!$C$3:$M$656,6,0)</f>
        <v>14500</v>
      </c>
      <c r="E456" s="167">
        <v>3</v>
      </c>
      <c r="F456" s="168">
        <f t="shared" si="1"/>
        <v>43500</v>
      </c>
      <c r="G456" s="144"/>
      <c r="H456" s="402">
        <v>53762</v>
      </c>
    </row>
    <row r="457" spans="1:8" ht="13.2">
      <c r="A457" s="183"/>
      <c r="B457" s="28" t="s">
        <v>1709</v>
      </c>
      <c r="C457" s="143" t="str">
        <f>VLOOKUP(B457,'Thống kê'!$C$3:$D$669,2,0)</f>
        <v xml:space="preserve">Bao lì xì </v>
      </c>
      <c r="D457" s="166">
        <f>VLOOKUP(B457,'Danh mục hàng hóa'!$C$3:$M$656,6,0)</f>
        <v>7720</v>
      </c>
      <c r="E457" s="167">
        <v>1</v>
      </c>
      <c r="F457" s="168">
        <f t="shared" si="1"/>
        <v>7720</v>
      </c>
      <c r="G457" s="144"/>
      <c r="H457" s="372"/>
    </row>
    <row r="458" spans="1:8" ht="13.2">
      <c r="A458" s="183"/>
      <c r="B458" s="28" t="s">
        <v>1709</v>
      </c>
      <c r="C458" s="143" t="str">
        <f>VLOOKUP(B458,'Thống kê'!$C$3:$D$669,2,0)</f>
        <v xml:space="preserve">Bao lì xì </v>
      </c>
      <c r="D458" s="166">
        <f>VLOOKUP(B458,'Danh mục hàng hóa'!$C$3:$M$656,6,0)</f>
        <v>7720</v>
      </c>
      <c r="E458" s="167">
        <v>4</v>
      </c>
      <c r="F458" s="168">
        <f t="shared" si="1"/>
        <v>30880</v>
      </c>
      <c r="G458" s="144"/>
      <c r="H458" s="372"/>
    </row>
    <row r="459" spans="1:8" ht="13.2">
      <c r="A459" s="183"/>
      <c r="B459" s="28" t="s">
        <v>1594</v>
      </c>
      <c r="C459" s="143" t="str">
        <f>VLOOKUP(B459,'Thống kê'!$C$3:$D$669,2,0)</f>
        <v>Móc khóa đôi heo</v>
      </c>
      <c r="D459" s="166">
        <f>VLOOKUP(B459,'Danh mục hàng hóa'!$C$3:$M$656,6,0)</f>
        <v>56580</v>
      </c>
      <c r="E459" s="167">
        <v>1</v>
      </c>
      <c r="F459" s="168">
        <f t="shared" si="1"/>
        <v>56580</v>
      </c>
      <c r="G459" s="144"/>
      <c r="H459" s="175">
        <v>45186</v>
      </c>
    </row>
    <row r="460" spans="1:8" ht="13.2">
      <c r="A460" s="183"/>
      <c r="B460" s="28" t="s">
        <v>116</v>
      </c>
      <c r="C460" s="143" t="str">
        <f>VLOOKUP(B460,'Thống kê'!$C$3:$D$669,2,0)</f>
        <v>heo ú cầm hoa</v>
      </c>
      <c r="D460" s="166" t="e">
        <f>VLOOKUP(B460,'Danh mục hàng hóa'!$C$3:$M$656,6,0)</f>
        <v>#N/A</v>
      </c>
      <c r="E460" s="167">
        <v>1</v>
      </c>
      <c r="F460" s="168" t="e">
        <f t="shared" si="1"/>
        <v>#N/A</v>
      </c>
      <c r="G460" s="144"/>
      <c r="H460" s="175">
        <v>56456</v>
      </c>
    </row>
    <row r="461" spans="1:8" ht="13.2">
      <c r="A461" s="183"/>
      <c r="B461" s="28" t="s">
        <v>267</v>
      </c>
      <c r="C461" s="143">
        <f>VLOOKUP(B461,'Thống kê'!$C$3:$D$669,2,0)</f>
        <v>0</v>
      </c>
      <c r="D461" s="166" t="e">
        <f>VLOOKUP(B461,'Danh mục hàng hóa'!$C$3:$M$656,6,0)</f>
        <v>#N/A</v>
      </c>
      <c r="E461" s="167">
        <v>1</v>
      </c>
      <c r="F461" s="168" t="e">
        <f t="shared" si="1"/>
        <v>#N/A</v>
      </c>
      <c r="G461" s="144"/>
      <c r="H461" s="402">
        <v>208149</v>
      </c>
    </row>
    <row r="462" spans="1:8" ht="13.2">
      <c r="A462" s="183"/>
      <c r="B462" s="28" t="s">
        <v>1387</v>
      </c>
      <c r="C462" s="143" t="str">
        <f>VLOOKUP(B462,'Thống kê'!$C$3:$D$669,2,0)</f>
        <v>Móc khoá Crybaby mini Popmart</v>
      </c>
      <c r="D462" s="166" t="e">
        <f>VLOOKUP(B462,'Danh mục hàng hóa'!$C$3:$M$656,6,0)</f>
        <v>#N/A</v>
      </c>
      <c r="E462" s="167">
        <v>1</v>
      </c>
      <c r="F462" s="168" t="e">
        <f t="shared" si="1"/>
        <v>#N/A</v>
      </c>
      <c r="G462" s="144"/>
      <c r="H462" s="372"/>
    </row>
    <row r="463" spans="1:8" ht="13.2">
      <c r="A463" s="183"/>
      <c r="B463" s="28" t="s">
        <v>1382</v>
      </c>
      <c r="C463" s="143" t="str">
        <f>VLOOKUP(B463,'Thống kê'!$C$3:$D$669,2,0)</f>
        <v>miếng dán silicon điện thoại</v>
      </c>
      <c r="D463" s="166" t="e">
        <f>VLOOKUP(B463,'Danh mục hàng hóa'!$C$3:$M$656,6,0)</f>
        <v>#N/A</v>
      </c>
      <c r="E463" s="167">
        <v>1</v>
      </c>
      <c r="F463" s="168" t="e">
        <f t="shared" si="1"/>
        <v>#N/A</v>
      </c>
      <c r="G463" s="144"/>
      <c r="H463" s="372"/>
    </row>
    <row r="464" spans="1:8" ht="13.2">
      <c r="A464" s="183"/>
      <c r="B464" s="28" t="s">
        <v>1778</v>
      </c>
      <c r="C464" s="143" t="e">
        <f>VLOOKUP(B464,'Thống kê'!$C$3:$D$669,2,0)</f>
        <v>#N/A</v>
      </c>
      <c r="D464" s="166" t="e">
        <f>VLOOKUP(B464,'Danh mục hàng hóa'!$C$3:$M$656,6,0)</f>
        <v>#N/A</v>
      </c>
      <c r="E464" s="167">
        <v>3</v>
      </c>
      <c r="F464" s="168" t="e">
        <f t="shared" si="1"/>
        <v>#N/A</v>
      </c>
      <c r="G464" s="144"/>
      <c r="H464" s="402">
        <v>102336</v>
      </c>
    </row>
    <row r="465" spans="1:8" ht="13.2">
      <c r="A465" s="183"/>
      <c r="B465" s="28" t="s">
        <v>107</v>
      </c>
      <c r="C465" s="143">
        <f>VLOOKUP(B465,'Thống kê'!$C$3:$D$669,2,0)</f>
        <v>0</v>
      </c>
      <c r="D465" s="166" t="e">
        <f>VLOOKUP(B465,'Danh mục hàng hóa'!$C$3:$M$656,6,0)</f>
        <v>#N/A</v>
      </c>
      <c r="E465" s="167">
        <v>1</v>
      </c>
      <c r="F465" s="168" t="e">
        <f t="shared" si="1"/>
        <v>#N/A</v>
      </c>
      <c r="G465" s="144"/>
      <c r="H465" s="372"/>
    </row>
    <row r="466" spans="1:8" ht="13.2">
      <c r="A466" s="183"/>
      <c r="B466" s="28" t="s">
        <v>1382</v>
      </c>
      <c r="C466" s="143" t="str">
        <f>VLOOKUP(B466,'Thống kê'!$C$3:$D$669,2,0)</f>
        <v>miếng dán silicon điện thoại</v>
      </c>
      <c r="D466" s="166" t="e">
        <f>VLOOKUP(B466,'Danh mục hàng hóa'!$C$3:$M$656,6,0)</f>
        <v>#N/A</v>
      </c>
      <c r="E466" s="167">
        <v>1</v>
      </c>
      <c r="F466" s="168" t="e">
        <f t="shared" si="1"/>
        <v>#N/A</v>
      </c>
      <c r="G466" s="144"/>
      <c r="H466" s="372"/>
    </row>
    <row r="467" spans="1:8" ht="13.2">
      <c r="A467" s="183"/>
      <c r="B467" s="28" t="s">
        <v>1784</v>
      </c>
      <c r="C467" s="143" t="e">
        <f>VLOOKUP(B467,'Thống kê'!$C$3:$D$669,2,0)</f>
        <v>#N/A</v>
      </c>
      <c r="D467" s="166" t="e">
        <f>VLOOKUP(B467,'Danh mục hàng hóa'!$C$3:$M$656,6,0)</f>
        <v>#N/A</v>
      </c>
      <c r="E467" s="167">
        <v>1</v>
      </c>
      <c r="F467" s="168" t="e">
        <f t="shared" si="1"/>
        <v>#N/A</v>
      </c>
      <c r="G467" s="144"/>
      <c r="H467" s="372"/>
    </row>
    <row r="468" spans="1:8" ht="13.2">
      <c r="A468" s="183"/>
      <c r="B468" s="28" t="s">
        <v>1643</v>
      </c>
      <c r="C468" s="143" t="str">
        <f>VLOOKUP(B468,'Thống kê'!$C$3:$D$669,2,0)</f>
        <v>Túi chườm bụng dâu (hồng đất) 1000ml</v>
      </c>
      <c r="D468" s="166">
        <f>VLOOKUP(B468,'Danh mục hàng hóa'!$C$3:$M$656,6,0)</f>
        <v>91500</v>
      </c>
      <c r="E468" s="167">
        <v>1</v>
      </c>
      <c r="F468" s="168">
        <f t="shared" si="1"/>
        <v>91500</v>
      </c>
      <c r="G468" s="144"/>
      <c r="H468" s="175">
        <v>81262</v>
      </c>
    </row>
    <row r="469" spans="1:8" ht="13.2">
      <c r="A469" s="183"/>
      <c r="B469" s="28" t="s">
        <v>150</v>
      </c>
      <c r="C469" s="143" t="str">
        <f>VLOOKUP(B469,'Thống kê'!$C$3:$D$669,2,0)</f>
        <v>Móc khóa có chuông</v>
      </c>
      <c r="D469" s="166" t="e">
        <f>VLOOKUP(B469,'Danh mục hàng hóa'!$C$3:$M$656,6,0)</f>
        <v>#N/A</v>
      </c>
      <c r="E469" s="167">
        <v>60</v>
      </c>
      <c r="F469" s="168" t="e">
        <f t="shared" si="1"/>
        <v>#N/A</v>
      </c>
      <c r="G469" s="144"/>
      <c r="H469" s="402">
        <v>4741000</v>
      </c>
    </row>
    <row r="470" spans="1:8" ht="13.2">
      <c r="A470" s="183"/>
      <c r="B470" s="28" t="s">
        <v>1594</v>
      </c>
      <c r="C470" s="143" t="str">
        <f>VLOOKUP(B470,'Thống kê'!$C$3:$D$669,2,0)</f>
        <v>Móc khóa đôi heo</v>
      </c>
      <c r="D470" s="166">
        <f>VLOOKUP(B470,'Danh mục hàng hóa'!$C$3:$M$656,6,0)</f>
        <v>56580</v>
      </c>
      <c r="E470" s="167">
        <v>41</v>
      </c>
      <c r="F470" s="168">
        <f t="shared" si="1"/>
        <v>2319780</v>
      </c>
      <c r="G470" s="144"/>
      <c r="H470" s="372"/>
    </row>
    <row r="471" spans="1:8" ht="13.2">
      <c r="A471" s="183"/>
      <c r="B471" s="28" t="s">
        <v>231</v>
      </c>
      <c r="C471" s="143" t="str">
        <f>VLOOKUP(B471,'Thống kê'!$C$3:$D$669,2,0)</f>
        <v>Móc khóa đôi gấu trúc</v>
      </c>
      <c r="D471" s="166">
        <f>VLOOKUP(B471,'Danh mục hàng hóa'!$C$3:$M$656,6,0)</f>
        <v>56580</v>
      </c>
      <c r="E471" s="167">
        <v>8</v>
      </c>
      <c r="F471" s="168">
        <f t="shared" si="1"/>
        <v>452640</v>
      </c>
      <c r="G471" s="144"/>
      <c r="H471" s="372"/>
    </row>
    <row r="472" spans="1:8" ht="13.2">
      <c r="A472" s="183"/>
      <c r="B472" s="28" t="s">
        <v>1633</v>
      </c>
      <c r="C472" s="143" t="str">
        <f>VLOOKUP(B472,'Thống kê'!$C$3:$D$669,2,0)</f>
        <v>Móc khóa đôi gà rán bia</v>
      </c>
      <c r="D472" s="166">
        <f>VLOOKUP(B472,'Danh mục hàng hóa'!$C$3:$M$656,6,0)</f>
        <v>56580</v>
      </c>
      <c r="E472" s="167">
        <v>8</v>
      </c>
      <c r="F472" s="168">
        <f t="shared" si="1"/>
        <v>452640</v>
      </c>
      <c r="G472" s="144"/>
      <c r="H472" s="372"/>
    </row>
    <row r="473" spans="1:8" ht="13.2">
      <c r="A473" s="183"/>
      <c r="B473" s="28" t="s">
        <v>1634</v>
      </c>
      <c r="C473" s="143" t="str">
        <f>VLOOKUP(B473,'Thống kê'!$C$3:$D$669,2,0)</f>
        <v>Móc khóa mèo đen cá</v>
      </c>
      <c r="D473" s="166" t="e">
        <f>VLOOKUP(B473,'Danh mục hàng hóa'!$C$3:$M$656,6,0)</f>
        <v>#N/A</v>
      </c>
      <c r="E473" s="167">
        <v>8</v>
      </c>
      <c r="F473" s="168" t="e">
        <f t="shared" si="1"/>
        <v>#N/A</v>
      </c>
      <c r="G473" s="144"/>
      <c r="H473" s="372"/>
    </row>
    <row r="474" spans="1:8" ht="13.2">
      <c r="A474" s="183"/>
      <c r="B474" s="28" t="s">
        <v>1685</v>
      </c>
      <c r="C474" s="143" t="str">
        <f>VLOOKUP(B474,'Thống kê'!$C$3:$D$669,2,0)</f>
        <v>Capy</v>
      </c>
      <c r="D474" s="166" t="e">
        <f>VLOOKUP(B474,'Danh mục hàng hóa'!$C$3:$M$656,6,0)</f>
        <v>#N/A</v>
      </c>
      <c r="E474" s="167">
        <v>8</v>
      </c>
      <c r="F474" s="168" t="e">
        <f t="shared" si="1"/>
        <v>#N/A</v>
      </c>
      <c r="G474" s="144"/>
      <c r="H474" s="372"/>
    </row>
    <row r="475" spans="1:8" ht="13.2">
      <c r="A475" s="185"/>
      <c r="B475" s="28" t="s">
        <v>1701</v>
      </c>
      <c r="C475" s="143" t="str">
        <f>VLOOKUP(B475,'Thống kê'!$C$3:$D$669,2,0)</f>
        <v>Đôi cún</v>
      </c>
      <c r="D475" s="166" t="e">
        <f>VLOOKUP(B475,'Danh mục hàng hóa'!$C$3:$M$656,6,0)</f>
        <v>#N/A</v>
      </c>
      <c r="E475" s="167">
        <v>8</v>
      </c>
      <c r="F475" s="168" t="e">
        <f t="shared" si="1"/>
        <v>#N/A</v>
      </c>
      <c r="G475" s="144"/>
      <c r="H475" s="372"/>
    </row>
    <row r="476" spans="1:8" ht="13.2">
      <c r="A476" s="186"/>
      <c r="B476" s="28" t="s">
        <v>227</v>
      </c>
      <c r="C476" s="143" t="str">
        <f>VLOOKUP(B476,'Thống kê'!$C$3:$D$669,2,0)</f>
        <v>Móc khóa đôi corgy</v>
      </c>
      <c r="D476" s="166">
        <f>VLOOKUP(B476,'Danh mục hàng hóa'!$C$3:$M$656,6,0)</f>
        <v>56580</v>
      </c>
      <c r="E476" s="167">
        <v>9</v>
      </c>
      <c r="F476" s="168">
        <f t="shared" si="1"/>
        <v>509220</v>
      </c>
      <c r="G476" s="144"/>
      <c r="H476" s="372"/>
    </row>
    <row r="477" spans="1:8" ht="13.2">
      <c r="A477" s="184">
        <v>45693</v>
      </c>
      <c r="B477" s="28" t="s">
        <v>1705</v>
      </c>
      <c r="C477" s="143" t="str">
        <f>VLOOKUP(B477,'Thống kê'!$C$3:$D$669,2,0)</f>
        <v>Dây treo điện thoại có charm xinh xắn</v>
      </c>
      <c r="D477" s="166" t="e">
        <f>VLOOKUP(B477,'Danh mục hàng hóa'!$C$3:$M$656,6,0)</f>
        <v>#N/A</v>
      </c>
      <c r="E477" s="167">
        <v>1</v>
      </c>
      <c r="F477" s="168" t="e">
        <f t="shared" si="1"/>
        <v>#N/A</v>
      </c>
      <c r="G477" s="144"/>
      <c r="H477" s="175">
        <v>22335</v>
      </c>
    </row>
    <row r="478" spans="1:8" ht="13.2">
      <c r="A478" s="183"/>
      <c r="B478" s="28" t="s">
        <v>1594</v>
      </c>
      <c r="C478" s="143" t="str">
        <f>VLOOKUP(B478,'Thống kê'!$C$3:$D$669,2,0)</f>
        <v>Móc khóa đôi heo</v>
      </c>
      <c r="D478" s="166">
        <f>VLOOKUP(B478,'Danh mục hàng hóa'!$C$3:$M$656,6,0)</f>
        <v>56580</v>
      </c>
      <c r="E478" s="167">
        <v>1</v>
      </c>
      <c r="F478" s="168">
        <f t="shared" si="1"/>
        <v>56580</v>
      </c>
      <c r="G478" s="144"/>
      <c r="H478" s="175">
        <v>50055</v>
      </c>
    </row>
    <row r="479" spans="1:8" ht="13.2">
      <c r="A479" s="183"/>
      <c r="B479" s="28" t="s">
        <v>1464</v>
      </c>
      <c r="C479" s="143">
        <f>VLOOKUP(B479,'Thống kê'!$C$3:$D$669,2,0)</f>
        <v>0</v>
      </c>
      <c r="D479" s="166" t="e">
        <f>VLOOKUP(B479,'Danh mục hàng hóa'!$C$3:$M$656,6,0)</f>
        <v>#N/A</v>
      </c>
      <c r="E479" s="167">
        <v>1</v>
      </c>
      <c r="F479" s="168" t="e">
        <f t="shared" si="1"/>
        <v>#N/A</v>
      </c>
      <c r="G479" s="144"/>
      <c r="H479" s="402">
        <v>172003</v>
      </c>
    </row>
    <row r="480" spans="1:8" ht="13.2">
      <c r="A480" s="183"/>
      <c r="B480" s="28" t="s">
        <v>1480</v>
      </c>
      <c r="C480" s="143">
        <f>VLOOKUP(B480,'Thống kê'!$C$3:$D$669,2,0)</f>
        <v>0</v>
      </c>
      <c r="D480" s="166" t="e">
        <f>VLOOKUP(B480,'Danh mục hàng hóa'!$C$3:$M$656,6,0)</f>
        <v>#N/A</v>
      </c>
      <c r="E480" s="167">
        <v>1</v>
      </c>
      <c r="F480" s="168" t="e">
        <f t="shared" si="1"/>
        <v>#N/A</v>
      </c>
      <c r="G480" s="144"/>
      <c r="H480" s="372"/>
    </row>
    <row r="481" spans="1:8" ht="13.2">
      <c r="A481" s="183"/>
      <c r="B481" s="28" t="s">
        <v>1386</v>
      </c>
      <c r="C481" s="143" t="str">
        <f>VLOOKUP(B481,'Thống kê'!$C$3:$D$669,2,0)</f>
        <v>Móc khoá Crybaby mini Popmart</v>
      </c>
      <c r="D481" s="166" t="e">
        <f>VLOOKUP(B481,'Danh mục hàng hóa'!$C$3:$M$656,6,0)</f>
        <v>#N/A</v>
      </c>
      <c r="E481" s="167">
        <v>1</v>
      </c>
      <c r="F481" s="168" t="e">
        <f t="shared" si="1"/>
        <v>#N/A</v>
      </c>
      <c r="G481" s="144"/>
      <c r="H481" s="175">
        <v>108732</v>
      </c>
    </row>
    <row r="482" spans="1:8" ht="13.2">
      <c r="A482" s="183"/>
      <c r="B482" s="28" t="s">
        <v>150</v>
      </c>
      <c r="C482" s="143" t="str">
        <f>VLOOKUP(B482,'Thống kê'!$C$3:$D$669,2,0)</f>
        <v>Móc khóa có chuông</v>
      </c>
      <c r="D482" s="166" t="e">
        <f>VLOOKUP(B482,'Danh mục hàng hóa'!$C$3:$M$656,6,0)</f>
        <v>#N/A</v>
      </c>
      <c r="E482" s="167">
        <v>1</v>
      </c>
      <c r="F482" s="168" t="e">
        <f t="shared" si="1"/>
        <v>#N/A</v>
      </c>
      <c r="G482" s="144"/>
      <c r="H482" s="175">
        <v>44110</v>
      </c>
    </row>
    <row r="483" spans="1:8" ht="13.2">
      <c r="A483" s="183"/>
      <c r="B483" s="28" t="s">
        <v>1697</v>
      </c>
      <c r="C483" s="143" t="str">
        <f>VLOOKUP(B483,'Thống kê'!$C$3:$D$669,2,0)</f>
        <v>heo</v>
      </c>
      <c r="D483" s="166" t="e">
        <f>VLOOKUP(B483,'Danh mục hàng hóa'!$C$3:$M$656,6,0)</f>
        <v>#N/A</v>
      </c>
      <c r="E483" s="167">
        <v>1</v>
      </c>
      <c r="F483" s="168" t="e">
        <f t="shared" si="1"/>
        <v>#N/A</v>
      </c>
      <c r="G483" s="144"/>
      <c r="H483" s="175">
        <v>25979</v>
      </c>
    </row>
    <row r="484" spans="1:8" ht="13.2">
      <c r="A484" s="183"/>
      <c r="B484" s="28" t="s">
        <v>1480</v>
      </c>
      <c r="C484" s="143">
        <f>VLOOKUP(B484,'Thống kê'!$C$3:$D$669,2,0)</f>
        <v>0</v>
      </c>
      <c r="D484" s="166" t="e">
        <f>VLOOKUP(B484,'Danh mục hàng hóa'!$C$3:$M$656,6,0)</f>
        <v>#N/A</v>
      </c>
      <c r="E484" s="167">
        <v>1</v>
      </c>
      <c r="F484" s="168" t="e">
        <f t="shared" si="1"/>
        <v>#N/A</v>
      </c>
      <c r="G484" s="144"/>
      <c r="H484" s="175">
        <v>97580</v>
      </c>
    </row>
    <row r="485" spans="1:8" ht="13.2">
      <c r="A485" s="183"/>
      <c r="B485" s="28" t="s">
        <v>1384</v>
      </c>
      <c r="C485" s="143" t="str">
        <f>VLOOKUP(B485,'Thống kê'!$C$3:$D$669,2,0)</f>
        <v>Móc khoá Crybaby mini Popmart</v>
      </c>
      <c r="D485" s="166" t="e">
        <f>VLOOKUP(B485,'Danh mục hàng hóa'!$C$3:$M$656,6,0)</f>
        <v>#N/A</v>
      </c>
      <c r="E485" s="167">
        <v>1</v>
      </c>
      <c r="F485" s="168" t="e">
        <f t="shared" si="1"/>
        <v>#N/A</v>
      </c>
      <c r="G485" s="144"/>
      <c r="H485" s="175">
        <v>108332</v>
      </c>
    </row>
    <row r="486" spans="1:8" ht="13.2">
      <c r="A486" s="183"/>
      <c r="B486" s="28" t="s">
        <v>227</v>
      </c>
      <c r="C486" s="143" t="str">
        <f>VLOOKUP(B486,'Thống kê'!$C$3:$D$669,2,0)</f>
        <v>Móc khóa đôi corgy</v>
      </c>
      <c r="D486" s="166">
        <f>VLOOKUP(B486,'Danh mục hàng hóa'!$C$3:$M$656,6,0)</f>
        <v>56580</v>
      </c>
      <c r="E486" s="167">
        <v>1</v>
      </c>
      <c r="F486" s="168">
        <f t="shared" si="1"/>
        <v>56580</v>
      </c>
      <c r="G486" s="144"/>
      <c r="H486" s="175">
        <v>50430</v>
      </c>
    </row>
    <row r="487" spans="1:8" ht="13.2">
      <c r="A487" s="183"/>
      <c r="B487" s="28" t="s">
        <v>1384</v>
      </c>
      <c r="C487" s="143" t="str">
        <f>VLOOKUP(B487,'Thống kê'!$C$3:$D$669,2,0)</f>
        <v>Móc khoá Crybaby mini Popmart</v>
      </c>
      <c r="D487" s="166" t="e">
        <f>VLOOKUP(B487,'Danh mục hàng hóa'!$C$3:$M$656,6,0)</f>
        <v>#N/A</v>
      </c>
      <c r="E487" s="167">
        <v>1</v>
      </c>
      <c r="F487" s="168" t="e">
        <f t="shared" si="1"/>
        <v>#N/A</v>
      </c>
      <c r="G487" s="144"/>
      <c r="H487" s="402">
        <v>200067</v>
      </c>
    </row>
    <row r="488" spans="1:8" ht="13.2">
      <c r="A488" s="183"/>
      <c r="B488" s="28" t="s">
        <v>259</v>
      </c>
      <c r="C488" s="143" t="str">
        <f>VLOOKUP(B488,'Thống kê'!$C$3:$D$669,2,0)</f>
        <v>Móc khoá Crybaby mini Popmart</v>
      </c>
      <c r="D488" s="166" t="e">
        <f>VLOOKUP(B488,'Danh mục hàng hóa'!$C$3:$M$656,6,0)</f>
        <v>#N/A</v>
      </c>
      <c r="E488" s="167">
        <v>1</v>
      </c>
      <c r="F488" s="168" t="e">
        <f t="shared" si="1"/>
        <v>#N/A</v>
      </c>
      <c r="G488" s="144"/>
      <c r="H488" s="372"/>
    </row>
    <row r="489" spans="1:8" ht="13.2">
      <c r="A489" s="183"/>
      <c r="B489" s="28" t="s">
        <v>1342</v>
      </c>
      <c r="C489" s="143" t="str">
        <f>VLOOKUP(B489,'Thống kê'!$C$3:$D$669,2,0)</f>
        <v>Móc khóa chuối</v>
      </c>
      <c r="D489" s="166" t="e">
        <f>VLOOKUP(B489,'Danh mục hàng hóa'!$C$3:$M$656,6,0)</f>
        <v>#N/A</v>
      </c>
      <c r="E489" s="167">
        <v>1</v>
      </c>
      <c r="F489" s="168" t="e">
        <f t="shared" si="1"/>
        <v>#N/A</v>
      </c>
      <c r="G489" s="144"/>
      <c r="H489" s="402">
        <v>152840</v>
      </c>
    </row>
    <row r="490" spans="1:8" ht="13.2">
      <c r="A490" s="183"/>
      <c r="B490" s="16" t="s">
        <v>1494</v>
      </c>
      <c r="C490" s="143" t="str">
        <f>VLOOKUP(B490,'Thống kê'!$C$3:$D$669,2,0)</f>
        <v>Móc khoá skullpanda phiên bản mini</v>
      </c>
      <c r="D490" s="166" t="e">
        <f>VLOOKUP(B490,'Danh mục hàng hóa'!$C$3:$M$656,6,0)</f>
        <v>#N/A</v>
      </c>
      <c r="E490" s="167">
        <v>1</v>
      </c>
      <c r="F490" s="168" t="e">
        <f t="shared" si="1"/>
        <v>#N/A</v>
      </c>
      <c r="G490" s="144"/>
      <c r="H490" s="372"/>
    </row>
    <row r="491" spans="1:8" ht="13.2">
      <c r="A491" s="184">
        <v>45694</v>
      </c>
      <c r="B491" s="28" t="s">
        <v>150</v>
      </c>
      <c r="C491" s="143" t="str">
        <f>VLOOKUP(B491,'Thống kê'!$C$3:$D$669,2,0)</f>
        <v>Móc khóa có chuông</v>
      </c>
      <c r="D491" s="166" t="e">
        <f>VLOOKUP(B491,'Danh mục hàng hóa'!$C$3:$M$656,6,0)</f>
        <v>#N/A</v>
      </c>
      <c r="E491" s="167">
        <v>1</v>
      </c>
      <c r="F491" s="168" t="e">
        <f t="shared" si="1"/>
        <v>#N/A</v>
      </c>
      <c r="G491" s="144"/>
      <c r="H491" s="175">
        <v>44335</v>
      </c>
    </row>
    <row r="492" spans="1:8" ht="13.2">
      <c r="A492" s="184">
        <v>45695</v>
      </c>
      <c r="B492" s="28" t="s">
        <v>1384</v>
      </c>
      <c r="C492" s="143" t="str">
        <f>VLOOKUP(B492,'Thống kê'!$C$3:$D$669,2,0)</f>
        <v>Móc khoá Crybaby mini Popmart</v>
      </c>
      <c r="D492" s="166" t="e">
        <f>VLOOKUP(B492,'Danh mục hàng hóa'!$C$3:$M$656,6,0)</f>
        <v>#N/A</v>
      </c>
      <c r="E492" s="167">
        <v>1</v>
      </c>
      <c r="F492" s="168" t="e">
        <f t="shared" si="1"/>
        <v>#N/A</v>
      </c>
      <c r="G492" s="144"/>
      <c r="H492" s="175">
        <v>108732</v>
      </c>
    </row>
    <row r="493" spans="1:8" ht="13.2">
      <c r="A493" s="183"/>
      <c r="B493" s="28" t="s">
        <v>150</v>
      </c>
      <c r="C493" s="143" t="str">
        <f>VLOOKUP(B493,'Thống kê'!$C$3:$D$669,2,0)</f>
        <v>Móc khóa có chuông</v>
      </c>
      <c r="D493" s="166" t="e">
        <f>VLOOKUP(B493,'Danh mục hàng hóa'!$C$3:$M$656,6,0)</f>
        <v>#N/A</v>
      </c>
      <c r="E493" s="167">
        <v>1</v>
      </c>
      <c r="F493" s="168" t="e">
        <f t="shared" si="1"/>
        <v>#N/A</v>
      </c>
      <c r="G493" s="144"/>
      <c r="H493" s="175">
        <v>44510</v>
      </c>
    </row>
    <row r="494" spans="1:8" ht="13.2">
      <c r="A494" s="183"/>
      <c r="B494" s="28" t="s">
        <v>1594</v>
      </c>
      <c r="C494" s="143" t="str">
        <f>VLOOKUP(B494,'Thống kê'!$C$3:$D$669,2,0)</f>
        <v>Móc khóa đôi heo</v>
      </c>
      <c r="D494" s="166">
        <f>VLOOKUP(B494,'Danh mục hàng hóa'!$C$3:$M$656,6,0)</f>
        <v>56580</v>
      </c>
      <c r="E494" s="167">
        <v>1</v>
      </c>
      <c r="F494" s="168">
        <f t="shared" si="1"/>
        <v>56580</v>
      </c>
      <c r="G494" s="144"/>
      <c r="H494" s="175">
        <v>49780</v>
      </c>
    </row>
    <row r="495" spans="1:8" ht="13.2">
      <c r="A495" s="185"/>
      <c r="B495" s="28" t="s">
        <v>170</v>
      </c>
      <c r="C495" s="143" t="str">
        <f>VLOOKUP(B495,'Thống kê'!$C$3:$D$669,2,0)</f>
        <v>Móc khóa chuối</v>
      </c>
      <c r="D495" s="166" t="e">
        <f>VLOOKUP(B495,'Danh mục hàng hóa'!$C$3:$M$656,6,0)</f>
        <v>#N/A</v>
      </c>
      <c r="E495" s="167">
        <v>1</v>
      </c>
      <c r="F495" s="168" t="e">
        <f t="shared" si="1"/>
        <v>#N/A</v>
      </c>
      <c r="G495" s="144"/>
      <c r="H495" s="402">
        <v>95813</v>
      </c>
    </row>
    <row r="496" spans="1:8" ht="13.2">
      <c r="A496" s="152"/>
      <c r="B496" s="28" t="s">
        <v>1382</v>
      </c>
      <c r="C496" s="143" t="str">
        <f>VLOOKUP(B496,'Thống kê'!$C$3:$D$669,2,0)</f>
        <v>miếng dán silicon điện thoại</v>
      </c>
      <c r="D496" s="166" t="e">
        <f>VLOOKUP(B496,'Danh mục hàng hóa'!$C$3:$M$656,6,0)</f>
        <v>#N/A</v>
      </c>
      <c r="E496" s="167">
        <v>1</v>
      </c>
      <c r="F496" s="168" t="e">
        <f t="shared" si="1"/>
        <v>#N/A</v>
      </c>
      <c r="G496" s="144"/>
      <c r="H496" s="372"/>
    </row>
    <row r="497" spans="1:8" ht="13.2">
      <c r="A497" s="183"/>
      <c r="B497" s="28" t="s">
        <v>1705</v>
      </c>
      <c r="C497" s="143" t="str">
        <f>VLOOKUP(B497,'Thống kê'!$C$3:$D$669,2,0)</f>
        <v>Dây treo điện thoại có charm xinh xắn</v>
      </c>
      <c r="D497" s="166" t="e">
        <f>VLOOKUP(B497,'Danh mục hàng hóa'!$C$3:$M$656,6,0)</f>
        <v>#N/A</v>
      </c>
      <c r="E497" s="167">
        <v>1</v>
      </c>
      <c r="F497" s="168" t="e">
        <f t="shared" si="1"/>
        <v>#N/A</v>
      </c>
      <c r="G497" s="144"/>
      <c r="H497" s="372"/>
    </row>
    <row r="498" spans="1:8" ht="13.2">
      <c r="A498" s="183"/>
      <c r="B498" s="28" t="s">
        <v>1594</v>
      </c>
      <c r="C498" s="143" t="str">
        <f>VLOOKUP(B498,'Thống kê'!$C$3:$D$669,2,0)</f>
        <v>Móc khóa đôi heo</v>
      </c>
      <c r="D498" s="166">
        <f>VLOOKUP(B498,'Danh mục hàng hóa'!$C$3:$M$656,6,0)</f>
        <v>56580</v>
      </c>
      <c r="E498" s="167">
        <v>1</v>
      </c>
      <c r="F498" s="168">
        <f t="shared" si="1"/>
        <v>56580</v>
      </c>
      <c r="G498" s="144"/>
      <c r="H498" s="175">
        <v>50255</v>
      </c>
    </row>
    <row r="499" spans="1:8" ht="13.2">
      <c r="A499" s="183"/>
      <c r="B499" s="28" t="s">
        <v>1464</v>
      </c>
      <c r="C499" s="143">
        <f>VLOOKUP(B499,'Thống kê'!$C$3:$D$669,2,0)</f>
        <v>0</v>
      </c>
      <c r="D499" s="166">
        <f>VLOOKUP(B499,'Thống kê'!$C$3:$M$682,4,0)</f>
        <v>0</v>
      </c>
      <c r="E499" s="167">
        <v>1</v>
      </c>
      <c r="F499" s="168">
        <f t="shared" si="1"/>
        <v>0</v>
      </c>
      <c r="G499" s="144"/>
      <c r="H499" s="402">
        <v>168986</v>
      </c>
    </row>
    <row r="500" spans="1:8" ht="13.2">
      <c r="A500" s="183"/>
      <c r="B500" s="28" t="s">
        <v>1480</v>
      </c>
      <c r="C500" s="143">
        <f>VLOOKUP(B500,'Thống kê'!$C$3:$D$669,2,0)</f>
        <v>0</v>
      </c>
      <c r="D500" s="166">
        <f>VLOOKUP(B500,'Thống kê'!$C$3:$M$682,4,0)</f>
        <v>0</v>
      </c>
      <c r="E500" s="167">
        <v>1</v>
      </c>
      <c r="F500" s="168">
        <f t="shared" si="1"/>
        <v>0</v>
      </c>
      <c r="G500" s="144"/>
      <c r="H500" s="372"/>
    </row>
    <row r="501" spans="1:8" ht="13.2">
      <c r="A501" s="183"/>
      <c r="B501" s="28" t="s">
        <v>234</v>
      </c>
      <c r="C501" s="143" t="str">
        <f>VLOOKUP(B501,'Thống kê'!$C$3:$D$669,2,0)</f>
        <v>Móc khoá skullpanda phiên bản mini</v>
      </c>
      <c r="D501" s="166">
        <f>VLOOKUP(B501,'Thống kê'!$C$3:$M$682,4,0)</f>
        <v>98000</v>
      </c>
      <c r="E501" s="167">
        <v>1</v>
      </c>
      <c r="F501" s="168">
        <f t="shared" si="1"/>
        <v>98000</v>
      </c>
      <c r="G501" s="144"/>
      <c r="H501" s="175">
        <v>79960</v>
      </c>
    </row>
    <row r="502" spans="1:8" ht="13.2">
      <c r="A502" s="183"/>
      <c r="B502" s="28" t="s">
        <v>1372</v>
      </c>
      <c r="C502" s="143" t="str">
        <f>VLOOKUP(B502,'Thống kê'!$C$3:$D$669,2,0)</f>
        <v>Móc khóa Popbean</v>
      </c>
      <c r="D502" s="166">
        <f>VLOOKUP(B502,'Thống kê'!$C$3:$M$682,4,0)</f>
        <v>148000</v>
      </c>
      <c r="E502" s="167">
        <v>1</v>
      </c>
      <c r="F502" s="168">
        <f t="shared" si="1"/>
        <v>148000</v>
      </c>
      <c r="G502" s="144"/>
      <c r="H502" s="175">
        <v>123820</v>
      </c>
    </row>
    <row r="503" spans="1:8" ht="13.2">
      <c r="A503" s="183"/>
      <c r="B503" s="28" t="s">
        <v>1761</v>
      </c>
      <c r="C503" s="143">
        <f>VLOOKUP(B503,'Thống kê'!$C$3:$D$669,2,0)</f>
        <v>0</v>
      </c>
      <c r="D503" s="166">
        <f>VLOOKUP(B503,'Thống kê'!$C$3:$M$682,4,0)</f>
        <v>0</v>
      </c>
      <c r="E503" s="167">
        <v>1</v>
      </c>
      <c r="F503" s="168">
        <f t="shared" si="1"/>
        <v>0</v>
      </c>
      <c r="G503" s="144"/>
      <c r="H503" s="175">
        <v>71140</v>
      </c>
    </row>
    <row r="504" spans="1:8" ht="13.2">
      <c r="A504" s="183"/>
      <c r="B504" s="28" t="s">
        <v>1696</v>
      </c>
      <c r="C504" s="143" t="str">
        <f>VLOOKUP(B504,'Thống kê'!$C$3:$D$669,2,0)</f>
        <v>gấu</v>
      </c>
      <c r="D504" s="166">
        <f>VLOOKUP(B504,'Thống kê'!$C$3:$M$682,4,0)</f>
        <v>35000</v>
      </c>
      <c r="E504" s="167">
        <v>1</v>
      </c>
      <c r="F504" s="168">
        <f t="shared" si="1"/>
        <v>35000</v>
      </c>
      <c r="G504" s="144"/>
      <c r="H504" s="175">
        <v>25704</v>
      </c>
    </row>
    <row r="505" spans="1:8" ht="13.2">
      <c r="A505" s="184">
        <v>45696</v>
      </c>
      <c r="B505" s="28" t="s">
        <v>1661</v>
      </c>
      <c r="C505" s="143" t="str">
        <f>VLOOKUP(B505,'Thống kê'!$C$3:$D$669,2,0)</f>
        <v>Móc khóa Popbean Kubo</v>
      </c>
      <c r="D505" s="166">
        <f>VLOOKUP(B505,'Thống kê'!$C$3:$M$682,4,0)</f>
        <v>148000</v>
      </c>
      <c r="E505" s="167">
        <v>1</v>
      </c>
      <c r="F505" s="168">
        <f t="shared" si="1"/>
        <v>148000</v>
      </c>
      <c r="G505" s="144"/>
      <c r="H505" s="175">
        <v>95865</v>
      </c>
    </row>
    <row r="506" spans="1:8" ht="13.2">
      <c r="A506" s="183"/>
      <c r="B506" s="28" t="s">
        <v>1639</v>
      </c>
      <c r="C506" s="143" t="str">
        <f>VLOOKUP(B506,'Thống kê'!$C$3:$D$669,2,0)</f>
        <v>Móc khóa đôi Puppy</v>
      </c>
      <c r="D506" s="166">
        <f>VLOOKUP(B506,'Thống kê'!$C$3:$M$682,4,0)</f>
        <v>59000</v>
      </c>
      <c r="E506" s="167">
        <v>1</v>
      </c>
      <c r="F506" s="168">
        <f t="shared" si="1"/>
        <v>59000</v>
      </c>
      <c r="G506" s="144"/>
      <c r="H506" s="175">
        <v>44510</v>
      </c>
    </row>
    <row r="507" spans="1:8" ht="13.2">
      <c r="A507" s="183"/>
      <c r="B507" s="28" t="s">
        <v>1425</v>
      </c>
      <c r="C507" s="143" t="str">
        <f>VLOOKUP(B507,'Thống kê'!$C$3:$D$669,2,0)</f>
        <v>Móc khoá Crybaby mini Popmart</v>
      </c>
      <c r="D507" s="166">
        <f>VLOOKUP(B507,'Thống kê'!$C$3:$M$682,4,0)</f>
        <v>145000</v>
      </c>
      <c r="E507" s="167">
        <v>1</v>
      </c>
      <c r="F507" s="168">
        <f t="shared" si="1"/>
        <v>145000</v>
      </c>
      <c r="G507" s="144"/>
      <c r="H507" s="175">
        <v>90200</v>
      </c>
    </row>
    <row r="508" spans="1:8" ht="13.2">
      <c r="A508" s="183"/>
      <c r="B508" s="28" t="s">
        <v>1479</v>
      </c>
      <c r="C508" s="143">
        <f>VLOOKUP(B508,'Thống kê'!$C$3:$D$669,2,0)</f>
        <v>0</v>
      </c>
      <c r="D508" s="166">
        <f>VLOOKUP(B508,'Thống kê'!$C$3:$M$682,4,0)</f>
        <v>0</v>
      </c>
      <c r="E508" s="167">
        <v>1</v>
      </c>
      <c r="F508" s="168">
        <f t="shared" si="1"/>
        <v>0</v>
      </c>
      <c r="G508" s="144"/>
      <c r="H508" s="175">
        <v>63140</v>
      </c>
    </row>
    <row r="509" spans="1:8" ht="13.2">
      <c r="A509" s="183"/>
      <c r="B509" s="28" t="s">
        <v>1624</v>
      </c>
      <c r="C509" s="143" t="str">
        <f>VLOOKUP(B509,'Thống kê'!$C$3:$D$669,2,0)</f>
        <v>Móc khóa mèo trái tim</v>
      </c>
      <c r="D509" s="166">
        <f>VLOOKUP(B509,'Thống kê'!$C$3:$M$682,4,0)</f>
        <v>59000</v>
      </c>
      <c r="E509" s="167">
        <v>1</v>
      </c>
      <c r="F509" s="168">
        <f t="shared" si="1"/>
        <v>59000</v>
      </c>
      <c r="G509" s="144"/>
      <c r="H509" s="175">
        <v>44510</v>
      </c>
    </row>
    <row r="510" spans="1:8" ht="13.2">
      <c r="A510" s="183"/>
      <c r="B510" s="28" t="s">
        <v>1594</v>
      </c>
      <c r="C510" s="143" t="str">
        <f>VLOOKUP(B510,'Thống kê'!$C$3:$D$669,2,0)</f>
        <v>Móc khóa đôi heo</v>
      </c>
      <c r="D510" s="166">
        <f>VLOOKUP(B510,'Thống kê'!$C$3:$M$682,4,0)</f>
        <v>56580</v>
      </c>
      <c r="E510" s="167">
        <v>1</v>
      </c>
      <c r="F510" s="168">
        <f t="shared" si="1"/>
        <v>56580</v>
      </c>
      <c r="G510" s="144"/>
      <c r="H510" s="175">
        <v>44986</v>
      </c>
    </row>
    <row r="511" spans="1:8" ht="13.2">
      <c r="A511" s="183"/>
      <c r="B511" s="28" t="s">
        <v>1387</v>
      </c>
      <c r="C511" s="143" t="str">
        <f>VLOOKUP(B511,'Thống kê'!$C$3:$D$669,2,0)</f>
        <v>Móc khoá Crybaby mini Popmart</v>
      </c>
      <c r="D511" s="166">
        <f>VLOOKUP(B511,'Thống kê'!$C$3:$M$682,4,0)</f>
        <v>0</v>
      </c>
      <c r="E511" s="167">
        <v>1</v>
      </c>
      <c r="F511" s="168">
        <f t="shared" si="1"/>
        <v>0</v>
      </c>
      <c r="G511" s="144"/>
      <c r="H511" s="175">
        <v>96760</v>
      </c>
    </row>
    <row r="512" spans="1:8" ht="13.2">
      <c r="A512" s="183"/>
      <c r="B512" s="28" t="s">
        <v>119</v>
      </c>
      <c r="C512" s="143" t="str">
        <f>VLOOKUP(B512,'Thống kê'!$C$3:$D$669,2,0)</f>
        <v>Thỏ chạy xe gắn xe</v>
      </c>
      <c r="D512" s="166">
        <f>VLOOKUP(B512,'Thống kê'!$C$3:$M$682,4,0)</f>
        <v>45000</v>
      </c>
      <c r="E512" s="167">
        <v>1</v>
      </c>
      <c r="F512" s="168">
        <f t="shared" si="1"/>
        <v>45000</v>
      </c>
      <c r="G512" s="144"/>
      <c r="H512" s="175">
        <v>36200</v>
      </c>
    </row>
    <row r="513" spans="1:8" ht="13.2">
      <c r="A513" s="183"/>
      <c r="B513" s="28" t="s">
        <v>1464</v>
      </c>
      <c r="C513" s="143">
        <f>VLOOKUP(B513,'Thống kê'!$C$3:$D$669,2,0)</f>
        <v>0</v>
      </c>
      <c r="D513" s="166">
        <f>VLOOKUP(B513,'Thống kê'!$C$3:$M$682,4,0)</f>
        <v>0</v>
      </c>
      <c r="E513" s="167">
        <v>1</v>
      </c>
      <c r="F513" s="168">
        <f t="shared" ref="F513:F557" si="2">D513*E513</f>
        <v>0</v>
      </c>
      <c r="G513" s="144"/>
      <c r="H513" s="176">
        <v>79140</v>
      </c>
    </row>
    <row r="514" spans="1:8" ht="13.2">
      <c r="A514" s="183"/>
      <c r="B514" s="28" t="s">
        <v>230</v>
      </c>
      <c r="C514" s="143" t="str">
        <f>VLOOKUP(B514,'Thống kê'!$C$3:$D$669,2,0)</f>
        <v>Móc khoá Crybaby mini Popmart</v>
      </c>
      <c r="D514" s="166">
        <f>VLOOKUP(B514,'Thống kê'!$C$3:$M$682,4,0)</f>
        <v>0</v>
      </c>
      <c r="E514" s="167">
        <v>1</v>
      </c>
      <c r="F514" s="168">
        <f t="shared" si="2"/>
        <v>0</v>
      </c>
      <c r="G514" s="144"/>
      <c r="H514" s="403">
        <v>178038</v>
      </c>
    </row>
    <row r="515" spans="1:8" ht="13.2">
      <c r="A515" s="183"/>
      <c r="B515" s="153" t="s">
        <v>1425</v>
      </c>
      <c r="C515" s="143" t="str">
        <f>VLOOKUP(B515,'Thống kê'!$C$3:$D$669,2,0)</f>
        <v>Móc khoá Crybaby mini Popmart</v>
      </c>
      <c r="D515" s="166">
        <f>VLOOKUP(B515,'Thống kê'!$C$3:$M$682,4,0)</f>
        <v>145000</v>
      </c>
      <c r="E515" s="167">
        <v>1</v>
      </c>
      <c r="F515" s="168">
        <f t="shared" si="2"/>
        <v>145000</v>
      </c>
      <c r="G515" s="144"/>
      <c r="H515" s="372"/>
    </row>
    <row r="516" spans="1:8" ht="13.2">
      <c r="A516" s="183"/>
      <c r="B516" s="153" t="s">
        <v>234</v>
      </c>
      <c r="C516" s="143" t="str">
        <f>VLOOKUP(B516,'Thống kê'!$C$3:$D$669,2,0)</f>
        <v>Móc khoá skullpanda phiên bản mini</v>
      </c>
      <c r="D516" s="166">
        <f>VLOOKUP(B516,'Thống kê'!$C$3:$M$682,4,0)</f>
        <v>98000</v>
      </c>
      <c r="E516" s="167">
        <v>1</v>
      </c>
      <c r="F516" s="168">
        <f t="shared" si="2"/>
        <v>98000</v>
      </c>
      <c r="G516" s="144"/>
      <c r="H516" s="402">
        <v>394000</v>
      </c>
    </row>
    <row r="517" spans="1:8" ht="13.2">
      <c r="A517" s="183"/>
      <c r="B517" s="28" t="s">
        <v>1342</v>
      </c>
      <c r="C517" s="143" t="str">
        <f>VLOOKUP(B517,'Thống kê'!$C$3:$D$669,2,0)</f>
        <v>Móc khóa chuối</v>
      </c>
      <c r="D517" s="166">
        <f>VLOOKUP(B517,'Thống kê'!$C$3:$M$682,4,0)</f>
        <v>148000</v>
      </c>
      <c r="E517" s="167">
        <v>1</v>
      </c>
      <c r="F517" s="168">
        <f t="shared" si="2"/>
        <v>148000</v>
      </c>
      <c r="G517" s="144"/>
      <c r="H517" s="372"/>
    </row>
    <row r="518" spans="1:8" ht="13.2">
      <c r="A518" s="183"/>
      <c r="B518" s="28" t="s">
        <v>1456</v>
      </c>
      <c r="C518" s="143">
        <f>VLOOKUP(B518,'Thống kê'!$C$3:$D$669,2,0)</f>
        <v>0</v>
      </c>
      <c r="D518" s="166">
        <f>VLOOKUP(B518,'Thống kê'!$C$3:$M$682,4,0)</f>
        <v>0</v>
      </c>
      <c r="E518" s="167">
        <v>1</v>
      </c>
      <c r="F518" s="168">
        <f t="shared" si="2"/>
        <v>0</v>
      </c>
      <c r="G518" s="144"/>
      <c r="H518" s="372"/>
    </row>
    <row r="519" spans="1:8" ht="13.2">
      <c r="A519" s="183"/>
      <c r="B519" s="28" t="s">
        <v>1448</v>
      </c>
      <c r="C519" s="143">
        <f>VLOOKUP(B519,'Thống kê'!$C$3:$D$669,2,0)</f>
        <v>0</v>
      </c>
      <c r="D519" s="166">
        <f>VLOOKUP(B519,'Thống kê'!$C$3:$M$682,4,0)</f>
        <v>0</v>
      </c>
      <c r="E519" s="167">
        <v>1</v>
      </c>
      <c r="F519" s="168">
        <f t="shared" si="2"/>
        <v>0</v>
      </c>
      <c r="G519" s="144"/>
      <c r="H519" s="372"/>
    </row>
    <row r="520" spans="1:8" ht="13.2">
      <c r="A520" s="183"/>
      <c r="B520" s="28" t="s">
        <v>150</v>
      </c>
      <c r="C520" s="143" t="str">
        <f>VLOOKUP(B520,'Thống kê'!$C$3:$D$669,2,0)</f>
        <v>Móc khóa có chuông</v>
      </c>
      <c r="D520" s="166">
        <f>VLOOKUP(B520,'Thống kê'!$C$3:$M$682,4,0)</f>
        <v>59000</v>
      </c>
      <c r="E520" s="167">
        <v>1</v>
      </c>
      <c r="F520" s="168">
        <f t="shared" si="2"/>
        <v>59000</v>
      </c>
      <c r="G520" s="144"/>
      <c r="H520" s="176">
        <v>44510</v>
      </c>
    </row>
    <row r="521" spans="1:8" ht="13.2">
      <c r="A521" s="183"/>
      <c r="B521" s="28" t="s">
        <v>150</v>
      </c>
      <c r="C521" s="143" t="str">
        <f>VLOOKUP(B521,'Thống kê'!$C$3:$D$669,2,0)</f>
        <v>Móc khóa có chuông</v>
      </c>
      <c r="D521" s="166">
        <f>VLOOKUP(B521,'Thống kê'!$C$3:$M$682,4,0)</f>
        <v>59000</v>
      </c>
      <c r="E521" s="167">
        <v>1</v>
      </c>
      <c r="F521" s="168">
        <f t="shared" si="2"/>
        <v>59000</v>
      </c>
      <c r="G521" s="144"/>
      <c r="H521" s="178">
        <v>44510</v>
      </c>
    </row>
    <row r="522" spans="1:8" ht="13.2">
      <c r="A522" s="183"/>
      <c r="B522" s="28" t="s">
        <v>150</v>
      </c>
      <c r="C522" s="143" t="str">
        <f>VLOOKUP(B522,'Thống kê'!$C$3:$D$669,2,0)</f>
        <v>Móc khóa có chuông</v>
      </c>
      <c r="D522" s="166">
        <f>VLOOKUP(B522,'Thống kê'!$C$3:$M$682,4,0)</f>
        <v>59000</v>
      </c>
      <c r="E522" s="167">
        <v>1</v>
      </c>
      <c r="F522" s="168">
        <f t="shared" si="2"/>
        <v>59000</v>
      </c>
      <c r="G522" s="144"/>
      <c r="H522" s="176">
        <v>39858</v>
      </c>
    </row>
    <row r="523" spans="1:8" ht="13.2">
      <c r="A523" s="184">
        <v>45697</v>
      </c>
      <c r="B523" s="28" t="s">
        <v>162</v>
      </c>
      <c r="C523" s="143" t="str">
        <f>VLOOKUP(B523,'Thống kê'!$C$3:$D$669,2,0)</f>
        <v>Móc khoá cún Donut</v>
      </c>
      <c r="D523" s="166">
        <f>VLOOKUP(B523,'Thống kê'!$C$3:$M$682,4,0)</f>
        <v>38000</v>
      </c>
      <c r="E523" s="167">
        <v>1</v>
      </c>
      <c r="F523" s="168">
        <f t="shared" si="2"/>
        <v>38000</v>
      </c>
      <c r="G523" s="144"/>
      <c r="H523" s="178">
        <v>28242</v>
      </c>
    </row>
    <row r="524" spans="1:8" ht="13.2">
      <c r="A524" s="183"/>
      <c r="B524" s="28" t="s">
        <v>1661</v>
      </c>
      <c r="C524" s="143" t="str">
        <f>VLOOKUP(B524,'Thống kê'!$C$3:$D$669,2,0)</f>
        <v>Móc khóa Popbean Kubo</v>
      </c>
      <c r="D524" s="166">
        <f>VLOOKUP(B524,'Thống kê'!$C$3:$M$682,4,0)</f>
        <v>148000</v>
      </c>
      <c r="E524" s="167">
        <v>1</v>
      </c>
      <c r="F524" s="168">
        <f t="shared" si="2"/>
        <v>148000</v>
      </c>
      <c r="G524" s="144"/>
      <c r="H524" s="402">
        <v>181056</v>
      </c>
    </row>
    <row r="525" spans="1:8" ht="13.2">
      <c r="A525" s="183"/>
      <c r="B525" s="28" t="s">
        <v>1343</v>
      </c>
      <c r="C525" s="143" t="str">
        <f>VLOOKUP(B525,'Thống kê'!$C$3:$D$669,2,0)</f>
        <v>Móc khóa chuối</v>
      </c>
      <c r="D525" s="166">
        <f>VLOOKUP(B525,'Thống kê'!$C$3:$M$682,4,0)</f>
        <v>148000</v>
      </c>
      <c r="E525" s="167">
        <v>1</v>
      </c>
      <c r="F525" s="168">
        <f t="shared" si="2"/>
        <v>148000</v>
      </c>
      <c r="G525" s="144"/>
      <c r="H525" s="372"/>
    </row>
    <row r="526" spans="1:8" ht="13.2">
      <c r="A526" s="183"/>
      <c r="B526" s="28" t="s">
        <v>1594</v>
      </c>
      <c r="C526" s="143" t="str">
        <f>VLOOKUP(B526,'Thống kê'!$C$3:$D$669,2,0)</f>
        <v>Móc khóa đôi heo</v>
      </c>
      <c r="D526" s="166">
        <f>VLOOKUP(B526,'Thống kê'!$C$3:$M$682,4,0)</f>
        <v>56580</v>
      </c>
      <c r="E526" s="167">
        <v>1</v>
      </c>
      <c r="F526" s="168">
        <f t="shared" si="2"/>
        <v>56580</v>
      </c>
      <c r="G526" s="144"/>
      <c r="H526" s="175">
        <v>50430</v>
      </c>
    </row>
    <row r="527" spans="1:8" ht="13.2">
      <c r="A527" s="183"/>
      <c r="B527" s="28" t="s">
        <v>227</v>
      </c>
      <c r="C527" s="143" t="str">
        <f>VLOOKUP(B527,'Thống kê'!$C$3:$D$669,2,0)</f>
        <v>Móc khóa đôi corgy</v>
      </c>
      <c r="D527" s="166">
        <f>VLOOKUP(B527,'Thống kê'!$C$3:$M$682,4,0)</f>
        <v>56580</v>
      </c>
      <c r="E527" s="167">
        <v>1</v>
      </c>
      <c r="F527" s="168">
        <f t="shared" si="2"/>
        <v>56580</v>
      </c>
      <c r="G527" s="144"/>
      <c r="H527" s="175">
        <v>50230</v>
      </c>
    </row>
    <row r="528" spans="1:8" ht="13.2">
      <c r="A528" s="183"/>
      <c r="B528" s="28" t="s">
        <v>138</v>
      </c>
      <c r="C528" s="143" t="str">
        <f>VLOOKUP(B528,'Thống kê'!$C$3:$D$669,2,0)</f>
        <v>Móc khoá Crybaby mini Popmart</v>
      </c>
      <c r="D528" s="166">
        <f>VLOOKUP(B528,'Thống kê'!$C$3:$M$682,4,0)</f>
        <v>0</v>
      </c>
      <c r="E528" s="167">
        <v>1</v>
      </c>
      <c r="F528" s="168">
        <f t="shared" si="2"/>
        <v>0</v>
      </c>
      <c r="G528" s="144"/>
      <c r="H528" s="175">
        <v>90200</v>
      </c>
    </row>
    <row r="529" spans="1:8" ht="13.2">
      <c r="A529" s="183"/>
      <c r="B529" s="28" t="s">
        <v>115</v>
      </c>
      <c r="C529" s="143" t="str">
        <f>VLOOKUP(B529,'Thống kê'!$C$3:$D$669,2,0)</f>
        <v>Heo ú</v>
      </c>
      <c r="D529" s="166">
        <f>VLOOKUP(B529,'Thống kê'!$C$3:$M$682,4,0)</f>
        <v>59500</v>
      </c>
      <c r="E529" s="167">
        <v>1</v>
      </c>
      <c r="F529" s="168">
        <f t="shared" si="2"/>
        <v>59500</v>
      </c>
      <c r="G529" s="144"/>
      <c r="H529" s="402">
        <v>87740</v>
      </c>
    </row>
    <row r="530" spans="1:8" ht="13.2">
      <c r="A530" s="183"/>
      <c r="B530" s="28" t="s">
        <v>145</v>
      </c>
      <c r="C530" s="143" t="str">
        <f>VLOOKUP(B530,'Thống kê'!$C$3:$D$669,2,0)</f>
        <v>Thỏ đi vịt gắn xe</v>
      </c>
      <c r="D530" s="166">
        <f>VLOOKUP(B530,'Thống kê'!$C$3:$M$682,4,0)</f>
        <v>45000</v>
      </c>
      <c r="E530" s="167">
        <v>1</v>
      </c>
      <c r="F530" s="168">
        <f t="shared" si="2"/>
        <v>45000</v>
      </c>
      <c r="G530" s="144"/>
      <c r="H530" s="372"/>
    </row>
    <row r="531" spans="1:8" ht="13.2">
      <c r="A531" s="183"/>
      <c r="B531" s="28" t="s">
        <v>1716</v>
      </c>
      <c r="C531" s="143" t="str">
        <f>VLOOKUP(B531,'Thống kê'!$C$3:$D$669,2,0)</f>
        <v>Móc khóa đôi 2 quả lê có nam châm</v>
      </c>
      <c r="D531" s="166">
        <f>VLOOKUP(B531,'Thống kê'!$C$3:$M$682,4,0)</f>
        <v>59000</v>
      </c>
      <c r="E531" s="167">
        <v>1</v>
      </c>
      <c r="F531" s="168">
        <f t="shared" si="2"/>
        <v>59000</v>
      </c>
      <c r="G531" s="144"/>
      <c r="H531" s="402">
        <v>107756</v>
      </c>
    </row>
    <row r="532" spans="1:8" ht="13.2">
      <c r="A532" s="183"/>
      <c r="B532" s="28" t="s">
        <v>1349</v>
      </c>
      <c r="C532" s="143" t="str">
        <f>VLOOKUP(B532,'Thống kê'!$C$3:$D$669,2,0)</f>
        <v>Túi chườm bụng 1000ml</v>
      </c>
      <c r="D532" s="166">
        <f>VLOOKUP(B532,'Thống kê'!$C$3:$M$682,4,0)</f>
        <v>119000</v>
      </c>
      <c r="E532" s="167">
        <v>1</v>
      </c>
      <c r="F532" s="168">
        <f t="shared" si="2"/>
        <v>119000</v>
      </c>
      <c r="G532" s="144"/>
      <c r="H532" s="372"/>
    </row>
    <row r="533" spans="1:8" ht="13.2">
      <c r="A533" s="183"/>
      <c r="B533" s="28" t="s">
        <v>1625</v>
      </c>
      <c r="C533" s="143" t="str">
        <f>VLOOKUP(B533,'Thống kê'!$C$3:$D$669,2,0)</f>
        <v>Móc khóa đôi 2 mèo trắng nâu</v>
      </c>
      <c r="D533" s="166">
        <f>VLOOKUP(B533,'Thống kê'!$C$3:$M$682,4,0)</f>
        <v>59000</v>
      </c>
      <c r="E533" s="167">
        <v>1</v>
      </c>
      <c r="F533" s="168">
        <f t="shared" si="2"/>
        <v>59000</v>
      </c>
      <c r="G533" s="144"/>
      <c r="H533" s="175">
        <v>47730</v>
      </c>
    </row>
    <row r="534" spans="1:8" ht="13.2">
      <c r="A534" s="184">
        <v>45698</v>
      </c>
      <c r="B534" s="28" t="s">
        <v>1685</v>
      </c>
      <c r="C534" s="143" t="str">
        <f>VLOOKUP(B534,'Thống kê'!$C$3:$D$669,2,0)</f>
        <v>Capy</v>
      </c>
      <c r="D534" s="166">
        <f>VLOOKUP(B534,'Thống kê'!$C$3:$M$682,4,0)</f>
        <v>62000</v>
      </c>
      <c r="E534" s="167">
        <v>1</v>
      </c>
      <c r="F534" s="168">
        <f t="shared" si="2"/>
        <v>62000</v>
      </c>
      <c r="G534" s="144"/>
      <c r="H534" s="175">
        <v>52733</v>
      </c>
    </row>
    <row r="535" spans="1:8" ht="13.2">
      <c r="A535" s="183"/>
      <c r="B535" s="28" t="s">
        <v>259</v>
      </c>
      <c r="C535" s="143" t="str">
        <f>VLOOKUP(B535,'Thống kê'!$C$3:$D$669,2,0)</f>
        <v>Móc khoá Crybaby mini Popmart</v>
      </c>
      <c r="D535" s="166">
        <f>VLOOKUP(B535,'Thống kê'!$C$3:$M$682,4,0)</f>
        <v>0</v>
      </c>
      <c r="E535" s="167">
        <v>1</v>
      </c>
      <c r="F535" s="168">
        <f t="shared" si="2"/>
        <v>0</v>
      </c>
      <c r="G535" s="144"/>
      <c r="H535" s="176">
        <v>90200</v>
      </c>
    </row>
    <row r="536" spans="1:8" ht="13.2">
      <c r="A536" s="183"/>
      <c r="B536" s="28" t="s">
        <v>234</v>
      </c>
      <c r="C536" s="143" t="str">
        <f>VLOOKUP(B536,'Thống kê'!$C$3:$D$669,2,0)</f>
        <v>Móc khoá skullpanda phiên bản mini</v>
      </c>
      <c r="D536" s="166">
        <f>VLOOKUP(B536,'Thống kê'!$C$3:$M$682,4,0)</f>
        <v>98000</v>
      </c>
      <c r="E536" s="167">
        <v>1</v>
      </c>
      <c r="F536" s="168">
        <f t="shared" si="2"/>
        <v>98000</v>
      </c>
      <c r="G536" s="144"/>
      <c r="H536" s="177">
        <v>80185</v>
      </c>
    </row>
    <row r="537" spans="1:8" ht="13.2">
      <c r="A537" s="183"/>
      <c r="B537" s="28" t="s">
        <v>1762</v>
      </c>
      <c r="C537" s="143">
        <f>VLOOKUP(B537,'Thống kê'!$C$3:$D$669,2,0)</f>
        <v>0</v>
      </c>
      <c r="D537" s="166">
        <f>VLOOKUP(B537,'Thống kê'!$C$3:$M$682,4,0)</f>
        <v>0</v>
      </c>
      <c r="E537" s="167">
        <v>1</v>
      </c>
      <c r="F537" s="168">
        <f t="shared" si="2"/>
        <v>0</v>
      </c>
      <c r="G537" s="144"/>
      <c r="H537" s="177">
        <v>87965</v>
      </c>
    </row>
    <row r="538" spans="1:8" ht="13.2">
      <c r="A538" s="183"/>
      <c r="B538" s="28" t="s">
        <v>325</v>
      </c>
      <c r="C538" s="143" t="str">
        <f>VLOOKUP(B538,'Thống kê'!$C$3:$D$669,2,0)</f>
        <v>Gấu ú</v>
      </c>
      <c r="D538" s="166">
        <f>VLOOKUP(B538,'Thống kê'!$C$3:$M$682,4,0)</f>
        <v>59500</v>
      </c>
      <c r="E538" s="167">
        <v>1</v>
      </c>
      <c r="F538" s="168">
        <f t="shared" si="2"/>
        <v>59500</v>
      </c>
      <c r="G538" s="144"/>
      <c r="H538" s="178">
        <v>57400</v>
      </c>
    </row>
    <row r="539" spans="1:8" ht="13.2">
      <c r="A539" s="183"/>
      <c r="B539" s="28" t="s">
        <v>1344</v>
      </c>
      <c r="C539" s="143" t="str">
        <f>VLOOKUP(B539,'Thống kê'!$C$3:$D$669,2,0)</f>
        <v>Móc khóa chuối</v>
      </c>
      <c r="D539" s="166">
        <f>VLOOKUP(B539,'Thống kê'!$C$3:$M$682,4,0)</f>
        <v>148000</v>
      </c>
      <c r="E539" s="167">
        <v>1</v>
      </c>
      <c r="F539" s="168">
        <f t="shared" si="2"/>
        <v>148000</v>
      </c>
      <c r="G539" s="144"/>
      <c r="H539" s="175">
        <v>87740</v>
      </c>
    </row>
    <row r="540" spans="1:8" ht="13.2">
      <c r="A540" s="183"/>
      <c r="B540" s="28" t="s">
        <v>115</v>
      </c>
      <c r="C540" s="143" t="str">
        <f>VLOOKUP(B540,'Thống kê'!$C$3:$D$669,2,0)</f>
        <v>Heo ú</v>
      </c>
      <c r="D540" s="166">
        <f>VLOOKUP(B540,'Thống kê'!$C$3:$M$682,4,0)</f>
        <v>59500</v>
      </c>
      <c r="E540" s="167">
        <v>1</v>
      </c>
      <c r="F540" s="168">
        <f t="shared" si="2"/>
        <v>59500</v>
      </c>
      <c r="G540" s="144"/>
      <c r="H540" s="402">
        <v>153340</v>
      </c>
    </row>
    <row r="541" spans="1:8" ht="13.2">
      <c r="A541" s="183"/>
      <c r="B541" s="28" t="s">
        <v>1662</v>
      </c>
      <c r="C541" s="143" t="str">
        <f>VLOOKUP(B541,'Thống kê'!$C$3:$D$669,2,0)</f>
        <v>Móc khóa Popbean Cry Baby</v>
      </c>
      <c r="D541" s="166">
        <f>VLOOKUP(B541,'Thống kê'!$C$3:$M$682,4,0)</f>
        <v>148000</v>
      </c>
      <c r="E541" s="167">
        <v>1</v>
      </c>
      <c r="F541" s="168">
        <f t="shared" si="2"/>
        <v>148000</v>
      </c>
      <c r="G541" s="144"/>
      <c r="H541" s="372"/>
    </row>
    <row r="542" spans="1:8" ht="13.2">
      <c r="A542" s="183"/>
      <c r="B542" s="28" t="s">
        <v>325</v>
      </c>
      <c r="C542" s="143" t="str">
        <f>VLOOKUP(B542,'Thống kê'!$C$3:$D$669,2,0)</f>
        <v>Gấu ú</v>
      </c>
      <c r="D542" s="166">
        <f>VLOOKUP(B542,'Thống kê'!$C$3:$M$682,4,0)</f>
        <v>59500</v>
      </c>
      <c r="E542" s="167">
        <v>1</v>
      </c>
      <c r="F542" s="168">
        <f t="shared" si="2"/>
        <v>59500</v>
      </c>
      <c r="G542" s="144"/>
      <c r="H542" s="175">
        <v>57325</v>
      </c>
    </row>
    <row r="543" spans="1:8" ht="13.2">
      <c r="A543" s="183"/>
      <c r="B543" s="28" t="s">
        <v>150</v>
      </c>
      <c r="C543" s="143" t="str">
        <f>VLOOKUP(B543,'Thống kê'!$C$3:$D$669,2,0)</f>
        <v>Móc khóa có chuông</v>
      </c>
      <c r="D543" s="166">
        <f>VLOOKUP(B543,'Thống kê'!$C$3:$M$682,4,0)</f>
        <v>59000</v>
      </c>
      <c r="E543" s="167">
        <v>1</v>
      </c>
      <c r="F543" s="168">
        <f t="shared" si="2"/>
        <v>59000</v>
      </c>
      <c r="G543" s="144"/>
      <c r="H543" s="175">
        <v>44435</v>
      </c>
    </row>
    <row r="544" spans="1:8" ht="13.2">
      <c r="A544" s="183"/>
      <c r="B544" s="28" t="s">
        <v>1624</v>
      </c>
      <c r="C544" s="143" t="str">
        <f>VLOOKUP(B544,'Thống kê'!$C$3:$D$669,2,0)</f>
        <v>Móc khóa mèo trái tim</v>
      </c>
      <c r="D544" s="166">
        <f>VLOOKUP(B544,'Thống kê'!$C$3:$M$682,4,0)</f>
        <v>59000</v>
      </c>
      <c r="E544" s="167">
        <v>1</v>
      </c>
      <c r="F544" s="168">
        <f t="shared" si="2"/>
        <v>59000</v>
      </c>
      <c r="G544" s="144"/>
      <c r="H544" s="402">
        <v>88380</v>
      </c>
    </row>
    <row r="545" spans="1:8" ht="13.2">
      <c r="A545" s="183"/>
      <c r="B545" s="28" t="s">
        <v>231</v>
      </c>
      <c r="C545" s="143" t="str">
        <f>VLOOKUP(B545,'Thống kê'!$C$3:$D$669,2,0)</f>
        <v>Móc khóa đôi gấu trúc</v>
      </c>
      <c r="D545" s="166">
        <f>VLOOKUP(B545,'Thống kê'!$C$3:$M$682,4,0)</f>
        <v>56580</v>
      </c>
      <c r="E545" s="167">
        <v>1</v>
      </c>
      <c r="F545" s="168">
        <f t="shared" si="2"/>
        <v>56580</v>
      </c>
      <c r="G545" s="144"/>
      <c r="H545" s="372"/>
    </row>
    <row r="546" spans="1:8" ht="13.2">
      <c r="A546" s="183"/>
      <c r="B546" s="28" t="s">
        <v>1206</v>
      </c>
      <c r="C546" s="143" t="str">
        <f>VLOOKUP(B546,'Thống kê'!$C$3:$D$669,2,0)</f>
        <v>Móc khóa có chuông</v>
      </c>
      <c r="D546" s="166">
        <f>VLOOKUP(B546,'Thống kê'!$C$3:$M$682,4,0)</f>
        <v>59000</v>
      </c>
      <c r="E546" s="167">
        <v>10</v>
      </c>
      <c r="F546" s="168">
        <f t="shared" si="2"/>
        <v>590000</v>
      </c>
      <c r="G546" s="144"/>
      <c r="H546" s="402">
        <v>2051000</v>
      </c>
    </row>
    <row r="547" spans="1:8" ht="13.2">
      <c r="A547" s="183"/>
      <c r="B547" s="28" t="s">
        <v>981</v>
      </c>
      <c r="C547" s="143" t="str">
        <f>VLOOKUP(B547,'Thống kê'!$C$3:$D$669,2,0)</f>
        <v>Móc khóa đôi corgy</v>
      </c>
      <c r="D547" s="166">
        <f>VLOOKUP(B547,'Thống kê'!$C$3:$M$682,4,0)</f>
        <v>56580</v>
      </c>
      <c r="E547" s="167">
        <v>20</v>
      </c>
      <c r="F547" s="168">
        <f t="shared" si="2"/>
        <v>1131600</v>
      </c>
      <c r="G547" s="144"/>
      <c r="H547" s="372"/>
    </row>
    <row r="548" spans="1:8" ht="13.2">
      <c r="A548" s="183"/>
      <c r="B548" s="28" t="s">
        <v>987</v>
      </c>
      <c r="C548" s="143" t="str">
        <f>VLOOKUP(B548,'Thống kê'!$C$3:$D$669,2,0)</f>
        <v>Móc khóa đôi gà rán bia</v>
      </c>
      <c r="D548" s="166">
        <f>VLOOKUP(B548,'Thống kê'!$C$3:$M$682,4,0)</f>
        <v>56580</v>
      </c>
      <c r="E548" s="167">
        <v>15</v>
      </c>
      <c r="F548" s="168">
        <f t="shared" si="2"/>
        <v>848700</v>
      </c>
      <c r="G548" s="144"/>
      <c r="H548" s="372"/>
    </row>
    <row r="549" spans="1:8" ht="13.2">
      <c r="A549" s="185"/>
      <c r="B549" s="28" t="s">
        <v>985</v>
      </c>
      <c r="C549" s="143" t="str">
        <f>VLOOKUP(B549,'Thống kê'!$C$3:$D$669,2,0)</f>
        <v>Móc khóa đôi gấu trúc</v>
      </c>
      <c r="D549" s="166">
        <f>VLOOKUP(B549,'Thống kê'!$C$3:$M$682,4,0)</f>
        <v>56580</v>
      </c>
      <c r="E549" s="167">
        <v>5</v>
      </c>
      <c r="F549" s="168">
        <f t="shared" si="2"/>
        <v>282900</v>
      </c>
      <c r="G549" s="144"/>
      <c r="H549" s="372"/>
    </row>
    <row r="550" spans="1:8" ht="13.2">
      <c r="A550" s="152"/>
      <c r="B550" s="28" t="s">
        <v>1234</v>
      </c>
      <c r="C550" s="143" t="str">
        <f>VLOOKUP(B550,'Thống kê'!$C$3:$D$669,2,0)</f>
        <v>Móc khóa mèo đen cá</v>
      </c>
      <c r="D550" s="166">
        <f>VLOOKUP(B550,'Thống kê'!$C$3:$M$682,4,0)</f>
        <v>59000</v>
      </c>
      <c r="E550" s="167">
        <v>1</v>
      </c>
      <c r="F550" s="168">
        <f t="shared" si="2"/>
        <v>59000</v>
      </c>
      <c r="G550" s="144"/>
      <c r="H550" s="372"/>
    </row>
    <row r="551" spans="1:8" ht="13.2">
      <c r="A551" s="183"/>
      <c r="B551" s="28" t="s">
        <v>1208</v>
      </c>
      <c r="C551" s="143" t="str">
        <f>VLOOKUP(B551,'Thống kê'!$C$3:$D$669,2,0)</f>
        <v>Móc khóa mèo trái tim</v>
      </c>
      <c r="D551" s="166">
        <f>VLOOKUP(B551,'Thống kê'!$C$3:$M$682,4,0)</f>
        <v>59000</v>
      </c>
      <c r="E551" s="167">
        <v>5</v>
      </c>
      <c r="F551" s="168">
        <f t="shared" si="2"/>
        <v>295000</v>
      </c>
      <c r="G551" s="144"/>
      <c r="H551" s="372"/>
    </row>
    <row r="552" spans="1:8" ht="13.2">
      <c r="A552" s="183"/>
      <c r="B552" s="28" t="s">
        <v>1412</v>
      </c>
      <c r="C552" s="143" t="str">
        <f>VLOOKUP(B552,'Thống kê'!$C$3:$D$669,2,0)</f>
        <v>Capy</v>
      </c>
      <c r="D552" s="166">
        <f>VLOOKUP(B552,'Thống kê'!$C$3:$M$682,4,0)</f>
        <v>62000</v>
      </c>
      <c r="E552" s="167">
        <v>5</v>
      </c>
      <c r="F552" s="168">
        <f t="shared" si="2"/>
        <v>310000</v>
      </c>
      <c r="G552" s="144"/>
      <c r="H552" s="372"/>
    </row>
    <row r="553" spans="1:8" ht="13.2">
      <c r="A553" s="183"/>
      <c r="B553" s="28" t="s">
        <v>1414</v>
      </c>
      <c r="C553" s="143" t="str">
        <f>VLOOKUP(B553,'Thống kê'!$C$3:$D$669,2,0)</f>
        <v>Đôi cún</v>
      </c>
      <c r="D553" s="166">
        <f>VLOOKUP(B553,'Thống kê'!$C$3:$M$682,4,0)</f>
        <v>62000</v>
      </c>
      <c r="E553" s="167">
        <v>5</v>
      </c>
      <c r="F553" s="168">
        <f t="shared" si="2"/>
        <v>310000</v>
      </c>
      <c r="G553" s="144"/>
      <c r="H553" s="373"/>
    </row>
    <row r="554" spans="1:8" ht="13.2">
      <c r="A554" s="183"/>
      <c r="B554" s="28" t="s">
        <v>128</v>
      </c>
      <c r="C554" s="143" t="str">
        <f>VLOOKUP(B554,'Thống kê'!$C$3:$D$669,2,0)</f>
        <v>Mèo ú bay</v>
      </c>
      <c r="D554" s="166">
        <f>VLOOKUP(B554,'Thống kê'!$C$3:$M$682,4,0)</f>
        <v>64500</v>
      </c>
      <c r="E554" s="167">
        <v>1</v>
      </c>
      <c r="F554" s="168">
        <f t="shared" si="2"/>
        <v>64500</v>
      </c>
      <c r="G554" s="144"/>
      <c r="H554" s="403">
        <v>121688</v>
      </c>
    </row>
    <row r="555" spans="1:8" ht="13.2">
      <c r="A555" s="183"/>
      <c r="B555" s="28" t="s">
        <v>186</v>
      </c>
      <c r="C555" s="143" t="str">
        <f>VLOOKUP(B555,'Thống kê'!$C$3:$D$669,2,0)</f>
        <v>Thỏ ú bay</v>
      </c>
      <c r="D555" s="166">
        <f>VLOOKUP(B555,'Thống kê'!$C$3:$M$682,4,0)</f>
        <v>64500</v>
      </c>
      <c r="E555" s="167">
        <v>1</v>
      </c>
      <c r="F555" s="168">
        <f t="shared" si="2"/>
        <v>64500</v>
      </c>
      <c r="G555" s="144"/>
      <c r="H555" s="373"/>
    </row>
    <row r="556" spans="1:8" ht="13.2">
      <c r="A556" s="183"/>
      <c r="B556" s="28" t="s">
        <v>1600</v>
      </c>
      <c r="C556" s="143" t="str">
        <f>VLOOKUP(B556,'Thống kê'!$C$3:$D$669,2,0)</f>
        <v>Dao rọc giấy 18</v>
      </c>
      <c r="D556" s="166">
        <f>VLOOKUP(B556,'Thống kê'!$C$3:$M$682,4,0)</f>
        <v>12000</v>
      </c>
      <c r="E556" s="167">
        <v>1</v>
      </c>
      <c r="F556" s="168">
        <f t="shared" si="2"/>
        <v>12000</v>
      </c>
      <c r="G556" s="144"/>
      <c r="H556" s="402">
        <v>303925</v>
      </c>
    </row>
    <row r="557" spans="1:8" ht="13.2">
      <c r="A557" s="185"/>
      <c r="B557" s="28" t="s">
        <v>143</v>
      </c>
      <c r="C557" s="143" t="str">
        <f>VLOOKUP(B557,'Thống kê'!$C$3:$D$669,2,0)</f>
        <v>Mèo ú</v>
      </c>
      <c r="D557" s="166">
        <f>VLOOKUP(B557,'Thống kê'!$C$3:$M$682,4,0)</f>
        <v>59500</v>
      </c>
      <c r="E557" s="167">
        <v>1</v>
      </c>
      <c r="F557" s="168">
        <f t="shared" si="2"/>
        <v>59500</v>
      </c>
      <c r="G557" s="144"/>
      <c r="H557" s="372"/>
    </row>
    <row r="558" spans="1:8" ht="13.2">
      <c r="A558" s="152"/>
      <c r="B558" s="28" t="s">
        <v>1342</v>
      </c>
      <c r="C558" s="143" t="str">
        <f>VLOOKUP(B558,'Thống kê'!$C$3:$D$669,2,0)</f>
        <v>Móc khóa chuối</v>
      </c>
      <c r="D558" s="166">
        <f>VLOOKUP(B558,'Thống kê'!$C$3:$M$682,4,0)</f>
        <v>148000</v>
      </c>
      <c r="E558" s="167">
        <v>1</v>
      </c>
      <c r="F558" s="187">
        <v>0</v>
      </c>
      <c r="G558" s="144"/>
      <c r="H558" s="372"/>
    </row>
    <row r="559" spans="1:8" ht="13.2">
      <c r="A559" s="183"/>
      <c r="B559" s="28" t="s">
        <v>229</v>
      </c>
      <c r="C559" s="143">
        <f>VLOOKUP(B559,'Thống kê'!$C$3:$D$669,2,0)</f>
        <v>0</v>
      </c>
      <c r="D559" s="166">
        <f>VLOOKUP(B559,'Thống kê'!$C$3:$M$682,4,0)</f>
        <v>0</v>
      </c>
      <c r="E559" s="167">
        <v>1</v>
      </c>
      <c r="F559" s="187">
        <v>0</v>
      </c>
      <c r="G559" s="144"/>
      <c r="H559" s="372"/>
    </row>
    <row r="560" spans="1:8" ht="13.2">
      <c r="A560" s="183"/>
      <c r="B560" s="28" t="s">
        <v>1386</v>
      </c>
      <c r="C560" s="143" t="str">
        <f>VLOOKUP(B560,'Thống kê'!$C$3:$D$669,2,0)</f>
        <v>Móc khoá Crybaby mini Popmart</v>
      </c>
      <c r="D560" s="166">
        <f>VLOOKUP(B560,'Thống kê'!$C$3:$M$682,4,0)</f>
        <v>0</v>
      </c>
      <c r="E560" s="167">
        <v>1</v>
      </c>
      <c r="F560" s="187">
        <v>0</v>
      </c>
      <c r="G560" s="144"/>
      <c r="H560" s="372"/>
    </row>
    <row r="561" spans="1:8" ht="13.2">
      <c r="A561" s="184">
        <v>45699</v>
      </c>
      <c r="B561" s="28" t="s">
        <v>183</v>
      </c>
      <c r="C561" s="143" t="str">
        <f>VLOOKUP(B561,'Thống kê'!$C$3:$D$669,2,0)</f>
        <v>Thỏ máy bay gắn xe</v>
      </c>
      <c r="D561" s="166">
        <f>VLOOKUP(B561,'Thống kê'!$C$3:$M$682,4,0)</f>
        <v>45000</v>
      </c>
      <c r="E561" s="167">
        <v>1</v>
      </c>
      <c r="F561" s="187">
        <v>0</v>
      </c>
      <c r="G561" s="144"/>
      <c r="H561" s="402">
        <v>104140</v>
      </c>
    </row>
    <row r="562" spans="1:8" ht="13.2">
      <c r="A562" s="183"/>
      <c r="B562" s="28" t="s">
        <v>145</v>
      </c>
      <c r="C562" s="143" t="str">
        <f>VLOOKUP(B562,'Thống kê'!$C$3:$D$669,2,0)</f>
        <v>Thỏ đi vịt gắn xe</v>
      </c>
      <c r="D562" s="166">
        <f>VLOOKUP(B562,'Thống kê'!$C$3:$M$682,4,0)</f>
        <v>45000</v>
      </c>
      <c r="E562" s="167">
        <v>1</v>
      </c>
      <c r="F562" s="187">
        <v>0</v>
      </c>
      <c r="G562" s="144"/>
      <c r="H562" s="372"/>
    </row>
    <row r="563" spans="1:8" ht="13.2">
      <c r="A563" s="183"/>
      <c r="B563" s="28" t="s">
        <v>119</v>
      </c>
      <c r="C563" s="143" t="str">
        <f>VLOOKUP(B563,'Thống kê'!$C$3:$D$669,2,0)</f>
        <v>Thỏ chạy xe gắn xe</v>
      </c>
      <c r="D563" s="166">
        <f>VLOOKUP(B563,'Thống kê'!$C$3:$M$682,4,0)</f>
        <v>45000</v>
      </c>
      <c r="E563" s="167">
        <v>1</v>
      </c>
      <c r="F563" s="187">
        <v>0</v>
      </c>
      <c r="G563" s="144"/>
      <c r="H563" s="372"/>
    </row>
    <row r="564" spans="1:8" ht="13.2">
      <c r="A564" s="183"/>
      <c r="B564" s="28" t="s">
        <v>1789</v>
      </c>
      <c r="C564" s="143" t="str">
        <f>VLOOKUP(B564,'Thống kê'!$C$3:$D$669,2,0)</f>
        <v>Ống 50 dây cột tóc đen</v>
      </c>
      <c r="D564" s="166">
        <f>VLOOKUP(B564,'Thống kê'!$C$3:$M$682,4,0)</f>
        <v>20000</v>
      </c>
      <c r="E564" s="167">
        <v>1</v>
      </c>
      <c r="F564" s="187">
        <v>0</v>
      </c>
      <c r="G564" s="144"/>
      <c r="H564" s="402">
        <v>339405</v>
      </c>
    </row>
    <row r="565" spans="1:8" ht="13.2">
      <c r="A565" s="183"/>
      <c r="B565" s="28" t="s">
        <v>250</v>
      </c>
      <c r="C565" s="143">
        <f>VLOOKUP(B565,'Thống kê'!$C$3:$D$669,2,0)</f>
        <v>0</v>
      </c>
      <c r="D565" s="166">
        <f>VLOOKUP(B565,'Thống kê'!$C$3:$M$682,4,0)</f>
        <v>0</v>
      </c>
      <c r="E565" s="167">
        <v>1</v>
      </c>
      <c r="F565" s="168">
        <f t="shared" ref="F565:F819" si="3">D565*E565</f>
        <v>0</v>
      </c>
      <c r="G565" s="144"/>
      <c r="H565" s="372"/>
    </row>
    <row r="566" spans="1:8" ht="13.2">
      <c r="A566" s="183"/>
      <c r="B566" s="28" t="s">
        <v>1382</v>
      </c>
      <c r="C566" s="143" t="str">
        <f>VLOOKUP(B566,'Thống kê'!$C$3:$D$669,2,0)</f>
        <v>miếng dán silicon điện thoại</v>
      </c>
      <c r="D566" s="166">
        <f>VLOOKUP(B566,'Thống kê'!$C$3:$M$682,4,0)</f>
        <v>0</v>
      </c>
      <c r="E566" s="167">
        <v>1</v>
      </c>
      <c r="F566" s="168">
        <f t="shared" si="3"/>
        <v>0</v>
      </c>
      <c r="G566" s="144"/>
      <c r="H566" s="372"/>
    </row>
    <row r="567" spans="1:8" ht="13.2">
      <c r="A567" s="183"/>
      <c r="B567" s="28" t="s">
        <v>1717</v>
      </c>
      <c r="C567" s="143" t="str">
        <f>VLOOKUP(B567,'Thống kê'!$C$3:$D$669,2,0)</f>
        <v>Pop Bean Baked Bread</v>
      </c>
      <c r="D567" s="166">
        <f>VLOOKUP(B567,'Thống kê'!$C$3:$M$682,4,0)</f>
        <v>167000</v>
      </c>
      <c r="E567" s="167">
        <v>1</v>
      </c>
      <c r="F567" s="168">
        <f t="shared" si="3"/>
        <v>167000</v>
      </c>
      <c r="G567" s="144"/>
      <c r="H567" s="372"/>
    </row>
    <row r="568" spans="1:8" ht="13.2">
      <c r="A568" s="183"/>
      <c r="B568" s="28" t="s">
        <v>1340</v>
      </c>
      <c r="C568" s="143" t="str">
        <f>VLOOKUP(B568,'Thống kê'!$C$3:$D$669,2,0)</f>
        <v>Móc khóa chuối</v>
      </c>
      <c r="D568" s="166">
        <f>VLOOKUP(B568,'Thống kê'!$C$3:$M$682,4,0)</f>
        <v>148000</v>
      </c>
      <c r="E568" s="167">
        <v>1</v>
      </c>
      <c r="F568" s="168">
        <f t="shared" si="3"/>
        <v>148000</v>
      </c>
      <c r="G568" s="144"/>
      <c r="H568" s="175">
        <v>72652</v>
      </c>
    </row>
    <row r="569" spans="1:8" ht="13.2">
      <c r="A569" s="185"/>
      <c r="B569" s="28" t="s">
        <v>1624</v>
      </c>
      <c r="C569" s="143" t="str">
        <f>VLOOKUP(B569,'Thống kê'!$C$3:$D$669,2,0)</f>
        <v>Móc khóa mèo trái tim</v>
      </c>
      <c r="D569" s="166">
        <f>VLOOKUP(B569,'Thống kê'!$C$3:$M$682,4,0)</f>
        <v>59000</v>
      </c>
      <c r="E569" s="167">
        <v>1</v>
      </c>
      <c r="F569" s="168">
        <f t="shared" si="3"/>
        <v>59000</v>
      </c>
      <c r="G569" s="144"/>
      <c r="H569" s="175">
        <v>44335</v>
      </c>
    </row>
    <row r="570" spans="1:8" ht="13.2">
      <c r="A570" s="152"/>
      <c r="B570" s="28" t="s">
        <v>1760</v>
      </c>
      <c r="C570" s="143">
        <f>VLOOKUP(B570,'Thống kê'!$C$3:$D$669,2,0)</f>
        <v>0</v>
      </c>
      <c r="D570" s="166">
        <f>VLOOKUP(B570,'Thống kê'!$C$3:$M$682,4,0)</f>
        <v>0</v>
      </c>
      <c r="E570" s="167">
        <v>15</v>
      </c>
      <c r="F570" s="168">
        <f t="shared" si="3"/>
        <v>0</v>
      </c>
      <c r="G570" s="144"/>
      <c r="H570" s="175">
        <v>1143900</v>
      </c>
    </row>
    <row r="571" spans="1:8" ht="13.2">
      <c r="A571" s="183"/>
      <c r="B571" s="28" t="s">
        <v>1595</v>
      </c>
      <c r="C571" s="143" t="str">
        <f>VLOOKUP(B571,'Thống kê'!$C$3:$D$669,2,0)</f>
        <v>Dao rọc giấy 08</v>
      </c>
      <c r="D571" s="166">
        <f>VLOOKUP(B571,'Thống kê'!$C$3:$M$682,4,0)</f>
        <v>12000</v>
      </c>
      <c r="E571" s="167">
        <v>1</v>
      </c>
      <c r="F571" s="168">
        <f t="shared" si="3"/>
        <v>12000</v>
      </c>
      <c r="G571" s="144"/>
      <c r="H571" s="402">
        <v>53394</v>
      </c>
    </row>
    <row r="572" spans="1:8" ht="13.2">
      <c r="A572" s="183"/>
      <c r="B572" s="28" t="s">
        <v>1606</v>
      </c>
      <c r="C572" s="143" t="str">
        <f>VLOOKUP(B572,'Thống kê'!$C$3:$D$669,2,0)</f>
        <v>Kẹp Snack hình khoai tay gọt</v>
      </c>
      <c r="D572" s="166">
        <f>VLOOKUP(B572,'Thống kê'!$C$3:$M$682,4,0)</f>
        <v>12000</v>
      </c>
      <c r="E572" s="167">
        <v>1</v>
      </c>
      <c r="F572" s="168">
        <f t="shared" si="3"/>
        <v>12000</v>
      </c>
      <c r="G572" s="144"/>
      <c r="H572" s="372"/>
    </row>
    <row r="573" spans="1:8" ht="13.2">
      <c r="A573" s="183"/>
      <c r="B573" s="28" t="s">
        <v>1790</v>
      </c>
      <c r="C573" s="143" t="str">
        <f>VLOOKUP(B573,'Thống kê'!$C$3:$D$669,2,0)</f>
        <v>Hộp thuốc nơ hồng</v>
      </c>
      <c r="D573" s="166">
        <f>VLOOKUP(B573,'Thống kê'!$C$3:$M$682,4,0)</f>
        <v>11000</v>
      </c>
      <c r="E573" s="167">
        <v>1</v>
      </c>
      <c r="F573" s="168">
        <f t="shared" si="3"/>
        <v>11000</v>
      </c>
      <c r="G573" s="144"/>
      <c r="H573" s="372"/>
    </row>
    <row r="574" spans="1:8" ht="13.2">
      <c r="A574" s="183"/>
      <c r="B574" s="28" t="s">
        <v>1382</v>
      </c>
      <c r="C574" s="143" t="str">
        <f>VLOOKUP(B574,'Thống kê'!$C$3:$D$669,2,0)</f>
        <v>miếng dán silicon điện thoại</v>
      </c>
      <c r="D574" s="166">
        <f>VLOOKUP(B574,'Thống kê'!$C$3:$M$682,4,0)</f>
        <v>0</v>
      </c>
      <c r="E574" s="167">
        <v>2</v>
      </c>
      <c r="F574" s="168">
        <f t="shared" si="3"/>
        <v>0</v>
      </c>
      <c r="G574" s="144"/>
      <c r="H574" s="372"/>
    </row>
    <row r="575" spans="1:8" ht="13.2">
      <c r="A575" s="183"/>
      <c r="B575" s="28" t="s">
        <v>1705</v>
      </c>
      <c r="C575" s="143" t="str">
        <f>VLOOKUP(B575,'Thống kê'!$C$3:$D$669,2,0)</f>
        <v>Dây treo điện thoại có charm xinh xắn</v>
      </c>
      <c r="D575" s="166">
        <f>VLOOKUP(B575,'Thống kê'!$C$3:$M$682,4,0)</f>
        <v>27000</v>
      </c>
      <c r="E575" s="167">
        <v>1</v>
      </c>
      <c r="F575" s="168">
        <f t="shared" si="3"/>
        <v>27000</v>
      </c>
      <c r="G575" s="144"/>
      <c r="H575" s="372"/>
    </row>
    <row r="576" spans="1:8" ht="13.2">
      <c r="A576" s="183"/>
      <c r="B576" s="28" t="s">
        <v>1384</v>
      </c>
      <c r="C576" s="143" t="str">
        <f>VLOOKUP(B576,'Thống kê'!$C$3:$D$669,2,0)</f>
        <v>Móc khoá Crybaby mini Popmart</v>
      </c>
      <c r="D576" s="166">
        <f>VLOOKUP(B576,'Thống kê'!$C$3:$M$682,4,0)</f>
        <v>0</v>
      </c>
      <c r="E576" s="167">
        <v>1</v>
      </c>
      <c r="F576" s="168">
        <f t="shared" si="3"/>
        <v>0</v>
      </c>
      <c r="G576" s="144"/>
      <c r="H576" s="175">
        <v>96760</v>
      </c>
    </row>
    <row r="577" spans="1:8" ht="13.2">
      <c r="A577" s="183"/>
      <c r="B577" s="28" t="s">
        <v>1779</v>
      </c>
      <c r="C577" s="143">
        <f>VLOOKUP(B577,'Thống kê'!$C$3:$D$669,2,0)</f>
        <v>0</v>
      </c>
      <c r="D577" s="166">
        <f>VLOOKUP(B577,'Thống kê'!$C$3:$M$682,4,0)</f>
        <v>0</v>
      </c>
      <c r="E577" s="167">
        <v>1</v>
      </c>
      <c r="F577" s="168">
        <f t="shared" si="3"/>
        <v>0</v>
      </c>
      <c r="G577" s="144"/>
      <c r="H577" s="402">
        <v>107476</v>
      </c>
    </row>
    <row r="578" spans="1:8" ht="13.2">
      <c r="A578" s="183"/>
      <c r="B578" s="28" t="s">
        <v>1382</v>
      </c>
      <c r="C578" s="143" t="str">
        <f>VLOOKUP(B578,'Thống kê'!$C$3:$D$669,2,0)</f>
        <v>miếng dán silicon điện thoại</v>
      </c>
      <c r="D578" s="166">
        <f>VLOOKUP(B578,'Thống kê'!$C$3:$M$682,4,0)</f>
        <v>0</v>
      </c>
      <c r="E578" s="167">
        <v>2</v>
      </c>
      <c r="F578" s="168">
        <f t="shared" si="3"/>
        <v>0</v>
      </c>
      <c r="G578" s="144"/>
      <c r="H578" s="372"/>
    </row>
    <row r="579" spans="1:8" ht="13.2">
      <c r="A579" s="184">
        <v>45700</v>
      </c>
      <c r="B579" s="28" t="s">
        <v>1621</v>
      </c>
      <c r="C579" s="143" t="str">
        <f>VLOOKUP(B579,'Thống kê'!$C$3:$D$669,2,0)</f>
        <v>Mô hình mèo 2</v>
      </c>
      <c r="D579" s="166">
        <f>VLOOKUP(B579,'Thống kê'!$C$3:$M$682,4,0)</f>
        <v>37800</v>
      </c>
      <c r="E579" s="167">
        <v>1</v>
      </c>
      <c r="F579" s="168">
        <f t="shared" si="3"/>
        <v>37800</v>
      </c>
      <c r="G579" s="144"/>
      <c r="H579" s="402">
        <v>96760</v>
      </c>
    </row>
    <row r="580" spans="1:8" ht="13.2">
      <c r="A580" s="183"/>
      <c r="B580" s="28" t="s">
        <v>1636</v>
      </c>
      <c r="C580" s="143" t="str">
        <f>VLOOKUP(B580,'Thống kê'!$C$3:$D$669,2,0)</f>
        <v>Mô hình mèo 3</v>
      </c>
      <c r="D580" s="166">
        <f>VLOOKUP(B580,'Thống kê'!$C$3:$M$682,4,0)</f>
        <v>37800</v>
      </c>
      <c r="E580" s="167">
        <v>1</v>
      </c>
      <c r="F580" s="168">
        <f t="shared" si="3"/>
        <v>37800</v>
      </c>
      <c r="G580" s="144"/>
      <c r="H580" s="372"/>
    </row>
    <row r="581" spans="1:8" ht="13.2">
      <c r="A581" s="183"/>
      <c r="B581" s="28" t="s">
        <v>1635</v>
      </c>
      <c r="C581" s="143" t="str">
        <f>VLOOKUP(B581,'Thống kê'!$C$3:$D$669,2,0)</f>
        <v>Mô hình mèo 4</v>
      </c>
      <c r="D581" s="166">
        <f>VLOOKUP(B581,'Thống kê'!$C$3:$M$682,4,0)</f>
        <v>37800</v>
      </c>
      <c r="E581" s="167">
        <v>1</v>
      </c>
      <c r="F581" s="168">
        <f t="shared" si="3"/>
        <v>37800</v>
      </c>
      <c r="G581" s="144"/>
      <c r="H581" s="372"/>
    </row>
    <row r="582" spans="1:8" ht="13.2">
      <c r="A582" s="183"/>
      <c r="B582" s="28" t="s">
        <v>1384</v>
      </c>
      <c r="C582" s="143" t="str">
        <f>VLOOKUP(B582,'Thống kê'!$C$3:$D$669,2,0)</f>
        <v>Móc khoá Crybaby mini Popmart</v>
      </c>
      <c r="D582" s="166">
        <f>VLOOKUP(B582,'Thống kê'!$C$3:$M$682,4,0)</f>
        <v>0</v>
      </c>
      <c r="E582" s="167">
        <v>1</v>
      </c>
      <c r="F582" s="168">
        <f t="shared" si="3"/>
        <v>0</v>
      </c>
      <c r="G582" s="144"/>
      <c r="H582" s="175">
        <v>90200</v>
      </c>
    </row>
    <row r="583" spans="1:8" ht="13.2">
      <c r="A583" s="183"/>
      <c r="B583" s="28" t="s">
        <v>1388</v>
      </c>
      <c r="C583" s="143" t="str">
        <f>VLOOKUP(B583,'Thống kê'!$C$3:$D$669,2,0)</f>
        <v>Móc khoá Crybaby mini Popmart</v>
      </c>
      <c r="D583" s="166">
        <f>VLOOKUP(B583,'Thống kê'!$C$3:$M$682,4,0)</f>
        <v>0</v>
      </c>
      <c r="E583" s="167">
        <v>1</v>
      </c>
      <c r="F583" s="168">
        <f t="shared" si="3"/>
        <v>0</v>
      </c>
      <c r="G583" s="144"/>
      <c r="H583" s="175">
        <v>88010</v>
      </c>
    </row>
    <row r="584" spans="1:8" ht="13.2">
      <c r="A584" s="183"/>
      <c r="B584" s="28" t="s">
        <v>1210</v>
      </c>
      <c r="C584" s="143" t="str">
        <f>VLOOKUP(B584,'Thống kê'!$C$3:$D$669,2,0)</f>
        <v>Shiba ú cầm hoa</v>
      </c>
      <c r="D584" s="166">
        <f>VLOOKUP(B584,'Thống kê'!$C$3:$M$682,4,0)</f>
        <v>64500</v>
      </c>
      <c r="E584" s="167">
        <v>1</v>
      </c>
      <c r="F584" s="168">
        <f t="shared" si="3"/>
        <v>64500</v>
      </c>
      <c r="G584" s="144"/>
      <c r="H584" s="178">
        <v>64124</v>
      </c>
    </row>
    <row r="585" spans="1:8" ht="13.2">
      <c r="A585" s="183"/>
      <c r="B585" s="28" t="s">
        <v>1716</v>
      </c>
      <c r="C585" s="143" t="str">
        <f>VLOOKUP(B585,'Thống kê'!$C$3:$D$669,2,0)</f>
        <v>Móc khóa đôi 2 quả lê có nam châm</v>
      </c>
      <c r="D585" s="166">
        <f>VLOOKUP(B585,'Thống kê'!$C$3:$M$682,4,0)</f>
        <v>59000</v>
      </c>
      <c r="E585" s="167">
        <v>1</v>
      </c>
      <c r="F585" s="168">
        <f t="shared" si="3"/>
        <v>59000</v>
      </c>
      <c r="G585" s="144"/>
      <c r="H585" s="175">
        <v>48180</v>
      </c>
    </row>
    <row r="586" spans="1:8" ht="13.2">
      <c r="A586" s="183"/>
      <c r="B586" s="28" t="s">
        <v>1384</v>
      </c>
      <c r="C586" s="143" t="str">
        <f>VLOOKUP(B586,'Thống kê'!$C$3:$D$669,2,0)</f>
        <v>Móc khoá Crybaby mini Popmart</v>
      </c>
      <c r="D586" s="166">
        <f>VLOOKUP(B586,'Thống kê'!$C$3:$M$682,4,0)</f>
        <v>0</v>
      </c>
      <c r="E586" s="167">
        <v>1</v>
      </c>
      <c r="F586" s="168">
        <f t="shared" si="3"/>
        <v>0</v>
      </c>
      <c r="G586" s="144"/>
      <c r="H586" s="175">
        <v>88560</v>
      </c>
    </row>
    <row r="587" spans="1:8" ht="13.2">
      <c r="A587" s="183"/>
      <c r="B587" s="28" t="s">
        <v>1791</v>
      </c>
      <c r="C587" s="143" t="str">
        <f>VLOOKUP(B587,'Thống kê'!$C$3:$D$669,2,0)</f>
        <v>Kẹp tóc kim loại ngôi sao</v>
      </c>
      <c r="D587" s="166">
        <f>VLOOKUP(B587,'Thống kê'!$C$3:$M$682,4,0)</f>
        <v>14000</v>
      </c>
      <c r="E587" s="167">
        <v>1</v>
      </c>
      <c r="F587" s="168">
        <f t="shared" si="3"/>
        <v>14000</v>
      </c>
      <c r="G587" s="144"/>
      <c r="H587" s="402">
        <v>149178</v>
      </c>
    </row>
    <row r="588" spans="1:8" ht="13.2">
      <c r="A588" s="183"/>
      <c r="B588" s="28" t="s">
        <v>206</v>
      </c>
      <c r="C588" s="143" t="str">
        <f>VLOOKUP(B588,'Thống kê'!$C$3:$D$669,2,0)</f>
        <v>Pop Bean Baked Bread</v>
      </c>
      <c r="D588" s="166">
        <f>VLOOKUP(B588,'Thống kê'!$C$3:$M$682,4,0)</f>
        <v>167000</v>
      </c>
      <c r="E588" s="167">
        <v>1</v>
      </c>
      <c r="F588" s="168">
        <f t="shared" si="3"/>
        <v>167000</v>
      </c>
      <c r="G588" s="144"/>
      <c r="H588" s="372"/>
    </row>
    <row r="589" spans="1:8" ht="13.2">
      <c r="A589" s="183"/>
      <c r="B589" s="28" t="s">
        <v>1685</v>
      </c>
      <c r="C589" s="143" t="str">
        <f>VLOOKUP(B589,'Thống kê'!$C$3:$D$669,2,0)</f>
        <v>Capy</v>
      </c>
      <c r="D589" s="166">
        <f>VLOOKUP(B589,'Thống kê'!$C$3:$M$682,4,0)</f>
        <v>62000</v>
      </c>
      <c r="E589" s="167">
        <v>1</v>
      </c>
      <c r="F589" s="168">
        <f t="shared" si="3"/>
        <v>62000</v>
      </c>
      <c r="G589" s="144"/>
      <c r="H589" s="175">
        <v>47527</v>
      </c>
    </row>
    <row r="590" spans="1:8" ht="13.2">
      <c r="A590" s="183"/>
      <c r="B590" s="28" t="s">
        <v>1760</v>
      </c>
      <c r="C590" s="143">
        <f>VLOOKUP(B590,'Thống kê'!$C$3:$D$669,2,0)</f>
        <v>0</v>
      </c>
      <c r="D590" s="166">
        <f>VLOOKUP(B590,'Thống kê'!$C$3:$M$682,4,0)</f>
        <v>0</v>
      </c>
      <c r="E590" s="167">
        <v>1</v>
      </c>
      <c r="F590" s="168">
        <f t="shared" si="3"/>
        <v>0</v>
      </c>
      <c r="G590" s="144"/>
      <c r="H590" s="175">
        <v>70965</v>
      </c>
    </row>
    <row r="591" spans="1:8" ht="13.2">
      <c r="A591" s="183"/>
      <c r="B591" s="28" t="s">
        <v>1764</v>
      </c>
      <c r="C591" s="143">
        <f>VLOOKUP(B591,'Thống kê'!$C$3:$D$669,2,0)</f>
        <v>0</v>
      </c>
      <c r="D591" s="166">
        <f>VLOOKUP(B591,'Thống kê'!$C$3:$M$682,4,0)</f>
        <v>0</v>
      </c>
      <c r="E591" s="167">
        <v>1</v>
      </c>
      <c r="F591" s="168">
        <f t="shared" si="3"/>
        <v>0</v>
      </c>
      <c r="G591" s="144"/>
      <c r="H591" s="402">
        <v>160687</v>
      </c>
    </row>
    <row r="592" spans="1:8" ht="13.2">
      <c r="A592" s="183"/>
      <c r="B592" s="28" t="s">
        <v>138</v>
      </c>
      <c r="C592" s="143" t="str">
        <f>VLOOKUP(B592,'Thống kê'!$C$3:$D$669,2,0)</f>
        <v>Móc khoá Crybaby mini Popmart</v>
      </c>
      <c r="D592" s="166">
        <f>VLOOKUP(B592,'Thống kê'!$C$3:$M$682,4,0)</f>
        <v>0</v>
      </c>
      <c r="E592" s="167">
        <v>1</v>
      </c>
      <c r="F592" s="168">
        <f t="shared" si="3"/>
        <v>0</v>
      </c>
      <c r="G592" s="144"/>
      <c r="H592" s="372"/>
    </row>
    <row r="593" spans="1:8" ht="13.2">
      <c r="A593" s="183"/>
      <c r="B593" s="28" t="s">
        <v>1335</v>
      </c>
      <c r="C593" s="143" t="str">
        <f>VLOOKUP(B593,'Thống kê'!$C$3:$D$669,2,0)</f>
        <v>Móc khóa Popbean</v>
      </c>
      <c r="D593" s="166">
        <f>VLOOKUP(B593,'Thống kê'!$C$3:$M$682,4,0)</f>
        <v>148000</v>
      </c>
      <c r="E593" s="167">
        <v>1</v>
      </c>
      <c r="F593" s="168">
        <f t="shared" si="3"/>
        <v>148000</v>
      </c>
      <c r="G593" s="144"/>
      <c r="H593" s="175">
        <v>95940</v>
      </c>
    </row>
    <row r="594" spans="1:8" ht="13.2">
      <c r="A594" s="184">
        <v>45701</v>
      </c>
      <c r="B594" s="28" t="s">
        <v>1464</v>
      </c>
      <c r="C594" s="143">
        <f>VLOOKUP(B594,'Thống kê'!$C$3:$D$669,2,0)</f>
        <v>0</v>
      </c>
      <c r="D594" s="166">
        <f>VLOOKUP(B594,'Thống kê'!$C$3:$M$682,4,0)</f>
        <v>0</v>
      </c>
      <c r="E594" s="167">
        <v>1</v>
      </c>
      <c r="F594" s="168">
        <f t="shared" si="3"/>
        <v>0</v>
      </c>
      <c r="G594" s="144"/>
      <c r="H594" s="402">
        <v>237636</v>
      </c>
    </row>
    <row r="595" spans="1:8" ht="13.2">
      <c r="A595" s="183"/>
      <c r="B595" s="28" t="s">
        <v>1466</v>
      </c>
      <c r="C595" s="143">
        <f>VLOOKUP(B595,'Thống kê'!$C$3:$D$669,2,0)</f>
        <v>0</v>
      </c>
      <c r="D595" s="166">
        <f>VLOOKUP(B595,'Thống kê'!$C$3:$M$682,4,0)</f>
        <v>0</v>
      </c>
      <c r="E595" s="167">
        <v>1</v>
      </c>
      <c r="F595" s="168">
        <f t="shared" si="3"/>
        <v>0</v>
      </c>
      <c r="G595" s="144"/>
      <c r="H595" s="372"/>
    </row>
    <row r="596" spans="1:8" ht="13.2">
      <c r="A596" s="183"/>
      <c r="B596" s="28" t="s">
        <v>228</v>
      </c>
      <c r="C596" s="143">
        <f>VLOOKUP(B596,'Thống kê'!$C$3:$D$669,2,0)</f>
        <v>0</v>
      </c>
      <c r="D596" s="166">
        <f>VLOOKUP(B596,'Thống kê'!$C$3:$M$682,4,0)</f>
        <v>0</v>
      </c>
      <c r="E596" s="167">
        <v>1</v>
      </c>
      <c r="F596" s="168">
        <f t="shared" si="3"/>
        <v>0</v>
      </c>
      <c r="G596" s="144"/>
      <c r="H596" s="372"/>
    </row>
    <row r="597" spans="1:8" ht="13.2">
      <c r="A597" s="183"/>
      <c r="B597" s="28" t="s">
        <v>1624</v>
      </c>
      <c r="C597" s="143" t="str">
        <f>VLOOKUP(B597,'Thống kê'!$C$3:$D$669,2,0)</f>
        <v>Móc khóa mèo trái tim</v>
      </c>
      <c r="D597" s="166">
        <f>VLOOKUP(B597,'Thống kê'!$C$3:$M$682,4,0)</f>
        <v>59000</v>
      </c>
      <c r="E597" s="167">
        <v>1</v>
      </c>
      <c r="F597" s="168">
        <f t="shared" si="3"/>
        <v>59000</v>
      </c>
      <c r="G597" s="144"/>
      <c r="H597" s="175">
        <v>44510</v>
      </c>
    </row>
    <row r="598" spans="1:8" ht="13.2">
      <c r="A598" s="183"/>
      <c r="B598" s="28" t="s">
        <v>1792</v>
      </c>
      <c r="C598" s="143" t="str">
        <f>VLOOKUP(B598,'Thống kê'!$C$3:$D$669,2,0)</f>
        <v>Mèo da treo gương</v>
      </c>
      <c r="D598" s="166">
        <f>VLOOKUP(B598,'Thống kê'!$C$3:$M$682,4,0)</f>
        <v>71500</v>
      </c>
      <c r="E598" s="167">
        <v>1</v>
      </c>
      <c r="F598" s="168">
        <f t="shared" si="3"/>
        <v>71500</v>
      </c>
      <c r="G598" s="144"/>
      <c r="H598" s="175">
        <v>53940</v>
      </c>
    </row>
    <row r="599" spans="1:8" ht="13.2">
      <c r="A599" s="183"/>
      <c r="B599" s="28" t="s">
        <v>1382</v>
      </c>
      <c r="C599" s="143" t="str">
        <f>VLOOKUP(B599,'Thống kê'!$C$3:$D$669,2,0)</f>
        <v>miếng dán silicon điện thoại</v>
      </c>
      <c r="D599" s="166">
        <f>VLOOKUP(B599,'Thống kê'!$C$3:$M$682,4,0)</f>
        <v>0</v>
      </c>
      <c r="E599" s="167">
        <v>1</v>
      </c>
      <c r="F599" s="168">
        <f t="shared" si="3"/>
        <v>0</v>
      </c>
      <c r="G599" s="144"/>
      <c r="H599" s="402">
        <v>175829</v>
      </c>
    </row>
    <row r="600" spans="1:8" ht="13.2">
      <c r="A600" s="183"/>
      <c r="B600" s="28" t="s">
        <v>159</v>
      </c>
      <c r="C600" s="143">
        <f>VLOOKUP(B600,'Thống kê'!$C$3:$D$669,2,0)</f>
        <v>0</v>
      </c>
      <c r="D600" s="166">
        <f>VLOOKUP(B600,'Thống kê'!$C$3:$M$682,4,0)</f>
        <v>0</v>
      </c>
      <c r="E600" s="167">
        <v>1</v>
      </c>
      <c r="F600" s="168">
        <f t="shared" si="3"/>
        <v>0</v>
      </c>
      <c r="G600" s="144"/>
      <c r="H600" s="372"/>
    </row>
    <row r="601" spans="1:8" ht="13.2">
      <c r="A601" s="183"/>
      <c r="B601" s="28" t="s">
        <v>1386</v>
      </c>
      <c r="C601" s="143" t="str">
        <f>VLOOKUP(B601,'Thống kê'!$C$3:$D$669,2,0)</f>
        <v>Móc khoá Crybaby mini Popmart</v>
      </c>
      <c r="D601" s="166">
        <f>VLOOKUP(B601,'Thống kê'!$C$3:$M$682,4,0)</f>
        <v>0</v>
      </c>
      <c r="E601" s="167">
        <v>1</v>
      </c>
      <c r="F601" s="168">
        <f t="shared" si="3"/>
        <v>0</v>
      </c>
      <c r="G601" s="144"/>
      <c r="H601" s="372"/>
    </row>
    <row r="602" spans="1:8" ht="13.2">
      <c r="A602" s="183"/>
      <c r="B602" s="28" t="s">
        <v>1351</v>
      </c>
      <c r="C602" s="143" t="str">
        <f>VLOOKUP(B602,'Thống kê'!$C$3:$D$669,2,0)</f>
        <v>Trang trí mô hình Heo</v>
      </c>
      <c r="D602" s="166">
        <f>VLOOKUP(B602,'Thống kê'!$C$3:$M$682,4,0)</f>
        <v>39000</v>
      </c>
      <c r="E602" s="167">
        <v>1</v>
      </c>
      <c r="F602" s="168">
        <f t="shared" si="3"/>
        <v>39000</v>
      </c>
      <c r="G602" s="144"/>
      <c r="H602" s="402">
        <v>156855</v>
      </c>
    </row>
    <row r="603" spans="1:8" ht="13.2">
      <c r="A603" s="183"/>
      <c r="B603" s="28" t="s">
        <v>310</v>
      </c>
      <c r="C603" s="143" t="str">
        <f>VLOOKUP(B603,'Thống kê'!$C$3:$D$669,2,0)</f>
        <v>Trang trí mô hình Heo</v>
      </c>
      <c r="D603" s="166">
        <f>VLOOKUP(B603,'Thống kê'!$C$3:$M$682,4,0)</f>
        <v>39000</v>
      </c>
      <c r="E603" s="167">
        <v>1</v>
      </c>
      <c r="F603" s="168">
        <f t="shared" si="3"/>
        <v>39000</v>
      </c>
      <c r="G603" s="144"/>
      <c r="H603" s="372"/>
    </row>
    <row r="604" spans="1:8" ht="13.2">
      <c r="A604" s="183"/>
      <c r="B604" s="28" t="s">
        <v>1353</v>
      </c>
      <c r="C604" s="143" t="str">
        <f>VLOOKUP(B604,'Thống kê'!$C$3:$D$669,2,0)</f>
        <v>Trang trí mô hình Vịt</v>
      </c>
      <c r="D604" s="166">
        <f>VLOOKUP(B604,'Thống kê'!$C$3:$M$682,4,0)</f>
        <v>39000</v>
      </c>
      <c r="E604" s="167">
        <v>1</v>
      </c>
      <c r="F604" s="168">
        <f t="shared" si="3"/>
        <v>39000</v>
      </c>
      <c r="G604" s="144"/>
      <c r="H604" s="372"/>
    </row>
    <row r="605" spans="1:8" ht="13.2">
      <c r="A605" s="185"/>
      <c r="B605" s="28" t="s">
        <v>1357</v>
      </c>
      <c r="C605" s="143" t="str">
        <f>VLOOKUP(B605,'Thống kê'!$C$3:$D$669,2,0)</f>
        <v>Trang trí mô hình Thỏ</v>
      </c>
      <c r="D605" s="166">
        <f>VLOOKUP(B605,'Thống kê'!$C$3:$M$682,4,0)</f>
        <v>39000</v>
      </c>
      <c r="E605" s="167">
        <v>1</v>
      </c>
      <c r="F605" s="168">
        <f t="shared" si="3"/>
        <v>39000</v>
      </c>
      <c r="G605" s="144"/>
      <c r="H605" s="372"/>
    </row>
    <row r="606" spans="1:8" ht="13.2">
      <c r="A606" s="152"/>
      <c r="B606" s="28" t="s">
        <v>1685</v>
      </c>
      <c r="C606" s="143" t="str">
        <f>VLOOKUP(B606,'Thống kê'!$C$3:$D$669,2,0)</f>
        <v>Capy</v>
      </c>
      <c r="D606" s="166">
        <f>VLOOKUP(B606,'Thống kê'!$C$3:$M$682,4,0)</f>
        <v>62000</v>
      </c>
      <c r="E606" s="167">
        <v>1</v>
      </c>
      <c r="F606" s="168">
        <f t="shared" si="3"/>
        <v>62000</v>
      </c>
      <c r="G606" s="144"/>
      <c r="H606" s="373"/>
    </row>
    <row r="607" spans="1:8" ht="13.2">
      <c r="A607" s="183"/>
      <c r="B607" s="28" t="s">
        <v>1387</v>
      </c>
      <c r="C607" s="143" t="str">
        <f>VLOOKUP(B607,'Thống kê'!$C$3:$D$669,2,0)</f>
        <v>Móc khoá Crybaby mini Popmart</v>
      </c>
      <c r="D607" s="166">
        <f>VLOOKUP(B607,'Thống kê'!$C$3:$M$682,4,0)</f>
        <v>0</v>
      </c>
      <c r="E607" s="167">
        <v>1</v>
      </c>
      <c r="F607" s="168">
        <f t="shared" si="3"/>
        <v>0</v>
      </c>
      <c r="G607" s="144"/>
      <c r="H607" s="402">
        <v>176358</v>
      </c>
    </row>
    <row r="608" spans="1:8" ht="13.2">
      <c r="A608" s="183"/>
      <c r="B608" s="28" t="s">
        <v>1384</v>
      </c>
      <c r="C608" s="143" t="str">
        <f>VLOOKUP(B608,'Thống kê'!$C$3:$D$669,2,0)</f>
        <v>Móc khoá Crybaby mini Popmart</v>
      </c>
      <c r="D608" s="166">
        <f>VLOOKUP(B608,'Thống kê'!$C$3:$M$682,4,0)</f>
        <v>0</v>
      </c>
      <c r="E608" s="167">
        <v>1</v>
      </c>
      <c r="F608" s="168">
        <f t="shared" si="3"/>
        <v>0</v>
      </c>
      <c r="G608" s="144"/>
      <c r="H608" s="372"/>
    </row>
    <row r="609" spans="1:8" ht="13.2">
      <c r="A609" s="183"/>
      <c r="B609" s="28" t="s">
        <v>1793</v>
      </c>
      <c r="C609" s="143" t="str">
        <f>VLOOKUP(B609,'Thống kê'!$C$3:$D$669,2,0)</f>
        <v>Móc khoá Crybaby mini Popmart</v>
      </c>
      <c r="D609" s="166">
        <f>VLOOKUP(B609,'Thống kê'!$C$3:$M$682,4,0)</f>
        <v>0</v>
      </c>
      <c r="E609" s="167">
        <v>1</v>
      </c>
      <c r="F609" s="168">
        <f t="shared" si="3"/>
        <v>0</v>
      </c>
      <c r="G609" s="144"/>
      <c r="H609" s="402">
        <v>395000</v>
      </c>
    </row>
    <row r="610" spans="1:8" ht="13.2">
      <c r="A610" s="183"/>
      <c r="B610" s="28" t="s">
        <v>258</v>
      </c>
      <c r="C610" s="143" t="str">
        <f>VLOOKUP(B610,'Thống kê'!$C$3:$D$669,2,0)</f>
        <v>Móc khoá Crybaby mini Popmart</v>
      </c>
      <c r="D610" s="166">
        <f>VLOOKUP(B610,'Thống kê'!$C$3:$M$682,4,0)</f>
        <v>0</v>
      </c>
      <c r="E610" s="167">
        <v>1</v>
      </c>
      <c r="F610" s="168">
        <f t="shared" si="3"/>
        <v>0</v>
      </c>
      <c r="G610" s="144"/>
      <c r="H610" s="372"/>
    </row>
    <row r="611" spans="1:8" ht="13.2">
      <c r="A611" s="183"/>
      <c r="B611" s="28" t="s">
        <v>138</v>
      </c>
      <c r="C611" s="143" t="str">
        <f>VLOOKUP(B611,'Thống kê'!$C$3:$D$669,2,0)</f>
        <v>Móc khoá Crybaby mini Popmart</v>
      </c>
      <c r="D611" s="166">
        <f>VLOOKUP(B611,'Thống kê'!$C$3:$M$682,4,0)</f>
        <v>0</v>
      </c>
      <c r="E611" s="167">
        <v>1</v>
      </c>
      <c r="F611" s="168">
        <f t="shared" si="3"/>
        <v>0</v>
      </c>
      <c r="G611" s="144"/>
      <c r="H611" s="372"/>
    </row>
    <row r="612" spans="1:8" ht="13.2">
      <c r="A612" s="183"/>
      <c r="B612" s="28" t="s">
        <v>230</v>
      </c>
      <c r="C612" s="143" t="str">
        <f>VLOOKUP(B612,'Thống kê'!$C$3:$D$669,2,0)</f>
        <v>Móc khoá Crybaby mini Popmart</v>
      </c>
      <c r="D612" s="166">
        <f>VLOOKUP(B612,'Thống kê'!$C$3:$M$682,4,0)</f>
        <v>0</v>
      </c>
      <c r="E612" s="167">
        <v>1</v>
      </c>
      <c r="F612" s="168">
        <f t="shared" si="3"/>
        <v>0</v>
      </c>
      <c r="G612" s="144"/>
      <c r="H612" s="372"/>
    </row>
    <row r="613" spans="1:8" ht="13.2">
      <c r="A613" s="183"/>
      <c r="B613" s="28" t="s">
        <v>1448</v>
      </c>
      <c r="C613" s="143">
        <f>VLOOKUP(B613,'Thống kê'!$C$3:$D$669,2,0)</f>
        <v>0</v>
      </c>
      <c r="D613" s="166">
        <f>VLOOKUP(B613,'Thống kê'!$C$3:$M$682,4,0)</f>
        <v>0</v>
      </c>
      <c r="E613" s="167">
        <v>1</v>
      </c>
      <c r="F613" s="168">
        <f t="shared" si="3"/>
        <v>0</v>
      </c>
      <c r="G613" s="144"/>
      <c r="H613" s="402">
        <v>235000</v>
      </c>
    </row>
    <row r="614" spans="1:8" ht="13.2">
      <c r="A614" s="183"/>
      <c r="B614" s="28" t="s">
        <v>1794</v>
      </c>
      <c r="C614" s="143" t="str">
        <f>VLOOKUP(B614,'Thống kê'!$C$3:$D$669,2,0)</f>
        <v>Móc khoá Crybaby mini Popmart</v>
      </c>
      <c r="D614" s="166">
        <f>VLOOKUP(B614,'Thống kê'!$C$3:$M$682,4,0)</f>
        <v>0</v>
      </c>
      <c r="E614" s="167">
        <v>1</v>
      </c>
      <c r="F614" s="168">
        <f t="shared" si="3"/>
        <v>0</v>
      </c>
      <c r="G614" s="144"/>
      <c r="H614" s="372"/>
    </row>
    <row r="615" spans="1:8" ht="13.2">
      <c r="A615" s="183"/>
      <c r="B615" s="28" t="s">
        <v>1384</v>
      </c>
      <c r="C615" s="143" t="str">
        <f>VLOOKUP(B615,'Thống kê'!$C$3:$D$669,2,0)</f>
        <v>Móc khoá Crybaby mini Popmart</v>
      </c>
      <c r="D615" s="166">
        <f>VLOOKUP(B615,'Thống kê'!$C$3:$M$682,4,0)</f>
        <v>0</v>
      </c>
      <c r="E615" s="167">
        <v>1</v>
      </c>
      <c r="F615" s="168">
        <f t="shared" si="3"/>
        <v>0</v>
      </c>
      <c r="G615" s="144"/>
      <c r="H615" s="175">
        <v>90200</v>
      </c>
    </row>
    <row r="616" spans="1:8" ht="13.2">
      <c r="A616" s="183"/>
      <c r="B616" s="28" t="s">
        <v>206</v>
      </c>
      <c r="C616" s="143" t="str">
        <f>VLOOKUP(B616,'Thống kê'!$C$3:$D$669,2,0)</f>
        <v>Pop Bean Baked Bread</v>
      </c>
      <c r="D616" s="166">
        <f>VLOOKUP(B616,'Thống kê'!$C$3:$M$682,4,0)</f>
        <v>167000</v>
      </c>
      <c r="E616" s="167">
        <v>1</v>
      </c>
      <c r="F616" s="168">
        <f t="shared" si="3"/>
        <v>167000</v>
      </c>
      <c r="G616" s="144"/>
      <c r="H616" s="175">
        <v>138610</v>
      </c>
    </row>
    <row r="617" spans="1:8" ht="13.2">
      <c r="A617" s="183"/>
      <c r="B617" s="28" t="s">
        <v>1594</v>
      </c>
      <c r="C617" s="143" t="str">
        <f>VLOOKUP(B617,'Thống kê'!$C$3:$D$669,2,0)</f>
        <v>Móc khóa đôi heo</v>
      </c>
      <c r="D617" s="166">
        <f>VLOOKUP(B617,'Thống kê'!$C$3:$M$682,4,0)</f>
        <v>56580</v>
      </c>
      <c r="E617" s="167">
        <v>1</v>
      </c>
      <c r="F617" s="168">
        <f t="shared" si="3"/>
        <v>56580</v>
      </c>
      <c r="G617" s="144"/>
      <c r="H617" s="175">
        <v>45186</v>
      </c>
    </row>
    <row r="618" spans="1:8" ht="13.2">
      <c r="A618" s="183"/>
      <c r="B618" s="28" t="s">
        <v>1484</v>
      </c>
      <c r="C618" s="143" t="str">
        <f>VLOOKUP(B618,'Thống kê'!$C$3:$D$669,2,0)</f>
        <v>Móc khoá Dudu nhiều màu sắc treo túi, đeo điện thoại</v>
      </c>
      <c r="D618" s="166">
        <f>VLOOKUP(B618,'Thống kê'!$C$3:$M$682,4,0)</f>
        <v>45000</v>
      </c>
      <c r="E618" s="167">
        <v>1</v>
      </c>
      <c r="F618" s="168">
        <f t="shared" si="3"/>
        <v>45000</v>
      </c>
      <c r="G618" s="144"/>
      <c r="H618" s="402">
        <v>127528</v>
      </c>
    </row>
    <row r="619" spans="1:8" ht="13.2">
      <c r="A619" s="185"/>
      <c r="B619" s="28" t="s">
        <v>1386</v>
      </c>
      <c r="C619" s="143" t="str">
        <f>VLOOKUP(B619,'Thống kê'!$C$3:$D$669,2,0)</f>
        <v>Móc khoá Crybaby mini Popmart</v>
      </c>
      <c r="D619" s="166">
        <f>VLOOKUP(B619,'Thống kê'!$C$3:$M$682,4,0)</f>
        <v>0</v>
      </c>
      <c r="E619" s="167">
        <v>1</v>
      </c>
      <c r="F619" s="168">
        <f t="shared" si="3"/>
        <v>0</v>
      </c>
      <c r="G619" s="144"/>
      <c r="H619" s="373"/>
    </row>
    <row r="620" spans="1:8" ht="13.2">
      <c r="A620" s="152"/>
      <c r="B620" s="28" t="s">
        <v>1761</v>
      </c>
      <c r="C620" s="143">
        <f>VLOOKUP(B620,'Thống kê'!$C$3:$D$669,2,0)</f>
        <v>0</v>
      </c>
      <c r="D620" s="166">
        <f>VLOOKUP(B620,'Thống kê'!$C$3:$M$682,4,0)</f>
        <v>0</v>
      </c>
      <c r="E620" s="167">
        <v>1</v>
      </c>
      <c r="F620" s="168">
        <f t="shared" si="3"/>
        <v>0</v>
      </c>
      <c r="G620" s="144"/>
      <c r="H620" s="178">
        <v>67860</v>
      </c>
    </row>
    <row r="621" spans="1:8" ht="13.2">
      <c r="A621" s="183"/>
      <c r="B621" s="28" t="s">
        <v>1341</v>
      </c>
      <c r="C621" s="143" t="str">
        <f>VLOOKUP(B621,'Thống kê'!$C$3:$D$669,2,0)</f>
        <v>Móc khóa chuối</v>
      </c>
      <c r="D621" s="166">
        <f>VLOOKUP(B621,'Thống kê'!$C$3:$M$682,4,0)</f>
        <v>148000</v>
      </c>
      <c r="E621" s="167">
        <v>1</v>
      </c>
      <c r="F621" s="168">
        <f t="shared" si="3"/>
        <v>148000</v>
      </c>
      <c r="G621" s="144"/>
      <c r="H621" s="402">
        <v>234143</v>
      </c>
    </row>
    <row r="622" spans="1:8" ht="13.2">
      <c r="A622" s="183"/>
      <c r="B622" s="28" t="s">
        <v>1343</v>
      </c>
      <c r="C622" s="143" t="str">
        <f>VLOOKUP(B622,'Thống kê'!$C$3:$D$669,2,0)</f>
        <v>Móc khóa chuối</v>
      </c>
      <c r="D622" s="166">
        <f>VLOOKUP(B622,'Thống kê'!$C$3:$M$682,4,0)</f>
        <v>148000</v>
      </c>
      <c r="E622" s="167">
        <v>1</v>
      </c>
      <c r="F622" s="168">
        <f t="shared" si="3"/>
        <v>148000</v>
      </c>
      <c r="G622" s="144"/>
      <c r="H622" s="372"/>
    </row>
    <row r="623" spans="1:8" ht="13.2">
      <c r="A623" s="183"/>
      <c r="B623" s="28" t="s">
        <v>196</v>
      </c>
      <c r="C623" s="143">
        <f>VLOOKUP(B623,'Thống kê'!$C$3:$D$669,2,0)</f>
        <v>0</v>
      </c>
      <c r="D623" s="166">
        <f>VLOOKUP(B623,'Thống kê'!$C$3:$M$682,4,0)</f>
        <v>0</v>
      </c>
      <c r="E623" s="167">
        <v>1</v>
      </c>
      <c r="F623" s="168">
        <f t="shared" si="3"/>
        <v>0</v>
      </c>
      <c r="G623" s="144"/>
      <c r="H623" s="372"/>
    </row>
    <row r="624" spans="1:8" ht="13.2">
      <c r="A624" s="184">
        <v>45702</v>
      </c>
      <c r="B624" s="28" t="s">
        <v>1761</v>
      </c>
      <c r="C624" s="143">
        <f>VLOOKUP(B624,'Thống kê'!$C$3:$D$669,2,0)</f>
        <v>0</v>
      </c>
      <c r="D624" s="166">
        <f>VLOOKUP(B624,'Thống kê'!$C$3:$M$682,4,0)</f>
        <v>0</v>
      </c>
      <c r="E624" s="167">
        <v>1</v>
      </c>
      <c r="F624" s="168">
        <f t="shared" si="3"/>
        <v>0</v>
      </c>
      <c r="G624" s="144"/>
      <c r="H624" s="402">
        <v>120000</v>
      </c>
    </row>
    <row r="625" spans="1:8" ht="13.2">
      <c r="A625" s="183"/>
      <c r="B625" s="28" t="s">
        <v>162</v>
      </c>
      <c r="C625" s="143" t="str">
        <f>VLOOKUP(B625,'Thống kê'!$C$3:$D$669,2,0)</f>
        <v>Móc khoá cún Donut</v>
      </c>
      <c r="D625" s="166">
        <f>VLOOKUP(B625,'Thống kê'!$C$3:$M$682,4,0)</f>
        <v>38000</v>
      </c>
      <c r="E625" s="167">
        <v>1</v>
      </c>
      <c r="F625" s="168">
        <f t="shared" si="3"/>
        <v>38000</v>
      </c>
      <c r="G625" s="144"/>
      <c r="H625" s="372"/>
    </row>
    <row r="626" spans="1:8" ht="13.2">
      <c r="A626" s="183"/>
      <c r="B626" s="28" t="s">
        <v>168</v>
      </c>
      <c r="C626" s="143" t="str">
        <f>VLOOKUP(B626,'Thống kê'!$C$3:$D$669,2,0)</f>
        <v>Thiệp</v>
      </c>
      <c r="D626" s="166">
        <f>VLOOKUP(B626,'Thống kê'!$C$3:$M$682,4,0)</f>
        <v>0</v>
      </c>
      <c r="E626" s="167">
        <v>1</v>
      </c>
      <c r="F626" s="168">
        <f t="shared" si="3"/>
        <v>0</v>
      </c>
      <c r="G626" s="144"/>
      <c r="H626" s="372"/>
    </row>
    <row r="627" spans="1:8" ht="13.2">
      <c r="A627" s="183"/>
      <c r="B627" s="28" t="s">
        <v>207</v>
      </c>
      <c r="C627" s="143" t="str">
        <f>VLOOKUP(B627,'Thống kê'!$C$3:$D$669,2,0)</f>
        <v>Thiệp</v>
      </c>
      <c r="D627" s="166">
        <f>VLOOKUP(B627,'Thống kê'!$C$3:$M$682,4,0)</f>
        <v>0</v>
      </c>
      <c r="E627" s="167">
        <v>1</v>
      </c>
      <c r="F627" s="168">
        <f t="shared" si="3"/>
        <v>0</v>
      </c>
      <c r="G627" s="144"/>
      <c r="H627" s="372"/>
    </row>
    <row r="628" spans="1:8" ht="13.2">
      <c r="A628" s="183"/>
      <c r="B628" s="28" t="s">
        <v>1761</v>
      </c>
      <c r="C628" s="143">
        <f>VLOOKUP(B628,'Thống kê'!$C$3:$D$669,2,0)</f>
        <v>0</v>
      </c>
      <c r="D628" s="166">
        <f>VLOOKUP(B628,'Thống kê'!$C$3:$M$682,4,0)</f>
        <v>0</v>
      </c>
      <c r="E628" s="167">
        <v>1</v>
      </c>
      <c r="F628" s="168">
        <f t="shared" si="3"/>
        <v>0</v>
      </c>
      <c r="G628" s="144"/>
      <c r="H628" s="175">
        <v>69660</v>
      </c>
    </row>
    <row r="629" spans="1:8" ht="13.2">
      <c r="A629" s="183"/>
      <c r="B629" s="28" t="s">
        <v>1762</v>
      </c>
      <c r="C629" s="143">
        <f>VLOOKUP(B629,'Thống kê'!$C$3:$D$669,2,0)</f>
        <v>0</v>
      </c>
      <c r="D629" s="166">
        <f>VLOOKUP(B629,'Thống kê'!$C$3:$M$682,4,0)</f>
        <v>0</v>
      </c>
      <c r="E629" s="167">
        <v>1</v>
      </c>
      <c r="F629" s="168">
        <f t="shared" si="3"/>
        <v>0</v>
      </c>
      <c r="G629" s="144"/>
      <c r="H629" s="402">
        <v>149240</v>
      </c>
    </row>
    <row r="630" spans="1:8" ht="13.2">
      <c r="A630" s="183"/>
      <c r="B630" s="28" t="s">
        <v>1764</v>
      </c>
      <c r="C630" s="143">
        <f>VLOOKUP(B630,'Thống kê'!$C$3:$D$669,2,0)</f>
        <v>0</v>
      </c>
      <c r="D630" s="166">
        <f>VLOOKUP(B630,'Thống kê'!$C$3:$M$682,4,0)</f>
        <v>0</v>
      </c>
      <c r="E630" s="167">
        <v>1</v>
      </c>
      <c r="F630" s="168">
        <f t="shared" si="3"/>
        <v>0</v>
      </c>
      <c r="G630" s="144"/>
      <c r="H630" s="372"/>
    </row>
    <row r="631" spans="1:8" ht="13.2">
      <c r="A631" s="183"/>
      <c r="B631" s="28" t="s">
        <v>1795</v>
      </c>
      <c r="C631" s="143" t="str">
        <f>VLOOKUP(B631,'Thống kê'!$C$3:$D$669,2,0)</f>
        <v>Móc khoá Crybaby mini Popmart</v>
      </c>
      <c r="D631" s="166">
        <f>VLOOKUP(B631,'Thống kê'!$C$3:$M$682,4,0)</f>
        <v>0</v>
      </c>
      <c r="E631" s="167">
        <v>1</v>
      </c>
      <c r="F631" s="168">
        <f t="shared" si="3"/>
        <v>0</v>
      </c>
      <c r="G631" s="144"/>
      <c r="H631" s="175">
        <v>105000</v>
      </c>
    </row>
    <row r="632" spans="1:8" ht="13.2">
      <c r="A632" s="183"/>
      <c r="B632" s="28" t="s">
        <v>1796</v>
      </c>
      <c r="C632" s="143">
        <f>VLOOKUP(B632,'Thống kê'!$C$3:$D$669,2,0)</f>
        <v>0</v>
      </c>
      <c r="D632" s="166">
        <f>VLOOKUP(B632,'Thống kê'!$C$3:$M$682,4,0)</f>
        <v>0</v>
      </c>
      <c r="E632" s="167">
        <v>1</v>
      </c>
      <c r="F632" s="168">
        <f t="shared" si="3"/>
        <v>0</v>
      </c>
      <c r="G632" s="144"/>
      <c r="H632" s="402">
        <v>165000</v>
      </c>
    </row>
    <row r="633" spans="1:8" ht="13.2">
      <c r="A633" s="183"/>
      <c r="B633" s="28" t="s">
        <v>1797</v>
      </c>
      <c r="C633" s="143">
        <f>VLOOKUP(B633,'Thống kê'!$C$3:$D$669,2,0)</f>
        <v>0</v>
      </c>
      <c r="D633" s="166">
        <f>VLOOKUP(B633,'Thống kê'!$C$3:$M$682,4,0)</f>
        <v>0</v>
      </c>
      <c r="E633" s="167">
        <v>1</v>
      </c>
      <c r="F633" s="168">
        <f t="shared" si="3"/>
        <v>0</v>
      </c>
      <c r="G633" s="144"/>
      <c r="H633" s="372"/>
    </row>
    <row r="634" spans="1:8" ht="13.2">
      <c r="A634" s="183"/>
      <c r="B634" s="28" t="s">
        <v>1798</v>
      </c>
      <c r="C634" s="143">
        <f>VLOOKUP(B634,'Thống kê'!$C$3:$D$669,2,0)</f>
        <v>0</v>
      </c>
      <c r="D634" s="166">
        <f>VLOOKUP(B634,'Thống kê'!$C$3:$M$682,4,0)</f>
        <v>0</v>
      </c>
      <c r="E634" s="167">
        <v>1</v>
      </c>
      <c r="F634" s="168">
        <f t="shared" si="3"/>
        <v>0</v>
      </c>
      <c r="G634" s="144"/>
      <c r="H634" s="402">
        <v>240000</v>
      </c>
    </row>
    <row r="635" spans="1:8" ht="13.2">
      <c r="A635" s="183"/>
      <c r="B635" s="28" t="s">
        <v>1799</v>
      </c>
      <c r="C635" s="143">
        <f>VLOOKUP(B635,'Thống kê'!$C$3:$D$669,2,0)</f>
        <v>0</v>
      </c>
      <c r="D635" s="166">
        <f>VLOOKUP(B635,'Thống kê'!$C$3:$M$682,4,0)</f>
        <v>0</v>
      </c>
      <c r="E635" s="167">
        <v>1</v>
      </c>
      <c r="F635" s="168">
        <f t="shared" si="3"/>
        <v>0</v>
      </c>
      <c r="G635" s="144"/>
      <c r="H635" s="372"/>
    </row>
    <row r="636" spans="1:8" ht="13.2">
      <c r="A636" s="183"/>
      <c r="B636" s="28" t="s">
        <v>1800</v>
      </c>
      <c r="C636" s="143" t="str">
        <f>VLOOKUP(B636,'Thống kê'!$C$3:$D$669,2,0)</f>
        <v>Móc khoá Crybaby mini Popmart</v>
      </c>
      <c r="D636" s="166">
        <f>VLOOKUP(B636,'Thống kê'!$C$3:$M$682,4,0)</f>
        <v>0</v>
      </c>
      <c r="E636" s="167">
        <v>1</v>
      </c>
      <c r="F636" s="168">
        <f t="shared" si="3"/>
        <v>0</v>
      </c>
      <c r="G636" s="144"/>
      <c r="H636" s="372"/>
    </row>
    <row r="637" spans="1:8" ht="13.2">
      <c r="A637" s="183"/>
      <c r="B637" s="28" t="s">
        <v>1466</v>
      </c>
      <c r="C637" s="143">
        <f>VLOOKUP(B637,'Thống kê'!$C$3:$D$669,2,0)</f>
        <v>0</v>
      </c>
      <c r="D637" s="166">
        <f>VLOOKUP(B637,'Thống kê'!$C$3:$M$682,4,0)</f>
        <v>0</v>
      </c>
      <c r="E637" s="167">
        <v>1</v>
      </c>
      <c r="F637" s="168">
        <f t="shared" si="3"/>
        <v>0</v>
      </c>
      <c r="G637" s="144"/>
      <c r="H637" s="402">
        <v>149570</v>
      </c>
    </row>
    <row r="638" spans="1:8" ht="13.2">
      <c r="A638" s="183"/>
      <c r="B638" s="28" t="s">
        <v>196</v>
      </c>
      <c r="C638" s="143">
        <f>VLOOKUP(B638,'Thống kê'!$C$3:$D$669,2,0)</f>
        <v>0</v>
      </c>
      <c r="D638" s="166">
        <f>VLOOKUP(B638,'Thống kê'!$C$3:$M$682,4,0)</f>
        <v>0</v>
      </c>
      <c r="E638" s="167">
        <v>1</v>
      </c>
      <c r="F638" s="168">
        <f t="shared" si="3"/>
        <v>0</v>
      </c>
      <c r="G638" s="144"/>
      <c r="H638" s="372"/>
    </row>
    <row r="639" spans="1:8" ht="13.2">
      <c r="A639" s="183"/>
      <c r="B639" s="28" t="s">
        <v>258</v>
      </c>
      <c r="C639" s="143" t="str">
        <f>VLOOKUP(B639,'Thống kê'!$C$3:$D$669,2,0)</f>
        <v>Móc khoá Crybaby mini Popmart</v>
      </c>
      <c r="D639" s="166">
        <f>VLOOKUP(B639,'Thống kê'!$C$3:$M$682,4,0)</f>
        <v>0</v>
      </c>
      <c r="E639" s="167">
        <v>1</v>
      </c>
      <c r="F639" s="168">
        <f t="shared" si="3"/>
        <v>0</v>
      </c>
      <c r="G639" s="144"/>
      <c r="H639" s="175">
        <v>90200</v>
      </c>
    </row>
    <row r="640" spans="1:8" ht="13.2">
      <c r="A640" s="183"/>
      <c r="B640" s="28" t="s">
        <v>1382</v>
      </c>
      <c r="C640" s="143" t="str">
        <f>VLOOKUP(B640,'Thống kê'!$C$3:$D$669,2,0)</f>
        <v>miếng dán silicon điện thoại</v>
      </c>
      <c r="D640" s="166">
        <f>VLOOKUP(B640,'Thống kê'!$C$3:$M$682,4,0)</f>
        <v>0</v>
      </c>
      <c r="E640" s="167">
        <v>1</v>
      </c>
      <c r="F640" s="168">
        <f t="shared" si="3"/>
        <v>0</v>
      </c>
      <c r="G640" s="144"/>
      <c r="H640" s="402">
        <v>68261</v>
      </c>
    </row>
    <row r="641" spans="1:8" ht="13.2">
      <c r="A641" s="183"/>
      <c r="B641" s="28" t="s">
        <v>196</v>
      </c>
      <c r="C641" s="143">
        <f>VLOOKUP(B641,'Thống kê'!$C$3:$D$669,2,0)</f>
        <v>0</v>
      </c>
      <c r="D641" s="166">
        <f>VLOOKUP(B641,'Thống kê'!$C$3:$M$682,4,0)</f>
        <v>0</v>
      </c>
      <c r="E641" s="167">
        <v>1</v>
      </c>
      <c r="F641" s="168">
        <f t="shared" si="3"/>
        <v>0</v>
      </c>
      <c r="G641" s="144"/>
      <c r="H641" s="373"/>
    </row>
    <row r="642" spans="1:8" ht="13.2">
      <c r="A642" s="185"/>
      <c r="B642" s="28" t="s">
        <v>138</v>
      </c>
      <c r="C642" s="143" t="str">
        <f>VLOOKUP(B642,'Thống kê'!$C$3:$D$669,2,0)</f>
        <v>Móc khoá Crybaby mini Popmart</v>
      </c>
      <c r="D642" s="166">
        <f>VLOOKUP(B642,'Thống kê'!$C$3:$M$682,4,0)</f>
        <v>0</v>
      </c>
      <c r="E642" s="167">
        <v>1</v>
      </c>
      <c r="F642" s="168">
        <f t="shared" si="3"/>
        <v>0</v>
      </c>
      <c r="G642" s="144"/>
      <c r="H642" s="177">
        <v>90200</v>
      </c>
    </row>
    <row r="643" spans="1:8" ht="13.2">
      <c r="A643" s="152"/>
      <c r="B643" s="28" t="s">
        <v>1382</v>
      </c>
      <c r="C643" s="143" t="str">
        <f>VLOOKUP(B643,'Thống kê'!$C$3:$D$669,2,0)</f>
        <v>miếng dán silicon điện thoại</v>
      </c>
      <c r="D643" s="166">
        <f>VLOOKUP(B643,'Thống kê'!$C$3:$M$682,4,0)</f>
        <v>0</v>
      </c>
      <c r="E643" s="167">
        <v>1</v>
      </c>
      <c r="F643" s="168">
        <f t="shared" si="3"/>
        <v>0</v>
      </c>
      <c r="G643" s="144"/>
      <c r="H643" s="403">
        <v>92688</v>
      </c>
    </row>
    <row r="644" spans="1:8" ht="13.2">
      <c r="A644" s="183"/>
      <c r="B644" s="28" t="s">
        <v>258</v>
      </c>
      <c r="C644" s="143" t="str">
        <f>VLOOKUP(B644,'Thống kê'!$C$3:$D$669,2,0)</f>
        <v>Móc khoá Crybaby mini Popmart</v>
      </c>
      <c r="D644" s="166">
        <f>VLOOKUP(B644,'Thống kê'!$C$3:$M$682,4,0)</f>
        <v>0</v>
      </c>
      <c r="E644" s="167">
        <v>1</v>
      </c>
      <c r="F644" s="168">
        <f t="shared" si="3"/>
        <v>0</v>
      </c>
      <c r="G644" s="144"/>
      <c r="H644" s="373"/>
    </row>
    <row r="645" spans="1:8" ht="13.2">
      <c r="A645" s="183"/>
      <c r="B645" s="28" t="s">
        <v>192</v>
      </c>
      <c r="C645" s="143">
        <f>VLOOKUP(B645,'Thống kê'!$C$3:$D$669,2,0)</f>
        <v>0</v>
      </c>
      <c r="D645" s="166">
        <f>VLOOKUP(B645,'Thống kê'!$C$3:$M$682,4,0)</f>
        <v>0</v>
      </c>
      <c r="E645" s="167">
        <v>1</v>
      </c>
      <c r="F645" s="168">
        <f t="shared" si="3"/>
        <v>0</v>
      </c>
      <c r="G645" s="144"/>
      <c r="H645" s="177">
        <v>63065</v>
      </c>
    </row>
    <row r="646" spans="1:8" ht="13.2">
      <c r="A646" s="183"/>
      <c r="B646" s="28" t="s">
        <v>143</v>
      </c>
      <c r="C646" s="143" t="str">
        <f>VLOOKUP(B646,'Thống kê'!$C$3:$D$669,2,0)</f>
        <v>Mèo ú</v>
      </c>
      <c r="D646" s="166">
        <f>VLOOKUP(B646,'Thống kê'!$C$3:$M$682,4,0)</f>
        <v>59500</v>
      </c>
      <c r="E646" s="167">
        <v>1</v>
      </c>
      <c r="F646" s="168">
        <f t="shared" si="3"/>
        <v>59500</v>
      </c>
      <c r="G646" s="144"/>
      <c r="H646" s="403">
        <v>108240</v>
      </c>
    </row>
    <row r="647" spans="1:8" ht="13.2">
      <c r="A647" s="183"/>
      <c r="B647" s="28" t="s">
        <v>325</v>
      </c>
      <c r="C647" s="143" t="str">
        <f>VLOOKUP(B647,'Thống kê'!$C$3:$D$669,2,0)</f>
        <v>Gấu ú</v>
      </c>
      <c r="D647" s="166">
        <f>VLOOKUP(B647,'Thống kê'!$C$3:$M$682,4,0)</f>
        <v>59500</v>
      </c>
      <c r="E647" s="167">
        <v>1</v>
      </c>
      <c r="F647" s="168">
        <f t="shared" si="3"/>
        <v>59500</v>
      </c>
      <c r="G647" s="144"/>
      <c r="H647" s="373"/>
    </row>
    <row r="648" spans="1:8" ht="13.2">
      <c r="A648" s="183"/>
      <c r="B648" s="28" t="s">
        <v>229</v>
      </c>
      <c r="C648" s="143">
        <f>VLOOKUP(B648,'Thống kê'!$C$3:$D$669,2,0)</f>
        <v>0</v>
      </c>
      <c r="D648" s="166">
        <f>VLOOKUP(B648,'Thống kê'!$C$3:$M$682,4,0)</f>
        <v>0</v>
      </c>
      <c r="E648" s="167">
        <v>1</v>
      </c>
      <c r="F648" s="168">
        <f t="shared" si="3"/>
        <v>0</v>
      </c>
      <c r="G648" s="144"/>
      <c r="H648" s="402">
        <v>151700</v>
      </c>
    </row>
    <row r="649" spans="1:8" ht="13.2">
      <c r="A649" s="183"/>
      <c r="B649" s="28" t="s">
        <v>196</v>
      </c>
      <c r="C649" s="143">
        <f>VLOOKUP(B649,'Thống kê'!$C$3:$D$669,2,0)</f>
        <v>0</v>
      </c>
      <c r="D649" s="166">
        <f>VLOOKUP(B649,'Thống kê'!$C$3:$M$682,4,0)</f>
        <v>0</v>
      </c>
      <c r="E649" s="167">
        <v>1</v>
      </c>
      <c r="F649" s="168">
        <f t="shared" si="3"/>
        <v>0</v>
      </c>
      <c r="G649" s="144"/>
      <c r="H649" s="373"/>
    </row>
    <row r="650" spans="1:8" ht="13.2">
      <c r="A650" s="183"/>
      <c r="B650" s="28" t="s">
        <v>162</v>
      </c>
      <c r="C650" s="143" t="str">
        <f>VLOOKUP(B650,'Thống kê'!$C$3:$D$669,2,0)</f>
        <v>Móc khoá cún Donut</v>
      </c>
      <c r="D650" s="166">
        <f>VLOOKUP(B650,'Thống kê'!$C$3:$M$682,4,0)</f>
        <v>38000</v>
      </c>
      <c r="E650" s="167">
        <v>1</v>
      </c>
      <c r="F650" s="168">
        <f t="shared" si="3"/>
        <v>38000</v>
      </c>
      <c r="G650" s="144"/>
      <c r="H650" s="402">
        <v>120475</v>
      </c>
    </row>
    <row r="651" spans="1:8" ht="13.2">
      <c r="A651" s="185"/>
      <c r="B651" s="28" t="s">
        <v>1801</v>
      </c>
      <c r="C651" s="143" t="str">
        <f>VLOOKUP(B651,'Thống kê'!$C$3:$D$669,2,0)</f>
        <v>Móc khoá cún Hoa xinh</v>
      </c>
      <c r="D651" s="166">
        <f>VLOOKUP(B651,'Thống kê'!$C$3:$M$682,4,0)</f>
        <v>38000</v>
      </c>
      <c r="E651" s="167">
        <v>1</v>
      </c>
      <c r="F651" s="168">
        <f t="shared" si="3"/>
        <v>38000</v>
      </c>
      <c r="G651" s="144"/>
      <c r="H651" s="372"/>
    </row>
    <row r="652" spans="1:8" ht="13.2">
      <c r="A652" s="152"/>
      <c r="B652" s="28" t="s">
        <v>1475</v>
      </c>
      <c r="C652" s="143">
        <f>VLOOKUP(B652,'Thống kê'!$C$3:$D$669,2,0)</f>
        <v>0</v>
      </c>
      <c r="D652" s="166">
        <f>VLOOKUP(B652,'Thống kê'!$C$3:$M$682,4,0)</f>
        <v>0</v>
      </c>
      <c r="E652" s="167">
        <v>1</v>
      </c>
      <c r="F652" s="168">
        <f t="shared" si="3"/>
        <v>0</v>
      </c>
      <c r="G652" s="144"/>
      <c r="H652" s="372"/>
    </row>
    <row r="653" spans="1:8" ht="13.2">
      <c r="A653" s="183"/>
      <c r="B653" s="28" t="s">
        <v>1594</v>
      </c>
      <c r="C653" s="143" t="str">
        <f>VLOOKUP(B653,'Thống kê'!$C$3:$D$669,2,0)</f>
        <v>Móc khóa đôi heo</v>
      </c>
      <c r="D653" s="166">
        <f>VLOOKUP(B653,'Thống kê'!$C$3:$M$682,4,0)</f>
        <v>56580</v>
      </c>
      <c r="E653" s="167">
        <v>1</v>
      </c>
      <c r="F653" s="168">
        <f t="shared" si="3"/>
        <v>56580</v>
      </c>
      <c r="G653" s="144"/>
      <c r="H653" s="175">
        <v>50355</v>
      </c>
    </row>
    <row r="654" spans="1:8" ht="13.2">
      <c r="A654" s="183"/>
      <c r="B654" s="28" t="s">
        <v>159</v>
      </c>
      <c r="C654" s="143">
        <f>VLOOKUP(B654,'Thống kê'!$C$3:$D$669,2,0)</f>
        <v>0</v>
      </c>
      <c r="D654" s="166">
        <f>VLOOKUP(B654,'Thống kê'!$C$3:$M$682,4,0)</f>
        <v>0</v>
      </c>
      <c r="E654" s="167">
        <v>1</v>
      </c>
      <c r="F654" s="168">
        <f t="shared" si="3"/>
        <v>0</v>
      </c>
      <c r="G654" s="144"/>
      <c r="H654" s="402">
        <v>82820</v>
      </c>
    </row>
    <row r="655" spans="1:8" ht="13.2">
      <c r="A655" s="183"/>
      <c r="B655" s="28" t="s">
        <v>1382</v>
      </c>
      <c r="C655" s="143" t="str">
        <f>VLOOKUP(B655,'Thống kê'!$C$3:$D$669,2,0)</f>
        <v>miếng dán silicon điện thoại</v>
      </c>
      <c r="D655" s="166">
        <f>VLOOKUP(B655,'Thống kê'!$C$3:$M$682,4,0)</f>
        <v>0</v>
      </c>
      <c r="E655" s="167">
        <v>1</v>
      </c>
      <c r="F655" s="168">
        <f t="shared" si="3"/>
        <v>0</v>
      </c>
      <c r="G655" s="144"/>
      <c r="H655" s="372"/>
    </row>
    <row r="656" spans="1:8" ht="13.2">
      <c r="A656" s="183"/>
      <c r="B656" s="28" t="s">
        <v>250</v>
      </c>
      <c r="C656" s="143">
        <f>VLOOKUP(B656,'Thống kê'!$C$3:$D$669,2,0)</f>
        <v>0</v>
      </c>
      <c r="D656" s="166">
        <f>VLOOKUP(B656,'Thống kê'!$C$3:$M$682,4,0)</f>
        <v>0</v>
      </c>
      <c r="E656" s="167">
        <v>1</v>
      </c>
      <c r="F656" s="168">
        <f t="shared" si="3"/>
        <v>0</v>
      </c>
      <c r="G656" s="144"/>
      <c r="H656" s="402">
        <v>315176</v>
      </c>
    </row>
    <row r="657" spans="1:8" ht="13.2">
      <c r="A657" s="183"/>
      <c r="B657" s="28" t="s">
        <v>245</v>
      </c>
      <c r="C657" s="143" t="str">
        <f>VLOOKUP(B657,'Thống kê'!$C$3:$D$669,2,0)</f>
        <v>Móc khóa Popbean</v>
      </c>
      <c r="D657" s="166">
        <f>VLOOKUP(B657,'Thống kê'!$C$3:$M$682,4,0)</f>
        <v>148000</v>
      </c>
      <c r="E657" s="167">
        <v>1</v>
      </c>
      <c r="F657" s="168">
        <f t="shared" si="3"/>
        <v>148000</v>
      </c>
      <c r="G657" s="144"/>
      <c r="H657" s="372"/>
    </row>
    <row r="658" spans="1:8" ht="13.2">
      <c r="A658" s="183"/>
      <c r="B658" s="28" t="s">
        <v>1382</v>
      </c>
      <c r="C658" s="143" t="str">
        <f>VLOOKUP(B658,'Thống kê'!$C$3:$D$669,2,0)</f>
        <v>miếng dán silicon điện thoại</v>
      </c>
      <c r="D658" s="166">
        <f>VLOOKUP(B658,'Thống kê'!$C$3:$M$682,4,0)</f>
        <v>0</v>
      </c>
      <c r="E658" s="167">
        <v>1</v>
      </c>
      <c r="F658" s="168">
        <f t="shared" si="3"/>
        <v>0</v>
      </c>
      <c r="G658" s="144"/>
      <c r="H658" s="372"/>
    </row>
    <row r="659" spans="1:8" ht="13.2">
      <c r="A659" s="183"/>
      <c r="B659" s="28" t="s">
        <v>1466</v>
      </c>
      <c r="C659" s="143">
        <f>VLOOKUP(B659,'Thống kê'!$C$3:$D$669,2,0)</f>
        <v>0</v>
      </c>
      <c r="D659" s="166">
        <f>VLOOKUP(B659,'Thống kê'!$C$3:$M$682,4,0)</f>
        <v>0</v>
      </c>
      <c r="E659" s="167">
        <v>1</v>
      </c>
      <c r="F659" s="168">
        <f t="shared" si="3"/>
        <v>0</v>
      </c>
      <c r="G659" s="144"/>
      <c r="H659" s="175">
        <v>79165</v>
      </c>
    </row>
    <row r="660" spans="1:8" ht="13.2">
      <c r="A660" s="183"/>
      <c r="B660" s="28" t="s">
        <v>1587</v>
      </c>
      <c r="C660" s="143" t="str">
        <f>VLOOKUP(B660,'Thống kê'!$C$3:$D$669,2,0)</f>
        <v>Vịt ú bay</v>
      </c>
      <c r="D660" s="166">
        <f>VLOOKUP(B660,'Thống kê'!$C$3:$M$682,4,0)</f>
        <v>64500</v>
      </c>
      <c r="E660" s="167">
        <v>2</v>
      </c>
      <c r="F660" s="168">
        <f t="shared" si="3"/>
        <v>129000</v>
      </c>
      <c r="G660" s="144"/>
      <c r="H660" s="402">
        <v>176982</v>
      </c>
    </row>
    <row r="661" spans="1:8" ht="13.2">
      <c r="A661" s="183"/>
      <c r="B661" s="28" t="s">
        <v>128</v>
      </c>
      <c r="C661" s="143" t="str">
        <f>VLOOKUP(B661,'Thống kê'!$C$3:$D$669,2,0)</f>
        <v>Mèo ú bay</v>
      </c>
      <c r="D661" s="166">
        <f>VLOOKUP(B661,'Thống kê'!$C$3:$M$682,4,0)</f>
        <v>64500</v>
      </c>
      <c r="E661" s="167">
        <v>1</v>
      </c>
      <c r="F661" s="168">
        <f t="shared" si="3"/>
        <v>64500</v>
      </c>
      <c r="G661" s="144"/>
      <c r="H661" s="372"/>
    </row>
    <row r="662" spans="1:8" ht="13.2">
      <c r="A662" s="183"/>
      <c r="B662" s="28" t="s">
        <v>259</v>
      </c>
      <c r="C662" s="143" t="str">
        <f>VLOOKUP(B662,'Thống kê'!$C$3:$D$669,2,0)</f>
        <v>Móc khoá Crybaby mini Popmart</v>
      </c>
      <c r="D662" s="166">
        <f>VLOOKUP(B662,'Thống kê'!$C$3:$M$682,4,0)</f>
        <v>0</v>
      </c>
      <c r="E662" s="167">
        <v>1</v>
      </c>
      <c r="F662" s="168">
        <f t="shared" si="3"/>
        <v>0</v>
      </c>
      <c r="G662" s="144"/>
      <c r="H662" s="175">
        <v>90200</v>
      </c>
    </row>
    <row r="663" spans="1:8" ht="13.2">
      <c r="A663" s="183"/>
      <c r="B663" s="28" t="s">
        <v>1382</v>
      </c>
      <c r="C663" s="143" t="str">
        <f>VLOOKUP(B663,'Thống kê'!$C$3:$D$669,2,0)</f>
        <v>miếng dán silicon điện thoại</v>
      </c>
      <c r="D663" s="166">
        <f>VLOOKUP(B663,'Thống kê'!$C$3:$M$682,4,0)</f>
        <v>0</v>
      </c>
      <c r="E663" s="167">
        <v>1</v>
      </c>
      <c r="F663" s="168">
        <f t="shared" si="3"/>
        <v>0</v>
      </c>
      <c r="G663" s="144"/>
      <c r="H663" s="402">
        <v>142311</v>
      </c>
    </row>
    <row r="664" spans="1:8" ht="13.2">
      <c r="A664" s="183"/>
      <c r="B664" s="28" t="s">
        <v>1480</v>
      </c>
      <c r="C664" s="143">
        <f>VLOOKUP(B664,'Thống kê'!$C$3:$D$669,2,0)</f>
        <v>0</v>
      </c>
      <c r="D664" s="166">
        <f>VLOOKUP(B664,'Thống kê'!$C$3:$M$682,4,0)</f>
        <v>0</v>
      </c>
      <c r="E664" s="167">
        <v>1</v>
      </c>
      <c r="F664" s="168">
        <f t="shared" si="3"/>
        <v>0</v>
      </c>
      <c r="G664" s="144"/>
      <c r="H664" s="372"/>
    </row>
    <row r="665" spans="1:8" ht="13.2">
      <c r="A665" s="183"/>
      <c r="B665" s="28" t="s">
        <v>1696</v>
      </c>
      <c r="C665" s="143" t="str">
        <f>VLOOKUP(B665,'Thống kê'!$C$3:$D$669,2,0)</f>
        <v>gấu</v>
      </c>
      <c r="D665" s="166">
        <f>VLOOKUP(B665,'Thống kê'!$C$3:$M$682,4,0)</f>
        <v>35000</v>
      </c>
      <c r="E665" s="167">
        <v>1</v>
      </c>
      <c r="F665" s="168">
        <f t="shared" si="3"/>
        <v>35000</v>
      </c>
      <c r="G665" s="144"/>
      <c r="H665" s="372"/>
    </row>
    <row r="666" spans="1:8" ht="13.2">
      <c r="A666" s="183"/>
      <c r="B666" s="28" t="s">
        <v>1705</v>
      </c>
      <c r="C666" s="143" t="str">
        <f>VLOOKUP(B666,'Thống kê'!$C$3:$D$669,2,0)</f>
        <v>Dây treo điện thoại có charm xinh xắn</v>
      </c>
      <c r="D666" s="166">
        <f>VLOOKUP(B666,'Thống kê'!$C$3:$M$682,4,0)</f>
        <v>27000</v>
      </c>
      <c r="E666" s="167">
        <v>1</v>
      </c>
      <c r="F666" s="168">
        <f t="shared" si="3"/>
        <v>27000</v>
      </c>
      <c r="G666" s="144"/>
      <c r="H666" s="372"/>
    </row>
    <row r="667" spans="1:8" ht="13.2">
      <c r="A667" s="185"/>
      <c r="B667" s="28" t="s">
        <v>1357</v>
      </c>
      <c r="C667" s="143" t="str">
        <f>VLOOKUP(B667,'Thống kê'!$C$3:$D$669,2,0)</f>
        <v>Trang trí mô hình Thỏ</v>
      </c>
      <c r="D667" s="166">
        <f>VLOOKUP(B667,'Thống kê'!$C$3:$M$682,4,0)</f>
        <v>39000</v>
      </c>
      <c r="E667" s="167">
        <v>1</v>
      </c>
      <c r="F667" s="168">
        <f t="shared" si="3"/>
        <v>39000</v>
      </c>
      <c r="G667" s="144"/>
      <c r="H667" s="175">
        <v>29422</v>
      </c>
    </row>
    <row r="668" spans="1:8" ht="13.2">
      <c r="A668" s="152"/>
      <c r="B668" s="28" t="s">
        <v>1365</v>
      </c>
      <c r="C668" s="143" t="str">
        <f>VLOOKUP(B668,'Thống kê'!$C$3:$D$669,2,0)</f>
        <v>Móc khóa Popbean</v>
      </c>
      <c r="D668" s="166">
        <f>VLOOKUP(B668,'Thống kê'!$C$3:$M$682,4,0)</f>
        <v>148000</v>
      </c>
      <c r="E668" s="167">
        <v>1</v>
      </c>
      <c r="F668" s="168">
        <f t="shared" si="3"/>
        <v>148000</v>
      </c>
      <c r="G668" s="144"/>
      <c r="H668" s="402">
        <v>253580</v>
      </c>
    </row>
    <row r="669" spans="1:8" ht="13.2">
      <c r="A669" s="183"/>
      <c r="B669" s="28" t="s">
        <v>329</v>
      </c>
      <c r="C669" s="143" t="str">
        <f>VLOOKUP(B669,'Thống kê'!$C$3:$D$669,2,0)</f>
        <v>Pop Bean Baked Bread</v>
      </c>
      <c r="D669" s="166">
        <f>VLOOKUP(B669,'Thống kê'!$C$3:$M$682,4,0)</f>
        <v>167000</v>
      </c>
      <c r="E669" s="167">
        <v>1</v>
      </c>
      <c r="F669" s="168">
        <f t="shared" si="3"/>
        <v>167000</v>
      </c>
      <c r="G669" s="144"/>
      <c r="H669" s="372"/>
    </row>
    <row r="670" spans="1:8" ht="13.2">
      <c r="A670" s="183"/>
      <c r="B670" s="28" t="s">
        <v>1484</v>
      </c>
      <c r="C670" s="143" t="str">
        <f>VLOOKUP(B670,'Thống kê'!$C$3:$D$669,2,0)</f>
        <v>Móc khoá Dudu nhiều màu sắc treo túi, đeo điện thoại</v>
      </c>
      <c r="D670" s="166">
        <f>VLOOKUP(B670,'Thống kê'!$C$3:$M$682,4,0)</f>
        <v>45000</v>
      </c>
      <c r="E670" s="167">
        <v>1</v>
      </c>
      <c r="F670" s="168">
        <f t="shared" si="3"/>
        <v>45000</v>
      </c>
      <c r="G670" s="144"/>
      <c r="H670" s="175">
        <v>37350</v>
      </c>
    </row>
    <row r="671" spans="1:8" ht="13.2">
      <c r="A671" s="183"/>
      <c r="B671" s="28" t="s">
        <v>1386</v>
      </c>
      <c r="C671" s="143" t="str">
        <f>VLOOKUP(B671,'Thống kê'!$C$3:$D$669,2,0)</f>
        <v>Móc khoá Crybaby mini Popmart</v>
      </c>
      <c r="D671" s="166">
        <f>VLOOKUP(B671,'Thống kê'!$C$3:$M$682,4,0)</f>
        <v>0</v>
      </c>
      <c r="E671" s="167">
        <v>1</v>
      </c>
      <c r="F671" s="168">
        <f t="shared" si="3"/>
        <v>0</v>
      </c>
      <c r="G671" s="144"/>
      <c r="H671" s="176">
        <v>96760</v>
      </c>
    </row>
    <row r="672" spans="1:8" ht="13.2">
      <c r="A672" s="184">
        <v>45703</v>
      </c>
      <c r="B672" s="28" t="s">
        <v>1384</v>
      </c>
      <c r="C672" s="143" t="str">
        <f>VLOOKUP(B672,'Thống kê'!$C$3:$D$669,2,0)</f>
        <v>Móc khoá Crybaby mini Popmart</v>
      </c>
      <c r="D672" s="166">
        <f>VLOOKUP(B672,'Thống kê'!$C$3:$M$682,4,0)</f>
        <v>0</v>
      </c>
      <c r="E672" s="167">
        <v>1</v>
      </c>
      <c r="F672" s="168">
        <f t="shared" si="3"/>
        <v>0</v>
      </c>
      <c r="G672" s="144"/>
      <c r="H672" s="177">
        <v>90200</v>
      </c>
    </row>
    <row r="673" spans="1:8" ht="13.2">
      <c r="A673" s="183"/>
      <c r="B673" s="28" t="s">
        <v>1387</v>
      </c>
      <c r="C673" s="143" t="str">
        <f>VLOOKUP(B673,'Thống kê'!$C$3:$D$669,2,0)</f>
        <v>Móc khoá Crybaby mini Popmart</v>
      </c>
      <c r="D673" s="166">
        <f>VLOOKUP(B673,'Thống kê'!$C$3:$M$682,4,0)</f>
        <v>0</v>
      </c>
      <c r="E673" s="167">
        <v>1</v>
      </c>
      <c r="F673" s="168">
        <f t="shared" si="3"/>
        <v>0</v>
      </c>
      <c r="G673" s="144"/>
      <c r="H673" s="403">
        <v>178038</v>
      </c>
    </row>
    <row r="674" spans="1:8" ht="13.2">
      <c r="A674" s="183"/>
      <c r="B674" s="28" t="s">
        <v>1384</v>
      </c>
      <c r="C674" s="143" t="str">
        <f>VLOOKUP(B674,'Thống kê'!$C$3:$D$669,2,0)</f>
        <v>Móc khoá Crybaby mini Popmart</v>
      </c>
      <c r="D674" s="166">
        <f>VLOOKUP(B674,'Thống kê'!$C$3:$M$682,4,0)</f>
        <v>0</v>
      </c>
      <c r="E674" s="167">
        <v>1</v>
      </c>
      <c r="F674" s="168">
        <f t="shared" si="3"/>
        <v>0</v>
      </c>
      <c r="G674" s="144"/>
      <c r="H674" s="372"/>
    </row>
    <row r="675" spans="1:8" ht="13.2">
      <c r="A675" s="183"/>
      <c r="B675" s="28" t="s">
        <v>1382</v>
      </c>
      <c r="C675" s="143" t="str">
        <f>VLOOKUP(B675,'Thống kê'!$C$3:$D$669,2,0)</f>
        <v>miếng dán silicon điện thoại</v>
      </c>
      <c r="D675" s="166">
        <f>VLOOKUP(B675,'Thống kê'!$C$3:$M$682,4,0)</f>
        <v>0</v>
      </c>
      <c r="E675" s="167">
        <v>1</v>
      </c>
      <c r="F675" s="168">
        <f t="shared" si="3"/>
        <v>0</v>
      </c>
      <c r="G675" s="144"/>
      <c r="H675" s="372"/>
    </row>
    <row r="676" spans="1:8" ht="13.2">
      <c r="A676" s="183"/>
      <c r="B676" s="28" t="s">
        <v>234</v>
      </c>
      <c r="C676" s="143" t="str">
        <f>VLOOKUP(B676,'Thống kê'!$C$3:$D$669,2,0)</f>
        <v>Móc khoá skullpanda phiên bản mini</v>
      </c>
      <c r="D676" s="166">
        <f>VLOOKUP(B676,'Thống kê'!$C$3:$M$682,4,0)</f>
        <v>98000</v>
      </c>
      <c r="E676" s="167">
        <v>1</v>
      </c>
      <c r="F676" s="168">
        <f t="shared" si="3"/>
        <v>98000</v>
      </c>
      <c r="G676" s="144"/>
      <c r="H676" s="402">
        <v>79710</v>
      </c>
    </row>
    <row r="677" spans="1:8" ht="13.2">
      <c r="A677" s="183"/>
      <c r="B677" s="28" t="s">
        <v>1382</v>
      </c>
      <c r="C677" s="143" t="str">
        <f>VLOOKUP(B677,'Thống kê'!$C$3:$D$669,2,0)</f>
        <v>miếng dán silicon điện thoại</v>
      </c>
      <c r="D677" s="166">
        <f>VLOOKUP(B677,'Thống kê'!$C$3:$M$682,4,0)</f>
        <v>0</v>
      </c>
      <c r="E677" s="167">
        <v>1</v>
      </c>
      <c r="F677" s="168">
        <f t="shared" si="3"/>
        <v>0</v>
      </c>
      <c r="G677" s="144"/>
      <c r="H677" s="372"/>
    </row>
    <row r="678" spans="1:8" ht="13.2">
      <c r="A678" s="183"/>
      <c r="B678" s="28" t="s">
        <v>1674</v>
      </c>
      <c r="C678" s="143" t="str">
        <f>VLOOKUP(B678,'Thống kê'!$C$3:$D$669,2,0)</f>
        <v>Móc khóa chuối</v>
      </c>
      <c r="D678" s="166">
        <f>VLOOKUP(B678,'Thống kê'!$C$3:$M$682,4,0)</f>
        <v>148000</v>
      </c>
      <c r="E678" s="167">
        <v>1</v>
      </c>
      <c r="F678" s="168">
        <f t="shared" si="3"/>
        <v>148000</v>
      </c>
      <c r="G678" s="144"/>
      <c r="H678" s="175">
        <v>90000</v>
      </c>
    </row>
    <row r="679" spans="1:8" ht="13.2">
      <c r="A679" s="183"/>
      <c r="B679" s="28" t="s">
        <v>1802</v>
      </c>
      <c r="C679" s="143" t="str">
        <f>VLOOKUP(B679,'Thống kê'!$C$3:$D$669,2,0)</f>
        <v>Móc khóa Popbean</v>
      </c>
      <c r="D679" s="166">
        <f>VLOOKUP(B679,'Thống kê'!$C$3:$M$682,4,0)</f>
        <v>148000</v>
      </c>
      <c r="E679" s="167">
        <v>1</v>
      </c>
      <c r="F679" s="168">
        <f t="shared" si="3"/>
        <v>148000</v>
      </c>
      <c r="G679" s="144"/>
      <c r="H679" s="175">
        <v>130000</v>
      </c>
    </row>
    <row r="680" spans="1:8" ht="13.2">
      <c r="A680" s="183"/>
      <c r="B680" s="28" t="s">
        <v>162</v>
      </c>
      <c r="C680" s="143" t="str">
        <f>VLOOKUP(B680,'Thống kê'!$C$3:$D$669,2,0)</f>
        <v>Móc khoá cún Donut</v>
      </c>
      <c r="D680" s="166">
        <f>VLOOKUP(B680,'Thống kê'!$C$3:$M$682,4,0)</f>
        <v>38000</v>
      </c>
      <c r="E680" s="167">
        <v>1</v>
      </c>
      <c r="F680" s="168">
        <f t="shared" si="3"/>
        <v>38000</v>
      </c>
      <c r="G680" s="144"/>
      <c r="H680" s="402">
        <v>185580</v>
      </c>
    </row>
    <row r="681" spans="1:8" ht="13.2">
      <c r="A681" s="183"/>
      <c r="B681" s="28" t="s">
        <v>1382</v>
      </c>
      <c r="C681" s="143" t="str">
        <f>VLOOKUP(B681,'Thống kê'!$C$3:$D$669,2,0)</f>
        <v>miếng dán silicon điện thoại</v>
      </c>
      <c r="D681" s="166">
        <f>VLOOKUP(B681,'Thống kê'!$C$3:$M$682,4,0)</f>
        <v>0</v>
      </c>
      <c r="E681" s="167">
        <v>1</v>
      </c>
      <c r="F681" s="168">
        <f t="shared" si="3"/>
        <v>0</v>
      </c>
      <c r="G681" s="144"/>
      <c r="H681" s="372"/>
    </row>
    <row r="682" spans="1:8" ht="13.2">
      <c r="A682" s="183"/>
      <c r="B682" s="28" t="s">
        <v>1384</v>
      </c>
      <c r="C682" s="143" t="str">
        <f>VLOOKUP(B682,'Thống kê'!$C$3:$D$669,2,0)</f>
        <v>Móc khoá Crybaby mini Popmart</v>
      </c>
      <c r="D682" s="166">
        <f>VLOOKUP(B682,'Thống kê'!$C$3:$M$682,4,0)</f>
        <v>0</v>
      </c>
      <c r="E682" s="167">
        <v>1</v>
      </c>
      <c r="F682" s="168">
        <f t="shared" si="3"/>
        <v>0</v>
      </c>
      <c r="G682" s="144"/>
      <c r="H682" s="372"/>
    </row>
    <row r="683" spans="1:8" ht="13.2">
      <c r="A683" s="183"/>
      <c r="B683" s="28" t="s">
        <v>196</v>
      </c>
      <c r="C683" s="143">
        <f>VLOOKUP(B683,'Thống kê'!$C$3:$D$669,2,0)</f>
        <v>0</v>
      </c>
      <c r="D683" s="166">
        <f>VLOOKUP(B683,'Thống kê'!$C$3:$M$682,4,0)</f>
        <v>0</v>
      </c>
      <c r="E683" s="167">
        <v>1</v>
      </c>
      <c r="F683" s="168">
        <f t="shared" si="3"/>
        <v>0</v>
      </c>
      <c r="G683" s="144"/>
      <c r="H683" s="372"/>
    </row>
    <row r="684" spans="1:8" ht="13.2">
      <c r="A684" s="183"/>
      <c r="B684" s="28" t="s">
        <v>1382</v>
      </c>
      <c r="C684" s="143" t="str">
        <f>VLOOKUP(B684,'Thống kê'!$C$3:$D$669,2,0)</f>
        <v>miếng dán silicon điện thoại</v>
      </c>
      <c r="D684" s="166">
        <f>VLOOKUP(B684,'Thống kê'!$C$3:$M$682,4,0)</f>
        <v>0</v>
      </c>
      <c r="E684" s="167">
        <v>1</v>
      </c>
      <c r="F684" s="168">
        <f t="shared" si="3"/>
        <v>0</v>
      </c>
      <c r="G684" s="144"/>
      <c r="H684" s="372"/>
    </row>
    <row r="685" spans="1:8" ht="13.2">
      <c r="A685" s="183"/>
      <c r="B685" s="28" t="s">
        <v>1388</v>
      </c>
      <c r="C685" s="143" t="str">
        <f>VLOOKUP(B685,'Thống kê'!$C$3:$D$669,2,0)</f>
        <v>Móc khoá Crybaby mini Popmart</v>
      </c>
      <c r="D685" s="166">
        <f>VLOOKUP(B685,'Thống kê'!$C$3:$M$682,4,0)</f>
        <v>0</v>
      </c>
      <c r="E685" s="167">
        <v>1</v>
      </c>
      <c r="F685" s="168">
        <f t="shared" si="3"/>
        <v>0</v>
      </c>
      <c r="G685" s="144"/>
      <c r="H685" s="402">
        <v>90200</v>
      </c>
    </row>
    <row r="686" spans="1:8" ht="13.2">
      <c r="A686" s="183"/>
      <c r="B686" s="28" t="s">
        <v>1382</v>
      </c>
      <c r="C686" s="143" t="str">
        <f>VLOOKUP(B686,'Thống kê'!$C$3:$D$669,2,0)</f>
        <v>miếng dán silicon điện thoại</v>
      </c>
      <c r="D686" s="166">
        <f>VLOOKUP(B686,'Thống kê'!$C$3:$M$682,4,0)</f>
        <v>0</v>
      </c>
      <c r="E686" s="167">
        <v>1</v>
      </c>
      <c r="F686" s="168">
        <f t="shared" si="3"/>
        <v>0</v>
      </c>
      <c r="G686" s="144"/>
      <c r="H686" s="372"/>
    </row>
    <row r="687" spans="1:8" ht="13.2">
      <c r="A687" s="183"/>
      <c r="B687" s="28" t="s">
        <v>159</v>
      </c>
      <c r="C687" s="143">
        <f>VLOOKUP(B687,'Thống kê'!$C$3:$D$669,2,0)</f>
        <v>0</v>
      </c>
      <c r="D687" s="166">
        <f>VLOOKUP(B687,'Thống kê'!$C$3:$M$682,4,0)</f>
        <v>0</v>
      </c>
      <c r="E687" s="167">
        <v>1</v>
      </c>
      <c r="F687" s="168">
        <f t="shared" si="3"/>
        <v>0</v>
      </c>
      <c r="G687" s="144"/>
      <c r="H687" s="402">
        <v>156620</v>
      </c>
    </row>
    <row r="688" spans="1:8" ht="13.2">
      <c r="A688" s="183"/>
      <c r="B688" s="28" t="s">
        <v>196</v>
      </c>
      <c r="C688" s="143">
        <f>VLOOKUP(B688,'Thống kê'!$C$3:$D$669,2,0)</f>
        <v>0</v>
      </c>
      <c r="D688" s="166">
        <f>VLOOKUP(B688,'Thống kê'!$C$3:$M$682,4,0)</f>
        <v>0</v>
      </c>
      <c r="E688" s="167">
        <v>1</v>
      </c>
      <c r="F688" s="168">
        <f t="shared" si="3"/>
        <v>0</v>
      </c>
      <c r="G688" s="144"/>
      <c r="H688" s="372"/>
    </row>
    <row r="689" spans="1:8" ht="13.2">
      <c r="A689" s="183"/>
      <c r="B689" s="28" t="s">
        <v>1382</v>
      </c>
      <c r="C689" s="143" t="str">
        <f>VLOOKUP(B689,'Thống kê'!$C$3:$D$669,2,0)</f>
        <v>miếng dán silicon điện thoại</v>
      </c>
      <c r="D689" s="166">
        <f>VLOOKUP(B689,'Thống kê'!$C$3:$M$682,4,0)</f>
        <v>0</v>
      </c>
      <c r="E689" s="167">
        <v>1</v>
      </c>
      <c r="F689" s="168">
        <f t="shared" si="3"/>
        <v>0</v>
      </c>
      <c r="G689" s="144"/>
      <c r="H689" s="373"/>
    </row>
    <row r="690" spans="1:8" ht="13.2">
      <c r="A690" s="183"/>
      <c r="B690" s="28" t="s">
        <v>1685</v>
      </c>
      <c r="C690" s="143" t="str">
        <f>VLOOKUP(B690,'Thống kê'!$C$3:$D$669,2,0)</f>
        <v>Capy</v>
      </c>
      <c r="D690" s="166">
        <f>VLOOKUP(B690,'Thống kê'!$C$3:$M$682,4,0)</f>
        <v>62000</v>
      </c>
      <c r="E690" s="167">
        <v>1</v>
      </c>
      <c r="F690" s="168">
        <f t="shared" si="3"/>
        <v>62000</v>
      </c>
      <c r="G690" s="144"/>
      <c r="H690" s="175">
        <v>52808</v>
      </c>
    </row>
    <row r="691" spans="1:8" ht="13.2">
      <c r="A691" s="183"/>
      <c r="B691" s="28" t="s">
        <v>1594</v>
      </c>
      <c r="C691" s="143" t="str">
        <f>VLOOKUP(B691,'Thống kê'!$C$3:$D$669,2,0)</f>
        <v>Móc khóa đôi heo</v>
      </c>
      <c r="D691" s="166">
        <f>VLOOKUP(B691,'Thống kê'!$C$3:$M$682,4,0)</f>
        <v>56580</v>
      </c>
      <c r="E691" s="167">
        <v>1</v>
      </c>
      <c r="F691" s="168">
        <f t="shared" si="3"/>
        <v>56580</v>
      </c>
      <c r="G691" s="144"/>
      <c r="H691" s="175">
        <v>49780</v>
      </c>
    </row>
    <row r="692" spans="1:8" ht="13.2">
      <c r="A692" s="183"/>
      <c r="B692" s="28" t="s">
        <v>196</v>
      </c>
      <c r="C692" s="143">
        <f>VLOOKUP(B692,'Thống kê'!$C$3:$D$669,2,0)</f>
        <v>0</v>
      </c>
      <c r="D692" s="166">
        <f>VLOOKUP(B692,'Thống kê'!$C$3:$M$682,4,0)</f>
        <v>0</v>
      </c>
      <c r="E692" s="167">
        <v>1</v>
      </c>
      <c r="F692" s="168">
        <f t="shared" si="3"/>
        <v>0</v>
      </c>
      <c r="G692" s="144"/>
      <c r="H692" s="402">
        <v>98400</v>
      </c>
    </row>
    <row r="693" spans="1:8" ht="13.2">
      <c r="A693" s="183"/>
      <c r="B693" s="28" t="s">
        <v>1382</v>
      </c>
      <c r="C693" s="143" t="str">
        <f>VLOOKUP(B693,'Thống kê'!$C$3:$D$669,2,0)</f>
        <v>miếng dán silicon điện thoại</v>
      </c>
      <c r="D693" s="166">
        <f>VLOOKUP(B693,'Thống kê'!$C$3:$M$682,4,0)</f>
        <v>0</v>
      </c>
      <c r="E693" s="167">
        <v>1</v>
      </c>
      <c r="F693" s="168">
        <f t="shared" si="3"/>
        <v>0</v>
      </c>
      <c r="G693" s="144"/>
      <c r="H693" s="372"/>
    </row>
    <row r="694" spans="1:8" ht="13.2">
      <c r="A694" s="183"/>
      <c r="B694" s="28" t="s">
        <v>1803</v>
      </c>
      <c r="C694" s="143" t="str">
        <f>VLOOKUP(B694,'Thống kê'!$C$3:$D$669,2,0)</f>
        <v>Hộp thuốc ông mặt trời</v>
      </c>
      <c r="D694" s="166">
        <f>VLOOKUP(B694,'Thống kê'!$C$3:$M$682,4,0)</f>
        <v>11000</v>
      </c>
      <c r="E694" s="167">
        <v>1</v>
      </c>
      <c r="F694" s="168">
        <f t="shared" si="3"/>
        <v>11000</v>
      </c>
      <c r="G694" s="144"/>
      <c r="H694" s="402">
        <v>98498</v>
      </c>
    </row>
    <row r="695" spans="1:8" ht="13.2">
      <c r="A695" s="183"/>
      <c r="B695" s="28" t="s">
        <v>1384</v>
      </c>
      <c r="C695" s="143" t="str">
        <f>VLOOKUP(B695,'Thống kê'!$C$3:$D$669,2,0)</f>
        <v>Móc khoá Crybaby mini Popmart</v>
      </c>
      <c r="D695" s="166">
        <f>VLOOKUP(B695,'Thống kê'!$C$3:$M$682,4,0)</f>
        <v>0</v>
      </c>
      <c r="E695" s="167">
        <v>1</v>
      </c>
      <c r="F695" s="168">
        <f t="shared" si="3"/>
        <v>0</v>
      </c>
      <c r="G695" s="144"/>
      <c r="H695" s="372"/>
    </row>
    <row r="696" spans="1:8" ht="13.2">
      <c r="A696" s="183"/>
      <c r="B696" s="28" t="s">
        <v>1382</v>
      </c>
      <c r="C696" s="143" t="str">
        <f>VLOOKUP(B696,'Thống kê'!$C$3:$D$669,2,0)</f>
        <v>miếng dán silicon điện thoại</v>
      </c>
      <c r="D696" s="166">
        <f>VLOOKUP(B696,'Thống kê'!$C$3:$M$682,4,0)</f>
        <v>0</v>
      </c>
      <c r="E696" s="167">
        <v>1</v>
      </c>
      <c r="F696" s="168">
        <f t="shared" si="3"/>
        <v>0</v>
      </c>
      <c r="G696" s="144"/>
      <c r="H696" s="372"/>
    </row>
    <row r="697" spans="1:8" ht="13.2">
      <c r="A697" s="183"/>
      <c r="B697" s="28" t="s">
        <v>1387</v>
      </c>
      <c r="C697" s="143" t="str">
        <f>VLOOKUP(B697,'Thống kê'!$C$3:$D$669,2,0)</f>
        <v>Móc khoá Crybaby mini Popmart</v>
      </c>
      <c r="D697" s="166">
        <f>VLOOKUP(B697,'Thống kê'!$C$3:$M$682,4,0)</f>
        <v>0</v>
      </c>
      <c r="E697" s="167">
        <v>1</v>
      </c>
      <c r="F697" s="168">
        <f t="shared" si="3"/>
        <v>0</v>
      </c>
      <c r="G697" s="144"/>
      <c r="H697" s="402">
        <v>178793</v>
      </c>
    </row>
    <row r="698" spans="1:8" ht="13.2">
      <c r="A698" s="183"/>
      <c r="B698" s="28" t="s">
        <v>1480</v>
      </c>
      <c r="C698" s="143">
        <f>VLOOKUP(B698,'Thống kê'!$C$3:$D$669,2,0)</f>
        <v>0</v>
      </c>
      <c r="D698" s="166">
        <f>VLOOKUP(B698,'Thống kê'!$C$3:$M$682,4,0)</f>
        <v>0</v>
      </c>
      <c r="E698" s="167">
        <v>1</v>
      </c>
      <c r="F698" s="168">
        <f t="shared" si="3"/>
        <v>0</v>
      </c>
      <c r="G698" s="144"/>
      <c r="H698" s="372"/>
    </row>
    <row r="699" spans="1:8" ht="13.2">
      <c r="A699" s="183"/>
      <c r="B699" s="28" t="s">
        <v>1382</v>
      </c>
      <c r="C699" s="143" t="str">
        <f>VLOOKUP(B699,'Thống kê'!$C$3:$D$669,2,0)</f>
        <v>miếng dán silicon điện thoại</v>
      </c>
      <c r="D699" s="166">
        <f>VLOOKUP(B699,'Thống kê'!$C$3:$M$682,4,0)</f>
        <v>0</v>
      </c>
      <c r="E699" s="167">
        <v>1</v>
      </c>
      <c r="F699" s="168">
        <f t="shared" si="3"/>
        <v>0</v>
      </c>
      <c r="G699" s="144"/>
      <c r="H699" s="372"/>
    </row>
    <row r="700" spans="1:8" ht="13.2">
      <c r="A700" s="184">
        <v>45704</v>
      </c>
      <c r="B700" s="28" t="s">
        <v>115</v>
      </c>
      <c r="C700" s="143" t="str">
        <f>VLOOKUP(B700,'Thống kê'!$C$3:$D$669,2,0)</f>
        <v>Heo ú</v>
      </c>
      <c r="D700" s="166">
        <f>VLOOKUP(B700,'Thống kê'!$C$3:$M$682,4,0)</f>
        <v>59500</v>
      </c>
      <c r="E700" s="167">
        <v>1</v>
      </c>
      <c r="F700" s="168">
        <f t="shared" si="3"/>
        <v>59500</v>
      </c>
      <c r="G700" s="144"/>
      <c r="H700" s="402">
        <v>108240</v>
      </c>
    </row>
    <row r="701" spans="1:8" ht="13.2">
      <c r="A701" s="183"/>
      <c r="B701" s="28" t="s">
        <v>186</v>
      </c>
      <c r="C701" s="143" t="str">
        <f>VLOOKUP(B701,'Thống kê'!$C$3:$D$669,2,0)</f>
        <v>Thỏ ú bay</v>
      </c>
      <c r="D701" s="166">
        <f>VLOOKUP(B701,'Thống kê'!$C$3:$M$682,4,0)</f>
        <v>64500</v>
      </c>
      <c r="E701" s="167">
        <v>1</v>
      </c>
      <c r="F701" s="168">
        <f t="shared" si="3"/>
        <v>64500</v>
      </c>
      <c r="G701" s="144"/>
      <c r="H701" s="373"/>
    </row>
    <row r="702" spans="1:8" ht="13.2">
      <c r="A702" s="185"/>
      <c r="B702" s="28" t="s">
        <v>230</v>
      </c>
      <c r="C702" s="143" t="str">
        <f>VLOOKUP(B702,'Thống kê'!$C$3:$D$669,2,0)</f>
        <v>Móc khoá Crybaby mini Popmart</v>
      </c>
      <c r="D702" s="166">
        <f>VLOOKUP(B702,'Thống kê'!$C$3:$M$682,4,0)</f>
        <v>0</v>
      </c>
      <c r="E702" s="167">
        <v>1</v>
      </c>
      <c r="F702" s="168">
        <f t="shared" si="3"/>
        <v>0</v>
      </c>
      <c r="G702" s="144"/>
      <c r="H702" s="177">
        <v>90200</v>
      </c>
    </row>
    <row r="703" spans="1:8" ht="13.2">
      <c r="A703" s="400"/>
      <c r="B703" s="28" t="s">
        <v>1594</v>
      </c>
      <c r="C703" s="143" t="str">
        <f>VLOOKUP(B703,'Thống kê'!$C$3:$D$669,2,0)</f>
        <v>Móc khóa đôi heo</v>
      </c>
      <c r="D703" s="166">
        <f>VLOOKUP(B703,'Thống kê'!$C$3:$M$682,4,0)</f>
        <v>56580</v>
      </c>
      <c r="E703" s="167">
        <v>1</v>
      </c>
      <c r="F703" s="168">
        <f t="shared" si="3"/>
        <v>56580</v>
      </c>
      <c r="G703" s="144"/>
      <c r="H703" s="178">
        <v>45386</v>
      </c>
    </row>
    <row r="704" spans="1:8" ht="13.2">
      <c r="A704" s="372"/>
      <c r="B704" s="28" t="s">
        <v>1425</v>
      </c>
      <c r="C704" s="143" t="str">
        <f>VLOOKUP(B704,'Thống kê'!$C$3:$D$669,2,0)</f>
        <v>Móc khoá Crybaby mini Popmart</v>
      </c>
      <c r="D704" s="166">
        <f>VLOOKUP(B704,'Thống kê'!$C$3:$M$682,4,0)</f>
        <v>145000</v>
      </c>
      <c r="E704" s="167">
        <v>1</v>
      </c>
      <c r="F704" s="168">
        <f t="shared" si="3"/>
        <v>145000</v>
      </c>
      <c r="G704" s="144"/>
      <c r="H704" s="402">
        <v>90200</v>
      </c>
    </row>
    <row r="705" spans="1:8" ht="13.2">
      <c r="A705" s="372"/>
      <c r="B705" s="28" t="s">
        <v>1382</v>
      </c>
      <c r="C705" s="143" t="str">
        <f>VLOOKUP(B705,'Thống kê'!$C$3:$D$669,2,0)</f>
        <v>miếng dán silicon điện thoại</v>
      </c>
      <c r="D705" s="166">
        <f>VLOOKUP(B705,'Thống kê'!$C$3:$M$682,4,0)</f>
        <v>0</v>
      </c>
      <c r="E705" s="167">
        <v>1</v>
      </c>
      <c r="F705" s="168">
        <f t="shared" si="3"/>
        <v>0</v>
      </c>
      <c r="G705" s="144"/>
      <c r="H705" s="372"/>
    </row>
    <row r="706" spans="1:8" ht="13.2">
      <c r="A706" s="373"/>
      <c r="B706" s="28" t="s">
        <v>1386</v>
      </c>
      <c r="C706" s="143" t="str">
        <f>VLOOKUP(B706,'Thống kê'!$C$3:$D$669,2,0)</f>
        <v>Móc khoá Crybaby mini Popmart</v>
      </c>
      <c r="D706" s="166">
        <f>VLOOKUP(B706,'Thống kê'!$C$3:$M$682,4,0)</f>
        <v>0</v>
      </c>
      <c r="E706" s="167">
        <v>1</v>
      </c>
      <c r="F706" s="168">
        <f t="shared" si="3"/>
        <v>0</v>
      </c>
      <c r="G706" s="144"/>
      <c r="H706" s="402">
        <v>88560</v>
      </c>
    </row>
    <row r="707" spans="1:8" ht="13.2">
      <c r="A707" s="152"/>
      <c r="B707" s="28" t="s">
        <v>1382</v>
      </c>
      <c r="C707" s="143" t="str">
        <f>VLOOKUP(B707,'Thống kê'!$C$3:$D$669,2,0)</f>
        <v>miếng dán silicon điện thoại</v>
      </c>
      <c r="D707" s="166">
        <f>VLOOKUP(B707,'Thống kê'!$C$3:$M$682,4,0)</f>
        <v>0</v>
      </c>
      <c r="E707" s="167">
        <v>1</v>
      </c>
      <c r="F707" s="168">
        <f t="shared" si="3"/>
        <v>0</v>
      </c>
      <c r="G707" s="144"/>
      <c r="H707" s="372"/>
    </row>
    <row r="708" spans="1:8" ht="13.2">
      <c r="A708" s="183"/>
      <c r="B708" s="16" t="s">
        <v>1763</v>
      </c>
      <c r="C708" s="143">
        <f>VLOOKUP(B708,'Thống kê'!$C$3:$D$669,2,0)</f>
        <v>0</v>
      </c>
      <c r="D708" s="166">
        <f>VLOOKUP(B708,'Thống kê'!$C$3:$M$682,4,0)</f>
        <v>0</v>
      </c>
      <c r="E708" s="167">
        <v>1</v>
      </c>
      <c r="F708" s="168">
        <f t="shared" si="3"/>
        <v>0</v>
      </c>
      <c r="G708" s="144"/>
      <c r="H708" s="402">
        <v>279037</v>
      </c>
    </row>
    <row r="709" spans="1:8" ht="13.2">
      <c r="A709" s="183"/>
      <c r="B709" s="16" t="s">
        <v>1804</v>
      </c>
      <c r="C709" s="143" t="str">
        <f>VLOOKUP(B709,'Thống kê'!$C$3:$D$669,2,0)</f>
        <v>Móc khoá cún Chuối</v>
      </c>
      <c r="D709" s="166">
        <f>VLOOKUP(B709,'Thống kê'!$C$3:$M$682,4,0)</f>
        <v>38000</v>
      </c>
      <c r="E709" s="167">
        <v>1</v>
      </c>
      <c r="F709" s="168">
        <f t="shared" si="3"/>
        <v>38000</v>
      </c>
      <c r="G709" s="144"/>
      <c r="H709" s="372"/>
    </row>
    <row r="710" spans="1:8" ht="13.2">
      <c r="A710" s="183"/>
      <c r="B710" s="16" t="s">
        <v>1805</v>
      </c>
      <c r="C710" s="143" t="str">
        <f>VLOOKUP(B710,'Thống kê'!$C$3:$D$669,2,0)</f>
        <v>Móc khoá cún Dưa hấu</v>
      </c>
      <c r="D710" s="166">
        <f>VLOOKUP(B710,'Thống kê'!$C$3:$M$682,4,0)</f>
        <v>38000</v>
      </c>
      <c r="E710" s="167">
        <v>1</v>
      </c>
      <c r="F710" s="168">
        <f t="shared" si="3"/>
        <v>38000</v>
      </c>
      <c r="G710" s="144"/>
      <c r="H710" s="372"/>
    </row>
    <row r="711" spans="1:8" ht="13.2">
      <c r="A711" s="183"/>
      <c r="B711" s="16" t="s">
        <v>1806</v>
      </c>
      <c r="C711" s="143" t="str">
        <f>VLOOKUP(B711,'Thống kê'!$C$3:$D$669,2,0)</f>
        <v>Móc khoá cún Đầu táo</v>
      </c>
      <c r="D711" s="166">
        <f>VLOOKUP(B711,'Thống kê'!$C$3:$M$682,4,0)</f>
        <v>38000</v>
      </c>
      <c r="E711" s="167">
        <v>1</v>
      </c>
      <c r="F711" s="168">
        <f t="shared" si="3"/>
        <v>38000</v>
      </c>
      <c r="G711" s="144"/>
      <c r="H711" s="372"/>
    </row>
    <row r="712" spans="1:8" ht="13.2">
      <c r="A712" s="183"/>
      <c r="B712" s="16" t="s">
        <v>192</v>
      </c>
      <c r="C712" s="143">
        <f>VLOOKUP(B712,'Thống kê'!$C$3:$D$669,2,0)</f>
        <v>0</v>
      </c>
      <c r="D712" s="166">
        <f>VLOOKUP(B712,'Thống kê'!$C$3:$M$682,4,0)</f>
        <v>0</v>
      </c>
      <c r="E712" s="167">
        <v>1</v>
      </c>
      <c r="F712" s="168">
        <f t="shared" si="3"/>
        <v>0</v>
      </c>
      <c r="G712" s="144"/>
      <c r="H712" s="372"/>
    </row>
    <row r="713" spans="1:8" ht="13.2">
      <c r="A713" s="183"/>
      <c r="B713" s="16" t="s">
        <v>1479</v>
      </c>
      <c r="C713" s="143">
        <f>VLOOKUP(B713,'Thống kê'!$C$3:$D$669,2,0)</f>
        <v>0</v>
      </c>
      <c r="D713" s="166">
        <f>VLOOKUP(B713,'Thống kê'!$C$3:$M$682,4,0)</f>
        <v>0</v>
      </c>
      <c r="E713" s="167">
        <v>1</v>
      </c>
      <c r="F713" s="168">
        <f t="shared" si="3"/>
        <v>0</v>
      </c>
      <c r="G713" s="144"/>
      <c r="H713" s="372"/>
    </row>
    <row r="714" spans="1:8" ht="13.2">
      <c r="A714" s="183"/>
      <c r="B714" s="16" t="s">
        <v>1595</v>
      </c>
      <c r="C714" s="143" t="str">
        <f>VLOOKUP(B714,'Thống kê'!$C$3:$D$669,2,0)</f>
        <v>Dao rọc giấy 08</v>
      </c>
      <c r="D714" s="166">
        <f>VLOOKUP(B714,'Thống kê'!$C$3:$M$682,4,0)</f>
        <v>12000</v>
      </c>
      <c r="E714" s="167">
        <v>1</v>
      </c>
      <c r="F714" s="168">
        <f t="shared" si="3"/>
        <v>12000</v>
      </c>
      <c r="G714" s="144"/>
      <c r="H714" s="176">
        <v>8403</v>
      </c>
    </row>
    <row r="715" spans="1:8" ht="13.2">
      <c r="A715" s="183"/>
      <c r="B715" s="16" t="s">
        <v>116</v>
      </c>
      <c r="C715" s="143" t="str">
        <f>VLOOKUP(B715,'Thống kê'!$C$3:$D$669,2,0)</f>
        <v>heo ú cầm hoa</v>
      </c>
      <c r="D715" s="166">
        <f>VLOOKUP(B715,'Thống kê'!$C$3:$M$682,4,0)</f>
        <v>64500</v>
      </c>
      <c r="E715" s="167">
        <v>1</v>
      </c>
      <c r="F715" s="168">
        <f t="shared" si="3"/>
        <v>64500</v>
      </c>
      <c r="G715" s="144"/>
      <c r="H715" s="178">
        <v>64124</v>
      </c>
    </row>
    <row r="716" spans="1:8" ht="13.2">
      <c r="A716" s="183"/>
      <c r="B716" s="16" t="s">
        <v>1595</v>
      </c>
      <c r="C716" s="143" t="str">
        <f>VLOOKUP(B716,'Thống kê'!$C$3:$D$669,2,0)</f>
        <v>Dao rọc giấy 08</v>
      </c>
      <c r="D716" s="166">
        <f>VLOOKUP(B716,'Thống kê'!$C$3:$M$682,4,0)</f>
        <v>12000</v>
      </c>
      <c r="E716" s="167">
        <v>1</v>
      </c>
      <c r="F716" s="168">
        <f t="shared" si="3"/>
        <v>12000</v>
      </c>
      <c r="G716" s="144"/>
      <c r="H716" s="176">
        <v>8403</v>
      </c>
    </row>
    <row r="717" spans="1:8" ht="13.2">
      <c r="A717" s="183"/>
      <c r="B717" s="16" t="s">
        <v>1382</v>
      </c>
      <c r="C717" s="143" t="str">
        <f>VLOOKUP(B717,'Thống kê'!$C$3:$D$669,2,0)</f>
        <v>miếng dán silicon điện thoại</v>
      </c>
      <c r="D717" s="166">
        <f>VLOOKUP(B717,'Thống kê'!$C$3:$M$682,4,0)</f>
        <v>0</v>
      </c>
      <c r="E717" s="167">
        <v>1</v>
      </c>
      <c r="F717" s="168">
        <f t="shared" si="3"/>
        <v>0</v>
      </c>
      <c r="G717" s="144"/>
      <c r="H717" s="403">
        <v>155829</v>
      </c>
    </row>
    <row r="718" spans="1:8" ht="13.2">
      <c r="A718" s="183"/>
      <c r="B718" s="16" t="s">
        <v>229</v>
      </c>
      <c r="C718" s="143">
        <f>VLOOKUP(B718,'Thống kê'!$C$3:$D$669,2,0)</f>
        <v>0</v>
      </c>
      <c r="D718" s="166">
        <f>VLOOKUP(B718,'Thống kê'!$C$3:$M$682,4,0)</f>
        <v>0</v>
      </c>
      <c r="E718" s="167">
        <v>1</v>
      </c>
      <c r="F718" s="168">
        <f t="shared" si="3"/>
        <v>0</v>
      </c>
      <c r="G718" s="144"/>
      <c r="H718" s="372"/>
    </row>
    <row r="719" spans="1:8" ht="13.2">
      <c r="A719" s="183"/>
      <c r="B719" s="16" t="s">
        <v>196</v>
      </c>
      <c r="C719" s="143">
        <f>VLOOKUP(B719,'Thống kê'!$C$3:$D$669,2,0)</f>
        <v>0</v>
      </c>
      <c r="D719" s="166">
        <f>VLOOKUP(B719,'Thống kê'!$C$3:$M$682,4,0)</f>
        <v>0</v>
      </c>
      <c r="E719" s="167">
        <v>1</v>
      </c>
      <c r="F719" s="168">
        <f t="shared" si="3"/>
        <v>0</v>
      </c>
      <c r="G719" s="144"/>
      <c r="H719" s="372"/>
    </row>
    <row r="720" spans="1:8" ht="13.2">
      <c r="A720" s="185"/>
      <c r="B720" s="16" t="s">
        <v>181</v>
      </c>
      <c r="C720" s="143" t="str">
        <f>VLOOKUP(B720,'Thống kê'!$C$3:$D$669,2,0)</f>
        <v>Thỏ mặt trăng gắn xe</v>
      </c>
      <c r="D720" s="166">
        <f>VLOOKUP(B720,'Thống kê'!$C$3:$M$682,4,0)</f>
        <v>45000</v>
      </c>
      <c r="E720" s="167">
        <v>1</v>
      </c>
      <c r="F720" s="168">
        <f t="shared" si="3"/>
        <v>45000</v>
      </c>
      <c r="G720" s="144"/>
      <c r="H720" s="402">
        <v>138088</v>
      </c>
    </row>
    <row r="721" spans="1:8" ht="13.2">
      <c r="A721" s="154"/>
      <c r="B721" s="28" t="s">
        <v>183</v>
      </c>
      <c r="C721" s="143" t="str">
        <f>VLOOKUP(B721,'Thống kê'!$C$3:$D$669,2,0)</f>
        <v>Thỏ máy bay gắn xe</v>
      </c>
      <c r="D721" s="166">
        <f>VLOOKUP(B721,'Thống kê'!$C$3:$M$682,4,0)</f>
        <v>45000</v>
      </c>
      <c r="E721" s="167">
        <v>1</v>
      </c>
      <c r="F721" s="168">
        <f t="shared" si="3"/>
        <v>45000</v>
      </c>
      <c r="G721" s="144"/>
      <c r="H721" s="372"/>
    </row>
    <row r="722" spans="1:8" ht="13.2">
      <c r="A722" s="188"/>
      <c r="B722" s="28" t="s">
        <v>145</v>
      </c>
      <c r="C722" s="143" t="str">
        <f>VLOOKUP(B722,'Thống kê'!$C$3:$D$669,2,0)</f>
        <v>Thỏ đi vịt gắn xe</v>
      </c>
      <c r="D722" s="166">
        <f>VLOOKUP(B722,'Thống kê'!$C$3:$M$682,4,0)</f>
        <v>45000</v>
      </c>
      <c r="E722" s="167">
        <v>1</v>
      </c>
      <c r="F722" s="168">
        <f t="shared" si="3"/>
        <v>45000</v>
      </c>
      <c r="G722" s="144"/>
      <c r="H722" s="372"/>
    </row>
    <row r="723" spans="1:8" ht="13.2">
      <c r="A723" s="188"/>
      <c r="B723" s="28" t="s">
        <v>119</v>
      </c>
      <c r="C723" s="143" t="str">
        <f>VLOOKUP(B723,'Thống kê'!$C$3:$D$669,2,0)</f>
        <v>Thỏ chạy xe gắn xe</v>
      </c>
      <c r="D723" s="166">
        <f>VLOOKUP(B723,'Thống kê'!$C$3:$M$682,4,0)</f>
        <v>45000</v>
      </c>
      <c r="E723" s="167">
        <v>1</v>
      </c>
      <c r="F723" s="168">
        <f t="shared" si="3"/>
        <v>45000</v>
      </c>
      <c r="G723" s="144"/>
      <c r="H723" s="372"/>
    </row>
    <row r="724" spans="1:8" ht="13.2">
      <c r="A724" s="188"/>
      <c r="B724" s="28" t="s">
        <v>1594</v>
      </c>
      <c r="C724" s="143" t="str">
        <f>VLOOKUP(B724,'Thống kê'!$C$3:$D$669,2,0)</f>
        <v>Móc khóa đôi heo</v>
      </c>
      <c r="D724" s="166">
        <f>VLOOKUP(B724,'Thống kê'!$C$3:$M$682,4,0)</f>
        <v>56580</v>
      </c>
      <c r="E724" s="167">
        <v>1</v>
      </c>
      <c r="F724" s="168">
        <f t="shared" si="3"/>
        <v>56580</v>
      </c>
      <c r="G724" s="144"/>
      <c r="H724" s="175">
        <v>50305</v>
      </c>
    </row>
    <row r="725" spans="1:8" ht="13.2">
      <c r="A725" s="188"/>
      <c r="B725" s="28" t="s">
        <v>1387</v>
      </c>
      <c r="C725" s="143" t="str">
        <f>VLOOKUP(B725,'Thống kê'!$C$3:$D$669,2,0)</f>
        <v>Móc khoá Crybaby mini Popmart</v>
      </c>
      <c r="D725" s="166">
        <f>VLOOKUP(B725,'Thống kê'!$C$3:$M$682,4,0)</f>
        <v>0</v>
      </c>
      <c r="E725" s="167">
        <v>1</v>
      </c>
      <c r="F725" s="168">
        <f t="shared" si="3"/>
        <v>0</v>
      </c>
      <c r="G725" s="144"/>
      <c r="H725" s="175">
        <v>96760</v>
      </c>
    </row>
    <row r="726" spans="1:8" ht="13.2">
      <c r="A726" s="188">
        <v>45705</v>
      </c>
      <c r="B726" s="28" t="s">
        <v>183</v>
      </c>
      <c r="C726" s="143" t="str">
        <f>VLOOKUP(B726,'Thống kê'!$C$3:$D$669,2,0)</f>
        <v>Thỏ máy bay gắn xe</v>
      </c>
      <c r="D726" s="166">
        <f>VLOOKUP(B726,'Thống kê'!$C$3:$M$682,4,0)</f>
        <v>45000</v>
      </c>
      <c r="E726" s="167">
        <v>1</v>
      </c>
      <c r="F726" s="168">
        <f t="shared" si="3"/>
        <v>45000</v>
      </c>
      <c r="G726" s="144"/>
      <c r="H726" s="402">
        <v>44105</v>
      </c>
    </row>
    <row r="727" spans="1:8" ht="13.2">
      <c r="A727" s="188"/>
      <c r="B727" s="28" t="s">
        <v>270</v>
      </c>
      <c r="C727" s="143" t="str">
        <f>VLOOKUP(B727,'Thống kê'!$C$3:$D$669,2,0)</f>
        <v>Thước dây vàng</v>
      </c>
      <c r="D727" s="166">
        <f>VLOOKUP(B727,'Thống kê'!$C$3:$M$682,4,0)</f>
        <v>9000</v>
      </c>
      <c r="E727" s="167">
        <v>1</v>
      </c>
      <c r="F727" s="168">
        <f t="shared" si="3"/>
        <v>9000</v>
      </c>
      <c r="G727" s="144"/>
      <c r="H727" s="372"/>
    </row>
    <row r="728" spans="1:8" ht="13.2">
      <c r="A728" s="188"/>
      <c r="B728" s="28" t="s">
        <v>1468</v>
      </c>
      <c r="C728" s="143">
        <f>VLOOKUP(B728,'Thống kê'!$C$3:$D$669,2,0)</f>
        <v>0</v>
      </c>
      <c r="D728" s="166">
        <f>VLOOKUP(B728,'Thống kê'!$C$3:$M$682,4,0)</f>
        <v>0</v>
      </c>
      <c r="E728" s="167">
        <v>1</v>
      </c>
      <c r="F728" s="168">
        <f t="shared" si="3"/>
        <v>0</v>
      </c>
      <c r="G728" s="144"/>
      <c r="H728" s="402">
        <v>251889</v>
      </c>
    </row>
    <row r="729" spans="1:8" ht="13.2">
      <c r="A729" s="188"/>
      <c r="B729" s="28" t="s">
        <v>1807</v>
      </c>
      <c r="C729" s="143" t="e">
        <f>VLOOKUP(B729,'Thống kê'!$C$3:$D$669,2,0)</f>
        <v>#N/A</v>
      </c>
      <c r="D729" s="166" t="e">
        <f>VLOOKUP(B729,'Thống kê'!$C$3:$M$682,4,0)</f>
        <v>#N/A</v>
      </c>
      <c r="E729" s="167">
        <v>1</v>
      </c>
      <c r="F729" s="168" t="e">
        <f t="shared" si="3"/>
        <v>#N/A</v>
      </c>
      <c r="G729" s="144"/>
      <c r="H729" s="372"/>
    </row>
    <row r="730" spans="1:8" ht="13.2">
      <c r="A730" s="188"/>
      <c r="B730" s="28" t="s">
        <v>229</v>
      </c>
      <c r="C730" s="143">
        <f>VLOOKUP(B730,'Thống kê'!$C$3:$D$669,2,0)</f>
        <v>0</v>
      </c>
      <c r="D730" s="166">
        <f>VLOOKUP(B730,'Thống kê'!$C$3:$M$682,4,0)</f>
        <v>0</v>
      </c>
      <c r="E730" s="167">
        <v>1</v>
      </c>
      <c r="F730" s="168">
        <f t="shared" si="3"/>
        <v>0</v>
      </c>
      <c r="G730" s="144"/>
      <c r="H730" s="372"/>
    </row>
    <row r="731" spans="1:8" ht="13.2">
      <c r="A731" s="189"/>
      <c r="B731" s="28" t="s">
        <v>1801</v>
      </c>
      <c r="C731" s="143" t="str">
        <f>VLOOKUP(B731,'Thống kê'!$C$3:$D$669,2,0)</f>
        <v>Móc khoá cún Hoa xinh</v>
      </c>
      <c r="D731" s="166">
        <f>VLOOKUP(B731,'Thống kê'!$C$3:$M$682,4,0)</f>
        <v>38000</v>
      </c>
      <c r="E731" s="167">
        <v>1</v>
      </c>
      <c r="F731" s="168">
        <f t="shared" si="3"/>
        <v>38000</v>
      </c>
      <c r="G731" s="144"/>
      <c r="H731" s="402">
        <v>91807</v>
      </c>
    </row>
    <row r="732" spans="1:8" ht="13.2">
      <c r="A732" s="154"/>
      <c r="B732" s="28" t="s">
        <v>1476</v>
      </c>
      <c r="C732" s="143">
        <f>VLOOKUP(B732,'Thống kê'!$C$3:$D$669,2,0)</f>
        <v>0</v>
      </c>
      <c r="D732" s="166">
        <f>VLOOKUP(B732,'Thống kê'!$C$3:$M$682,4,0)</f>
        <v>0</v>
      </c>
      <c r="E732" s="167">
        <v>1</v>
      </c>
      <c r="F732" s="168">
        <f t="shared" si="3"/>
        <v>0</v>
      </c>
      <c r="G732" s="144"/>
      <c r="H732" s="373"/>
    </row>
    <row r="733" spans="1:8" ht="13.2">
      <c r="A733" s="188"/>
      <c r="B733" s="28" t="s">
        <v>1808</v>
      </c>
      <c r="C733" s="143">
        <f>VLOOKUP(B733,'Thống kê'!$C$3:$D$669,2,0)</f>
        <v>0</v>
      </c>
      <c r="D733" s="166">
        <f>VLOOKUP(B733,'Thống kê'!$C$3:$M$682,4,0)</f>
        <v>0</v>
      </c>
      <c r="E733" s="167">
        <v>1</v>
      </c>
      <c r="F733" s="168">
        <f t="shared" si="3"/>
        <v>0</v>
      </c>
      <c r="G733" s="144"/>
      <c r="H733" s="403">
        <v>165000</v>
      </c>
    </row>
    <row r="734" spans="1:8" ht="13.2">
      <c r="A734" s="188"/>
      <c r="B734" s="28" t="s">
        <v>1794</v>
      </c>
      <c r="C734" s="143" t="str">
        <f>VLOOKUP(B734,'Thống kê'!$C$3:$D$669,2,0)</f>
        <v>Móc khoá Crybaby mini Popmart</v>
      </c>
      <c r="D734" s="166">
        <f>VLOOKUP(B734,'Thống kê'!$C$3:$M$682,4,0)</f>
        <v>0</v>
      </c>
      <c r="E734" s="167">
        <v>1</v>
      </c>
      <c r="F734" s="168">
        <f t="shared" si="3"/>
        <v>0</v>
      </c>
      <c r="G734" s="146" t="s">
        <v>1809</v>
      </c>
      <c r="H734" s="373"/>
    </row>
    <row r="735" spans="1:8" ht="13.2">
      <c r="A735" s="188"/>
      <c r="B735" s="28" t="s">
        <v>206</v>
      </c>
      <c r="C735" s="143" t="str">
        <f>VLOOKUP(B735,'Thống kê'!$C$3:$D$669,2,0)</f>
        <v>Pop Bean Baked Bread</v>
      </c>
      <c r="D735" s="166">
        <f>VLOOKUP(B735,'Thống kê'!$C$3:$M$682,4,0)</f>
        <v>167000</v>
      </c>
      <c r="E735" s="167">
        <v>1</v>
      </c>
      <c r="F735" s="168">
        <f t="shared" si="3"/>
        <v>167000</v>
      </c>
      <c r="G735" s="144"/>
      <c r="H735" s="178">
        <v>136950</v>
      </c>
    </row>
    <row r="736" spans="1:8" ht="13.2">
      <c r="A736" s="188"/>
      <c r="B736" s="28" t="s">
        <v>1387</v>
      </c>
      <c r="C736" s="143" t="str">
        <f>VLOOKUP(B736,'Thống kê'!$C$3:$D$669,2,0)</f>
        <v>Móc khoá Crybaby mini Popmart</v>
      </c>
      <c r="D736" s="166">
        <f>VLOOKUP(B736,'Thống kê'!$C$3:$M$682,4,0)</f>
        <v>0</v>
      </c>
      <c r="E736" s="167">
        <v>1</v>
      </c>
      <c r="F736" s="168">
        <f t="shared" si="3"/>
        <v>0</v>
      </c>
      <c r="G736" s="144"/>
      <c r="H736" s="402">
        <v>267058</v>
      </c>
    </row>
    <row r="737" spans="1:8" ht="13.2">
      <c r="A737" s="188"/>
      <c r="B737" s="28" t="s">
        <v>1384</v>
      </c>
      <c r="C737" s="143" t="str">
        <f>VLOOKUP(B737,'Thống kê'!$C$3:$D$669,2,0)</f>
        <v>Móc khoá Crybaby mini Popmart</v>
      </c>
      <c r="D737" s="166">
        <f>VLOOKUP(B737,'Thống kê'!$C$3:$M$682,4,0)</f>
        <v>0</v>
      </c>
      <c r="E737" s="167">
        <v>1</v>
      </c>
      <c r="F737" s="168">
        <f t="shared" si="3"/>
        <v>0</v>
      </c>
      <c r="G737" s="144"/>
      <c r="H737" s="372"/>
    </row>
    <row r="738" spans="1:8" ht="13.2">
      <c r="A738" s="188"/>
      <c r="B738" s="28" t="s">
        <v>1388</v>
      </c>
      <c r="C738" s="143" t="str">
        <f>VLOOKUP(B738,'Thống kê'!$C$3:$D$669,2,0)</f>
        <v>Móc khoá Crybaby mini Popmart</v>
      </c>
      <c r="D738" s="166">
        <f>VLOOKUP(B738,'Thống kê'!$C$3:$M$682,4,0)</f>
        <v>0</v>
      </c>
      <c r="E738" s="167">
        <v>1</v>
      </c>
      <c r="F738" s="168">
        <f t="shared" si="3"/>
        <v>0</v>
      </c>
      <c r="G738" s="144"/>
      <c r="H738" s="373"/>
    </row>
    <row r="739" spans="1:8" ht="13.2">
      <c r="A739" s="188"/>
      <c r="B739" s="28" t="s">
        <v>234</v>
      </c>
      <c r="C739" s="143" t="str">
        <f>VLOOKUP(B739,'Thống kê'!$C$3:$D$669,2,0)</f>
        <v>Móc khoá skullpanda phiên bản mini</v>
      </c>
      <c r="D739" s="166">
        <f>VLOOKUP(B739,'Thống kê'!$C$3:$M$682,4,0)</f>
        <v>98000</v>
      </c>
      <c r="E739" s="167">
        <v>1</v>
      </c>
      <c r="F739" s="168">
        <f t="shared" si="3"/>
        <v>98000</v>
      </c>
      <c r="G739" s="144"/>
      <c r="H739" s="177">
        <v>80285</v>
      </c>
    </row>
    <row r="740" spans="1:8" ht="13.2">
      <c r="A740" s="188"/>
      <c r="B740" s="28" t="s">
        <v>1480</v>
      </c>
      <c r="C740" s="143">
        <f>VLOOKUP(B740,'Thống kê'!$C$3:$D$669,2,0)</f>
        <v>0</v>
      </c>
      <c r="D740" s="166">
        <f>VLOOKUP(B740,'Thống kê'!$C$3:$M$682,4,0)</f>
        <v>0</v>
      </c>
      <c r="E740" s="167">
        <v>1</v>
      </c>
      <c r="F740" s="168">
        <f t="shared" si="3"/>
        <v>0</v>
      </c>
      <c r="G740" s="144"/>
      <c r="H740" s="177">
        <v>91020</v>
      </c>
    </row>
    <row r="741" spans="1:8" ht="13.2">
      <c r="A741" s="188"/>
      <c r="B741" s="28" t="s">
        <v>1624</v>
      </c>
      <c r="C741" s="143" t="str">
        <f>VLOOKUP(B741,'Thống kê'!$C$3:$D$669,2,0)</f>
        <v>Móc khóa mèo trái tim</v>
      </c>
      <c r="D741" s="166">
        <f>VLOOKUP(B741,'Thống kê'!$C$3:$M$682,4,0)</f>
        <v>59000</v>
      </c>
      <c r="E741" s="167">
        <v>1</v>
      </c>
      <c r="F741" s="168">
        <f t="shared" si="3"/>
        <v>59000</v>
      </c>
      <c r="G741" s="144"/>
      <c r="H741" s="177">
        <v>44435</v>
      </c>
    </row>
    <row r="742" spans="1:8" ht="13.2">
      <c r="A742" s="188"/>
      <c r="B742" s="28" t="s">
        <v>1387</v>
      </c>
      <c r="C742" s="143" t="str">
        <f>VLOOKUP(B742,'Thống kê'!$C$3:$D$669,2,0)</f>
        <v>Móc khoá Crybaby mini Popmart</v>
      </c>
      <c r="D742" s="166">
        <f>VLOOKUP(B742,'Thống kê'!$C$3:$M$682,4,0)</f>
        <v>0</v>
      </c>
      <c r="E742" s="167">
        <v>1</v>
      </c>
      <c r="F742" s="168">
        <f t="shared" si="3"/>
        <v>0</v>
      </c>
      <c r="G742" s="144"/>
      <c r="H742" s="177">
        <v>90200</v>
      </c>
    </row>
    <row r="743" spans="1:8" ht="13.2">
      <c r="A743" s="188"/>
      <c r="B743" s="28" t="s">
        <v>186</v>
      </c>
      <c r="C743" s="143" t="str">
        <f>VLOOKUP(B743,'Thống kê'!$C$3:$D$669,2,0)</f>
        <v>Thỏ ú bay</v>
      </c>
      <c r="D743" s="166">
        <f>VLOOKUP(B743,'Thống kê'!$C$3:$M$682,4,0)</f>
        <v>64500</v>
      </c>
      <c r="E743" s="167">
        <v>1</v>
      </c>
      <c r="F743" s="168">
        <f t="shared" si="3"/>
        <v>64500</v>
      </c>
      <c r="G743" s="144"/>
      <c r="H743" s="403">
        <v>100434</v>
      </c>
    </row>
    <row r="744" spans="1:8" ht="13.2">
      <c r="A744" s="188"/>
      <c r="B744" s="28" t="s">
        <v>150</v>
      </c>
      <c r="C744" s="143" t="str">
        <f>VLOOKUP(B744,'Thống kê'!$C$3:$D$669,2,0)</f>
        <v>Móc khóa có chuông</v>
      </c>
      <c r="D744" s="166">
        <f>VLOOKUP(B744,'Thống kê'!$C$3:$M$682,4,0)</f>
        <v>59000</v>
      </c>
      <c r="E744" s="167">
        <v>1</v>
      </c>
      <c r="F744" s="168">
        <f t="shared" si="3"/>
        <v>59000</v>
      </c>
      <c r="G744" s="144"/>
      <c r="H744" s="373"/>
    </row>
    <row r="745" spans="1:8" ht="13.2">
      <c r="A745" s="188">
        <v>45706</v>
      </c>
      <c r="B745" s="28" t="s">
        <v>1387</v>
      </c>
      <c r="C745" s="143" t="str">
        <f>VLOOKUP(B745,'Thống kê'!$C$3:$D$669,2,0)</f>
        <v>Móc khoá Crybaby mini Popmart</v>
      </c>
      <c r="D745" s="166">
        <f>VLOOKUP(B745,'Thống kê'!$C$3:$M$682,4,0)</f>
        <v>0</v>
      </c>
      <c r="E745" s="167">
        <v>1</v>
      </c>
      <c r="F745" s="168">
        <f t="shared" si="3"/>
        <v>0</v>
      </c>
      <c r="G745" s="144"/>
      <c r="H745" s="403">
        <v>178038</v>
      </c>
    </row>
    <row r="746" spans="1:8" ht="13.2">
      <c r="A746" s="188"/>
      <c r="B746" s="28" t="s">
        <v>1384</v>
      </c>
      <c r="C746" s="143" t="str">
        <f>VLOOKUP(B746,'Thống kê'!$C$3:$D$669,2,0)</f>
        <v>Móc khoá Crybaby mini Popmart</v>
      </c>
      <c r="D746" s="166">
        <f>VLOOKUP(B746,'Thống kê'!$C$3:$M$682,4,0)</f>
        <v>0</v>
      </c>
      <c r="E746" s="167">
        <v>1</v>
      </c>
      <c r="F746" s="168">
        <f t="shared" si="3"/>
        <v>0</v>
      </c>
      <c r="G746" s="144"/>
      <c r="H746" s="373"/>
    </row>
    <row r="747" spans="1:8" ht="13.2">
      <c r="A747" s="188"/>
      <c r="B747" s="28" t="s">
        <v>1810</v>
      </c>
      <c r="C747" s="143" t="str">
        <f>VLOOKUP(B747,'Thống kê'!$C$3:$D$669,2,0)</f>
        <v>Hộp thuốc mây hồng</v>
      </c>
      <c r="D747" s="166">
        <f>VLOOKUP(B747,'Thống kê'!$C$3:$M$682,4,0)</f>
        <v>11000</v>
      </c>
      <c r="E747" s="167">
        <v>1</v>
      </c>
      <c r="F747" s="168">
        <f t="shared" si="3"/>
        <v>11000</v>
      </c>
      <c r="G747" s="144"/>
      <c r="H747" s="403">
        <v>62770</v>
      </c>
    </row>
    <row r="748" spans="1:8" ht="13.2">
      <c r="A748" s="188"/>
      <c r="B748" s="28" t="s">
        <v>1788</v>
      </c>
      <c r="C748" s="143" t="str">
        <f>VLOOKUP(B748,'Thống kê'!$C$3:$D$669,2,0)</f>
        <v>Túi chườm bụng thỏ hồng 500ml</v>
      </c>
      <c r="D748" s="166">
        <f>VLOOKUP(B748,'Thống kê'!$C$3:$M$682,4,0)</f>
        <v>81000</v>
      </c>
      <c r="E748" s="167">
        <v>1</v>
      </c>
      <c r="F748" s="168">
        <f t="shared" si="3"/>
        <v>81000</v>
      </c>
      <c r="G748" s="144"/>
      <c r="H748" s="373"/>
    </row>
    <row r="749" spans="1:8" ht="13.2">
      <c r="A749" s="188"/>
      <c r="B749" s="190" t="s">
        <v>150</v>
      </c>
      <c r="C749" s="143" t="str">
        <f>VLOOKUP(B749,'Thống kê'!$C$3:$D$669,2,0)</f>
        <v>Móc khóa có chuông</v>
      </c>
      <c r="D749" s="166">
        <f>VLOOKUP(B749,'Thống kê'!$C$3:$M$682,4,0)</f>
        <v>59000</v>
      </c>
      <c r="E749" s="167">
        <v>1</v>
      </c>
      <c r="F749" s="168">
        <f t="shared" si="3"/>
        <v>59000</v>
      </c>
      <c r="G749" s="144"/>
      <c r="H749" s="178">
        <v>44510</v>
      </c>
    </row>
    <row r="750" spans="1:8" ht="13.2">
      <c r="A750" s="188"/>
      <c r="B750" s="28" t="s">
        <v>115</v>
      </c>
      <c r="C750" s="143" t="str">
        <f>VLOOKUP(B750,'Thống kê'!$C$3:$D$669,2,0)</f>
        <v>Heo ú</v>
      </c>
      <c r="D750" s="166">
        <f>VLOOKUP(B750,'Thống kê'!$C$3:$M$682,4,0)</f>
        <v>59500</v>
      </c>
      <c r="E750" s="167">
        <v>1</v>
      </c>
      <c r="F750" s="168">
        <f t="shared" si="3"/>
        <v>59500</v>
      </c>
      <c r="G750" s="144"/>
      <c r="H750" s="175">
        <v>57400</v>
      </c>
    </row>
    <row r="751" spans="1:8" ht="13.2">
      <c r="A751" s="188"/>
      <c r="B751" s="28" t="s">
        <v>206</v>
      </c>
      <c r="C751" s="143" t="str">
        <f>VLOOKUP(B751,'Thống kê'!$C$3:$D$669,2,0)</f>
        <v>Pop Bean Baked Bread</v>
      </c>
      <c r="D751" s="166">
        <f>VLOOKUP(B751,'Thống kê'!$C$3:$M$682,4,0)</f>
        <v>167000</v>
      </c>
      <c r="E751" s="167">
        <v>-1</v>
      </c>
      <c r="F751" s="168">
        <f t="shared" si="3"/>
        <v>-167000</v>
      </c>
      <c r="G751" s="144"/>
      <c r="H751" s="175">
        <v>-157000</v>
      </c>
    </row>
    <row r="752" spans="1:8" ht="13.2">
      <c r="A752" s="188">
        <v>45707</v>
      </c>
      <c r="B752" s="28" t="s">
        <v>1810</v>
      </c>
      <c r="C752" s="143" t="str">
        <f>VLOOKUP(B752,'Thống kê'!$C$3:$D$669,2,0)</f>
        <v>Hộp thuốc mây hồng</v>
      </c>
      <c r="D752" s="166">
        <f>VLOOKUP(B752,'Thống kê'!$C$3:$M$682,4,0)</f>
        <v>11000</v>
      </c>
      <c r="E752" s="167">
        <v>1</v>
      </c>
      <c r="F752" s="168">
        <f t="shared" si="3"/>
        <v>11000</v>
      </c>
      <c r="G752" s="144"/>
      <c r="H752" s="402">
        <v>62770</v>
      </c>
    </row>
    <row r="753" spans="1:8" ht="13.2">
      <c r="A753" s="189"/>
      <c r="B753" s="28" t="s">
        <v>1788</v>
      </c>
      <c r="C753" s="143" t="str">
        <f>VLOOKUP(B753,'Thống kê'!$C$3:$D$669,2,0)</f>
        <v>Túi chườm bụng thỏ hồng 500ml</v>
      </c>
      <c r="D753" s="166">
        <f>VLOOKUP(B753,'Thống kê'!$C$3:$M$682,4,0)</f>
        <v>81000</v>
      </c>
      <c r="E753" s="167">
        <v>1</v>
      </c>
      <c r="F753" s="168">
        <f t="shared" si="3"/>
        <v>81000</v>
      </c>
      <c r="G753" s="144"/>
      <c r="H753" s="372"/>
    </row>
    <row r="754" spans="1:8" ht="13.2">
      <c r="A754" s="154"/>
      <c r="B754" s="28" t="s">
        <v>229</v>
      </c>
      <c r="C754" s="143">
        <f>VLOOKUP(B754,'Thống kê'!$C$3:$D$669,2,0)</f>
        <v>0</v>
      </c>
      <c r="D754" s="166">
        <f>VLOOKUP(B754,'Thống kê'!$C$3:$M$682,4,0)</f>
        <v>0</v>
      </c>
      <c r="E754" s="167">
        <v>1</v>
      </c>
      <c r="F754" s="168">
        <f t="shared" si="3"/>
        <v>0</v>
      </c>
      <c r="G754" s="144"/>
      <c r="H754" s="402">
        <v>212842</v>
      </c>
    </row>
    <row r="755" spans="1:8" ht="13.2">
      <c r="A755" s="188"/>
      <c r="B755" s="28" t="s">
        <v>206</v>
      </c>
      <c r="C755" s="143" t="str">
        <f>VLOOKUP(B755,'Thống kê'!$C$3:$D$669,2,0)</f>
        <v>Pop Bean Baked Bread</v>
      </c>
      <c r="D755" s="166">
        <f>VLOOKUP(B755,'Thống kê'!$C$3:$M$682,4,0)</f>
        <v>167000</v>
      </c>
      <c r="E755" s="167">
        <v>1</v>
      </c>
      <c r="F755" s="168">
        <f t="shared" si="3"/>
        <v>167000</v>
      </c>
      <c r="G755" s="144"/>
      <c r="H755" s="372"/>
    </row>
    <row r="756" spans="1:8" ht="13.2">
      <c r="A756" s="188"/>
      <c r="B756" s="28" t="s">
        <v>1811</v>
      </c>
      <c r="C756" s="143" t="str">
        <f>VLOOKUP(B756,'Thống kê'!$C$3:$D$669,2,0)</f>
        <v>Trâm cài 08</v>
      </c>
      <c r="D756" s="166">
        <f>VLOOKUP(B756,'Thống kê'!$C$3:$M$682,4,0)</f>
        <v>52440</v>
      </c>
      <c r="E756" s="167">
        <v>1</v>
      </c>
      <c r="F756" s="168">
        <f t="shared" si="3"/>
        <v>52440</v>
      </c>
      <c r="G756" s="144"/>
      <c r="H756" s="402">
        <v>136940</v>
      </c>
    </row>
    <row r="757" spans="1:8" ht="13.2">
      <c r="A757" s="188"/>
      <c r="B757" s="28" t="s">
        <v>1384</v>
      </c>
      <c r="C757" s="143" t="str">
        <f>VLOOKUP(B757,'Thống kê'!$C$3:$D$669,2,0)</f>
        <v>Móc khoá Crybaby mini Popmart</v>
      </c>
      <c r="D757" s="166">
        <f>VLOOKUP(B757,'Thống kê'!$C$3:$M$682,4,0)</f>
        <v>0</v>
      </c>
      <c r="E757" s="167">
        <v>1</v>
      </c>
      <c r="F757" s="168">
        <f t="shared" si="3"/>
        <v>0</v>
      </c>
      <c r="G757" s="144"/>
      <c r="H757" s="372"/>
    </row>
    <row r="758" spans="1:8" ht="13.2">
      <c r="A758" s="188"/>
      <c r="B758" s="28" t="s">
        <v>1621</v>
      </c>
      <c r="C758" s="143" t="str">
        <f>VLOOKUP(B758,'Thống kê'!$C$3:$D$669,2,0)</f>
        <v>Mô hình mèo 2</v>
      </c>
      <c r="D758" s="166">
        <f>VLOOKUP(B758,'Thống kê'!$C$3:$M$682,4,0)</f>
        <v>37800</v>
      </c>
      <c r="E758" s="167">
        <v>1</v>
      </c>
      <c r="F758" s="168">
        <f t="shared" si="3"/>
        <v>37800</v>
      </c>
      <c r="G758" s="144"/>
      <c r="H758" s="402">
        <v>172951</v>
      </c>
    </row>
    <row r="759" spans="1:8" ht="13.2">
      <c r="A759" s="188"/>
      <c r="B759" s="28" t="s">
        <v>1470</v>
      </c>
      <c r="C759" s="143">
        <f>VLOOKUP(B759,'Thống kê'!$C$3:$D$669,2,0)</f>
        <v>0</v>
      </c>
      <c r="D759" s="166">
        <f>VLOOKUP(B759,'Thống kê'!$C$3:$M$682,4,0)</f>
        <v>0</v>
      </c>
      <c r="E759" s="167">
        <v>1</v>
      </c>
      <c r="F759" s="168">
        <f t="shared" si="3"/>
        <v>0</v>
      </c>
      <c r="G759" s="144"/>
      <c r="H759" s="372"/>
    </row>
    <row r="760" spans="1:8" ht="13.2">
      <c r="A760" s="188"/>
      <c r="B760" s="28" t="s">
        <v>1761</v>
      </c>
      <c r="C760" s="143">
        <f>VLOOKUP(B760,'Thống kê'!$C$3:$D$669,2,0)</f>
        <v>0</v>
      </c>
      <c r="D760" s="166">
        <f>VLOOKUP(B760,'Thống kê'!$C$3:$M$682,4,0)</f>
        <v>0</v>
      </c>
      <c r="E760" s="167">
        <v>1</v>
      </c>
      <c r="F760" s="168">
        <f t="shared" si="3"/>
        <v>0</v>
      </c>
      <c r="G760" s="144"/>
      <c r="H760" s="175">
        <v>71340</v>
      </c>
    </row>
    <row r="761" spans="1:8" ht="13.2">
      <c r="A761" s="188">
        <v>45707</v>
      </c>
      <c r="B761" s="28" t="s">
        <v>1384</v>
      </c>
      <c r="C761" s="143" t="str">
        <f>VLOOKUP(B761,'Thống kê'!$C$3:$D$669,2,0)</f>
        <v>Móc khoá Crybaby mini Popmart</v>
      </c>
      <c r="D761" s="166">
        <f>VLOOKUP(B761,'Thống kê'!$C$3:$M$682,4,0)</f>
        <v>0</v>
      </c>
      <c r="E761" s="167">
        <v>1</v>
      </c>
      <c r="F761" s="168">
        <f t="shared" si="3"/>
        <v>0</v>
      </c>
      <c r="G761" s="144"/>
      <c r="H761" s="175">
        <v>82000</v>
      </c>
    </row>
    <row r="762" spans="1:8" ht="13.2">
      <c r="A762" s="188"/>
      <c r="B762" s="28" t="s">
        <v>1464</v>
      </c>
      <c r="C762" s="143">
        <f>VLOOKUP(B762,'Thống kê'!$C$3:$D$669,2,0)</f>
        <v>0</v>
      </c>
      <c r="D762" s="166">
        <f>VLOOKUP(B762,'Thống kê'!$C$3:$M$682,4,0)</f>
        <v>0</v>
      </c>
      <c r="E762" s="167">
        <v>1</v>
      </c>
      <c r="F762" s="168">
        <f t="shared" si="3"/>
        <v>0</v>
      </c>
      <c r="G762" s="144"/>
      <c r="H762" s="402">
        <v>220285</v>
      </c>
    </row>
    <row r="763" spans="1:8" ht="13.2">
      <c r="A763" s="188"/>
      <c r="B763" s="28" t="s">
        <v>228</v>
      </c>
      <c r="C763" s="143">
        <f>VLOOKUP(B763,'Thống kê'!$C$3:$D$669,2,0)</f>
        <v>0</v>
      </c>
      <c r="D763" s="166">
        <f>VLOOKUP(B763,'Thống kê'!$C$3:$M$682,4,0)</f>
        <v>0</v>
      </c>
      <c r="E763" s="167">
        <v>1</v>
      </c>
      <c r="F763" s="168">
        <f t="shared" si="3"/>
        <v>0</v>
      </c>
      <c r="G763" s="144"/>
      <c r="H763" s="372"/>
    </row>
    <row r="764" spans="1:8" ht="13.2">
      <c r="A764" s="189"/>
      <c r="B764" s="28" t="s">
        <v>192</v>
      </c>
      <c r="C764" s="143">
        <f>VLOOKUP(B764,'Thống kê'!$C$3:$D$669,2,0)</f>
        <v>0</v>
      </c>
      <c r="D764" s="166">
        <f>VLOOKUP(B764,'Thống kê'!$C$3:$M$682,4,0)</f>
        <v>0</v>
      </c>
      <c r="E764" s="167">
        <v>1</v>
      </c>
      <c r="F764" s="168">
        <f t="shared" si="3"/>
        <v>0</v>
      </c>
      <c r="G764" s="144"/>
      <c r="H764" s="372"/>
    </row>
    <row r="765" spans="1:8" ht="13.2">
      <c r="A765" s="405"/>
      <c r="B765" s="16" t="s">
        <v>1384</v>
      </c>
      <c r="C765" s="143" t="str">
        <f>VLOOKUP(B765,'Thống kê'!$C$3:$D$669,2,0)</f>
        <v>Móc khoá Crybaby mini Popmart</v>
      </c>
      <c r="D765" s="166">
        <f>VLOOKUP(B765,'Thống kê'!$C$3:$M$682,4,0)</f>
        <v>0</v>
      </c>
      <c r="E765" s="167">
        <v>1</v>
      </c>
      <c r="F765" s="168">
        <f t="shared" si="3"/>
        <v>0</v>
      </c>
      <c r="G765" s="144"/>
      <c r="H765" s="175">
        <v>88560</v>
      </c>
    </row>
    <row r="766" spans="1:8" ht="13.2">
      <c r="A766" s="369"/>
      <c r="B766" s="16" t="s">
        <v>229</v>
      </c>
      <c r="C766" s="143">
        <f>VLOOKUP(B766,'Thống kê'!$C$3:$D$669,2,0)</f>
        <v>0</v>
      </c>
      <c r="D766" s="166">
        <f>VLOOKUP(B766,'Thống kê'!$C$3:$M$682,4,0)</f>
        <v>0</v>
      </c>
      <c r="E766" s="167">
        <v>1</v>
      </c>
      <c r="F766" s="168">
        <f t="shared" si="3"/>
        <v>0</v>
      </c>
      <c r="G766" s="144"/>
      <c r="H766" s="402">
        <v>153340</v>
      </c>
    </row>
    <row r="767" spans="1:8" ht="13.2">
      <c r="A767" s="369"/>
      <c r="B767" s="16" t="s">
        <v>196</v>
      </c>
      <c r="C767" s="143">
        <f>VLOOKUP(B767,'Thống kê'!$C$3:$D$669,2,0)</f>
        <v>0</v>
      </c>
      <c r="D767" s="166">
        <f>VLOOKUP(B767,'Thống kê'!$C$3:$M$682,4,0)</f>
        <v>0</v>
      </c>
      <c r="E767" s="167">
        <v>1</v>
      </c>
      <c r="F767" s="168">
        <f t="shared" si="3"/>
        <v>0</v>
      </c>
      <c r="G767" s="144"/>
      <c r="H767" s="372"/>
    </row>
    <row r="768" spans="1:8" ht="13.2">
      <c r="A768" s="157"/>
      <c r="B768" s="16" t="s">
        <v>1464</v>
      </c>
      <c r="C768" s="143">
        <f>VLOOKUP(B768,'Thống kê'!$C$3:$D$669,2,0)</f>
        <v>0</v>
      </c>
      <c r="D768" s="166">
        <f>VLOOKUP(B768,'Thống kê'!$C$3:$M$682,4,0)</f>
        <v>0</v>
      </c>
      <c r="E768" s="167">
        <v>1</v>
      </c>
      <c r="F768" s="168">
        <f t="shared" si="3"/>
        <v>0</v>
      </c>
      <c r="G768" s="144"/>
      <c r="H768" s="402">
        <v>324720</v>
      </c>
    </row>
    <row r="769" spans="1:8" ht="13.2">
      <c r="A769" s="157"/>
      <c r="B769" s="16" t="s">
        <v>1466</v>
      </c>
      <c r="C769" s="143">
        <f>VLOOKUP(B769,'Thống kê'!$C$3:$D$669,2,0)</f>
        <v>0</v>
      </c>
      <c r="D769" s="166">
        <f>VLOOKUP(B769,'Thống kê'!$C$3:$M$682,4,0)</f>
        <v>0</v>
      </c>
      <c r="E769" s="167">
        <v>1</v>
      </c>
      <c r="F769" s="168">
        <f t="shared" si="3"/>
        <v>0</v>
      </c>
      <c r="G769" s="144"/>
      <c r="H769" s="372"/>
    </row>
    <row r="770" spans="1:8" ht="13.2">
      <c r="A770" s="157"/>
      <c r="B770" s="16" t="s">
        <v>1387</v>
      </c>
      <c r="C770" s="143" t="str">
        <f>VLOOKUP(B770,'Thống kê'!$C$3:$D$669,2,0)</f>
        <v>Móc khoá Crybaby mini Popmart</v>
      </c>
      <c r="D770" s="166">
        <f>VLOOKUP(B770,'Thống kê'!$C$3:$M$682,4,0)</f>
        <v>0</v>
      </c>
      <c r="E770" s="167">
        <v>1</v>
      </c>
      <c r="F770" s="168">
        <f t="shared" si="3"/>
        <v>0</v>
      </c>
      <c r="G770" s="144"/>
      <c r="H770" s="372"/>
    </row>
    <row r="771" spans="1:8" ht="13.2">
      <c r="A771" s="157"/>
      <c r="B771" s="16" t="s">
        <v>1388</v>
      </c>
      <c r="C771" s="143" t="str">
        <f>VLOOKUP(B771,'Thống kê'!$C$3:$D$669,2,0)</f>
        <v>Móc khoá Crybaby mini Popmart</v>
      </c>
      <c r="D771" s="166">
        <f>VLOOKUP(B771,'Thống kê'!$C$3:$M$682,4,0)</f>
        <v>0</v>
      </c>
      <c r="E771" s="167">
        <v>1</v>
      </c>
      <c r="F771" s="168">
        <f t="shared" si="3"/>
        <v>0</v>
      </c>
      <c r="G771" s="144"/>
      <c r="H771" s="372"/>
    </row>
    <row r="772" spans="1:8" ht="13.2">
      <c r="A772" s="157"/>
      <c r="B772" s="16" t="s">
        <v>1466</v>
      </c>
      <c r="C772" s="143">
        <f>VLOOKUP(B772,'Thống kê'!$C$3:$D$669,2,0)</f>
        <v>0</v>
      </c>
      <c r="D772" s="166">
        <f>VLOOKUP(B772,'Thống kê'!$C$3:$M$682,4,0)</f>
        <v>0</v>
      </c>
      <c r="E772" s="167">
        <v>1</v>
      </c>
      <c r="F772" s="168">
        <f t="shared" si="3"/>
        <v>0</v>
      </c>
      <c r="G772" s="144"/>
      <c r="H772" s="402">
        <v>237636</v>
      </c>
    </row>
    <row r="773" spans="1:8" ht="13.2">
      <c r="A773" s="157"/>
      <c r="B773" s="16" t="s">
        <v>1468</v>
      </c>
      <c r="C773" s="143">
        <f>VLOOKUP(B773,'Thống kê'!$C$3:$D$669,2,0)</f>
        <v>0</v>
      </c>
      <c r="D773" s="166">
        <f>VLOOKUP(B773,'Thống kê'!$C$3:$M$682,4,0)</f>
        <v>0</v>
      </c>
      <c r="E773" s="167">
        <v>1</v>
      </c>
      <c r="F773" s="168">
        <f t="shared" si="3"/>
        <v>0</v>
      </c>
      <c r="G773" s="144"/>
      <c r="H773" s="372"/>
    </row>
    <row r="774" spans="1:8" ht="13.2">
      <c r="A774" s="157"/>
      <c r="B774" s="191" t="s">
        <v>1464</v>
      </c>
      <c r="C774" s="143">
        <f>VLOOKUP(B774,'Thống kê'!$C$3:$D$669,2,0)</f>
        <v>0</v>
      </c>
      <c r="D774" s="166">
        <f>VLOOKUP(B774,'Thống kê'!$C$3:$M$682,4,0)</f>
        <v>0</v>
      </c>
      <c r="E774" s="167">
        <v>1</v>
      </c>
      <c r="F774" s="168">
        <f t="shared" si="3"/>
        <v>0</v>
      </c>
      <c r="G774" s="144"/>
      <c r="H774" s="372"/>
    </row>
    <row r="775" spans="1:8" ht="13.2">
      <c r="A775" s="157"/>
      <c r="B775" s="28" t="s">
        <v>227</v>
      </c>
      <c r="C775" s="143" t="str">
        <f>VLOOKUP(B775,'Thống kê'!$C$3:$D$669,2,0)</f>
        <v>Móc khóa đôi corgy</v>
      </c>
      <c r="D775" s="166">
        <f>VLOOKUP(B775,'Thống kê'!$C$3:$M$682,4,0)</f>
        <v>56580</v>
      </c>
      <c r="E775" s="167">
        <v>1</v>
      </c>
      <c r="F775" s="168">
        <f t="shared" si="3"/>
        <v>56580</v>
      </c>
      <c r="G775" s="144"/>
      <c r="H775" s="176">
        <v>50030</v>
      </c>
    </row>
    <row r="776" spans="1:8" ht="13.2">
      <c r="A776" s="157"/>
      <c r="B776" s="16" t="s">
        <v>1468</v>
      </c>
      <c r="C776" s="143">
        <f>VLOOKUP(B776,'Thống kê'!$C$3:$D$669,2,0)</f>
        <v>0</v>
      </c>
      <c r="D776" s="166">
        <f>VLOOKUP(B776,'Thống kê'!$C$3:$M$682,4,0)</f>
        <v>0</v>
      </c>
      <c r="E776" s="167">
        <v>1</v>
      </c>
      <c r="F776" s="168">
        <f t="shared" si="3"/>
        <v>0</v>
      </c>
      <c r="G776" s="144"/>
      <c r="H776" s="403">
        <v>165968</v>
      </c>
    </row>
    <row r="777" spans="1:8" ht="13.2">
      <c r="A777" s="157"/>
      <c r="B777" s="16" t="s">
        <v>1450</v>
      </c>
      <c r="C777" s="143">
        <f>VLOOKUP(B777,'Thống kê'!$C$3:$D$669,2,0)</f>
        <v>0</v>
      </c>
      <c r="D777" s="166">
        <f>VLOOKUP(B777,'Thống kê'!$C$3:$M$682,4,0)</f>
        <v>0</v>
      </c>
      <c r="E777" s="167">
        <v>1</v>
      </c>
      <c r="F777" s="168">
        <f t="shared" si="3"/>
        <v>0</v>
      </c>
      <c r="G777" s="144"/>
      <c r="H777" s="373"/>
    </row>
    <row r="778" spans="1:8" ht="13.2">
      <c r="A778" s="157"/>
      <c r="B778" s="16" t="s">
        <v>285</v>
      </c>
      <c r="C778" s="143" t="str">
        <f>VLOOKUP(B778,'Thống kê'!$C$3:$D$669,2,0)</f>
        <v>Móc khoá Labubu mini Popmart</v>
      </c>
      <c r="D778" s="166">
        <f>VLOOKUP(B778,'Thống kê'!$C$3:$M$682,4,0)</f>
        <v>0</v>
      </c>
      <c r="E778" s="167">
        <v>1</v>
      </c>
      <c r="F778" s="168">
        <f t="shared" si="3"/>
        <v>0</v>
      </c>
      <c r="G778" s="144"/>
      <c r="H778" s="403">
        <v>118244</v>
      </c>
    </row>
    <row r="779" spans="1:8" ht="13.2">
      <c r="A779" s="157"/>
      <c r="B779" s="16" t="s">
        <v>1697</v>
      </c>
      <c r="C779" s="143" t="str">
        <f>VLOOKUP(B779,'Thống kê'!$C$3:$D$669,2,0)</f>
        <v>heo</v>
      </c>
      <c r="D779" s="166">
        <f>VLOOKUP(B779,'Thống kê'!$C$3:$M$682,4,0)</f>
        <v>35000</v>
      </c>
      <c r="E779" s="167">
        <v>1</v>
      </c>
      <c r="F779" s="168">
        <f t="shared" si="3"/>
        <v>35000</v>
      </c>
      <c r="G779" s="144"/>
      <c r="H779" s="373"/>
    </row>
    <row r="780" spans="1:8" ht="13.2">
      <c r="A780" s="157"/>
      <c r="B780" s="16" t="s">
        <v>161</v>
      </c>
      <c r="C780" s="143" t="str">
        <f>VLOOKUP(B780,'Thống kê'!$C$3:$D$669,2,0)</f>
        <v>Dao rọc giấy 07</v>
      </c>
      <c r="D780" s="166">
        <f>VLOOKUP(B780,'Thống kê'!$C$3:$M$682,4,0)</f>
        <v>12000</v>
      </c>
      <c r="E780" s="167">
        <v>1</v>
      </c>
      <c r="F780" s="168">
        <f t="shared" si="3"/>
        <v>12000</v>
      </c>
      <c r="G780" s="144"/>
      <c r="H780" s="402">
        <v>86953</v>
      </c>
    </row>
    <row r="781" spans="1:8" ht="13.2">
      <c r="A781" s="157"/>
      <c r="B781" s="16" t="s">
        <v>1464</v>
      </c>
      <c r="C781" s="143">
        <f>VLOOKUP(B781,'Thống kê'!$C$3:$D$669,2,0)</f>
        <v>0</v>
      </c>
      <c r="D781" s="166">
        <f>VLOOKUP(B781,'Thống kê'!$C$3:$M$682,4,0)</f>
        <v>0</v>
      </c>
      <c r="E781" s="167">
        <v>1</v>
      </c>
      <c r="F781" s="168">
        <f t="shared" si="3"/>
        <v>0</v>
      </c>
      <c r="G781" s="144"/>
      <c r="H781" s="372"/>
    </row>
    <row r="782" spans="1:8" ht="13.2">
      <c r="A782" s="157"/>
      <c r="B782" s="16" t="s">
        <v>1382</v>
      </c>
      <c r="C782" s="143" t="str">
        <f>VLOOKUP(B782,'Thống kê'!$C$3:$D$669,2,0)</f>
        <v>miếng dán silicon điện thoại</v>
      </c>
      <c r="D782" s="166">
        <f>VLOOKUP(B782,'Thống kê'!$C$3:$M$682,4,0)</f>
        <v>0</v>
      </c>
      <c r="E782" s="167">
        <v>1</v>
      </c>
      <c r="F782" s="168">
        <f t="shared" si="3"/>
        <v>0</v>
      </c>
      <c r="G782" s="144"/>
      <c r="H782" s="372"/>
    </row>
    <row r="783" spans="1:8" ht="13.2">
      <c r="A783" s="157"/>
      <c r="B783" s="16" t="s">
        <v>183</v>
      </c>
      <c r="C783" s="143" t="str">
        <f>VLOOKUP(B783,'Thống kê'!$C$3:$D$669,2,0)</f>
        <v>Thỏ máy bay gắn xe</v>
      </c>
      <c r="D783" s="166">
        <f>VLOOKUP(B783,'Thống kê'!$C$3:$M$682,4,0)</f>
        <v>45000</v>
      </c>
      <c r="E783" s="167">
        <v>1</v>
      </c>
      <c r="F783" s="168">
        <f t="shared" si="3"/>
        <v>45000</v>
      </c>
      <c r="G783" s="144"/>
      <c r="H783" s="175">
        <v>36825</v>
      </c>
    </row>
    <row r="784" spans="1:8" ht="13.2">
      <c r="A784" s="157"/>
      <c r="B784" s="16" t="s">
        <v>1384</v>
      </c>
      <c r="C784" s="143" t="str">
        <f>VLOOKUP(B784,'Thống kê'!$C$3:$D$669,2,0)</f>
        <v>Móc khoá Crybaby mini Popmart</v>
      </c>
      <c r="D784" s="166">
        <f>VLOOKUP(B784,'Thống kê'!$C$3:$M$682,4,0)</f>
        <v>0</v>
      </c>
      <c r="E784" s="167">
        <v>1</v>
      </c>
      <c r="F784" s="168">
        <f t="shared" si="3"/>
        <v>0</v>
      </c>
      <c r="G784" s="144"/>
      <c r="H784" s="402">
        <v>82000</v>
      </c>
    </row>
    <row r="785" spans="1:8" ht="13.2">
      <c r="A785" s="157"/>
      <c r="B785" s="16" t="s">
        <v>1382</v>
      </c>
      <c r="C785" s="143" t="str">
        <f>VLOOKUP(B785,'Thống kê'!$C$3:$D$669,2,0)</f>
        <v>miếng dán silicon điện thoại</v>
      </c>
      <c r="D785" s="166">
        <f>VLOOKUP(B785,'Thống kê'!$C$3:$M$682,4,0)</f>
        <v>0</v>
      </c>
      <c r="E785" s="167">
        <v>1</v>
      </c>
      <c r="F785" s="168">
        <f t="shared" si="3"/>
        <v>0</v>
      </c>
      <c r="G785" s="144"/>
      <c r="H785" s="372"/>
    </row>
    <row r="786" spans="1:8" ht="13.2">
      <c r="A786" s="157"/>
      <c r="B786" s="16" t="s">
        <v>1587</v>
      </c>
      <c r="C786" s="143" t="str">
        <f>VLOOKUP(B786,'Thống kê'!$C$3:$D$669,2,0)</f>
        <v>Vịt ú bay</v>
      </c>
      <c r="D786" s="166">
        <f>VLOOKUP(B786,'Thống kê'!$C$3:$M$682,4,0)</f>
        <v>64500</v>
      </c>
      <c r="E786" s="167">
        <v>1</v>
      </c>
      <c r="F786" s="168">
        <f t="shared" si="3"/>
        <v>64500</v>
      </c>
      <c r="G786" s="144"/>
      <c r="H786" s="402">
        <v>164610</v>
      </c>
    </row>
    <row r="787" spans="1:8" ht="13.2">
      <c r="A787" s="157"/>
      <c r="B787" s="16" t="s">
        <v>1591</v>
      </c>
      <c r="C787" s="143" t="str">
        <f>VLOOKUP(B787,'Thống kê'!$C$3:$D$669,2,0)</f>
        <v>Thỏ ú</v>
      </c>
      <c r="D787" s="166">
        <f>VLOOKUP(B787,'Thống kê'!$C$3:$M$682,4,0)</f>
        <v>59500</v>
      </c>
      <c r="E787" s="167">
        <v>1</v>
      </c>
      <c r="F787" s="168">
        <f t="shared" si="3"/>
        <v>59500</v>
      </c>
      <c r="G787" s="144"/>
      <c r="H787" s="372"/>
    </row>
    <row r="788" spans="1:8" ht="13.2">
      <c r="A788" s="157"/>
      <c r="B788" s="16" t="s">
        <v>325</v>
      </c>
      <c r="C788" s="143" t="str">
        <f>VLOOKUP(B788,'Thống kê'!$C$3:$D$669,2,0)</f>
        <v>Gấu ú</v>
      </c>
      <c r="D788" s="166">
        <f>VLOOKUP(B788,'Thống kê'!$C$3:$M$682,4,0)</f>
        <v>59500</v>
      </c>
      <c r="E788" s="167">
        <v>1</v>
      </c>
      <c r="F788" s="168">
        <f t="shared" si="3"/>
        <v>59500</v>
      </c>
      <c r="G788" s="144"/>
      <c r="H788" s="372"/>
    </row>
    <row r="789" spans="1:8" ht="13.2">
      <c r="A789" s="157"/>
      <c r="B789" s="16" t="s">
        <v>1717</v>
      </c>
      <c r="C789" s="143" t="str">
        <f>VLOOKUP(B789,'Thống kê'!$C$3:$D$669,2,0)</f>
        <v>Pop Bean Baked Bread</v>
      </c>
      <c r="D789" s="166">
        <f>VLOOKUP(B789,'Thống kê'!$C$3:$M$682,4,0)</f>
        <v>167000</v>
      </c>
      <c r="E789" s="167">
        <v>1</v>
      </c>
      <c r="F789" s="168">
        <f t="shared" si="3"/>
        <v>167000</v>
      </c>
      <c r="G789" s="144"/>
      <c r="H789" s="402">
        <v>138610</v>
      </c>
    </row>
    <row r="790" spans="1:8" ht="13.2">
      <c r="A790" s="157"/>
      <c r="B790" s="16" t="s">
        <v>1382</v>
      </c>
      <c r="C790" s="143" t="str">
        <f>VLOOKUP(B790,'Thống kê'!$C$3:$D$669,2,0)</f>
        <v>miếng dán silicon điện thoại</v>
      </c>
      <c r="D790" s="166">
        <f>VLOOKUP(B790,'Thống kê'!$C$3:$M$682,4,0)</f>
        <v>0</v>
      </c>
      <c r="E790" s="167">
        <v>1</v>
      </c>
      <c r="F790" s="168">
        <f t="shared" si="3"/>
        <v>0</v>
      </c>
      <c r="G790" s="144"/>
      <c r="H790" s="373"/>
    </row>
    <row r="791" spans="1:8" ht="13.8">
      <c r="A791" s="157"/>
      <c r="B791" s="192" t="s">
        <v>234</v>
      </c>
      <c r="C791" s="143" t="str">
        <f>VLOOKUP(B791,'Thống kê'!$C$3:$D$669,2,0)</f>
        <v>Móc khoá skullpanda phiên bản mini</v>
      </c>
      <c r="D791" s="166">
        <f>VLOOKUP(B791,'Thống kê'!$C$3:$M$682,4,0)</f>
        <v>98000</v>
      </c>
      <c r="E791" s="167">
        <v>1</v>
      </c>
      <c r="F791" s="168">
        <f t="shared" si="3"/>
        <v>98000</v>
      </c>
      <c r="G791" s="144"/>
      <c r="H791" s="402">
        <v>80360</v>
      </c>
    </row>
    <row r="792" spans="1:8" ht="13.2">
      <c r="A792" s="157"/>
      <c r="B792" s="16" t="s">
        <v>1382</v>
      </c>
      <c r="C792" s="143" t="str">
        <f>VLOOKUP(B792,'Thống kê'!$C$3:$D$669,2,0)</f>
        <v>miếng dán silicon điện thoại</v>
      </c>
      <c r="D792" s="166">
        <f>VLOOKUP(B792,'Thống kê'!$C$3:$M$682,4,0)</f>
        <v>0</v>
      </c>
      <c r="E792" s="167">
        <v>1</v>
      </c>
      <c r="F792" s="168">
        <f t="shared" si="3"/>
        <v>0</v>
      </c>
      <c r="G792" s="144"/>
      <c r="H792" s="372"/>
    </row>
    <row r="793" spans="1:8" ht="13.2">
      <c r="A793" s="157">
        <v>45708</v>
      </c>
      <c r="B793" s="16" t="s">
        <v>234</v>
      </c>
      <c r="C793" s="143" t="str">
        <f>VLOOKUP(B793,'Thống kê'!$C$3:$D$669,2,0)</f>
        <v>Móc khoá skullpanda phiên bản mini</v>
      </c>
      <c r="D793" s="166">
        <f>VLOOKUP(B793,'Thống kê'!$C$3:$M$682,4,0)</f>
        <v>98000</v>
      </c>
      <c r="E793" s="167">
        <v>1</v>
      </c>
      <c r="F793" s="168">
        <f t="shared" si="3"/>
        <v>98000</v>
      </c>
      <c r="G793" s="144"/>
      <c r="H793" s="402">
        <v>80185</v>
      </c>
    </row>
    <row r="794" spans="1:8" ht="13.2">
      <c r="A794" s="157"/>
      <c r="B794" s="16" t="s">
        <v>1382</v>
      </c>
      <c r="C794" s="143" t="str">
        <f>VLOOKUP(B794,'Thống kê'!$C$3:$D$669,2,0)</f>
        <v>miếng dán silicon điện thoại</v>
      </c>
      <c r="D794" s="166">
        <f>VLOOKUP(B794,'Thống kê'!$C$3:$M$682,4,0)</f>
        <v>0</v>
      </c>
      <c r="E794" s="167">
        <v>1</v>
      </c>
      <c r="F794" s="168">
        <f t="shared" si="3"/>
        <v>0</v>
      </c>
      <c r="G794" s="144"/>
      <c r="H794" s="372"/>
    </row>
    <row r="795" spans="1:8" ht="13.2">
      <c r="A795" s="157"/>
      <c r="B795" s="16" t="s">
        <v>285</v>
      </c>
      <c r="C795" s="143" t="str">
        <f>VLOOKUP(B795,'Thống kê'!$C$3:$D$669,2,0)</f>
        <v>Móc khoá Labubu mini Popmart</v>
      </c>
      <c r="D795" s="166">
        <f>VLOOKUP(B795,'Thống kê'!$C$3:$M$682,4,0)</f>
        <v>0</v>
      </c>
      <c r="E795" s="167">
        <v>1</v>
      </c>
      <c r="F795" s="168">
        <f t="shared" si="3"/>
        <v>0</v>
      </c>
      <c r="G795" s="144"/>
      <c r="H795" s="402">
        <v>71165</v>
      </c>
    </row>
    <row r="796" spans="1:8" ht="13.2">
      <c r="A796" s="157"/>
      <c r="B796" s="16" t="s">
        <v>1382</v>
      </c>
      <c r="C796" s="143" t="str">
        <f>VLOOKUP(B796,'Thống kê'!$C$3:$D$669,2,0)</f>
        <v>miếng dán silicon điện thoại</v>
      </c>
      <c r="D796" s="166">
        <f>VLOOKUP(B796,'Thống kê'!$C$3:$M$682,4,0)</f>
        <v>0</v>
      </c>
      <c r="E796" s="167">
        <v>1</v>
      </c>
      <c r="F796" s="168">
        <f t="shared" si="3"/>
        <v>0</v>
      </c>
      <c r="G796" s="144"/>
      <c r="H796" s="372"/>
    </row>
    <row r="797" spans="1:8" ht="13.8">
      <c r="A797" s="157"/>
      <c r="B797" s="192" t="s">
        <v>1594</v>
      </c>
      <c r="C797" s="143" t="str">
        <f>VLOOKUP(B797,'Thống kê'!$C$3:$D$669,2,0)</f>
        <v>Móc khóa đôi heo</v>
      </c>
      <c r="D797" s="166">
        <f>VLOOKUP(B797,'Thống kê'!$C$3:$M$682,4,0)</f>
        <v>56580</v>
      </c>
      <c r="E797" s="167">
        <v>1</v>
      </c>
      <c r="F797" s="168">
        <f t="shared" si="3"/>
        <v>56580</v>
      </c>
      <c r="G797" s="144"/>
      <c r="H797" s="175">
        <v>50430</v>
      </c>
    </row>
    <row r="798" spans="1:8" ht="13.8">
      <c r="A798" s="157"/>
      <c r="B798" s="192" t="s">
        <v>1472</v>
      </c>
      <c r="C798" s="143">
        <f>VLOOKUP(B798,'Thống kê'!$C$3:$D$669,2,0)</f>
        <v>0</v>
      </c>
      <c r="D798" s="166">
        <f>VLOOKUP(B798,'Thống kê'!$C$3:$M$682,4,0)</f>
        <v>0</v>
      </c>
      <c r="E798" s="167">
        <v>1</v>
      </c>
      <c r="F798" s="168">
        <f t="shared" si="3"/>
        <v>0</v>
      </c>
      <c r="G798" s="144"/>
      <c r="H798" s="402">
        <v>145250</v>
      </c>
    </row>
    <row r="799" spans="1:8" ht="13.8">
      <c r="A799" s="157"/>
      <c r="B799" s="192" t="s">
        <v>1382</v>
      </c>
      <c r="C799" s="143" t="str">
        <f>VLOOKUP(B799,'Thống kê'!$C$3:$D$669,2,0)</f>
        <v>miếng dán silicon điện thoại</v>
      </c>
      <c r="D799" s="166">
        <f>VLOOKUP(B799,'Thống kê'!$C$3:$M$682,4,0)</f>
        <v>0</v>
      </c>
      <c r="E799" s="167">
        <v>1</v>
      </c>
      <c r="F799" s="168">
        <f t="shared" si="3"/>
        <v>0</v>
      </c>
      <c r="G799" s="144"/>
      <c r="H799" s="372"/>
    </row>
    <row r="800" spans="1:8" ht="13.2">
      <c r="A800" s="157"/>
      <c r="B800" s="16" t="s">
        <v>1384</v>
      </c>
      <c r="C800" s="143" t="str">
        <f>VLOOKUP(B800,'Thống kê'!$C$3:$D$669,2,0)</f>
        <v>Móc khoá Crybaby mini Popmart</v>
      </c>
      <c r="D800" s="166">
        <f>VLOOKUP(B800,'Thống kê'!$C$3:$M$682,4,0)</f>
        <v>0</v>
      </c>
      <c r="E800" s="167">
        <v>1</v>
      </c>
      <c r="F800" s="168">
        <f t="shared" si="3"/>
        <v>0</v>
      </c>
      <c r="G800" s="144"/>
      <c r="H800" s="402">
        <v>82000</v>
      </c>
    </row>
    <row r="801" spans="1:8" ht="13.2">
      <c r="A801" s="157"/>
      <c r="B801" s="16" t="s">
        <v>1382</v>
      </c>
      <c r="C801" s="143" t="str">
        <f>VLOOKUP(B801,'Thống kê'!$C$3:$D$669,2,0)</f>
        <v>miếng dán silicon điện thoại</v>
      </c>
      <c r="D801" s="166">
        <f>VLOOKUP(B801,'Thống kê'!$C$3:$M$682,4,0)</f>
        <v>0</v>
      </c>
      <c r="E801" s="167">
        <v>1</v>
      </c>
      <c r="F801" s="168">
        <f t="shared" si="3"/>
        <v>0</v>
      </c>
      <c r="G801" s="144"/>
      <c r="H801" s="372"/>
    </row>
    <row r="802" spans="1:8" ht="13.2">
      <c r="A802" s="157"/>
      <c r="B802" s="16" t="s">
        <v>128</v>
      </c>
      <c r="C802" s="143" t="str">
        <f>VLOOKUP(B802,'Thống kê'!$C$3:$D$669,2,0)</f>
        <v>Mèo ú bay</v>
      </c>
      <c r="D802" s="166">
        <f>VLOOKUP(B802,'Thống kê'!$C$3:$M$682,4,0)</f>
        <v>64500</v>
      </c>
      <c r="E802" s="167">
        <v>1</v>
      </c>
      <c r="F802" s="168">
        <f t="shared" si="3"/>
        <v>64500</v>
      </c>
      <c r="G802" s="144"/>
      <c r="H802" s="175">
        <v>64124</v>
      </c>
    </row>
    <row r="803" spans="1:8" ht="13.2">
      <c r="A803" s="157">
        <v>45709</v>
      </c>
      <c r="B803" s="16" t="s">
        <v>1697</v>
      </c>
      <c r="C803" s="143" t="str">
        <f>VLOOKUP(B803,'Thống kê'!$C$3:$D$669,2,0)</f>
        <v>heo</v>
      </c>
      <c r="D803" s="166">
        <f>VLOOKUP(B803,'Thống kê'!$C$3:$M$682,4,0)</f>
        <v>35000</v>
      </c>
      <c r="E803" s="167">
        <v>1</v>
      </c>
      <c r="F803" s="168">
        <f t="shared" si="3"/>
        <v>35000</v>
      </c>
      <c r="G803" s="144"/>
      <c r="H803" s="176">
        <v>25829</v>
      </c>
    </row>
    <row r="804" spans="1:8" ht="13.2">
      <c r="A804" s="157"/>
      <c r="B804" s="16" t="s">
        <v>1764</v>
      </c>
      <c r="C804" s="143">
        <f>VLOOKUP(B804,'Thống kê'!$C$3:$D$669,2,0)</f>
        <v>0</v>
      </c>
      <c r="D804" s="166">
        <f>VLOOKUP(B804,'Thống kê'!$C$3:$M$682,4,0)</f>
        <v>0</v>
      </c>
      <c r="E804" s="167">
        <v>1</v>
      </c>
      <c r="F804" s="168">
        <f t="shared" si="3"/>
        <v>0</v>
      </c>
      <c r="G804" s="144"/>
      <c r="H804" s="177">
        <v>70940</v>
      </c>
    </row>
    <row r="805" spans="1:8" ht="13.2">
      <c r="A805" s="157"/>
      <c r="B805" s="16" t="s">
        <v>1605</v>
      </c>
      <c r="C805" s="143" t="str">
        <f>VLOOKUP(B805,'Thống kê'!$C$3:$D$669,2,0)</f>
        <v>Thước dây xanh</v>
      </c>
      <c r="D805" s="166">
        <f>VLOOKUP(B805,'Thống kê'!$C$3:$M$682,4,0)</f>
        <v>9000</v>
      </c>
      <c r="E805" s="167">
        <v>1</v>
      </c>
      <c r="F805" s="168">
        <f t="shared" si="3"/>
        <v>9000</v>
      </c>
      <c r="G805" s="144"/>
      <c r="H805" s="403">
        <v>104468</v>
      </c>
    </row>
    <row r="806" spans="1:8" ht="13.2">
      <c r="A806" s="157"/>
      <c r="B806" s="16" t="s">
        <v>1812</v>
      </c>
      <c r="C806" s="143" t="e">
        <f>VLOOKUP(B806,'Thống kê'!$C$3:$D$669,2,0)</f>
        <v>#N/A</v>
      </c>
      <c r="D806" s="166" t="e">
        <f>VLOOKUP(B806,'Thống kê'!$C$3:$M$682,4,0)</f>
        <v>#N/A</v>
      </c>
      <c r="E806" s="167">
        <v>1</v>
      </c>
      <c r="F806" s="168" t="e">
        <f t="shared" si="3"/>
        <v>#N/A</v>
      </c>
      <c r="G806" s="144"/>
      <c r="H806" s="372"/>
    </row>
    <row r="807" spans="1:8" ht="13.2">
      <c r="A807" s="157"/>
      <c r="B807" s="16" t="s">
        <v>1386</v>
      </c>
      <c r="C807" s="143" t="str">
        <f>VLOOKUP(B807,'Thống kê'!$C$3:$D$669,2,0)</f>
        <v>Móc khoá Crybaby mini Popmart</v>
      </c>
      <c r="D807" s="166">
        <f>VLOOKUP(B807,'Thống kê'!$C$3:$M$682,4,0)</f>
        <v>0</v>
      </c>
      <c r="E807" s="167">
        <v>1</v>
      </c>
      <c r="F807" s="168">
        <f t="shared" si="3"/>
        <v>0</v>
      </c>
      <c r="G807" s="144"/>
      <c r="H807" s="372"/>
    </row>
    <row r="808" spans="1:8" ht="13.2">
      <c r="A808" s="157"/>
      <c r="B808" s="16" t="s">
        <v>1382</v>
      </c>
      <c r="C808" s="143" t="str">
        <f>VLOOKUP(B808,'Thống kê'!$C$3:$D$669,2,0)</f>
        <v>miếng dán silicon điện thoại</v>
      </c>
      <c r="D808" s="166">
        <f>VLOOKUP(B808,'Thống kê'!$C$3:$M$682,4,0)</f>
        <v>0</v>
      </c>
      <c r="E808" s="167">
        <v>1</v>
      </c>
      <c r="F808" s="168">
        <f t="shared" si="3"/>
        <v>0</v>
      </c>
      <c r="G808" s="144"/>
      <c r="H808" s="373"/>
    </row>
    <row r="809" spans="1:8" ht="13.2">
      <c r="A809" s="157"/>
      <c r="B809" s="16" t="s">
        <v>149</v>
      </c>
      <c r="C809" s="143" t="str">
        <f>VLOOKUP(B809,'Thống kê'!$C$3:$D$669,2,0)</f>
        <v>ếch</v>
      </c>
      <c r="D809" s="166">
        <f>VLOOKUP(B809,'Thống kê'!$C$3:$M$682,4,0)</f>
        <v>35000</v>
      </c>
      <c r="E809" s="167">
        <v>1</v>
      </c>
      <c r="F809" s="168">
        <f t="shared" si="3"/>
        <v>35000</v>
      </c>
      <c r="G809" s="144"/>
      <c r="H809" s="176">
        <v>25979</v>
      </c>
    </row>
    <row r="810" spans="1:8" ht="13.2">
      <c r="A810" s="157"/>
      <c r="B810" s="16" t="s">
        <v>196</v>
      </c>
      <c r="C810" s="143">
        <f>VLOOKUP(B810,'Thống kê'!$C$3:$D$669,2,0)</f>
        <v>0</v>
      </c>
      <c r="D810" s="166">
        <f>VLOOKUP(B810,'Thống kê'!$C$3:$M$682,4,0)</f>
        <v>0</v>
      </c>
      <c r="E810" s="167">
        <v>1</v>
      </c>
      <c r="F810" s="168">
        <f t="shared" si="3"/>
        <v>0</v>
      </c>
      <c r="G810" s="144"/>
      <c r="H810" s="177">
        <v>65605</v>
      </c>
    </row>
    <row r="811" spans="1:8" ht="13.2">
      <c r="A811" s="64"/>
      <c r="B811" s="16" t="s">
        <v>256</v>
      </c>
      <c r="C811" s="143">
        <f>VLOOKUP(B811,'Thống kê'!$C$3:$D$669,2,0)</f>
        <v>0</v>
      </c>
      <c r="D811" s="166">
        <f>VLOOKUP(B811,'Thống kê'!$C$3:$M$682,4,0)</f>
        <v>0</v>
      </c>
      <c r="E811" s="167">
        <v>1</v>
      </c>
      <c r="F811" s="168">
        <f t="shared" si="3"/>
        <v>0</v>
      </c>
      <c r="G811" s="144"/>
      <c r="H811" s="403">
        <v>319800</v>
      </c>
    </row>
    <row r="812" spans="1:8" ht="13.2">
      <c r="A812" s="157"/>
      <c r="B812" s="16" t="s">
        <v>1659</v>
      </c>
      <c r="C812" s="143" t="str">
        <f>VLOOKUP(B812,'Thống kê'!$C$3:$D$669,2,0)</f>
        <v>Móc khóa Popbean Molly</v>
      </c>
      <c r="D812" s="166">
        <f>VLOOKUP(B812,'Thống kê'!$C$3:$M$682,4,0)</f>
        <v>155000</v>
      </c>
      <c r="E812" s="167">
        <v>1</v>
      </c>
      <c r="F812" s="168">
        <f t="shared" si="3"/>
        <v>155000</v>
      </c>
      <c r="G812" s="144"/>
      <c r="H812" s="372"/>
    </row>
    <row r="813" spans="1:8" ht="13.2">
      <c r="A813" s="157"/>
      <c r="B813" s="16" t="s">
        <v>1365</v>
      </c>
      <c r="C813" s="143" t="str">
        <f>VLOOKUP(B813,'Thống kê'!$C$3:$D$669,2,0)</f>
        <v>Móc khóa Popbean</v>
      </c>
      <c r="D813" s="166">
        <f>VLOOKUP(B813,'Thống kê'!$C$3:$M$682,4,0)</f>
        <v>148000</v>
      </c>
      <c r="E813" s="167">
        <v>1</v>
      </c>
      <c r="F813" s="168">
        <f t="shared" si="3"/>
        <v>148000</v>
      </c>
      <c r="G813" s="144"/>
      <c r="H813" s="372"/>
    </row>
    <row r="814" spans="1:8" ht="13.2">
      <c r="A814" s="157"/>
      <c r="B814" s="16" t="s">
        <v>1382</v>
      </c>
      <c r="C814" s="143" t="str">
        <f>VLOOKUP(B814,'Thống kê'!$C$3:$D$669,2,0)</f>
        <v>miếng dán silicon điện thoại</v>
      </c>
      <c r="D814" s="166">
        <f>VLOOKUP(B814,'Thống kê'!$C$3:$M$682,4,0)</f>
        <v>0</v>
      </c>
      <c r="E814" s="167">
        <v>1</v>
      </c>
      <c r="F814" s="168">
        <f t="shared" si="3"/>
        <v>0</v>
      </c>
      <c r="G814" s="144"/>
      <c r="H814" s="373"/>
    </row>
    <row r="815" spans="1:8" ht="13.2">
      <c r="A815" s="157"/>
      <c r="B815" s="16" t="s">
        <v>115</v>
      </c>
      <c r="C815" s="143" t="str">
        <f>VLOOKUP(B815,'Thống kê'!$C$3:$D$669,2,0)</f>
        <v>Heo ú</v>
      </c>
      <c r="D815" s="166">
        <f>VLOOKUP(B815,'Thống kê'!$C$3:$M$682,4,0)</f>
        <v>59500</v>
      </c>
      <c r="E815" s="167">
        <v>1</v>
      </c>
      <c r="F815" s="168">
        <f t="shared" si="3"/>
        <v>59500</v>
      </c>
      <c r="G815" s="144"/>
      <c r="H815" s="403">
        <v>129952</v>
      </c>
    </row>
    <row r="816" spans="1:8" ht="13.2">
      <c r="A816" s="157"/>
      <c r="B816" s="16" t="s">
        <v>1813</v>
      </c>
      <c r="C816" s="143" t="str">
        <f>VLOOKUP(B816,'Thống kê'!$C$3:$D$669,2,0)</f>
        <v>Trâm cài 20</v>
      </c>
      <c r="D816" s="166">
        <f>VLOOKUP(B816,'Thống kê'!$C$3:$M$682,4,0)</f>
        <v>27416</v>
      </c>
      <c r="E816" s="167">
        <v>1</v>
      </c>
      <c r="F816" s="168">
        <f t="shared" si="3"/>
        <v>27416</v>
      </c>
      <c r="G816" s="144"/>
      <c r="H816" s="372"/>
    </row>
    <row r="817" spans="1:8" ht="13.2">
      <c r="A817" s="157"/>
      <c r="B817" s="16" t="s">
        <v>1351</v>
      </c>
      <c r="C817" s="143" t="str">
        <f>VLOOKUP(B817,'Thống kê'!$C$3:$D$669,2,0)</f>
        <v>Trang trí mô hình Heo</v>
      </c>
      <c r="D817" s="166">
        <f>VLOOKUP(B817,'Thống kê'!$C$3:$M$682,4,0)</f>
        <v>39000</v>
      </c>
      <c r="E817" s="167">
        <v>1</v>
      </c>
      <c r="F817" s="168">
        <f t="shared" si="3"/>
        <v>39000</v>
      </c>
      <c r="G817" s="144"/>
      <c r="H817" s="372"/>
    </row>
    <row r="818" spans="1:8" ht="13.2">
      <c r="A818" s="157"/>
      <c r="B818" s="16" t="s">
        <v>1697</v>
      </c>
      <c r="C818" s="143" t="str">
        <f>VLOOKUP(B818,'Thống kê'!$C$3:$D$669,2,0)</f>
        <v>heo</v>
      </c>
      <c r="D818" s="166">
        <f>VLOOKUP(B818,'Thống kê'!$C$3:$M$682,4,0)</f>
        <v>35000</v>
      </c>
      <c r="E818" s="167">
        <v>1</v>
      </c>
      <c r="F818" s="168">
        <f t="shared" si="3"/>
        <v>35000</v>
      </c>
      <c r="G818" s="144"/>
      <c r="H818" s="373"/>
    </row>
    <row r="819" spans="1:8" ht="13.2">
      <c r="A819" s="157"/>
      <c r="B819" s="16" t="s">
        <v>1388</v>
      </c>
      <c r="C819" s="143" t="str">
        <f>VLOOKUP(B819,'Thống kê'!$C$3:$D$669,2,0)</f>
        <v>Móc khoá Crybaby mini Popmart</v>
      </c>
      <c r="D819" s="166">
        <f>VLOOKUP(B819,'Thống kê'!$C$3:$M$682,4,0)</f>
        <v>0</v>
      </c>
      <c r="E819" s="167">
        <v>1</v>
      </c>
      <c r="F819" s="168">
        <f t="shared" si="3"/>
        <v>0</v>
      </c>
      <c r="G819" s="144"/>
      <c r="H819" s="402">
        <v>170424</v>
      </c>
    </row>
    <row r="820" spans="1:8" ht="13.2">
      <c r="A820" s="157"/>
      <c r="B820" s="16" t="s">
        <v>1480</v>
      </c>
      <c r="C820" s="143">
        <f>VLOOKUP(B820,'Thống kê'!$C$3:$D$669,2,0)</f>
        <v>0</v>
      </c>
      <c r="D820" s="166">
        <f>VLOOKUP(B820,'Thống kê'!$C$3:$M$682,4,0)</f>
        <v>0</v>
      </c>
      <c r="E820" s="167">
        <v>1</v>
      </c>
      <c r="F820" s="168">
        <f t="shared" ref="F820:F1074" si="4">D820*E820</f>
        <v>0</v>
      </c>
      <c r="G820" s="144"/>
      <c r="H820" s="372"/>
    </row>
    <row r="821" spans="1:8" ht="13.2">
      <c r="A821" s="157"/>
      <c r="B821" s="16" t="s">
        <v>196</v>
      </c>
      <c r="C821" s="143">
        <f>VLOOKUP(B821,'Thống kê'!$C$3:$D$669,2,0)</f>
        <v>0</v>
      </c>
      <c r="D821" s="166">
        <f>VLOOKUP(B821,'Thống kê'!$C$3:$M$682,4,0)</f>
        <v>0</v>
      </c>
      <c r="E821" s="167">
        <v>1</v>
      </c>
      <c r="F821" s="168">
        <f t="shared" si="4"/>
        <v>0</v>
      </c>
      <c r="G821" s="144"/>
      <c r="H821" s="402">
        <v>141040</v>
      </c>
    </row>
    <row r="822" spans="1:8" ht="13.2">
      <c r="A822" s="157"/>
      <c r="B822" s="16" t="s">
        <v>1514</v>
      </c>
      <c r="C822" s="143">
        <f>VLOOKUP(B822,'Thống kê'!$C$3:$D$669,2,0)</f>
        <v>0</v>
      </c>
      <c r="D822" s="166">
        <f>VLOOKUP(B822,'Thống kê'!$C$3:$M$682,4,0)</f>
        <v>0</v>
      </c>
      <c r="E822" s="167">
        <v>1</v>
      </c>
      <c r="F822" s="168">
        <f t="shared" si="4"/>
        <v>0</v>
      </c>
      <c r="G822" s="144"/>
      <c r="H822" s="372"/>
    </row>
    <row r="823" spans="1:8" ht="13.2">
      <c r="A823" s="157"/>
      <c r="B823" s="16" t="s">
        <v>1382</v>
      </c>
      <c r="C823" s="143" t="str">
        <f>VLOOKUP(B823,'Thống kê'!$C$3:$D$669,2,0)</f>
        <v>miếng dán silicon điện thoại</v>
      </c>
      <c r="D823" s="166">
        <f>VLOOKUP(B823,'Thống kê'!$C$3:$M$682,4,0)</f>
        <v>0</v>
      </c>
      <c r="E823" s="167">
        <v>1</v>
      </c>
      <c r="F823" s="168">
        <f t="shared" si="4"/>
        <v>0</v>
      </c>
      <c r="G823" s="144"/>
      <c r="H823" s="372"/>
    </row>
    <row r="824" spans="1:8" ht="13.2">
      <c r="A824" s="157"/>
      <c r="B824" s="16" t="s">
        <v>1764</v>
      </c>
      <c r="C824" s="143">
        <f>VLOOKUP(B824,'Thống kê'!$C$3:$D$669,2,0)</f>
        <v>0</v>
      </c>
      <c r="D824" s="166">
        <f>VLOOKUP(B824,'Thống kê'!$C$3:$M$682,4,0)</f>
        <v>0</v>
      </c>
      <c r="E824" s="167">
        <v>1</v>
      </c>
      <c r="F824" s="168">
        <f t="shared" si="4"/>
        <v>0</v>
      </c>
      <c r="G824" s="144"/>
      <c r="H824" s="402">
        <v>149240</v>
      </c>
    </row>
    <row r="825" spans="1:8" ht="13.2">
      <c r="A825" s="157"/>
      <c r="B825" s="16" t="s">
        <v>247</v>
      </c>
      <c r="C825" s="143">
        <f>VLOOKUP(B825,'Thống kê'!$C$3:$D$669,2,0)</f>
        <v>0</v>
      </c>
      <c r="D825" s="166">
        <f>VLOOKUP(B825,'Thống kê'!$C$3:$M$682,4,0)</f>
        <v>0</v>
      </c>
      <c r="E825" s="167">
        <v>1</v>
      </c>
      <c r="F825" s="168">
        <f t="shared" si="4"/>
        <v>0</v>
      </c>
      <c r="G825" s="144"/>
      <c r="H825" s="372"/>
    </row>
    <row r="826" spans="1:8" ht="13.2">
      <c r="A826" s="157"/>
      <c r="B826" s="16" t="s">
        <v>181</v>
      </c>
      <c r="C826" s="143" t="str">
        <f>VLOOKUP(B826,'Thống kê'!$C$3:$D$669,2,0)</f>
        <v>Thỏ mặt trăng gắn xe</v>
      </c>
      <c r="D826" s="166">
        <f>VLOOKUP(B826,'Thống kê'!$C$3:$M$682,4,0)</f>
        <v>45000</v>
      </c>
      <c r="E826" s="167">
        <v>1</v>
      </c>
      <c r="F826" s="168">
        <f t="shared" si="4"/>
        <v>45000</v>
      </c>
      <c r="G826" s="144"/>
      <c r="H826" s="402">
        <v>137763</v>
      </c>
    </row>
    <row r="827" spans="1:8" ht="13.2">
      <c r="A827" s="157"/>
      <c r="B827" s="16" t="s">
        <v>183</v>
      </c>
      <c r="C827" s="143" t="str">
        <f>VLOOKUP(B827,'Thống kê'!$C$3:$D$669,2,0)</f>
        <v>Thỏ máy bay gắn xe</v>
      </c>
      <c r="D827" s="166">
        <f>VLOOKUP(B827,'Thống kê'!$C$3:$M$682,4,0)</f>
        <v>45000</v>
      </c>
      <c r="E827" s="167">
        <v>1</v>
      </c>
      <c r="F827" s="168">
        <f t="shared" si="4"/>
        <v>45000</v>
      </c>
      <c r="G827" s="144"/>
      <c r="H827" s="372"/>
    </row>
    <row r="828" spans="1:8" ht="13.2">
      <c r="A828" s="157"/>
      <c r="B828" s="16" t="s">
        <v>145</v>
      </c>
      <c r="C828" s="143" t="str">
        <f>VLOOKUP(B828,'Thống kê'!$C$3:$D$669,2,0)</f>
        <v>Thỏ đi vịt gắn xe</v>
      </c>
      <c r="D828" s="166">
        <f>VLOOKUP(B828,'Thống kê'!$C$3:$M$682,4,0)</f>
        <v>45000</v>
      </c>
      <c r="E828" s="167">
        <v>1</v>
      </c>
      <c r="F828" s="168">
        <f t="shared" si="4"/>
        <v>45000</v>
      </c>
      <c r="G828" s="144"/>
      <c r="H828" s="372"/>
    </row>
    <row r="829" spans="1:8" ht="13.2">
      <c r="A829" s="157"/>
      <c r="B829" s="16" t="s">
        <v>119</v>
      </c>
      <c r="C829" s="143" t="str">
        <f>VLOOKUP(B829,'Thống kê'!$C$3:$D$669,2,0)</f>
        <v>Thỏ chạy xe gắn xe</v>
      </c>
      <c r="D829" s="166">
        <f>VLOOKUP(B829,'Thống kê'!$C$3:$M$682,4,0)</f>
        <v>45000</v>
      </c>
      <c r="E829" s="167">
        <v>1</v>
      </c>
      <c r="F829" s="168">
        <f t="shared" si="4"/>
        <v>45000</v>
      </c>
      <c r="G829" s="144"/>
      <c r="H829" s="372"/>
    </row>
    <row r="830" spans="1:8" ht="13.2">
      <c r="A830" s="157">
        <v>45711</v>
      </c>
      <c r="B830" s="16" t="s">
        <v>1382</v>
      </c>
      <c r="C830" s="143" t="str">
        <f>VLOOKUP(B830,'Thống kê'!$C$3:$D$669,2,0)</f>
        <v>miếng dán silicon điện thoại</v>
      </c>
      <c r="D830" s="166">
        <f>VLOOKUP(B830,'Thống kê'!$C$3:$M$682,4,0)</f>
        <v>0</v>
      </c>
      <c r="E830" s="167">
        <v>1</v>
      </c>
      <c r="F830" s="168">
        <f t="shared" si="4"/>
        <v>0</v>
      </c>
      <c r="G830" s="144"/>
      <c r="H830" s="402">
        <v>90284</v>
      </c>
    </row>
    <row r="831" spans="1:8" ht="13.2">
      <c r="A831" s="157"/>
      <c r="B831" s="16" t="s">
        <v>1514</v>
      </c>
      <c r="C831" s="143">
        <f>VLOOKUP(B831,'Thống kê'!$C$3:$D$669,2,0)</f>
        <v>0</v>
      </c>
      <c r="D831" s="166">
        <f>VLOOKUP(B831,'Thống kê'!$C$3:$M$682,4,0)</f>
        <v>0</v>
      </c>
      <c r="E831" s="167">
        <v>1</v>
      </c>
      <c r="F831" s="168">
        <f t="shared" si="4"/>
        <v>0</v>
      </c>
      <c r="G831" s="144"/>
      <c r="H831" s="372"/>
    </row>
    <row r="832" spans="1:8" ht="13.2">
      <c r="A832" s="157"/>
      <c r="B832" s="16" t="s">
        <v>1424</v>
      </c>
      <c r="C832" s="143" t="str">
        <f>VLOOKUP(B832,'Thống kê'!$C$3:$D$669,2,0)</f>
        <v>Móc khoá Crybaby mini Popmart</v>
      </c>
      <c r="D832" s="166">
        <f>VLOOKUP(B832,'Thống kê'!$C$3:$M$682,4,0)</f>
        <v>145000</v>
      </c>
      <c r="E832" s="167">
        <v>1</v>
      </c>
      <c r="F832" s="168">
        <f t="shared" si="4"/>
        <v>145000</v>
      </c>
      <c r="G832" s="144"/>
      <c r="H832" s="175">
        <v>74645</v>
      </c>
    </row>
    <row r="833" spans="1:8" ht="13.2">
      <c r="A833" s="157"/>
      <c r="B833" s="16" t="s">
        <v>1392</v>
      </c>
      <c r="C833" s="143" t="str">
        <f>VLOOKUP(B833,'Thống kê'!$C$3:$D$669,2,0)</f>
        <v>Móc khoá Labubu mini Popmart</v>
      </c>
      <c r="D833" s="166">
        <f>VLOOKUP(B833,'Thống kê'!$C$3:$M$682,4,0)</f>
        <v>0</v>
      </c>
      <c r="E833" s="167">
        <v>1</v>
      </c>
      <c r="F833" s="168">
        <f t="shared" si="4"/>
        <v>0</v>
      </c>
      <c r="G833" s="144"/>
      <c r="H833" s="175">
        <v>71265</v>
      </c>
    </row>
    <row r="834" spans="1:8" ht="13.2">
      <c r="A834" s="157"/>
      <c r="B834" s="16" t="s">
        <v>1687</v>
      </c>
      <c r="C834" s="143">
        <f>VLOOKUP(B834,'Thống kê'!$C$3:$D$669,2,0)</f>
        <v>0</v>
      </c>
      <c r="D834" s="166">
        <f>VLOOKUP(B834,'Thống kê'!$C$3:$M$682,4,0)</f>
        <v>0</v>
      </c>
      <c r="E834" s="167">
        <v>1</v>
      </c>
      <c r="F834" s="168">
        <f t="shared" si="4"/>
        <v>0</v>
      </c>
      <c r="G834" s="144"/>
      <c r="H834" s="175">
        <v>120540</v>
      </c>
    </row>
    <row r="835" spans="1:8" ht="13.2">
      <c r="A835" s="157"/>
      <c r="B835" s="16" t="s">
        <v>1403</v>
      </c>
      <c r="C835" s="143" t="str">
        <f>VLOOKUP(B835,'Thống kê'!$C$3:$D$669,2,0)</f>
        <v>Móc khoá Dimoo size mini (hàng remake) hồng</v>
      </c>
      <c r="D835" s="166">
        <f>VLOOKUP(B835,'Thống kê'!$C$3:$M$682,4,0)</f>
        <v>0</v>
      </c>
      <c r="E835" s="167">
        <v>1</v>
      </c>
      <c r="F835" s="168">
        <f t="shared" si="4"/>
        <v>0</v>
      </c>
      <c r="G835" s="144"/>
      <c r="H835" s="402">
        <v>160687</v>
      </c>
    </row>
    <row r="836" spans="1:8" ht="13.2">
      <c r="A836" s="157"/>
      <c r="B836" s="16" t="s">
        <v>1779</v>
      </c>
      <c r="C836" s="143">
        <f>VLOOKUP(B836,'Thống kê'!$C$3:$D$669,2,0)</f>
        <v>0</v>
      </c>
      <c r="D836" s="166">
        <f>VLOOKUP(B836,'Thống kê'!$C$3:$M$682,4,0)</f>
        <v>0</v>
      </c>
      <c r="E836" s="167">
        <v>1</v>
      </c>
      <c r="F836" s="168">
        <f t="shared" si="4"/>
        <v>0</v>
      </c>
      <c r="G836" s="144"/>
      <c r="H836" s="372"/>
    </row>
    <row r="837" spans="1:8" ht="13.2">
      <c r="A837" s="157"/>
      <c r="B837" s="16" t="s">
        <v>1814</v>
      </c>
      <c r="C837" s="143" t="str">
        <f>VLOOKUP(B837,'Thống kê'!$C$3:$D$669,2,0)</f>
        <v>Móc Khoá Capybara thổi bong bóng</v>
      </c>
      <c r="D837" s="166">
        <f>VLOOKUP(B837,'Thống kê'!$C$3:$M$682,4,0)</f>
        <v>0</v>
      </c>
      <c r="E837" s="167">
        <v>1</v>
      </c>
      <c r="F837" s="168">
        <f t="shared" si="4"/>
        <v>0</v>
      </c>
      <c r="G837" s="144"/>
      <c r="H837" s="402">
        <v>182565</v>
      </c>
    </row>
    <row r="838" spans="1:8" ht="13.2">
      <c r="A838" s="157"/>
      <c r="B838" s="16" t="s">
        <v>1387</v>
      </c>
      <c r="C838" s="143" t="str">
        <f>VLOOKUP(B838,'Thống kê'!$C$3:$D$669,2,0)</f>
        <v>Móc khoá Crybaby mini Popmart</v>
      </c>
      <c r="D838" s="166">
        <f>VLOOKUP(B838,'Thống kê'!$C$3:$M$682,4,0)</f>
        <v>0</v>
      </c>
      <c r="E838" s="167">
        <v>1</v>
      </c>
      <c r="F838" s="168">
        <f t="shared" si="4"/>
        <v>0</v>
      </c>
      <c r="G838" s="144"/>
      <c r="H838" s="372"/>
    </row>
    <row r="839" spans="1:8" ht="13.2">
      <c r="A839" s="157"/>
      <c r="B839" s="16" t="s">
        <v>138</v>
      </c>
      <c r="C839" s="143" t="str">
        <f>VLOOKUP(B839,'Thống kê'!$C$3:$D$669,2,0)</f>
        <v>Móc khoá Crybaby mini Popmart</v>
      </c>
      <c r="D839" s="166">
        <f>VLOOKUP(B839,'Thống kê'!$C$3:$M$682,4,0)</f>
        <v>0</v>
      </c>
      <c r="E839" s="167">
        <v>1</v>
      </c>
      <c r="F839" s="168">
        <f t="shared" si="4"/>
        <v>0</v>
      </c>
      <c r="G839" s="144"/>
      <c r="H839" s="372"/>
    </row>
    <row r="840" spans="1:8" ht="13.2">
      <c r="A840" s="157"/>
      <c r="B840" s="16" t="s">
        <v>1790</v>
      </c>
      <c r="C840" s="143" t="str">
        <f>VLOOKUP(B840,'Thống kê'!$C$3:$D$669,2,0)</f>
        <v>Hộp thuốc nơ hồng</v>
      </c>
      <c r="D840" s="166">
        <f>VLOOKUP(B840,'Thống kê'!$C$3:$M$682,4,0)</f>
        <v>11000</v>
      </c>
      <c r="E840" s="167">
        <v>1</v>
      </c>
      <c r="F840" s="168">
        <f t="shared" si="4"/>
        <v>11000</v>
      </c>
      <c r="G840" s="144"/>
      <c r="H840" s="402">
        <v>80716</v>
      </c>
    </row>
    <row r="841" spans="1:8" ht="13.2">
      <c r="A841" s="157"/>
      <c r="B841" s="16" t="s">
        <v>1815</v>
      </c>
      <c r="C841" s="143" t="str">
        <f>VLOOKUP(B841,'Thống kê'!$C$3:$D$669,2,0)</f>
        <v>Hộp thuốc nơ tím</v>
      </c>
      <c r="D841" s="166">
        <f>VLOOKUP(B841,'Thống kê'!$C$3:$M$682,4,0)</f>
        <v>11000</v>
      </c>
      <c r="E841" s="167">
        <v>1</v>
      </c>
      <c r="F841" s="168">
        <f t="shared" si="4"/>
        <v>11000</v>
      </c>
      <c r="G841" s="144"/>
      <c r="H841" s="372"/>
    </row>
    <row r="842" spans="1:8" ht="13.2">
      <c r="A842" s="157"/>
      <c r="B842" s="16" t="s">
        <v>116</v>
      </c>
      <c r="C842" s="143" t="str">
        <f>VLOOKUP(B842,'Thống kê'!$C$3:$D$669,2,0)</f>
        <v>heo ú cầm hoa</v>
      </c>
      <c r="D842" s="166">
        <f>VLOOKUP(B842,'Thống kê'!$C$3:$M$682,4,0)</f>
        <v>64500</v>
      </c>
      <c r="E842" s="167">
        <v>1</v>
      </c>
      <c r="F842" s="168">
        <f t="shared" si="4"/>
        <v>64500</v>
      </c>
      <c r="G842" s="144"/>
      <c r="H842" s="372"/>
    </row>
    <row r="843" spans="1:8" ht="13.2">
      <c r="A843" s="157"/>
      <c r="B843" s="16" t="s">
        <v>168</v>
      </c>
      <c r="C843" s="143" t="str">
        <f>VLOOKUP(B843,'Thống kê'!$C$3:$D$669,2,0)</f>
        <v>Thiệp</v>
      </c>
      <c r="D843" s="166">
        <f>VLOOKUP(B843,'Thống kê'!$C$3:$M$682,4,0)</f>
        <v>0</v>
      </c>
      <c r="E843" s="167">
        <v>1</v>
      </c>
      <c r="F843" s="168">
        <f t="shared" si="4"/>
        <v>0</v>
      </c>
      <c r="G843" s="144"/>
      <c r="H843" s="372"/>
    </row>
    <row r="844" spans="1:8" ht="13.2">
      <c r="A844" s="157"/>
      <c r="B844" s="16" t="s">
        <v>207</v>
      </c>
      <c r="C844" s="143" t="str">
        <f>VLOOKUP(B844,'Thống kê'!$C$3:$D$669,2,0)</f>
        <v>Thiệp</v>
      </c>
      <c r="D844" s="166">
        <f>VLOOKUP(B844,'Thống kê'!$C$3:$M$682,4,0)</f>
        <v>0</v>
      </c>
      <c r="E844" s="167">
        <v>1</v>
      </c>
      <c r="F844" s="168">
        <f t="shared" si="4"/>
        <v>0</v>
      </c>
      <c r="G844" s="144"/>
      <c r="H844" s="372"/>
    </row>
    <row r="845" spans="1:8" ht="13.2">
      <c r="A845" s="157"/>
      <c r="B845" s="16" t="s">
        <v>1602</v>
      </c>
      <c r="C845" s="143" t="str">
        <f>VLOOKUP(B845,'Thống kê'!$C$3:$D$669,2,0)</f>
        <v>Thước dây hồng đất</v>
      </c>
      <c r="D845" s="166">
        <f>VLOOKUP(B845,'Thống kê'!$C$3:$M$682,4,0)</f>
        <v>9000</v>
      </c>
      <c r="E845" s="167">
        <v>1</v>
      </c>
      <c r="F845" s="168">
        <f t="shared" si="4"/>
        <v>9000</v>
      </c>
      <c r="G845" s="144"/>
      <c r="H845" s="402">
        <v>85280</v>
      </c>
    </row>
    <row r="846" spans="1:8" ht="13.2">
      <c r="A846" s="157"/>
      <c r="B846" s="16" t="s">
        <v>1384</v>
      </c>
      <c r="C846" s="143" t="str">
        <f>VLOOKUP(B846,'Thống kê'!$C$3:$D$669,2,0)</f>
        <v>Móc khoá Crybaby mini Popmart</v>
      </c>
      <c r="D846" s="166">
        <f>VLOOKUP(B846,'Thống kê'!$C$3:$M$682,4,0)</f>
        <v>0</v>
      </c>
      <c r="E846" s="167">
        <v>1</v>
      </c>
      <c r="F846" s="168">
        <f t="shared" si="4"/>
        <v>0</v>
      </c>
      <c r="G846" s="144"/>
      <c r="H846" s="373"/>
    </row>
    <row r="847" spans="1:8" ht="13.2">
      <c r="A847" s="157"/>
      <c r="B847" s="28" t="s">
        <v>234</v>
      </c>
      <c r="C847" s="143" t="str">
        <f>VLOOKUP(B847,'Thống kê'!$C$3:$D$669,2,0)</f>
        <v>Móc khoá skullpanda phiên bản mini</v>
      </c>
      <c r="D847" s="166">
        <f>VLOOKUP(B847,'Thống kê'!$C$3:$M$682,4,0)</f>
        <v>98000</v>
      </c>
      <c r="E847" s="167">
        <v>1</v>
      </c>
      <c r="F847" s="168">
        <f t="shared" si="4"/>
        <v>98000</v>
      </c>
      <c r="G847" s="144"/>
      <c r="H847" s="178">
        <v>80285</v>
      </c>
    </row>
    <row r="848" spans="1:8" ht="13.2">
      <c r="A848" s="157"/>
      <c r="B848" s="16" t="s">
        <v>325</v>
      </c>
      <c r="C848" s="143" t="str">
        <f>VLOOKUP(B848,'Thống kê'!$C$3:$D$669,2,0)</f>
        <v>Gấu ú</v>
      </c>
      <c r="D848" s="166">
        <f>VLOOKUP(B848,'Thống kê'!$C$3:$M$682,4,0)</f>
        <v>59500</v>
      </c>
      <c r="E848" s="167">
        <v>1</v>
      </c>
      <c r="F848" s="168">
        <f t="shared" si="4"/>
        <v>59500</v>
      </c>
      <c r="G848" s="144"/>
      <c r="H848" s="402">
        <v>135006</v>
      </c>
    </row>
    <row r="849" spans="1:8" ht="13.2">
      <c r="A849" s="157"/>
      <c r="B849" s="16" t="s">
        <v>150</v>
      </c>
      <c r="C849" s="143" t="str">
        <f>VLOOKUP(B849,'Thống kê'!$C$3:$D$669,2,0)</f>
        <v>Móc khóa có chuông</v>
      </c>
      <c r="D849" s="166">
        <f>VLOOKUP(B849,'Thống kê'!$C$3:$M$682,4,0)</f>
        <v>59000</v>
      </c>
      <c r="E849" s="167">
        <v>1</v>
      </c>
      <c r="F849" s="168">
        <f t="shared" si="4"/>
        <v>59000</v>
      </c>
      <c r="G849" s="144"/>
      <c r="H849" s="372"/>
    </row>
    <row r="850" spans="1:8" ht="13.2">
      <c r="A850" s="157"/>
      <c r="B850" s="16" t="s">
        <v>1353</v>
      </c>
      <c r="C850" s="143" t="str">
        <f>VLOOKUP(B850,'Thống kê'!$C$3:$D$669,2,0)</f>
        <v>Trang trí mô hình Vịt</v>
      </c>
      <c r="D850" s="166">
        <f>VLOOKUP(B850,'Thống kê'!$C$3:$M$682,4,0)</f>
        <v>39000</v>
      </c>
      <c r="E850" s="167">
        <v>1</v>
      </c>
      <c r="F850" s="168">
        <f t="shared" si="4"/>
        <v>39000</v>
      </c>
      <c r="G850" s="144"/>
      <c r="H850" s="372"/>
    </row>
    <row r="851" spans="1:8" ht="13.2">
      <c r="A851" s="157"/>
      <c r="B851" s="16" t="s">
        <v>234</v>
      </c>
      <c r="C851" s="143" t="str">
        <f>VLOOKUP(B851,'Thống kê'!$C$3:$D$669,2,0)</f>
        <v>Móc khoá skullpanda phiên bản mini</v>
      </c>
      <c r="D851" s="166">
        <f>VLOOKUP(B851,'Thống kê'!$C$3:$M$682,4,0)</f>
        <v>98000</v>
      </c>
      <c r="E851" s="167">
        <v>1</v>
      </c>
      <c r="F851" s="168">
        <f t="shared" si="4"/>
        <v>98000</v>
      </c>
      <c r="G851" s="144"/>
      <c r="H851" s="402">
        <v>221794</v>
      </c>
    </row>
    <row r="852" spans="1:8" ht="13.2">
      <c r="A852" s="157"/>
      <c r="B852" s="16" t="s">
        <v>1387</v>
      </c>
      <c r="C852" s="143" t="str">
        <f>VLOOKUP(B852,'Thống kê'!$C$3:$D$669,2,0)</f>
        <v>Móc khoá Crybaby mini Popmart</v>
      </c>
      <c r="D852" s="166">
        <f>VLOOKUP(B852,'Thống kê'!$C$3:$M$682,4,0)</f>
        <v>0</v>
      </c>
      <c r="E852" s="167">
        <v>1</v>
      </c>
      <c r="F852" s="168">
        <f t="shared" si="4"/>
        <v>0</v>
      </c>
      <c r="G852" s="144"/>
      <c r="H852" s="372"/>
    </row>
    <row r="853" spans="1:8" ht="13.2">
      <c r="A853" s="157"/>
      <c r="B853" s="16" t="s">
        <v>196</v>
      </c>
      <c r="C853" s="143">
        <f>VLOOKUP(B853,'Thống kê'!$C$3:$D$669,2,0)</f>
        <v>0</v>
      </c>
      <c r="D853" s="166">
        <f>VLOOKUP(B853,'Thống kê'!$C$3:$M$682,4,0)</f>
        <v>0</v>
      </c>
      <c r="E853" s="167">
        <v>1</v>
      </c>
      <c r="F853" s="168">
        <f t="shared" si="4"/>
        <v>0</v>
      </c>
      <c r="G853" s="144"/>
      <c r="H853" s="372"/>
    </row>
    <row r="854" spans="1:8" ht="13.2">
      <c r="A854" s="157"/>
      <c r="B854" s="16" t="s">
        <v>1384</v>
      </c>
      <c r="C854" s="143" t="str">
        <f>VLOOKUP(B854,'Thống kê'!$C$3:$D$669,2,0)</f>
        <v>Móc khoá Crybaby mini Popmart</v>
      </c>
      <c r="D854" s="166">
        <f>VLOOKUP(B854,'Thống kê'!$C$3:$M$682,4,0)</f>
        <v>0</v>
      </c>
      <c r="E854" s="167">
        <v>1</v>
      </c>
      <c r="F854" s="168">
        <f t="shared" si="4"/>
        <v>0</v>
      </c>
      <c r="G854" s="144"/>
      <c r="H854" s="402">
        <v>155031</v>
      </c>
    </row>
    <row r="855" spans="1:8" ht="13.2">
      <c r="A855" s="157"/>
      <c r="B855" s="16" t="s">
        <v>1425</v>
      </c>
      <c r="C855" s="143" t="str">
        <f>VLOOKUP(B855,'Thống kê'!$C$3:$D$669,2,0)</f>
        <v>Móc khoá Crybaby mini Popmart</v>
      </c>
      <c r="D855" s="166">
        <f>VLOOKUP(B855,'Thống kê'!$C$3:$M$682,4,0)</f>
        <v>145000</v>
      </c>
      <c r="E855" s="167">
        <v>1</v>
      </c>
      <c r="F855" s="168">
        <f t="shared" si="4"/>
        <v>145000</v>
      </c>
      <c r="G855" s="144"/>
      <c r="H855" s="372"/>
    </row>
    <row r="856" spans="1:8" ht="13.2">
      <c r="A856" s="157"/>
      <c r="B856" s="16" t="s">
        <v>1603</v>
      </c>
      <c r="C856" s="143" t="str">
        <f>VLOOKUP(B856,'Thống kê'!$C$3:$D$669,2,0)</f>
        <v>Thước dây hồng phấn</v>
      </c>
      <c r="D856" s="166">
        <f>VLOOKUP(B856,'Thống kê'!$C$3:$M$682,4,0)</f>
        <v>9000</v>
      </c>
      <c r="E856" s="167">
        <v>1</v>
      </c>
      <c r="F856" s="168">
        <f t="shared" si="4"/>
        <v>9000</v>
      </c>
      <c r="G856" s="144"/>
      <c r="H856" s="402">
        <v>85130</v>
      </c>
    </row>
    <row r="857" spans="1:8" ht="13.2">
      <c r="A857" s="157"/>
      <c r="B857" s="16" t="s">
        <v>1387</v>
      </c>
      <c r="C857" s="143" t="str">
        <f>VLOOKUP(B857,'Thống kê'!$C$3:$D$669,2,0)</f>
        <v>Móc khoá Crybaby mini Popmart</v>
      </c>
      <c r="D857" s="166">
        <f>VLOOKUP(B857,'Thống kê'!$C$3:$M$682,4,0)</f>
        <v>0</v>
      </c>
      <c r="E857" s="167">
        <v>1</v>
      </c>
      <c r="F857" s="168">
        <f t="shared" si="4"/>
        <v>0</v>
      </c>
      <c r="G857" s="144"/>
      <c r="H857" s="372"/>
    </row>
    <row r="858" spans="1:8" ht="13.2">
      <c r="A858" s="157"/>
      <c r="B858" s="16" t="s">
        <v>1389</v>
      </c>
      <c r="C858" s="143" t="str">
        <f>VLOOKUP(B858,'Thống kê'!$C$3:$D$669,2,0)</f>
        <v>Móc khoá Crybaby mini Popmart</v>
      </c>
      <c r="D858" s="166">
        <f>VLOOKUP(B858,'Thống kê'!$C$3:$M$682,4,0)</f>
        <v>0</v>
      </c>
      <c r="E858" s="167">
        <v>1</v>
      </c>
      <c r="F858" s="168">
        <f t="shared" si="4"/>
        <v>0</v>
      </c>
      <c r="G858" s="144"/>
      <c r="H858" s="175">
        <v>77075</v>
      </c>
    </row>
    <row r="859" spans="1:8" ht="13.2">
      <c r="A859" s="157"/>
      <c r="B859" s="16" t="s">
        <v>1384</v>
      </c>
      <c r="C859" s="143" t="str">
        <f>VLOOKUP(B859,'Thống kê'!$C$3:$D$669,2,0)</f>
        <v>Móc khoá Crybaby mini Popmart</v>
      </c>
      <c r="D859" s="166">
        <f>VLOOKUP(B859,'Thống kê'!$C$3:$M$682,4,0)</f>
        <v>0</v>
      </c>
      <c r="E859" s="167">
        <v>1</v>
      </c>
      <c r="F859" s="168">
        <f t="shared" si="4"/>
        <v>0</v>
      </c>
      <c r="G859" s="144"/>
      <c r="H859" s="402">
        <v>139400</v>
      </c>
    </row>
    <row r="860" spans="1:8" ht="13.2">
      <c r="A860" s="157"/>
      <c r="B860" s="16" t="s">
        <v>1516</v>
      </c>
      <c r="C860" s="143" t="e">
        <f>VLOOKUP(B860,'Thống kê'!$C$3:$D$669,2,0)</f>
        <v>#N/A</v>
      </c>
      <c r="D860" s="166">
        <f>VLOOKUP(B860,'Thống kê'!$C$3:$M$682,4,0)</f>
        <v>0</v>
      </c>
      <c r="E860" s="167">
        <v>1</v>
      </c>
      <c r="F860" s="168">
        <f t="shared" si="4"/>
        <v>0</v>
      </c>
      <c r="G860" s="144"/>
      <c r="H860" s="372"/>
    </row>
    <row r="861" spans="1:8" ht="13.2">
      <c r="A861" s="157"/>
      <c r="B861" s="16" t="s">
        <v>1345</v>
      </c>
      <c r="C861" s="143" t="str">
        <f>VLOOKUP(B861,'Thống kê'!$C$3:$D$669,2,0)</f>
        <v>Móc khóa chuối</v>
      </c>
      <c r="D861" s="166">
        <f>VLOOKUP(B861,'Thống kê'!$C$3:$M$682,4,0)</f>
        <v>148000</v>
      </c>
      <c r="E861" s="167">
        <v>1</v>
      </c>
      <c r="F861" s="168">
        <f t="shared" si="4"/>
        <v>148000</v>
      </c>
      <c r="G861" s="144"/>
      <c r="H861" s="402">
        <v>412633</v>
      </c>
    </row>
    <row r="862" spans="1:8" ht="13.2">
      <c r="A862" s="157"/>
      <c r="B862" s="16" t="s">
        <v>1340</v>
      </c>
      <c r="C862" s="143" t="str">
        <f>VLOOKUP(B862,'Thống kê'!$C$3:$D$669,2,0)</f>
        <v>Móc khóa chuối</v>
      </c>
      <c r="D862" s="166">
        <f>VLOOKUP(B862,'Thống kê'!$C$3:$M$682,4,0)</f>
        <v>148000</v>
      </c>
      <c r="E862" s="167">
        <v>1</v>
      </c>
      <c r="F862" s="168">
        <f t="shared" si="4"/>
        <v>148000</v>
      </c>
      <c r="G862" s="144"/>
      <c r="H862" s="372"/>
    </row>
    <row r="863" spans="1:8" ht="13.2">
      <c r="A863" s="157"/>
      <c r="B863" s="16" t="s">
        <v>1382</v>
      </c>
      <c r="C863" s="143" t="str">
        <f>VLOOKUP(B863,'Thống kê'!$C$3:$D$669,2,0)</f>
        <v>miếng dán silicon điện thoại</v>
      </c>
      <c r="D863" s="166">
        <f>VLOOKUP(B863,'Thống kê'!$C$3:$M$682,4,0)</f>
        <v>0</v>
      </c>
      <c r="E863" s="167">
        <v>1</v>
      </c>
      <c r="F863" s="168">
        <f t="shared" si="4"/>
        <v>0</v>
      </c>
      <c r="G863" s="144"/>
      <c r="H863" s="372"/>
    </row>
    <row r="864" spans="1:8" ht="13.2">
      <c r="A864" s="157"/>
      <c r="B864" s="16" t="s">
        <v>234</v>
      </c>
      <c r="C864" s="143" t="str">
        <f>VLOOKUP(B864,'Thống kê'!$C$3:$D$669,2,0)</f>
        <v>Móc khoá skullpanda phiên bản mini</v>
      </c>
      <c r="D864" s="166">
        <f>VLOOKUP(B864,'Thống kê'!$C$3:$M$682,4,0)</f>
        <v>98000</v>
      </c>
      <c r="E864" s="167">
        <v>1</v>
      </c>
      <c r="F864" s="168">
        <f t="shared" si="4"/>
        <v>98000</v>
      </c>
      <c r="G864" s="144"/>
      <c r="H864" s="372"/>
    </row>
    <row r="865" spans="1:8" ht="13.2">
      <c r="A865" s="157"/>
      <c r="B865" s="16" t="s">
        <v>1468</v>
      </c>
      <c r="C865" s="143">
        <f>VLOOKUP(B865,'Thống kê'!$C$3:$D$669,2,0)</f>
        <v>0</v>
      </c>
      <c r="D865" s="166">
        <f>VLOOKUP(B865,'Thống kê'!$C$3:$M$682,4,0)</f>
        <v>0</v>
      </c>
      <c r="E865" s="167">
        <v>1</v>
      </c>
      <c r="F865" s="168">
        <f t="shared" si="4"/>
        <v>0</v>
      </c>
      <c r="G865" s="144"/>
      <c r="H865" s="372"/>
    </row>
    <row r="866" spans="1:8" ht="13.2">
      <c r="A866" s="157"/>
      <c r="B866" s="16" t="s">
        <v>1519</v>
      </c>
      <c r="C866" s="143" t="e">
        <f>VLOOKUP(B866,'Thống kê'!$C$3:$D$669,2,0)</f>
        <v>#N/A</v>
      </c>
      <c r="D866" s="166">
        <f>VLOOKUP(B866,'Thống kê'!$C$3:$M$682,4,0)</f>
        <v>0</v>
      </c>
      <c r="E866" s="167">
        <v>1</v>
      </c>
      <c r="F866" s="168">
        <f t="shared" si="4"/>
        <v>0</v>
      </c>
      <c r="G866" s="144"/>
      <c r="H866" s="372"/>
    </row>
    <row r="867" spans="1:8" ht="13.2">
      <c r="A867" s="157"/>
      <c r="B867" s="16" t="s">
        <v>96</v>
      </c>
      <c r="C867" s="143" t="e">
        <f>VLOOKUP(B867,'Thống kê'!$C$3:$D$669,2,0)</f>
        <v>#N/A</v>
      </c>
      <c r="D867" s="166">
        <f>VLOOKUP(B867,'Thống kê'!$C$3:$M$682,4,0)</f>
        <v>0</v>
      </c>
      <c r="E867" s="167">
        <v>1</v>
      </c>
      <c r="F867" s="168">
        <f t="shared" si="4"/>
        <v>0</v>
      </c>
      <c r="G867" s="144"/>
      <c r="H867" s="372"/>
    </row>
    <row r="868" spans="1:8" ht="13.2">
      <c r="A868" s="157"/>
      <c r="B868" s="16" t="s">
        <v>207</v>
      </c>
      <c r="C868" s="143" t="str">
        <f>VLOOKUP(B868,'Thống kê'!$C$3:$D$669,2,0)</f>
        <v>Thiệp</v>
      </c>
      <c r="D868" s="166">
        <f>VLOOKUP(B868,'Thống kê'!$C$3:$M$682,4,0)</f>
        <v>0</v>
      </c>
      <c r="E868" s="167">
        <v>1</v>
      </c>
      <c r="F868" s="168">
        <f t="shared" si="4"/>
        <v>0</v>
      </c>
      <c r="G868" s="144"/>
      <c r="H868" s="402">
        <v>62320</v>
      </c>
    </row>
    <row r="869" spans="1:8" ht="13.2">
      <c r="A869" s="157"/>
      <c r="B869" s="16" t="s">
        <v>210</v>
      </c>
      <c r="C869" s="143">
        <f>VLOOKUP(B869,'Thống kê'!$C$3:$D$669,2,0)</f>
        <v>0</v>
      </c>
      <c r="D869" s="166">
        <f>VLOOKUP(B869,'Thống kê'!$C$3:$M$682,4,0)</f>
        <v>0</v>
      </c>
      <c r="E869" s="167">
        <v>1</v>
      </c>
      <c r="F869" s="168">
        <f t="shared" si="4"/>
        <v>0</v>
      </c>
      <c r="G869" s="144"/>
      <c r="H869" s="372"/>
    </row>
    <row r="870" spans="1:8" ht="13.2">
      <c r="A870" s="157"/>
      <c r="B870" s="16" t="s">
        <v>77</v>
      </c>
      <c r="C870" s="143">
        <f>VLOOKUP(B870,'Thống kê'!$C$3:$D$669,2,0)</f>
        <v>0</v>
      </c>
      <c r="D870" s="166">
        <f>VLOOKUP(B870,'Thống kê'!$C$3:$M$682,4,0)</f>
        <v>0</v>
      </c>
      <c r="E870" s="167">
        <v>1</v>
      </c>
      <c r="F870" s="168">
        <f t="shared" si="4"/>
        <v>0</v>
      </c>
      <c r="G870" s="144"/>
      <c r="H870" s="372"/>
    </row>
    <row r="871" spans="1:8" ht="13.2">
      <c r="A871" s="157"/>
      <c r="B871" s="16" t="s">
        <v>1764</v>
      </c>
      <c r="C871" s="143">
        <f>VLOOKUP(B871,'Thống kê'!$C$3:$D$669,2,0)</f>
        <v>0</v>
      </c>
      <c r="D871" s="166">
        <f>VLOOKUP(B871,'Thống kê'!$C$3:$M$682,4,0)</f>
        <v>0</v>
      </c>
      <c r="E871" s="167">
        <v>1</v>
      </c>
      <c r="F871" s="168">
        <f t="shared" si="4"/>
        <v>0</v>
      </c>
      <c r="G871" s="144"/>
      <c r="H871" s="175">
        <v>149240</v>
      </c>
    </row>
    <row r="872" spans="1:8" ht="13.2">
      <c r="A872" s="157"/>
      <c r="B872" s="16" t="s">
        <v>143</v>
      </c>
      <c r="C872" s="143" t="str">
        <f>VLOOKUP(B872,'Thống kê'!$C$3:$D$669,2,0)</f>
        <v>Mèo ú</v>
      </c>
      <c r="D872" s="166">
        <f>VLOOKUP(B872,'Thống kê'!$C$3:$M$682,4,0)</f>
        <v>59500</v>
      </c>
      <c r="E872" s="167">
        <v>1</v>
      </c>
      <c r="F872" s="168">
        <f t="shared" si="4"/>
        <v>59500</v>
      </c>
      <c r="G872" s="144"/>
      <c r="H872" s="178">
        <v>56575</v>
      </c>
    </row>
    <row r="873" spans="1:8" ht="13.2">
      <c r="A873" s="157"/>
      <c r="B873" s="16" t="s">
        <v>285</v>
      </c>
      <c r="C873" s="143" t="str">
        <f>VLOOKUP(B873,'Thống kê'!$C$3:$D$669,2,0)</f>
        <v>Móc khoá Labubu mini Popmart</v>
      </c>
      <c r="D873" s="166">
        <f>VLOOKUP(B873,'Thống kê'!$C$3:$M$682,4,0)</f>
        <v>0</v>
      </c>
      <c r="E873" s="167">
        <v>1</v>
      </c>
      <c r="F873" s="168">
        <f t="shared" si="4"/>
        <v>0</v>
      </c>
      <c r="G873" s="144"/>
      <c r="H873" s="176">
        <v>66415</v>
      </c>
    </row>
    <row r="874" spans="1:8" ht="13.2">
      <c r="A874" s="157"/>
      <c r="B874" s="16" t="s">
        <v>1384</v>
      </c>
      <c r="C874" s="143" t="str">
        <f>VLOOKUP(B874,'Thống kê'!$C$3:$D$669,2,0)</f>
        <v>Móc khoá Crybaby mini Popmart</v>
      </c>
      <c r="D874" s="166">
        <f>VLOOKUP(B874,'Thống kê'!$C$3:$M$682,4,0)</f>
        <v>0</v>
      </c>
      <c r="E874" s="167">
        <v>1</v>
      </c>
      <c r="F874" s="168">
        <f t="shared" si="4"/>
        <v>0</v>
      </c>
      <c r="G874" s="144"/>
      <c r="H874" s="178">
        <v>77550</v>
      </c>
    </row>
    <row r="875" spans="1:8" ht="13.2">
      <c r="A875" s="157"/>
      <c r="B875" s="16" t="s">
        <v>1387</v>
      </c>
      <c r="C875" s="143" t="str">
        <f>VLOOKUP(B875,'Thống kê'!$C$3:$D$669,2,0)</f>
        <v>Móc khoá Crybaby mini Popmart</v>
      </c>
      <c r="D875" s="166">
        <f>VLOOKUP(B875,'Thống kê'!$C$3:$M$682,4,0)</f>
        <v>0</v>
      </c>
      <c r="E875" s="167">
        <v>1</v>
      </c>
      <c r="F875" s="168">
        <f t="shared" si="4"/>
        <v>0</v>
      </c>
      <c r="G875" s="144"/>
      <c r="H875" s="402">
        <v>231675</v>
      </c>
    </row>
    <row r="876" spans="1:8" ht="13.2">
      <c r="A876" s="157"/>
      <c r="B876" s="16" t="s">
        <v>1384</v>
      </c>
      <c r="C876" s="143" t="str">
        <f>VLOOKUP(B876,'Thống kê'!$C$3:$D$669,2,0)</f>
        <v>Móc khoá Crybaby mini Popmart</v>
      </c>
      <c r="D876" s="166">
        <f>VLOOKUP(B876,'Thống kê'!$C$3:$M$682,4,0)</f>
        <v>0</v>
      </c>
      <c r="E876" s="167">
        <v>1</v>
      </c>
      <c r="F876" s="168">
        <f t="shared" si="4"/>
        <v>0</v>
      </c>
      <c r="G876" s="144"/>
      <c r="H876" s="372"/>
    </row>
    <row r="877" spans="1:8" ht="13.2">
      <c r="A877" s="157"/>
      <c r="B877" s="16" t="s">
        <v>1388</v>
      </c>
      <c r="C877" s="143" t="str">
        <f>VLOOKUP(B877,'Thống kê'!$C$3:$D$669,2,0)</f>
        <v>Móc khoá Crybaby mini Popmart</v>
      </c>
      <c r="D877" s="166">
        <f>VLOOKUP(B877,'Thống kê'!$C$3:$M$682,4,0)</f>
        <v>0</v>
      </c>
      <c r="E877" s="167">
        <v>1</v>
      </c>
      <c r="F877" s="168">
        <f t="shared" si="4"/>
        <v>0</v>
      </c>
      <c r="G877" s="144"/>
      <c r="H877" s="372"/>
    </row>
    <row r="878" spans="1:8" ht="13.2">
      <c r="A878" s="157"/>
      <c r="B878" s="16" t="s">
        <v>1621</v>
      </c>
      <c r="C878" s="143" t="str">
        <f>VLOOKUP(B878,'Thống kê'!$C$3:$D$669,2,0)</f>
        <v>Mô hình mèo 2</v>
      </c>
      <c r="D878" s="166">
        <f>VLOOKUP(B878,'Thống kê'!$C$3:$M$682,4,0)</f>
        <v>37800</v>
      </c>
      <c r="E878" s="167">
        <v>1</v>
      </c>
      <c r="F878" s="168">
        <f t="shared" si="4"/>
        <v>37800</v>
      </c>
      <c r="G878" s="144"/>
      <c r="H878" s="402">
        <v>129560</v>
      </c>
    </row>
    <row r="879" spans="1:8" ht="13.2">
      <c r="A879" s="157"/>
      <c r="B879" s="16" t="s">
        <v>1636</v>
      </c>
      <c r="C879" s="143" t="str">
        <f>VLOOKUP(B879,'Thống kê'!$C$3:$D$669,2,0)</f>
        <v>Mô hình mèo 3</v>
      </c>
      <c r="D879" s="166">
        <f>VLOOKUP(B879,'Thống kê'!$C$3:$M$682,4,0)</f>
        <v>37800</v>
      </c>
      <c r="E879" s="167">
        <v>1</v>
      </c>
      <c r="F879" s="168">
        <f t="shared" si="4"/>
        <v>37800</v>
      </c>
      <c r="G879" s="144"/>
      <c r="H879" s="372"/>
    </row>
    <row r="880" spans="1:8" ht="13.2">
      <c r="A880" s="157"/>
      <c r="B880" s="16" t="s">
        <v>1635</v>
      </c>
      <c r="C880" s="143" t="str">
        <f>VLOOKUP(B880,'Thống kê'!$C$3:$D$669,2,0)</f>
        <v>Mô hình mèo 4</v>
      </c>
      <c r="D880" s="166">
        <f>VLOOKUP(B880,'Thống kê'!$C$3:$M$682,4,0)</f>
        <v>37800</v>
      </c>
      <c r="E880" s="167">
        <v>1</v>
      </c>
      <c r="F880" s="168">
        <f t="shared" si="4"/>
        <v>37800</v>
      </c>
      <c r="G880" s="144"/>
      <c r="H880" s="372"/>
    </row>
    <row r="881" spans="1:8" ht="13.2">
      <c r="A881" s="157"/>
      <c r="B881" s="16" t="s">
        <v>1623</v>
      </c>
      <c r="C881" s="143" t="str">
        <f>VLOOKUP(B881,'Thống kê'!$C$3:$D$669,2,0)</f>
        <v>Mô hình mèo 5</v>
      </c>
      <c r="D881" s="166">
        <f>VLOOKUP(B881,'Thống kê'!$C$3:$M$682,4,0)</f>
        <v>37800</v>
      </c>
      <c r="E881" s="167">
        <v>1</v>
      </c>
      <c r="F881" s="168">
        <f t="shared" si="4"/>
        <v>37800</v>
      </c>
      <c r="G881" s="144"/>
      <c r="H881" s="372"/>
    </row>
    <row r="882" spans="1:8" ht="13.2">
      <c r="A882" s="157"/>
      <c r="B882" s="16" t="s">
        <v>138</v>
      </c>
      <c r="C882" s="143" t="str">
        <f>VLOOKUP(B882,'Thống kê'!$C$3:$D$669,2,0)</f>
        <v>Móc khoá Crybaby mini Popmart</v>
      </c>
      <c r="D882" s="166">
        <f>VLOOKUP(B882,'Thống kê'!$C$3:$M$682,4,0)</f>
        <v>0</v>
      </c>
      <c r="E882" s="167">
        <v>1</v>
      </c>
      <c r="F882" s="168">
        <f t="shared" si="4"/>
        <v>0</v>
      </c>
      <c r="G882" s="144"/>
      <c r="H882" s="175">
        <v>77075</v>
      </c>
    </row>
    <row r="883" spans="1:8" ht="13.2">
      <c r="A883" s="157"/>
      <c r="B883" s="16" t="s">
        <v>150</v>
      </c>
      <c r="C883" s="143" t="str">
        <f>VLOOKUP(B883,'Thống kê'!$C$3:$D$669,2,0)</f>
        <v>Móc khóa có chuông</v>
      </c>
      <c r="D883" s="166">
        <f>VLOOKUP(B883,'Thống kê'!$C$3:$M$682,4,0)</f>
        <v>59000</v>
      </c>
      <c r="E883" s="167">
        <v>1</v>
      </c>
      <c r="F883" s="168">
        <f t="shared" si="4"/>
        <v>59000</v>
      </c>
      <c r="G883" s="144"/>
      <c r="H883" s="402">
        <v>48125</v>
      </c>
    </row>
    <row r="884" spans="1:8" ht="13.2">
      <c r="A884" s="157"/>
      <c r="B884" s="16" t="s">
        <v>208</v>
      </c>
      <c r="C884" s="143" t="e">
        <f>VLOOKUP(B884,'Thống kê'!$C$3:$D$669,2,0)</f>
        <v>#N/A</v>
      </c>
      <c r="D884" s="166" t="e">
        <f>VLOOKUP(B884,'Thống kê'!$C$3:$M$682,4,0)</f>
        <v>#N/A</v>
      </c>
      <c r="E884" s="167">
        <v>1</v>
      </c>
      <c r="F884" s="168" t="e">
        <f t="shared" si="4"/>
        <v>#N/A</v>
      </c>
      <c r="G884" s="144"/>
      <c r="H884" s="372"/>
    </row>
    <row r="885" spans="1:8" ht="13.2">
      <c r="A885" s="157"/>
      <c r="B885" s="16" t="s">
        <v>1365</v>
      </c>
      <c r="C885" s="143" t="str">
        <f>VLOOKUP(B885,'Thống kê'!$C$3:$D$669,2,0)</f>
        <v>Móc khóa Popbean</v>
      </c>
      <c r="D885" s="166">
        <f>VLOOKUP(B885,'Thống kê'!$C$3:$M$682,4,0)</f>
        <v>148000</v>
      </c>
      <c r="E885" s="167">
        <v>1</v>
      </c>
      <c r="F885" s="168">
        <f t="shared" si="4"/>
        <v>148000</v>
      </c>
      <c r="G885" s="144"/>
      <c r="H885" s="175">
        <v>112340</v>
      </c>
    </row>
    <row r="886" spans="1:8" ht="13.2">
      <c r="A886" s="157"/>
      <c r="B886" s="16" t="s">
        <v>1816</v>
      </c>
      <c r="C886" s="143" t="e">
        <f>VLOOKUP(B886,'Thống kê'!$C$3:$D$669,2,0)</f>
        <v>#N/A</v>
      </c>
      <c r="D886" s="166" t="e">
        <f>VLOOKUP(B886,'Thống kê'!$C$3:$M$682,4,0)</f>
        <v>#N/A</v>
      </c>
      <c r="E886" s="167">
        <v>1</v>
      </c>
      <c r="F886" s="168" t="e">
        <f t="shared" si="4"/>
        <v>#N/A</v>
      </c>
      <c r="G886" s="144"/>
      <c r="H886" s="175">
        <v>95790</v>
      </c>
    </row>
    <row r="887" spans="1:8" ht="13.2">
      <c r="A887" s="157">
        <v>45713</v>
      </c>
      <c r="B887" s="16" t="s">
        <v>1807</v>
      </c>
      <c r="C887" s="143" t="e">
        <f>VLOOKUP(B887,'Thống kê'!$C$3:$D$669,2,0)</f>
        <v>#N/A</v>
      </c>
      <c r="D887" s="166" t="e">
        <f>VLOOKUP(B887,'Thống kê'!$C$3:$M$682,4,0)</f>
        <v>#N/A</v>
      </c>
      <c r="E887" s="167">
        <v>1</v>
      </c>
      <c r="F887" s="168" t="e">
        <f t="shared" si="4"/>
        <v>#N/A</v>
      </c>
      <c r="G887" s="144"/>
      <c r="H887" s="175">
        <v>95940</v>
      </c>
    </row>
    <row r="888" spans="1:8" ht="13.2">
      <c r="A888" s="157"/>
      <c r="B888" s="16" t="s">
        <v>233</v>
      </c>
      <c r="C888" s="143" t="e">
        <f>VLOOKUP(B888,'Thống kê'!$C$3:$D$669,2,0)</f>
        <v>#N/A</v>
      </c>
      <c r="D888" s="166">
        <f>VLOOKUP(B888,'Thống kê'!$C$3:$M$682,4,0)</f>
        <v>0</v>
      </c>
      <c r="E888" s="167">
        <v>3</v>
      </c>
      <c r="F888" s="168">
        <f t="shared" si="4"/>
        <v>0</v>
      </c>
      <c r="G888" s="144"/>
      <c r="H888" s="402">
        <v>196144</v>
      </c>
    </row>
    <row r="889" spans="1:8" ht="13.2">
      <c r="A889" s="157"/>
      <c r="B889" s="16" t="s">
        <v>1515</v>
      </c>
      <c r="C889" s="143" t="e">
        <f>VLOOKUP(B889,'Thống kê'!$C$3:$D$669,2,0)</f>
        <v>#N/A</v>
      </c>
      <c r="D889" s="166">
        <f>VLOOKUP(B889,'Thống kê'!$C$3:$M$682,4,0)</f>
        <v>0</v>
      </c>
      <c r="E889" s="167">
        <v>1</v>
      </c>
      <c r="F889" s="168">
        <f t="shared" si="4"/>
        <v>0</v>
      </c>
      <c r="G889" s="144"/>
      <c r="H889" s="372"/>
    </row>
    <row r="890" spans="1:8" ht="13.2">
      <c r="A890" s="157"/>
      <c r="B890" s="16" t="s">
        <v>138</v>
      </c>
      <c r="C890" s="143" t="str">
        <f>VLOOKUP(B890,'Thống kê'!$C$3:$D$669,2,0)</f>
        <v>Móc khoá Crybaby mini Popmart</v>
      </c>
      <c r="D890" s="166">
        <f>VLOOKUP(B890,'Thống kê'!$C$3:$M$682,4,0)</f>
        <v>0</v>
      </c>
      <c r="E890" s="167">
        <v>1</v>
      </c>
      <c r="F890" s="168">
        <f t="shared" si="4"/>
        <v>0</v>
      </c>
      <c r="G890" s="144"/>
      <c r="H890" s="175">
        <v>77175</v>
      </c>
    </row>
    <row r="891" spans="1:8" ht="13.2">
      <c r="A891" s="157"/>
      <c r="B891" s="16" t="s">
        <v>1210</v>
      </c>
      <c r="C891" s="143" t="str">
        <f>VLOOKUP(B891,'Thống kê'!$C$3:$D$669,2,0)</f>
        <v>Shiba ú cầm hoa</v>
      </c>
      <c r="D891" s="166">
        <f>VLOOKUP(B891,'Thống kê'!$C$3:$M$682,4,0)</f>
        <v>64500</v>
      </c>
      <c r="E891" s="167">
        <v>1</v>
      </c>
      <c r="F891" s="168">
        <f t="shared" si="4"/>
        <v>64500</v>
      </c>
      <c r="G891" s="144"/>
      <c r="H891" s="175">
        <v>63299</v>
      </c>
    </row>
    <row r="892" spans="1:8" ht="13.2">
      <c r="A892" s="157"/>
      <c r="B892" s="16" t="s">
        <v>1517</v>
      </c>
      <c r="C892" s="143" t="e">
        <f>VLOOKUP(B892,'Thống kê'!$C$3:$D$669,2,0)</f>
        <v>#N/A</v>
      </c>
      <c r="D892" s="166">
        <f>VLOOKUP(B892,'Thống kê'!$C$3:$M$682,4,0)</f>
        <v>0</v>
      </c>
      <c r="E892" s="167">
        <v>1</v>
      </c>
      <c r="F892" s="168">
        <f t="shared" si="4"/>
        <v>0</v>
      </c>
      <c r="G892" s="144"/>
      <c r="H892" s="402">
        <v>124640</v>
      </c>
    </row>
    <row r="893" spans="1:8" ht="13.2">
      <c r="A893" s="157"/>
      <c r="B893" s="16" t="s">
        <v>196</v>
      </c>
      <c r="C893" s="143">
        <f>VLOOKUP(B893,'Thống kê'!$C$3:$D$669,2,0)</f>
        <v>0</v>
      </c>
      <c r="D893" s="166">
        <f>VLOOKUP(B893,'Thống kê'!$C$3:$M$682,4,0)</f>
        <v>0</v>
      </c>
      <c r="E893" s="167">
        <v>1</v>
      </c>
      <c r="F893" s="168">
        <f t="shared" si="4"/>
        <v>0</v>
      </c>
      <c r="G893" s="144"/>
      <c r="H893" s="372"/>
    </row>
    <row r="894" spans="1:8" ht="13.2">
      <c r="A894" s="157"/>
      <c r="B894" s="16" t="s">
        <v>196</v>
      </c>
      <c r="C894" s="143">
        <f>VLOOKUP(B894,'Thống kê'!$C$3:$D$669,2,0)</f>
        <v>0</v>
      </c>
      <c r="D894" s="166">
        <f>VLOOKUP(B894,'Thống kê'!$C$3:$M$682,4,0)</f>
        <v>0</v>
      </c>
      <c r="E894" s="167">
        <v>1</v>
      </c>
      <c r="F894" s="168">
        <f t="shared" si="4"/>
        <v>0</v>
      </c>
      <c r="G894" s="144"/>
      <c r="H894" s="175">
        <v>62240</v>
      </c>
    </row>
    <row r="895" spans="1:8" ht="13.2">
      <c r="A895" s="157"/>
      <c r="B895" s="16" t="s">
        <v>262</v>
      </c>
      <c r="C895" s="143" t="str">
        <f>VLOOKUP(B895,'Thống kê'!$C$3:$D$669,2,0)</f>
        <v>Pop Bean Baked Bread</v>
      </c>
      <c r="D895" s="166">
        <f>VLOOKUP(B895,'Thống kê'!$C$3:$M$682,4,0)</f>
        <v>167000</v>
      </c>
      <c r="E895" s="167">
        <v>1</v>
      </c>
      <c r="F895" s="168">
        <f t="shared" si="4"/>
        <v>167000</v>
      </c>
      <c r="G895" s="144"/>
      <c r="H895" s="175">
        <v>155210</v>
      </c>
    </row>
    <row r="896" spans="1:8" ht="13.2">
      <c r="A896" s="157"/>
      <c r="B896" s="16" t="s">
        <v>1473</v>
      </c>
      <c r="C896" s="143">
        <f>VLOOKUP(B896,'Thống kê'!$C$3:$D$669,2,0)</f>
        <v>0</v>
      </c>
      <c r="D896" s="166">
        <f>VLOOKUP(B896,'Thống kê'!$C$3:$M$682,4,0)</f>
        <v>0</v>
      </c>
      <c r="E896" s="167">
        <v>1</v>
      </c>
      <c r="F896" s="168">
        <f t="shared" si="4"/>
        <v>0</v>
      </c>
      <c r="G896" s="144"/>
      <c r="H896" s="175">
        <v>146835</v>
      </c>
    </row>
    <row r="897" spans="1:8" ht="13.2">
      <c r="A897" s="157"/>
      <c r="B897" s="16" t="s">
        <v>1458</v>
      </c>
      <c r="C897" s="143">
        <f>VLOOKUP(B897,'Thống kê'!$C$3:$D$669,2,0)</f>
        <v>0</v>
      </c>
      <c r="D897" s="166">
        <f>VLOOKUP(B897,'Thống kê'!$C$3:$M$682,4,0)</f>
        <v>85000</v>
      </c>
      <c r="E897" s="167">
        <v>1</v>
      </c>
      <c r="F897" s="168">
        <f t="shared" si="4"/>
        <v>85000</v>
      </c>
      <c r="G897" s="144"/>
      <c r="H897" s="402">
        <v>85034</v>
      </c>
    </row>
    <row r="898" spans="1:8" ht="13.2">
      <c r="A898" s="157"/>
      <c r="B898" s="16" t="s">
        <v>1567</v>
      </c>
      <c r="C898" s="143" t="e">
        <f>VLOOKUP(B898,'Thống kê'!$C$3:$D$669,2,0)</f>
        <v>#N/A</v>
      </c>
      <c r="D898" s="166" t="e">
        <f>VLOOKUP(B898,'Thống kê'!$C$3:$M$682,4,0)</f>
        <v>#N/A</v>
      </c>
      <c r="E898" s="167">
        <v>1</v>
      </c>
      <c r="F898" s="168" t="e">
        <f t="shared" si="4"/>
        <v>#N/A</v>
      </c>
      <c r="G898" s="144"/>
      <c r="H898" s="372"/>
    </row>
    <row r="899" spans="1:8" ht="13.2">
      <c r="A899" s="157"/>
      <c r="B899" s="16" t="s">
        <v>149</v>
      </c>
      <c r="C899" s="143" t="str">
        <f>VLOOKUP(B899,'Thống kê'!$C$3:$D$669,2,0)</f>
        <v>ếch</v>
      </c>
      <c r="D899" s="166">
        <f>VLOOKUP(B899,'Thống kê'!$C$3:$M$682,4,0)</f>
        <v>35000</v>
      </c>
      <c r="E899" s="167">
        <v>1</v>
      </c>
      <c r="F899" s="168">
        <f t="shared" si="4"/>
        <v>35000</v>
      </c>
      <c r="G899" s="144"/>
      <c r="H899" s="372"/>
    </row>
    <row r="900" spans="1:8" ht="13.2">
      <c r="A900" s="157"/>
      <c r="B900" s="16" t="s">
        <v>138</v>
      </c>
      <c r="C900" s="143" t="str">
        <f>VLOOKUP(B900,'Thống kê'!$C$3:$D$669,2,0)</f>
        <v>Móc khoá Crybaby mini Popmart</v>
      </c>
      <c r="D900" s="166">
        <f>VLOOKUP(B900,'Thống kê'!$C$3:$M$682,4,0)</f>
        <v>0</v>
      </c>
      <c r="E900" s="167">
        <v>1</v>
      </c>
      <c r="F900" s="168">
        <f t="shared" si="4"/>
        <v>0</v>
      </c>
      <c r="G900" s="144"/>
      <c r="H900" s="175">
        <v>77825</v>
      </c>
    </row>
    <row r="901" spans="1:8" ht="13.2">
      <c r="A901" s="157"/>
      <c r="B901" s="16" t="s">
        <v>1516</v>
      </c>
      <c r="C901" s="143" t="e">
        <f>VLOOKUP(B901,'Thống kê'!$C$3:$D$669,2,0)</f>
        <v>#N/A</v>
      </c>
      <c r="D901" s="166">
        <f>VLOOKUP(B901,'Thống kê'!$C$3:$M$682,4,0)</f>
        <v>0</v>
      </c>
      <c r="E901" s="167">
        <v>1</v>
      </c>
      <c r="F901" s="168">
        <f t="shared" si="4"/>
        <v>0</v>
      </c>
      <c r="G901" s="144"/>
      <c r="H901" s="175">
        <v>94300</v>
      </c>
    </row>
    <row r="902" spans="1:8" ht="13.2">
      <c r="A902" s="157"/>
      <c r="B902" s="16" t="s">
        <v>1458</v>
      </c>
      <c r="C902" s="143">
        <f>VLOOKUP(B902,'Thống kê'!$C$3:$D$669,2,0)</f>
        <v>0</v>
      </c>
      <c r="D902" s="166">
        <f>VLOOKUP(B902,'Thống kê'!$C$3:$M$682,4,0)</f>
        <v>85000</v>
      </c>
      <c r="E902" s="167">
        <v>1</v>
      </c>
      <c r="F902" s="168">
        <f t="shared" si="4"/>
        <v>85000</v>
      </c>
      <c r="G902" s="144"/>
      <c r="H902" s="175">
        <v>61425</v>
      </c>
    </row>
    <row r="903" spans="1:8" ht="13.2">
      <c r="A903" s="157"/>
      <c r="B903" s="16" t="s">
        <v>228</v>
      </c>
      <c r="C903" s="143">
        <f>VLOOKUP(B903,'Thống kê'!$C$3:$D$669,2,0)</f>
        <v>0</v>
      </c>
      <c r="D903" s="166">
        <f>VLOOKUP(B903,'Thống kê'!$C$3:$M$682,4,0)</f>
        <v>0</v>
      </c>
      <c r="E903" s="167">
        <v>1</v>
      </c>
      <c r="F903" s="168">
        <f t="shared" si="4"/>
        <v>0</v>
      </c>
      <c r="G903" s="144"/>
      <c r="H903" s="402">
        <v>149240</v>
      </c>
    </row>
    <row r="904" spans="1:8" ht="13.2">
      <c r="A904" s="157"/>
      <c r="B904" s="16" t="s">
        <v>196</v>
      </c>
      <c r="C904" s="143">
        <f>VLOOKUP(B904,'Thống kê'!$C$3:$D$669,2,0)</f>
        <v>0</v>
      </c>
      <c r="D904" s="166">
        <f>VLOOKUP(B904,'Thống kê'!$C$3:$M$682,4,0)</f>
        <v>0</v>
      </c>
      <c r="E904" s="167">
        <v>1</v>
      </c>
      <c r="F904" s="168">
        <f t="shared" si="4"/>
        <v>0</v>
      </c>
      <c r="G904" s="144"/>
      <c r="H904" s="372"/>
    </row>
    <row r="905" spans="1:8" ht="13.2">
      <c r="A905" s="157"/>
      <c r="B905" s="16" t="s">
        <v>1764</v>
      </c>
      <c r="C905" s="143">
        <f>VLOOKUP(B905,'Thống kê'!$C$3:$D$669,2,0)</f>
        <v>0</v>
      </c>
      <c r="D905" s="166">
        <f>VLOOKUP(B905,'Thống kê'!$C$3:$M$682,4,0)</f>
        <v>0</v>
      </c>
      <c r="E905" s="167">
        <v>1</v>
      </c>
      <c r="F905" s="168">
        <f t="shared" si="4"/>
        <v>0</v>
      </c>
      <c r="G905" s="144"/>
      <c r="H905" s="175">
        <v>71265</v>
      </c>
    </row>
    <row r="906" spans="1:8" ht="13.2">
      <c r="A906" s="157"/>
      <c r="B906" s="16" t="s">
        <v>150</v>
      </c>
      <c r="C906" s="143" t="str">
        <f>VLOOKUP(B906,'Thống kê'!$C$3:$D$669,2,0)</f>
        <v>Móc khóa có chuông</v>
      </c>
      <c r="D906" s="166">
        <f>VLOOKUP(B906,'Thống kê'!$C$3:$M$682,4,0)</f>
        <v>59000</v>
      </c>
      <c r="E906" s="167">
        <v>1</v>
      </c>
      <c r="F906" s="168">
        <f t="shared" si="4"/>
        <v>59000</v>
      </c>
      <c r="G906" s="144"/>
      <c r="H906" s="175">
        <v>43685</v>
      </c>
    </row>
    <row r="907" spans="1:8" ht="13.2">
      <c r="A907" s="157"/>
      <c r="B907" s="16" t="s">
        <v>245</v>
      </c>
      <c r="C907" s="143" t="str">
        <f>VLOOKUP(B907,'Thống kê'!$C$3:$D$669,2,0)</f>
        <v>Móc khóa Popbean</v>
      </c>
      <c r="D907" s="166">
        <f>VLOOKUP(B907,'Thống kê'!$C$3:$M$682,4,0)</f>
        <v>148000</v>
      </c>
      <c r="E907" s="167">
        <v>1</v>
      </c>
      <c r="F907" s="168">
        <f t="shared" si="4"/>
        <v>148000</v>
      </c>
      <c r="G907" s="144"/>
      <c r="H907" s="402">
        <v>279882</v>
      </c>
    </row>
    <row r="908" spans="1:8" ht="13.2">
      <c r="A908" s="157"/>
      <c r="B908" s="16" t="s">
        <v>1388</v>
      </c>
      <c r="C908" s="143" t="str">
        <f>VLOOKUP(B908,'Thống kê'!$C$3:$D$669,2,0)</f>
        <v>Móc khoá Crybaby mini Popmart</v>
      </c>
      <c r="D908" s="166">
        <f>VLOOKUP(B908,'Thống kê'!$C$3:$M$682,4,0)</f>
        <v>0</v>
      </c>
      <c r="E908" s="167">
        <v>1</v>
      </c>
      <c r="F908" s="168">
        <f t="shared" si="4"/>
        <v>0</v>
      </c>
      <c r="G908" s="144"/>
      <c r="H908" s="372"/>
    </row>
    <row r="909" spans="1:8" ht="13.2">
      <c r="A909" s="157"/>
      <c r="B909" s="16" t="s">
        <v>259</v>
      </c>
      <c r="C909" s="143" t="str">
        <f>VLOOKUP(B909,'Thống kê'!$C$3:$D$669,2,0)</f>
        <v>Móc khoá Crybaby mini Popmart</v>
      </c>
      <c r="D909" s="166">
        <f>VLOOKUP(B909,'Thống kê'!$C$3:$M$682,4,0)</f>
        <v>0</v>
      </c>
      <c r="E909" s="167">
        <v>1</v>
      </c>
      <c r="F909" s="168">
        <f t="shared" si="4"/>
        <v>0</v>
      </c>
      <c r="G909" s="144"/>
      <c r="H909" s="372"/>
    </row>
    <row r="910" spans="1:8" ht="13.2">
      <c r="A910" s="157"/>
      <c r="B910" s="16" t="s">
        <v>196</v>
      </c>
      <c r="C910" s="143">
        <f>VLOOKUP(B910,'Thống kê'!$C$3:$D$669,2,0)</f>
        <v>0</v>
      </c>
      <c r="D910" s="166">
        <f>VLOOKUP(B910,'Thống kê'!$C$3:$M$682,4,0)</f>
        <v>0</v>
      </c>
      <c r="E910" s="167">
        <v>1</v>
      </c>
      <c r="F910" s="168">
        <f t="shared" si="4"/>
        <v>0</v>
      </c>
      <c r="G910" s="144"/>
      <c r="H910" s="402">
        <v>124640</v>
      </c>
    </row>
    <row r="911" spans="1:8" ht="13.2">
      <c r="A911" s="157"/>
      <c r="B911" s="16" t="s">
        <v>1515</v>
      </c>
      <c r="C911" s="143" t="e">
        <f>VLOOKUP(B911,'Thống kê'!$C$3:$D$669,2,0)</f>
        <v>#N/A</v>
      </c>
      <c r="D911" s="166">
        <f>VLOOKUP(B911,'Thống kê'!$C$3:$M$682,4,0)</f>
        <v>0</v>
      </c>
      <c r="E911" s="167">
        <v>1</v>
      </c>
      <c r="F911" s="168">
        <f t="shared" si="4"/>
        <v>0</v>
      </c>
      <c r="G911" s="144"/>
      <c r="H911" s="372"/>
    </row>
    <row r="912" spans="1:8" ht="13.2">
      <c r="A912" s="157"/>
      <c r="B912" s="16" t="s">
        <v>1589</v>
      </c>
      <c r="C912" s="143" t="str">
        <f>VLOOKUP(B912,'Thống kê'!$C$3:$D$669,2,0)</f>
        <v>Heo ú bay</v>
      </c>
      <c r="D912" s="166">
        <f>VLOOKUP(B912,'Thống kê'!$C$3:$M$682,4,0)</f>
        <v>64500</v>
      </c>
      <c r="E912" s="167">
        <v>1</v>
      </c>
      <c r="F912" s="168">
        <f t="shared" si="4"/>
        <v>64500</v>
      </c>
      <c r="G912" s="144"/>
      <c r="H912" s="175">
        <v>63140</v>
      </c>
    </row>
    <row r="913" spans="1:8" ht="13.2">
      <c r="A913" s="157"/>
      <c r="B913" s="16" t="s">
        <v>201</v>
      </c>
      <c r="C913" s="143">
        <f>VLOOKUP(B913,'Thống kê'!$C$3:$D$669,2,0)</f>
        <v>0</v>
      </c>
      <c r="D913" s="166">
        <f>VLOOKUP(B913,'Thống kê'!$C$3:$M$682,4,0)</f>
        <v>0</v>
      </c>
      <c r="E913" s="167">
        <v>1</v>
      </c>
      <c r="F913" s="168">
        <f t="shared" si="4"/>
        <v>0</v>
      </c>
      <c r="G913" s="144"/>
      <c r="H913" s="175">
        <v>183264</v>
      </c>
    </row>
    <row r="914" spans="1:8" ht="13.2">
      <c r="A914" s="157"/>
      <c r="B914" s="16" t="s">
        <v>1382</v>
      </c>
      <c r="C914" s="143" t="str">
        <f>VLOOKUP(B914,'Thống kê'!$C$3:$D$669,2,0)</f>
        <v>miếng dán silicon điện thoại</v>
      </c>
      <c r="D914" s="166">
        <f>VLOOKUP(B914,'Thống kê'!$C$3:$M$682,4,0)</f>
        <v>0</v>
      </c>
      <c r="E914" s="167">
        <v>2</v>
      </c>
      <c r="F914" s="168">
        <f t="shared" si="4"/>
        <v>0</v>
      </c>
      <c r="G914" s="144"/>
      <c r="H914" s="402">
        <v>42255</v>
      </c>
    </row>
    <row r="915" spans="1:8" ht="13.2">
      <c r="A915" s="157"/>
      <c r="B915" s="16" t="s">
        <v>1486</v>
      </c>
      <c r="C915" s="143" t="str">
        <f>VLOOKUP(B915,'Thống kê'!$C$3:$D$669,2,0)</f>
        <v>Móc khoá Dudu nhiều màu sắc treo túi, đeo điện thoại</v>
      </c>
      <c r="D915" s="166">
        <f>VLOOKUP(B915,'Thống kê'!$C$3:$M$682,4,0)</f>
        <v>45000</v>
      </c>
      <c r="E915" s="167">
        <v>1</v>
      </c>
      <c r="F915" s="168">
        <f t="shared" si="4"/>
        <v>45000</v>
      </c>
      <c r="G915" s="144"/>
      <c r="H915" s="372"/>
    </row>
    <row r="916" spans="1:8" ht="13.2">
      <c r="A916" s="157"/>
      <c r="B916" s="16" t="s">
        <v>1516</v>
      </c>
      <c r="C916" s="143" t="e">
        <f>VLOOKUP(B916,'Thống kê'!$C$3:$D$669,2,0)</f>
        <v>#N/A</v>
      </c>
      <c r="D916" s="166">
        <f>VLOOKUP(B916,'Thống kê'!$C$3:$M$682,4,0)</f>
        <v>0</v>
      </c>
      <c r="E916" s="167">
        <v>1</v>
      </c>
      <c r="F916" s="168">
        <f t="shared" si="4"/>
        <v>0</v>
      </c>
      <c r="G916" s="144"/>
      <c r="H916" s="175">
        <v>55855</v>
      </c>
    </row>
    <row r="917" spans="1:8" ht="13.2">
      <c r="A917" s="157"/>
      <c r="B917" s="16" t="s">
        <v>150</v>
      </c>
      <c r="C917" s="143" t="str">
        <f>VLOOKUP(B917,'Thống kê'!$C$3:$D$669,2,0)</f>
        <v>Móc khóa có chuông</v>
      </c>
      <c r="D917" s="166">
        <f>VLOOKUP(B917,'Thống kê'!$C$3:$M$682,4,0)</f>
        <v>59000</v>
      </c>
      <c r="E917" s="167">
        <v>1</v>
      </c>
      <c r="F917" s="168">
        <f t="shared" si="4"/>
        <v>59000</v>
      </c>
      <c r="G917" s="144"/>
      <c r="H917" s="175">
        <v>44435</v>
      </c>
    </row>
    <row r="918" spans="1:8" ht="13.2">
      <c r="A918" s="157"/>
      <c r="B918" s="16" t="s">
        <v>1807</v>
      </c>
      <c r="C918" s="143" t="e">
        <f>VLOOKUP(B918,'Thống kê'!$C$3:$D$669,2,0)</f>
        <v>#N/A</v>
      </c>
      <c r="D918" s="166" t="e">
        <f>VLOOKUP(B918,'Thống kê'!$C$3:$M$682,4,0)</f>
        <v>#N/A</v>
      </c>
      <c r="E918" s="167">
        <v>1</v>
      </c>
      <c r="F918" s="168" t="e">
        <f t="shared" si="4"/>
        <v>#N/A</v>
      </c>
      <c r="G918" s="144"/>
      <c r="H918" s="175">
        <v>95940</v>
      </c>
    </row>
    <row r="919" spans="1:8" ht="13.2">
      <c r="A919" s="157"/>
      <c r="B919" s="16" t="s">
        <v>233</v>
      </c>
      <c r="C919" s="143" t="e">
        <f>VLOOKUP(B919,'Thống kê'!$C$3:$D$669,2,0)</f>
        <v>#N/A</v>
      </c>
      <c r="D919" s="166">
        <f>VLOOKUP(B919,'Thống kê'!$C$3:$M$682,4,0)</f>
        <v>0</v>
      </c>
      <c r="E919" s="167">
        <v>1</v>
      </c>
      <c r="F919" s="168">
        <f t="shared" si="4"/>
        <v>0</v>
      </c>
      <c r="G919" s="144"/>
      <c r="H919" s="175">
        <v>95940</v>
      </c>
    </row>
    <row r="920" spans="1:8" ht="13.2">
      <c r="A920" s="157"/>
      <c r="B920" s="16" t="s">
        <v>85</v>
      </c>
      <c r="C920" s="143" t="e">
        <f>VLOOKUP(B920,'Thống kê'!$C$3:$D$669,2,0)</f>
        <v>#N/A</v>
      </c>
      <c r="D920" s="166">
        <f>VLOOKUP(B920,'Thống kê'!$C$3:$M$682,4,0)</f>
        <v>0</v>
      </c>
      <c r="E920" s="167">
        <v>1</v>
      </c>
      <c r="F920" s="168">
        <f t="shared" si="4"/>
        <v>0</v>
      </c>
      <c r="G920" s="144"/>
      <c r="H920" s="175">
        <v>73680</v>
      </c>
    </row>
    <row r="921" spans="1:8" ht="13.2">
      <c r="A921" s="157"/>
      <c r="B921" s="16" t="s">
        <v>1636</v>
      </c>
      <c r="C921" s="143" t="str">
        <f>VLOOKUP(B921,'Thống kê'!$C$3:$D$669,2,0)</f>
        <v>Mô hình mèo 3</v>
      </c>
      <c r="D921" s="166">
        <f>VLOOKUP(B921,'Thống kê'!$C$3:$M$682,4,0)</f>
        <v>37800</v>
      </c>
      <c r="E921" s="167">
        <v>1</v>
      </c>
      <c r="F921" s="168">
        <f t="shared" si="4"/>
        <v>37800</v>
      </c>
      <c r="G921" s="144"/>
      <c r="H921" s="402">
        <v>61420</v>
      </c>
    </row>
    <row r="922" spans="1:8" ht="13.2">
      <c r="A922" s="157"/>
      <c r="B922" s="191" t="s">
        <v>1623</v>
      </c>
      <c r="C922" s="143" t="str">
        <f>VLOOKUP(B922,'Thống kê'!$C$3:$D$669,2,0)</f>
        <v>Mô hình mèo 5</v>
      </c>
      <c r="D922" s="166">
        <f>VLOOKUP(B922,'Thống kê'!$C$3:$M$682,4,0)</f>
        <v>37800</v>
      </c>
      <c r="E922" s="167">
        <v>1</v>
      </c>
      <c r="F922" s="168">
        <f t="shared" si="4"/>
        <v>37800</v>
      </c>
      <c r="G922" s="144"/>
      <c r="H922" s="372"/>
    </row>
    <row r="923" spans="1:8" ht="13.2">
      <c r="A923" s="157"/>
      <c r="B923" s="16" t="s">
        <v>77</v>
      </c>
      <c r="C923" s="143">
        <f>VLOOKUP(B923,'Thống kê'!$C$3:$D$669,2,0)</f>
        <v>0</v>
      </c>
      <c r="D923" s="166">
        <f>VLOOKUP(B923,'Thống kê'!$C$3:$M$682,4,0)</f>
        <v>0</v>
      </c>
      <c r="E923" s="167">
        <v>1</v>
      </c>
      <c r="F923" s="168">
        <f t="shared" si="4"/>
        <v>0</v>
      </c>
      <c r="G923" s="144"/>
      <c r="H923" s="402">
        <v>455100</v>
      </c>
    </row>
    <row r="924" spans="1:8" ht="13.2">
      <c r="A924" s="157"/>
      <c r="B924" s="16" t="s">
        <v>1517</v>
      </c>
      <c r="C924" s="143" t="e">
        <f>VLOOKUP(B924,'Thống kê'!$C$3:$D$669,2,0)</f>
        <v>#N/A</v>
      </c>
      <c r="D924" s="166">
        <f>VLOOKUP(B924,'Thống kê'!$C$3:$M$682,4,0)</f>
        <v>0</v>
      </c>
      <c r="E924" s="167">
        <v>1</v>
      </c>
      <c r="F924" s="168">
        <f t="shared" si="4"/>
        <v>0</v>
      </c>
      <c r="G924" s="144"/>
      <c r="H924" s="372"/>
    </row>
    <row r="925" spans="1:8" ht="13.2">
      <c r="A925" s="157"/>
      <c r="B925" s="16" t="s">
        <v>133</v>
      </c>
      <c r="C925" s="143">
        <f>VLOOKUP(B925,'Thống kê'!$C$3:$D$669,2,0)</f>
        <v>0</v>
      </c>
      <c r="D925" s="166">
        <f>VLOOKUP(B925,'Thống kê'!$C$3:$M$682,4,0)</f>
        <v>0</v>
      </c>
      <c r="E925" s="167">
        <v>2</v>
      </c>
      <c r="F925" s="168">
        <f t="shared" si="4"/>
        <v>0</v>
      </c>
      <c r="G925" s="144"/>
      <c r="H925" s="372"/>
    </row>
    <row r="926" spans="1:8" ht="13.2">
      <c r="A926" s="157"/>
      <c r="B926" s="16" t="s">
        <v>180</v>
      </c>
      <c r="C926" s="143" t="e">
        <f>VLOOKUP(B926,'Thống kê'!$C$3:$D$669,2,0)</f>
        <v>#N/A</v>
      </c>
      <c r="D926" s="166">
        <f>VLOOKUP(B926,'Thống kê'!$C$3:$M$682,4,0)</f>
        <v>0</v>
      </c>
      <c r="E926" s="167">
        <v>1</v>
      </c>
      <c r="F926" s="168">
        <f t="shared" si="4"/>
        <v>0</v>
      </c>
      <c r="G926" s="144"/>
      <c r="H926" s="372"/>
    </row>
    <row r="927" spans="1:8" ht="13.2">
      <c r="A927" s="157"/>
      <c r="B927" s="16" t="s">
        <v>233</v>
      </c>
      <c r="C927" s="143" t="e">
        <f>VLOOKUP(B927,'Thống kê'!$C$3:$D$669,2,0)</f>
        <v>#N/A</v>
      </c>
      <c r="D927" s="166">
        <f>VLOOKUP(B927,'Thống kê'!$C$3:$M$682,4,0)</f>
        <v>0</v>
      </c>
      <c r="E927" s="167">
        <v>4</v>
      </c>
      <c r="F927" s="168">
        <f t="shared" si="4"/>
        <v>0</v>
      </c>
      <c r="G927" s="144"/>
      <c r="H927" s="372"/>
    </row>
    <row r="928" spans="1:8" ht="13.2">
      <c r="A928" s="157"/>
      <c r="B928" s="16" t="s">
        <v>115</v>
      </c>
      <c r="C928" s="143" t="str">
        <f>VLOOKUP(B928,'Thống kê'!$C$3:$D$669,2,0)</f>
        <v>Heo ú</v>
      </c>
      <c r="D928" s="166">
        <f>VLOOKUP(B928,'Thống kê'!$C$3:$M$682,4,0)</f>
        <v>59500</v>
      </c>
      <c r="E928" s="167">
        <v>2</v>
      </c>
      <c r="F928" s="168">
        <f t="shared" si="4"/>
        <v>119000</v>
      </c>
      <c r="G928" s="144"/>
      <c r="H928" s="175">
        <v>108240</v>
      </c>
    </row>
    <row r="929" spans="1:8" ht="13.2">
      <c r="A929" s="157">
        <v>45714</v>
      </c>
      <c r="B929" s="16" t="s">
        <v>1621</v>
      </c>
      <c r="C929" s="143" t="str">
        <f>VLOOKUP(B929,'Thống kê'!$C$3:$D$669,2,0)</f>
        <v>Mô hình mèo 2</v>
      </c>
      <c r="D929" s="166">
        <f>VLOOKUP(B929,'Thống kê'!$C$3:$M$682,4,0)</f>
        <v>37800</v>
      </c>
      <c r="E929" s="167">
        <v>2</v>
      </c>
      <c r="F929" s="168">
        <f t="shared" si="4"/>
        <v>75600</v>
      </c>
      <c r="G929" s="144"/>
      <c r="H929" s="402">
        <v>190109</v>
      </c>
    </row>
    <row r="930" spans="1:8" ht="13.2">
      <c r="A930" s="157"/>
      <c r="B930" s="16" t="s">
        <v>1635</v>
      </c>
      <c r="C930" s="143" t="str">
        <f>VLOOKUP(B930,'Thống kê'!$C$3:$D$669,2,0)</f>
        <v>Mô hình mèo 4</v>
      </c>
      <c r="D930" s="166">
        <f>VLOOKUP(B930,'Thống kê'!$C$3:$M$682,4,0)</f>
        <v>37800</v>
      </c>
      <c r="E930" s="167">
        <v>2</v>
      </c>
      <c r="F930" s="168">
        <f t="shared" si="4"/>
        <v>75600</v>
      </c>
      <c r="G930" s="144"/>
      <c r="H930" s="372"/>
    </row>
    <row r="931" spans="1:8" ht="13.2">
      <c r="A931" s="157"/>
      <c r="B931" s="16" t="s">
        <v>1623</v>
      </c>
      <c r="C931" s="143" t="str">
        <f>VLOOKUP(B931,'Thống kê'!$C$3:$D$669,2,0)</f>
        <v>Mô hình mèo 5</v>
      </c>
      <c r="D931" s="166">
        <f>VLOOKUP(B931,'Thống kê'!$C$3:$M$682,4,0)</f>
        <v>37800</v>
      </c>
      <c r="E931" s="167">
        <v>2</v>
      </c>
      <c r="F931" s="168">
        <f t="shared" si="4"/>
        <v>75600</v>
      </c>
      <c r="G931" s="144"/>
      <c r="H931" s="372"/>
    </row>
    <row r="932" spans="1:8" ht="13.2">
      <c r="A932" s="157"/>
      <c r="B932" s="16" t="s">
        <v>1395</v>
      </c>
      <c r="C932" s="143" t="str">
        <f>VLOOKUP(B932,'Thống kê'!$C$3:$D$669,2,0)</f>
        <v>Móc khoá Labubu mini Popmart</v>
      </c>
      <c r="D932" s="166">
        <f>VLOOKUP(B932,'Thống kê'!$C$3:$M$682,4,0)</f>
        <v>0</v>
      </c>
      <c r="E932" s="167">
        <v>1</v>
      </c>
      <c r="F932" s="168">
        <f t="shared" si="4"/>
        <v>0</v>
      </c>
      <c r="G932" s="144"/>
      <c r="H932" s="402">
        <v>141040</v>
      </c>
    </row>
    <row r="933" spans="1:8" ht="13.2">
      <c r="A933" s="157"/>
      <c r="B933" s="16" t="s">
        <v>1390</v>
      </c>
      <c r="C933" s="143" t="str">
        <f>VLOOKUP(B933,'Thống kê'!$C$3:$D$669,2,0)</f>
        <v>Móc khoá Labubu mini Popmart</v>
      </c>
      <c r="D933" s="166">
        <f>VLOOKUP(B933,'Thống kê'!$C$3:$M$682,4,0)</f>
        <v>0</v>
      </c>
      <c r="E933" s="167">
        <v>1</v>
      </c>
      <c r="F933" s="168">
        <f t="shared" si="4"/>
        <v>0</v>
      </c>
      <c r="G933" s="144"/>
      <c r="H933" s="372"/>
    </row>
    <row r="934" spans="1:8" ht="13.2">
      <c r="A934" s="157"/>
      <c r="B934" s="16" t="s">
        <v>234</v>
      </c>
      <c r="C934" s="143" t="str">
        <f>VLOOKUP(B934,'Thống kê'!$C$3:$D$669,2,0)</f>
        <v>Móc khoá skullpanda phiên bản mini</v>
      </c>
      <c r="D934" s="166">
        <f>VLOOKUP(B934,'Thống kê'!$C$3:$M$682,4,0)</f>
        <v>98000</v>
      </c>
      <c r="E934" s="167">
        <v>1</v>
      </c>
      <c r="F934" s="168">
        <f t="shared" si="4"/>
        <v>98000</v>
      </c>
      <c r="G934" s="144"/>
      <c r="H934" s="402">
        <v>191618</v>
      </c>
    </row>
    <row r="935" spans="1:8" ht="13.2">
      <c r="A935" s="157"/>
      <c r="B935" s="16" t="s">
        <v>1515</v>
      </c>
      <c r="C935" s="143" t="e">
        <f>VLOOKUP(B935,'Thống kê'!$C$3:$D$669,2,0)</f>
        <v>#N/A</v>
      </c>
      <c r="D935" s="166">
        <f>VLOOKUP(B935,'Thống kê'!$C$3:$M$682,4,0)</f>
        <v>0</v>
      </c>
      <c r="E935" s="167">
        <v>1</v>
      </c>
      <c r="F935" s="168">
        <f t="shared" si="4"/>
        <v>0</v>
      </c>
      <c r="G935" s="144"/>
      <c r="H935" s="372"/>
    </row>
    <row r="936" spans="1:8" ht="13.2">
      <c r="A936" s="157"/>
      <c r="B936" s="16" t="s">
        <v>1817</v>
      </c>
      <c r="C936" s="143" t="e">
        <f>VLOOKUP(B936,'Thống kê'!$C$3:$D$669,2,0)</f>
        <v>#N/A</v>
      </c>
      <c r="D936" s="166" t="e">
        <f>VLOOKUP(B936,'Thống kê'!$C$3:$M$682,4,0)</f>
        <v>#N/A</v>
      </c>
      <c r="E936" s="167">
        <v>1</v>
      </c>
      <c r="F936" s="168" t="e">
        <f t="shared" si="4"/>
        <v>#N/A</v>
      </c>
      <c r="G936" s="144"/>
      <c r="H936" s="372"/>
    </row>
    <row r="937" spans="1:8" ht="13.2">
      <c r="A937" s="157"/>
      <c r="B937" s="16" t="s">
        <v>233</v>
      </c>
      <c r="C937" s="143" t="e">
        <f>VLOOKUP(B937,'Thống kê'!$C$3:$D$669,2,0)</f>
        <v>#N/A</v>
      </c>
      <c r="D937" s="166">
        <f>VLOOKUP(B937,'Thống kê'!$C$3:$M$682,4,0)</f>
        <v>0</v>
      </c>
      <c r="E937" s="167">
        <v>1</v>
      </c>
      <c r="F937" s="168">
        <f t="shared" si="4"/>
        <v>0</v>
      </c>
      <c r="G937" s="144"/>
      <c r="H937" s="402">
        <v>278374</v>
      </c>
    </row>
    <row r="938" spans="1:8" ht="13.2">
      <c r="A938" s="157"/>
      <c r="B938" s="16" t="s">
        <v>1515</v>
      </c>
      <c r="C938" s="143" t="e">
        <f>VLOOKUP(B938,'Thống kê'!$C$3:$D$669,2,0)</f>
        <v>#N/A</v>
      </c>
      <c r="D938" s="166">
        <f>VLOOKUP(B938,'Thống kê'!$C$3:$M$682,4,0)</f>
        <v>0</v>
      </c>
      <c r="E938" s="167">
        <v>1</v>
      </c>
      <c r="F938" s="168">
        <f t="shared" si="4"/>
        <v>0</v>
      </c>
      <c r="G938" s="144"/>
      <c r="H938" s="372"/>
    </row>
    <row r="939" spans="1:8" ht="13.2">
      <c r="A939" s="157"/>
      <c r="B939" s="16" t="s">
        <v>133</v>
      </c>
      <c r="C939" s="143">
        <f>VLOOKUP(B939,'Thống kê'!$C$3:$D$669,2,0)</f>
        <v>0</v>
      </c>
      <c r="D939" s="166">
        <f>VLOOKUP(B939,'Thống kê'!$C$3:$M$682,4,0)</f>
        <v>0</v>
      </c>
      <c r="E939" s="167">
        <v>1</v>
      </c>
      <c r="F939" s="168">
        <f t="shared" si="4"/>
        <v>0</v>
      </c>
      <c r="G939" s="144"/>
      <c r="H939" s="372"/>
    </row>
    <row r="940" spans="1:8" ht="13.2">
      <c r="A940" s="157"/>
      <c r="B940" s="16" t="s">
        <v>1660</v>
      </c>
      <c r="C940" s="143" t="str">
        <f>VLOOKUP(B940,'Thống kê'!$C$3:$D$669,2,0)</f>
        <v>Móc khóa Popbean Skull Panda</v>
      </c>
      <c r="D940" s="166">
        <f>VLOOKUP(B940,'Thống kê'!$C$3:$M$682,4,0)</f>
        <v>155000</v>
      </c>
      <c r="E940" s="167">
        <v>1</v>
      </c>
      <c r="F940" s="168">
        <f t="shared" si="4"/>
        <v>155000</v>
      </c>
      <c r="G940" s="144"/>
      <c r="H940" s="175">
        <v>94300</v>
      </c>
    </row>
    <row r="941" spans="1:8" ht="13.2">
      <c r="A941" s="157"/>
      <c r="B941" s="16" t="s">
        <v>1687</v>
      </c>
      <c r="C941" s="143">
        <f>VLOOKUP(B941,'Thống kê'!$C$3:$D$669,2,0)</f>
        <v>0</v>
      </c>
      <c r="D941" s="166">
        <f>VLOOKUP(B941,'Thống kê'!$C$3:$M$682,4,0)</f>
        <v>0</v>
      </c>
      <c r="E941" s="167">
        <v>1</v>
      </c>
      <c r="F941" s="168">
        <f t="shared" si="4"/>
        <v>0</v>
      </c>
      <c r="G941" s="144"/>
      <c r="H941" s="402">
        <v>194635</v>
      </c>
    </row>
    <row r="942" spans="1:8" ht="13.2">
      <c r="A942" s="157"/>
      <c r="B942" s="16" t="s">
        <v>1388</v>
      </c>
      <c r="C942" s="143" t="str">
        <f>VLOOKUP(B942,'Thống kê'!$C$3:$D$669,2,0)</f>
        <v>Móc khoá Crybaby mini Popmart</v>
      </c>
      <c r="D942" s="166">
        <f>VLOOKUP(B942,'Thống kê'!$C$3:$M$682,4,0)</f>
        <v>0</v>
      </c>
      <c r="E942" s="167">
        <v>1</v>
      </c>
      <c r="F942" s="168">
        <f t="shared" si="4"/>
        <v>0</v>
      </c>
      <c r="G942" s="144"/>
      <c r="H942" s="372"/>
    </row>
    <row r="943" spans="1:8" ht="13.2">
      <c r="A943" s="157">
        <v>45715</v>
      </c>
      <c r="B943" s="16" t="s">
        <v>1623</v>
      </c>
      <c r="C943" s="143" t="str">
        <f>VLOOKUP(B943,'Thống kê'!$C$3:$D$669,2,0)</f>
        <v>Mô hình mèo 5</v>
      </c>
      <c r="D943" s="166">
        <f>VLOOKUP(B943,'Thống kê'!$C$3:$M$682,4,0)</f>
        <v>37800</v>
      </c>
      <c r="E943" s="167">
        <v>1</v>
      </c>
      <c r="F943" s="168">
        <f t="shared" si="4"/>
        <v>37800</v>
      </c>
      <c r="G943" s="144"/>
      <c r="H943" s="175">
        <v>34015</v>
      </c>
    </row>
    <row r="944" spans="1:8" ht="13.2">
      <c r="A944" s="157"/>
      <c r="B944" s="16" t="s">
        <v>245</v>
      </c>
      <c r="C944" s="143" t="str">
        <f>VLOOKUP(B944,'Thống kê'!$C$3:$D$669,2,0)</f>
        <v>Móc khóa Popbean</v>
      </c>
      <c r="D944" s="166">
        <f>VLOOKUP(B944,'Thống kê'!$C$3:$M$682,4,0)</f>
        <v>148000</v>
      </c>
      <c r="E944" s="167">
        <v>1</v>
      </c>
      <c r="F944" s="168">
        <f t="shared" si="4"/>
        <v>148000</v>
      </c>
      <c r="G944" s="144"/>
      <c r="H944" s="402">
        <v>241408</v>
      </c>
    </row>
    <row r="945" spans="1:8" ht="13.2">
      <c r="A945" s="157"/>
      <c r="B945" s="16" t="s">
        <v>1687</v>
      </c>
      <c r="C945" s="143">
        <f>VLOOKUP(B945,'Thống kê'!$C$3:$D$669,2,0)</f>
        <v>0</v>
      </c>
      <c r="D945" s="166">
        <f>VLOOKUP(B945,'Thống kê'!$C$3:$M$682,4,0)</f>
        <v>0</v>
      </c>
      <c r="E945" s="167">
        <v>1</v>
      </c>
      <c r="F945" s="168">
        <f t="shared" si="4"/>
        <v>0</v>
      </c>
      <c r="G945" s="144"/>
      <c r="H945" s="372"/>
    </row>
    <row r="946" spans="1:8" ht="13.2">
      <c r="A946" s="157"/>
      <c r="B946" s="16" t="s">
        <v>1384</v>
      </c>
      <c r="C946" s="143" t="str">
        <f>VLOOKUP(B946,'Thống kê'!$C$3:$D$669,2,0)</f>
        <v>Móc khoá Crybaby mini Popmart</v>
      </c>
      <c r="D946" s="166">
        <f>VLOOKUP(B946,'Thống kê'!$C$3:$M$682,4,0)</f>
        <v>0</v>
      </c>
      <c r="E946" s="167">
        <v>1</v>
      </c>
      <c r="F946" s="168">
        <f t="shared" si="4"/>
        <v>0</v>
      </c>
      <c r="G946" s="144"/>
      <c r="H946" s="175">
        <v>77475</v>
      </c>
    </row>
    <row r="947" spans="1:8" ht="13.2">
      <c r="A947" s="157"/>
      <c r="B947" s="16" t="s">
        <v>234</v>
      </c>
      <c r="C947" s="143" t="str">
        <f>VLOOKUP(B947,'Thống kê'!$C$3:$D$669,2,0)</f>
        <v>Móc khoá skullpanda phiên bản mini</v>
      </c>
      <c r="D947" s="166">
        <f>VLOOKUP(B947,'Thống kê'!$C$3:$M$682,4,0)</f>
        <v>98000</v>
      </c>
      <c r="E947" s="167">
        <v>1</v>
      </c>
      <c r="F947" s="168">
        <f t="shared" si="4"/>
        <v>98000</v>
      </c>
      <c r="G947" s="144"/>
      <c r="H947" s="402">
        <v>235373</v>
      </c>
    </row>
    <row r="948" spans="1:8" ht="13.2">
      <c r="A948" s="157"/>
      <c r="B948" s="16" t="s">
        <v>1384</v>
      </c>
      <c r="C948" s="143" t="str">
        <f>VLOOKUP(B948,'Thống kê'!$C$3:$D$669,2,0)</f>
        <v>Móc khoá Crybaby mini Popmart</v>
      </c>
      <c r="D948" s="166">
        <f>VLOOKUP(B948,'Thống kê'!$C$3:$M$682,4,0)</f>
        <v>0</v>
      </c>
      <c r="E948" s="167">
        <v>1</v>
      </c>
      <c r="F948" s="168">
        <f t="shared" si="4"/>
        <v>0</v>
      </c>
      <c r="G948" s="144"/>
      <c r="H948" s="372"/>
    </row>
    <row r="949" spans="1:8" ht="13.2">
      <c r="A949" s="157"/>
      <c r="B949" s="16" t="s">
        <v>1386</v>
      </c>
      <c r="C949" s="143" t="str">
        <f>VLOOKUP(B949,'Thống kê'!$C$3:$D$669,2,0)</f>
        <v>Móc khoá Crybaby mini Popmart</v>
      </c>
      <c r="D949" s="166">
        <f>VLOOKUP(B949,'Thống kê'!$C$3:$M$682,4,0)</f>
        <v>0</v>
      </c>
      <c r="E949" s="167">
        <v>1</v>
      </c>
      <c r="F949" s="168">
        <f t="shared" si="4"/>
        <v>0</v>
      </c>
      <c r="G949" s="144"/>
      <c r="H949" s="373"/>
    </row>
    <row r="950" spans="1:8" ht="13.2">
      <c r="A950" s="157"/>
      <c r="B950" s="16" t="s">
        <v>1479</v>
      </c>
      <c r="C950" s="143">
        <f>VLOOKUP(B950,'Thống kê'!$C$3:$D$669,2,0)</f>
        <v>0</v>
      </c>
      <c r="D950" s="166">
        <f>VLOOKUP(B950,'Thống kê'!$C$3:$M$682,4,0)</f>
        <v>0</v>
      </c>
      <c r="E950" s="167">
        <v>1</v>
      </c>
      <c r="F950" s="168">
        <f t="shared" si="4"/>
        <v>0</v>
      </c>
      <c r="G950" s="144"/>
      <c r="H950" s="178">
        <v>57928</v>
      </c>
    </row>
    <row r="951" spans="1:8" ht="13.2">
      <c r="A951" s="157"/>
      <c r="B951" s="16" t="s">
        <v>133</v>
      </c>
      <c r="C951" s="143">
        <f>VLOOKUP(B951,'Thống kê'!$C$3:$D$669,2,0)</f>
        <v>0</v>
      </c>
      <c r="D951" s="166">
        <f>VLOOKUP(B951,'Thống kê'!$C$3:$M$682,4,0)</f>
        <v>0</v>
      </c>
      <c r="E951" s="167">
        <v>1</v>
      </c>
      <c r="F951" s="168">
        <f t="shared" si="4"/>
        <v>0</v>
      </c>
      <c r="G951" s="144"/>
      <c r="H951" s="402">
        <v>248198</v>
      </c>
    </row>
    <row r="952" spans="1:8" ht="13.2">
      <c r="A952" s="157"/>
      <c r="B952" s="16" t="s">
        <v>1387</v>
      </c>
      <c r="C952" s="143" t="str">
        <f>VLOOKUP(B952,'Thống kê'!$C$3:$D$669,2,0)</f>
        <v>Móc khoá Crybaby mini Popmart</v>
      </c>
      <c r="D952" s="166">
        <f>VLOOKUP(B952,'Thống kê'!$C$3:$M$682,4,0)</f>
        <v>0</v>
      </c>
      <c r="E952" s="167">
        <v>1</v>
      </c>
      <c r="F952" s="168">
        <f t="shared" si="4"/>
        <v>0</v>
      </c>
      <c r="G952" s="144"/>
      <c r="H952" s="372"/>
    </row>
    <row r="953" spans="1:8" ht="13.2">
      <c r="A953" s="157"/>
      <c r="B953" s="16" t="s">
        <v>1384</v>
      </c>
      <c r="C953" s="143" t="str">
        <f>VLOOKUP(B953,'Thống kê'!$C$3:$D$669,2,0)</f>
        <v>Móc khoá Crybaby mini Popmart</v>
      </c>
      <c r="D953" s="166">
        <f>VLOOKUP(B953,'Thống kê'!$C$3:$M$682,4,0)</f>
        <v>0</v>
      </c>
      <c r="E953" s="167">
        <v>1</v>
      </c>
      <c r="F953" s="168">
        <f t="shared" si="4"/>
        <v>0</v>
      </c>
      <c r="G953" s="144"/>
      <c r="H953" s="372"/>
    </row>
    <row r="954" spans="1:8" ht="13.2">
      <c r="A954" s="157"/>
      <c r="B954" s="16" t="s">
        <v>267</v>
      </c>
      <c r="C954" s="143">
        <f>VLOOKUP(B954,'Thống kê'!$C$3:$D$669,2,0)</f>
        <v>0</v>
      </c>
      <c r="D954" s="166">
        <f>VLOOKUP(B954,'Thống kê'!$C$3:$M$682,4,0)</f>
        <v>0</v>
      </c>
      <c r="E954" s="167">
        <v>1</v>
      </c>
      <c r="F954" s="168">
        <f t="shared" si="4"/>
        <v>0</v>
      </c>
      <c r="G954" s="144"/>
      <c r="H954" s="175">
        <v>146910</v>
      </c>
    </row>
    <row r="955" spans="1:8" ht="13.2">
      <c r="A955" s="157"/>
      <c r="B955" s="16" t="s">
        <v>1760</v>
      </c>
      <c r="C955" s="143">
        <f>VLOOKUP(B955,'Thống kê'!$C$3:$D$669,2,0)</f>
        <v>0</v>
      </c>
      <c r="D955" s="166">
        <f>VLOOKUP(B955,'Thống kê'!$C$3:$M$682,4,0)</f>
        <v>0</v>
      </c>
      <c r="E955" s="167">
        <v>1</v>
      </c>
      <c r="F955" s="168">
        <f t="shared" si="4"/>
        <v>0</v>
      </c>
      <c r="G955" s="144"/>
      <c r="H955" s="175">
        <v>70515</v>
      </c>
    </row>
    <row r="956" spans="1:8" ht="13.2">
      <c r="A956" s="157"/>
      <c r="B956" s="16" t="s">
        <v>1464</v>
      </c>
      <c r="C956" s="143">
        <f>VLOOKUP(B956,'Thống kê'!$C$3:$D$669,2,0)</f>
        <v>0</v>
      </c>
      <c r="D956" s="166">
        <f>VLOOKUP(B956,'Thống kê'!$C$3:$M$682,4,0)</f>
        <v>0</v>
      </c>
      <c r="E956" s="167">
        <v>-1</v>
      </c>
      <c r="F956" s="168">
        <f t="shared" si="4"/>
        <v>0</v>
      </c>
      <c r="G956" s="144"/>
      <c r="H956" s="402">
        <v>-356400</v>
      </c>
    </row>
    <row r="957" spans="1:8" ht="13.2">
      <c r="A957" s="157"/>
      <c r="B957" s="16" t="s">
        <v>1466</v>
      </c>
      <c r="C957" s="143">
        <f>VLOOKUP(B957,'Thống kê'!$C$3:$D$669,2,0)</f>
        <v>0</v>
      </c>
      <c r="D957" s="166">
        <f>VLOOKUP(B957,'Thống kê'!$C$3:$M$682,4,0)</f>
        <v>0</v>
      </c>
      <c r="E957" s="167">
        <v>-1</v>
      </c>
      <c r="F957" s="168">
        <f t="shared" si="4"/>
        <v>0</v>
      </c>
      <c r="G957" s="144"/>
      <c r="H957" s="372"/>
    </row>
    <row r="958" spans="1:8" ht="13.2">
      <c r="A958" s="157"/>
      <c r="B958" s="16" t="s">
        <v>1387</v>
      </c>
      <c r="C958" s="143" t="str">
        <f>VLOOKUP(B958,'Thống kê'!$C$3:$D$669,2,0)</f>
        <v>Móc khoá Crybaby mini Popmart</v>
      </c>
      <c r="D958" s="166">
        <f>VLOOKUP(B958,'Thống kê'!$C$3:$M$682,4,0)</f>
        <v>0</v>
      </c>
      <c r="E958" s="167">
        <v>-1</v>
      </c>
      <c r="F958" s="168">
        <f t="shared" si="4"/>
        <v>0</v>
      </c>
      <c r="G958" s="144"/>
      <c r="H958" s="372"/>
    </row>
    <row r="959" spans="1:8" ht="13.2">
      <c r="A959" s="157"/>
      <c r="B959" s="16" t="s">
        <v>1388</v>
      </c>
      <c r="C959" s="143" t="str">
        <f>VLOOKUP(B959,'Thống kê'!$C$3:$D$669,2,0)</f>
        <v>Móc khoá Crybaby mini Popmart</v>
      </c>
      <c r="D959" s="166">
        <f>VLOOKUP(B959,'Thống kê'!$C$3:$M$682,4,0)</f>
        <v>0</v>
      </c>
      <c r="E959" s="167">
        <v>-1</v>
      </c>
      <c r="F959" s="168">
        <f t="shared" si="4"/>
        <v>0</v>
      </c>
      <c r="G959" s="144"/>
      <c r="H959" s="372"/>
    </row>
    <row r="960" spans="1:8" ht="13.2">
      <c r="A960" s="157"/>
      <c r="B960" s="16" t="s">
        <v>1519</v>
      </c>
      <c r="C960" s="143" t="e">
        <f>VLOOKUP(B960,'Thống kê'!$C$3:$D$669,2,0)</f>
        <v>#N/A</v>
      </c>
      <c r="D960" s="166">
        <f>VLOOKUP(B960,'Thống kê'!$C$3:$M$682,4,0)</f>
        <v>0</v>
      </c>
      <c r="E960" s="167">
        <v>-1</v>
      </c>
      <c r="F960" s="168">
        <f t="shared" si="4"/>
        <v>0</v>
      </c>
      <c r="G960" s="144"/>
      <c r="H960" s="402">
        <v>-113000</v>
      </c>
    </row>
    <row r="961" spans="1:8" ht="13.2">
      <c r="A961" s="157"/>
      <c r="B961" s="16" t="s">
        <v>1705</v>
      </c>
      <c r="C961" s="143" t="str">
        <f>VLOOKUP(B961,'Thống kê'!$C$3:$D$669,2,0)</f>
        <v>Dây treo điện thoại có charm xinh xắn</v>
      </c>
      <c r="D961" s="166">
        <f>VLOOKUP(B961,'Thống kê'!$C$3:$M$682,4,0)</f>
        <v>27000</v>
      </c>
      <c r="E961" s="167">
        <v>-2</v>
      </c>
      <c r="F961" s="168">
        <f t="shared" si="4"/>
        <v>-54000</v>
      </c>
      <c r="G961" s="144"/>
      <c r="H961" s="372"/>
    </row>
    <row r="962" spans="1:8" ht="13.2">
      <c r="A962" s="157"/>
      <c r="B962" s="16" t="s">
        <v>1480</v>
      </c>
      <c r="C962" s="143">
        <f>VLOOKUP(B962,'Thống kê'!$C$3:$D$669,2,0)</f>
        <v>0</v>
      </c>
      <c r="D962" s="166">
        <f>VLOOKUP(B962,'Thống kê'!$C$3:$M$682,4,0)</f>
        <v>0</v>
      </c>
      <c r="E962" s="167">
        <v>-1</v>
      </c>
      <c r="F962" s="168">
        <f t="shared" si="4"/>
        <v>0</v>
      </c>
      <c r="G962" s="144"/>
      <c r="H962" s="175">
        <v>-103000</v>
      </c>
    </row>
    <row r="963" spans="1:8" ht="13.2">
      <c r="A963" s="157"/>
      <c r="B963" s="16" t="s">
        <v>1384</v>
      </c>
      <c r="C963" s="143" t="str">
        <f>VLOOKUP(B963,'Thống kê'!$C$3:$D$669,2,0)</f>
        <v>Móc khoá Crybaby mini Popmart</v>
      </c>
      <c r="D963" s="166">
        <f>VLOOKUP(B963,'Thống kê'!$C$3:$M$682,4,0)</f>
        <v>0</v>
      </c>
      <c r="E963" s="167">
        <v>1</v>
      </c>
      <c r="F963" s="168">
        <f t="shared" si="4"/>
        <v>0</v>
      </c>
      <c r="G963" s="144"/>
      <c r="H963" s="402">
        <v>155406</v>
      </c>
    </row>
    <row r="964" spans="1:8" ht="13.2">
      <c r="A964" s="157"/>
      <c r="B964" s="16" t="s">
        <v>1386</v>
      </c>
      <c r="C964" s="143" t="str">
        <f>VLOOKUP(B964,'Thống kê'!$C$3:$D$669,2,0)</f>
        <v>Móc khoá Crybaby mini Popmart</v>
      </c>
      <c r="D964" s="166">
        <f>VLOOKUP(B964,'Thống kê'!$C$3:$M$682,4,0)</f>
        <v>0</v>
      </c>
      <c r="E964" s="167">
        <v>1</v>
      </c>
      <c r="F964" s="168">
        <f t="shared" si="4"/>
        <v>0</v>
      </c>
      <c r="G964" s="144"/>
      <c r="H964" s="372"/>
    </row>
    <row r="965" spans="1:8" ht="13.2">
      <c r="A965" s="157"/>
      <c r="B965" s="16" t="s">
        <v>1473</v>
      </c>
      <c r="C965" s="143">
        <f>VLOOKUP(B965,'Thống kê'!$C$3:$D$669,2,0)</f>
        <v>0</v>
      </c>
      <c r="D965" s="166">
        <f>VLOOKUP(B965,'Thống kê'!$C$3:$M$682,4,0)</f>
        <v>0</v>
      </c>
      <c r="E965" s="167">
        <v>1</v>
      </c>
      <c r="F965" s="168">
        <f t="shared" si="4"/>
        <v>0</v>
      </c>
      <c r="G965" s="144"/>
      <c r="H965" s="402">
        <v>282532</v>
      </c>
    </row>
    <row r="966" spans="1:8" ht="13.2">
      <c r="A966" s="157"/>
      <c r="B966" s="16" t="s">
        <v>1472</v>
      </c>
      <c r="C966" s="143">
        <f>VLOOKUP(B966,'Thống kê'!$C$3:$D$669,2,0)</f>
        <v>0</v>
      </c>
      <c r="D966" s="166">
        <f>VLOOKUP(B966,'Thống kê'!$C$3:$M$682,4,0)</f>
        <v>0</v>
      </c>
      <c r="E966" s="167">
        <v>1</v>
      </c>
      <c r="F966" s="168">
        <f t="shared" si="4"/>
        <v>0</v>
      </c>
      <c r="G966" s="144"/>
      <c r="H966" s="372"/>
    </row>
    <row r="967" spans="1:8" ht="13.2">
      <c r="A967" s="157"/>
      <c r="B967" s="16" t="s">
        <v>196</v>
      </c>
      <c r="C967" s="143">
        <f>VLOOKUP(B967,'Thống kê'!$C$3:$D$669,2,0)</f>
        <v>0</v>
      </c>
      <c r="D967" s="166">
        <f>VLOOKUP(B967,'Thống kê'!$C$3:$M$682,4,0)</f>
        <v>0</v>
      </c>
      <c r="E967" s="167">
        <v>1</v>
      </c>
      <c r="F967" s="168">
        <f t="shared" si="4"/>
        <v>0</v>
      </c>
      <c r="G967" s="144"/>
      <c r="H967" s="175">
        <v>63065</v>
      </c>
    </row>
    <row r="968" spans="1:8" ht="13.2">
      <c r="A968" s="157"/>
      <c r="B968" s="16" t="s">
        <v>1382</v>
      </c>
      <c r="C968" s="143" t="str">
        <f>VLOOKUP(B968,'Thống kê'!$C$3:$D$669,2,0)</f>
        <v>miếng dán silicon điện thoại</v>
      </c>
      <c r="D968" s="166">
        <f>VLOOKUP(B968,'Thống kê'!$C$3:$M$682,4,0)</f>
        <v>0</v>
      </c>
      <c r="E968" s="167">
        <v>1</v>
      </c>
      <c r="F968" s="168">
        <f t="shared" si="4"/>
        <v>0</v>
      </c>
      <c r="G968" s="144"/>
      <c r="H968" s="402">
        <v>65202</v>
      </c>
    </row>
    <row r="969" spans="1:8" ht="13.2">
      <c r="A969" s="157"/>
      <c r="B969" s="16" t="s">
        <v>196</v>
      </c>
      <c r="C969" s="143">
        <f>VLOOKUP(B969,'Thống kê'!$C$3:$D$669,2,0)</f>
        <v>0</v>
      </c>
      <c r="D969" s="166">
        <f>VLOOKUP(B969,'Thống kê'!$C$3:$M$682,4,0)</f>
        <v>0</v>
      </c>
      <c r="E969" s="167">
        <v>1</v>
      </c>
      <c r="F969" s="168">
        <f t="shared" si="4"/>
        <v>0</v>
      </c>
      <c r="G969" s="144"/>
      <c r="H969" s="372"/>
    </row>
    <row r="970" spans="1:8" ht="13.2">
      <c r="A970" s="157"/>
      <c r="B970" s="16" t="s">
        <v>1384</v>
      </c>
      <c r="C970" s="143" t="str">
        <f>VLOOKUP(B970,'Thống kê'!$C$3:$D$669,2,0)</f>
        <v>Móc khoá Crybaby mini Popmart</v>
      </c>
      <c r="D970" s="166">
        <f>VLOOKUP(B970,'Thống kê'!$C$3:$M$682,4,0)</f>
        <v>0</v>
      </c>
      <c r="E970" s="167">
        <v>1</v>
      </c>
      <c r="F970" s="168">
        <f t="shared" si="4"/>
        <v>0</v>
      </c>
      <c r="G970" s="144"/>
      <c r="H970" s="175">
        <v>77475</v>
      </c>
    </row>
    <row r="971" spans="1:8" ht="13.2">
      <c r="A971" s="157"/>
      <c r="B971" s="16" t="s">
        <v>1591</v>
      </c>
      <c r="C971" s="143" t="str">
        <f>VLOOKUP(B971,'Thống kê'!$C$3:$D$669,2,0)</f>
        <v>Thỏ ú</v>
      </c>
      <c r="D971" s="166">
        <f>VLOOKUP(B971,'Thống kê'!$C$3:$M$682,4,0)</f>
        <v>59500</v>
      </c>
      <c r="E971" s="167">
        <v>1</v>
      </c>
      <c r="F971" s="168">
        <f t="shared" si="4"/>
        <v>59500</v>
      </c>
      <c r="G971" s="144"/>
      <c r="H971" s="175">
        <v>52383</v>
      </c>
    </row>
    <row r="972" spans="1:8" ht="13.2">
      <c r="A972" s="157"/>
      <c r="B972" s="16" t="s">
        <v>1519</v>
      </c>
      <c r="C972" s="143" t="e">
        <f>VLOOKUP(B972,'Thống kê'!$C$3:$D$669,2,0)</f>
        <v>#N/A</v>
      </c>
      <c r="D972" s="166">
        <f>VLOOKUP(B972,'Thống kê'!$C$3:$M$682,4,0)</f>
        <v>0</v>
      </c>
      <c r="E972" s="167">
        <v>1</v>
      </c>
      <c r="F972" s="168">
        <f t="shared" si="4"/>
        <v>0</v>
      </c>
      <c r="G972" s="144"/>
      <c r="H972" s="402">
        <v>116440</v>
      </c>
    </row>
    <row r="973" spans="1:8" ht="13.2">
      <c r="A973" s="157"/>
      <c r="B973" s="16" t="s">
        <v>1516</v>
      </c>
      <c r="C973" s="143" t="e">
        <f>VLOOKUP(B973,'Thống kê'!$C$3:$D$669,2,0)</f>
        <v>#N/A</v>
      </c>
      <c r="D973" s="166">
        <f>VLOOKUP(B973,'Thống kê'!$C$3:$M$682,4,0)</f>
        <v>0</v>
      </c>
      <c r="E973" s="167">
        <v>1</v>
      </c>
      <c r="F973" s="168">
        <f t="shared" si="4"/>
        <v>0</v>
      </c>
      <c r="G973" s="144"/>
      <c r="H973" s="372"/>
    </row>
    <row r="974" spans="1:8" ht="13.2">
      <c r="A974" s="157"/>
      <c r="B974" s="16" t="s">
        <v>1387</v>
      </c>
      <c r="C974" s="143" t="str">
        <f>VLOOKUP(B974,'Thống kê'!$C$3:$D$669,2,0)</f>
        <v>Móc khoá Crybaby mini Popmart</v>
      </c>
      <c r="D974" s="166">
        <f>VLOOKUP(B974,'Thống kê'!$C$3:$M$682,4,0)</f>
        <v>0</v>
      </c>
      <c r="E974" s="167">
        <v>1</v>
      </c>
      <c r="F974" s="168">
        <f t="shared" si="4"/>
        <v>0</v>
      </c>
      <c r="G974" s="144"/>
      <c r="H974" s="175">
        <v>76825</v>
      </c>
    </row>
    <row r="975" spans="1:8" ht="13.2">
      <c r="A975" s="193"/>
      <c r="B975" s="28" t="s">
        <v>133</v>
      </c>
      <c r="C975" s="143">
        <f>VLOOKUP(B975,'Thống kê'!$C$3:$D$669,2,0)</f>
        <v>0</v>
      </c>
      <c r="D975" s="166">
        <f>VLOOKUP(B975,'Thống kê'!$C$3:$M$682,4,0)</f>
        <v>0</v>
      </c>
      <c r="E975" s="167">
        <v>1</v>
      </c>
      <c r="F975" s="168">
        <f t="shared" si="4"/>
        <v>0</v>
      </c>
      <c r="G975" s="144"/>
      <c r="H975" s="402">
        <v>176859</v>
      </c>
    </row>
    <row r="976" spans="1:8" ht="13.8">
      <c r="A976" s="194"/>
      <c r="B976" s="195" t="s">
        <v>233</v>
      </c>
      <c r="C976" s="143" t="e">
        <f>VLOOKUP(B976,'Thống kê'!$C$3:$D$669,2,0)</f>
        <v>#N/A</v>
      </c>
      <c r="D976" s="166">
        <f>VLOOKUP(B976,'Thống kê'!$C$3:$M$682,4,0)</f>
        <v>0</v>
      </c>
      <c r="E976" s="167">
        <v>1</v>
      </c>
      <c r="F976" s="168">
        <f t="shared" si="4"/>
        <v>0</v>
      </c>
      <c r="G976" s="144"/>
      <c r="H976" s="372"/>
    </row>
    <row r="977" spans="1:8" ht="13.8">
      <c r="A977" s="194"/>
      <c r="B977" s="195" t="s">
        <v>196</v>
      </c>
      <c r="C977" s="143">
        <f>VLOOKUP(B977,'Thống kê'!$C$3:$D$669,2,0)</f>
        <v>0</v>
      </c>
      <c r="D977" s="166">
        <f>VLOOKUP(B977,'Thống kê'!$C$3:$M$682,4,0)</f>
        <v>0</v>
      </c>
      <c r="E977" s="167">
        <v>1</v>
      </c>
      <c r="F977" s="168">
        <f t="shared" si="4"/>
        <v>0</v>
      </c>
      <c r="G977" s="144"/>
      <c r="H977" s="372"/>
    </row>
    <row r="978" spans="1:8" ht="13.8">
      <c r="A978" s="194"/>
      <c r="B978" s="195" t="s">
        <v>1458</v>
      </c>
      <c r="C978" s="143">
        <f>VLOOKUP(B978,'Thống kê'!$C$3:$D$669,2,0)</f>
        <v>0</v>
      </c>
      <c r="D978" s="166">
        <f>VLOOKUP(B978,'Thống kê'!$C$3:$M$682,4,0)</f>
        <v>85000</v>
      </c>
      <c r="E978" s="167">
        <v>1</v>
      </c>
      <c r="F978" s="168">
        <f t="shared" si="4"/>
        <v>85000</v>
      </c>
      <c r="G978" s="144"/>
      <c r="H978" s="402">
        <v>123000</v>
      </c>
    </row>
    <row r="979" spans="1:8" ht="13.8">
      <c r="A979" s="194"/>
      <c r="B979" s="195" t="s">
        <v>196</v>
      </c>
      <c r="C979" s="143">
        <f>VLOOKUP(B979,'Thống kê'!$C$3:$D$669,2,0)</f>
        <v>0</v>
      </c>
      <c r="D979" s="166">
        <f>VLOOKUP(B979,'Thống kê'!$C$3:$M$682,4,0)</f>
        <v>0</v>
      </c>
      <c r="E979" s="167">
        <v>1</v>
      </c>
      <c r="F979" s="168">
        <f t="shared" si="4"/>
        <v>0</v>
      </c>
      <c r="G979" s="144"/>
      <c r="H979" s="372"/>
    </row>
    <row r="980" spans="1:8" ht="13.8">
      <c r="A980" s="194"/>
      <c r="B980" s="195" t="s">
        <v>258</v>
      </c>
      <c r="C980" s="143" t="str">
        <f>VLOOKUP(B980,'Thống kê'!$C$3:$D$669,2,0)</f>
        <v>Móc khoá Crybaby mini Popmart</v>
      </c>
      <c r="D980" s="166">
        <f>VLOOKUP(B980,'Thống kê'!$C$3:$M$682,4,0)</f>
        <v>0</v>
      </c>
      <c r="E980" s="167">
        <v>1</v>
      </c>
      <c r="F980" s="168">
        <f t="shared" si="4"/>
        <v>0</v>
      </c>
      <c r="G980" s="144"/>
      <c r="H980" s="175">
        <v>77000</v>
      </c>
    </row>
    <row r="981" spans="1:8" ht="13.2">
      <c r="A981" s="194"/>
      <c r="B981" s="28" t="s">
        <v>1384</v>
      </c>
      <c r="C981" s="143" t="str">
        <f>VLOOKUP(B981,'Thống kê'!$C$3:$D$669,2,0)</f>
        <v>Móc khoá Crybaby mini Popmart</v>
      </c>
      <c r="D981" s="166">
        <f>VLOOKUP(B981,'Thống kê'!$C$3:$M$682,4,0)</f>
        <v>0</v>
      </c>
      <c r="E981" s="167">
        <v>1</v>
      </c>
      <c r="F981" s="168">
        <f t="shared" si="4"/>
        <v>0</v>
      </c>
      <c r="G981" s="144"/>
      <c r="H981" s="175">
        <v>77500</v>
      </c>
    </row>
    <row r="982" spans="1:8" ht="13.2">
      <c r="A982" s="194"/>
      <c r="B982" s="28" t="s">
        <v>1384</v>
      </c>
      <c r="C982" s="143" t="str">
        <f>VLOOKUP(B982,'Thống kê'!$C$3:$D$669,2,0)</f>
        <v>Móc khoá Crybaby mini Popmart</v>
      </c>
      <c r="D982" s="166">
        <f>VLOOKUP(B982,'Thống kê'!$C$3:$M$682,4,0)</f>
        <v>0</v>
      </c>
      <c r="E982" s="167">
        <v>1</v>
      </c>
      <c r="F982" s="168">
        <f t="shared" si="4"/>
        <v>0</v>
      </c>
      <c r="G982" s="144"/>
      <c r="H982" s="175">
        <v>77500</v>
      </c>
    </row>
    <row r="983" spans="1:8" ht="13.2">
      <c r="A983" s="194">
        <v>45716</v>
      </c>
      <c r="B983" s="28" t="s">
        <v>1472</v>
      </c>
      <c r="C983" s="143">
        <f>VLOOKUP(B983,'Thống kê'!$C$3:$D$669,2,0)</f>
        <v>0</v>
      </c>
      <c r="D983" s="166">
        <f>VLOOKUP(B983,'Thống kê'!$C$3:$M$682,4,0)</f>
        <v>0</v>
      </c>
      <c r="E983" s="167">
        <v>1</v>
      </c>
      <c r="F983" s="168">
        <f t="shared" si="4"/>
        <v>0</v>
      </c>
      <c r="G983" s="144"/>
      <c r="H983" s="175">
        <v>142760</v>
      </c>
    </row>
    <row r="984" spans="1:8" ht="13.2">
      <c r="A984" s="194"/>
      <c r="B984" s="28" t="s">
        <v>234</v>
      </c>
      <c r="C984" s="143" t="str">
        <f>VLOOKUP(B984,'Thống kê'!$C$3:$D$669,2,0)</f>
        <v>Móc khoá skullpanda phiên bản mini</v>
      </c>
      <c r="D984" s="166">
        <f>VLOOKUP(B984,'Thống kê'!$C$3:$M$682,4,0)</f>
        <v>98000</v>
      </c>
      <c r="E984" s="167">
        <v>1</v>
      </c>
      <c r="F984" s="168">
        <f t="shared" si="4"/>
        <v>98000</v>
      </c>
      <c r="G984" s="144"/>
      <c r="H984" s="402">
        <v>153672</v>
      </c>
    </row>
    <row r="985" spans="1:8" ht="13.2">
      <c r="A985" s="194"/>
      <c r="B985" s="28" t="s">
        <v>1389</v>
      </c>
      <c r="C985" s="143" t="str">
        <f>VLOOKUP(B985,'Thống kê'!$C$3:$D$669,2,0)</f>
        <v>Móc khoá Crybaby mini Popmart</v>
      </c>
      <c r="D985" s="166">
        <f>VLOOKUP(B985,'Thống kê'!$C$3:$M$682,4,0)</f>
        <v>0</v>
      </c>
      <c r="E985" s="167">
        <v>1</v>
      </c>
      <c r="F985" s="168">
        <f t="shared" si="4"/>
        <v>0</v>
      </c>
      <c r="G985" s="144"/>
      <c r="H985" s="372"/>
    </row>
    <row r="986" spans="1:8" ht="13.2">
      <c r="A986" s="194"/>
      <c r="B986" s="28" t="s">
        <v>262</v>
      </c>
      <c r="C986" s="143" t="str">
        <f>VLOOKUP(B986,'Thống kê'!$C$3:$D$669,2,0)</f>
        <v>Pop Bean Baked Bread</v>
      </c>
      <c r="D986" s="166">
        <f>VLOOKUP(B986,'Thống kê'!$C$3:$M$682,4,0)</f>
        <v>167000</v>
      </c>
      <c r="E986" s="167">
        <v>1</v>
      </c>
      <c r="F986" s="168">
        <f t="shared" si="4"/>
        <v>167000</v>
      </c>
      <c r="G986" s="144"/>
      <c r="H986" s="175">
        <v>126160</v>
      </c>
    </row>
    <row r="987" spans="1:8" ht="13.2">
      <c r="A987" s="194"/>
      <c r="B987" s="28" t="s">
        <v>258</v>
      </c>
      <c r="C987" s="143" t="str">
        <f>VLOOKUP(B987,'Thống kê'!$C$3:$D$669,2,0)</f>
        <v>Móc khoá Crybaby mini Popmart</v>
      </c>
      <c r="D987" s="166">
        <f>VLOOKUP(B987,'Thống kê'!$C$3:$M$682,4,0)</f>
        <v>0</v>
      </c>
      <c r="E987" s="167">
        <v>1</v>
      </c>
      <c r="F987" s="168">
        <f t="shared" si="4"/>
        <v>0</v>
      </c>
      <c r="G987" s="144"/>
      <c r="H987" s="175">
        <v>77825</v>
      </c>
    </row>
    <row r="988" spans="1:8" ht="13.2">
      <c r="A988" s="196"/>
      <c r="B988" s="28" t="s">
        <v>77</v>
      </c>
      <c r="C988" s="143">
        <f>VLOOKUP(B988,'Thống kê'!$C$3:$D$669,2,0)</f>
        <v>0</v>
      </c>
      <c r="D988" s="166">
        <f>VLOOKUP(B988,'Thống kê'!$C$3:$M$682,4,0)</f>
        <v>0</v>
      </c>
      <c r="E988" s="167">
        <v>1</v>
      </c>
      <c r="F988" s="168">
        <f t="shared" si="4"/>
        <v>0</v>
      </c>
      <c r="G988" s="144"/>
      <c r="H988" s="402">
        <v>161252</v>
      </c>
    </row>
    <row r="989" spans="1:8" ht="13.2">
      <c r="A989" s="154"/>
      <c r="B989" s="28" t="s">
        <v>233</v>
      </c>
      <c r="C989" s="143" t="e">
        <f>VLOOKUP(B989,'Thống kê'!$C$3:$D$669,2,0)</f>
        <v>#N/A</v>
      </c>
      <c r="D989" s="166">
        <f>VLOOKUP(B989,'Thống kê'!$C$3:$M$682,4,0)</f>
        <v>0</v>
      </c>
      <c r="E989" s="167">
        <v>1</v>
      </c>
      <c r="F989" s="168">
        <f t="shared" si="4"/>
        <v>0</v>
      </c>
      <c r="G989" s="144"/>
      <c r="H989" s="372"/>
    </row>
    <row r="990" spans="1:8" ht="13.2">
      <c r="A990" s="188"/>
      <c r="B990" s="28" t="s">
        <v>1517</v>
      </c>
      <c r="C990" s="143" t="e">
        <f>VLOOKUP(B990,'Thống kê'!$C$3:$D$669,2,0)</f>
        <v>#N/A</v>
      </c>
      <c r="D990" s="166">
        <f>VLOOKUP(B990,'Thống kê'!$C$3:$M$682,4,0)</f>
        <v>0</v>
      </c>
      <c r="E990" s="167">
        <v>1</v>
      </c>
      <c r="F990" s="168">
        <f t="shared" si="4"/>
        <v>0</v>
      </c>
      <c r="G990" s="144"/>
      <c r="H990" s="372"/>
    </row>
    <row r="991" spans="1:8" ht="13.2">
      <c r="A991" s="188"/>
      <c r="B991" s="28" t="s">
        <v>1340</v>
      </c>
      <c r="C991" s="143" t="str">
        <f>VLOOKUP(B991,'Thống kê'!$C$3:$D$669,2,0)</f>
        <v>Móc khóa chuối</v>
      </c>
      <c r="D991" s="166">
        <f>VLOOKUP(B991,'Thống kê'!$C$3:$M$682,4,0)</f>
        <v>148000</v>
      </c>
      <c r="E991" s="167">
        <v>1</v>
      </c>
      <c r="F991" s="168">
        <f t="shared" si="4"/>
        <v>148000</v>
      </c>
      <c r="G991" s="144"/>
      <c r="H991" s="402">
        <v>66570</v>
      </c>
    </row>
    <row r="992" spans="1:8" ht="13.2">
      <c r="A992" s="188"/>
      <c r="B992" s="28" t="s">
        <v>1568</v>
      </c>
      <c r="C992" s="143" t="e">
        <f>VLOOKUP(B992,'Thống kê'!$C$3:$D$669,2,0)</f>
        <v>#N/A</v>
      </c>
      <c r="D992" s="166" t="e">
        <f>VLOOKUP(B992,'Thống kê'!$C$3:$M$682,4,0)</f>
        <v>#N/A</v>
      </c>
      <c r="E992" s="167">
        <v>1</v>
      </c>
      <c r="F992" s="168" t="e">
        <f t="shared" si="4"/>
        <v>#N/A</v>
      </c>
      <c r="G992" s="144"/>
      <c r="H992" s="372"/>
    </row>
    <row r="993" spans="1:8" ht="13.2">
      <c r="A993" s="188"/>
      <c r="B993" s="28" t="s">
        <v>150</v>
      </c>
      <c r="C993" s="143" t="str">
        <f>VLOOKUP(B993,'Thống kê'!$C$3:$D$669,2,0)</f>
        <v>Móc khóa có chuông</v>
      </c>
      <c r="D993" s="166">
        <f>VLOOKUP(B993,'Thống kê'!$C$3:$M$682,4,0)</f>
        <v>59000</v>
      </c>
      <c r="E993" s="167">
        <v>1</v>
      </c>
      <c r="F993" s="168">
        <f t="shared" si="4"/>
        <v>59000</v>
      </c>
      <c r="G993" s="144"/>
      <c r="H993" s="175">
        <v>44510</v>
      </c>
    </row>
    <row r="994" spans="1:8" ht="13.2">
      <c r="A994" s="188"/>
      <c r="B994" s="28" t="s">
        <v>1519</v>
      </c>
      <c r="C994" s="143" t="e">
        <f>VLOOKUP(B994,'Thống kê'!$C$3:$D$669,2,0)</f>
        <v>#N/A</v>
      </c>
      <c r="D994" s="166">
        <f>VLOOKUP(B994,'Thống kê'!$C$3:$M$682,4,0)</f>
        <v>0</v>
      </c>
      <c r="E994" s="167">
        <v>2</v>
      </c>
      <c r="F994" s="168">
        <f t="shared" si="4"/>
        <v>0</v>
      </c>
      <c r="G994" s="144"/>
      <c r="H994" s="175">
        <v>109715</v>
      </c>
    </row>
    <row r="995" spans="1:8" ht="13.2">
      <c r="A995" s="188"/>
      <c r="B995" s="28" t="s">
        <v>133</v>
      </c>
      <c r="C995" s="143">
        <f>VLOOKUP(B995,'Thống kê'!$C$3:$D$669,2,0)</f>
        <v>0</v>
      </c>
      <c r="D995" s="166">
        <f>VLOOKUP(B995,'Thống kê'!$C$3:$M$682,4,0)</f>
        <v>0</v>
      </c>
      <c r="E995" s="167">
        <v>1</v>
      </c>
      <c r="F995" s="168">
        <f t="shared" si="4"/>
        <v>0</v>
      </c>
      <c r="G995" s="144"/>
      <c r="H995" s="402">
        <v>110290</v>
      </c>
    </row>
    <row r="996" spans="1:8" ht="13.2">
      <c r="A996" s="188"/>
      <c r="B996" s="28" t="s">
        <v>77</v>
      </c>
      <c r="C996" s="143">
        <f>VLOOKUP(B996,'Thống kê'!$C$3:$D$669,2,0)</f>
        <v>0</v>
      </c>
      <c r="D996" s="166">
        <f>VLOOKUP(B996,'Thống kê'!$C$3:$M$682,4,0)</f>
        <v>0</v>
      </c>
      <c r="E996" s="167">
        <v>1</v>
      </c>
      <c r="F996" s="168">
        <f t="shared" si="4"/>
        <v>0</v>
      </c>
      <c r="G996" s="144"/>
      <c r="H996" s="372"/>
    </row>
    <row r="997" spans="1:8" ht="13.2">
      <c r="A997" s="188">
        <v>45717</v>
      </c>
      <c r="B997" s="28" t="s">
        <v>191</v>
      </c>
      <c r="C997" s="143" t="e">
        <f>VLOOKUP(B997,'Thống kê'!$C$3:$D$669,2,0)</f>
        <v>#N/A</v>
      </c>
      <c r="D997" s="166">
        <f>VLOOKUP(B997,'Thống kê'!$C$3:$M$682,4,0)</f>
        <v>0</v>
      </c>
      <c r="E997" s="167">
        <v>1</v>
      </c>
      <c r="F997" s="168">
        <f t="shared" si="4"/>
        <v>0</v>
      </c>
      <c r="G997" s="144"/>
      <c r="H997" s="402">
        <v>154086</v>
      </c>
    </row>
    <row r="998" spans="1:8" ht="13.2">
      <c r="A998" s="188"/>
      <c r="B998" s="28" t="s">
        <v>135</v>
      </c>
      <c r="C998" s="143" t="e">
        <f>VLOOKUP(B998,'Thống kê'!$C$3:$D$669,2,0)</f>
        <v>#N/A</v>
      </c>
      <c r="D998" s="166" t="e">
        <f>VLOOKUP(B998,'Thống kê'!$C$3:$M$682,4,0)</f>
        <v>#N/A</v>
      </c>
      <c r="E998" s="167">
        <v>1</v>
      </c>
      <c r="F998" s="168" t="e">
        <f t="shared" si="4"/>
        <v>#N/A</v>
      </c>
      <c r="G998" s="144"/>
      <c r="H998" s="372"/>
    </row>
    <row r="999" spans="1:8" ht="13.2">
      <c r="A999" s="188"/>
      <c r="B999" s="28" t="s">
        <v>1520</v>
      </c>
      <c r="C999" s="143" t="e">
        <f>VLOOKUP(B999,'Thống kê'!$C$3:$D$669,2,0)</f>
        <v>#N/A</v>
      </c>
      <c r="D999" s="166" t="e">
        <f>VLOOKUP(B999,'Thống kê'!$C$3:$M$682,4,0)</f>
        <v>#N/A</v>
      </c>
      <c r="E999" s="167">
        <v>1</v>
      </c>
      <c r="F999" s="168" t="e">
        <f t="shared" si="4"/>
        <v>#N/A</v>
      </c>
      <c r="G999" s="144"/>
      <c r="H999" s="372"/>
    </row>
    <row r="1000" spans="1:8" ht="13.2">
      <c r="A1000" s="188"/>
      <c r="B1000" s="28" t="s">
        <v>1522</v>
      </c>
      <c r="C1000" s="143" t="e">
        <f>VLOOKUP(B1000,'Thống kê'!$C$3:$D$669,2,0)</f>
        <v>#N/A</v>
      </c>
      <c r="D1000" s="166" t="e">
        <f>VLOOKUP(B1000,'Thống kê'!$C$3:$M$682,4,0)</f>
        <v>#N/A</v>
      </c>
      <c r="E1000" s="167">
        <v>1</v>
      </c>
      <c r="F1000" s="168" t="e">
        <f t="shared" si="4"/>
        <v>#N/A</v>
      </c>
      <c r="G1000" s="144"/>
      <c r="H1000" s="402">
        <v>175586</v>
      </c>
    </row>
    <row r="1001" spans="1:8" ht="13.2">
      <c r="A1001" s="188"/>
      <c r="B1001" s="28" t="s">
        <v>96</v>
      </c>
      <c r="C1001" s="143" t="e">
        <f>VLOOKUP(B1001,'Thống kê'!$C$3:$D$669,2,0)</f>
        <v>#N/A</v>
      </c>
      <c r="D1001" s="166">
        <f>VLOOKUP(B1001,'Thống kê'!$C$3:$M$682,4,0)</f>
        <v>0</v>
      </c>
      <c r="E1001" s="167">
        <v>1</v>
      </c>
      <c r="F1001" s="168">
        <f t="shared" si="4"/>
        <v>0</v>
      </c>
      <c r="G1001" s="144"/>
      <c r="H1001" s="372"/>
    </row>
    <row r="1002" spans="1:8" ht="13.2">
      <c r="A1002" s="188"/>
      <c r="B1002" s="28" t="s">
        <v>279</v>
      </c>
      <c r="C1002" s="143" t="e">
        <f>VLOOKUP(B1002,'Thống kê'!$C$3:$D$669,2,0)</f>
        <v>#N/A</v>
      </c>
      <c r="D1002" s="166" t="e">
        <f>VLOOKUP(B1002,'Thống kê'!$C$3:$M$682,4,0)</f>
        <v>#N/A</v>
      </c>
      <c r="E1002" s="167">
        <v>1</v>
      </c>
      <c r="F1002" s="168" t="e">
        <f t="shared" si="4"/>
        <v>#N/A</v>
      </c>
      <c r="G1002" s="144"/>
      <c r="H1002" s="372"/>
    </row>
    <row r="1003" spans="1:8" ht="13.2">
      <c r="A1003" s="188"/>
      <c r="B1003" s="28" t="s">
        <v>1461</v>
      </c>
      <c r="C1003" s="143">
        <f>VLOOKUP(B1003,'Thống kê'!$C$3:$D$669,2,0)</f>
        <v>0</v>
      </c>
      <c r="D1003" s="166">
        <f>VLOOKUP(B1003,'Thống kê'!$C$3:$M$682,4,0)</f>
        <v>0</v>
      </c>
      <c r="E1003" s="167">
        <v>1</v>
      </c>
      <c r="F1003" s="168">
        <f t="shared" si="4"/>
        <v>0</v>
      </c>
      <c r="G1003" s="144"/>
      <c r="H1003" s="175">
        <v>66515</v>
      </c>
    </row>
    <row r="1004" spans="1:8" ht="13.2">
      <c r="A1004" s="188"/>
      <c r="B1004" s="28" t="s">
        <v>1342</v>
      </c>
      <c r="C1004" s="143" t="str">
        <f>VLOOKUP(B1004,'Thống kê'!$C$3:$D$669,2,0)</f>
        <v>Móc khóa chuối</v>
      </c>
      <c r="D1004" s="166">
        <f>VLOOKUP(B1004,'Thống kê'!$C$3:$M$682,4,0)</f>
        <v>148000</v>
      </c>
      <c r="E1004" s="167">
        <v>1</v>
      </c>
      <c r="F1004" s="168">
        <f t="shared" si="4"/>
        <v>148000</v>
      </c>
      <c r="G1004" s="144"/>
      <c r="H1004" s="402">
        <v>165968</v>
      </c>
    </row>
    <row r="1005" spans="1:8" ht="13.2">
      <c r="A1005" s="188"/>
      <c r="B1005" s="28" t="s">
        <v>180</v>
      </c>
      <c r="C1005" s="143" t="e">
        <f>VLOOKUP(B1005,'Thống kê'!$C$3:$D$669,2,0)</f>
        <v>#N/A</v>
      </c>
      <c r="D1005" s="166">
        <f>VLOOKUP(B1005,'Thống kê'!$C$3:$M$682,4,0)</f>
        <v>0</v>
      </c>
      <c r="E1005" s="167">
        <v>1</v>
      </c>
      <c r="F1005" s="168">
        <f t="shared" si="4"/>
        <v>0</v>
      </c>
      <c r="G1005" s="144"/>
      <c r="H1005" s="372"/>
    </row>
    <row r="1006" spans="1:8" ht="13.2">
      <c r="A1006" s="188"/>
      <c r="B1006" s="28" t="s">
        <v>96</v>
      </c>
      <c r="C1006" s="143" t="e">
        <f>VLOOKUP(B1006,'Thống kê'!$C$3:$D$669,2,0)</f>
        <v>#N/A</v>
      </c>
      <c r="D1006" s="166">
        <f>VLOOKUP(B1006,'Thống kê'!$C$3:$M$682,4,0)</f>
        <v>0</v>
      </c>
      <c r="E1006" s="167">
        <v>1</v>
      </c>
      <c r="F1006" s="168">
        <f t="shared" si="4"/>
        <v>0</v>
      </c>
      <c r="G1006" s="144"/>
      <c r="H1006" s="175">
        <v>67044</v>
      </c>
    </row>
    <row r="1007" spans="1:8" ht="13.2">
      <c r="A1007" s="188"/>
      <c r="B1007" s="28" t="s">
        <v>1464</v>
      </c>
      <c r="C1007" s="143">
        <f>VLOOKUP(B1007,'Thống kê'!$C$3:$D$669,2,0)</f>
        <v>0</v>
      </c>
      <c r="D1007" s="166">
        <f>VLOOKUP(B1007,'Thống kê'!$C$3:$M$682,4,0)</f>
        <v>0</v>
      </c>
      <c r="E1007" s="167">
        <v>1</v>
      </c>
      <c r="F1007" s="168">
        <f t="shared" si="4"/>
        <v>0</v>
      </c>
      <c r="G1007" s="144"/>
      <c r="H1007" s="175">
        <v>66420</v>
      </c>
    </row>
    <row r="1008" spans="1:8" ht="13.2">
      <c r="A1008" s="188"/>
      <c r="B1008" s="28" t="s">
        <v>77</v>
      </c>
      <c r="C1008" s="143">
        <f>VLOOKUP(B1008,'Thống kê'!$C$3:$D$669,2,0)</f>
        <v>0</v>
      </c>
      <c r="D1008" s="166">
        <f>VLOOKUP(B1008,'Thống kê'!$C$3:$M$682,4,0)</f>
        <v>0</v>
      </c>
      <c r="E1008" s="167">
        <v>3</v>
      </c>
      <c r="F1008" s="168">
        <f t="shared" si="4"/>
        <v>0</v>
      </c>
      <c r="G1008" s="144"/>
      <c r="H1008" s="175">
        <v>145344</v>
      </c>
    </row>
    <row r="1009" spans="1:8" ht="13.2">
      <c r="A1009" s="188"/>
      <c r="B1009" s="28" t="s">
        <v>133</v>
      </c>
      <c r="C1009" s="143">
        <f>VLOOKUP(B1009,'Thống kê'!$C$3:$D$669,2,0)</f>
        <v>0</v>
      </c>
      <c r="D1009" s="166">
        <f>VLOOKUP(B1009,'Thống kê'!$C$3:$M$682,4,0)</f>
        <v>0</v>
      </c>
      <c r="E1009" s="167">
        <v>1</v>
      </c>
      <c r="F1009" s="168">
        <f t="shared" si="4"/>
        <v>0</v>
      </c>
      <c r="G1009" s="144"/>
      <c r="H1009" s="402">
        <v>110290</v>
      </c>
    </row>
    <row r="1010" spans="1:8" ht="13.2">
      <c r="A1010" s="188"/>
      <c r="B1010" s="28" t="s">
        <v>1516</v>
      </c>
      <c r="C1010" s="143" t="e">
        <f>VLOOKUP(B1010,'Thống kê'!$C$3:$D$669,2,0)</f>
        <v>#N/A</v>
      </c>
      <c r="D1010" s="166">
        <f>VLOOKUP(B1010,'Thống kê'!$C$3:$M$682,4,0)</f>
        <v>0</v>
      </c>
      <c r="E1010" s="167">
        <v>1</v>
      </c>
      <c r="F1010" s="168">
        <f t="shared" si="4"/>
        <v>0</v>
      </c>
      <c r="G1010" s="144"/>
      <c r="H1010" s="372"/>
    </row>
    <row r="1011" spans="1:8" ht="13.2">
      <c r="A1011" s="406"/>
      <c r="B1011" s="28" t="s">
        <v>107</v>
      </c>
      <c r="C1011" s="143">
        <f>VLOOKUP(B1011,'Thống kê'!$C$3:$D$669,2,0)</f>
        <v>0</v>
      </c>
      <c r="D1011" s="166">
        <f>VLOOKUP(B1011,'Thống kê'!$C$3:$M$682,4,0)</f>
        <v>0</v>
      </c>
      <c r="E1011" s="167">
        <v>1</v>
      </c>
      <c r="F1011" s="168">
        <f t="shared" si="4"/>
        <v>0</v>
      </c>
      <c r="G1011" s="144"/>
      <c r="H1011" s="175">
        <v>67040</v>
      </c>
    </row>
    <row r="1012" spans="1:8" ht="13.2">
      <c r="A1012" s="372"/>
      <c r="B1012" s="28" t="s">
        <v>1460</v>
      </c>
      <c r="C1012" s="143">
        <f>VLOOKUP(B1012,'Thống kê'!$C$3:$D$669,2,0)</f>
        <v>0</v>
      </c>
      <c r="D1012" s="166">
        <f>VLOOKUP(B1012,'Thống kê'!$C$3:$M$682,4,0)</f>
        <v>85000</v>
      </c>
      <c r="E1012" s="167">
        <v>1</v>
      </c>
      <c r="F1012" s="168">
        <f t="shared" si="4"/>
        <v>85000</v>
      </c>
      <c r="G1012" s="144"/>
      <c r="H1012" s="175">
        <v>56580</v>
      </c>
    </row>
    <row r="1013" spans="1:8" ht="13.2">
      <c r="A1013" s="372"/>
      <c r="B1013" s="28" t="s">
        <v>258</v>
      </c>
      <c r="C1013" s="143" t="str">
        <f>VLOOKUP(B1013,'Thống kê'!$C$3:$D$669,2,0)</f>
        <v>Móc khoá Crybaby mini Popmart</v>
      </c>
      <c r="D1013" s="166">
        <f>VLOOKUP(B1013,'Thống kê'!$C$3:$M$682,4,0)</f>
        <v>0</v>
      </c>
      <c r="E1013" s="167">
        <v>2</v>
      </c>
      <c r="F1013" s="168">
        <f t="shared" si="4"/>
        <v>0</v>
      </c>
      <c r="G1013" s="144"/>
      <c r="H1013" s="402">
        <v>233110</v>
      </c>
    </row>
    <row r="1014" spans="1:8" ht="13.2">
      <c r="A1014" s="372"/>
      <c r="B1014" s="28" t="s">
        <v>138</v>
      </c>
      <c r="C1014" s="143" t="str">
        <f>VLOOKUP(B1014,'Thống kê'!$C$3:$D$669,2,0)</f>
        <v>Móc khoá Crybaby mini Popmart</v>
      </c>
      <c r="D1014" s="166">
        <f>VLOOKUP(B1014,'Thống kê'!$C$3:$M$682,4,0)</f>
        <v>0</v>
      </c>
      <c r="E1014" s="167">
        <v>1</v>
      </c>
      <c r="F1014" s="168">
        <f t="shared" si="4"/>
        <v>0</v>
      </c>
      <c r="G1014" s="144"/>
      <c r="H1014" s="372"/>
    </row>
    <row r="1015" spans="1:8" ht="13.2">
      <c r="A1015" s="372"/>
      <c r="B1015" s="28" t="s">
        <v>133</v>
      </c>
      <c r="C1015" s="143">
        <f>VLOOKUP(B1015,'Thống kê'!$C$3:$D$669,2,0)</f>
        <v>0</v>
      </c>
      <c r="D1015" s="166">
        <f>VLOOKUP(B1015,'Thống kê'!$C$3:$M$682,4,0)</f>
        <v>0</v>
      </c>
      <c r="E1015" s="167">
        <v>1</v>
      </c>
      <c r="F1015" s="168">
        <f t="shared" si="4"/>
        <v>0</v>
      </c>
      <c r="G1015" s="144"/>
      <c r="H1015" s="402">
        <v>155594</v>
      </c>
    </row>
    <row r="1016" spans="1:8" ht="13.2">
      <c r="A1016" s="372"/>
      <c r="B1016" s="28" t="s">
        <v>77</v>
      </c>
      <c r="C1016" s="143">
        <f>VLOOKUP(B1016,'Thống kê'!$C$3:$D$669,2,0)</f>
        <v>0</v>
      </c>
      <c r="D1016" s="166">
        <f>VLOOKUP(B1016,'Thống kê'!$C$3:$M$682,4,0)</f>
        <v>0</v>
      </c>
      <c r="E1016" s="167">
        <v>1</v>
      </c>
      <c r="F1016" s="168">
        <f t="shared" si="4"/>
        <v>0</v>
      </c>
      <c r="G1016" s="144"/>
      <c r="H1016" s="372"/>
    </row>
    <row r="1017" spans="1:8" ht="13.2">
      <c r="A1017" s="372"/>
      <c r="B1017" s="28" t="s">
        <v>1519</v>
      </c>
      <c r="C1017" s="143" t="e">
        <f>VLOOKUP(B1017,'Thống kê'!$C$3:$D$669,2,0)</f>
        <v>#N/A</v>
      </c>
      <c r="D1017" s="166">
        <f>VLOOKUP(B1017,'Thống kê'!$C$3:$M$682,4,0)</f>
        <v>0</v>
      </c>
      <c r="E1017" s="167">
        <v>1</v>
      </c>
      <c r="F1017" s="168">
        <f t="shared" si="4"/>
        <v>0</v>
      </c>
      <c r="G1017" s="144"/>
      <c r="H1017" s="175">
        <v>53750</v>
      </c>
    </row>
    <row r="1018" spans="1:8" ht="13.2">
      <c r="A1018" s="372"/>
      <c r="B1018" s="197" t="s">
        <v>1387</v>
      </c>
      <c r="C1018" s="143" t="str">
        <f>VLOOKUP(B1018,'Thống kê'!$C$3:$D$669,2,0)</f>
        <v>Móc khoá Crybaby mini Popmart</v>
      </c>
      <c r="D1018" s="166">
        <f>VLOOKUP(B1018,'Thống kê'!$C$3:$M$682,4,0)</f>
        <v>0</v>
      </c>
      <c r="E1018" s="167">
        <v>1</v>
      </c>
      <c r="F1018" s="168">
        <f t="shared" si="4"/>
        <v>0</v>
      </c>
      <c r="G1018" s="144"/>
      <c r="H1018" s="402">
        <v>155406</v>
      </c>
    </row>
    <row r="1019" spans="1:8" ht="13.2">
      <c r="A1019" s="372"/>
      <c r="B1019" s="198" t="s">
        <v>258</v>
      </c>
      <c r="C1019" s="143" t="str">
        <f>VLOOKUP(B1019,'Thống kê'!$C$3:$D$669,2,0)</f>
        <v>Móc khoá Crybaby mini Popmart</v>
      </c>
      <c r="D1019" s="166">
        <f>VLOOKUP(B1019,'Thống kê'!$C$3:$M$682,4,0)</f>
        <v>0</v>
      </c>
      <c r="E1019" s="167">
        <v>1</v>
      </c>
      <c r="F1019" s="168">
        <f t="shared" si="4"/>
        <v>0</v>
      </c>
      <c r="G1019" s="144"/>
      <c r="H1019" s="372"/>
    </row>
    <row r="1020" spans="1:8" ht="13.2">
      <c r="A1020" s="372"/>
      <c r="B1020" s="28" t="s">
        <v>191</v>
      </c>
      <c r="C1020" s="143" t="e">
        <f>VLOOKUP(B1020,'Thống kê'!$C$3:$D$669,2,0)</f>
        <v>#N/A</v>
      </c>
      <c r="D1020" s="166">
        <f>VLOOKUP(B1020,'Thống kê'!$C$3:$M$682,4,0)</f>
        <v>0</v>
      </c>
      <c r="E1020" s="167">
        <v>1</v>
      </c>
      <c r="F1020" s="168">
        <f t="shared" si="4"/>
        <v>0</v>
      </c>
      <c r="G1020" s="144"/>
      <c r="H1020" s="402">
        <v>268754</v>
      </c>
    </row>
    <row r="1021" spans="1:8" ht="13.2">
      <c r="A1021" s="372"/>
      <c r="B1021" s="28" t="s">
        <v>125</v>
      </c>
      <c r="C1021" s="143" t="e">
        <f>VLOOKUP(B1021,'Thống kê'!$C$3:$D$669,2,0)</f>
        <v>#N/A</v>
      </c>
      <c r="D1021" s="166">
        <f>VLOOKUP(B1021,'Thống kê'!$C$3:$M$682,4,0)</f>
        <v>0</v>
      </c>
      <c r="E1021" s="167">
        <v>1</v>
      </c>
      <c r="F1021" s="168">
        <f t="shared" si="4"/>
        <v>0</v>
      </c>
      <c r="G1021" s="144"/>
      <c r="H1021" s="372"/>
    </row>
    <row r="1022" spans="1:8" ht="13.2">
      <c r="A1022" s="372"/>
      <c r="B1022" s="28" t="s">
        <v>135</v>
      </c>
      <c r="C1022" s="143" t="e">
        <f>VLOOKUP(B1022,'Thống kê'!$C$3:$D$669,2,0)</f>
        <v>#N/A</v>
      </c>
      <c r="D1022" s="166" t="e">
        <f>VLOOKUP(B1022,'Thống kê'!$C$3:$M$682,4,0)</f>
        <v>#N/A</v>
      </c>
      <c r="E1022" s="167">
        <v>1</v>
      </c>
      <c r="F1022" s="168" t="e">
        <f t="shared" si="4"/>
        <v>#N/A</v>
      </c>
      <c r="G1022" s="144"/>
      <c r="H1022" s="372"/>
    </row>
    <row r="1023" spans="1:8" ht="13.2">
      <c r="A1023" s="372"/>
      <c r="B1023" s="28" t="s">
        <v>279</v>
      </c>
      <c r="C1023" s="143" t="e">
        <f>VLOOKUP(B1023,'Thống kê'!$C$3:$D$669,2,0)</f>
        <v>#N/A</v>
      </c>
      <c r="D1023" s="166" t="e">
        <f>VLOOKUP(B1023,'Thống kê'!$C$3:$M$682,4,0)</f>
        <v>#N/A</v>
      </c>
      <c r="E1023" s="167">
        <v>1</v>
      </c>
      <c r="F1023" s="168" t="e">
        <f t="shared" si="4"/>
        <v>#N/A</v>
      </c>
      <c r="G1023" s="144"/>
      <c r="H1023" s="372"/>
    </row>
    <row r="1024" spans="1:8" ht="13.2">
      <c r="A1024" s="372"/>
      <c r="B1024" s="28" t="s">
        <v>1520</v>
      </c>
      <c r="C1024" s="143" t="e">
        <f>VLOOKUP(B1024,'Thống kê'!$C$3:$D$669,2,0)</f>
        <v>#N/A</v>
      </c>
      <c r="D1024" s="166" t="e">
        <f>VLOOKUP(B1024,'Thống kê'!$C$3:$M$682,4,0)</f>
        <v>#N/A</v>
      </c>
      <c r="E1024" s="167">
        <v>1</v>
      </c>
      <c r="F1024" s="168" t="e">
        <f t="shared" si="4"/>
        <v>#N/A</v>
      </c>
      <c r="G1024" s="144"/>
      <c r="H1024" s="372"/>
    </row>
    <row r="1025" spans="1:8" ht="13.2">
      <c r="A1025" s="372"/>
      <c r="B1025" s="28" t="s">
        <v>1382</v>
      </c>
      <c r="C1025" s="143" t="str">
        <f>VLOOKUP(B1025,'Thống kê'!$C$3:$D$669,2,0)</f>
        <v>miếng dán silicon điện thoại</v>
      </c>
      <c r="D1025" s="166">
        <f>VLOOKUP(B1025,'Thống kê'!$C$3:$M$682,4,0)</f>
        <v>0</v>
      </c>
      <c r="E1025" s="167">
        <v>20</v>
      </c>
      <c r="F1025" s="168">
        <f t="shared" si="4"/>
        <v>0</v>
      </c>
      <c r="G1025" s="144"/>
      <c r="H1025" s="175">
        <v>40899</v>
      </c>
    </row>
    <row r="1026" spans="1:8" ht="13.2">
      <c r="A1026" s="372"/>
      <c r="B1026" s="28" t="s">
        <v>234</v>
      </c>
      <c r="C1026" s="143" t="str">
        <f>VLOOKUP(B1026,'Thống kê'!$C$3:$D$669,2,0)</f>
        <v>Móc khoá skullpanda phiên bản mini</v>
      </c>
      <c r="D1026" s="166">
        <f>VLOOKUP(B1026,'Thống kê'!$C$3:$M$682,4,0)</f>
        <v>98000</v>
      </c>
      <c r="E1026" s="167">
        <v>1</v>
      </c>
      <c r="F1026" s="168">
        <f t="shared" si="4"/>
        <v>98000</v>
      </c>
      <c r="G1026" s="144"/>
      <c r="H1026" s="175">
        <v>76014</v>
      </c>
    </row>
    <row r="1027" spans="1:8" ht="13.2">
      <c r="A1027" s="372"/>
      <c r="B1027" s="28" t="s">
        <v>1601</v>
      </c>
      <c r="C1027" s="143" t="str">
        <f>VLOOKUP(B1027,'Thống kê'!$C$3:$D$669,2,0)</f>
        <v>Dao rọc giấy 19</v>
      </c>
      <c r="D1027" s="166">
        <f>VLOOKUP(B1027,'Thống kê'!$C$3:$M$682,4,0)</f>
        <v>12000</v>
      </c>
      <c r="E1027" s="167">
        <v>1</v>
      </c>
      <c r="F1027" s="168">
        <f t="shared" si="4"/>
        <v>12000</v>
      </c>
      <c r="G1027" s="144"/>
      <c r="H1027" s="402">
        <v>274082</v>
      </c>
    </row>
    <row r="1028" spans="1:8" ht="13.2">
      <c r="A1028" s="372"/>
      <c r="B1028" s="28" t="s">
        <v>1481</v>
      </c>
      <c r="C1028" s="143" t="str">
        <f>VLOOKUP(B1028,'Thống kê'!$C$3:$D$669,2,0)</f>
        <v>Móc khoá Dudu nhiều màu sắc treo túi, đeo điện thoại</v>
      </c>
      <c r="D1028" s="166">
        <f>VLOOKUP(B1028,'Thống kê'!$C$3:$M$682,4,0)</f>
        <v>45000</v>
      </c>
      <c r="E1028" s="167">
        <v>1</v>
      </c>
      <c r="F1028" s="168">
        <f t="shared" si="4"/>
        <v>45000</v>
      </c>
      <c r="G1028" s="144"/>
      <c r="H1028" s="372"/>
    </row>
    <row r="1029" spans="1:8" ht="13.2">
      <c r="A1029" s="199"/>
      <c r="B1029" s="28" t="s">
        <v>1387</v>
      </c>
      <c r="C1029" s="143" t="str">
        <f>VLOOKUP(B1029,'Thống kê'!$C$3:$D$669,2,0)</f>
        <v>Móc khoá Crybaby mini Popmart</v>
      </c>
      <c r="D1029" s="166">
        <f>VLOOKUP(B1029,'Thống kê'!$C$3:$M$682,4,0)</f>
        <v>0</v>
      </c>
      <c r="E1029" s="167">
        <v>1</v>
      </c>
      <c r="F1029" s="168">
        <f t="shared" si="4"/>
        <v>0</v>
      </c>
      <c r="G1029" s="144"/>
      <c r="H1029" s="372"/>
    </row>
    <row r="1030" spans="1:8" ht="13.2">
      <c r="A1030" s="199"/>
      <c r="B1030" s="28" t="s">
        <v>1384</v>
      </c>
      <c r="C1030" s="143" t="str">
        <f>VLOOKUP(B1030,'Thống kê'!$C$3:$D$669,2,0)</f>
        <v>Móc khoá Crybaby mini Popmart</v>
      </c>
      <c r="D1030" s="166">
        <f>VLOOKUP(B1030,'Thống kê'!$C$3:$M$682,4,0)</f>
        <v>0</v>
      </c>
      <c r="E1030" s="167">
        <v>1</v>
      </c>
      <c r="F1030" s="168">
        <f t="shared" si="4"/>
        <v>0</v>
      </c>
      <c r="G1030" s="144"/>
      <c r="H1030" s="372"/>
    </row>
    <row r="1031" spans="1:8" ht="13.2">
      <c r="A1031" s="199"/>
      <c r="B1031" s="28" t="s">
        <v>138</v>
      </c>
      <c r="C1031" s="143" t="str">
        <f>VLOOKUP(B1031,'Thống kê'!$C$3:$D$669,2,0)</f>
        <v>Móc khoá Crybaby mini Popmart</v>
      </c>
      <c r="D1031" s="166">
        <f>VLOOKUP(B1031,'Thống kê'!$C$3:$M$682,4,0)</f>
        <v>0</v>
      </c>
      <c r="E1031" s="167">
        <v>1</v>
      </c>
      <c r="F1031" s="168">
        <f t="shared" si="4"/>
        <v>0</v>
      </c>
      <c r="G1031" s="144"/>
      <c r="H1031" s="372"/>
    </row>
    <row r="1032" spans="1:8" ht="13.2">
      <c r="A1032" s="199"/>
      <c r="B1032" s="28" t="s">
        <v>245</v>
      </c>
      <c r="C1032" s="143" t="str">
        <f>VLOOKUP(B1032,'Thống kê'!$C$3:$D$669,2,0)</f>
        <v>Móc khóa Popbean</v>
      </c>
      <c r="D1032" s="166">
        <f>VLOOKUP(B1032,'Thống kê'!$C$3:$M$682,4,0)</f>
        <v>148000</v>
      </c>
      <c r="E1032" s="167">
        <v>1</v>
      </c>
      <c r="F1032" s="168">
        <f t="shared" si="4"/>
        <v>148000</v>
      </c>
      <c r="G1032" s="144"/>
      <c r="H1032" s="402">
        <v>157119</v>
      </c>
    </row>
    <row r="1033" spans="1:8" ht="13.2">
      <c r="A1033" s="199"/>
      <c r="B1033" s="28" t="s">
        <v>1481</v>
      </c>
      <c r="C1033" s="143" t="str">
        <f>VLOOKUP(B1033,'Thống kê'!$C$3:$D$669,2,0)</f>
        <v>Móc khoá Dudu nhiều màu sắc treo túi, đeo điện thoại</v>
      </c>
      <c r="D1033" s="166">
        <f>VLOOKUP(B1033,'Thống kê'!$C$3:$M$682,4,0)</f>
        <v>45000</v>
      </c>
      <c r="E1033" s="167">
        <v>1</v>
      </c>
      <c r="F1033" s="168">
        <f t="shared" si="4"/>
        <v>45000</v>
      </c>
      <c r="G1033" s="144"/>
      <c r="H1033" s="372"/>
    </row>
    <row r="1034" spans="1:8" ht="13.2">
      <c r="A1034" s="199"/>
      <c r="B1034" s="28" t="s">
        <v>118</v>
      </c>
      <c r="C1034" s="143" t="e">
        <f>VLOOKUP(B1034,'Thống kê'!$C$3:$D$669,2,0)</f>
        <v>#N/A</v>
      </c>
      <c r="D1034" s="166" t="e">
        <f>VLOOKUP(B1034,'Thống kê'!$C$3:$M$682,4,0)</f>
        <v>#N/A</v>
      </c>
      <c r="E1034" s="167">
        <v>1</v>
      </c>
      <c r="F1034" s="168" t="e">
        <f t="shared" si="4"/>
        <v>#N/A</v>
      </c>
      <c r="G1034" s="144"/>
      <c r="H1034" s="402">
        <v>116440</v>
      </c>
    </row>
    <row r="1035" spans="1:8" ht="13.2">
      <c r="A1035" s="199"/>
      <c r="B1035" s="28" t="s">
        <v>196</v>
      </c>
      <c r="C1035" s="143">
        <f>VLOOKUP(B1035,'Thống kê'!$C$3:$D$669,2,0)</f>
        <v>0</v>
      </c>
      <c r="D1035" s="166">
        <f>VLOOKUP(B1035,'Thống kê'!$C$3:$M$682,4,0)</f>
        <v>0</v>
      </c>
      <c r="E1035" s="167">
        <v>1</v>
      </c>
      <c r="F1035" s="168">
        <f t="shared" si="4"/>
        <v>0</v>
      </c>
      <c r="G1035" s="144"/>
      <c r="H1035" s="372"/>
    </row>
    <row r="1036" spans="1:8" ht="13.2">
      <c r="A1036" s="200"/>
      <c r="B1036" s="28" t="s">
        <v>1479</v>
      </c>
      <c r="C1036" s="143">
        <f>VLOOKUP(B1036,'Thống kê'!$C$3:$D$669,2,0)</f>
        <v>0</v>
      </c>
      <c r="D1036" s="166">
        <f>VLOOKUP(B1036,'Thống kê'!$C$3:$M$682,4,0)</f>
        <v>0</v>
      </c>
      <c r="E1036" s="167">
        <v>1</v>
      </c>
      <c r="F1036" s="168">
        <f t="shared" si="4"/>
        <v>0</v>
      </c>
      <c r="G1036" s="144"/>
      <c r="H1036" s="175">
        <v>54920</v>
      </c>
    </row>
    <row r="1037" spans="1:8" ht="13.2">
      <c r="A1037" s="199">
        <v>45718</v>
      </c>
      <c r="B1037" s="28" t="s">
        <v>1818</v>
      </c>
      <c r="C1037" s="143" t="str">
        <f>VLOOKUP(B1037,'Thống kê'!$C$3:$D$669,2,0)</f>
        <v>Mèo trắng treo gương</v>
      </c>
      <c r="D1037" s="166">
        <f>VLOOKUP(B1037,'Thống kê'!$C$3:$M$682,4,0)</f>
        <v>71500</v>
      </c>
      <c r="E1037" s="167">
        <v>1</v>
      </c>
      <c r="F1037" s="168">
        <f t="shared" si="4"/>
        <v>71500</v>
      </c>
      <c r="G1037" s="144"/>
      <c r="H1037" s="403">
        <v>80098</v>
      </c>
    </row>
    <row r="1038" spans="1:8" ht="13.2">
      <c r="A1038" s="199"/>
      <c r="B1038" s="28" t="s">
        <v>1623</v>
      </c>
      <c r="C1038" s="143" t="str">
        <f>VLOOKUP(B1038,'Thống kê'!$C$3:$D$669,2,0)</f>
        <v>Mô hình mèo 5</v>
      </c>
      <c r="D1038" s="166">
        <f>VLOOKUP(B1038,'Thống kê'!$C$3:$M$682,4,0)</f>
        <v>37800</v>
      </c>
      <c r="E1038" s="167">
        <v>1</v>
      </c>
      <c r="F1038" s="168">
        <f t="shared" si="4"/>
        <v>37800</v>
      </c>
      <c r="G1038" s="144"/>
      <c r="H1038" s="372"/>
    </row>
    <row r="1039" spans="1:8" ht="13.2">
      <c r="A1039" s="199"/>
      <c r="B1039" s="28" t="s">
        <v>233</v>
      </c>
      <c r="C1039" s="143" t="e">
        <f>VLOOKUP(B1039,'Thống kê'!$C$3:$D$669,2,0)</f>
        <v>#N/A</v>
      </c>
      <c r="D1039" s="166">
        <f>VLOOKUP(B1039,'Thống kê'!$C$3:$M$682,4,0)</f>
        <v>0</v>
      </c>
      <c r="E1039" s="167">
        <v>1</v>
      </c>
      <c r="F1039" s="168">
        <f t="shared" si="4"/>
        <v>0</v>
      </c>
      <c r="G1039" s="144"/>
      <c r="H1039" s="175">
        <v>53750</v>
      </c>
    </row>
    <row r="1040" spans="1:8" ht="13.2">
      <c r="A1040" s="199"/>
      <c r="B1040" s="28" t="s">
        <v>196</v>
      </c>
      <c r="C1040" s="143">
        <f>VLOOKUP(B1040,'Thống kê'!$C$3:$D$669,2,0)</f>
        <v>0</v>
      </c>
      <c r="D1040" s="166">
        <f>VLOOKUP(B1040,'Thống kê'!$C$3:$M$682,4,0)</f>
        <v>0</v>
      </c>
      <c r="E1040" s="167">
        <v>1</v>
      </c>
      <c r="F1040" s="168">
        <f t="shared" si="4"/>
        <v>0</v>
      </c>
      <c r="G1040" s="144"/>
      <c r="H1040" s="175">
        <v>104140</v>
      </c>
    </row>
    <row r="1041" spans="1:8" ht="13.2">
      <c r="A1041" s="199"/>
      <c r="B1041" s="28" t="s">
        <v>1384</v>
      </c>
      <c r="C1041" s="143" t="str">
        <f>VLOOKUP(B1041,'Thống kê'!$C$3:$D$669,2,0)</f>
        <v>Móc khoá Crybaby mini Popmart</v>
      </c>
      <c r="D1041" s="166">
        <f>VLOOKUP(B1041,'Thống kê'!$C$3:$M$682,4,0)</f>
        <v>0</v>
      </c>
      <c r="E1041" s="167">
        <v>3</v>
      </c>
      <c r="F1041" s="168">
        <f t="shared" si="4"/>
        <v>0</v>
      </c>
      <c r="G1041" s="144"/>
      <c r="H1041" s="175">
        <v>233110</v>
      </c>
    </row>
    <row r="1042" spans="1:8" ht="13.2">
      <c r="A1042" s="199"/>
      <c r="B1042" s="28" t="s">
        <v>180</v>
      </c>
      <c r="C1042" s="143" t="e">
        <f>VLOOKUP(B1042,'Thống kê'!$C$3:$D$669,2,0)</f>
        <v>#N/A</v>
      </c>
      <c r="D1042" s="166">
        <f>VLOOKUP(B1042,'Thống kê'!$C$3:$M$682,4,0)</f>
        <v>0</v>
      </c>
      <c r="E1042" s="167">
        <v>1</v>
      </c>
      <c r="F1042" s="168">
        <f t="shared" si="4"/>
        <v>0</v>
      </c>
      <c r="G1042" s="144"/>
      <c r="H1042" s="175">
        <v>104140</v>
      </c>
    </row>
    <row r="1043" spans="1:8" ht="13.2">
      <c r="A1043" s="199"/>
      <c r="B1043" s="28" t="s">
        <v>196</v>
      </c>
      <c r="C1043" s="143">
        <f>VLOOKUP(B1043,'Thống kê'!$C$3:$D$669,2,0)</f>
        <v>0</v>
      </c>
      <c r="D1043" s="166">
        <f>VLOOKUP(B1043,'Thống kê'!$C$3:$M$682,4,0)</f>
        <v>0</v>
      </c>
      <c r="E1043" s="167">
        <v>1</v>
      </c>
      <c r="F1043" s="168">
        <f t="shared" si="4"/>
        <v>0</v>
      </c>
      <c r="G1043" s="144"/>
      <c r="H1043" s="175">
        <v>59654</v>
      </c>
    </row>
    <row r="1044" spans="1:8" ht="13.2">
      <c r="A1044" s="199"/>
      <c r="B1044" s="28" t="s">
        <v>196</v>
      </c>
      <c r="C1044" s="143">
        <f>VLOOKUP(B1044,'Thống kê'!$C$3:$D$669,2,0)</f>
        <v>0</v>
      </c>
      <c r="D1044" s="166">
        <f>VLOOKUP(B1044,'Thống kê'!$C$3:$M$682,4,0)</f>
        <v>0</v>
      </c>
      <c r="E1044" s="167">
        <v>1</v>
      </c>
      <c r="F1044" s="168">
        <f t="shared" si="4"/>
        <v>0</v>
      </c>
      <c r="G1044" s="144"/>
      <c r="H1044" s="175">
        <v>59654</v>
      </c>
    </row>
    <row r="1045" spans="1:8" ht="13.2">
      <c r="A1045" s="199"/>
      <c r="B1045" s="28" t="s">
        <v>1461</v>
      </c>
      <c r="C1045" s="143">
        <f>VLOOKUP(B1045,'Thống kê'!$C$3:$D$669,2,0)</f>
        <v>0</v>
      </c>
      <c r="D1045" s="166">
        <f>VLOOKUP(B1045,'Thống kê'!$C$3:$M$682,4,0)</f>
        <v>0</v>
      </c>
      <c r="E1045" s="167">
        <v>1</v>
      </c>
      <c r="F1045" s="168">
        <f t="shared" si="4"/>
        <v>0</v>
      </c>
      <c r="G1045" s="144"/>
      <c r="H1045" s="175">
        <v>67240</v>
      </c>
    </row>
    <row r="1046" spans="1:8" ht="13.2">
      <c r="A1046" s="199"/>
      <c r="B1046" s="28" t="s">
        <v>1819</v>
      </c>
      <c r="C1046" s="143">
        <f>VLOOKUP(B1046,'Thống kê'!$C$3:$D$669,2,0)</f>
        <v>0</v>
      </c>
      <c r="D1046" s="166">
        <f>VLOOKUP(B1046,'Thống kê'!$C$3:$M$682,4,0)</f>
        <v>0</v>
      </c>
      <c r="E1046" s="167">
        <v>1</v>
      </c>
      <c r="F1046" s="168">
        <f t="shared" si="4"/>
        <v>0</v>
      </c>
      <c r="G1046" s="144"/>
      <c r="H1046" s="175">
        <v>150000</v>
      </c>
    </row>
    <row r="1047" spans="1:8" ht="13.2">
      <c r="A1047" s="199"/>
      <c r="B1047" s="28" t="s">
        <v>279</v>
      </c>
      <c r="C1047" s="143" t="e">
        <f>VLOOKUP(B1047,'Thống kê'!$C$3:$D$669,2,0)</f>
        <v>#N/A</v>
      </c>
      <c r="D1047" s="166" t="e">
        <f>VLOOKUP(B1047,'Thống kê'!$C$3:$M$682,4,0)</f>
        <v>#N/A</v>
      </c>
      <c r="E1047" s="167">
        <v>1</v>
      </c>
      <c r="F1047" s="168" t="e">
        <f t="shared" si="4"/>
        <v>#N/A</v>
      </c>
      <c r="G1047" s="144"/>
      <c r="H1047" s="175">
        <v>59593</v>
      </c>
    </row>
    <row r="1048" spans="1:8" ht="13.2">
      <c r="A1048" s="199"/>
      <c r="B1048" s="28" t="s">
        <v>1390</v>
      </c>
      <c r="C1048" s="143" t="str">
        <f>VLOOKUP(B1048,'Thống kê'!$C$3:$D$669,2,0)</f>
        <v>Móc khoá Labubu mini Popmart</v>
      </c>
      <c r="D1048" s="166">
        <f>VLOOKUP(B1048,'Thống kê'!$C$3:$M$682,4,0)</f>
        <v>0</v>
      </c>
      <c r="E1048" s="167">
        <v>1</v>
      </c>
      <c r="F1048" s="168">
        <f t="shared" si="4"/>
        <v>0</v>
      </c>
      <c r="G1048" s="144"/>
      <c r="H1048" s="175">
        <v>55760</v>
      </c>
    </row>
    <row r="1049" spans="1:8" ht="13.2">
      <c r="A1049" s="199"/>
      <c r="B1049" s="28" t="s">
        <v>191</v>
      </c>
      <c r="C1049" s="143" t="e">
        <f>VLOOKUP(B1049,'Thống kê'!$C$3:$D$669,2,0)</f>
        <v>#N/A</v>
      </c>
      <c r="D1049" s="166">
        <f>VLOOKUP(B1049,'Thống kê'!$C$3:$M$682,4,0)</f>
        <v>0</v>
      </c>
      <c r="E1049" s="167">
        <v>1</v>
      </c>
      <c r="F1049" s="168">
        <f t="shared" si="4"/>
        <v>0</v>
      </c>
      <c r="G1049" s="144"/>
      <c r="H1049" s="402">
        <v>125870</v>
      </c>
    </row>
    <row r="1050" spans="1:8" ht="13.2">
      <c r="A1050" s="199"/>
      <c r="B1050" s="28" t="s">
        <v>96</v>
      </c>
      <c r="C1050" s="143" t="e">
        <f>VLOOKUP(B1050,'Thống kê'!$C$3:$D$669,2,0)</f>
        <v>#N/A</v>
      </c>
      <c r="D1050" s="166">
        <f>VLOOKUP(B1050,'Thống kê'!$C$3:$M$682,4,0)</f>
        <v>0</v>
      </c>
      <c r="E1050" s="167">
        <v>1</v>
      </c>
      <c r="F1050" s="168">
        <f t="shared" si="4"/>
        <v>0</v>
      </c>
      <c r="G1050" s="144"/>
      <c r="H1050" s="372"/>
    </row>
    <row r="1051" spans="1:8" ht="13.2">
      <c r="A1051" s="201"/>
      <c r="B1051" s="28" t="s">
        <v>1820</v>
      </c>
      <c r="C1051" s="143" t="e">
        <f>VLOOKUP(B1051,'Thống kê'!$C$3:$D$669,2,0)</f>
        <v>#N/A</v>
      </c>
      <c r="D1051" s="166" t="e">
        <f>VLOOKUP(B1051,'Thống kê'!$C$3:$M$682,4,0)</f>
        <v>#N/A</v>
      </c>
      <c r="E1051" s="167">
        <v>1</v>
      </c>
      <c r="F1051" s="168" t="e">
        <f t="shared" si="4"/>
        <v>#N/A</v>
      </c>
      <c r="G1051" s="144"/>
      <c r="H1051" s="402">
        <v>125870</v>
      </c>
    </row>
    <row r="1052" spans="1:8" ht="13.2">
      <c r="A1052" s="154"/>
      <c r="B1052" s="28" t="s">
        <v>1775</v>
      </c>
      <c r="C1052" s="143" t="e">
        <f>VLOOKUP(B1052,'Thống kê'!$C$3:$D$669,2,0)</f>
        <v>#N/A</v>
      </c>
      <c r="D1052" s="166" t="e">
        <f>VLOOKUP(B1052,'Thống kê'!$C$3:$M$682,4,0)</f>
        <v>#N/A</v>
      </c>
      <c r="E1052" s="167">
        <v>1</v>
      </c>
      <c r="F1052" s="168" t="e">
        <f t="shared" si="4"/>
        <v>#N/A</v>
      </c>
      <c r="G1052" s="144"/>
      <c r="H1052" s="372"/>
    </row>
    <row r="1053" spans="1:8" ht="13.2">
      <c r="A1053" s="188"/>
      <c r="B1053" s="28" t="s">
        <v>1382</v>
      </c>
      <c r="C1053" s="143" t="str">
        <f>VLOOKUP(B1053,'Thống kê'!$C$3:$D$669,2,0)</f>
        <v>miếng dán silicon điện thoại</v>
      </c>
      <c r="D1053" s="166">
        <f>VLOOKUP(B1053,'Thống kê'!$C$3:$M$682,4,0)</f>
        <v>0</v>
      </c>
      <c r="E1053" s="167">
        <v>1</v>
      </c>
      <c r="F1053" s="168">
        <f t="shared" si="4"/>
        <v>0</v>
      </c>
      <c r="G1053" s="144"/>
      <c r="H1053" s="402">
        <v>61118</v>
      </c>
    </row>
    <row r="1054" spans="1:8" ht="13.2">
      <c r="A1054" s="188"/>
      <c r="B1054" s="28" t="s">
        <v>196</v>
      </c>
      <c r="C1054" s="143">
        <f>VLOOKUP(B1054,'Thống kê'!$C$3:$D$669,2,0)</f>
        <v>0</v>
      </c>
      <c r="D1054" s="166">
        <f>VLOOKUP(B1054,'Thống kê'!$C$3:$M$682,4,0)</f>
        <v>0</v>
      </c>
      <c r="E1054" s="167">
        <v>1</v>
      </c>
      <c r="F1054" s="168">
        <f t="shared" si="4"/>
        <v>0</v>
      </c>
      <c r="G1054" s="144"/>
      <c r="H1054" s="372"/>
    </row>
    <row r="1055" spans="1:8" ht="13.2">
      <c r="A1055" s="188"/>
      <c r="B1055" s="28" t="s">
        <v>1470</v>
      </c>
      <c r="C1055" s="143">
        <f>VLOOKUP(B1055,'Thống kê'!$C$3:$D$669,2,0)</f>
        <v>0</v>
      </c>
      <c r="D1055" s="166">
        <f>VLOOKUP(B1055,'Thống kê'!$C$3:$M$682,4,0)</f>
        <v>0</v>
      </c>
      <c r="E1055" s="167">
        <v>1</v>
      </c>
      <c r="F1055" s="168">
        <f t="shared" si="4"/>
        <v>0</v>
      </c>
      <c r="G1055" s="144"/>
      <c r="H1055" s="402">
        <v>274896</v>
      </c>
    </row>
    <row r="1056" spans="1:8" ht="13.2">
      <c r="A1056" s="188"/>
      <c r="B1056" s="28" t="s">
        <v>1472</v>
      </c>
      <c r="C1056" s="143">
        <f>VLOOKUP(B1056,'Thống kê'!$C$3:$D$669,2,0)</f>
        <v>0</v>
      </c>
      <c r="D1056" s="166">
        <f>VLOOKUP(B1056,'Thống kê'!$C$3:$M$682,4,0)</f>
        <v>0</v>
      </c>
      <c r="E1056" s="167">
        <v>1</v>
      </c>
      <c r="F1056" s="168">
        <f t="shared" si="4"/>
        <v>0</v>
      </c>
      <c r="G1056" s="144"/>
      <c r="H1056" s="372"/>
    </row>
    <row r="1057" spans="1:8" ht="13.2">
      <c r="A1057" s="188"/>
      <c r="B1057" s="28" t="s">
        <v>229</v>
      </c>
      <c r="C1057" s="143">
        <f>VLOOKUP(B1057,'Thống kê'!$C$3:$D$669,2,0)</f>
        <v>0</v>
      </c>
      <c r="D1057" s="166">
        <f>VLOOKUP(B1057,'Thống kê'!$C$3:$M$682,4,0)</f>
        <v>0</v>
      </c>
      <c r="E1057" s="167">
        <v>1</v>
      </c>
      <c r="F1057" s="168">
        <f t="shared" si="4"/>
        <v>0</v>
      </c>
      <c r="G1057" s="144"/>
      <c r="H1057" s="175">
        <v>67165</v>
      </c>
    </row>
    <row r="1058" spans="1:8" ht="13.2">
      <c r="A1058" s="188"/>
      <c r="B1058" s="28" t="s">
        <v>1635</v>
      </c>
      <c r="C1058" s="143" t="str">
        <f>VLOOKUP(B1058,'Thống kê'!$C$3:$D$669,2,0)</f>
        <v>Mô hình mèo 4</v>
      </c>
      <c r="D1058" s="166">
        <f>VLOOKUP(B1058,'Thống kê'!$C$3:$M$682,4,0)</f>
        <v>37800</v>
      </c>
      <c r="E1058" s="167">
        <v>1</v>
      </c>
      <c r="F1058" s="168">
        <f t="shared" si="4"/>
        <v>37800</v>
      </c>
      <c r="G1058" s="144"/>
      <c r="H1058" s="175">
        <v>32293</v>
      </c>
    </row>
    <row r="1059" spans="1:8" ht="13.2">
      <c r="A1059" s="188">
        <v>45719</v>
      </c>
      <c r="B1059" s="28" t="s">
        <v>113</v>
      </c>
      <c r="C1059" s="143" t="str">
        <f>VLOOKUP(B1059,'Thống kê'!$C$3:$D$669,2,0)</f>
        <v>Móc khoá Dimoo size mini (hàng remake)</v>
      </c>
      <c r="D1059" s="166">
        <f>VLOOKUP(B1059,'Thống kê'!$C$3:$M$682,4,0)</f>
        <v>0</v>
      </c>
      <c r="E1059" s="167">
        <v>1</v>
      </c>
      <c r="F1059" s="168">
        <f t="shared" si="4"/>
        <v>0</v>
      </c>
      <c r="G1059" s="144"/>
      <c r="H1059" s="175">
        <v>77515</v>
      </c>
    </row>
    <row r="1060" spans="1:8" ht="13.2">
      <c r="A1060" s="188"/>
      <c r="B1060" s="28" t="s">
        <v>116</v>
      </c>
      <c r="C1060" s="143" t="str">
        <f>VLOOKUP(B1060,'Thống kê'!$C$3:$D$669,2,0)</f>
        <v>heo ú cầm hoa</v>
      </c>
      <c r="D1060" s="166">
        <f>VLOOKUP(B1060,'Thống kê'!$C$3:$M$682,4,0)</f>
        <v>64500</v>
      </c>
      <c r="E1060" s="167">
        <v>1</v>
      </c>
      <c r="F1060" s="168">
        <f t="shared" si="4"/>
        <v>64500</v>
      </c>
      <c r="G1060" s="144"/>
      <c r="H1060" s="175">
        <v>52733</v>
      </c>
    </row>
    <row r="1061" spans="1:8" ht="13.2">
      <c r="A1061" s="188"/>
      <c r="B1061" s="28" t="s">
        <v>1807</v>
      </c>
      <c r="C1061" s="143" t="e">
        <f>VLOOKUP(B1061,'Thống kê'!$C$3:$D$669,2,0)</f>
        <v>#N/A</v>
      </c>
      <c r="D1061" s="166" t="e">
        <f>VLOOKUP(B1061,'Thống kê'!$C$3:$M$682,4,0)</f>
        <v>#N/A</v>
      </c>
      <c r="E1061" s="167">
        <v>1</v>
      </c>
      <c r="F1061" s="168" t="e">
        <f t="shared" si="4"/>
        <v>#N/A</v>
      </c>
      <c r="G1061" s="144"/>
      <c r="H1061" s="402">
        <v>123125</v>
      </c>
    </row>
    <row r="1062" spans="1:8" ht="13.2">
      <c r="A1062" s="188"/>
      <c r="B1062" s="28" t="s">
        <v>1484</v>
      </c>
      <c r="C1062" s="143" t="str">
        <f>VLOOKUP(B1062,'Thống kê'!$C$3:$D$669,2,0)</f>
        <v>Móc khoá Dudu nhiều màu sắc treo túi, đeo điện thoại</v>
      </c>
      <c r="D1062" s="166">
        <f>VLOOKUP(B1062,'Thống kê'!$C$3:$M$682,4,0)</f>
        <v>45000</v>
      </c>
      <c r="E1062" s="167">
        <v>1</v>
      </c>
      <c r="F1062" s="168">
        <f t="shared" si="4"/>
        <v>45000</v>
      </c>
      <c r="G1062" s="144"/>
      <c r="H1062" s="372"/>
    </row>
    <row r="1063" spans="1:8" ht="13.2">
      <c r="A1063" s="188"/>
      <c r="B1063" s="28" t="s">
        <v>1520</v>
      </c>
      <c r="C1063" s="143" t="e">
        <f>VLOOKUP(B1063,'Thống kê'!$C$3:$D$669,2,0)</f>
        <v>#N/A</v>
      </c>
      <c r="D1063" s="166" t="e">
        <f>VLOOKUP(B1063,'Thống kê'!$C$3:$M$682,4,0)</f>
        <v>#N/A</v>
      </c>
      <c r="E1063" s="167">
        <v>1</v>
      </c>
      <c r="F1063" s="168" t="e">
        <f t="shared" si="4"/>
        <v>#N/A</v>
      </c>
      <c r="G1063" s="144"/>
      <c r="H1063" s="175">
        <v>53750</v>
      </c>
    </row>
    <row r="1064" spans="1:8" ht="13.2">
      <c r="A1064" s="188"/>
      <c r="B1064" s="28" t="s">
        <v>181</v>
      </c>
      <c r="C1064" s="143" t="str">
        <f>VLOOKUP(B1064,'Thống kê'!$C$3:$D$669,2,0)</f>
        <v>Thỏ mặt trăng gắn xe</v>
      </c>
      <c r="D1064" s="166">
        <f>VLOOKUP(B1064,'Thống kê'!$C$3:$M$682,4,0)</f>
        <v>45000</v>
      </c>
      <c r="E1064" s="167">
        <v>1</v>
      </c>
      <c r="F1064" s="168">
        <f t="shared" si="4"/>
        <v>45000</v>
      </c>
      <c r="G1064" s="144"/>
      <c r="H1064" s="402">
        <v>114964</v>
      </c>
    </row>
    <row r="1065" spans="1:8" ht="13.2">
      <c r="A1065" s="188"/>
      <c r="B1065" s="28" t="s">
        <v>183</v>
      </c>
      <c r="C1065" s="143" t="str">
        <f>VLOOKUP(B1065,'Thống kê'!$C$3:$D$669,2,0)</f>
        <v>Thỏ máy bay gắn xe</v>
      </c>
      <c r="D1065" s="166">
        <f>VLOOKUP(B1065,'Thống kê'!$C$3:$M$682,4,0)</f>
        <v>45000</v>
      </c>
      <c r="E1065" s="167">
        <v>1</v>
      </c>
      <c r="F1065" s="168">
        <f t="shared" si="4"/>
        <v>45000</v>
      </c>
      <c r="G1065" s="144"/>
      <c r="H1065" s="372"/>
    </row>
    <row r="1066" spans="1:8" ht="13.2">
      <c r="A1066" s="188"/>
      <c r="B1066" s="28" t="s">
        <v>145</v>
      </c>
      <c r="C1066" s="143" t="str">
        <f>VLOOKUP(B1066,'Thống kê'!$C$3:$D$669,2,0)</f>
        <v>Thỏ đi vịt gắn xe</v>
      </c>
      <c r="D1066" s="166">
        <f>VLOOKUP(B1066,'Thống kê'!$C$3:$M$682,4,0)</f>
        <v>45000</v>
      </c>
      <c r="E1066" s="167">
        <v>1</v>
      </c>
      <c r="F1066" s="168">
        <f t="shared" si="4"/>
        <v>45000</v>
      </c>
      <c r="G1066" s="144"/>
      <c r="H1066" s="372"/>
    </row>
    <row r="1067" spans="1:8" ht="13.2">
      <c r="A1067" s="188"/>
      <c r="B1067" s="28" t="s">
        <v>119</v>
      </c>
      <c r="C1067" s="143" t="str">
        <f>VLOOKUP(B1067,'Thống kê'!$C$3:$D$669,2,0)</f>
        <v>Thỏ chạy xe gắn xe</v>
      </c>
      <c r="D1067" s="166">
        <f>VLOOKUP(B1067,'Thống kê'!$C$3:$M$682,4,0)</f>
        <v>45000</v>
      </c>
      <c r="E1067" s="167">
        <v>1</v>
      </c>
      <c r="F1067" s="168">
        <f t="shared" si="4"/>
        <v>45000</v>
      </c>
      <c r="G1067" s="144"/>
      <c r="H1067" s="372"/>
    </row>
    <row r="1068" spans="1:8" ht="13.2">
      <c r="A1068" s="188"/>
      <c r="B1068" s="28" t="s">
        <v>183</v>
      </c>
      <c r="C1068" s="143" t="str">
        <f>VLOOKUP(B1068,'Thống kê'!$C$3:$D$669,2,0)</f>
        <v>Thỏ máy bay gắn xe</v>
      </c>
      <c r="D1068" s="166">
        <f>VLOOKUP(B1068,'Thống kê'!$C$3:$M$682,4,0)</f>
        <v>45000</v>
      </c>
      <c r="E1068" s="167">
        <v>1</v>
      </c>
      <c r="F1068" s="168">
        <f t="shared" si="4"/>
        <v>45000</v>
      </c>
      <c r="G1068" s="144"/>
      <c r="H1068" s="402">
        <v>55826</v>
      </c>
    </row>
    <row r="1069" spans="1:8" ht="13.2">
      <c r="A1069" s="188"/>
      <c r="B1069" s="28" t="s">
        <v>119</v>
      </c>
      <c r="C1069" s="143" t="str">
        <f>VLOOKUP(B1069,'Thống kê'!$C$3:$D$669,2,0)</f>
        <v>Thỏ chạy xe gắn xe</v>
      </c>
      <c r="D1069" s="166">
        <f>VLOOKUP(B1069,'Thống kê'!$C$3:$M$682,4,0)</f>
        <v>45000</v>
      </c>
      <c r="E1069" s="167">
        <v>1</v>
      </c>
      <c r="F1069" s="168">
        <f t="shared" si="4"/>
        <v>45000</v>
      </c>
      <c r="G1069" s="144"/>
      <c r="H1069" s="372"/>
    </row>
    <row r="1070" spans="1:8" ht="13.2">
      <c r="A1070" s="188"/>
      <c r="B1070" s="28" t="s">
        <v>196</v>
      </c>
      <c r="C1070" s="143">
        <f>VLOOKUP(B1070,'Thống kê'!$C$3:$D$669,2,0)</f>
        <v>0</v>
      </c>
      <c r="D1070" s="166">
        <f>VLOOKUP(B1070,'Thống kê'!$C$3:$M$682,4,0)</f>
        <v>0</v>
      </c>
      <c r="E1070" s="167">
        <v>1</v>
      </c>
      <c r="F1070" s="168">
        <f t="shared" si="4"/>
        <v>0</v>
      </c>
      <c r="G1070" s="144"/>
      <c r="H1070" s="175">
        <v>59269</v>
      </c>
    </row>
    <row r="1071" spans="1:8" ht="13.2">
      <c r="A1071" s="188"/>
      <c r="B1071" s="28" t="s">
        <v>1388</v>
      </c>
      <c r="C1071" s="143" t="str">
        <f>VLOOKUP(B1071,'Thống kê'!$C$3:$D$669,2,0)</f>
        <v>Móc khoá Crybaby mini Popmart</v>
      </c>
      <c r="D1071" s="166">
        <f>VLOOKUP(B1071,'Thống kê'!$C$3:$M$682,4,0)</f>
        <v>0</v>
      </c>
      <c r="E1071" s="167">
        <v>1</v>
      </c>
      <c r="F1071" s="168">
        <f t="shared" si="4"/>
        <v>0</v>
      </c>
      <c r="G1071" s="144"/>
      <c r="H1071" s="175">
        <v>81415</v>
      </c>
    </row>
    <row r="1072" spans="1:8" ht="13.2">
      <c r="A1072" s="188"/>
      <c r="B1072" s="28" t="s">
        <v>135</v>
      </c>
      <c r="C1072" s="143" t="e">
        <f>VLOOKUP(B1072,'Thống kê'!$C$3:$D$669,2,0)</f>
        <v>#N/A</v>
      </c>
      <c r="D1072" s="166" t="e">
        <f>VLOOKUP(B1072,'Thống kê'!$C$3:$M$682,4,0)</f>
        <v>#N/A</v>
      </c>
      <c r="E1072" s="167">
        <v>1</v>
      </c>
      <c r="F1072" s="168" t="e">
        <f t="shared" si="4"/>
        <v>#N/A</v>
      </c>
      <c r="G1072" s="144"/>
      <c r="H1072" s="175">
        <v>53750</v>
      </c>
    </row>
    <row r="1073" spans="1:8" ht="13.2">
      <c r="A1073" s="188"/>
      <c r="B1073" s="28" t="s">
        <v>1384</v>
      </c>
      <c r="C1073" s="143" t="str">
        <f>VLOOKUP(B1073,'Thống kê'!$C$3:$D$669,2,0)</f>
        <v>Móc khoá Crybaby mini Popmart</v>
      </c>
      <c r="D1073" s="166">
        <f>VLOOKUP(B1073,'Thống kê'!$C$3:$M$682,4,0)</f>
        <v>0</v>
      </c>
      <c r="E1073" s="167">
        <v>1</v>
      </c>
      <c r="F1073" s="168">
        <f t="shared" si="4"/>
        <v>0</v>
      </c>
      <c r="G1073" s="144"/>
      <c r="H1073" s="176">
        <v>77500</v>
      </c>
    </row>
    <row r="1074" spans="1:8" ht="13.2">
      <c r="A1074" s="188"/>
      <c r="B1074" s="28" t="s">
        <v>1342</v>
      </c>
      <c r="C1074" s="143" t="str">
        <f>VLOOKUP(B1074,'Thống kê'!$C$3:$D$669,2,0)</f>
        <v>Móc khóa chuối</v>
      </c>
      <c r="D1074" s="166">
        <f>VLOOKUP(B1074,'Thống kê'!$C$3:$M$682,4,0)</f>
        <v>148000</v>
      </c>
      <c r="E1074" s="167">
        <v>1</v>
      </c>
      <c r="F1074" s="168">
        <f t="shared" si="4"/>
        <v>148000</v>
      </c>
      <c r="G1074" s="144"/>
      <c r="H1074" s="403">
        <v>178793</v>
      </c>
    </row>
    <row r="1075" spans="1:8" ht="13.2">
      <c r="A1075" s="188"/>
      <c r="B1075" s="28" t="s">
        <v>133</v>
      </c>
      <c r="C1075" s="143">
        <f>VLOOKUP(B1075,'Thống kê'!$C$3:$D$669,2,0)</f>
        <v>0</v>
      </c>
      <c r="D1075" s="166">
        <f>VLOOKUP(B1075,'Thống kê'!$C$3:$M$682,4,0)</f>
        <v>0</v>
      </c>
      <c r="E1075" s="167">
        <v>1</v>
      </c>
      <c r="F1075" s="168">
        <f t="shared" ref="F1075:F1329" si="5">D1075*E1075</f>
        <v>0</v>
      </c>
      <c r="G1075" s="144"/>
      <c r="H1075" s="372"/>
    </row>
    <row r="1076" spans="1:8" ht="13.2">
      <c r="A1076" s="188"/>
      <c r="B1076" s="28" t="s">
        <v>196</v>
      </c>
      <c r="C1076" s="143">
        <f>VLOOKUP(B1076,'Thống kê'!$C$3:$D$669,2,0)</f>
        <v>0</v>
      </c>
      <c r="D1076" s="166">
        <f>VLOOKUP(B1076,'Thống kê'!$C$3:$M$682,4,0)</f>
        <v>0</v>
      </c>
      <c r="E1076" s="167">
        <v>1</v>
      </c>
      <c r="F1076" s="168">
        <f t="shared" si="5"/>
        <v>0</v>
      </c>
      <c r="G1076" s="144"/>
      <c r="H1076" s="373"/>
    </row>
    <row r="1077" spans="1:8" ht="13.2">
      <c r="A1077" s="188">
        <v>45719</v>
      </c>
      <c r="B1077" s="28" t="s">
        <v>1384</v>
      </c>
      <c r="C1077" s="143" t="str">
        <f>VLOOKUP(B1077,'Thống kê'!$C$3:$D$669,2,0)</f>
        <v>Móc khoá Crybaby mini Popmart</v>
      </c>
      <c r="D1077" s="166">
        <f>VLOOKUP(B1077,'Thống kê'!$C$3:$M$682,4,0)</f>
        <v>0</v>
      </c>
      <c r="E1077" s="167">
        <v>1</v>
      </c>
      <c r="F1077" s="168">
        <f t="shared" si="5"/>
        <v>0</v>
      </c>
      <c r="G1077" s="144"/>
      <c r="H1077" s="177">
        <v>77900</v>
      </c>
    </row>
    <row r="1078" spans="1:8" ht="13.2">
      <c r="A1078" s="188"/>
      <c r="B1078" s="28" t="s">
        <v>1464</v>
      </c>
      <c r="C1078" s="143">
        <f>VLOOKUP(B1078,'Thống kê'!$C$3:$D$669,2,0)</f>
        <v>0</v>
      </c>
      <c r="D1078" s="166">
        <f>VLOOKUP(B1078,'Thống kê'!$C$3:$M$682,4,0)</f>
        <v>0</v>
      </c>
      <c r="E1078" s="167">
        <v>1</v>
      </c>
      <c r="F1078" s="168">
        <f t="shared" si="5"/>
        <v>0</v>
      </c>
      <c r="G1078" s="144"/>
      <c r="H1078" s="403">
        <v>139400</v>
      </c>
    </row>
    <row r="1079" spans="1:8" ht="13.2">
      <c r="A1079" s="188"/>
      <c r="B1079" s="28" t="s">
        <v>1466</v>
      </c>
      <c r="C1079" s="143">
        <f>VLOOKUP(B1079,'Thống kê'!$C$3:$D$669,2,0)</f>
        <v>0</v>
      </c>
      <c r="D1079" s="166">
        <f>VLOOKUP(B1079,'Thống kê'!$C$3:$M$682,4,0)</f>
        <v>0</v>
      </c>
      <c r="E1079" s="167">
        <v>1</v>
      </c>
      <c r="F1079" s="168">
        <f t="shared" si="5"/>
        <v>0</v>
      </c>
      <c r="G1079" s="144"/>
      <c r="H1079" s="373"/>
    </row>
    <row r="1080" spans="1:8" ht="13.2">
      <c r="A1080" s="188"/>
      <c r="B1080" s="28" t="s">
        <v>1621</v>
      </c>
      <c r="C1080" s="143" t="str">
        <f>VLOOKUP(B1080,'Thống kê'!$C$3:$D$669,2,0)</f>
        <v>Mô hình mèo 2</v>
      </c>
      <c r="D1080" s="166">
        <f>VLOOKUP(B1080,'Thống kê'!$C$3:$M$682,4,0)</f>
        <v>37800</v>
      </c>
      <c r="E1080" s="167">
        <v>1</v>
      </c>
      <c r="F1080" s="168">
        <f t="shared" si="5"/>
        <v>37800</v>
      </c>
      <c r="G1080" s="144"/>
      <c r="H1080" s="177">
        <v>60126</v>
      </c>
    </row>
    <row r="1081" spans="1:8" ht="13.2">
      <c r="A1081" s="188"/>
      <c r="B1081" s="28" t="s">
        <v>85</v>
      </c>
      <c r="C1081" s="143" t="e">
        <f>VLOOKUP(B1081,'Thống kê'!$C$3:$D$669,2,0)</f>
        <v>#N/A</v>
      </c>
      <c r="D1081" s="166">
        <f>VLOOKUP(B1081,'Thống kê'!$C$3:$M$682,4,0)</f>
        <v>0</v>
      </c>
      <c r="E1081" s="167">
        <v>1</v>
      </c>
      <c r="F1081" s="168">
        <f t="shared" si="5"/>
        <v>0</v>
      </c>
      <c r="G1081" s="144"/>
      <c r="H1081" s="403">
        <v>117180</v>
      </c>
    </row>
    <row r="1082" spans="1:8" ht="13.2">
      <c r="A1082" s="188"/>
      <c r="B1082" s="28" t="s">
        <v>1520</v>
      </c>
      <c r="C1082" s="143" t="e">
        <f>VLOOKUP(B1082,'Thống kê'!$C$3:$D$669,2,0)</f>
        <v>#N/A</v>
      </c>
      <c r="D1082" s="166" t="e">
        <f>VLOOKUP(B1082,'Thống kê'!$C$3:$M$682,4,0)</f>
        <v>#N/A</v>
      </c>
      <c r="E1082" s="167">
        <v>1</v>
      </c>
      <c r="F1082" s="168" t="e">
        <f t="shared" si="5"/>
        <v>#N/A</v>
      </c>
      <c r="G1082" s="144"/>
      <c r="H1082" s="373"/>
    </row>
    <row r="1083" spans="1:8" ht="13.2">
      <c r="A1083" s="188"/>
      <c r="B1083" s="28" t="s">
        <v>1384</v>
      </c>
      <c r="C1083" s="143" t="str">
        <f>VLOOKUP(B1083,'Thống kê'!$C$3:$D$669,2,0)</f>
        <v>Móc khoá Crybaby mini Popmart</v>
      </c>
      <c r="D1083" s="166">
        <f>VLOOKUP(B1083,'Thống kê'!$C$3:$M$682,4,0)</f>
        <v>0</v>
      </c>
      <c r="E1083" s="167">
        <v>1</v>
      </c>
      <c r="F1083" s="168">
        <f t="shared" si="5"/>
        <v>0</v>
      </c>
      <c r="G1083" s="144"/>
      <c r="H1083" s="402">
        <v>155406</v>
      </c>
    </row>
    <row r="1084" spans="1:8" ht="13.2">
      <c r="A1084" s="188"/>
      <c r="B1084" s="28" t="s">
        <v>1425</v>
      </c>
      <c r="C1084" s="143" t="str">
        <f>VLOOKUP(B1084,'Thống kê'!$C$3:$D$669,2,0)</f>
        <v>Móc khoá Crybaby mini Popmart</v>
      </c>
      <c r="D1084" s="166">
        <f>VLOOKUP(B1084,'Thống kê'!$C$3:$M$682,4,0)</f>
        <v>145000</v>
      </c>
      <c r="E1084" s="167">
        <v>1</v>
      </c>
      <c r="F1084" s="168">
        <f t="shared" si="5"/>
        <v>145000</v>
      </c>
      <c r="G1084" s="144"/>
      <c r="H1084" s="372"/>
    </row>
    <row r="1085" spans="1:8" ht="13.2">
      <c r="A1085" s="188"/>
      <c r="B1085" s="28" t="s">
        <v>118</v>
      </c>
      <c r="C1085" s="143" t="e">
        <f>VLOOKUP(B1085,'Thống kê'!$C$3:$D$669,2,0)</f>
        <v>#N/A</v>
      </c>
      <c r="D1085" s="166" t="e">
        <f>VLOOKUP(B1085,'Thống kê'!$C$3:$M$682,4,0)</f>
        <v>#N/A</v>
      </c>
      <c r="E1085" s="167">
        <v>1</v>
      </c>
      <c r="F1085" s="168" t="e">
        <f t="shared" si="5"/>
        <v>#N/A</v>
      </c>
      <c r="G1085" s="144"/>
      <c r="H1085" s="402">
        <v>124230</v>
      </c>
    </row>
    <row r="1086" spans="1:8" ht="13.2">
      <c r="A1086" s="188"/>
      <c r="B1086" s="28" t="s">
        <v>96</v>
      </c>
      <c r="C1086" s="143" t="e">
        <f>VLOOKUP(B1086,'Thống kê'!$C$3:$D$669,2,0)</f>
        <v>#N/A</v>
      </c>
      <c r="D1086" s="166">
        <f>VLOOKUP(B1086,'Thống kê'!$C$3:$M$682,4,0)</f>
        <v>0</v>
      </c>
      <c r="E1086" s="167">
        <v>1</v>
      </c>
      <c r="F1086" s="168">
        <f t="shared" si="5"/>
        <v>0</v>
      </c>
      <c r="G1086" s="144"/>
      <c r="H1086" s="372"/>
    </row>
    <row r="1087" spans="1:8" ht="13.2">
      <c r="A1087" s="188"/>
      <c r="B1087" s="28" t="s">
        <v>1475</v>
      </c>
      <c r="C1087" s="143">
        <f>VLOOKUP(B1087,'Thống kê'!$C$3:$D$669,2,0)</f>
        <v>0</v>
      </c>
      <c r="D1087" s="166">
        <f>VLOOKUP(B1087,'Thống kê'!$C$3:$M$682,4,0)</f>
        <v>0</v>
      </c>
      <c r="E1087" s="167">
        <v>1</v>
      </c>
      <c r="F1087" s="168">
        <f t="shared" si="5"/>
        <v>0</v>
      </c>
      <c r="G1087" s="144"/>
      <c r="H1087" s="175">
        <v>58965</v>
      </c>
    </row>
    <row r="1088" spans="1:8" ht="13.2">
      <c r="A1088" s="188"/>
      <c r="B1088" s="28" t="s">
        <v>1384</v>
      </c>
      <c r="C1088" s="143" t="str">
        <f>VLOOKUP(B1088,'Thống kê'!$C$3:$D$669,2,0)</f>
        <v>Móc khoá Crybaby mini Popmart</v>
      </c>
      <c r="D1088" s="166">
        <f>VLOOKUP(B1088,'Thống kê'!$C$3:$M$682,4,0)</f>
        <v>0</v>
      </c>
      <c r="E1088" s="167">
        <v>1</v>
      </c>
      <c r="F1088" s="168">
        <f t="shared" si="5"/>
        <v>0</v>
      </c>
      <c r="G1088" s="144"/>
      <c r="H1088" s="402">
        <v>154506</v>
      </c>
    </row>
    <row r="1089" spans="1:8" ht="13.2">
      <c r="A1089" s="188"/>
      <c r="B1089" s="28" t="s">
        <v>259</v>
      </c>
      <c r="C1089" s="143" t="str">
        <f>VLOOKUP(B1089,'Thống kê'!$C$3:$D$669,2,0)</f>
        <v>Móc khoá Crybaby mini Popmart</v>
      </c>
      <c r="D1089" s="166">
        <f>VLOOKUP(B1089,'Thống kê'!$C$3:$M$682,4,0)</f>
        <v>0</v>
      </c>
      <c r="E1089" s="167">
        <v>1</v>
      </c>
      <c r="F1089" s="168">
        <f t="shared" si="5"/>
        <v>0</v>
      </c>
      <c r="G1089" s="144"/>
      <c r="H1089" s="372"/>
    </row>
    <row r="1090" spans="1:8" ht="13.2">
      <c r="A1090" s="188"/>
      <c r="B1090" s="28" t="s">
        <v>1384</v>
      </c>
      <c r="C1090" s="143" t="str">
        <f>VLOOKUP(B1090,'Thống kê'!$C$3:$D$669,2,0)</f>
        <v>Móc khoá Crybaby mini Popmart</v>
      </c>
      <c r="D1090" s="166">
        <f>VLOOKUP(B1090,'Thống kê'!$C$3:$M$682,4,0)</f>
        <v>0</v>
      </c>
      <c r="E1090" s="167">
        <v>1</v>
      </c>
      <c r="F1090" s="168">
        <f t="shared" si="5"/>
        <v>0</v>
      </c>
      <c r="G1090" s="144"/>
      <c r="H1090" s="402">
        <v>155406</v>
      </c>
    </row>
    <row r="1091" spans="1:8" ht="13.2">
      <c r="A1091" s="188"/>
      <c r="B1091" s="202" t="s">
        <v>259</v>
      </c>
      <c r="C1091" s="143" t="str">
        <f>VLOOKUP(B1091,'Thống kê'!$C$3:$D$669,2,0)</f>
        <v>Móc khoá Crybaby mini Popmart</v>
      </c>
      <c r="D1091" s="166">
        <f>VLOOKUP(B1091,'Thống kê'!$C$3:$M$682,4,0)</f>
        <v>0</v>
      </c>
      <c r="E1091" s="167">
        <v>1</v>
      </c>
      <c r="F1091" s="168">
        <f t="shared" si="5"/>
        <v>0</v>
      </c>
      <c r="G1091" s="144"/>
      <c r="H1091" s="372"/>
    </row>
    <row r="1092" spans="1:8" ht="13.2">
      <c r="A1092" s="188"/>
      <c r="B1092" s="202" t="s">
        <v>133</v>
      </c>
      <c r="C1092" s="143">
        <f>VLOOKUP(B1092,'Thống kê'!$C$3:$D$669,2,0)</f>
        <v>0</v>
      </c>
      <c r="D1092" s="166">
        <f>VLOOKUP(B1092,'Thống kê'!$C$3:$M$682,4,0)</f>
        <v>0</v>
      </c>
      <c r="E1092" s="167">
        <v>1</v>
      </c>
      <c r="F1092" s="168">
        <f t="shared" si="5"/>
        <v>0</v>
      </c>
      <c r="G1092" s="144"/>
      <c r="H1092" s="175">
        <v>45571</v>
      </c>
    </row>
    <row r="1093" spans="1:8" ht="13.2">
      <c r="A1093" s="188"/>
      <c r="B1093" s="28" t="s">
        <v>1384</v>
      </c>
      <c r="C1093" s="143" t="str">
        <f>VLOOKUP(B1093,'Thống kê'!$C$3:$D$669,2,0)</f>
        <v>Móc khoá Crybaby mini Popmart</v>
      </c>
      <c r="D1093" s="166">
        <f>VLOOKUP(B1093,'Thống kê'!$C$3:$M$682,4,0)</f>
        <v>0</v>
      </c>
      <c r="E1093" s="167">
        <v>1</v>
      </c>
      <c r="F1093" s="168">
        <f t="shared" si="5"/>
        <v>0</v>
      </c>
      <c r="G1093" s="144"/>
      <c r="H1093" s="175">
        <v>77515</v>
      </c>
    </row>
    <row r="1094" spans="1:8" ht="13.2">
      <c r="A1094" s="188"/>
      <c r="B1094" s="28" t="s">
        <v>143</v>
      </c>
      <c r="C1094" s="143" t="str">
        <f>VLOOKUP(B1094,'Thống kê'!$C$3:$D$669,2,0)</f>
        <v>Mèo ú</v>
      </c>
      <c r="D1094" s="166">
        <f>VLOOKUP(B1094,'Thống kê'!$C$3:$M$682,4,0)</f>
        <v>59500</v>
      </c>
      <c r="E1094" s="167">
        <v>1</v>
      </c>
      <c r="F1094" s="168">
        <f t="shared" si="5"/>
        <v>59500</v>
      </c>
      <c r="G1094" s="144"/>
      <c r="H1094" s="175">
        <v>53225</v>
      </c>
    </row>
    <row r="1095" spans="1:8" ht="13.2">
      <c r="A1095" s="188"/>
      <c r="B1095" s="28" t="s">
        <v>133</v>
      </c>
      <c r="C1095" s="143">
        <f>VLOOKUP(B1095,'Thống kê'!$C$3:$D$669,2,0)</f>
        <v>0</v>
      </c>
      <c r="D1095" s="166">
        <f>VLOOKUP(B1095,'Thống kê'!$C$3:$M$682,4,0)</f>
        <v>0</v>
      </c>
      <c r="E1095" s="167">
        <v>1</v>
      </c>
      <c r="F1095" s="168">
        <f t="shared" si="5"/>
        <v>0</v>
      </c>
      <c r="G1095" s="144"/>
      <c r="H1095" s="402">
        <v>110290</v>
      </c>
    </row>
    <row r="1096" spans="1:8" ht="13.2">
      <c r="A1096" s="188"/>
      <c r="B1096" s="28" t="s">
        <v>77</v>
      </c>
      <c r="C1096" s="143">
        <f>VLOOKUP(B1096,'Thống kê'!$C$3:$D$669,2,0)</f>
        <v>0</v>
      </c>
      <c r="D1096" s="166">
        <f>VLOOKUP(B1096,'Thống kê'!$C$3:$M$682,4,0)</f>
        <v>0</v>
      </c>
      <c r="E1096" s="167">
        <v>1</v>
      </c>
      <c r="F1096" s="168">
        <f t="shared" si="5"/>
        <v>0</v>
      </c>
      <c r="G1096" s="144"/>
      <c r="H1096" s="373"/>
    </row>
    <row r="1097" spans="1:8" ht="13.2">
      <c r="A1097" s="188"/>
      <c r="B1097" s="28" t="s">
        <v>1470</v>
      </c>
      <c r="C1097" s="143">
        <f>VLOOKUP(B1097,'Thống kê'!$C$3:$D$669,2,0)</f>
        <v>0</v>
      </c>
      <c r="D1097" s="166">
        <f>VLOOKUP(B1097,'Thống kê'!$C$3:$M$682,4,0)</f>
        <v>0</v>
      </c>
      <c r="E1097" s="167">
        <v>1</v>
      </c>
      <c r="F1097" s="168">
        <f t="shared" si="5"/>
        <v>0</v>
      </c>
      <c r="G1097" s="144"/>
      <c r="H1097" s="403">
        <v>292760</v>
      </c>
    </row>
    <row r="1098" spans="1:8" ht="13.2">
      <c r="A1098" s="188"/>
      <c r="B1098" s="28" t="s">
        <v>1779</v>
      </c>
      <c r="C1098" s="143">
        <f>VLOOKUP(B1098,'Thống kê'!$C$3:$D$669,2,0)</f>
        <v>0</v>
      </c>
      <c r="D1098" s="166">
        <f>VLOOKUP(B1098,'Thống kê'!$C$3:$M$682,4,0)</f>
        <v>0</v>
      </c>
      <c r="E1098" s="167">
        <v>1</v>
      </c>
      <c r="F1098" s="168">
        <f t="shared" si="5"/>
        <v>0</v>
      </c>
      <c r="G1098" s="144"/>
      <c r="H1098" s="372"/>
    </row>
    <row r="1099" spans="1:8" ht="13.2">
      <c r="A1099" s="188"/>
      <c r="B1099" s="28" t="s">
        <v>1463</v>
      </c>
      <c r="C1099" s="143">
        <f>VLOOKUP(B1099,'Thống kê'!$C$3:$D$669,2,0)</f>
        <v>0</v>
      </c>
      <c r="D1099" s="166">
        <f>VLOOKUP(B1099,'Thống kê'!$C$3:$M$682,4,0)</f>
        <v>0</v>
      </c>
      <c r="E1099" s="167">
        <v>1</v>
      </c>
      <c r="F1099" s="168">
        <f t="shared" si="5"/>
        <v>0</v>
      </c>
      <c r="G1099" s="144"/>
      <c r="H1099" s="372"/>
    </row>
    <row r="1100" spans="1:8" ht="13.2">
      <c r="A1100" s="188"/>
      <c r="B1100" s="28" t="s">
        <v>135</v>
      </c>
      <c r="C1100" s="143" t="e">
        <f>VLOOKUP(B1100,'Thống kê'!$C$3:$D$669,2,0)</f>
        <v>#N/A</v>
      </c>
      <c r="D1100" s="166" t="e">
        <f>VLOOKUP(B1100,'Thống kê'!$C$3:$M$682,4,0)</f>
        <v>#N/A</v>
      </c>
      <c r="E1100" s="167">
        <v>1</v>
      </c>
      <c r="F1100" s="168" t="e">
        <f t="shared" si="5"/>
        <v>#N/A</v>
      </c>
      <c r="G1100" s="144"/>
      <c r="H1100" s="175">
        <v>53750</v>
      </c>
    </row>
    <row r="1101" spans="1:8" ht="13.2">
      <c r="A1101" s="188">
        <v>45720</v>
      </c>
      <c r="B1101" s="28" t="s">
        <v>1365</v>
      </c>
      <c r="C1101" s="143" t="str">
        <f>VLOOKUP(B1101,'Thống kê'!$C$3:$D$669,2,0)</f>
        <v>Móc khóa Popbean</v>
      </c>
      <c r="D1101" s="166">
        <f>VLOOKUP(B1101,'Thống kê'!$C$3:$M$682,4,0)</f>
        <v>148000</v>
      </c>
      <c r="E1101" s="167">
        <v>1</v>
      </c>
      <c r="F1101" s="168">
        <f t="shared" si="5"/>
        <v>148000</v>
      </c>
      <c r="G1101" s="144"/>
      <c r="H1101" s="175">
        <v>112340</v>
      </c>
    </row>
    <row r="1102" spans="1:8" ht="13.2">
      <c r="A1102" s="188"/>
      <c r="B1102" s="28" t="s">
        <v>1388</v>
      </c>
      <c r="C1102" s="143" t="str">
        <f>VLOOKUP(B1102,'Thống kê'!$C$3:$D$669,2,0)</f>
        <v>Móc khoá Crybaby mini Popmart</v>
      </c>
      <c r="D1102" s="166">
        <f>VLOOKUP(B1102,'Thống kê'!$C$3:$M$682,4,0)</f>
        <v>0</v>
      </c>
      <c r="E1102" s="167">
        <v>1</v>
      </c>
      <c r="F1102" s="168">
        <f t="shared" si="5"/>
        <v>0</v>
      </c>
      <c r="G1102" s="144"/>
      <c r="H1102" s="402">
        <v>155406</v>
      </c>
    </row>
    <row r="1103" spans="1:8" ht="13.2">
      <c r="A1103" s="188"/>
      <c r="B1103" s="28" t="s">
        <v>138</v>
      </c>
      <c r="C1103" s="143" t="str">
        <f>VLOOKUP(B1103,'Thống kê'!$C$3:$D$669,2,0)</f>
        <v>Móc khoá Crybaby mini Popmart</v>
      </c>
      <c r="D1103" s="166">
        <f>VLOOKUP(B1103,'Thống kê'!$C$3:$M$682,4,0)</f>
        <v>0</v>
      </c>
      <c r="E1103" s="167">
        <v>1</v>
      </c>
      <c r="F1103" s="168">
        <f t="shared" si="5"/>
        <v>0</v>
      </c>
      <c r="G1103" s="144"/>
      <c r="H1103" s="372"/>
    </row>
    <row r="1104" spans="1:8" ht="13.2">
      <c r="A1104" s="188"/>
      <c r="B1104" s="28" t="s">
        <v>138</v>
      </c>
      <c r="C1104" s="143" t="str">
        <f>VLOOKUP(B1104,'Thống kê'!$C$3:$D$669,2,0)</f>
        <v>Móc khoá Crybaby mini Popmart</v>
      </c>
      <c r="D1104" s="166">
        <f>VLOOKUP(B1104,'Thống kê'!$C$3:$M$682,4,0)</f>
        <v>0</v>
      </c>
      <c r="E1104" s="167">
        <v>1</v>
      </c>
      <c r="F1104" s="168">
        <f t="shared" si="5"/>
        <v>0</v>
      </c>
      <c r="G1104" s="144"/>
      <c r="H1104" s="175">
        <v>77900</v>
      </c>
    </row>
    <row r="1105" spans="1:8" ht="13.2">
      <c r="A1105" s="188"/>
      <c r="B1105" s="28" t="s">
        <v>1486</v>
      </c>
      <c r="C1105" s="143" t="str">
        <f>VLOOKUP(B1105,'Thống kê'!$C$3:$D$669,2,0)</f>
        <v>Móc khoá Dudu nhiều màu sắc treo túi, đeo điện thoại</v>
      </c>
      <c r="D1105" s="166">
        <f>VLOOKUP(B1105,'Thống kê'!$C$3:$M$682,4,0)</f>
        <v>45000</v>
      </c>
      <c r="E1105" s="167">
        <v>1</v>
      </c>
      <c r="F1105" s="168">
        <f t="shared" si="5"/>
        <v>45000</v>
      </c>
      <c r="G1105" s="144"/>
      <c r="H1105" s="175">
        <v>34331</v>
      </c>
    </row>
    <row r="1106" spans="1:8" ht="13.2">
      <c r="A1106" s="188"/>
      <c r="B1106" s="28" t="s">
        <v>1591</v>
      </c>
      <c r="C1106" s="143" t="str">
        <f>VLOOKUP(B1106,'Thống kê'!$C$3:$D$669,2,0)</f>
        <v>Thỏ ú</v>
      </c>
      <c r="D1106" s="166">
        <f>VLOOKUP(B1106,'Thống kê'!$C$3:$M$682,4,0)</f>
        <v>59500</v>
      </c>
      <c r="E1106" s="167">
        <v>1</v>
      </c>
      <c r="F1106" s="168">
        <f t="shared" si="5"/>
        <v>59500</v>
      </c>
      <c r="G1106" s="144"/>
      <c r="H1106" s="175">
        <v>53300</v>
      </c>
    </row>
    <row r="1107" spans="1:8" ht="13.2">
      <c r="A1107" s="188"/>
      <c r="B1107" s="28" t="s">
        <v>1519</v>
      </c>
      <c r="C1107" s="143" t="e">
        <f>VLOOKUP(B1107,'Thống kê'!$C$3:$D$669,2,0)</f>
        <v>#N/A</v>
      </c>
      <c r="D1107" s="166">
        <f>VLOOKUP(B1107,'Thống kê'!$C$3:$M$682,4,0)</f>
        <v>0</v>
      </c>
      <c r="E1107" s="167">
        <v>1</v>
      </c>
      <c r="F1107" s="168">
        <f t="shared" si="5"/>
        <v>0</v>
      </c>
      <c r="G1107" s="144"/>
      <c r="H1107" s="175">
        <v>95940</v>
      </c>
    </row>
    <row r="1108" spans="1:8" ht="13.2">
      <c r="A1108" s="188"/>
      <c r="B1108" s="28" t="s">
        <v>245</v>
      </c>
      <c r="C1108" s="143" t="str">
        <f>VLOOKUP(B1108,'Thống kê'!$C$3:$D$669,2,0)</f>
        <v>Móc khóa Popbean</v>
      </c>
      <c r="D1108" s="166">
        <f>VLOOKUP(B1108,'Thống kê'!$C$3:$M$682,4,0)</f>
        <v>148000</v>
      </c>
      <c r="E1108" s="167">
        <v>1</v>
      </c>
      <c r="F1108" s="168">
        <f t="shared" si="5"/>
        <v>148000</v>
      </c>
      <c r="G1108" s="144"/>
      <c r="H1108" s="402">
        <v>202179</v>
      </c>
    </row>
    <row r="1109" spans="1:8" ht="13.2">
      <c r="A1109" s="188"/>
      <c r="B1109" s="28" t="s">
        <v>1384</v>
      </c>
      <c r="C1109" s="143" t="str">
        <f>VLOOKUP(B1109,'Thống kê'!$C$3:$D$669,2,0)</f>
        <v>Móc khoá Crybaby mini Popmart</v>
      </c>
      <c r="D1109" s="166">
        <f>VLOOKUP(B1109,'Thống kê'!$C$3:$M$682,4,0)</f>
        <v>0</v>
      </c>
      <c r="E1109" s="167">
        <v>1</v>
      </c>
      <c r="F1109" s="168">
        <f t="shared" si="5"/>
        <v>0</v>
      </c>
      <c r="G1109" s="144"/>
      <c r="H1109" s="372"/>
    </row>
    <row r="1110" spans="1:8" ht="13.2">
      <c r="A1110" s="188"/>
      <c r="B1110" s="28" t="s">
        <v>150</v>
      </c>
      <c r="C1110" s="143" t="str">
        <f>VLOOKUP(B1110,'Thống kê'!$C$3:$D$669,2,0)</f>
        <v>Móc khóa có chuông</v>
      </c>
      <c r="D1110" s="166">
        <f>VLOOKUP(B1110,'Thống kê'!$C$3:$M$682,4,0)</f>
        <v>59000</v>
      </c>
      <c r="E1110" s="167">
        <v>1</v>
      </c>
      <c r="F1110" s="168">
        <f t="shared" si="5"/>
        <v>59000</v>
      </c>
      <c r="G1110" s="144"/>
      <c r="H1110" s="175">
        <v>44435</v>
      </c>
    </row>
    <row r="1111" spans="1:8" ht="13.2">
      <c r="A1111" s="188"/>
      <c r="B1111" s="28" t="s">
        <v>128</v>
      </c>
      <c r="C1111" s="143" t="str">
        <f>VLOOKUP(B1111,'Thống kê'!$C$3:$D$669,2,0)</f>
        <v>Mèo ú bay</v>
      </c>
      <c r="D1111" s="166">
        <f>VLOOKUP(B1111,'Thống kê'!$C$3:$M$682,4,0)</f>
        <v>64500</v>
      </c>
      <c r="E1111" s="167">
        <v>1</v>
      </c>
      <c r="F1111" s="168">
        <f t="shared" si="5"/>
        <v>64500</v>
      </c>
      <c r="G1111" s="144"/>
      <c r="H1111" s="175">
        <v>57325</v>
      </c>
    </row>
    <row r="1112" spans="1:8" ht="13.2">
      <c r="A1112" s="188"/>
      <c r="B1112" s="28" t="s">
        <v>119</v>
      </c>
      <c r="C1112" s="143" t="str">
        <f>VLOOKUP(B1112,'Thống kê'!$C$3:$D$669,2,0)</f>
        <v>Thỏ chạy xe gắn xe</v>
      </c>
      <c r="D1112" s="166">
        <f>VLOOKUP(B1112,'Thống kê'!$C$3:$M$682,4,0)</f>
        <v>45000</v>
      </c>
      <c r="E1112" s="167">
        <v>1</v>
      </c>
      <c r="F1112" s="168">
        <f t="shared" si="5"/>
        <v>45000</v>
      </c>
      <c r="G1112" s="144"/>
      <c r="H1112" s="175">
        <v>29805</v>
      </c>
    </row>
    <row r="1113" spans="1:8" ht="13.2">
      <c r="A1113" s="188"/>
      <c r="B1113" s="28" t="s">
        <v>135</v>
      </c>
      <c r="C1113" s="143" t="e">
        <f>VLOOKUP(B1113,'Thống kê'!$C$3:$D$669,2,0)</f>
        <v>#N/A</v>
      </c>
      <c r="D1113" s="166" t="e">
        <f>VLOOKUP(B1113,'Thống kê'!$C$3:$M$682,4,0)</f>
        <v>#N/A</v>
      </c>
      <c r="E1113" s="167">
        <v>1</v>
      </c>
      <c r="F1113" s="168" t="e">
        <f t="shared" si="5"/>
        <v>#N/A</v>
      </c>
      <c r="G1113" s="144"/>
      <c r="H1113" s="175">
        <v>50509</v>
      </c>
    </row>
    <row r="1114" spans="1:8" ht="13.2">
      <c r="A1114" s="188">
        <v>45721</v>
      </c>
      <c r="B1114" s="28" t="s">
        <v>196</v>
      </c>
      <c r="C1114" s="143">
        <f>VLOOKUP(B1114,'Thống kê'!$C$3:$D$669,2,0)</f>
        <v>0</v>
      </c>
      <c r="D1114" s="166">
        <f>VLOOKUP(B1114,'Thống kê'!$C$3:$M$682,4,0)</f>
        <v>0</v>
      </c>
      <c r="E1114" s="167">
        <v>1</v>
      </c>
      <c r="F1114" s="168">
        <f t="shared" si="5"/>
        <v>0</v>
      </c>
      <c r="G1114" s="144"/>
      <c r="H1114" s="402">
        <v>209346</v>
      </c>
    </row>
    <row r="1115" spans="1:8" ht="13.2">
      <c r="A1115" s="188"/>
      <c r="B1115" s="28" t="s">
        <v>1519</v>
      </c>
      <c r="C1115" s="143" t="e">
        <f>VLOOKUP(B1115,'Thống kê'!$C$3:$D$669,2,0)</f>
        <v>#N/A</v>
      </c>
      <c r="D1115" s="166">
        <f>VLOOKUP(B1115,'Thống kê'!$C$3:$M$682,4,0)</f>
        <v>0</v>
      </c>
      <c r="E1115" s="167">
        <v>1</v>
      </c>
      <c r="F1115" s="168">
        <f t="shared" si="5"/>
        <v>0</v>
      </c>
      <c r="G1115" s="144"/>
      <c r="H1115" s="372"/>
    </row>
    <row r="1116" spans="1:8" ht="13.2">
      <c r="A1116" s="188"/>
      <c r="B1116" s="28" t="s">
        <v>180</v>
      </c>
      <c r="C1116" s="143" t="e">
        <f>VLOOKUP(B1116,'Thống kê'!$C$3:$D$669,2,0)</f>
        <v>#N/A</v>
      </c>
      <c r="D1116" s="166">
        <f>VLOOKUP(B1116,'Thống kê'!$C$3:$M$682,4,0)</f>
        <v>0</v>
      </c>
      <c r="E1116" s="167">
        <v>1</v>
      </c>
      <c r="F1116" s="168">
        <f t="shared" si="5"/>
        <v>0</v>
      </c>
      <c r="G1116" s="144"/>
      <c r="H1116" s="372"/>
    </row>
    <row r="1117" spans="1:8" ht="13.2">
      <c r="A1117" s="188"/>
      <c r="B1117" s="28" t="s">
        <v>234</v>
      </c>
      <c r="C1117" s="143" t="str">
        <f>VLOOKUP(B1117,'Thống kê'!$C$3:$D$669,2,0)</f>
        <v>Móc khoá skullpanda phiên bản mini</v>
      </c>
      <c r="D1117" s="166">
        <f>VLOOKUP(B1117,'Thống kê'!$C$3:$M$682,4,0)</f>
        <v>98000</v>
      </c>
      <c r="E1117" s="167">
        <v>1</v>
      </c>
      <c r="F1117" s="168">
        <f t="shared" si="5"/>
        <v>98000</v>
      </c>
      <c r="G1117" s="144"/>
      <c r="H1117" s="175">
        <v>74630</v>
      </c>
    </row>
    <row r="1118" spans="1:8" ht="13.2">
      <c r="A1118" s="188"/>
      <c r="B1118" s="28" t="s">
        <v>96</v>
      </c>
      <c r="C1118" s="143" t="e">
        <f>VLOOKUP(B1118,'Thống kê'!$C$3:$D$669,2,0)</f>
        <v>#N/A</v>
      </c>
      <c r="D1118" s="166">
        <f>VLOOKUP(B1118,'Thống kê'!$C$3:$M$682,4,0)</f>
        <v>0</v>
      </c>
      <c r="E1118" s="167">
        <v>1</v>
      </c>
      <c r="F1118" s="168">
        <f t="shared" si="5"/>
        <v>0</v>
      </c>
      <c r="G1118" s="144"/>
      <c r="H1118" s="175">
        <v>59019</v>
      </c>
    </row>
    <row r="1119" spans="1:8" ht="13.2">
      <c r="A1119" s="188"/>
      <c r="B1119" s="28" t="s">
        <v>1384</v>
      </c>
      <c r="C1119" s="143" t="str">
        <f>VLOOKUP(B1119,'Thống kê'!$C$3:$D$669,2,0)</f>
        <v>Móc khoá Crybaby mini Popmart</v>
      </c>
      <c r="D1119" s="166">
        <f>VLOOKUP(B1119,'Thống kê'!$C$3:$M$682,4,0)</f>
        <v>0</v>
      </c>
      <c r="E1119" s="167">
        <v>1</v>
      </c>
      <c r="F1119" s="168">
        <f t="shared" si="5"/>
        <v>0</v>
      </c>
      <c r="G1119" s="144"/>
      <c r="H1119" s="175">
        <v>77900</v>
      </c>
    </row>
    <row r="1120" spans="1:8" ht="13.2">
      <c r="A1120" s="188"/>
      <c r="B1120" s="28" t="s">
        <v>170</v>
      </c>
      <c r="C1120" s="143" t="str">
        <f>VLOOKUP(B1120,'Thống kê'!$C$3:$D$669,2,0)</f>
        <v>Móc khóa chuối</v>
      </c>
      <c r="D1120" s="166">
        <f>VLOOKUP(B1120,'Thống kê'!$C$3:$M$682,4,0)</f>
        <v>148000</v>
      </c>
      <c r="E1120" s="167">
        <v>1</v>
      </c>
      <c r="F1120" s="168">
        <f t="shared" si="5"/>
        <v>148000</v>
      </c>
      <c r="G1120" s="144"/>
      <c r="H1120" s="402">
        <v>129354</v>
      </c>
    </row>
    <row r="1121" spans="1:8" ht="13.2">
      <c r="A1121" s="189"/>
      <c r="B1121" s="28" t="s">
        <v>196</v>
      </c>
      <c r="C1121" s="143">
        <f>VLOOKUP(B1121,'Thống kê'!$C$3:$D$669,2,0)</f>
        <v>0</v>
      </c>
      <c r="D1121" s="166">
        <f>VLOOKUP(B1121,'Thống kê'!$C$3:$M$682,4,0)</f>
        <v>0</v>
      </c>
      <c r="E1121" s="167">
        <v>1</v>
      </c>
      <c r="F1121" s="168">
        <f t="shared" si="5"/>
        <v>0</v>
      </c>
      <c r="G1121" s="144"/>
      <c r="H1121" s="372"/>
    </row>
    <row r="1122" spans="1:8" ht="13.2">
      <c r="A1122" s="193"/>
      <c r="B1122" s="28" t="s">
        <v>1472</v>
      </c>
      <c r="C1122" s="143">
        <f>VLOOKUP(B1122,'Thống kê'!$C$3:$D$669,2,0)</f>
        <v>0</v>
      </c>
      <c r="D1122" s="166">
        <f>VLOOKUP(B1122,'Thống kê'!$C$3:$M$682,4,0)</f>
        <v>0</v>
      </c>
      <c r="E1122" s="167">
        <v>1</v>
      </c>
      <c r="F1122" s="168">
        <f t="shared" si="5"/>
        <v>0</v>
      </c>
      <c r="G1122" s="144"/>
      <c r="H1122" s="402">
        <v>247997</v>
      </c>
    </row>
    <row r="1123" spans="1:8" ht="13.2">
      <c r="A1123" s="194"/>
      <c r="B1123" s="28" t="s">
        <v>1382</v>
      </c>
      <c r="C1123" s="143" t="str">
        <f>VLOOKUP(B1123,'Thống kê'!$C$3:$D$669,2,0)</f>
        <v>miếng dán silicon điện thoại</v>
      </c>
      <c r="D1123" s="166">
        <f>VLOOKUP(B1123,'Thống kê'!$C$3:$M$682,4,0)</f>
        <v>0</v>
      </c>
      <c r="E1123" s="167">
        <v>1</v>
      </c>
      <c r="F1123" s="168">
        <f t="shared" si="5"/>
        <v>0</v>
      </c>
      <c r="G1123" s="144"/>
      <c r="H1123" s="372"/>
    </row>
    <row r="1124" spans="1:8" ht="13.2">
      <c r="A1124" s="194"/>
      <c r="B1124" s="28" t="s">
        <v>196</v>
      </c>
      <c r="C1124" s="143">
        <f>VLOOKUP(B1124,'Thống kê'!$C$3:$D$669,2,0)</f>
        <v>0</v>
      </c>
      <c r="D1124" s="166">
        <f>VLOOKUP(B1124,'Thống kê'!$C$3:$M$682,4,0)</f>
        <v>0</v>
      </c>
      <c r="E1124" s="167">
        <v>1</v>
      </c>
      <c r="F1124" s="168">
        <f t="shared" si="5"/>
        <v>0</v>
      </c>
      <c r="G1124" s="144"/>
      <c r="H1124" s="372"/>
    </row>
    <row r="1125" spans="1:8" ht="13.2">
      <c r="A1125" s="194"/>
      <c r="B1125" s="28" t="s">
        <v>262</v>
      </c>
      <c r="C1125" s="143" t="str">
        <f>VLOOKUP(B1125,'Thống kê'!$C$3:$D$669,2,0)</f>
        <v>Pop Bean Baked Bread</v>
      </c>
      <c r="D1125" s="166">
        <f>VLOOKUP(B1125,'Thống kê'!$C$3:$M$682,4,0)</f>
        <v>167000</v>
      </c>
      <c r="E1125" s="167">
        <v>1</v>
      </c>
      <c r="F1125" s="168">
        <f t="shared" si="5"/>
        <v>167000</v>
      </c>
      <c r="G1125" s="144"/>
      <c r="H1125" s="175">
        <v>122010</v>
      </c>
    </row>
    <row r="1126" spans="1:8" ht="13.2">
      <c r="A1126" s="194"/>
      <c r="B1126" s="28" t="s">
        <v>150</v>
      </c>
      <c r="C1126" s="143" t="str">
        <f>VLOOKUP(B1126,'Thống kê'!$C$3:$D$669,2,0)</f>
        <v>Móc khóa có chuông</v>
      </c>
      <c r="D1126" s="166">
        <f>VLOOKUP(B1126,'Thống kê'!$C$3:$M$682,4,0)</f>
        <v>59000</v>
      </c>
      <c r="E1126" s="167">
        <v>1</v>
      </c>
      <c r="F1126" s="168">
        <f t="shared" si="5"/>
        <v>59000</v>
      </c>
      <c r="G1126" s="144"/>
      <c r="H1126" s="175">
        <v>44110</v>
      </c>
    </row>
    <row r="1127" spans="1:8" ht="13.2">
      <c r="A1127" s="194"/>
      <c r="B1127" s="28" t="s">
        <v>135</v>
      </c>
      <c r="C1127" s="143" t="e">
        <f>VLOOKUP(B1127,'Thống kê'!$C$3:$D$669,2,0)</f>
        <v>#N/A</v>
      </c>
      <c r="D1127" s="166" t="e">
        <f>VLOOKUP(B1127,'Thống kê'!$C$3:$M$682,4,0)</f>
        <v>#N/A</v>
      </c>
      <c r="E1127" s="167">
        <v>1</v>
      </c>
      <c r="F1127" s="168" t="e">
        <f t="shared" si="5"/>
        <v>#N/A</v>
      </c>
      <c r="G1127" s="144"/>
      <c r="H1127" s="175">
        <v>53675</v>
      </c>
    </row>
    <row r="1128" spans="1:8" ht="13.2">
      <c r="A1128" s="194"/>
      <c r="B1128" s="28" t="s">
        <v>133</v>
      </c>
      <c r="C1128" s="143">
        <f>VLOOKUP(B1128,'Thống kê'!$C$3:$D$669,2,0)</f>
        <v>0</v>
      </c>
      <c r="D1128" s="166">
        <f>VLOOKUP(B1128,'Thống kê'!$C$3:$M$682,4,0)</f>
        <v>0</v>
      </c>
      <c r="E1128" s="167">
        <v>1</v>
      </c>
      <c r="F1128" s="168">
        <f t="shared" si="5"/>
        <v>0</v>
      </c>
      <c r="G1128" s="144"/>
      <c r="H1128" s="175">
        <v>104140</v>
      </c>
    </row>
    <row r="1129" spans="1:8" ht="13.2">
      <c r="A1129" s="194"/>
      <c r="B1129" s="28" t="s">
        <v>191</v>
      </c>
      <c r="C1129" s="143" t="e">
        <f>VLOOKUP(B1129,'Thống kê'!$C$3:$D$669,2,0)</f>
        <v>#N/A</v>
      </c>
      <c r="D1129" s="166">
        <f>VLOOKUP(B1129,'Thống kê'!$C$3:$M$682,4,0)</f>
        <v>0</v>
      </c>
      <c r="E1129" s="167">
        <v>1</v>
      </c>
      <c r="F1129" s="168">
        <f t="shared" si="5"/>
        <v>0</v>
      </c>
      <c r="G1129" s="144"/>
      <c r="H1129" s="402">
        <v>175586</v>
      </c>
    </row>
    <row r="1130" spans="1:8" ht="13.2">
      <c r="A1130" s="194"/>
      <c r="B1130" s="28" t="s">
        <v>133</v>
      </c>
      <c r="C1130" s="143">
        <f>VLOOKUP(B1130,'Thống kê'!$C$3:$D$669,2,0)</f>
        <v>0</v>
      </c>
      <c r="D1130" s="166">
        <f>VLOOKUP(B1130,'Thống kê'!$C$3:$M$682,4,0)</f>
        <v>0</v>
      </c>
      <c r="E1130" s="167">
        <v>1</v>
      </c>
      <c r="F1130" s="168">
        <f t="shared" si="5"/>
        <v>0</v>
      </c>
      <c r="G1130" s="144"/>
      <c r="H1130" s="372"/>
    </row>
    <row r="1131" spans="1:8" ht="13.2">
      <c r="A1131" s="194"/>
      <c r="B1131" s="28" t="s">
        <v>1518</v>
      </c>
      <c r="C1131" s="143" t="e">
        <f>VLOOKUP(B1131,'Thống kê'!$C$3:$D$669,2,0)</f>
        <v>#N/A</v>
      </c>
      <c r="D1131" s="166">
        <f>VLOOKUP(B1131,'Thống kê'!$C$3:$M$682,4,0)</f>
        <v>0</v>
      </c>
      <c r="E1131" s="167">
        <v>1</v>
      </c>
      <c r="F1131" s="168">
        <f t="shared" si="5"/>
        <v>0</v>
      </c>
      <c r="G1131" s="144"/>
      <c r="H1131" s="372"/>
    </row>
    <row r="1132" spans="1:8" ht="13.2">
      <c r="A1132" s="194"/>
      <c r="B1132" s="28" t="s">
        <v>77</v>
      </c>
      <c r="C1132" s="143">
        <f>VLOOKUP(B1132,'Thống kê'!$C$3:$D$669,2,0)</f>
        <v>0</v>
      </c>
      <c r="D1132" s="166">
        <f>VLOOKUP(B1132,'Thống kê'!$C$3:$M$682,4,0)</f>
        <v>0</v>
      </c>
      <c r="E1132" s="167">
        <v>1</v>
      </c>
      <c r="F1132" s="168">
        <f t="shared" si="5"/>
        <v>0</v>
      </c>
      <c r="G1132" s="144"/>
      <c r="H1132" s="175">
        <v>53400</v>
      </c>
    </row>
    <row r="1133" spans="1:8" ht="13.2">
      <c r="A1133" s="194"/>
      <c r="B1133" s="28" t="s">
        <v>196</v>
      </c>
      <c r="C1133" s="143">
        <f>VLOOKUP(B1133,'Thống kê'!$C$3:$D$669,2,0)</f>
        <v>0</v>
      </c>
      <c r="D1133" s="166">
        <f>VLOOKUP(B1133,'Thống kê'!$C$3:$M$682,4,0)</f>
        <v>0</v>
      </c>
      <c r="E1133" s="167">
        <v>1</v>
      </c>
      <c r="F1133" s="168">
        <f t="shared" si="5"/>
        <v>0</v>
      </c>
      <c r="G1133" s="144"/>
      <c r="H1133" s="175">
        <v>59469</v>
      </c>
    </row>
    <row r="1134" spans="1:8" ht="13.2">
      <c r="A1134" s="194"/>
      <c r="B1134" s="28" t="s">
        <v>1595</v>
      </c>
      <c r="C1134" s="143" t="str">
        <f>VLOOKUP(B1134,'Thống kê'!$C$3:$D$669,2,0)</f>
        <v>Dao rọc giấy 08</v>
      </c>
      <c r="D1134" s="166">
        <f>VLOOKUP(B1134,'Thống kê'!$C$3:$M$682,4,0)</f>
        <v>12000</v>
      </c>
      <c r="E1134" s="167">
        <v>1</v>
      </c>
      <c r="F1134" s="168">
        <f t="shared" si="5"/>
        <v>12000</v>
      </c>
      <c r="G1134" s="144"/>
      <c r="H1134" s="402">
        <v>157699</v>
      </c>
    </row>
    <row r="1135" spans="1:8" ht="13.2">
      <c r="A1135" s="194"/>
      <c r="B1135" s="28" t="s">
        <v>1341</v>
      </c>
      <c r="C1135" s="143" t="str">
        <f>VLOOKUP(B1135,'Thống kê'!$C$3:$D$669,2,0)</f>
        <v>Móc khóa chuối</v>
      </c>
      <c r="D1135" s="166">
        <f>VLOOKUP(B1135,'Thống kê'!$C$3:$M$682,4,0)</f>
        <v>148000</v>
      </c>
      <c r="E1135" s="167">
        <v>1</v>
      </c>
      <c r="F1135" s="168">
        <f t="shared" si="5"/>
        <v>148000</v>
      </c>
      <c r="G1135" s="144"/>
      <c r="H1135" s="372"/>
    </row>
    <row r="1136" spans="1:8" ht="13.2">
      <c r="A1136" s="194"/>
      <c r="B1136" s="28" t="s">
        <v>1480</v>
      </c>
      <c r="C1136" s="143">
        <f>VLOOKUP(B1136,'Thống kê'!$C$3:$D$669,2,0)</f>
        <v>0</v>
      </c>
      <c r="D1136" s="166">
        <f>VLOOKUP(B1136,'Thống kê'!$C$3:$M$682,4,0)</f>
        <v>0</v>
      </c>
      <c r="E1136" s="167">
        <v>1</v>
      </c>
      <c r="F1136" s="168">
        <f t="shared" si="5"/>
        <v>0</v>
      </c>
      <c r="G1136" s="144"/>
      <c r="H1136" s="372"/>
    </row>
    <row r="1137" spans="1:8" ht="13.2">
      <c r="A1137" s="194"/>
      <c r="B1137" s="28" t="s">
        <v>1464</v>
      </c>
      <c r="C1137" s="143">
        <f>VLOOKUP(B1137,'Thống kê'!$C$3:$D$669,2,0)</f>
        <v>0</v>
      </c>
      <c r="D1137" s="166">
        <f>VLOOKUP(B1137,'Thống kê'!$C$3:$M$682,4,0)</f>
        <v>0</v>
      </c>
      <c r="E1137" s="167">
        <v>1</v>
      </c>
      <c r="F1137" s="168">
        <f t="shared" si="5"/>
        <v>0</v>
      </c>
      <c r="G1137" s="144"/>
      <c r="H1137" s="175">
        <v>66245</v>
      </c>
    </row>
    <row r="1138" spans="1:8" ht="13.2">
      <c r="A1138" s="194"/>
      <c r="B1138" s="28" t="s">
        <v>133</v>
      </c>
      <c r="C1138" s="143">
        <f>VLOOKUP(B1138,'Thống kê'!$C$3:$D$669,2,0)</f>
        <v>0</v>
      </c>
      <c r="D1138" s="166">
        <f>VLOOKUP(B1138,'Thống kê'!$C$3:$M$682,4,0)</f>
        <v>0</v>
      </c>
      <c r="E1138" s="167">
        <v>1</v>
      </c>
      <c r="F1138" s="168">
        <f t="shared" si="5"/>
        <v>0</v>
      </c>
      <c r="G1138" s="144"/>
      <c r="H1138" s="402">
        <v>277619</v>
      </c>
    </row>
    <row r="1139" spans="1:8" ht="13.2">
      <c r="A1139" s="194"/>
      <c r="B1139" s="28" t="s">
        <v>196</v>
      </c>
      <c r="C1139" s="143">
        <f>VLOOKUP(B1139,'Thống kê'!$C$3:$D$669,2,0)</f>
        <v>0</v>
      </c>
      <c r="D1139" s="166">
        <f>VLOOKUP(B1139,'Thống kê'!$C$3:$M$682,4,0)</f>
        <v>0</v>
      </c>
      <c r="E1139" s="167">
        <v>1</v>
      </c>
      <c r="F1139" s="168">
        <f t="shared" si="5"/>
        <v>0</v>
      </c>
      <c r="G1139" s="144"/>
      <c r="H1139" s="372"/>
    </row>
    <row r="1140" spans="1:8" ht="13.2">
      <c r="A1140" s="194"/>
      <c r="B1140" s="28" t="s">
        <v>1450</v>
      </c>
      <c r="C1140" s="143">
        <f>VLOOKUP(B1140,'Thống kê'!$C$3:$D$669,2,0)</f>
        <v>0</v>
      </c>
      <c r="D1140" s="166">
        <f>VLOOKUP(B1140,'Thống kê'!$C$3:$M$682,4,0)</f>
        <v>0</v>
      </c>
      <c r="E1140" s="167">
        <v>1</v>
      </c>
      <c r="F1140" s="168">
        <f t="shared" si="5"/>
        <v>0</v>
      </c>
      <c r="G1140" s="144"/>
      <c r="H1140" s="372"/>
    </row>
    <row r="1141" spans="1:8" ht="13.2">
      <c r="A1141" s="194"/>
      <c r="B1141" s="28" t="s">
        <v>1467</v>
      </c>
      <c r="C1141" s="143">
        <f>VLOOKUP(B1141,'Thống kê'!$C$3:$D$669,2,0)</f>
        <v>0</v>
      </c>
      <c r="D1141" s="166">
        <f>VLOOKUP(B1141,'Thống kê'!$C$3:$M$682,4,0)</f>
        <v>0</v>
      </c>
      <c r="E1141" s="167">
        <v>1</v>
      </c>
      <c r="F1141" s="168">
        <f t="shared" si="5"/>
        <v>0</v>
      </c>
      <c r="G1141" s="144"/>
      <c r="H1141" s="176">
        <v>66345</v>
      </c>
    </row>
    <row r="1142" spans="1:8" ht="13.2">
      <c r="A1142" s="194"/>
      <c r="B1142" s="28" t="s">
        <v>1779</v>
      </c>
      <c r="C1142" s="143">
        <f>VLOOKUP(B1142,'Thống kê'!$C$3:$D$669,2,0)</f>
        <v>0</v>
      </c>
      <c r="D1142" s="166">
        <f>VLOOKUP(B1142,'Thống kê'!$C$3:$M$682,4,0)</f>
        <v>0</v>
      </c>
      <c r="E1142" s="167">
        <v>1</v>
      </c>
      <c r="F1142" s="168">
        <f t="shared" si="5"/>
        <v>0</v>
      </c>
      <c r="G1142" s="144"/>
      <c r="H1142" s="403">
        <v>164459</v>
      </c>
    </row>
    <row r="1143" spans="1:8" ht="13.2">
      <c r="A1143" s="194"/>
      <c r="B1143" s="28" t="s">
        <v>1386</v>
      </c>
      <c r="C1143" s="143" t="str">
        <f>VLOOKUP(B1143,'Thống kê'!$C$3:$D$669,2,0)</f>
        <v>Móc khoá Crybaby mini Popmart</v>
      </c>
      <c r="D1143" s="166">
        <f>VLOOKUP(B1143,'Thống kê'!$C$3:$M$682,4,0)</f>
        <v>0</v>
      </c>
      <c r="E1143" s="167">
        <v>1</v>
      </c>
      <c r="F1143" s="168">
        <f t="shared" si="5"/>
        <v>0</v>
      </c>
      <c r="G1143" s="144"/>
      <c r="H1143" s="373"/>
    </row>
    <row r="1144" spans="1:8" ht="13.2">
      <c r="A1144" s="194"/>
      <c r="B1144" s="28" t="s">
        <v>206</v>
      </c>
      <c r="C1144" s="143" t="str">
        <f>VLOOKUP(B1144,'Thống kê'!$C$3:$D$669,2,0)</f>
        <v>Pop Bean Baked Bread</v>
      </c>
      <c r="D1144" s="166">
        <f>VLOOKUP(B1144,'Thống kê'!$C$3:$M$682,4,0)</f>
        <v>167000</v>
      </c>
      <c r="E1144" s="167">
        <v>1</v>
      </c>
      <c r="F1144" s="168">
        <f t="shared" si="5"/>
        <v>167000</v>
      </c>
      <c r="G1144" s="144"/>
      <c r="H1144" s="178">
        <v>71265</v>
      </c>
    </row>
    <row r="1145" spans="1:8" ht="13.2">
      <c r="A1145" s="194"/>
      <c r="B1145" s="28" t="s">
        <v>278</v>
      </c>
      <c r="C1145" s="143" t="str">
        <f>VLOOKUP(B1145,'Thống kê'!$C$3:$D$669,2,0)</f>
        <v>Dao rọc giấy 09</v>
      </c>
      <c r="D1145" s="166">
        <f>VLOOKUP(B1145,'Thống kê'!$C$3:$M$682,4,0)</f>
        <v>12000</v>
      </c>
      <c r="E1145" s="167">
        <v>1</v>
      </c>
      <c r="F1145" s="168">
        <f t="shared" si="5"/>
        <v>12000</v>
      </c>
      <c r="G1145" s="144"/>
      <c r="H1145" s="403">
        <v>86953</v>
      </c>
    </row>
    <row r="1146" spans="1:8" ht="13.2">
      <c r="A1146" s="194"/>
      <c r="B1146" s="28" t="s">
        <v>1387</v>
      </c>
      <c r="C1146" s="143" t="str">
        <f>VLOOKUP(B1146,'Thống kê'!$C$3:$D$669,2,0)</f>
        <v>Móc khoá Crybaby mini Popmart</v>
      </c>
      <c r="D1146" s="166">
        <f>VLOOKUP(B1146,'Thống kê'!$C$3:$M$682,4,0)</f>
        <v>0</v>
      </c>
      <c r="E1146" s="167">
        <v>1</v>
      </c>
      <c r="F1146" s="168">
        <f t="shared" si="5"/>
        <v>0</v>
      </c>
      <c r="G1146" s="144"/>
      <c r="H1146" s="373"/>
    </row>
    <row r="1147" spans="1:8" ht="13.2">
      <c r="A1147" s="194"/>
      <c r="B1147" s="28" t="s">
        <v>1801</v>
      </c>
      <c r="C1147" s="143" t="str">
        <f>VLOOKUP(B1147,'Thống kê'!$C$3:$D$669,2,0)</f>
        <v>Móc khoá cún Hoa xinh</v>
      </c>
      <c r="D1147" s="166">
        <f>VLOOKUP(B1147,'Thống kê'!$C$3:$M$682,4,0)</f>
        <v>38000</v>
      </c>
      <c r="E1147" s="167">
        <v>1</v>
      </c>
      <c r="F1147" s="168">
        <f t="shared" si="5"/>
        <v>38000</v>
      </c>
      <c r="G1147" s="144"/>
      <c r="H1147" s="403">
        <v>32973</v>
      </c>
    </row>
    <row r="1148" spans="1:8" ht="13.2">
      <c r="A1148" s="194"/>
      <c r="B1148" s="28" t="s">
        <v>1382</v>
      </c>
      <c r="C1148" s="143" t="str">
        <f>VLOOKUP(B1148,'Thống kê'!$C$3:$D$669,2,0)</f>
        <v>miếng dán silicon điện thoại</v>
      </c>
      <c r="D1148" s="166">
        <f>VLOOKUP(B1148,'Thống kê'!$C$3:$M$682,4,0)</f>
        <v>0</v>
      </c>
      <c r="E1148" s="167">
        <v>1</v>
      </c>
      <c r="F1148" s="168">
        <f t="shared" si="5"/>
        <v>0</v>
      </c>
      <c r="G1148" s="144"/>
      <c r="H1148" s="372"/>
    </row>
    <row r="1149" spans="1:8" ht="13.2">
      <c r="A1149" s="194"/>
      <c r="B1149" s="28" t="s">
        <v>1519</v>
      </c>
      <c r="C1149" s="143" t="e">
        <f>VLOOKUP(B1149,'Thống kê'!$C$3:$D$669,2,0)</f>
        <v>#N/A</v>
      </c>
      <c r="D1149" s="166">
        <f>VLOOKUP(B1149,'Thống kê'!$C$3:$M$682,4,0)</f>
        <v>0</v>
      </c>
      <c r="E1149" s="167">
        <v>1</v>
      </c>
      <c r="F1149" s="168">
        <f t="shared" si="5"/>
        <v>0</v>
      </c>
      <c r="G1149" s="144"/>
      <c r="H1149" s="402">
        <v>118080</v>
      </c>
    </row>
    <row r="1150" spans="1:8" ht="13.2">
      <c r="A1150" s="194"/>
      <c r="B1150" s="28" t="s">
        <v>196</v>
      </c>
      <c r="C1150" s="143">
        <f>VLOOKUP(B1150,'Thống kê'!$C$3:$D$669,2,0)</f>
        <v>0</v>
      </c>
      <c r="D1150" s="166">
        <f>VLOOKUP(B1150,'Thống kê'!$C$3:$M$682,4,0)</f>
        <v>0</v>
      </c>
      <c r="E1150" s="167">
        <v>1</v>
      </c>
      <c r="F1150" s="168">
        <f t="shared" si="5"/>
        <v>0</v>
      </c>
      <c r="G1150" s="144"/>
      <c r="H1150" s="372"/>
    </row>
    <row r="1151" spans="1:8" ht="13.2">
      <c r="A1151" s="194"/>
      <c r="B1151" s="28" t="s">
        <v>1621</v>
      </c>
      <c r="C1151" s="143" t="str">
        <f>VLOOKUP(B1151,'Thống kê'!$C$3:$D$669,2,0)</f>
        <v>Mô hình mèo 2</v>
      </c>
      <c r="D1151" s="166">
        <f>VLOOKUP(B1151,'Thống kê'!$C$3:$M$682,4,0)</f>
        <v>37800</v>
      </c>
      <c r="E1151" s="167">
        <v>1</v>
      </c>
      <c r="F1151" s="168">
        <f t="shared" si="5"/>
        <v>37800</v>
      </c>
      <c r="G1151" s="144"/>
      <c r="H1151" s="402">
        <v>220020</v>
      </c>
    </row>
    <row r="1152" spans="1:8" ht="13.2">
      <c r="A1152" s="194"/>
      <c r="B1152" s="28" t="s">
        <v>125</v>
      </c>
      <c r="C1152" s="143" t="e">
        <f>VLOOKUP(B1152,'Thống kê'!$C$3:$D$669,2,0)</f>
        <v>#N/A</v>
      </c>
      <c r="D1152" s="166">
        <f>VLOOKUP(B1152,'Thống kê'!$C$3:$M$682,4,0)</f>
        <v>0</v>
      </c>
      <c r="E1152" s="167">
        <v>1</v>
      </c>
      <c r="F1152" s="168">
        <f t="shared" si="5"/>
        <v>0</v>
      </c>
      <c r="G1152" s="144"/>
      <c r="H1152" s="372"/>
    </row>
    <row r="1153" spans="1:8" ht="13.2">
      <c r="A1153" s="194"/>
      <c r="B1153" s="28" t="s">
        <v>191</v>
      </c>
      <c r="C1153" s="143" t="e">
        <f>VLOOKUP(B1153,'Thống kê'!$C$3:$D$669,2,0)</f>
        <v>#N/A</v>
      </c>
      <c r="D1153" s="166">
        <f>VLOOKUP(B1153,'Thống kê'!$C$3:$M$682,4,0)</f>
        <v>0</v>
      </c>
      <c r="E1153" s="167">
        <v>1</v>
      </c>
      <c r="F1153" s="168">
        <f t="shared" si="5"/>
        <v>0</v>
      </c>
      <c r="G1153" s="144"/>
      <c r="H1153" s="372"/>
    </row>
    <row r="1154" spans="1:8" ht="13.2">
      <c r="A1154" s="194"/>
      <c r="B1154" s="28" t="s">
        <v>96</v>
      </c>
      <c r="C1154" s="143" t="e">
        <f>VLOOKUP(B1154,'Thống kê'!$C$3:$D$669,2,0)</f>
        <v>#N/A</v>
      </c>
      <c r="D1154" s="166">
        <f>VLOOKUP(B1154,'Thống kê'!$C$3:$M$682,4,0)</f>
        <v>0</v>
      </c>
      <c r="E1154" s="167">
        <v>1</v>
      </c>
      <c r="F1154" s="168">
        <f t="shared" si="5"/>
        <v>0</v>
      </c>
      <c r="G1154" s="144"/>
      <c r="H1154" s="372"/>
    </row>
    <row r="1155" spans="1:8" ht="13.2">
      <c r="A1155" s="194"/>
      <c r="B1155" s="28" t="s">
        <v>1623</v>
      </c>
      <c r="C1155" s="143" t="str">
        <f>VLOOKUP(B1155,'Thống kê'!$C$3:$D$669,2,0)</f>
        <v>Mô hình mèo 5</v>
      </c>
      <c r="D1155" s="166">
        <f>VLOOKUP(B1155,'Thống kê'!$C$3:$M$682,4,0)</f>
        <v>37800</v>
      </c>
      <c r="E1155" s="167">
        <v>1</v>
      </c>
      <c r="F1155" s="168">
        <f t="shared" si="5"/>
        <v>37800</v>
      </c>
      <c r="G1155" s="144"/>
      <c r="H1155" s="175">
        <v>31768</v>
      </c>
    </row>
    <row r="1156" spans="1:8" ht="13.2">
      <c r="A1156" s="194"/>
      <c r="B1156" s="28" t="s">
        <v>1382</v>
      </c>
      <c r="C1156" s="143" t="str">
        <f>VLOOKUP(B1156,'Thống kê'!$C$3:$D$669,2,0)</f>
        <v>miếng dán silicon điện thoại</v>
      </c>
      <c r="D1156" s="166">
        <f>VLOOKUP(B1156,'Thống kê'!$C$3:$M$682,4,0)</f>
        <v>0</v>
      </c>
      <c r="E1156" s="167">
        <v>1</v>
      </c>
      <c r="F1156" s="168">
        <f t="shared" si="5"/>
        <v>0</v>
      </c>
      <c r="G1156" s="144"/>
      <c r="H1156" s="402">
        <v>55927</v>
      </c>
    </row>
    <row r="1157" spans="1:8" ht="13.2">
      <c r="A1157" s="194"/>
      <c r="B1157" s="28" t="s">
        <v>77</v>
      </c>
      <c r="C1157" s="143">
        <f>VLOOKUP(B1157,'Thống kê'!$C$3:$D$669,2,0)</f>
        <v>0</v>
      </c>
      <c r="D1157" s="166">
        <f>VLOOKUP(B1157,'Thống kê'!$C$3:$M$682,4,0)</f>
        <v>0</v>
      </c>
      <c r="E1157" s="167">
        <v>1</v>
      </c>
      <c r="F1157" s="168">
        <f t="shared" si="5"/>
        <v>0</v>
      </c>
      <c r="G1157" s="144"/>
      <c r="H1157" s="372"/>
    </row>
    <row r="1158" spans="1:8" ht="13.2">
      <c r="A1158" s="194"/>
      <c r="B1158" s="28" t="s">
        <v>118</v>
      </c>
      <c r="C1158" s="143" t="e">
        <f>VLOOKUP(B1158,'Thống kê'!$C$3:$D$669,2,0)</f>
        <v>#N/A</v>
      </c>
      <c r="D1158" s="166" t="e">
        <f>VLOOKUP(B1158,'Thống kê'!$C$3:$M$682,4,0)</f>
        <v>#N/A</v>
      </c>
      <c r="E1158" s="167">
        <v>2</v>
      </c>
      <c r="F1158" s="168" t="e">
        <f t="shared" si="5"/>
        <v>#N/A</v>
      </c>
      <c r="G1158" s="144"/>
      <c r="H1158" s="175">
        <v>110290</v>
      </c>
    </row>
    <row r="1159" spans="1:8" ht="13.2">
      <c r="A1159" s="194">
        <v>45722</v>
      </c>
      <c r="B1159" s="28" t="s">
        <v>1636</v>
      </c>
      <c r="C1159" s="143" t="str">
        <f>VLOOKUP(B1159,'Thống kê'!$C$3:$D$669,2,0)</f>
        <v>Mô hình mèo 3</v>
      </c>
      <c r="D1159" s="166">
        <f>VLOOKUP(B1159,'Thống kê'!$C$3:$M$682,4,0)</f>
        <v>37800</v>
      </c>
      <c r="E1159" s="167">
        <v>1</v>
      </c>
      <c r="F1159" s="168">
        <f t="shared" si="5"/>
        <v>37800</v>
      </c>
      <c r="G1159" s="144"/>
      <c r="H1159" s="402">
        <v>59816</v>
      </c>
    </row>
    <row r="1160" spans="1:8" ht="13.2">
      <c r="A1160" s="194"/>
      <c r="B1160" s="28" t="s">
        <v>1623</v>
      </c>
      <c r="C1160" s="143" t="str">
        <f>VLOOKUP(B1160,'Thống kê'!$C$3:$D$669,2,0)</f>
        <v>Mô hình mèo 5</v>
      </c>
      <c r="D1160" s="166">
        <f>VLOOKUP(B1160,'Thống kê'!$C$3:$M$682,4,0)</f>
        <v>37800</v>
      </c>
      <c r="E1160" s="167">
        <v>1</v>
      </c>
      <c r="F1160" s="168">
        <f t="shared" si="5"/>
        <v>37800</v>
      </c>
      <c r="G1160" s="144"/>
      <c r="H1160" s="372"/>
    </row>
    <row r="1161" spans="1:8" ht="13.2">
      <c r="A1161" s="194"/>
      <c r="B1161" s="28" t="s">
        <v>1807</v>
      </c>
      <c r="C1161" s="143" t="e">
        <f>VLOOKUP(B1161,'Thống kê'!$C$3:$D$669,2,0)</f>
        <v>#N/A</v>
      </c>
      <c r="D1161" s="166" t="e">
        <f>VLOOKUP(B1161,'Thống kê'!$C$3:$M$682,4,0)</f>
        <v>#N/A</v>
      </c>
      <c r="E1161" s="167">
        <v>-1</v>
      </c>
      <c r="F1161" s="168" t="e">
        <f t="shared" si="5"/>
        <v>#N/A</v>
      </c>
      <c r="G1161" s="144"/>
      <c r="H1161" s="175">
        <v>-117000</v>
      </c>
    </row>
    <row r="1162" spans="1:8" ht="13.2">
      <c r="A1162" s="194"/>
      <c r="B1162" s="28" t="s">
        <v>233</v>
      </c>
      <c r="C1162" s="143" t="e">
        <f>VLOOKUP(B1162,'Thống kê'!$C$3:$D$669,2,0)</f>
        <v>#N/A</v>
      </c>
      <c r="D1162" s="166">
        <f>VLOOKUP(B1162,'Thống kê'!$C$3:$M$682,4,0)</f>
        <v>0</v>
      </c>
      <c r="E1162" s="167">
        <v>-1</v>
      </c>
      <c r="F1162" s="168">
        <f t="shared" si="5"/>
        <v>0</v>
      </c>
      <c r="G1162" s="144"/>
      <c r="H1162" s="175">
        <v>-65250</v>
      </c>
    </row>
    <row r="1163" spans="1:8" ht="13.2">
      <c r="A1163" s="194"/>
      <c r="B1163" s="28" t="s">
        <v>150</v>
      </c>
      <c r="C1163" s="143" t="str">
        <f>VLOOKUP(B1163,'Thống kê'!$C$3:$D$669,2,0)</f>
        <v>Móc khóa có chuông</v>
      </c>
      <c r="D1163" s="166">
        <f>VLOOKUP(B1163,'Thống kê'!$C$3:$M$682,4,0)</f>
        <v>59000</v>
      </c>
      <c r="E1163" s="167">
        <v>1</v>
      </c>
      <c r="F1163" s="168">
        <f t="shared" si="5"/>
        <v>59000</v>
      </c>
      <c r="G1163" s="144"/>
      <c r="H1163" s="175">
        <v>44510</v>
      </c>
    </row>
    <row r="1164" spans="1:8" ht="13.2">
      <c r="A1164" s="194"/>
      <c r="B1164" s="28" t="s">
        <v>133</v>
      </c>
      <c r="C1164" s="143">
        <f>VLOOKUP(B1164,'Thống kê'!$C$3:$D$669,2,0)</f>
        <v>0</v>
      </c>
      <c r="D1164" s="166">
        <f>VLOOKUP(B1164,'Thống kê'!$C$3:$M$682,4,0)</f>
        <v>0</v>
      </c>
      <c r="E1164" s="167">
        <v>1</v>
      </c>
      <c r="F1164" s="168">
        <f t="shared" si="5"/>
        <v>0</v>
      </c>
      <c r="G1164" s="144"/>
      <c r="H1164" s="402">
        <v>162761</v>
      </c>
    </row>
    <row r="1165" spans="1:8" ht="13.2">
      <c r="A1165" s="194"/>
      <c r="B1165" s="28" t="s">
        <v>196</v>
      </c>
      <c r="C1165" s="143">
        <f>VLOOKUP(B1165,'Thống kê'!$C$3:$D$669,2,0)</f>
        <v>0</v>
      </c>
      <c r="D1165" s="166">
        <f>VLOOKUP(B1165,'Thống kê'!$C$3:$M$682,4,0)</f>
        <v>0</v>
      </c>
      <c r="E1165" s="167">
        <v>1</v>
      </c>
      <c r="F1165" s="168">
        <f t="shared" si="5"/>
        <v>0</v>
      </c>
      <c r="G1165" s="144"/>
      <c r="H1165" s="372"/>
    </row>
    <row r="1166" spans="1:8" ht="13.2">
      <c r="A1166" s="194"/>
      <c r="B1166" s="28" t="s">
        <v>262</v>
      </c>
      <c r="C1166" s="143" t="str">
        <f>VLOOKUP(B1166,'Thống kê'!$C$3:$D$669,2,0)</f>
        <v>Pop Bean Baked Bread</v>
      </c>
      <c r="D1166" s="166">
        <f>VLOOKUP(B1166,'Thống kê'!$C$3:$M$682,4,0)</f>
        <v>167000</v>
      </c>
      <c r="E1166" s="167">
        <v>1</v>
      </c>
      <c r="F1166" s="168">
        <f t="shared" si="5"/>
        <v>167000</v>
      </c>
      <c r="G1166" s="144"/>
      <c r="H1166" s="175">
        <v>122010</v>
      </c>
    </row>
    <row r="1167" spans="1:8" ht="13.2">
      <c r="A1167" s="194"/>
      <c r="B1167" s="28" t="s">
        <v>96</v>
      </c>
      <c r="C1167" s="143" t="e">
        <f>VLOOKUP(B1167,'Thống kê'!$C$3:$D$669,2,0)</f>
        <v>#N/A</v>
      </c>
      <c r="D1167" s="166">
        <f>VLOOKUP(B1167,'Thống kê'!$C$3:$M$682,4,0)</f>
        <v>0</v>
      </c>
      <c r="E1167" s="167">
        <v>1</v>
      </c>
      <c r="F1167" s="168">
        <f t="shared" si="5"/>
        <v>0</v>
      </c>
      <c r="G1167" s="144"/>
      <c r="H1167" s="402">
        <v>110290</v>
      </c>
    </row>
    <row r="1168" spans="1:8" ht="13.2">
      <c r="A1168" s="194"/>
      <c r="B1168" s="28" t="s">
        <v>1521</v>
      </c>
      <c r="C1168" s="143" t="e">
        <f>VLOOKUP(B1168,'Thống kê'!$C$3:$D$669,2,0)</f>
        <v>#N/A</v>
      </c>
      <c r="D1168" s="166" t="e">
        <f>VLOOKUP(B1168,'Thống kê'!$C$3:$M$682,4,0)</f>
        <v>#N/A</v>
      </c>
      <c r="E1168" s="167">
        <v>1</v>
      </c>
      <c r="F1168" s="168" t="e">
        <f t="shared" si="5"/>
        <v>#N/A</v>
      </c>
      <c r="G1168" s="144"/>
      <c r="H1168" s="372"/>
    </row>
    <row r="1169" spans="1:8" ht="13.2">
      <c r="A1169" s="194"/>
      <c r="B1169" s="28" t="s">
        <v>1519</v>
      </c>
      <c r="C1169" s="143" t="e">
        <f>VLOOKUP(B1169,'Thống kê'!$C$3:$D$669,2,0)</f>
        <v>#N/A</v>
      </c>
      <c r="D1169" s="166">
        <f>VLOOKUP(B1169,'Thống kê'!$C$3:$M$682,4,0)</f>
        <v>0</v>
      </c>
      <c r="E1169" s="167">
        <v>1</v>
      </c>
      <c r="F1169" s="168">
        <f t="shared" si="5"/>
        <v>0</v>
      </c>
      <c r="G1169" s="144"/>
      <c r="H1169" s="175">
        <v>95940</v>
      </c>
    </row>
    <row r="1170" spans="1:8" ht="13.2">
      <c r="A1170" s="194"/>
      <c r="B1170" s="28" t="s">
        <v>1340</v>
      </c>
      <c r="C1170" s="143" t="str">
        <f>VLOOKUP(B1170,'Thống kê'!$C$3:$D$669,2,0)</f>
        <v>Móc khóa chuối</v>
      </c>
      <c r="D1170" s="166">
        <f>VLOOKUP(B1170,'Thống kê'!$C$3:$M$682,4,0)</f>
        <v>148000</v>
      </c>
      <c r="E1170" s="167">
        <v>1</v>
      </c>
      <c r="F1170" s="168">
        <f t="shared" si="5"/>
        <v>148000</v>
      </c>
      <c r="G1170" s="144"/>
      <c r="H1170" s="402">
        <v>132840</v>
      </c>
    </row>
    <row r="1171" spans="1:8" ht="13.2">
      <c r="A1171" s="194"/>
      <c r="B1171" s="28" t="s">
        <v>1342</v>
      </c>
      <c r="C1171" s="143" t="str">
        <f>VLOOKUP(B1171,'Thống kê'!$C$3:$D$669,2,0)</f>
        <v>Móc khóa chuối</v>
      </c>
      <c r="D1171" s="166">
        <f>VLOOKUP(B1171,'Thống kê'!$C$3:$M$682,4,0)</f>
        <v>148000</v>
      </c>
      <c r="E1171" s="167">
        <v>1</v>
      </c>
      <c r="F1171" s="168">
        <f t="shared" si="5"/>
        <v>148000</v>
      </c>
      <c r="G1171" s="144"/>
      <c r="H1171" s="372"/>
    </row>
    <row r="1172" spans="1:8" ht="13.2">
      <c r="A1172" s="194"/>
      <c r="B1172" s="28" t="s">
        <v>1384</v>
      </c>
      <c r="C1172" s="143" t="str">
        <f>VLOOKUP(B1172,'Thống kê'!$C$3:$D$669,2,0)</f>
        <v>Móc khoá Crybaby mini Popmart</v>
      </c>
      <c r="D1172" s="166">
        <f>VLOOKUP(B1172,'Thống kê'!$C$3:$M$682,4,0)</f>
        <v>0</v>
      </c>
      <c r="E1172" s="167">
        <v>1</v>
      </c>
      <c r="F1172" s="168">
        <f t="shared" si="5"/>
        <v>0</v>
      </c>
      <c r="G1172" s="144"/>
      <c r="H1172" s="175">
        <v>74645</v>
      </c>
    </row>
    <row r="1173" spans="1:8" ht="13.2">
      <c r="A1173" s="194"/>
      <c r="B1173" s="28" t="s">
        <v>1384</v>
      </c>
      <c r="C1173" s="143" t="str">
        <f>VLOOKUP(B1173,'Thống kê'!$C$3:$D$669,2,0)</f>
        <v>Móc khoá Crybaby mini Popmart</v>
      </c>
      <c r="D1173" s="166">
        <f>VLOOKUP(B1173,'Thống kê'!$C$3:$M$682,4,0)</f>
        <v>0</v>
      </c>
      <c r="E1173" s="167">
        <v>8</v>
      </c>
      <c r="F1173" s="168">
        <f t="shared" si="5"/>
        <v>0</v>
      </c>
      <c r="G1173" s="144"/>
      <c r="H1173" s="402">
        <v>1409315</v>
      </c>
    </row>
    <row r="1174" spans="1:8" ht="13.2">
      <c r="A1174" s="194"/>
      <c r="B1174" s="28" t="s">
        <v>138</v>
      </c>
      <c r="C1174" s="143" t="str">
        <f>VLOOKUP(B1174,'Thống kê'!$C$3:$D$669,2,0)</f>
        <v>Móc khoá Crybaby mini Popmart</v>
      </c>
      <c r="D1174" s="166">
        <f>VLOOKUP(B1174,'Thống kê'!$C$3:$M$682,4,0)</f>
        <v>0</v>
      </c>
      <c r="E1174" s="167">
        <v>9</v>
      </c>
      <c r="F1174" s="168">
        <f t="shared" si="5"/>
        <v>0</v>
      </c>
      <c r="G1174" s="144"/>
      <c r="H1174" s="372"/>
    </row>
    <row r="1175" spans="1:8" ht="13.2">
      <c r="A1175" s="194"/>
      <c r="B1175" s="28" t="s">
        <v>1394</v>
      </c>
      <c r="C1175" s="143" t="str">
        <f>VLOOKUP(B1175,'Thống kê'!$C$3:$D$669,2,0)</f>
        <v>Móc khoá Labubu mini Popmart</v>
      </c>
      <c r="D1175" s="166">
        <f>VLOOKUP(B1175,'Thống kê'!$C$3:$M$682,4,0)</f>
        <v>0</v>
      </c>
      <c r="E1175" s="167">
        <v>1</v>
      </c>
      <c r="F1175" s="168">
        <f t="shared" si="5"/>
        <v>0</v>
      </c>
      <c r="G1175" s="144"/>
      <c r="H1175" s="402">
        <v>254591</v>
      </c>
    </row>
    <row r="1176" spans="1:8" ht="13.2">
      <c r="A1176" s="194"/>
      <c r="B1176" s="28" t="s">
        <v>1467</v>
      </c>
      <c r="C1176" s="143">
        <f>VLOOKUP(B1176,'Thống kê'!$C$3:$D$669,2,0)</f>
        <v>0</v>
      </c>
      <c r="D1176" s="166">
        <f>VLOOKUP(B1176,'Thống kê'!$C$3:$M$682,4,0)</f>
        <v>0</v>
      </c>
      <c r="E1176" s="167">
        <v>1</v>
      </c>
      <c r="F1176" s="168">
        <f t="shared" si="5"/>
        <v>0</v>
      </c>
      <c r="G1176" s="144"/>
      <c r="H1176" s="372"/>
    </row>
    <row r="1177" spans="1:8" ht="13.2">
      <c r="A1177" s="194"/>
      <c r="B1177" s="28" t="s">
        <v>192</v>
      </c>
      <c r="C1177" s="143">
        <f>VLOOKUP(B1177,'Thống kê'!$C$3:$D$669,2,0)</f>
        <v>0</v>
      </c>
      <c r="D1177" s="166">
        <f>VLOOKUP(B1177,'Thống kê'!$C$3:$M$682,4,0)</f>
        <v>0</v>
      </c>
      <c r="E1177" s="167">
        <v>1</v>
      </c>
      <c r="F1177" s="168">
        <f t="shared" si="5"/>
        <v>0</v>
      </c>
      <c r="G1177" s="144"/>
      <c r="H1177" s="372"/>
    </row>
    <row r="1178" spans="1:8" ht="13.2">
      <c r="A1178" s="194"/>
      <c r="B1178" s="28" t="s">
        <v>1475</v>
      </c>
      <c r="C1178" s="143">
        <f>VLOOKUP(B1178,'Thống kê'!$C$3:$D$669,2,0)</f>
        <v>0</v>
      </c>
      <c r="D1178" s="166">
        <f>VLOOKUP(B1178,'Thống kê'!$C$3:$M$682,4,0)</f>
        <v>0</v>
      </c>
      <c r="E1178" s="167">
        <v>1</v>
      </c>
      <c r="F1178" s="168">
        <f t="shared" si="5"/>
        <v>0</v>
      </c>
      <c r="G1178" s="144"/>
      <c r="H1178" s="373"/>
    </row>
    <row r="1179" spans="1:8" ht="13.2">
      <c r="A1179" s="194"/>
      <c r="B1179" s="28" t="s">
        <v>245</v>
      </c>
      <c r="C1179" s="143" t="str">
        <f>VLOOKUP(B1179,'Thống kê'!$C$3:$D$669,2,0)</f>
        <v>Móc khóa Popbean</v>
      </c>
      <c r="D1179" s="166">
        <f>VLOOKUP(B1179,'Thống kê'!$C$3:$M$682,4,0)</f>
        <v>148000</v>
      </c>
      <c r="E1179" s="167">
        <v>1</v>
      </c>
      <c r="F1179" s="168">
        <f t="shared" si="5"/>
        <v>148000</v>
      </c>
      <c r="G1179" s="144"/>
      <c r="H1179" s="178">
        <v>126160</v>
      </c>
    </row>
    <row r="1180" spans="1:8" ht="13.2">
      <c r="A1180" s="194">
        <v>45723</v>
      </c>
      <c r="B1180" s="28" t="s">
        <v>1446</v>
      </c>
      <c r="C1180" s="143" t="str">
        <f>VLOOKUP(B1180,'Thống kê'!$C$3:$D$669,2,0)</f>
        <v>túi mù mô hình</v>
      </c>
      <c r="D1180" s="166">
        <f>VLOOKUP(B1180,'Thống kê'!$C$3:$M$682,4,0)</f>
        <v>0</v>
      </c>
      <c r="E1180" s="167">
        <v>19</v>
      </c>
      <c r="F1180" s="168">
        <f t="shared" si="5"/>
        <v>0</v>
      </c>
      <c r="G1180" s="144"/>
      <c r="H1180" s="176">
        <v>675500</v>
      </c>
    </row>
    <row r="1181" spans="1:8" ht="13.2">
      <c r="A1181" s="194"/>
      <c r="B1181" s="28" t="s">
        <v>201</v>
      </c>
      <c r="C1181" s="143">
        <f>VLOOKUP(B1181,'Thống kê'!$C$3:$D$669,2,0)</f>
        <v>0</v>
      </c>
      <c r="D1181" s="166">
        <f>VLOOKUP(B1181,'Thống kê'!$C$3:$M$682,4,0)</f>
        <v>0</v>
      </c>
      <c r="E1181" s="167">
        <v>1</v>
      </c>
      <c r="F1181" s="168">
        <f t="shared" si="5"/>
        <v>0</v>
      </c>
      <c r="G1181" s="144"/>
      <c r="H1181" s="403">
        <v>677204</v>
      </c>
    </row>
    <row r="1182" spans="1:8" ht="13.2">
      <c r="A1182" s="194"/>
      <c r="B1182" s="28" t="s">
        <v>1472</v>
      </c>
      <c r="C1182" s="143">
        <f>VLOOKUP(B1182,'Thống kê'!$C$3:$D$669,2,0)</f>
        <v>0</v>
      </c>
      <c r="D1182" s="166">
        <f>VLOOKUP(B1182,'Thống kê'!$C$3:$M$682,4,0)</f>
        <v>0</v>
      </c>
      <c r="E1182" s="167">
        <v>1</v>
      </c>
      <c r="F1182" s="168">
        <f t="shared" si="5"/>
        <v>0</v>
      </c>
      <c r="G1182" s="144"/>
      <c r="H1182" s="372"/>
    </row>
    <row r="1183" spans="1:8" ht="13.2">
      <c r="A1183" s="194"/>
      <c r="B1183" s="28" t="s">
        <v>234</v>
      </c>
      <c r="C1183" s="143" t="str">
        <f>VLOOKUP(B1183,'Thống kê'!$C$3:$D$669,2,0)</f>
        <v>Móc khoá skullpanda phiên bản mini</v>
      </c>
      <c r="D1183" s="166">
        <f>VLOOKUP(B1183,'Thống kê'!$C$3:$M$682,4,0)</f>
        <v>98000</v>
      </c>
      <c r="E1183" s="167">
        <v>1</v>
      </c>
      <c r="F1183" s="168">
        <f t="shared" si="5"/>
        <v>98000</v>
      </c>
      <c r="G1183" s="144"/>
      <c r="H1183" s="372"/>
    </row>
    <row r="1184" spans="1:8" ht="13.2">
      <c r="A1184" s="194"/>
      <c r="B1184" s="28" t="s">
        <v>1516</v>
      </c>
      <c r="C1184" s="143" t="e">
        <f>VLOOKUP(B1184,'Thống kê'!$C$3:$D$669,2,0)</f>
        <v>#N/A</v>
      </c>
      <c r="D1184" s="166">
        <f>VLOOKUP(B1184,'Thống kê'!$C$3:$M$682,4,0)</f>
        <v>0</v>
      </c>
      <c r="E1184" s="167">
        <v>1</v>
      </c>
      <c r="F1184" s="168">
        <f t="shared" si="5"/>
        <v>0</v>
      </c>
      <c r="G1184" s="144"/>
      <c r="H1184" s="372"/>
    </row>
    <row r="1185" spans="1:8" ht="13.2">
      <c r="A1185" s="194"/>
      <c r="B1185" s="28" t="s">
        <v>1807</v>
      </c>
      <c r="C1185" s="143" t="e">
        <f>VLOOKUP(B1185,'Thống kê'!$C$3:$D$669,2,0)</f>
        <v>#N/A</v>
      </c>
      <c r="D1185" s="166" t="e">
        <f>VLOOKUP(B1185,'Thống kê'!$C$3:$M$682,4,0)</f>
        <v>#N/A</v>
      </c>
      <c r="E1185" s="167">
        <v>1</v>
      </c>
      <c r="F1185" s="168" t="e">
        <f t="shared" si="5"/>
        <v>#N/A</v>
      </c>
      <c r="G1185" s="144"/>
      <c r="H1185" s="372"/>
    </row>
    <row r="1186" spans="1:8" ht="13.2">
      <c r="A1186" s="194"/>
      <c r="B1186" s="28" t="s">
        <v>1450</v>
      </c>
      <c r="C1186" s="143">
        <f>VLOOKUP(B1186,'Thống kê'!$C$3:$D$669,2,0)</f>
        <v>0</v>
      </c>
      <c r="D1186" s="166">
        <f>VLOOKUP(B1186,'Thống kê'!$C$3:$M$682,4,0)</f>
        <v>0</v>
      </c>
      <c r="E1186" s="167">
        <v>1</v>
      </c>
      <c r="F1186" s="168">
        <f t="shared" si="5"/>
        <v>0</v>
      </c>
      <c r="G1186" s="144"/>
      <c r="H1186" s="372"/>
    </row>
    <row r="1187" spans="1:8" ht="13.2">
      <c r="A1187" s="194"/>
      <c r="B1187" s="28" t="s">
        <v>125</v>
      </c>
      <c r="C1187" s="143" t="e">
        <f>VLOOKUP(B1187,'Thống kê'!$C$3:$D$669,2,0)</f>
        <v>#N/A</v>
      </c>
      <c r="D1187" s="166">
        <f>VLOOKUP(B1187,'Thống kê'!$C$3:$M$682,4,0)</f>
        <v>0</v>
      </c>
      <c r="E1187" s="167">
        <v>1</v>
      </c>
      <c r="F1187" s="168">
        <f t="shared" si="5"/>
        <v>0</v>
      </c>
      <c r="G1187" s="144"/>
      <c r="H1187" s="402">
        <v>200345</v>
      </c>
    </row>
    <row r="1188" spans="1:8" ht="13.2">
      <c r="A1188" s="194"/>
      <c r="B1188" s="28" t="s">
        <v>135</v>
      </c>
      <c r="C1188" s="143" t="e">
        <f>VLOOKUP(B1188,'Thống kê'!$C$3:$D$669,2,0)</f>
        <v>#N/A</v>
      </c>
      <c r="D1188" s="166" t="e">
        <f>VLOOKUP(B1188,'Thống kê'!$C$3:$M$682,4,0)</f>
        <v>#N/A</v>
      </c>
      <c r="E1188" s="167">
        <v>1</v>
      </c>
      <c r="F1188" s="168" t="e">
        <f t="shared" si="5"/>
        <v>#N/A</v>
      </c>
      <c r="G1188" s="144"/>
      <c r="H1188" s="372"/>
    </row>
    <row r="1189" spans="1:8" ht="13.2">
      <c r="A1189" s="194"/>
      <c r="B1189" s="28" t="s">
        <v>118</v>
      </c>
      <c r="C1189" s="143" t="e">
        <f>VLOOKUP(B1189,'Thống kê'!$C$3:$D$669,2,0)</f>
        <v>#N/A</v>
      </c>
      <c r="D1189" s="166" t="e">
        <f>VLOOKUP(B1189,'Thống kê'!$C$3:$M$682,4,0)</f>
        <v>#N/A</v>
      </c>
      <c r="E1189" s="167">
        <v>1</v>
      </c>
      <c r="F1189" s="168" t="e">
        <f t="shared" si="5"/>
        <v>#N/A</v>
      </c>
      <c r="G1189" s="144"/>
      <c r="H1189" s="372"/>
    </row>
    <row r="1190" spans="1:8" ht="13.2">
      <c r="A1190" s="196"/>
      <c r="B1190" s="28" t="s">
        <v>1522</v>
      </c>
      <c r="C1190" s="143" t="e">
        <f>VLOOKUP(B1190,'Thống kê'!$C$3:$D$669,2,0)</f>
        <v>#N/A</v>
      </c>
      <c r="D1190" s="166" t="e">
        <f>VLOOKUP(B1190,'Thống kê'!$C$3:$M$682,4,0)</f>
        <v>#N/A</v>
      </c>
      <c r="E1190" s="167">
        <v>1</v>
      </c>
      <c r="F1190" s="168" t="e">
        <f t="shared" si="5"/>
        <v>#N/A</v>
      </c>
      <c r="G1190" s="144"/>
      <c r="H1190" s="372"/>
    </row>
    <row r="1191" spans="1:8" ht="13.2">
      <c r="A1191" s="154"/>
      <c r="B1191" s="28" t="s">
        <v>262</v>
      </c>
      <c r="C1191" s="143" t="str">
        <f>VLOOKUP(B1191,'Thống kê'!$C$3:$D$669,2,0)</f>
        <v>Pop Bean Baked Bread</v>
      </c>
      <c r="D1191" s="166">
        <f>VLOOKUP(B1191,'Thống kê'!$C$3:$M$682,4,0)</f>
        <v>167000</v>
      </c>
      <c r="E1191" s="167">
        <v>1</v>
      </c>
      <c r="F1191" s="168">
        <f t="shared" si="5"/>
        <v>167000</v>
      </c>
      <c r="G1191" s="144"/>
      <c r="H1191" s="402">
        <v>179275</v>
      </c>
    </row>
    <row r="1192" spans="1:8" ht="13.2">
      <c r="A1192" s="188"/>
      <c r="B1192" s="28" t="s">
        <v>196</v>
      </c>
      <c r="C1192" s="143">
        <f>VLOOKUP(B1192,'Thống kê'!$C$3:$D$669,2,0)</f>
        <v>0</v>
      </c>
      <c r="D1192" s="166">
        <f>VLOOKUP(B1192,'Thống kê'!$C$3:$M$682,4,0)</f>
        <v>0</v>
      </c>
      <c r="E1192" s="167">
        <v>1</v>
      </c>
      <c r="F1192" s="168">
        <f t="shared" si="5"/>
        <v>0</v>
      </c>
      <c r="G1192" s="144"/>
      <c r="H1192" s="372"/>
    </row>
    <row r="1193" spans="1:8" ht="13.2">
      <c r="A1193" s="188"/>
      <c r="B1193" s="28" t="s">
        <v>1387</v>
      </c>
      <c r="C1193" s="143" t="str">
        <f>VLOOKUP(B1193,'Thống kê'!$C$3:$D$669,2,0)</f>
        <v>Móc khoá Crybaby mini Popmart</v>
      </c>
      <c r="D1193" s="166">
        <f>VLOOKUP(B1193,'Thống kê'!$C$3:$M$682,4,0)</f>
        <v>0</v>
      </c>
      <c r="E1193" s="167">
        <v>1</v>
      </c>
      <c r="F1193" s="168">
        <f t="shared" si="5"/>
        <v>0</v>
      </c>
      <c r="G1193" s="144"/>
      <c r="H1193" s="175">
        <v>75610</v>
      </c>
    </row>
    <row r="1194" spans="1:8" ht="13.2">
      <c r="A1194" s="188"/>
      <c r="B1194" s="28" t="s">
        <v>133</v>
      </c>
      <c r="C1194" s="143">
        <f>VLOOKUP(B1194,'Thống kê'!$C$3:$D$669,2,0)</f>
        <v>0</v>
      </c>
      <c r="D1194" s="166">
        <f>VLOOKUP(B1194,'Thống kê'!$C$3:$M$682,4,0)</f>
        <v>0</v>
      </c>
      <c r="E1194" s="167">
        <v>1</v>
      </c>
      <c r="F1194" s="168">
        <f t="shared" si="5"/>
        <v>0</v>
      </c>
      <c r="G1194" s="144"/>
      <c r="H1194" s="402">
        <v>235474</v>
      </c>
    </row>
    <row r="1195" spans="1:8" ht="13.2">
      <c r="A1195" s="188"/>
      <c r="B1195" s="28" t="s">
        <v>206</v>
      </c>
      <c r="C1195" s="143" t="str">
        <f>VLOOKUP(B1195,'Thống kê'!$C$3:$D$669,2,0)</f>
        <v>Pop Bean Baked Bread</v>
      </c>
      <c r="D1195" s="166">
        <f>VLOOKUP(B1195,'Thống kê'!$C$3:$M$682,4,0)</f>
        <v>167000</v>
      </c>
      <c r="E1195" s="167">
        <v>1</v>
      </c>
      <c r="F1195" s="168">
        <f t="shared" si="5"/>
        <v>167000</v>
      </c>
      <c r="G1195" s="144"/>
      <c r="H1195" s="372"/>
    </row>
    <row r="1196" spans="1:8" ht="13.2">
      <c r="A1196" s="188"/>
      <c r="B1196" s="28" t="s">
        <v>234</v>
      </c>
      <c r="C1196" s="143" t="str">
        <f>VLOOKUP(B1196,'Thống kê'!$C$3:$D$669,2,0)</f>
        <v>Móc khoá skullpanda phiên bản mini</v>
      </c>
      <c r="D1196" s="166">
        <f>VLOOKUP(B1196,'Thống kê'!$C$3:$M$682,4,0)</f>
        <v>98000</v>
      </c>
      <c r="E1196" s="167">
        <v>1</v>
      </c>
      <c r="F1196" s="168">
        <f t="shared" si="5"/>
        <v>98000</v>
      </c>
      <c r="G1196" s="144"/>
      <c r="H1196" s="402">
        <v>152766</v>
      </c>
    </row>
    <row r="1197" spans="1:8" ht="13.2">
      <c r="A1197" s="188"/>
      <c r="B1197" s="28" t="s">
        <v>138</v>
      </c>
      <c r="C1197" s="143" t="str">
        <f>VLOOKUP(B1197,'Thống kê'!$C$3:$D$669,2,0)</f>
        <v>Móc khoá Crybaby mini Popmart</v>
      </c>
      <c r="D1197" s="166">
        <f>VLOOKUP(B1197,'Thống kê'!$C$3:$M$682,4,0)</f>
        <v>0</v>
      </c>
      <c r="E1197" s="167">
        <v>1</v>
      </c>
      <c r="F1197" s="168">
        <f t="shared" si="5"/>
        <v>0</v>
      </c>
      <c r="G1197" s="144"/>
      <c r="H1197" s="372"/>
    </row>
    <row r="1198" spans="1:8" ht="13.2">
      <c r="A1198" s="188"/>
      <c r="B1198" s="28" t="s">
        <v>119</v>
      </c>
      <c r="C1198" s="143" t="str">
        <f>VLOOKUP(B1198,'Thống kê'!$C$3:$D$669,2,0)</f>
        <v>Thỏ chạy xe gắn xe</v>
      </c>
      <c r="D1198" s="166">
        <f>VLOOKUP(B1198,'Thống kê'!$C$3:$M$682,4,0)</f>
        <v>45000</v>
      </c>
      <c r="E1198" s="167">
        <v>1</v>
      </c>
      <c r="F1198" s="168">
        <f t="shared" si="5"/>
        <v>45000</v>
      </c>
      <c r="G1198" s="144"/>
      <c r="H1198" s="402">
        <v>82246</v>
      </c>
    </row>
    <row r="1199" spans="1:8" ht="13.2">
      <c r="A1199" s="188"/>
      <c r="B1199" s="28" t="s">
        <v>180</v>
      </c>
      <c r="C1199" s="143" t="e">
        <f>VLOOKUP(B1199,'Thống kê'!$C$3:$D$669,2,0)</f>
        <v>#N/A</v>
      </c>
      <c r="D1199" s="166">
        <f>VLOOKUP(B1199,'Thống kê'!$C$3:$M$682,4,0)</f>
        <v>0</v>
      </c>
      <c r="E1199" s="167">
        <v>1</v>
      </c>
      <c r="F1199" s="168">
        <f t="shared" si="5"/>
        <v>0</v>
      </c>
      <c r="G1199" s="144"/>
      <c r="H1199" s="372"/>
    </row>
    <row r="1200" spans="1:8" ht="13.2">
      <c r="A1200" s="188"/>
      <c r="B1200" s="28" t="s">
        <v>231</v>
      </c>
      <c r="C1200" s="143" t="str">
        <f>VLOOKUP(B1200,'Thống kê'!$C$3:$D$669,2,0)</f>
        <v>Móc khóa đôi gấu trúc</v>
      </c>
      <c r="D1200" s="166">
        <f>VLOOKUP(B1200,'Thống kê'!$C$3:$M$682,4,0)</f>
        <v>56580</v>
      </c>
      <c r="E1200" s="167">
        <v>1</v>
      </c>
      <c r="F1200" s="168">
        <f t="shared" si="5"/>
        <v>56580</v>
      </c>
      <c r="G1200" s="144"/>
      <c r="H1200" s="175">
        <v>47833</v>
      </c>
    </row>
    <row r="1201" spans="1:8" ht="13.2">
      <c r="A1201" s="188"/>
      <c r="B1201" s="28" t="s">
        <v>1472</v>
      </c>
      <c r="C1201" s="143">
        <f>VLOOKUP(B1201,'Thống kê'!$C$3:$D$669,2,0)</f>
        <v>0</v>
      </c>
      <c r="D1201" s="166">
        <f>VLOOKUP(B1201,'Thống kê'!$C$3:$M$682,4,0)</f>
        <v>0</v>
      </c>
      <c r="E1201" s="167">
        <v>1</v>
      </c>
      <c r="F1201" s="168">
        <f t="shared" si="5"/>
        <v>0</v>
      </c>
      <c r="G1201" s="144"/>
      <c r="H1201" s="402">
        <v>193375</v>
      </c>
    </row>
    <row r="1202" spans="1:8" ht="13.2">
      <c r="A1202" s="188"/>
      <c r="B1202" s="28" t="s">
        <v>1382</v>
      </c>
      <c r="C1202" s="143" t="str">
        <f>VLOOKUP(B1202,'Thống kê'!$C$3:$D$669,2,0)</f>
        <v>miếng dán silicon điện thoại</v>
      </c>
      <c r="D1202" s="166">
        <f>VLOOKUP(B1202,'Thống kê'!$C$3:$M$682,4,0)</f>
        <v>0</v>
      </c>
      <c r="E1202" s="167">
        <v>1</v>
      </c>
      <c r="F1202" s="168">
        <f t="shared" si="5"/>
        <v>0</v>
      </c>
      <c r="G1202" s="144"/>
      <c r="H1202" s="372"/>
    </row>
    <row r="1203" spans="1:8" ht="13.2">
      <c r="A1203" s="188"/>
      <c r="B1203" s="28" t="s">
        <v>133</v>
      </c>
      <c r="C1203" s="143">
        <f>VLOOKUP(B1203,'Thống kê'!$C$3:$D$669,2,0)</f>
        <v>0</v>
      </c>
      <c r="D1203" s="166">
        <f>VLOOKUP(B1203,'Thống kê'!$C$3:$M$682,4,0)</f>
        <v>0</v>
      </c>
      <c r="E1203" s="167">
        <v>1</v>
      </c>
      <c r="F1203" s="168">
        <f t="shared" si="5"/>
        <v>0</v>
      </c>
      <c r="G1203" s="144"/>
      <c r="H1203" s="372"/>
    </row>
    <row r="1204" spans="1:8" ht="13.2">
      <c r="A1204" s="188"/>
      <c r="B1204" s="28" t="s">
        <v>85</v>
      </c>
      <c r="C1204" s="143" t="e">
        <f>VLOOKUP(B1204,'Thống kê'!$C$3:$D$669,2,0)</f>
        <v>#N/A</v>
      </c>
      <c r="D1204" s="166">
        <f>VLOOKUP(B1204,'Thống kê'!$C$3:$M$682,4,0)</f>
        <v>0</v>
      </c>
      <c r="E1204" s="167">
        <v>1</v>
      </c>
      <c r="F1204" s="168">
        <f t="shared" si="5"/>
        <v>0</v>
      </c>
      <c r="G1204" s="144"/>
      <c r="H1204" s="175">
        <v>59524</v>
      </c>
    </row>
    <row r="1205" spans="1:8" ht="13.2">
      <c r="A1205" s="188"/>
      <c r="B1205" s="28" t="s">
        <v>133</v>
      </c>
      <c r="C1205" s="143">
        <f>VLOOKUP(B1205,'Thống kê'!$C$3:$D$669,2,0)</f>
        <v>0</v>
      </c>
      <c r="D1205" s="166">
        <f>VLOOKUP(B1205,'Thống kê'!$C$3:$M$682,4,0)</f>
        <v>0</v>
      </c>
      <c r="E1205" s="167">
        <v>1</v>
      </c>
      <c r="F1205" s="168">
        <f t="shared" si="5"/>
        <v>0</v>
      </c>
      <c r="G1205" s="144"/>
      <c r="H1205" s="402">
        <v>110290</v>
      </c>
    </row>
    <row r="1206" spans="1:8" ht="13.2">
      <c r="A1206" s="188"/>
      <c r="B1206" s="28" t="s">
        <v>77</v>
      </c>
      <c r="C1206" s="143">
        <f>VLOOKUP(B1206,'Thống kê'!$C$3:$D$669,2,0)</f>
        <v>0</v>
      </c>
      <c r="D1206" s="166">
        <f>VLOOKUP(B1206,'Thống kê'!$C$3:$M$682,4,0)</f>
        <v>0</v>
      </c>
      <c r="E1206" s="167">
        <v>1</v>
      </c>
      <c r="F1206" s="168">
        <f t="shared" si="5"/>
        <v>0</v>
      </c>
      <c r="G1206" s="144"/>
      <c r="H1206" s="372"/>
    </row>
    <row r="1207" spans="1:8" ht="13.2">
      <c r="A1207" s="189"/>
      <c r="B1207" s="28" t="s">
        <v>1384</v>
      </c>
      <c r="C1207" s="143" t="str">
        <f>VLOOKUP(B1207,'Thống kê'!$C$3:$D$669,2,0)</f>
        <v>Móc khoá Crybaby mini Popmart</v>
      </c>
      <c r="D1207" s="166">
        <f>VLOOKUP(B1207,'Thống kê'!$C$3:$M$682,4,0)</f>
        <v>0</v>
      </c>
      <c r="E1207" s="167">
        <v>1</v>
      </c>
      <c r="F1207" s="168">
        <f t="shared" si="5"/>
        <v>0</v>
      </c>
      <c r="G1207" s="144"/>
      <c r="H1207" s="175">
        <v>77500</v>
      </c>
    </row>
    <row r="1208" spans="1:8" ht="13.2">
      <c r="A1208" s="154"/>
      <c r="B1208" s="28" t="s">
        <v>115</v>
      </c>
      <c r="C1208" s="143" t="str">
        <f>VLOOKUP(B1208,'Thống kê'!$C$3:$D$669,2,0)</f>
        <v>Heo ú</v>
      </c>
      <c r="D1208" s="166">
        <f>VLOOKUP(B1208,'Thống kê'!$C$3:$M$682,4,0)</f>
        <v>59500</v>
      </c>
      <c r="E1208" s="167">
        <v>1</v>
      </c>
      <c r="F1208" s="168">
        <f t="shared" si="5"/>
        <v>59500</v>
      </c>
      <c r="G1208" s="144"/>
      <c r="H1208" s="402">
        <v>100040</v>
      </c>
    </row>
    <row r="1209" spans="1:8" ht="13.2">
      <c r="A1209" s="188"/>
      <c r="B1209" s="28" t="s">
        <v>1591</v>
      </c>
      <c r="C1209" s="143" t="str">
        <f>VLOOKUP(B1209,'Thống kê'!$C$3:$D$669,2,0)</f>
        <v>Thỏ ú</v>
      </c>
      <c r="D1209" s="166">
        <f>VLOOKUP(B1209,'Thống kê'!$C$3:$M$682,4,0)</f>
        <v>59500</v>
      </c>
      <c r="E1209" s="167">
        <v>1</v>
      </c>
      <c r="F1209" s="168">
        <f t="shared" si="5"/>
        <v>59500</v>
      </c>
      <c r="G1209" s="144"/>
      <c r="H1209" s="372"/>
    </row>
    <row r="1210" spans="1:8" ht="13.2">
      <c r="A1210" s="188"/>
      <c r="B1210" s="28" t="s">
        <v>1390</v>
      </c>
      <c r="C1210" s="143" t="str">
        <f>VLOOKUP(B1210,'Thống kê'!$C$3:$D$669,2,0)</f>
        <v>Móc khoá Labubu mini Popmart</v>
      </c>
      <c r="D1210" s="166">
        <f>VLOOKUP(B1210,'Thống kê'!$C$3:$M$682,4,0)</f>
        <v>0</v>
      </c>
      <c r="E1210" s="167">
        <v>1</v>
      </c>
      <c r="F1210" s="168">
        <f t="shared" si="5"/>
        <v>0</v>
      </c>
      <c r="G1210" s="144"/>
      <c r="H1210" s="402">
        <v>151700</v>
      </c>
    </row>
    <row r="1211" spans="1:8" ht="13.2">
      <c r="A1211" s="188"/>
      <c r="B1211" s="28" t="s">
        <v>1384</v>
      </c>
      <c r="C1211" s="143" t="str">
        <f>VLOOKUP(B1211,'Thống kê'!$C$3:$D$669,2,0)</f>
        <v>Móc khoá Crybaby mini Popmart</v>
      </c>
      <c r="D1211" s="166">
        <f>VLOOKUP(B1211,'Thống kê'!$C$3:$M$682,4,0)</f>
        <v>0</v>
      </c>
      <c r="E1211" s="167">
        <v>1</v>
      </c>
      <c r="F1211" s="168">
        <f t="shared" si="5"/>
        <v>0</v>
      </c>
      <c r="G1211" s="144"/>
      <c r="H1211" s="372"/>
    </row>
    <row r="1212" spans="1:8" ht="13.2">
      <c r="A1212" s="188"/>
      <c r="B1212" s="28" t="s">
        <v>1382</v>
      </c>
      <c r="C1212" s="143" t="str">
        <f>VLOOKUP(B1212,'Thống kê'!$C$3:$D$669,2,0)</f>
        <v>miếng dán silicon điện thoại</v>
      </c>
      <c r="D1212" s="166">
        <f>VLOOKUP(B1212,'Thống kê'!$C$3:$M$682,4,0)</f>
        <v>0</v>
      </c>
      <c r="E1212" s="167">
        <v>1</v>
      </c>
      <c r="F1212" s="168">
        <f t="shared" si="5"/>
        <v>0</v>
      </c>
      <c r="G1212" s="144"/>
      <c r="H1212" s="402">
        <v>55742</v>
      </c>
    </row>
    <row r="1213" spans="1:8" ht="13.2">
      <c r="A1213" s="188"/>
      <c r="B1213" s="28" t="s">
        <v>233</v>
      </c>
      <c r="C1213" s="143" t="e">
        <f>VLOOKUP(B1213,'Thống kê'!$C$3:$D$669,2,0)</f>
        <v>#N/A</v>
      </c>
      <c r="D1213" s="166">
        <f>VLOOKUP(B1213,'Thống kê'!$C$3:$M$682,4,0)</f>
        <v>0</v>
      </c>
      <c r="E1213" s="167">
        <v>1</v>
      </c>
      <c r="F1213" s="168">
        <f t="shared" si="5"/>
        <v>0</v>
      </c>
      <c r="G1213" s="144"/>
      <c r="H1213" s="372"/>
    </row>
    <row r="1214" spans="1:8" ht="13.2">
      <c r="A1214" s="188"/>
      <c r="B1214" s="28" t="s">
        <v>1382</v>
      </c>
      <c r="C1214" s="143" t="str">
        <f>VLOOKUP(B1214,'Thống kê'!$C$3:$D$669,2,0)</f>
        <v>miếng dán silicon điện thoại</v>
      </c>
      <c r="D1214" s="166">
        <f>VLOOKUP(B1214,'Thống kê'!$C$3:$M$682,4,0)</f>
        <v>0</v>
      </c>
      <c r="E1214" s="167">
        <v>2</v>
      </c>
      <c r="F1214" s="168">
        <f t="shared" si="5"/>
        <v>0</v>
      </c>
      <c r="G1214" s="144"/>
      <c r="H1214" s="402">
        <v>245082</v>
      </c>
    </row>
    <row r="1215" spans="1:8" ht="13.2">
      <c r="A1215" s="189"/>
      <c r="B1215" s="28" t="s">
        <v>234</v>
      </c>
      <c r="C1215" s="143" t="str">
        <f>VLOOKUP(B1215,'Thống kê'!$C$3:$D$669,2,0)</f>
        <v>Móc khoá skullpanda phiên bản mini</v>
      </c>
      <c r="D1215" s="166">
        <f>VLOOKUP(B1215,'Thống kê'!$C$3:$M$682,4,0)</f>
        <v>98000</v>
      </c>
      <c r="E1215" s="167">
        <v>2</v>
      </c>
      <c r="F1215" s="168">
        <f t="shared" si="5"/>
        <v>196000</v>
      </c>
      <c r="G1215" s="144"/>
      <c r="H1215" s="372"/>
    </row>
    <row r="1216" spans="1:8" ht="13.2">
      <c r="A1216" s="193"/>
      <c r="B1216" s="28" t="s">
        <v>1821</v>
      </c>
      <c r="C1216" s="143" t="e">
        <f>VLOOKUP(B1216,'Thống kê'!$C$3:$D$669,2,0)</f>
        <v>#N/A</v>
      </c>
      <c r="D1216" s="166" t="e">
        <f>VLOOKUP(B1216,'Thống kê'!$C$3:$M$682,4,0)</f>
        <v>#N/A</v>
      </c>
      <c r="E1216" s="167">
        <v>1</v>
      </c>
      <c r="F1216" s="168" t="e">
        <f t="shared" si="5"/>
        <v>#N/A</v>
      </c>
      <c r="G1216" s="144"/>
      <c r="H1216" s="372"/>
    </row>
    <row r="1217" spans="1:8" ht="13.2">
      <c r="A1217" s="194"/>
      <c r="B1217" s="28" t="s">
        <v>208</v>
      </c>
      <c r="C1217" s="143" t="e">
        <f>VLOOKUP(B1217,'Thống kê'!$C$3:$D$669,2,0)</f>
        <v>#N/A</v>
      </c>
      <c r="D1217" s="166" t="e">
        <f>VLOOKUP(B1217,'Thống kê'!$C$3:$M$682,4,0)</f>
        <v>#N/A</v>
      </c>
      <c r="E1217" s="167">
        <v>1</v>
      </c>
      <c r="F1217" s="168" t="e">
        <f t="shared" si="5"/>
        <v>#N/A</v>
      </c>
      <c r="G1217" s="144"/>
      <c r="H1217" s="372"/>
    </row>
    <row r="1218" spans="1:8" ht="13.2">
      <c r="A1218" s="194"/>
      <c r="B1218" s="28" t="s">
        <v>209</v>
      </c>
      <c r="C1218" s="143" t="e">
        <f>VLOOKUP(B1218,'Thống kê'!$C$3:$D$669,2,0)</f>
        <v>#N/A</v>
      </c>
      <c r="D1218" s="166" t="e">
        <f>VLOOKUP(B1218,'Thống kê'!$C$3:$M$682,4,0)</f>
        <v>#N/A</v>
      </c>
      <c r="E1218" s="167">
        <v>1</v>
      </c>
      <c r="F1218" s="168" t="e">
        <f t="shared" si="5"/>
        <v>#N/A</v>
      </c>
      <c r="G1218" s="144"/>
      <c r="H1218" s="372"/>
    </row>
    <row r="1219" spans="1:8" ht="13.2">
      <c r="A1219" s="194"/>
      <c r="B1219" s="28" t="s">
        <v>210</v>
      </c>
      <c r="C1219" s="143">
        <f>VLOOKUP(B1219,'Thống kê'!$C$3:$D$669,2,0)</f>
        <v>0</v>
      </c>
      <c r="D1219" s="166">
        <f>VLOOKUP(B1219,'Thống kê'!$C$3:$M$682,4,0)</f>
        <v>0</v>
      </c>
      <c r="E1219" s="167">
        <v>1</v>
      </c>
      <c r="F1219" s="168">
        <f t="shared" si="5"/>
        <v>0</v>
      </c>
      <c r="G1219" s="144"/>
      <c r="H1219" s="372"/>
    </row>
    <row r="1220" spans="1:8" ht="13.2">
      <c r="A1220" s="194"/>
      <c r="B1220" s="28" t="s">
        <v>1387</v>
      </c>
      <c r="C1220" s="143" t="str">
        <f>VLOOKUP(B1220,'Thống kê'!$C$3:$D$669,2,0)</f>
        <v>Móc khoá Crybaby mini Popmart</v>
      </c>
      <c r="D1220" s="166">
        <f>VLOOKUP(B1220,'Thống kê'!$C$3:$M$682,4,0)</f>
        <v>0</v>
      </c>
      <c r="E1220" s="167">
        <v>1</v>
      </c>
      <c r="F1220" s="168">
        <f t="shared" si="5"/>
        <v>0</v>
      </c>
      <c r="G1220" s="144"/>
      <c r="H1220" s="372"/>
    </row>
    <row r="1221" spans="1:8" ht="13.2">
      <c r="A1221" s="194"/>
      <c r="B1221" s="28" t="s">
        <v>1464</v>
      </c>
      <c r="C1221" s="143">
        <f>VLOOKUP(B1221,'Thống kê'!$C$3:$D$669,2,0)</f>
        <v>0</v>
      </c>
      <c r="D1221" s="166">
        <f>VLOOKUP(B1221,'Thống kê'!$C$3:$M$682,4,0)</f>
        <v>0</v>
      </c>
      <c r="E1221" s="167">
        <v>1</v>
      </c>
      <c r="F1221" s="168">
        <f t="shared" si="5"/>
        <v>0</v>
      </c>
      <c r="G1221" s="144"/>
      <c r="H1221" s="402">
        <v>151700</v>
      </c>
    </row>
    <row r="1222" spans="1:8" ht="13.2">
      <c r="A1222" s="194"/>
      <c r="B1222" s="28" t="s">
        <v>1387</v>
      </c>
      <c r="C1222" s="143" t="str">
        <f>VLOOKUP(B1222,'Thống kê'!$C$3:$D$669,2,0)</f>
        <v>Móc khoá Crybaby mini Popmart</v>
      </c>
      <c r="D1222" s="166">
        <f>VLOOKUP(B1222,'Thống kê'!$C$3:$M$682,4,0)</f>
        <v>0</v>
      </c>
      <c r="E1222" s="167">
        <v>1</v>
      </c>
      <c r="F1222" s="168">
        <f t="shared" si="5"/>
        <v>0</v>
      </c>
      <c r="G1222" s="144"/>
      <c r="H1222" s="372"/>
    </row>
    <row r="1223" spans="1:8" ht="13.2">
      <c r="A1223" s="194"/>
      <c r="B1223" s="28" t="s">
        <v>133</v>
      </c>
      <c r="C1223" s="143">
        <f>VLOOKUP(B1223,'Thống kê'!$C$3:$D$669,2,0)</f>
        <v>0</v>
      </c>
      <c r="D1223" s="166">
        <f>VLOOKUP(B1223,'Thống kê'!$C$3:$M$682,4,0)</f>
        <v>0</v>
      </c>
      <c r="E1223" s="167">
        <v>1</v>
      </c>
      <c r="F1223" s="168">
        <f t="shared" si="5"/>
        <v>0</v>
      </c>
      <c r="G1223" s="144"/>
      <c r="H1223" s="175">
        <v>55175</v>
      </c>
    </row>
    <row r="1224" spans="1:8" ht="13.2">
      <c r="A1224" s="194"/>
      <c r="B1224" s="28" t="s">
        <v>77</v>
      </c>
      <c r="C1224" s="143">
        <f>VLOOKUP(B1224,'Thống kê'!$C$3:$D$669,2,0)</f>
        <v>0</v>
      </c>
      <c r="D1224" s="166">
        <f>VLOOKUP(B1224,'Thống kê'!$C$3:$M$682,4,0)</f>
        <v>0</v>
      </c>
      <c r="E1224" s="167">
        <v>1</v>
      </c>
      <c r="F1224" s="168">
        <f t="shared" si="5"/>
        <v>0</v>
      </c>
      <c r="G1224" s="144"/>
      <c r="H1224" s="402">
        <v>101500</v>
      </c>
    </row>
    <row r="1225" spans="1:8" ht="13.2">
      <c r="A1225" s="194"/>
      <c r="B1225" s="28" t="s">
        <v>1515</v>
      </c>
      <c r="C1225" s="143" t="e">
        <f>VLOOKUP(B1225,'Thống kê'!$C$3:$D$669,2,0)</f>
        <v>#N/A</v>
      </c>
      <c r="D1225" s="166">
        <f>VLOOKUP(B1225,'Thống kê'!$C$3:$M$682,4,0)</f>
        <v>0</v>
      </c>
      <c r="E1225" s="167">
        <v>1</v>
      </c>
      <c r="F1225" s="168">
        <f t="shared" si="5"/>
        <v>0</v>
      </c>
      <c r="G1225" s="144"/>
      <c r="H1225" s="372"/>
    </row>
    <row r="1226" spans="1:8" ht="13.2">
      <c r="A1226" s="194">
        <v>45724</v>
      </c>
      <c r="B1226" s="28" t="s">
        <v>1474</v>
      </c>
      <c r="C1226" s="143">
        <f>VLOOKUP(B1226,'Thống kê'!$C$3:$D$669,2,0)</f>
        <v>0</v>
      </c>
      <c r="D1226" s="166">
        <f>VLOOKUP(B1226,'Thống kê'!$C$3:$M$682,4,0)</f>
        <v>0</v>
      </c>
      <c r="E1226" s="167">
        <v>1</v>
      </c>
      <c r="F1226" s="168">
        <f t="shared" si="5"/>
        <v>0</v>
      </c>
      <c r="G1226" s="144"/>
      <c r="H1226" s="175">
        <v>56010</v>
      </c>
    </row>
    <row r="1227" spans="1:8" ht="13.2">
      <c r="A1227" s="194"/>
      <c r="B1227" s="28" t="s">
        <v>1346</v>
      </c>
      <c r="C1227" s="143" t="str">
        <f>VLOOKUP(B1227,'Thống kê'!$C$3:$D$669,2,0)</f>
        <v>Móc khóa chuối</v>
      </c>
      <c r="D1227" s="166">
        <f>VLOOKUP(B1227,'Thống kê'!$C$3:$M$682,4,0)</f>
        <v>148000</v>
      </c>
      <c r="E1227" s="167">
        <v>1</v>
      </c>
      <c r="F1227" s="168">
        <f t="shared" si="5"/>
        <v>148000</v>
      </c>
      <c r="G1227" s="144"/>
      <c r="H1227" s="402">
        <v>150780</v>
      </c>
    </row>
    <row r="1228" spans="1:8" ht="13.2">
      <c r="A1228" s="194"/>
      <c r="B1228" s="28" t="s">
        <v>1333</v>
      </c>
      <c r="C1228" s="143" t="str">
        <f>VLOOKUP(B1228,'Thống kê'!$C$3:$D$669,2,0)</f>
        <v>Móc khóa Popbean</v>
      </c>
      <c r="D1228" s="166">
        <f>VLOOKUP(B1228,'Thống kê'!$C$3:$M$682,4,0)</f>
        <v>148000</v>
      </c>
      <c r="E1228" s="167">
        <v>1</v>
      </c>
      <c r="F1228" s="168">
        <f t="shared" si="5"/>
        <v>148000</v>
      </c>
      <c r="G1228" s="144"/>
      <c r="H1228" s="372"/>
    </row>
    <row r="1229" spans="1:8" ht="13.2">
      <c r="A1229" s="194"/>
      <c r="B1229" s="28" t="s">
        <v>234</v>
      </c>
      <c r="C1229" s="143" t="str">
        <f>VLOOKUP(B1229,'Thống kê'!$C$3:$D$669,2,0)</f>
        <v>Móc khoá skullpanda phiên bản mini</v>
      </c>
      <c r="D1229" s="166">
        <f>VLOOKUP(B1229,'Thống kê'!$C$3:$M$682,4,0)</f>
        <v>98000</v>
      </c>
      <c r="E1229" s="167">
        <v>1</v>
      </c>
      <c r="F1229" s="168">
        <f t="shared" si="5"/>
        <v>98000</v>
      </c>
      <c r="G1229" s="144"/>
      <c r="H1229" s="402">
        <v>473166</v>
      </c>
    </row>
    <row r="1230" spans="1:8" ht="13.2">
      <c r="A1230" s="196"/>
      <c r="B1230" s="28" t="s">
        <v>1687</v>
      </c>
      <c r="C1230" s="143">
        <f>VLOOKUP(B1230,'Thống kê'!$C$3:$D$669,2,0)</f>
        <v>0</v>
      </c>
      <c r="D1230" s="166">
        <f>VLOOKUP(B1230,'Thống kê'!$C$3:$M$682,4,0)</f>
        <v>0</v>
      </c>
      <c r="E1230" s="167">
        <v>1</v>
      </c>
      <c r="F1230" s="168">
        <f t="shared" si="5"/>
        <v>0</v>
      </c>
      <c r="G1230" s="144"/>
      <c r="H1230" s="372"/>
    </row>
    <row r="1231" spans="1:8" ht="13.2">
      <c r="A1231" s="396"/>
      <c r="B1231" s="28" t="s">
        <v>262</v>
      </c>
      <c r="C1231" s="143" t="str">
        <f>VLOOKUP(B1231,'Thống kê'!$C$3:$D$669,2,0)</f>
        <v>Pop Bean Baked Bread</v>
      </c>
      <c r="D1231" s="166">
        <f>VLOOKUP(B1231,'Thống kê'!$C$3:$M$682,4,0)</f>
        <v>167000</v>
      </c>
      <c r="E1231" s="167">
        <v>1</v>
      </c>
      <c r="F1231" s="168">
        <f t="shared" si="5"/>
        <v>167000</v>
      </c>
      <c r="G1231" s="144"/>
      <c r="H1231" s="372"/>
    </row>
    <row r="1232" spans="1:8" ht="13.2">
      <c r="A1232" s="373"/>
      <c r="B1232" s="28" t="s">
        <v>206</v>
      </c>
      <c r="C1232" s="143" t="str">
        <f>VLOOKUP(B1232,'Thống kê'!$C$3:$D$669,2,0)</f>
        <v>Pop Bean Baked Bread</v>
      </c>
      <c r="D1232" s="166">
        <f>VLOOKUP(B1232,'Thống kê'!$C$3:$M$682,4,0)</f>
        <v>167000</v>
      </c>
      <c r="E1232" s="167">
        <v>1</v>
      </c>
      <c r="F1232" s="168">
        <f t="shared" si="5"/>
        <v>167000</v>
      </c>
      <c r="G1232" s="144"/>
      <c r="H1232" s="372"/>
    </row>
    <row r="1233" spans="1:8" ht="13.2">
      <c r="A1233" s="396"/>
      <c r="B1233" s="28" t="s">
        <v>1345</v>
      </c>
      <c r="C1233" s="143" t="str">
        <f>VLOOKUP(B1233,'Thống kê'!$C$3:$D$669,2,0)</f>
        <v>Móc khóa chuối</v>
      </c>
      <c r="D1233" s="166">
        <f>VLOOKUP(B1233,'Thống kê'!$C$3:$M$682,4,0)</f>
        <v>148000</v>
      </c>
      <c r="E1233" s="167">
        <v>1</v>
      </c>
      <c r="F1233" s="168">
        <f t="shared" si="5"/>
        <v>148000</v>
      </c>
      <c r="G1233" s="144"/>
      <c r="H1233" s="402">
        <v>256496</v>
      </c>
    </row>
    <row r="1234" spans="1:8" ht="13.2">
      <c r="A1234" s="372"/>
      <c r="B1234" s="28" t="s">
        <v>1337</v>
      </c>
      <c r="C1234" s="143" t="str">
        <f>VLOOKUP(B1234,'Thống kê'!$C$3:$D$669,2,0)</f>
        <v>Móc khóa chuối</v>
      </c>
      <c r="D1234" s="166">
        <f>VLOOKUP(B1234,'Thống kê'!$C$3:$M$682,4,0)</f>
        <v>148000</v>
      </c>
      <c r="E1234" s="167">
        <v>1</v>
      </c>
      <c r="F1234" s="168">
        <f t="shared" si="5"/>
        <v>148000</v>
      </c>
      <c r="G1234" s="144"/>
      <c r="H1234" s="372"/>
    </row>
    <row r="1235" spans="1:8" ht="13.2">
      <c r="A1235" s="372"/>
      <c r="B1235" s="28" t="s">
        <v>1340</v>
      </c>
      <c r="C1235" s="143" t="str">
        <f>VLOOKUP(B1235,'Thống kê'!$C$3:$D$669,2,0)</f>
        <v>Móc khóa chuối</v>
      </c>
      <c r="D1235" s="166">
        <f>VLOOKUP(B1235,'Thống kê'!$C$3:$M$682,4,0)</f>
        <v>148000</v>
      </c>
      <c r="E1235" s="167">
        <v>1</v>
      </c>
      <c r="F1235" s="168">
        <f t="shared" si="5"/>
        <v>148000</v>
      </c>
      <c r="G1235" s="144"/>
      <c r="H1235" s="372"/>
    </row>
    <row r="1236" spans="1:8" ht="13.2">
      <c r="A1236" s="373"/>
      <c r="B1236" s="28" t="s">
        <v>1342</v>
      </c>
      <c r="C1236" s="143" t="str">
        <f>VLOOKUP(B1236,'Thống kê'!$C$3:$D$669,2,0)</f>
        <v>Móc khóa chuối</v>
      </c>
      <c r="D1236" s="166">
        <f>VLOOKUP(B1236,'Thống kê'!$C$3:$M$682,4,0)</f>
        <v>148000</v>
      </c>
      <c r="E1236" s="167">
        <v>1</v>
      </c>
      <c r="F1236" s="168">
        <f t="shared" si="5"/>
        <v>148000</v>
      </c>
      <c r="G1236" s="144"/>
      <c r="H1236" s="372"/>
    </row>
    <row r="1237" spans="1:8" ht="13.2">
      <c r="A1237" s="396"/>
      <c r="B1237" s="28" t="s">
        <v>1424</v>
      </c>
      <c r="C1237" s="143" t="str">
        <f>VLOOKUP(B1237,'Thống kê'!$C$3:$D$669,2,0)</f>
        <v>Móc khoá Crybaby mini Popmart</v>
      </c>
      <c r="D1237" s="166">
        <f>VLOOKUP(B1237,'Thống kê'!$C$3:$M$682,4,0)</f>
        <v>145000</v>
      </c>
      <c r="E1237" s="167">
        <v>1</v>
      </c>
      <c r="F1237" s="168">
        <f t="shared" si="5"/>
        <v>145000</v>
      </c>
      <c r="G1237" s="144"/>
      <c r="H1237" s="175">
        <v>77525</v>
      </c>
    </row>
    <row r="1238" spans="1:8" ht="13.2">
      <c r="A1238" s="372"/>
      <c r="B1238" s="28" t="s">
        <v>1382</v>
      </c>
      <c r="C1238" s="143" t="str">
        <f>VLOOKUP(B1238,'Thống kê'!$C$3:$D$669,2,0)</f>
        <v>miếng dán silicon điện thoại</v>
      </c>
      <c r="D1238" s="166">
        <f>VLOOKUP(B1238,'Thống kê'!$C$3:$M$682,4,0)</f>
        <v>0</v>
      </c>
      <c r="E1238" s="167">
        <v>1</v>
      </c>
      <c r="F1238" s="168">
        <f t="shared" si="5"/>
        <v>0</v>
      </c>
      <c r="G1238" s="144"/>
      <c r="H1238" s="402">
        <v>55852</v>
      </c>
    </row>
    <row r="1239" spans="1:8" ht="13.2">
      <c r="A1239" s="372"/>
      <c r="B1239" s="28" t="s">
        <v>1515</v>
      </c>
      <c r="C1239" s="143" t="e">
        <f>VLOOKUP(B1239,'Thống kê'!$C$3:$D$669,2,0)</f>
        <v>#N/A</v>
      </c>
      <c r="D1239" s="166">
        <f>VLOOKUP(B1239,'Thống kê'!$C$3:$M$682,4,0)</f>
        <v>0</v>
      </c>
      <c r="E1239" s="167">
        <v>1</v>
      </c>
      <c r="F1239" s="168">
        <f t="shared" si="5"/>
        <v>0</v>
      </c>
      <c r="G1239" s="144"/>
      <c r="H1239" s="372"/>
    </row>
    <row r="1240" spans="1:8" ht="13.2">
      <c r="A1240" s="372"/>
      <c r="B1240" s="28" t="s">
        <v>1387</v>
      </c>
      <c r="C1240" s="143" t="str">
        <f>VLOOKUP(B1240,'Thống kê'!$C$3:$D$669,2,0)</f>
        <v>Móc khoá Crybaby mini Popmart</v>
      </c>
      <c r="D1240" s="166">
        <f>VLOOKUP(B1240,'Thống kê'!$C$3:$M$682,4,0)</f>
        <v>0</v>
      </c>
      <c r="E1240" s="167">
        <v>1</v>
      </c>
      <c r="F1240" s="168">
        <f t="shared" si="5"/>
        <v>0</v>
      </c>
      <c r="G1240" s="144"/>
      <c r="H1240" s="402">
        <v>162347</v>
      </c>
    </row>
    <row r="1241" spans="1:8" ht="13.2">
      <c r="A1241" s="373"/>
      <c r="B1241" s="28" t="s">
        <v>1696</v>
      </c>
      <c r="C1241" s="143" t="str">
        <f>VLOOKUP(B1241,'Thống kê'!$C$3:$D$669,2,0)</f>
        <v>gấu</v>
      </c>
      <c r="D1241" s="166">
        <f>VLOOKUP(B1241,'Thống kê'!$C$3:$M$682,4,0)</f>
        <v>35000</v>
      </c>
      <c r="E1241" s="167">
        <v>1</v>
      </c>
      <c r="F1241" s="168">
        <f t="shared" si="5"/>
        <v>35000</v>
      </c>
      <c r="G1241" s="144"/>
      <c r="H1241" s="372"/>
    </row>
    <row r="1242" spans="1:8" ht="13.2">
      <c r="A1242" s="154"/>
      <c r="B1242" s="28" t="s">
        <v>1822</v>
      </c>
      <c r="C1242" s="143" t="e">
        <f>VLOOKUP(B1242,'Thống kê'!$C$3:$D$669,2,0)</f>
        <v>#N/A</v>
      </c>
      <c r="D1242" s="166" t="e">
        <f>VLOOKUP(B1242,'Thống kê'!$C$3:$M$682,4,0)</f>
        <v>#N/A</v>
      </c>
      <c r="E1242" s="167">
        <v>1</v>
      </c>
      <c r="F1242" s="168" t="e">
        <f t="shared" si="5"/>
        <v>#N/A</v>
      </c>
      <c r="G1242" s="144"/>
      <c r="H1242" s="372"/>
    </row>
    <row r="1243" spans="1:8" ht="13.2">
      <c r="A1243" s="188"/>
      <c r="B1243" s="28" t="s">
        <v>150</v>
      </c>
      <c r="C1243" s="143" t="str">
        <f>VLOOKUP(B1243,'Thống kê'!$C$3:$D$669,2,0)</f>
        <v>Móc khóa có chuông</v>
      </c>
      <c r="D1243" s="166">
        <f>VLOOKUP(B1243,'Thống kê'!$C$3:$M$682,4,0)</f>
        <v>59000</v>
      </c>
      <c r="E1243" s="167">
        <v>1</v>
      </c>
      <c r="F1243" s="168">
        <f t="shared" si="5"/>
        <v>59000</v>
      </c>
      <c r="G1243" s="144"/>
      <c r="H1243" s="175">
        <v>44110</v>
      </c>
    </row>
    <row r="1244" spans="1:8" ht="13.2">
      <c r="A1244" s="188"/>
      <c r="B1244" s="28" t="s">
        <v>1387</v>
      </c>
      <c r="C1244" s="143" t="str">
        <f>VLOOKUP(B1244,'Thống kê'!$C$3:$D$669,2,0)</f>
        <v>Móc khoá Crybaby mini Popmart</v>
      </c>
      <c r="D1244" s="166">
        <f>VLOOKUP(B1244,'Thống kê'!$C$3:$M$682,4,0)</f>
        <v>0</v>
      </c>
      <c r="E1244" s="167">
        <v>1</v>
      </c>
      <c r="F1244" s="168">
        <f t="shared" si="5"/>
        <v>0</v>
      </c>
      <c r="G1244" s="144"/>
      <c r="H1244" s="402">
        <v>155406</v>
      </c>
    </row>
    <row r="1245" spans="1:8" ht="13.2">
      <c r="A1245" s="188"/>
      <c r="B1245" s="28" t="s">
        <v>1389</v>
      </c>
      <c r="C1245" s="143" t="str">
        <f>VLOOKUP(B1245,'Thống kê'!$C$3:$D$669,2,0)</f>
        <v>Móc khoá Crybaby mini Popmart</v>
      </c>
      <c r="D1245" s="166">
        <f>VLOOKUP(B1245,'Thống kê'!$C$3:$M$682,4,0)</f>
        <v>0</v>
      </c>
      <c r="E1245" s="167">
        <v>1</v>
      </c>
      <c r="F1245" s="168">
        <f t="shared" si="5"/>
        <v>0</v>
      </c>
      <c r="G1245" s="144"/>
      <c r="H1245" s="372"/>
    </row>
    <row r="1246" spans="1:8" ht="13.2">
      <c r="A1246" s="188"/>
      <c r="B1246" s="28" t="s">
        <v>234</v>
      </c>
      <c r="C1246" s="143" t="str">
        <f>VLOOKUP(B1246,'Thống kê'!$C$3:$D$669,2,0)</f>
        <v>Móc khoá skullpanda phiên bản mini</v>
      </c>
      <c r="D1246" s="166">
        <f>VLOOKUP(B1246,'Thống kê'!$C$3:$M$682,4,0)</f>
        <v>98000</v>
      </c>
      <c r="E1246" s="167">
        <v>1</v>
      </c>
      <c r="F1246" s="168">
        <f t="shared" si="5"/>
        <v>98000</v>
      </c>
      <c r="G1246" s="144"/>
      <c r="H1246" s="175">
        <v>74955</v>
      </c>
    </row>
    <row r="1247" spans="1:8" ht="13.2">
      <c r="A1247" s="188"/>
      <c r="B1247" s="28" t="s">
        <v>234</v>
      </c>
      <c r="C1247" s="143" t="str">
        <f>VLOOKUP(B1247,'Thống kê'!$C$3:$D$669,2,0)</f>
        <v>Móc khoá skullpanda phiên bản mini</v>
      </c>
      <c r="D1247" s="166">
        <f>VLOOKUP(B1247,'Thống kê'!$C$3:$M$682,4,0)</f>
        <v>98000</v>
      </c>
      <c r="E1247" s="167">
        <v>1</v>
      </c>
      <c r="F1247" s="168">
        <f t="shared" si="5"/>
        <v>98000</v>
      </c>
      <c r="G1247" s="144"/>
      <c r="H1247" s="402">
        <v>229644</v>
      </c>
    </row>
    <row r="1248" spans="1:8" ht="13.2">
      <c r="A1248" s="188"/>
      <c r="B1248" s="28" t="s">
        <v>1384</v>
      </c>
      <c r="C1248" s="143" t="str">
        <f>VLOOKUP(B1248,'Thống kê'!$C$3:$D$669,2,0)</f>
        <v>Móc khoá Crybaby mini Popmart</v>
      </c>
      <c r="D1248" s="166">
        <f>VLOOKUP(B1248,'Thống kê'!$C$3:$M$682,4,0)</f>
        <v>0</v>
      </c>
      <c r="E1248" s="167">
        <v>1</v>
      </c>
      <c r="F1248" s="168">
        <f t="shared" si="5"/>
        <v>0</v>
      </c>
      <c r="G1248" s="144"/>
      <c r="H1248" s="372"/>
    </row>
    <row r="1249" spans="1:8" ht="13.2">
      <c r="A1249" s="188"/>
      <c r="B1249" s="28" t="s">
        <v>1480</v>
      </c>
      <c r="C1249" s="143">
        <f>VLOOKUP(B1249,'Thống kê'!$C$3:$D$669,2,0)</f>
        <v>0</v>
      </c>
      <c r="D1249" s="166">
        <f>VLOOKUP(B1249,'Thống kê'!$C$3:$M$682,4,0)</f>
        <v>0</v>
      </c>
      <c r="E1249" s="167">
        <v>1</v>
      </c>
      <c r="F1249" s="168">
        <f t="shared" si="5"/>
        <v>0</v>
      </c>
      <c r="G1249" s="144"/>
      <c r="H1249" s="372"/>
    </row>
    <row r="1250" spans="1:8" ht="13.2">
      <c r="A1250" s="188"/>
      <c r="B1250" s="28" t="s">
        <v>115</v>
      </c>
      <c r="C1250" s="143" t="str">
        <f>VLOOKUP(B1250,'Thống kê'!$C$3:$D$669,2,0)</f>
        <v>Heo ú</v>
      </c>
      <c r="D1250" s="166">
        <f>VLOOKUP(B1250,'Thống kê'!$C$3:$M$682,4,0)</f>
        <v>59500</v>
      </c>
      <c r="E1250" s="167">
        <v>1</v>
      </c>
      <c r="F1250" s="168">
        <f t="shared" si="5"/>
        <v>59500</v>
      </c>
      <c r="G1250" s="144"/>
      <c r="H1250" s="402">
        <v>100040</v>
      </c>
    </row>
    <row r="1251" spans="1:8" ht="13.8">
      <c r="A1251" s="188"/>
      <c r="B1251" s="203" t="s">
        <v>1591</v>
      </c>
      <c r="C1251" s="143" t="str">
        <f>VLOOKUP(B1251,'Thống kê'!$C$3:$D$669,2,0)</f>
        <v>Thỏ ú</v>
      </c>
      <c r="D1251" s="166">
        <f>VLOOKUP(B1251,'Thống kê'!$C$3:$M$682,4,0)</f>
        <v>59500</v>
      </c>
      <c r="E1251" s="167">
        <v>1</v>
      </c>
      <c r="F1251" s="168">
        <f t="shared" si="5"/>
        <v>59500</v>
      </c>
      <c r="G1251" s="144"/>
      <c r="H1251" s="372"/>
    </row>
    <row r="1252" spans="1:8" ht="13.2">
      <c r="A1252" s="188"/>
      <c r="B1252" s="28" t="s">
        <v>1519</v>
      </c>
      <c r="C1252" s="143" t="e">
        <f>VLOOKUP(B1252,'Thống kê'!$C$3:$D$669,2,0)</f>
        <v>#N/A</v>
      </c>
      <c r="D1252" s="166">
        <f>VLOOKUP(B1252,'Thống kê'!$C$3:$M$682,4,0)</f>
        <v>0</v>
      </c>
      <c r="E1252" s="167">
        <v>1</v>
      </c>
      <c r="F1252" s="168">
        <f t="shared" si="5"/>
        <v>0</v>
      </c>
      <c r="G1252" s="144"/>
      <c r="H1252" s="175">
        <v>52925</v>
      </c>
    </row>
    <row r="1253" spans="1:8" ht="13.2">
      <c r="A1253" s="188"/>
      <c r="B1253" s="28" t="s">
        <v>1424</v>
      </c>
      <c r="C1253" s="143" t="str">
        <f>VLOOKUP(B1253,'Thống kê'!$C$3:$D$669,2,0)</f>
        <v>Móc khoá Crybaby mini Popmart</v>
      </c>
      <c r="D1253" s="166">
        <f>VLOOKUP(B1253,'Thống kê'!$C$3:$M$682,4,0)</f>
        <v>145000</v>
      </c>
      <c r="E1253" s="167">
        <v>1</v>
      </c>
      <c r="F1253" s="168">
        <f t="shared" si="5"/>
        <v>145000</v>
      </c>
      <c r="G1253" s="144"/>
      <c r="H1253" s="175">
        <v>77500</v>
      </c>
    </row>
    <row r="1254" spans="1:8" ht="13.2">
      <c r="A1254" s="188"/>
      <c r="B1254" s="28" t="s">
        <v>1387</v>
      </c>
      <c r="C1254" s="143" t="str">
        <f>VLOOKUP(B1254,'Thống kê'!$C$3:$D$669,2,0)</f>
        <v>Móc khoá Crybaby mini Popmart</v>
      </c>
      <c r="D1254" s="166">
        <f>VLOOKUP(B1254,'Thống kê'!$C$3:$M$682,4,0)</f>
        <v>0</v>
      </c>
      <c r="E1254" s="167">
        <v>1</v>
      </c>
      <c r="F1254" s="168">
        <f t="shared" si="5"/>
        <v>0</v>
      </c>
      <c r="G1254" s="144"/>
      <c r="H1254" s="175">
        <v>77825</v>
      </c>
    </row>
    <row r="1255" spans="1:8" ht="13.2">
      <c r="A1255" s="188"/>
      <c r="B1255" s="28" t="s">
        <v>118</v>
      </c>
      <c r="C1255" s="143" t="e">
        <f>VLOOKUP(B1255,'Thống kê'!$C$3:$D$669,2,0)</f>
        <v>#N/A</v>
      </c>
      <c r="D1255" s="166" t="e">
        <f>VLOOKUP(B1255,'Thống kê'!$C$3:$M$682,4,0)</f>
        <v>#N/A</v>
      </c>
      <c r="E1255" s="167">
        <v>1</v>
      </c>
      <c r="F1255" s="168" t="e">
        <f t="shared" si="5"/>
        <v>#N/A</v>
      </c>
      <c r="G1255" s="144"/>
      <c r="H1255" s="402">
        <v>161252</v>
      </c>
    </row>
    <row r="1256" spans="1:8" ht="13.2">
      <c r="A1256" s="188"/>
      <c r="B1256" s="28" t="s">
        <v>1520</v>
      </c>
      <c r="C1256" s="143" t="e">
        <f>VLOOKUP(B1256,'Thống kê'!$C$3:$D$669,2,0)</f>
        <v>#N/A</v>
      </c>
      <c r="D1256" s="166" t="e">
        <f>VLOOKUP(B1256,'Thống kê'!$C$3:$M$682,4,0)</f>
        <v>#N/A</v>
      </c>
      <c r="E1256" s="167">
        <v>1</v>
      </c>
      <c r="F1256" s="168" t="e">
        <f t="shared" si="5"/>
        <v>#N/A</v>
      </c>
      <c r="G1256" s="144"/>
      <c r="H1256" s="372"/>
    </row>
    <row r="1257" spans="1:8" ht="13.2">
      <c r="A1257" s="189"/>
      <c r="B1257" s="28" t="s">
        <v>135</v>
      </c>
      <c r="C1257" s="143" t="e">
        <f>VLOOKUP(B1257,'Thống kê'!$C$3:$D$669,2,0)</f>
        <v>#N/A</v>
      </c>
      <c r="D1257" s="166" t="e">
        <f>VLOOKUP(B1257,'Thống kê'!$C$3:$M$682,4,0)</f>
        <v>#N/A</v>
      </c>
      <c r="E1257" s="167">
        <v>1</v>
      </c>
      <c r="F1257" s="168" t="e">
        <f t="shared" si="5"/>
        <v>#N/A</v>
      </c>
      <c r="G1257" s="144"/>
      <c r="H1257" s="372"/>
    </row>
    <row r="1258" spans="1:8" ht="13.2">
      <c r="A1258" s="154"/>
      <c r="B1258" s="28" t="s">
        <v>85</v>
      </c>
      <c r="C1258" s="143" t="e">
        <f>VLOOKUP(B1258,'Thống kê'!$C$3:$D$669,2,0)</f>
        <v>#N/A</v>
      </c>
      <c r="D1258" s="166">
        <f>VLOOKUP(B1258,'Thống kê'!$C$3:$M$682,4,0)</f>
        <v>0</v>
      </c>
      <c r="E1258" s="167">
        <v>1</v>
      </c>
      <c r="F1258" s="168">
        <f t="shared" si="5"/>
        <v>0</v>
      </c>
      <c r="G1258" s="144"/>
      <c r="H1258" s="175">
        <v>59654</v>
      </c>
    </row>
    <row r="1259" spans="1:8" ht="13.2">
      <c r="A1259" s="188"/>
      <c r="B1259" s="28" t="s">
        <v>118</v>
      </c>
      <c r="C1259" s="143" t="e">
        <f>VLOOKUP(B1259,'Thống kê'!$C$3:$D$669,2,0)</f>
        <v>#N/A</v>
      </c>
      <c r="D1259" s="166" t="e">
        <f>VLOOKUP(B1259,'Thống kê'!$C$3:$M$682,4,0)</f>
        <v>#N/A</v>
      </c>
      <c r="E1259" s="167">
        <v>1</v>
      </c>
      <c r="F1259" s="168" t="e">
        <f t="shared" si="5"/>
        <v>#N/A</v>
      </c>
      <c r="G1259" s="144"/>
      <c r="H1259" s="175">
        <v>53675</v>
      </c>
    </row>
    <row r="1260" spans="1:8" ht="13.2">
      <c r="A1260" s="188"/>
      <c r="B1260" s="28" t="s">
        <v>234</v>
      </c>
      <c r="C1260" s="143" t="str">
        <f>VLOOKUP(B1260,'Thống kê'!$C$3:$D$669,2,0)</f>
        <v>Móc khoá skullpanda phiên bản mini</v>
      </c>
      <c r="D1260" s="166">
        <f>VLOOKUP(B1260,'Thống kê'!$C$3:$M$682,4,0)</f>
        <v>98000</v>
      </c>
      <c r="E1260" s="167">
        <v>1</v>
      </c>
      <c r="F1260" s="168">
        <f t="shared" si="5"/>
        <v>98000</v>
      </c>
      <c r="G1260" s="144"/>
      <c r="H1260" s="175">
        <v>75030</v>
      </c>
    </row>
    <row r="1261" spans="1:8" ht="13.2">
      <c r="A1261" s="188"/>
      <c r="B1261" s="28" t="s">
        <v>1761</v>
      </c>
      <c r="C1261" s="143">
        <f>VLOOKUP(B1261,'Thống kê'!$C$3:$D$669,2,0)</f>
        <v>0</v>
      </c>
      <c r="D1261" s="166">
        <f>VLOOKUP(B1261,'Thống kê'!$C$3:$M$682,4,0)</f>
        <v>0</v>
      </c>
      <c r="E1261" s="167">
        <v>1</v>
      </c>
      <c r="F1261" s="168">
        <f t="shared" si="5"/>
        <v>0</v>
      </c>
      <c r="G1261" s="144"/>
      <c r="H1261" s="175">
        <v>68535</v>
      </c>
    </row>
    <row r="1262" spans="1:8" ht="13.2">
      <c r="A1262" s="188"/>
      <c r="B1262" s="28" t="s">
        <v>245</v>
      </c>
      <c r="C1262" s="143" t="str">
        <f>VLOOKUP(B1262,'Thống kê'!$C$3:$D$669,2,0)</f>
        <v>Móc khóa Popbean</v>
      </c>
      <c r="D1262" s="166">
        <f>VLOOKUP(B1262,'Thống kê'!$C$3:$M$682,4,0)</f>
        <v>148000</v>
      </c>
      <c r="E1262" s="167">
        <v>1</v>
      </c>
      <c r="F1262" s="168">
        <f t="shared" si="5"/>
        <v>148000</v>
      </c>
      <c r="G1262" s="144"/>
      <c r="H1262" s="175">
        <v>135300</v>
      </c>
    </row>
    <row r="1263" spans="1:8" ht="13.2">
      <c r="A1263" s="188"/>
      <c r="B1263" s="28" t="s">
        <v>1384</v>
      </c>
      <c r="C1263" s="143" t="str">
        <f>VLOOKUP(B1263,'Thống kê'!$C$3:$D$669,2,0)</f>
        <v>Móc khoá Crybaby mini Popmart</v>
      </c>
      <c r="D1263" s="166">
        <f>VLOOKUP(B1263,'Thống kê'!$C$3:$M$682,4,0)</f>
        <v>0</v>
      </c>
      <c r="E1263" s="167">
        <v>1</v>
      </c>
      <c r="F1263" s="168">
        <f t="shared" si="5"/>
        <v>0</v>
      </c>
      <c r="G1263" s="144"/>
      <c r="H1263" s="175">
        <v>77000</v>
      </c>
    </row>
    <row r="1264" spans="1:8" ht="13.2">
      <c r="A1264" s="189"/>
      <c r="B1264" s="28" t="s">
        <v>1210</v>
      </c>
      <c r="C1264" s="143" t="str">
        <f>VLOOKUP(B1264,'Thống kê'!$C$3:$D$669,2,0)</f>
        <v>Shiba ú cầm hoa</v>
      </c>
      <c r="D1264" s="166">
        <f>VLOOKUP(B1264,'Thống kê'!$C$3:$M$682,4,0)</f>
        <v>64500</v>
      </c>
      <c r="E1264" s="167">
        <v>1</v>
      </c>
      <c r="F1264" s="168">
        <f t="shared" si="5"/>
        <v>64500</v>
      </c>
      <c r="G1264" s="144"/>
      <c r="H1264" s="175">
        <v>51683</v>
      </c>
    </row>
    <row r="1265" spans="1:8" ht="13.2">
      <c r="A1265" s="154"/>
      <c r="B1265" s="28" t="s">
        <v>1761</v>
      </c>
      <c r="C1265" s="143">
        <f>VLOOKUP(B1265,'Thống kê'!$C$3:$D$669,2,0)</f>
        <v>0</v>
      </c>
      <c r="D1265" s="166">
        <f>VLOOKUP(B1265,'Thống kê'!$C$3:$M$682,4,0)</f>
        <v>0</v>
      </c>
      <c r="E1265" s="167">
        <v>2</v>
      </c>
      <c r="F1265" s="168">
        <f t="shared" si="5"/>
        <v>0</v>
      </c>
      <c r="G1265" s="144"/>
      <c r="H1265" s="175">
        <v>149240</v>
      </c>
    </row>
    <row r="1266" spans="1:8" ht="13.2">
      <c r="A1266" s="188"/>
      <c r="B1266" s="28" t="s">
        <v>1660</v>
      </c>
      <c r="C1266" s="143" t="str">
        <f>VLOOKUP(B1266,'Thống kê'!$C$3:$D$669,2,0)</f>
        <v>Móc khóa Popbean Skull Panda</v>
      </c>
      <c r="D1266" s="166">
        <f>VLOOKUP(B1266,'Thống kê'!$C$3:$M$682,4,0)</f>
        <v>155000</v>
      </c>
      <c r="E1266" s="167">
        <v>1</v>
      </c>
      <c r="F1266" s="168">
        <f t="shared" si="5"/>
        <v>155000</v>
      </c>
      <c r="G1266" s="144"/>
      <c r="H1266" s="402">
        <v>283395</v>
      </c>
    </row>
    <row r="1267" spans="1:8" ht="13.2">
      <c r="A1267" s="188"/>
      <c r="B1267" s="28" t="s">
        <v>1387</v>
      </c>
      <c r="C1267" s="143" t="str">
        <f>VLOOKUP(B1267,'Thống kê'!$C$3:$D$669,2,0)</f>
        <v>Móc khoá Crybaby mini Popmart</v>
      </c>
      <c r="D1267" s="166">
        <f>VLOOKUP(B1267,'Thống kê'!$C$3:$M$682,4,0)</f>
        <v>0</v>
      </c>
      <c r="E1267" s="167">
        <v>1</v>
      </c>
      <c r="F1267" s="168">
        <f t="shared" si="5"/>
        <v>0</v>
      </c>
      <c r="G1267" s="144"/>
      <c r="H1267" s="372"/>
    </row>
    <row r="1268" spans="1:8" ht="13.2">
      <c r="A1268" s="188"/>
      <c r="B1268" s="28" t="s">
        <v>1386</v>
      </c>
      <c r="C1268" s="143" t="str">
        <f>VLOOKUP(B1268,'Thống kê'!$C$3:$D$669,2,0)</f>
        <v>Móc khoá Crybaby mini Popmart</v>
      </c>
      <c r="D1268" s="166">
        <f>VLOOKUP(B1268,'Thống kê'!$C$3:$M$682,4,0)</f>
        <v>0</v>
      </c>
      <c r="E1268" s="167">
        <v>1</v>
      </c>
      <c r="F1268" s="168">
        <f t="shared" si="5"/>
        <v>0</v>
      </c>
      <c r="G1268" s="144"/>
      <c r="H1268" s="372"/>
    </row>
    <row r="1269" spans="1:8" ht="13.2">
      <c r="A1269" s="188"/>
      <c r="B1269" s="28" t="s">
        <v>233</v>
      </c>
      <c r="C1269" s="143" t="e">
        <f>VLOOKUP(B1269,'Thống kê'!$C$3:$D$669,2,0)</f>
        <v>#N/A</v>
      </c>
      <c r="D1269" s="166">
        <f>VLOOKUP(B1269,'Thống kê'!$C$3:$M$682,4,0)</f>
        <v>0</v>
      </c>
      <c r="E1269" s="167">
        <v>1</v>
      </c>
      <c r="F1269" s="168">
        <f t="shared" si="5"/>
        <v>0</v>
      </c>
      <c r="G1269" s="144"/>
      <c r="H1269" s="372"/>
    </row>
    <row r="1270" spans="1:8" ht="13.2">
      <c r="A1270" s="188">
        <v>45725</v>
      </c>
      <c r="B1270" s="28" t="s">
        <v>176</v>
      </c>
      <c r="C1270" s="143" t="e">
        <f>VLOOKUP(B1270,'Thống kê'!$C$3:$D$669,2,0)</f>
        <v>#N/A</v>
      </c>
      <c r="D1270" s="166">
        <f>VLOOKUP(B1270,'Thống kê'!$C$3:$M$682,4,0)</f>
        <v>0</v>
      </c>
      <c r="E1270" s="167">
        <v>1</v>
      </c>
      <c r="F1270" s="168">
        <f t="shared" si="5"/>
        <v>0</v>
      </c>
      <c r="G1270" s="144"/>
      <c r="H1270" s="402">
        <v>137144</v>
      </c>
    </row>
    <row r="1271" spans="1:8" ht="13.2">
      <c r="A1271" s="188"/>
      <c r="B1271" s="28" t="s">
        <v>196</v>
      </c>
      <c r="C1271" s="143">
        <f>VLOOKUP(B1271,'Thống kê'!$C$3:$D$669,2,0)</f>
        <v>0</v>
      </c>
      <c r="D1271" s="166">
        <f>VLOOKUP(B1271,'Thống kê'!$C$3:$M$682,4,0)</f>
        <v>0</v>
      </c>
      <c r="E1271" s="167">
        <v>1</v>
      </c>
      <c r="F1271" s="168">
        <f t="shared" si="5"/>
        <v>0</v>
      </c>
      <c r="G1271" s="144"/>
      <c r="H1271" s="372"/>
    </row>
    <row r="1272" spans="1:8" ht="13.2">
      <c r="A1272" s="188"/>
      <c r="B1272" s="28" t="s">
        <v>1525</v>
      </c>
      <c r="C1272" s="143" t="e">
        <f>VLOOKUP(B1272,'Thống kê'!$C$3:$D$669,2,0)</f>
        <v>#N/A</v>
      </c>
      <c r="D1272" s="166" t="e">
        <f>VLOOKUP(B1272,'Thống kê'!$C$3:$M$682,4,0)</f>
        <v>#N/A</v>
      </c>
      <c r="E1272" s="167">
        <v>1</v>
      </c>
      <c r="F1272" s="168" t="e">
        <f t="shared" si="5"/>
        <v>#N/A</v>
      </c>
      <c r="G1272" s="144"/>
      <c r="H1272" s="402">
        <v>123000</v>
      </c>
    </row>
    <row r="1273" spans="1:8" ht="13.2">
      <c r="A1273" s="188"/>
      <c r="B1273" s="28" t="s">
        <v>196</v>
      </c>
      <c r="C1273" s="143">
        <f>VLOOKUP(B1273,'Thống kê'!$C$3:$D$669,2,0)</f>
        <v>0</v>
      </c>
      <c r="D1273" s="166">
        <f>VLOOKUP(B1273,'Thống kê'!$C$3:$M$682,4,0)</f>
        <v>0</v>
      </c>
      <c r="E1273" s="167">
        <v>1</v>
      </c>
      <c r="F1273" s="168">
        <f t="shared" si="5"/>
        <v>0</v>
      </c>
      <c r="G1273" s="144"/>
      <c r="H1273" s="372"/>
    </row>
    <row r="1274" spans="1:8" ht="13.2">
      <c r="A1274" s="188"/>
      <c r="B1274" s="28" t="s">
        <v>258</v>
      </c>
      <c r="C1274" s="143" t="str">
        <f>VLOOKUP(B1274,'Thống kê'!$C$3:$D$669,2,0)</f>
        <v>Móc khoá Crybaby mini Popmart</v>
      </c>
      <c r="D1274" s="166">
        <f>VLOOKUP(B1274,'Thống kê'!$C$3:$M$682,4,0)</f>
        <v>0</v>
      </c>
      <c r="E1274" s="167">
        <v>1</v>
      </c>
      <c r="F1274" s="168">
        <f t="shared" si="5"/>
        <v>0</v>
      </c>
      <c r="G1274" s="144"/>
      <c r="H1274" s="175">
        <v>77250</v>
      </c>
    </row>
    <row r="1275" spans="1:8" ht="13.2">
      <c r="A1275" s="188"/>
      <c r="B1275" s="28" t="s">
        <v>119</v>
      </c>
      <c r="C1275" s="143" t="str">
        <f>VLOOKUP(B1275,'Thống kê'!$C$3:$D$669,2,0)</f>
        <v>Thỏ chạy xe gắn xe</v>
      </c>
      <c r="D1275" s="166">
        <f>VLOOKUP(B1275,'Thống kê'!$C$3:$M$682,4,0)</f>
        <v>45000</v>
      </c>
      <c r="E1275" s="167">
        <v>1</v>
      </c>
      <c r="F1275" s="168">
        <f t="shared" si="5"/>
        <v>45000</v>
      </c>
      <c r="G1275" s="144"/>
      <c r="H1275" s="175">
        <v>30380</v>
      </c>
    </row>
    <row r="1276" spans="1:8" ht="13.2">
      <c r="A1276" s="188"/>
      <c r="B1276" s="28" t="s">
        <v>230</v>
      </c>
      <c r="C1276" s="143" t="str">
        <f>VLOOKUP(B1276,'Thống kê'!$C$3:$D$669,2,0)</f>
        <v>Móc khoá Crybaby mini Popmart</v>
      </c>
      <c r="D1276" s="166">
        <f>VLOOKUP(B1276,'Thống kê'!$C$3:$M$682,4,0)</f>
        <v>0</v>
      </c>
      <c r="E1276" s="167">
        <v>1</v>
      </c>
      <c r="F1276" s="168">
        <f t="shared" si="5"/>
        <v>0</v>
      </c>
      <c r="G1276" s="144"/>
      <c r="H1276" s="402">
        <v>154756</v>
      </c>
    </row>
    <row r="1277" spans="1:8" ht="13.2">
      <c r="A1277" s="188"/>
      <c r="B1277" s="28" t="s">
        <v>1384</v>
      </c>
      <c r="C1277" s="143" t="str">
        <f>VLOOKUP(B1277,'Thống kê'!$C$3:$D$669,2,0)</f>
        <v>Móc khoá Crybaby mini Popmart</v>
      </c>
      <c r="D1277" s="166">
        <f>VLOOKUP(B1277,'Thống kê'!$C$3:$M$682,4,0)</f>
        <v>0</v>
      </c>
      <c r="E1277" s="167">
        <v>1</v>
      </c>
      <c r="F1277" s="168">
        <f t="shared" si="5"/>
        <v>0</v>
      </c>
      <c r="G1277" s="144"/>
      <c r="H1277" s="372"/>
    </row>
    <row r="1278" spans="1:8" ht="13.2">
      <c r="A1278" s="188"/>
      <c r="B1278" s="28" t="s">
        <v>1388</v>
      </c>
      <c r="C1278" s="143" t="str">
        <f>VLOOKUP(B1278,'Thống kê'!$C$3:$D$669,2,0)</f>
        <v>Móc khoá Crybaby mini Popmart</v>
      </c>
      <c r="D1278" s="166">
        <f>VLOOKUP(B1278,'Thống kê'!$C$3:$M$682,4,0)</f>
        <v>0</v>
      </c>
      <c r="E1278" s="167">
        <v>1</v>
      </c>
      <c r="F1278" s="168">
        <f t="shared" si="5"/>
        <v>0</v>
      </c>
      <c r="G1278" s="144"/>
      <c r="H1278" s="175">
        <v>76790</v>
      </c>
    </row>
    <row r="1279" spans="1:8" ht="13.2">
      <c r="A1279" s="188"/>
      <c r="B1279" s="28" t="s">
        <v>1382</v>
      </c>
      <c r="C1279" s="143" t="str">
        <f>VLOOKUP(B1279,'Thống kê'!$C$3:$D$669,2,0)</f>
        <v>miếng dán silicon điện thoại</v>
      </c>
      <c r="D1279" s="166">
        <f>VLOOKUP(B1279,'Thống kê'!$C$3:$M$682,4,0)</f>
        <v>0</v>
      </c>
      <c r="E1279" s="167">
        <v>1</v>
      </c>
      <c r="F1279" s="168">
        <f t="shared" si="5"/>
        <v>0</v>
      </c>
      <c r="G1279" s="144"/>
      <c r="H1279" s="402">
        <v>106502</v>
      </c>
    </row>
    <row r="1280" spans="1:8" ht="13.2">
      <c r="A1280" s="188"/>
      <c r="B1280" s="28" t="s">
        <v>196</v>
      </c>
      <c r="C1280" s="143">
        <f>VLOOKUP(B1280,'Thống kê'!$C$3:$D$669,2,0)</f>
        <v>0</v>
      </c>
      <c r="D1280" s="166">
        <f>VLOOKUP(B1280,'Thống kê'!$C$3:$M$682,4,0)</f>
        <v>0</v>
      </c>
      <c r="E1280" s="167">
        <v>1</v>
      </c>
      <c r="F1280" s="168">
        <f t="shared" si="5"/>
        <v>0</v>
      </c>
      <c r="G1280" s="144"/>
      <c r="H1280" s="372"/>
    </row>
    <row r="1281" spans="1:8" ht="13.2">
      <c r="A1281" s="188"/>
      <c r="B1281" s="28" t="s">
        <v>118</v>
      </c>
      <c r="C1281" s="143" t="e">
        <f>VLOOKUP(B1281,'Thống kê'!$C$3:$D$669,2,0)</f>
        <v>#N/A</v>
      </c>
      <c r="D1281" s="166" t="e">
        <f>VLOOKUP(B1281,'Thống kê'!$C$3:$M$682,4,0)</f>
        <v>#N/A</v>
      </c>
      <c r="E1281" s="167">
        <v>1</v>
      </c>
      <c r="F1281" s="168" t="e">
        <f t="shared" si="5"/>
        <v>#N/A</v>
      </c>
      <c r="G1281" s="144"/>
      <c r="H1281" s="402">
        <v>110290</v>
      </c>
    </row>
    <row r="1282" spans="1:8" ht="13.2">
      <c r="A1282" s="188"/>
      <c r="B1282" s="28" t="s">
        <v>135</v>
      </c>
      <c r="C1282" s="143" t="e">
        <f>VLOOKUP(B1282,'Thống kê'!$C$3:$D$669,2,0)</f>
        <v>#N/A</v>
      </c>
      <c r="D1282" s="166" t="e">
        <f>VLOOKUP(B1282,'Thống kê'!$C$3:$M$682,4,0)</f>
        <v>#N/A</v>
      </c>
      <c r="E1282" s="167">
        <v>1</v>
      </c>
      <c r="F1282" s="168" t="e">
        <f t="shared" si="5"/>
        <v>#N/A</v>
      </c>
      <c r="G1282" s="144"/>
      <c r="H1282" s="372"/>
    </row>
    <row r="1283" spans="1:8" ht="13.2">
      <c r="A1283" s="188"/>
      <c r="B1283" s="28" t="s">
        <v>234</v>
      </c>
      <c r="C1283" s="143" t="str">
        <f>VLOOKUP(B1283,'Thống kê'!$C$3:$D$669,2,0)</f>
        <v>Móc khoá skullpanda phiên bản mini</v>
      </c>
      <c r="D1283" s="166">
        <f>VLOOKUP(B1283,'Thống kê'!$C$3:$M$682,4,0)</f>
        <v>98000</v>
      </c>
      <c r="E1283" s="167">
        <v>1</v>
      </c>
      <c r="F1283" s="168">
        <f t="shared" si="5"/>
        <v>98000</v>
      </c>
      <c r="G1283" s="144"/>
      <c r="H1283" s="175">
        <v>74155</v>
      </c>
    </row>
    <row r="1284" spans="1:8" ht="13.2">
      <c r="A1284" s="188"/>
      <c r="B1284" s="28" t="s">
        <v>118</v>
      </c>
      <c r="C1284" s="143" t="e">
        <f>VLOOKUP(B1284,'Thống kê'!$C$3:$D$669,2,0)</f>
        <v>#N/A</v>
      </c>
      <c r="D1284" s="166" t="e">
        <f>VLOOKUP(B1284,'Thống kê'!$C$3:$M$682,4,0)</f>
        <v>#N/A</v>
      </c>
      <c r="E1284" s="167">
        <v>1</v>
      </c>
      <c r="F1284" s="168" t="e">
        <f t="shared" si="5"/>
        <v>#N/A</v>
      </c>
      <c r="G1284" s="144"/>
      <c r="H1284" s="175">
        <v>52375</v>
      </c>
    </row>
    <row r="1285" spans="1:8" ht="13.2">
      <c r="A1285" s="188"/>
      <c r="B1285" s="28" t="s">
        <v>1779</v>
      </c>
      <c r="C1285" s="143">
        <f>VLOOKUP(B1285,'Thống kê'!$C$3:$D$669,2,0)</f>
        <v>0</v>
      </c>
      <c r="D1285" s="166">
        <f>VLOOKUP(B1285,'Thống kê'!$C$3:$M$682,4,0)</f>
        <v>0</v>
      </c>
      <c r="E1285" s="167">
        <v>1</v>
      </c>
      <c r="F1285" s="168">
        <f t="shared" si="5"/>
        <v>0</v>
      </c>
      <c r="G1285" s="144"/>
      <c r="H1285" s="402">
        <v>154840</v>
      </c>
    </row>
    <row r="1286" spans="1:8" ht="13.2">
      <c r="A1286" s="189"/>
      <c r="B1286" s="28" t="s">
        <v>96</v>
      </c>
      <c r="C1286" s="143" t="e">
        <f>VLOOKUP(B1286,'Thống kê'!$C$3:$D$669,2,0)</f>
        <v>#N/A</v>
      </c>
      <c r="D1286" s="166">
        <f>VLOOKUP(B1286,'Thống kê'!$C$3:$M$682,4,0)</f>
        <v>0</v>
      </c>
      <c r="E1286" s="167">
        <v>1</v>
      </c>
      <c r="F1286" s="168">
        <f t="shared" si="5"/>
        <v>0</v>
      </c>
      <c r="G1286" s="144"/>
      <c r="H1286" s="372"/>
    </row>
    <row r="1287" spans="1:8" ht="13.2">
      <c r="A1287" s="154"/>
      <c r="B1287" s="28" t="s">
        <v>234</v>
      </c>
      <c r="C1287" s="143" t="str">
        <f>VLOOKUP(B1287,'Thống kê'!$C$3:$D$669,2,0)</f>
        <v>Móc khoá skullpanda phiên bản mini</v>
      </c>
      <c r="D1287" s="166">
        <f>VLOOKUP(B1287,'Thống kê'!$C$3:$M$682,4,0)</f>
        <v>98000</v>
      </c>
      <c r="E1287" s="167">
        <v>1</v>
      </c>
      <c r="F1287" s="168">
        <f t="shared" si="5"/>
        <v>98000</v>
      </c>
      <c r="G1287" s="144"/>
      <c r="H1287" s="175">
        <v>73430</v>
      </c>
    </row>
    <row r="1288" spans="1:8" ht="13.2">
      <c r="A1288" s="188"/>
      <c r="B1288" s="28" t="s">
        <v>1384</v>
      </c>
      <c r="C1288" s="143" t="str">
        <f>VLOOKUP(B1288,'Thống kê'!$C$3:$D$669,2,0)</f>
        <v>Móc khoá Crybaby mini Popmart</v>
      </c>
      <c r="D1288" s="166">
        <f>VLOOKUP(B1288,'Thống kê'!$C$3:$M$682,4,0)</f>
        <v>0</v>
      </c>
      <c r="E1288" s="167">
        <v>1</v>
      </c>
      <c r="F1288" s="168">
        <f t="shared" si="5"/>
        <v>0</v>
      </c>
      <c r="G1288" s="144"/>
      <c r="H1288" s="175">
        <v>77515</v>
      </c>
    </row>
    <row r="1289" spans="1:8" ht="13.2">
      <c r="A1289" s="188"/>
      <c r="B1289" s="28" t="s">
        <v>1382</v>
      </c>
      <c r="C1289" s="143" t="str">
        <f>VLOOKUP(B1289,'Thống kê'!$C$3:$D$669,2,0)</f>
        <v>miếng dán silicon điện thoại</v>
      </c>
      <c r="D1289" s="166">
        <f>VLOOKUP(B1289,'Thống kê'!$C$3:$M$682,4,0)</f>
        <v>0</v>
      </c>
      <c r="E1289" s="167">
        <v>1</v>
      </c>
      <c r="F1289" s="168">
        <f t="shared" si="5"/>
        <v>0</v>
      </c>
      <c r="G1289" s="144"/>
      <c r="H1289" s="402">
        <v>73702</v>
      </c>
    </row>
    <row r="1290" spans="1:8" ht="13.2">
      <c r="A1290" s="188"/>
      <c r="B1290" s="28" t="s">
        <v>238</v>
      </c>
      <c r="C1290" s="143" t="e">
        <f>VLOOKUP(B1290,'Thống kê'!$C$3:$D$669,2,0)</f>
        <v>#N/A</v>
      </c>
      <c r="D1290" s="166">
        <f>VLOOKUP(B1290,'Thống kê'!$C$3:$M$682,4,0)</f>
        <v>0</v>
      </c>
      <c r="E1290" s="167">
        <v>1</v>
      </c>
      <c r="F1290" s="168">
        <f t="shared" si="5"/>
        <v>0</v>
      </c>
      <c r="G1290" s="144"/>
      <c r="H1290" s="372"/>
    </row>
    <row r="1291" spans="1:8" ht="13.2">
      <c r="A1291" s="188"/>
      <c r="B1291" s="28" t="s">
        <v>1384</v>
      </c>
      <c r="C1291" s="143" t="str">
        <f>VLOOKUP(B1291,'Thống kê'!$C$3:$D$669,2,0)</f>
        <v>Móc khoá Crybaby mini Popmart</v>
      </c>
      <c r="D1291" s="166">
        <f>VLOOKUP(B1291,'Thống kê'!$C$3:$M$682,4,0)</f>
        <v>0</v>
      </c>
      <c r="E1291" s="167">
        <v>1</v>
      </c>
      <c r="F1291" s="168">
        <f t="shared" si="5"/>
        <v>0</v>
      </c>
      <c r="G1291" s="144"/>
      <c r="H1291" s="175">
        <v>77900</v>
      </c>
    </row>
    <row r="1292" spans="1:8" ht="13.2">
      <c r="A1292" s="188"/>
      <c r="B1292" s="28" t="s">
        <v>262</v>
      </c>
      <c r="C1292" s="143" t="str">
        <f>VLOOKUP(B1292,'Thống kê'!$C$3:$D$669,2,0)</f>
        <v>Pop Bean Baked Bread</v>
      </c>
      <c r="D1292" s="166">
        <f>VLOOKUP(B1292,'Thống kê'!$C$3:$M$682,4,0)</f>
        <v>167000</v>
      </c>
      <c r="E1292" s="167">
        <v>1</v>
      </c>
      <c r="F1292" s="168">
        <f t="shared" si="5"/>
        <v>167000</v>
      </c>
      <c r="G1292" s="144"/>
      <c r="H1292" s="175">
        <v>154560</v>
      </c>
    </row>
    <row r="1293" spans="1:8" ht="13.2">
      <c r="A1293" s="188"/>
      <c r="B1293" s="28" t="s">
        <v>1382</v>
      </c>
      <c r="C1293" s="143" t="str">
        <f>VLOOKUP(B1293,'Thống kê'!$C$3:$D$669,2,0)</f>
        <v>miếng dán silicon điện thoại</v>
      </c>
      <c r="D1293" s="166">
        <f>VLOOKUP(B1293,'Thống kê'!$C$3:$M$682,4,0)</f>
        <v>0</v>
      </c>
      <c r="E1293" s="167">
        <v>2</v>
      </c>
      <c r="F1293" s="168">
        <f t="shared" si="5"/>
        <v>0</v>
      </c>
      <c r="G1293" s="144"/>
      <c r="H1293" s="402">
        <v>72170</v>
      </c>
    </row>
    <row r="1294" spans="1:8" ht="13.2">
      <c r="A1294" s="188"/>
      <c r="B1294" s="28" t="s">
        <v>191</v>
      </c>
      <c r="C1294" s="143" t="e">
        <f>VLOOKUP(B1294,'Thống kê'!$C$3:$D$669,2,0)</f>
        <v>#N/A</v>
      </c>
      <c r="D1294" s="166">
        <f>VLOOKUP(B1294,'Thống kê'!$C$3:$M$682,4,0)</f>
        <v>0</v>
      </c>
      <c r="E1294" s="167">
        <v>1</v>
      </c>
      <c r="F1294" s="168">
        <f t="shared" si="5"/>
        <v>0</v>
      </c>
      <c r="G1294" s="144"/>
      <c r="H1294" s="372"/>
    </row>
    <row r="1295" spans="1:8" ht="13.2">
      <c r="A1295" s="188"/>
      <c r="B1295" s="28" t="s">
        <v>1387</v>
      </c>
      <c r="C1295" s="143" t="str">
        <f>VLOOKUP(B1295,'Thống kê'!$C$3:$D$669,2,0)</f>
        <v>Móc khoá Crybaby mini Popmart</v>
      </c>
      <c r="D1295" s="166">
        <f>VLOOKUP(B1295,'Thống kê'!$C$3:$M$682,4,0)</f>
        <v>0</v>
      </c>
      <c r="E1295" s="167">
        <v>1</v>
      </c>
      <c r="F1295" s="168">
        <f t="shared" si="5"/>
        <v>0</v>
      </c>
      <c r="G1295" s="144"/>
      <c r="H1295" s="175">
        <v>77900</v>
      </c>
    </row>
    <row r="1296" spans="1:8" ht="13.2">
      <c r="A1296" s="188"/>
      <c r="B1296" s="28" t="s">
        <v>115</v>
      </c>
      <c r="C1296" s="143" t="str">
        <f>VLOOKUP(B1296,'Thống kê'!$C$3:$D$669,2,0)</f>
        <v>Heo ú</v>
      </c>
      <c r="D1296" s="166">
        <f>VLOOKUP(B1296,'Thống kê'!$C$3:$M$682,4,0)</f>
        <v>59500</v>
      </c>
      <c r="E1296" s="167">
        <v>1</v>
      </c>
      <c r="F1296" s="168">
        <f t="shared" si="5"/>
        <v>59500</v>
      </c>
      <c r="G1296" s="144"/>
      <c r="H1296" s="402">
        <v>77045</v>
      </c>
    </row>
    <row r="1297" spans="1:8" ht="13.2">
      <c r="A1297" s="188"/>
      <c r="B1297" s="28" t="s">
        <v>119</v>
      </c>
      <c r="C1297" s="143" t="str">
        <f>VLOOKUP(B1297,'Thống kê'!$C$3:$D$669,2,0)</f>
        <v>Thỏ chạy xe gắn xe</v>
      </c>
      <c r="D1297" s="166">
        <f>VLOOKUP(B1297,'Thống kê'!$C$3:$M$682,4,0)</f>
        <v>45000</v>
      </c>
      <c r="E1297" s="167">
        <v>1</v>
      </c>
      <c r="F1297" s="168">
        <f t="shared" si="5"/>
        <v>45000</v>
      </c>
      <c r="G1297" s="144"/>
      <c r="H1297" s="372"/>
    </row>
    <row r="1298" spans="1:8" ht="13.2">
      <c r="A1298" s="188"/>
      <c r="B1298" s="28" t="s">
        <v>234</v>
      </c>
      <c r="C1298" s="143" t="str">
        <f>VLOOKUP(B1298,'Thống kê'!$C$3:$D$669,2,0)</f>
        <v>Móc khoá skullpanda phiên bản mini</v>
      </c>
      <c r="D1298" s="166">
        <f>VLOOKUP(B1298,'Thống kê'!$C$3:$M$682,4,0)</f>
        <v>98000</v>
      </c>
      <c r="E1298" s="167">
        <v>1</v>
      </c>
      <c r="F1298" s="168">
        <f t="shared" si="5"/>
        <v>98000</v>
      </c>
      <c r="G1298" s="144"/>
      <c r="H1298" s="402">
        <v>97423</v>
      </c>
    </row>
    <row r="1299" spans="1:8" ht="13.2">
      <c r="A1299" s="188"/>
      <c r="B1299" s="28" t="s">
        <v>1690</v>
      </c>
      <c r="C1299" s="143">
        <f>VLOOKUP(B1299,'Thống kê'!$C$3:$D$669,2,0)</f>
        <v>0</v>
      </c>
      <c r="D1299" s="166">
        <f>VLOOKUP(B1299,'Thống kê'!$C$3:$M$682,4,0)</f>
        <v>0</v>
      </c>
      <c r="E1299" s="167">
        <v>1</v>
      </c>
      <c r="F1299" s="168">
        <f t="shared" si="5"/>
        <v>0</v>
      </c>
      <c r="G1299" s="144"/>
      <c r="H1299" s="372"/>
    </row>
    <row r="1300" spans="1:8" ht="13.2">
      <c r="A1300" s="188"/>
      <c r="B1300" s="28" t="s">
        <v>125</v>
      </c>
      <c r="C1300" s="143" t="e">
        <f>VLOOKUP(B1300,'Thống kê'!$C$3:$D$669,2,0)</f>
        <v>#N/A</v>
      </c>
      <c r="D1300" s="166">
        <f>VLOOKUP(B1300,'Thống kê'!$C$3:$M$682,4,0)</f>
        <v>0</v>
      </c>
      <c r="E1300" s="167">
        <v>1</v>
      </c>
      <c r="F1300" s="168">
        <f t="shared" si="5"/>
        <v>0</v>
      </c>
      <c r="G1300" s="144"/>
      <c r="H1300" s="175">
        <v>55755</v>
      </c>
    </row>
    <row r="1301" spans="1:8" ht="13.2">
      <c r="A1301" s="188"/>
      <c r="B1301" s="28" t="s">
        <v>262</v>
      </c>
      <c r="C1301" s="143" t="str">
        <f>VLOOKUP(B1301,'Thống kê'!$C$3:$D$669,2,0)</f>
        <v>Pop Bean Baked Bread</v>
      </c>
      <c r="D1301" s="166">
        <f>VLOOKUP(B1301,'Thống kê'!$C$3:$M$682,4,0)</f>
        <v>167000</v>
      </c>
      <c r="E1301" s="167">
        <v>1</v>
      </c>
      <c r="F1301" s="168">
        <f t="shared" si="5"/>
        <v>167000</v>
      </c>
      <c r="G1301" s="144"/>
      <c r="H1301" s="402">
        <v>626952</v>
      </c>
    </row>
    <row r="1302" spans="1:8" ht="13.2">
      <c r="A1302" s="188"/>
      <c r="B1302" s="28" t="s">
        <v>250</v>
      </c>
      <c r="C1302" s="143">
        <f>VLOOKUP(B1302,'Thống kê'!$C$3:$D$669,2,0)</f>
        <v>0</v>
      </c>
      <c r="D1302" s="166">
        <f>VLOOKUP(B1302,'Thống kê'!$C$3:$M$682,4,0)</f>
        <v>0</v>
      </c>
      <c r="E1302" s="167">
        <v>1</v>
      </c>
      <c r="F1302" s="168">
        <f t="shared" si="5"/>
        <v>0</v>
      </c>
      <c r="G1302" s="144"/>
      <c r="H1302" s="372"/>
    </row>
    <row r="1303" spans="1:8" ht="13.2">
      <c r="A1303" s="188"/>
      <c r="B1303" s="28" t="s">
        <v>1659</v>
      </c>
      <c r="C1303" s="143" t="str">
        <f>VLOOKUP(B1303,'Thống kê'!$C$3:$D$669,2,0)</f>
        <v>Móc khóa Popbean Molly</v>
      </c>
      <c r="D1303" s="166">
        <f>VLOOKUP(B1303,'Thống kê'!$C$3:$M$682,4,0)</f>
        <v>155000</v>
      </c>
      <c r="E1303" s="167">
        <v>1</v>
      </c>
      <c r="F1303" s="168">
        <f t="shared" si="5"/>
        <v>155000</v>
      </c>
      <c r="G1303" s="144"/>
      <c r="H1303" s="372"/>
    </row>
    <row r="1304" spans="1:8" ht="13.2">
      <c r="A1304" s="188"/>
      <c r="B1304" s="28" t="s">
        <v>125</v>
      </c>
      <c r="C1304" s="143" t="e">
        <f>VLOOKUP(B1304,'Thống kê'!$C$3:$D$669,2,0)</f>
        <v>#N/A</v>
      </c>
      <c r="D1304" s="166">
        <f>VLOOKUP(B1304,'Thống kê'!$C$3:$M$682,4,0)</f>
        <v>0</v>
      </c>
      <c r="E1304" s="167">
        <v>1</v>
      </c>
      <c r="F1304" s="168">
        <f t="shared" si="5"/>
        <v>0</v>
      </c>
      <c r="G1304" s="144"/>
      <c r="H1304" s="372"/>
    </row>
    <row r="1305" spans="1:8" ht="13.2">
      <c r="A1305" s="188"/>
      <c r="B1305" s="28" t="s">
        <v>196</v>
      </c>
      <c r="C1305" s="143">
        <f>VLOOKUP(B1305,'Thống kê'!$C$3:$D$669,2,0)</f>
        <v>0</v>
      </c>
      <c r="D1305" s="166">
        <f>VLOOKUP(B1305,'Thống kê'!$C$3:$M$682,4,0)</f>
        <v>0</v>
      </c>
      <c r="E1305" s="167">
        <v>1</v>
      </c>
      <c r="F1305" s="168">
        <f t="shared" si="5"/>
        <v>0</v>
      </c>
      <c r="G1305" s="144"/>
      <c r="H1305" s="372"/>
    </row>
    <row r="1306" spans="1:8" ht="13.2">
      <c r="A1306" s="189"/>
      <c r="B1306" s="28" t="s">
        <v>85</v>
      </c>
      <c r="C1306" s="143" t="e">
        <f>VLOOKUP(B1306,'Thống kê'!$C$3:$D$669,2,0)</f>
        <v>#N/A</v>
      </c>
      <c r="D1306" s="166">
        <f>VLOOKUP(B1306,'Thống kê'!$C$3:$M$682,4,0)</f>
        <v>0</v>
      </c>
      <c r="E1306" s="167">
        <v>1</v>
      </c>
      <c r="F1306" s="168">
        <f t="shared" si="5"/>
        <v>0</v>
      </c>
      <c r="G1306" s="144"/>
      <c r="H1306" s="175">
        <v>59579</v>
      </c>
    </row>
    <row r="1307" spans="1:8" ht="13.2">
      <c r="A1307" s="154"/>
      <c r="B1307" s="28" t="s">
        <v>279</v>
      </c>
      <c r="C1307" s="143" t="e">
        <f>VLOOKUP(B1307,'Thống kê'!$C$3:$D$669,2,0)</f>
        <v>#N/A</v>
      </c>
      <c r="D1307" s="166" t="e">
        <f>VLOOKUP(B1307,'Thống kê'!$C$3:$M$682,4,0)</f>
        <v>#N/A</v>
      </c>
      <c r="E1307" s="167">
        <v>1</v>
      </c>
      <c r="F1307" s="168" t="e">
        <f t="shared" si="5"/>
        <v>#N/A</v>
      </c>
      <c r="G1307" s="144"/>
      <c r="H1307" s="402">
        <v>129354</v>
      </c>
    </row>
    <row r="1308" spans="1:8" ht="13.2">
      <c r="A1308" s="188"/>
      <c r="B1308" s="28" t="s">
        <v>196</v>
      </c>
      <c r="C1308" s="143">
        <f>VLOOKUP(B1308,'Thống kê'!$C$3:$D$669,2,0)</f>
        <v>0</v>
      </c>
      <c r="D1308" s="166">
        <f>VLOOKUP(B1308,'Thống kê'!$C$3:$M$682,4,0)</f>
        <v>0</v>
      </c>
      <c r="E1308" s="167">
        <v>1</v>
      </c>
      <c r="F1308" s="168">
        <f t="shared" si="5"/>
        <v>0</v>
      </c>
      <c r="G1308" s="144"/>
      <c r="H1308" s="372"/>
    </row>
    <row r="1309" spans="1:8" ht="13.2">
      <c r="A1309" s="188"/>
      <c r="B1309" s="28" t="s">
        <v>150</v>
      </c>
      <c r="C1309" s="143" t="str">
        <f>VLOOKUP(B1309,'Thống kê'!$C$3:$D$669,2,0)</f>
        <v>Móc khóa có chuông</v>
      </c>
      <c r="D1309" s="166">
        <f>VLOOKUP(B1309,'Thống kê'!$C$3:$M$682,4,0)</f>
        <v>59000</v>
      </c>
      <c r="E1309" s="167">
        <v>1</v>
      </c>
      <c r="F1309" s="168">
        <f t="shared" si="5"/>
        <v>59000</v>
      </c>
      <c r="G1309" s="144"/>
      <c r="H1309" s="175">
        <v>53225</v>
      </c>
    </row>
    <row r="1310" spans="1:8" ht="13.2">
      <c r="A1310" s="188"/>
      <c r="B1310" s="28" t="s">
        <v>96</v>
      </c>
      <c r="C1310" s="143" t="e">
        <f>VLOOKUP(B1310,'Thống kê'!$C$3:$D$669,2,0)</f>
        <v>#N/A</v>
      </c>
      <c r="D1310" s="166">
        <f>VLOOKUP(B1310,'Thống kê'!$C$3:$M$682,4,0)</f>
        <v>0</v>
      </c>
      <c r="E1310" s="167">
        <v>1</v>
      </c>
      <c r="F1310" s="168">
        <f t="shared" si="5"/>
        <v>0</v>
      </c>
      <c r="G1310" s="144"/>
      <c r="H1310" s="402">
        <v>449564</v>
      </c>
    </row>
    <row r="1311" spans="1:8" ht="13.2">
      <c r="A1311" s="188"/>
      <c r="B1311" s="28" t="s">
        <v>256</v>
      </c>
      <c r="C1311" s="143">
        <f>VLOOKUP(B1311,'Thống kê'!$C$3:$D$669,2,0)</f>
        <v>0</v>
      </c>
      <c r="D1311" s="166">
        <f>VLOOKUP(B1311,'Thống kê'!$C$3:$M$682,4,0)</f>
        <v>0</v>
      </c>
      <c r="E1311" s="167">
        <v>1</v>
      </c>
      <c r="F1311" s="168">
        <f t="shared" si="5"/>
        <v>0</v>
      </c>
      <c r="G1311" s="144"/>
      <c r="H1311" s="372"/>
    </row>
    <row r="1312" spans="1:8" ht="13.2">
      <c r="A1312" s="188"/>
      <c r="B1312" s="28" t="s">
        <v>245</v>
      </c>
      <c r="C1312" s="143" t="str">
        <f>VLOOKUP(B1312,'Thống kê'!$C$3:$D$669,2,0)</f>
        <v>Móc khóa Popbean</v>
      </c>
      <c r="D1312" s="166">
        <f>VLOOKUP(B1312,'Thống kê'!$C$3:$M$682,4,0)</f>
        <v>148000</v>
      </c>
      <c r="E1312" s="167">
        <v>1</v>
      </c>
      <c r="F1312" s="168">
        <f t="shared" si="5"/>
        <v>148000</v>
      </c>
      <c r="G1312" s="144"/>
      <c r="H1312" s="372"/>
    </row>
    <row r="1313" spans="1:8" ht="13.2">
      <c r="A1313" s="188"/>
      <c r="B1313" s="28" t="s">
        <v>1424</v>
      </c>
      <c r="C1313" s="143" t="str">
        <f>VLOOKUP(B1313,'Thống kê'!$C$3:$D$669,2,0)</f>
        <v>Móc khoá Crybaby mini Popmart</v>
      </c>
      <c r="D1313" s="166">
        <f>VLOOKUP(B1313,'Thống kê'!$C$3:$M$682,4,0)</f>
        <v>145000</v>
      </c>
      <c r="E1313" s="167">
        <v>1</v>
      </c>
      <c r="F1313" s="168">
        <f t="shared" si="5"/>
        <v>145000</v>
      </c>
      <c r="G1313" s="144"/>
      <c r="H1313" s="372"/>
    </row>
    <row r="1314" spans="1:8" ht="13.2">
      <c r="A1314" s="188"/>
      <c r="B1314" s="28" t="s">
        <v>1518</v>
      </c>
      <c r="C1314" s="143" t="e">
        <f>VLOOKUP(B1314,'Thống kê'!$C$3:$D$669,2,0)</f>
        <v>#N/A</v>
      </c>
      <c r="D1314" s="166">
        <f>VLOOKUP(B1314,'Thống kê'!$C$3:$M$682,4,0)</f>
        <v>0</v>
      </c>
      <c r="E1314" s="167">
        <v>1</v>
      </c>
      <c r="F1314" s="168">
        <f t="shared" si="5"/>
        <v>0</v>
      </c>
      <c r="G1314" s="144"/>
      <c r="H1314" s="372"/>
    </row>
    <row r="1315" spans="1:8" ht="13.2">
      <c r="A1315" s="188"/>
      <c r="B1315" s="28" t="s">
        <v>1386</v>
      </c>
      <c r="C1315" s="143" t="str">
        <f>VLOOKUP(B1315,'Thống kê'!$C$3:$D$669,2,0)</f>
        <v>Móc khoá Crybaby mini Popmart</v>
      </c>
      <c r="D1315" s="166">
        <f>VLOOKUP(B1315,'Thống kê'!$C$3:$M$682,4,0)</f>
        <v>0</v>
      </c>
      <c r="E1315" s="167">
        <v>1</v>
      </c>
      <c r="F1315" s="168">
        <f t="shared" si="5"/>
        <v>0</v>
      </c>
      <c r="G1315" s="144"/>
      <c r="H1315" s="402">
        <v>233110</v>
      </c>
    </row>
    <row r="1316" spans="1:8" ht="13.2">
      <c r="A1316" s="188"/>
      <c r="B1316" s="28" t="s">
        <v>1388</v>
      </c>
      <c r="C1316" s="143" t="str">
        <f>VLOOKUP(B1316,'Thống kê'!$C$3:$D$669,2,0)</f>
        <v>Móc khoá Crybaby mini Popmart</v>
      </c>
      <c r="D1316" s="166">
        <f>VLOOKUP(B1316,'Thống kê'!$C$3:$M$682,4,0)</f>
        <v>0</v>
      </c>
      <c r="E1316" s="167">
        <v>1</v>
      </c>
      <c r="F1316" s="168">
        <f t="shared" si="5"/>
        <v>0</v>
      </c>
      <c r="G1316" s="144"/>
      <c r="H1316" s="372"/>
    </row>
    <row r="1317" spans="1:8" ht="13.2">
      <c r="A1317" s="188"/>
      <c r="B1317" s="28" t="s">
        <v>1424</v>
      </c>
      <c r="C1317" s="143" t="str">
        <f>VLOOKUP(B1317,'Thống kê'!$C$3:$D$669,2,0)</f>
        <v>Móc khoá Crybaby mini Popmart</v>
      </c>
      <c r="D1317" s="166">
        <f>VLOOKUP(B1317,'Thống kê'!$C$3:$M$682,4,0)</f>
        <v>145000</v>
      </c>
      <c r="E1317" s="167">
        <v>1</v>
      </c>
      <c r="F1317" s="168">
        <f t="shared" si="5"/>
        <v>145000</v>
      </c>
      <c r="G1317" s="144"/>
      <c r="H1317" s="372"/>
    </row>
    <row r="1318" spans="1:8" ht="13.2">
      <c r="A1318" s="188"/>
      <c r="B1318" s="28" t="s">
        <v>1384</v>
      </c>
      <c r="C1318" s="143" t="str">
        <f>VLOOKUP(B1318,'Thống kê'!$C$3:$D$669,2,0)</f>
        <v>Móc khoá Crybaby mini Popmart</v>
      </c>
      <c r="D1318" s="166">
        <f>VLOOKUP(B1318,'Thống kê'!$C$3:$M$682,4,0)</f>
        <v>0</v>
      </c>
      <c r="E1318" s="167">
        <v>1</v>
      </c>
      <c r="F1318" s="168">
        <f t="shared" si="5"/>
        <v>0</v>
      </c>
      <c r="G1318" s="144"/>
      <c r="H1318" s="402">
        <v>155406</v>
      </c>
    </row>
    <row r="1319" spans="1:8" ht="13.2">
      <c r="A1319" s="188"/>
      <c r="B1319" s="28" t="s">
        <v>259</v>
      </c>
      <c r="C1319" s="143" t="str">
        <f>VLOOKUP(B1319,'Thống kê'!$C$3:$D$669,2,0)</f>
        <v>Móc khoá Crybaby mini Popmart</v>
      </c>
      <c r="D1319" s="166">
        <f>VLOOKUP(B1319,'Thống kê'!$C$3:$M$682,4,0)</f>
        <v>0</v>
      </c>
      <c r="E1319" s="167">
        <v>1</v>
      </c>
      <c r="F1319" s="168">
        <f t="shared" si="5"/>
        <v>0</v>
      </c>
      <c r="G1319" s="144"/>
      <c r="H1319" s="372"/>
    </row>
    <row r="1320" spans="1:8" ht="13.2">
      <c r="A1320" s="188"/>
      <c r="B1320" s="28" t="s">
        <v>96</v>
      </c>
      <c r="C1320" s="143" t="e">
        <f>VLOOKUP(B1320,'Thống kê'!$C$3:$D$669,2,0)</f>
        <v>#N/A</v>
      </c>
      <c r="D1320" s="166">
        <f>VLOOKUP(B1320,'Thống kê'!$C$3:$M$682,4,0)</f>
        <v>0</v>
      </c>
      <c r="E1320" s="167">
        <v>3</v>
      </c>
      <c r="F1320" s="168">
        <f t="shared" si="5"/>
        <v>0</v>
      </c>
      <c r="G1320" s="144"/>
      <c r="H1320" s="402">
        <v>295200</v>
      </c>
    </row>
    <row r="1321" spans="1:8" ht="13.2">
      <c r="A1321" s="188"/>
      <c r="B1321" s="28" t="s">
        <v>125</v>
      </c>
      <c r="C1321" s="143" t="e">
        <f>VLOOKUP(B1321,'Thống kê'!$C$3:$D$669,2,0)</f>
        <v>#N/A</v>
      </c>
      <c r="D1321" s="166">
        <f>VLOOKUP(B1321,'Thống kê'!$C$3:$M$682,4,0)</f>
        <v>0</v>
      </c>
      <c r="E1321" s="167">
        <v>3</v>
      </c>
      <c r="F1321" s="168">
        <f t="shared" si="5"/>
        <v>0</v>
      </c>
      <c r="G1321" s="144"/>
      <c r="H1321" s="372"/>
    </row>
    <row r="1322" spans="1:8" ht="13.2">
      <c r="A1322" s="188">
        <v>45726</v>
      </c>
      <c r="B1322" s="28" t="s">
        <v>1517</v>
      </c>
      <c r="C1322" s="143">
        <f>VLOOKUP(B1322,'Thống kê'!$C$3:$D$970,2,0)</f>
        <v>0</v>
      </c>
      <c r="D1322" s="166">
        <f>VLOOKUP(B1322,'Thống kê'!$C$3:$M$682,4,0)</f>
        <v>0</v>
      </c>
      <c r="E1322" s="167">
        <v>1</v>
      </c>
      <c r="F1322" s="168">
        <f t="shared" si="5"/>
        <v>0</v>
      </c>
      <c r="G1322" s="144"/>
      <c r="H1322" s="175">
        <v>56230</v>
      </c>
    </row>
    <row r="1323" spans="1:8" ht="13.2">
      <c r="A1323" s="188"/>
      <c r="B1323" s="28" t="s">
        <v>1384</v>
      </c>
      <c r="C1323" s="143" t="str">
        <f>VLOOKUP(B1323,'Thống kê'!$C$3:$D$669,2,0)</f>
        <v>Móc khoá Crybaby mini Popmart</v>
      </c>
      <c r="D1323" s="166">
        <f>VLOOKUP(B1323,'Thống kê'!$C$3:$M$682,4,0)</f>
        <v>0</v>
      </c>
      <c r="E1323" s="167">
        <v>1</v>
      </c>
      <c r="F1323" s="168">
        <f t="shared" si="5"/>
        <v>0</v>
      </c>
      <c r="G1323" s="144"/>
      <c r="H1323" s="175">
        <v>77550</v>
      </c>
    </row>
    <row r="1324" spans="1:8" ht="13.2">
      <c r="A1324" s="188"/>
      <c r="B1324" s="28" t="s">
        <v>1823</v>
      </c>
      <c r="C1324" s="143">
        <f>VLOOKUP(B1324,'Thống kê'!$C$3:$D$669,2,0)</f>
        <v>0</v>
      </c>
      <c r="D1324" s="166">
        <f>VLOOKUP(B1324,'Thống kê'!$C$3:$M$682,4,0)</f>
        <v>0</v>
      </c>
      <c r="E1324" s="167">
        <v>1</v>
      </c>
      <c r="F1324" s="168">
        <f t="shared" si="5"/>
        <v>0</v>
      </c>
      <c r="G1324" s="144"/>
      <c r="H1324" s="402">
        <v>152043</v>
      </c>
    </row>
    <row r="1325" spans="1:8" ht="13.2">
      <c r="A1325" s="188"/>
      <c r="B1325" s="28" t="s">
        <v>1481</v>
      </c>
      <c r="C1325" s="143" t="str">
        <f>VLOOKUP(B1325,'Thống kê'!$C$3:$D$669,2,0)</f>
        <v>Móc khoá Dudu nhiều màu sắc treo túi, đeo điện thoại</v>
      </c>
      <c r="D1325" s="166">
        <f>VLOOKUP(B1325,'Thống kê'!$C$3:$M$682,4,0)</f>
        <v>45000</v>
      </c>
      <c r="E1325" s="167">
        <v>1</v>
      </c>
      <c r="F1325" s="168">
        <f t="shared" si="5"/>
        <v>45000</v>
      </c>
      <c r="G1325" s="144"/>
      <c r="H1325" s="372"/>
    </row>
    <row r="1326" spans="1:8" ht="13.2">
      <c r="A1326" s="188"/>
      <c r="B1326" s="28" t="s">
        <v>1483</v>
      </c>
      <c r="C1326" s="143" t="str">
        <f>VLOOKUP(B1326,'Thống kê'!$C$3:$D$669,2,0)</f>
        <v>Móc khoá Dudu nhiều màu sắc treo túi, đeo điện thoại</v>
      </c>
      <c r="D1326" s="166">
        <f>VLOOKUP(B1326,'Thống kê'!$C$3:$M$682,4,0)</f>
        <v>45000</v>
      </c>
      <c r="E1326" s="167">
        <v>1</v>
      </c>
      <c r="F1326" s="168">
        <f t="shared" si="5"/>
        <v>45000</v>
      </c>
      <c r="G1326" s="144"/>
      <c r="H1326" s="372"/>
    </row>
    <row r="1327" spans="1:8" ht="13.2">
      <c r="A1327" s="188"/>
      <c r="B1327" s="28" t="s">
        <v>125</v>
      </c>
      <c r="C1327" s="143">
        <f>VLOOKUP(B1327,'Thống kê'!$C$3:$D$970,2,0)</f>
        <v>0</v>
      </c>
      <c r="D1327" s="166">
        <f>VLOOKUP(B1327,'Thống kê'!$C$3:$M$682,4,0)</f>
        <v>0</v>
      </c>
      <c r="E1327" s="167">
        <v>1</v>
      </c>
      <c r="F1327" s="168">
        <f t="shared" si="5"/>
        <v>0</v>
      </c>
      <c r="G1327" s="144"/>
      <c r="H1327" s="402">
        <v>269799</v>
      </c>
    </row>
    <row r="1328" spans="1:8" ht="13.2">
      <c r="A1328" s="188"/>
      <c r="B1328" s="28" t="s">
        <v>96</v>
      </c>
      <c r="C1328" s="143">
        <f>VLOOKUP(B1328,'Thống kê'!$C$3:$D$970,2,0)</f>
        <v>0</v>
      </c>
      <c r="D1328" s="166">
        <f>VLOOKUP(B1328,'Thống kê'!$C$3:$M$682,4,0)</f>
        <v>0</v>
      </c>
      <c r="E1328" s="167">
        <v>1</v>
      </c>
      <c r="F1328" s="168">
        <f t="shared" si="5"/>
        <v>0</v>
      </c>
      <c r="G1328" s="144"/>
      <c r="H1328" s="372"/>
    </row>
    <row r="1329" spans="1:8" ht="13.2">
      <c r="A1329" s="188"/>
      <c r="B1329" s="28" t="s">
        <v>206</v>
      </c>
      <c r="C1329" s="143" t="str">
        <f>VLOOKUP(B1329,'Thống kê'!$C$3:$D$669,2,0)</f>
        <v>Pop Bean Baked Bread</v>
      </c>
      <c r="D1329" s="166">
        <f>VLOOKUP(B1329,'Thống kê'!$C$3:$M$682,4,0)</f>
        <v>167000</v>
      </c>
      <c r="E1329" s="167">
        <v>1</v>
      </c>
      <c r="F1329" s="168">
        <f t="shared" si="5"/>
        <v>167000</v>
      </c>
      <c r="G1329" s="144"/>
      <c r="H1329" s="372"/>
    </row>
    <row r="1330" spans="1:8" ht="13.2">
      <c r="A1330" s="188"/>
      <c r="B1330" s="28" t="s">
        <v>1595</v>
      </c>
      <c r="C1330" s="143" t="str">
        <f>VLOOKUP(B1330,'Thống kê'!$C$3:$D$669,2,0)</f>
        <v>Dao rọc giấy 08</v>
      </c>
      <c r="D1330" s="166">
        <f>VLOOKUP(B1330,'Thống kê'!$C$3:$M$682,4,0)</f>
        <v>12000</v>
      </c>
      <c r="E1330" s="167">
        <v>1</v>
      </c>
      <c r="F1330" s="168">
        <f t="shared" ref="F1330:F1584" si="6">D1330*E1330</f>
        <v>12000</v>
      </c>
      <c r="G1330" s="144"/>
      <c r="H1330" s="402">
        <v>633793</v>
      </c>
    </row>
    <row r="1331" spans="1:8" ht="13.2">
      <c r="A1331" s="188"/>
      <c r="B1331" s="28" t="s">
        <v>1517</v>
      </c>
      <c r="C1331" s="143">
        <f>VLOOKUP(B1331,'Thống kê'!$C$3:$D$970,2,0)</f>
        <v>0</v>
      </c>
      <c r="D1331" s="166">
        <f>VLOOKUP(B1331,'Thống kê'!$C$3:$M$682,4,0)</f>
        <v>0</v>
      </c>
      <c r="E1331" s="167">
        <v>1</v>
      </c>
      <c r="F1331" s="168">
        <f t="shared" si="6"/>
        <v>0</v>
      </c>
      <c r="G1331" s="144"/>
      <c r="H1331" s="372"/>
    </row>
    <row r="1332" spans="1:8" ht="13.2">
      <c r="A1332" s="188"/>
      <c r="B1332" s="28" t="s">
        <v>233</v>
      </c>
      <c r="C1332" s="143">
        <f>VLOOKUP(B1332,'Thống kê'!$C$3:$D$970,2,0)</f>
        <v>0</v>
      </c>
      <c r="D1332" s="166">
        <f>VLOOKUP(B1332,'Thống kê'!$C$3:$M$682,4,0)</f>
        <v>0</v>
      </c>
      <c r="E1332" s="167">
        <v>1</v>
      </c>
      <c r="F1332" s="168">
        <f t="shared" si="6"/>
        <v>0</v>
      </c>
      <c r="G1332" s="144"/>
      <c r="H1332" s="175">
        <v>95940</v>
      </c>
    </row>
    <row r="1333" spans="1:8" ht="13.2">
      <c r="A1333" s="188"/>
      <c r="B1333" s="28" t="s">
        <v>233</v>
      </c>
      <c r="C1333" s="143">
        <f>VLOOKUP(B1333,'Thống kê'!$C$3:$D$970,2,0)</f>
        <v>0</v>
      </c>
      <c r="D1333" s="166">
        <f>VLOOKUP(B1333,'Thống kê'!$C$3:$M$682,4,0)</f>
        <v>0</v>
      </c>
      <c r="E1333" s="167">
        <v>1</v>
      </c>
      <c r="F1333" s="168">
        <f t="shared" si="6"/>
        <v>0</v>
      </c>
      <c r="G1333" s="144"/>
      <c r="H1333" s="175">
        <v>104140</v>
      </c>
    </row>
    <row r="1334" spans="1:8" ht="13.2">
      <c r="A1334" s="188"/>
      <c r="B1334" s="28" t="s">
        <v>1516</v>
      </c>
      <c r="C1334" s="143">
        <f>VLOOKUP(B1334,'Thống kê'!$C$3:$D$970,2,0)</f>
        <v>0</v>
      </c>
      <c r="D1334" s="166">
        <f>VLOOKUP(B1334,'Thống kê'!$C$3:$M$682,4,0)</f>
        <v>0</v>
      </c>
      <c r="E1334" s="167">
        <v>1</v>
      </c>
      <c r="F1334" s="168">
        <f t="shared" si="6"/>
        <v>0</v>
      </c>
      <c r="G1334" s="144"/>
      <c r="H1334" s="402">
        <v>196144</v>
      </c>
    </row>
    <row r="1335" spans="1:8" ht="13.2">
      <c r="A1335" s="188"/>
      <c r="B1335" s="28" t="s">
        <v>133</v>
      </c>
      <c r="C1335" s="143">
        <f>VLOOKUP(B1335,'Thống kê'!$C$3:$D$970,2,0)</f>
        <v>0</v>
      </c>
      <c r="D1335" s="166">
        <f>VLOOKUP(B1335,'Thống kê'!$C$3:$M$682,4,0)</f>
        <v>0</v>
      </c>
      <c r="E1335" s="167">
        <v>1</v>
      </c>
      <c r="F1335" s="168">
        <f t="shared" si="6"/>
        <v>0</v>
      </c>
      <c r="G1335" s="144"/>
      <c r="H1335" s="372"/>
    </row>
    <row r="1336" spans="1:8" ht="13.2">
      <c r="A1336" s="188"/>
      <c r="B1336" s="28" t="s">
        <v>189</v>
      </c>
      <c r="C1336" s="143" t="str">
        <f>VLOOKUP(B1336,'Thống kê'!$C$3:$D$970,2,0)</f>
        <v>Gấu nâu gắn xe</v>
      </c>
      <c r="D1336" s="166">
        <f>VLOOKUP(B1336,'Thống kê'!$C$3:$M$682,4,0)</f>
        <v>45000</v>
      </c>
      <c r="E1336" s="167">
        <v>1</v>
      </c>
      <c r="F1336" s="168">
        <f t="shared" si="6"/>
        <v>45000</v>
      </c>
      <c r="G1336" s="144"/>
      <c r="H1336" s="402">
        <v>265893</v>
      </c>
    </row>
    <row r="1337" spans="1:8" ht="13.2">
      <c r="A1337" s="188"/>
      <c r="B1337" s="28" t="s">
        <v>1760</v>
      </c>
      <c r="C1337" s="143">
        <f>VLOOKUP(B1337,'Thống kê'!$C$3:$D$970,2,0)</f>
        <v>0</v>
      </c>
      <c r="D1337" s="166">
        <f>VLOOKUP(B1337,'Thống kê'!$C$3:$M$682,4,0)</f>
        <v>0</v>
      </c>
      <c r="E1337" s="167">
        <v>1</v>
      </c>
      <c r="F1337" s="168">
        <f t="shared" si="6"/>
        <v>0</v>
      </c>
      <c r="G1337" s="144"/>
      <c r="H1337" s="372"/>
    </row>
    <row r="1338" spans="1:8" ht="13.2">
      <c r="A1338" s="188"/>
      <c r="B1338" s="28" t="s">
        <v>1486</v>
      </c>
      <c r="C1338" s="143" t="str">
        <f>VLOOKUP(B1338,'Thống kê'!$C$3:$D$970,2,0)</f>
        <v>Móc khoá Dudu nhiều màu sắc treo túi, đeo điện thoại</v>
      </c>
      <c r="D1338" s="166">
        <f>VLOOKUP(B1338,'Thống kê'!$C$3:$M$682,4,0)</f>
        <v>45000</v>
      </c>
      <c r="E1338" s="167">
        <v>1</v>
      </c>
      <c r="F1338" s="168">
        <f t="shared" si="6"/>
        <v>45000</v>
      </c>
      <c r="G1338" s="144"/>
      <c r="H1338" s="372"/>
    </row>
    <row r="1339" spans="1:8" ht="13.2">
      <c r="A1339" s="188"/>
      <c r="B1339" s="28" t="s">
        <v>329</v>
      </c>
      <c r="C1339" s="143" t="str">
        <f>VLOOKUP(B1339,'Thống kê'!$C$3:$D$970,2,0)</f>
        <v>Pop Bean Baked Bread</v>
      </c>
      <c r="D1339" s="166">
        <f>VLOOKUP(B1339,'Thống kê'!$C$3:$M$682,4,0)</f>
        <v>167000</v>
      </c>
      <c r="E1339" s="167">
        <v>1</v>
      </c>
      <c r="F1339" s="168">
        <f t="shared" si="6"/>
        <v>167000</v>
      </c>
      <c r="G1339" s="144"/>
      <c r="H1339" s="372"/>
    </row>
    <row r="1340" spans="1:8" ht="13.2">
      <c r="A1340" s="188"/>
      <c r="B1340" s="28" t="s">
        <v>1520</v>
      </c>
      <c r="C1340" s="143">
        <f>VLOOKUP(B1340,'Thống kê'!$C$3:$D$970,2,0)</f>
        <v>0</v>
      </c>
      <c r="D1340" s="166" t="e">
        <f>VLOOKUP(B1340,'Thống kê'!$C$3:$M$682,4,0)</f>
        <v>#N/A</v>
      </c>
      <c r="E1340" s="167">
        <v>1</v>
      </c>
      <c r="F1340" s="168" t="e">
        <f t="shared" si="6"/>
        <v>#N/A</v>
      </c>
      <c r="G1340" s="144"/>
      <c r="H1340" s="175">
        <v>53550</v>
      </c>
    </row>
    <row r="1341" spans="1:8" ht="13.2">
      <c r="A1341" s="188"/>
      <c r="B1341" s="28" t="s">
        <v>1384</v>
      </c>
      <c r="C1341" s="143" t="str">
        <f>VLOOKUP(B1341,'Thống kê'!$C$3:$D$970,2,0)</f>
        <v>Móc khoá Crybaby mini Popmart</v>
      </c>
      <c r="D1341" s="166">
        <f>VLOOKUP(B1341,'Thống kê'!$C$3:$M$682,4,0)</f>
        <v>0</v>
      </c>
      <c r="E1341" s="167">
        <v>1</v>
      </c>
      <c r="F1341" s="168">
        <f t="shared" si="6"/>
        <v>0</v>
      </c>
      <c r="G1341" s="144"/>
      <c r="H1341" s="175">
        <v>77250</v>
      </c>
    </row>
    <row r="1342" spans="1:8" ht="13.2">
      <c r="A1342" s="188"/>
      <c r="B1342" s="28" t="s">
        <v>118</v>
      </c>
      <c r="C1342" s="143">
        <f>VLOOKUP(B1342,'Thống kê'!$C$3:$D$970,2,0)</f>
        <v>0</v>
      </c>
      <c r="D1342" s="166" t="e">
        <f>VLOOKUP(B1342,'Thống kê'!$C$3:$M$682,4,0)</f>
        <v>#N/A</v>
      </c>
      <c r="E1342" s="167">
        <v>1</v>
      </c>
      <c r="F1342" s="168" t="e">
        <f t="shared" si="6"/>
        <v>#N/A</v>
      </c>
      <c r="G1342" s="144"/>
      <c r="H1342" s="402">
        <v>125870</v>
      </c>
    </row>
    <row r="1343" spans="1:8" ht="13.2">
      <c r="A1343" s="188"/>
      <c r="B1343" s="28" t="s">
        <v>96</v>
      </c>
      <c r="C1343" s="143">
        <f>VLOOKUP(B1343,'Thống kê'!$C$3:$D$970,2,0)</f>
        <v>0</v>
      </c>
      <c r="D1343" s="166">
        <f>VLOOKUP(B1343,'Thống kê'!$C$3:$M$682,4,0)</f>
        <v>0</v>
      </c>
      <c r="E1343" s="167">
        <v>1</v>
      </c>
      <c r="F1343" s="168">
        <f t="shared" si="6"/>
        <v>0</v>
      </c>
      <c r="G1343" s="144"/>
      <c r="H1343" s="372"/>
    </row>
    <row r="1344" spans="1:8" ht="13.2">
      <c r="A1344" s="188"/>
      <c r="B1344" s="28" t="s">
        <v>1342</v>
      </c>
      <c r="C1344" s="143" t="str">
        <f>VLOOKUP(B1344,'Thống kê'!$C$3:$D$970,2,0)</f>
        <v>Móc khóa chuối</v>
      </c>
      <c r="D1344" s="166">
        <f>VLOOKUP(B1344,'Thống kê'!$C$3:$M$682,4,0)</f>
        <v>148000</v>
      </c>
      <c r="E1344" s="167">
        <v>1</v>
      </c>
      <c r="F1344" s="168">
        <f t="shared" si="6"/>
        <v>148000</v>
      </c>
      <c r="G1344" s="144"/>
      <c r="H1344" s="402">
        <v>275356</v>
      </c>
    </row>
    <row r="1345" spans="1:8" ht="13.2">
      <c r="A1345" s="188"/>
      <c r="B1345" s="28" t="s">
        <v>234</v>
      </c>
      <c r="C1345" s="143" t="str">
        <f>VLOOKUP(B1345,'Thống kê'!$C$3:$D$970,2,0)</f>
        <v>Móc khoá skullpanda phiên bản mini</v>
      </c>
      <c r="D1345" s="166">
        <f>VLOOKUP(B1345,'Thống kê'!$C$3:$M$682,4,0)</f>
        <v>98000</v>
      </c>
      <c r="E1345" s="167">
        <v>1</v>
      </c>
      <c r="F1345" s="168">
        <f t="shared" si="6"/>
        <v>98000</v>
      </c>
      <c r="G1345" s="144"/>
      <c r="H1345" s="372"/>
    </row>
    <row r="1346" spans="1:8" ht="13.2">
      <c r="A1346" s="188"/>
      <c r="B1346" s="28" t="s">
        <v>176</v>
      </c>
      <c r="C1346" s="143">
        <f>VLOOKUP(B1346,'Thống kê'!$C$3:$D$970,2,0)</f>
        <v>0</v>
      </c>
      <c r="D1346" s="166">
        <f>VLOOKUP(B1346,'Thống kê'!$C$3:$M$682,4,0)</f>
        <v>0</v>
      </c>
      <c r="E1346" s="167">
        <v>1</v>
      </c>
      <c r="F1346" s="168">
        <f t="shared" si="6"/>
        <v>0</v>
      </c>
      <c r="G1346" s="144"/>
      <c r="H1346" s="372"/>
    </row>
    <row r="1347" spans="1:8" ht="13.2">
      <c r="A1347" s="188"/>
      <c r="B1347" s="28" t="s">
        <v>191</v>
      </c>
      <c r="C1347" s="143">
        <f>VLOOKUP(B1347,'Thống kê'!$C$3:$D$970,2,0)</f>
        <v>0</v>
      </c>
      <c r="D1347" s="166">
        <f>VLOOKUP(B1347,'Thống kê'!$C$3:$M$682,4,0)</f>
        <v>0</v>
      </c>
      <c r="E1347" s="167">
        <v>1</v>
      </c>
      <c r="F1347" s="168">
        <f t="shared" si="6"/>
        <v>0</v>
      </c>
      <c r="G1347" s="144"/>
      <c r="H1347" s="372"/>
    </row>
    <row r="1348" spans="1:8" ht="13.2">
      <c r="A1348" s="188"/>
      <c r="B1348" s="28" t="s">
        <v>1342</v>
      </c>
      <c r="C1348" s="143" t="str">
        <f>VLOOKUP(B1348,'Thống kê'!$C$3:$D$970,2,0)</f>
        <v>Móc khóa chuối</v>
      </c>
      <c r="D1348" s="166">
        <f>VLOOKUP(B1348,'Thống kê'!$C$3:$M$682,4,0)</f>
        <v>148000</v>
      </c>
      <c r="E1348" s="167">
        <v>-1</v>
      </c>
      <c r="F1348" s="168">
        <f t="shared" si="6"/>
        <v>-148000</v>
      </c>
      <c r="G1348" s="144"/>
      <c r="H1348" s="402">
        <v>-196236</v>
      </c>
    </row>
    <row r="1349" spans="1:8" ht="13.2">
      <c r="A1349" s="188"/>
      <c r="B1349" s="28" t="s">
        <v>133</v>
      </c>
      <c r="C1349" s="143">
        <f>VLOOKUP(B1349,'Thống kê'!$C$3:$D$970,2,0)</f>
        <v>0</v>
      </c>
      <c r="D1349" s="166">
        <f>VLOOKUP(B1349,'Thống kê'!$C$3:$M$682,4,0)</f>
        <v>0</v>
      </c>
      <c r="E1349" s="167">
        <v>-1</v>
      </c>
      <c r="F1349" s="168">
        <f t="shared" si="6"/>
        <v>0</v>
      </c>
      <c r="G1349" s="144"/>
      <c r="H1349" s="372"/>
    </row>
    <row r="1350" spans="1:8" ht="13.2">
      <c r="A1350" s="188"/>
      <c r="B1350" s="28" t="s">
        <v>196</v>
      </c>
      <c r="C1350" s="143">
        <f>VLOOKUP(B1350,'Thống kê'!$C$3:$D$970,2,0)</f>
        <v>0</v>
      </c>
      <c r="D1350" s="166">
        <f>VLOOKUP(B1350,'Thống kê'!$C$3:$M$682,4,0)</f>
        <v>0</v>
      </c>
      <c r="E1350" s="167">
        <v>-1</v>
      </c>
      <c r="F1350" s="168">
        <f t="shared" si="6"/>
        <v>0</v>
      </c>
      <c r="G1350" s="144"/>
      <c r="H1350" s="372"/>
    </row>
    <row r="1351" spans="1:8" ht="13.2">
      <c r="A1351" s="188"/>
      <c r="B1351" s="28" t="s">
        <v>96</v>
      </c>
      <c r="C1351" s="143">
        <f>VLOOKUP(B1351,'Thống kê'!$C$3:$D$970,2,0)</f>
        <v>0</v>
      </c>
      <c r="D1351" s="166">
        <f>VLOOKUP(B1351,'Thống kê'!$C$3:$M$970,4,0)</f>
        <v>0</v>
      </c>
      <c r="E1351" s="167">
        <v>-1</v>
      </c>
      <c r="F1351" s="168">
        <f t="shared" si="6"/>
        <v>0</v>
      </c>
      <c r="G1351" s="144"/>
      <c r="H1351" s="402">
        <v>-110000</v>
      </c>
    </row>
    <row r="1352" spans="1:8" ht="13.2">
      <c r="A1352" s="188"/>
      <c r="B1352" s="28" t="s">
        <v>1521</v>
      </c>
      <c r="C1352" s="143">
        <f>VLOOKUP(B1352,'Thống kê'!$C$3:$D$970,2,0)</f>
        <v>0</v>
      </c>
      <c r="D1352" s="166">
        <f>VLOOKUP(B1352,'Thống kê'!$C$3:$M$970,4,0)</f>
        <v>0</v>
      </c>
      <c r="E1352" s="167">
        <v>-1</v>
      </c>
      <c r="F1352" s="168">
        <f t="shared" si="6"/>
        <v>0</v>
      </c>
      <c r="G1352" s="144"/>
      <c r="H1352" s="372"/>
    </row>
    <row r="1353" spans="1:8" ht="13.2">
      <c r="A1353" s="188"/>
      <c r="B1353" s="28" t="s">
        <v>85</v>
      </c>
      <c r="C1353" s="143">
        <f>VLOOKUP(B1353,'Thống kê'!$C$3:$D$970,2,0)</f>
        <v>0</v>
      </c>
      <c r="D1353" s="166">
        <f>VLOOKUP(B1353,'Thống kê'!$C$3:$M$970,4,0)</f>
        <v>0</v>
      </c>
      <c r="E1353" s="167">
        <v>-1</v>
      </c>
      <c r="F1353" s="168">
        <f t="shared" si="6"/>
        <v>0</v>
      </c>
      <c r="G1353" s="144"/>
      <c r="H1353" s="175">
        <v>-80000</v>
      </c>
    </row>
    <row r="1354" spans="1:8" ht="13.2">
      <c r="A1354" s="188"/>
      <c r="B1354" s="28" t="s">
        <v>1342</v>
      </c>
      <c r="C1354" s="143" t="str">
        <f>VLOOKUP(B1354,'Thống kê'!$C$3:$D$970,2,0)</f>
        <v>Móc khóa chuối</v>
      </c>
      <c r="D1354" s="166">
        <f>VLOOKUP(B1354,'Thống kê'!$C$3:$M$970,4,0)</f>
        <v>148000</v>
      </c>
      <c r="E1354" s="167">
        <v>1</v>
      </c>
      <c r="F1354" s="168">
        <f t="shared" si="6"/>
        <v>148000</v>
      </c>
      <c r="G1354" s="144"/>
      <c r="H1354" s="402">
        <v>275356</v>
      </c>
    </row>
    <row r="1355" spans="1:8" ht="13.2">
      <c r="A1355" s="188"/>
      <c r="B1355" s="28" t="s">
        <v>234</v>
      </c>
      <c r="C1355" s="143" t="str">
        <f>VLOOKUP(B1355,'Thống kê'!$C$3:$D$970,2,0)</f>
        <v>Móc khoá skullpanda phiên bản mini</v>
      </c>
      <c r="D1355" s="166">
        <f>VLOOKUP(B1355,'Thống kê'!$C$3:$M$970,4,0)</f>
        <v>98000</v>
      </c>
      <c r="E1355" s="167">
        <v>1</v>
      </c>
      <c r="F1355" s="168">
        <f t="shared" si="6"/>
        <v>98000</v>
      </c>
      <c r="G1355" s="144"/>
      <c r="H1355" s="372"/>
    </row>
    <row r="1356" spans="1:8" ht="13.2">
      <c r="A1356" s="188"/>
      <c r="B1356" s="28" t="s">
        <v>176</v>
      </c>
      <c r="C1356" s="143">
        <f>VLOOKUP(B1356,'Thống kê'!$C$3:$D$970,2,0)</f>
        <v>0</v>
      </c>
      <c r="D1356" s="166">
        <f>VLOOKUP(B1356,'Thống kê'!$C$3:$M$970,4,0)</f>
        <v>0</v>
      </c>
      <c r="E1356" s="167">
        <v>1</v>
      </c>
      <c r="F1356" s="168">
        <f t="shared" si="6"/>
        <v>0</v>
      </c>
      <c r="G1356" s="144"/>
      <c r="H1356" s="372"/>
    </row>
    <row r="1357" spans="1:8" ht="13.2">
      <c r="A1357" s="188"/>
      <c r="B1357" s="28" t="s">
        <v>191</v>
      </c>
      <c r="C1357" s="143">
        <f>VLOOKUP(B1357,'Thống kê'!$C$3:$D$970,2,0)</f>
        <v>0</v>
      </c>
      <c r="D1357" s="166">
        <f>VLOOKUP(B1357,'Thống kê'!$C$3:$M$970,4,0)</f>
        <v>0</v>
      </c>
      <c r="E1357" s="167">
        <v>1</v>
      </c>
      <c r="F1357" s="168">
        <f t="shared" si="6"/>
        <v>0</v>
      </c>
      <c r="G1357" s="144"/>
      <c r="H1357" s="372"/>
    </row>
    <row r="1358" spans="1:8" ht="13.2">
      <c r="A1358" s="188"/>
      <c r="B1358" s="28" t="s">
        <v>1388</v>
      </c>
      <c r="C1358" s="143" t="str">
        <f>VLOOKUP(B1358,'Thống kê'!$C$3:$D$970,2,0)</f>
        <v>Móc khoá Crybaby mini Popmart</v>
      </c>
      <c r="D1358" s="166">
        <f>VLOOKUP(B1358,'Thống kê'!$C$3:$M$970,4,0)</f>
        <v>0</v>
      </c>
      <c r="E1358" s="167">
        <v>1</v>
      </c>
      <c r="F1358" s="168">
        <f t="shared" si="6"/>
        <v>0</v>
      </c>
      <c r="G1358" s="144"/>
      <c r="H1358" s="175">
        <v>76775</v>
      </c>
    </row>
    <row r="1359" spans="1:8" ht="13.2">
      <c r="A1359" s="188"/>
      <c r="B1359" s="28" t="s">
        <v>115</v>
      </c>
      <c r="C1359" s="143" t="str">
        <f>VLOOKUP(B1359,'Thống kê'!$C$3:$D$970,2,0)</f>
        <v>Heo ú</v>
      </c>
      <c r="D1359" s="166">
        <f>VLOOKUP(B1359,'Thống kê'!$C$3:$M$970,4,0)</f>
        <v>59500</v>
      </c>
      <c r="E1359" s="167">
        <v>1</v>
      </c>
      <c r="F1359" s="168">
        <f t="shared" si="6"/>
        <v>59500</v>
      </c>
      <c r="G1359" s="144"/>
      <c r="H1359" s="175">
        <v>52950</v>
      </c>
    </row>
    <row r="1360" spans="1:8" ht="13.2">
      <c r="A1360" s="188"/>
      <c r="B1360" s="28" t="s">
        <v>1446</v>
      </c>
      <c r="C1360" s="143" t="str">
        <f>VLOOKUP(B1360,'Thống kê'!$C$3:$D$970,2,0)</f>
        <v>túi mù mô hình</v>
      </c>
      <c r="D1360" s="166">
        <f>VLOOKUP(B1360,'Thống kê'!$C$3:$M$970,4,0)</f>
        <v>0</v>
      </c>
      <c r="E1360" s="167">
        <v>2</v>
      </c>
      <c r="F1360" s="168">
        <f t="shared" si="6"/>
        <v>0</v>
      </c>
      <c r="G1360" s="144"/>
      <c r="H1360" s="175">
        <v>67240</v>
      </c>
    </row>
    <row r="1361" spans="1:8" ht="13.2">
      <c r="A1361" s="189"/>
      <c r="B1361" s="28" t="s">
        <v>1484</v>
      </c>
      <c r="C1361" s="143" t="str">
        <f>VLOOKUP(B1361,'Thống kê'!$C$3:$D$970,2,0)</f>
        <v>Móc khoá Dudu nhiều màu sắc treo túi, đeo điện thoại</v>
      </c>
      <c r="D1361" s="166">
        <f>VLOOKUP(B1361,'Thống kê'!$C$3:$M$970,4,0)</f>
        <v>45000</v>
      </c>
      <c r="E1361" s="167">
        <v>1</v>
      </c>
      <c r="F1361" s="168">
        <f t="shared" si="6"/>
        <v>45000</v>
      </c>
      <c r="G1361" s="144"/>
      <c r="H1361" s="402">
        <v>113358</v>
      </c>
    </row>
    <row r="1362" spans="1:8" ht="13.2">
      <c r="A1362" s="49"/>
      <c r="B1362" s="16" t="s">
        <v>1388</v>
      </c>
      <c r="C1362" s="143" t="str">
        <f>VLOOKUP(B1362,'Thống kê'!$C$3:$D$970,2,0)</f>
        <v>Móc khoá Crybaby mini Popmart</v>
      </c>
      <c r="D1362" s="166">
        <f>VLOOKUP(B1362,'Thống kê'!$C$3:$M$970,4,0)</f>
        <v>0</v>
      </c>
      <c r="E1362" s="167">
        <v>1</v>
      </c>
      <c r="F1362" s="168">
        <f t="shared" si="6"/>
        <v>0</v>
      </c>
      <c r="G1362" s="144"/>
      <c r="H1362" s="372"/>
    </row>
    <row r="1363" spans="1:8" ht="13.2">
      <c r="A1363" s="49"/>
      <c r="B1363" s="16" t="s">
        <v>1525</v>
      </c>
      <c r="C1363" s="143">
        <f>VLOOKUP(B1363,'Thống kê'!$C$3:$D$970,2,0)</f>
        <v>0</v>
      </c>
      <c r="D1363" s="166">
        <f>VLOOKUP(B1363,'Thống kê'!$C$3:$M$970,4,0)</f>
        <v>0</v>
      </c>
      <c r="E1363" s="167">
        <v>2</v>
      </c>
      <c r="F1363" s="168">
        <f t="shared" si="6"/>
        <v>0</v>
      </c>
      <c r="G1363" s="144"/>
      <c r="H1363" s="402">
        <v>184074</v>
      </c>
    </row>
    <row r="1364" spans="1:8" ht="13.2">
      <c r="A1364" s="49"/>
      <c r="B1364" s="16" t="s">
        <v>1523</v>
      </c>
      <c r="C1364" s="143">
        <f>VLOOKUP(B1364,'Thống kê'!$C$3:$D$970,2,0)</f>
        <v>0</v>
      </c>
      <c r="D1364" s="166">
        <f>VLOOKUP(B1364,'Thống kê'!$C$3:$M$970,4,0)</f>
        <v>0</v>
      </c>
      <c r="E1364" s="167">
        <v>2</v>
      </c>
      <c r="F1364" s="168">
        <f t="shared" si="6"/>
        <v>0</v>
      </c>
      <c r="G1364" s="144"/>
      <c r="H1364" s="372"/>
    </row>
    <row r="1365" spans="1:8" ht="13.2">
      <c r="A1365" s="49"/>
      <c r="B1365" s="16" t="s">
        <v>191</v>
      </c>
      <c r="C1365" s="143">
        <f>VLOOKUP(B1365,'Thống kê'!$C$3:$D$970,2,0)</f>
        <v>0</v>
      </c>
      <c r="D1365" s="166">
        <f>VLOOKUP(B1365,'Thống kê'!$C$3:$M$970,4,0)</f>
        <v>0</v>
      </c>
      <c r="E1365" s="167">
        <v>1</v>
      </c>
      <c r="F1365" s="168">
        <f t="shared" si="6"/>
        <v>0</v>
      </c>
      <c r="G1365" s="144"/>
      <c r="H1365" s="175">
        <v>67369</v>
      </c>
    </row>
    <row r="1366" spans="1:8" ht="13.2">
      <c r="A1366" s="49"/>
      <c r="B1366" s="16" t="s">
        <v>138</v>
      </c>
      <c r="C1366" s="143" t="str">
        <f>VLOOKUP(B1366,'Thống kê'!$C$3:$D$970,2,0)</f>
        <v>Móc khoá Crybaby mini Popmart</v>
      </c>
      <c r="D1366" s="166">
        <f>VLOOKUP(B1366,'Thống kê'!$C$3:$M$970,4,0)</f>
        <v>0</v>
      </c>
      <c r="E1366" s="167">
        <v>1</v>
      </c>
      <c r="F1366" s="168">
        <f t="shared" si="6"/>
        <v>0</v>
      </c>
      <c r="G1366" s="144"/>
      <c r="H1366" s="402">
        <v>155406</v>
      </c>
    </row>
    <row r="1367" spans="1:8" ht="13.2">
      <c r="A1367" s="49"/>
      <c r="B1367" s="16" t="s">
        <v>1389</v>
      </c>
      <c r="C1367" s="143" t="str">
        <f>VLOOKUP(B1367,'Thống kê'!$C$3:$D$970,2,0)</f>
        <v>Móc khoá Crybaby mini Popmart</v>
      </c>
      <c r="D1367" s="166">
        <f>VLOOKUP(B1367,'Thống kê'!$C$3:$M$970,4,0)</f>
        <v>0</v>
      </c>
      <c r="E1367" s="167">
        <v>1</v>
      </c>
      <c r="F1367" s="168">
        <f t="shared" si="6"/>
        <v>0</v>
      </c>
      <c r="G1367" s="144"/>
      <c r="H1367" s="372"/>
    </row>
    <row r="1368" spans="1:8" ht="13.2">
      <c r="A1368" s="49"/>
      <c r="B1368" s="16" t="s">
        <v>150</v>
      </c>
      <c r="C1368" s="143" t="str">
        <f>VLOOKUP(B1368,'Thống kê'!$C$3:$D$970,2,0)</f>
        <v>Móc khóa có chuông</v>
      </c>
      <c r="D1368" s="166">
        <f>VLOOKUP(B1368,'Thống kê'!$C$3:$M$970,4,0)</f>
        <v>59000</v>
      </c>
      <c r="E1368" s="167">
        <v>1</v>
      </c>
      <c r="F1368" s="168">
        <f t="shared" si="6"/>
        <v>59000</v>
      </c>
      <c r="G1368" s="144"/>
      <c r="H1368" s="175">
        <v>52850</v>
      </c>
    </row>
    <row r="1369" spans="1:8" ht="13.2">
      <c r="A1369" s="49"/>
      <c r="B1369" s="16" t="s">
        <v>1587</v>
      </c>
      <c r="C1369" s="143" t="str">
        <f>VLOOKUP(B1369,'Thống kê'!$C$3:$D$970,2,0)</f>
        <v>Vịt ú bay</v>
      </c>
      <c r="D1369" s="166">
        <f>VLOOKUP(B1369,'Thống kê'!$C$3:$M$970,4,0)</f>
        <v>64500</v>
      </c>
      <c r="E1369" s="167">
        <v>1</v>
      </c>
      <c r="F1369" s="168">
        <f t="shared" si="6"/>
        <v>64500</v>
      </c>
      <c r="G1369" s="144"/>
      <c r="H1369" s="175">
        <v>52633</v>
      </c>
    </row>
    <row r="1370" spans="1:8" ht="13.2">
      <c r="A1370" s="64">
        <v>45727</v>
      </c>
      <c r="B1370" s="16" t="s">
        <v>262</v>
      </c>
      <c r="C1370" s="143" t="str">
        <f>VLOOKUP(B1370,'Thống kê'!$C$3:$D$970,2,0)</f>
        <v>Pop Bean Baked Bread</v>
      </c>
      <c r="D1370" s="166">
        <f>VLOOKUP(B1370,'Thống kê'!$C$3:$M$970,4,0)</f>
        <v>167000</v>
      </c>
      <c r="E1370" s="167">
        <v>1</v>
      </c>
      <c r="F1370" s="168">
        <f t="shared" si="6"/>
        <v>167000</v>
      </c>
      <c r="G1370" s="144"/>
      <c r="H1370" s="175">
        <v>153550</v>
      </c>
    </row>
    <row r="1371" spans="1:8" ht="13.2">
      <c r="A1371" s="49"/>
      <c r="B1371" s="16" t="s">
        <v>1382</v>
      </c>
      <c r="C1371" s="143" t="str">
        <f>VLOOKUP(B1371,'Thống kê'!$C$3:$D$970,2,0)</f>
        <v>miếng dán silicon điện thoại</v>
      </c>
      <c r="D1371" s="166">
        <f>VLOOKUP(B1371,'Thống kê'!$C$3:$M$970,4,0)</f>
        <v>0</v>
      </c>
      <c r="E1371" s="167">
        <v>1</v>
      </c>
      <c r="F1371" s="168">
        <f t="shared" si="6"/>
        <v>0</v>
      </c>
      <c r="G1371" s="144"/>
      <c r="H1371" s="402">
        <v>87829</v>
      </c>
    </row>
    <row r="1372" spans="1:8" ht="13.2">
      <c r="A1372" s="49"/>
      <c r="B1372" s="16" t="s">
        <v>1481</v>
      </c>
      <c r="C1372" s="143" t="str">
        <f>VLOOKUP(B1372,'Thống kê'!$C$3:$D$970,2,0)</f>
        <v>Móc khoá Dudu nhiều màu sắc treo túi, đeo điện thoại</v>
      </c>
      <c r="D1372" s="166">
        <f>VLOOKUP(B1372,'Thống kê'!$C$3:$M$970,4,0)</f>
        <v>45000</v>
      </c>
      <c r="E1372" s="167">
        <v>1</v>
      </c>
      <c r="F1372" s="168">
        <f t="shared" si="6"/>
        <v>45000</v>
      </c>
      <c r="G1372" s="144"/>
      <c r="H1372" s="372"/>
    </row>
    <row r="1373" spans="1:8" ht="13.2">
      <c r="A1373" s="49"/>
      <c r="B1373" s="16" t="s">
        <v>196</v>
      </c>
      <c r="C1373" s="143">
        <f>VLOOKUP(B1373,'Thống kê'!$C$3:$D$970,2,0)</f>
        <v>0</v>
      </c>
      <c r="D1373" s="166">
        <f>VLOOKUP(B1373,'Thống kê'!$C$3:$M$970,4,0)</f>
        <v>0</v>
      </c>
      <c r="E1373" s="167">
        <v>1</v>
      </c>
      <c r="F1373" s="168">
        <f t="shared" si="6"/>
        <v>0</v>
      </c>
      <c r="G1373" s="144"/>
      <c r="H1373" s="372"/>
    </row>
    <row r="1374" spans="1:8" ht="13.2">
      <c r="A1374" s="64"/>
      <c r="B1374" s="16" t="s">
        <v>1387</v>
      </c>
      <c r="C1374" s="143" t="str">
        <f>VLOOKUP(B1374,'Thống kê'!$C$3:$D$970,2,0)</f>
        <v>Móc khoá Crybaby mini Popmart</v>
      </c>
      <c r="D1374" s="166">
        <f>VLOOKUP(B1374,'Thống kê'!$C$3:$M$970,4,0)</f>
        <v>0</v>
      </c>
      <c r="E1374" s="167">
        <v>1</v>
      </c>
      <c r="F1374" s="168">
        <f t="shared" si="6"/>
        <v>0</v>
      </c>
      <c r="G1374" s="144"/>
      <c r="H1374" s="402">
        <v>482160</v>
      </c>
    </row>
    <row r="1375" spans="1:8" ht="13.2">
      <c r="A1375" s="49"/>
      <c r="B1375" s="16" t="s">
        <v>1384</v>
      </c>
      <c r="C1375" s="143" t="str">
        <f>VLOOKUP(B1375,'Thống kê'!$C$3:$D$970,2,0)</f>
        <v>Móc khoá Crybaby mini Popmart</v>
      </c>
      <c r="D1375" s="166">
        <f>VLOOKUP(B1375,'Thống kê'!$C$3:$M$970,4,0)</f>
        <v>0</v>
      </c>
      <c r="E1375" s="167">
        <v>1</v>
      </c>
      <c r="F1375" s="168">
        <f t="shared" si="6"/>
        <v>0</v>
      </c>
      <c r="G1375" s="144"/>
      <c r="H1375" s="372"/>
    </row>
    <row r="1376" spans="1:8" ht="13.2">
      <c r="A1376" s="49"/>
      <c r="B1376" s="16" t="s">
        <v>1386</v>
      </c>
      <c r="C1376" s="143" t="str">
        <f>VLOOKUP(B1376,'Thống kê'!$C$3:$D$970,2,0)</f>
        <v>Móc khoá Crybaby mini Popmart</v>
      </c>
      <c r="D1376" s="166">
        <f>VLOOKUP(B1376,'Thống kê'!$C$3:$M$970,4,0)</f>
        <v>0</v>
      </c>
      <c r="E1376" s="167">
        <v>1</v>
      </c>
      <c r="F1376" s="168">
        <f t="shared" si="6"/>
        <v>0</v>
      </c>
      <c r="G1376" s="144"/>
      <c r="H1376" s="372"/>
    </row>
    <row r="1377" spans="1:8" ht="13.2">
      <c r="A1377" s="49"/>
      <c r="B1377" s="16" t="s">
        <v>1388</v>
      </c>
      <c r="C1377" s="143" t="str">
        <f>VLOOKUP(B1377,'Thống kê'!$C$3:$D$970,2,0)</f>
        <v>Móc khoá Crybaby mini Popmart</v>
      </c>
      <c r="D1377" s="166">
        <f>VLOOKUP(B1377,'Thống kê'!$C$3:$M$970,4,0)</f>
        <v>0</v>
      </c>
      <c r="E1377" s="167">
        <v>1</v>
      </c>
      <c r="F1377" s="168">
        <f t="shared" si="6"/>
        <v>0</v>
      </c>
      <c r="G1377" s="144"/>
      <c r="H1377" s="372"/>
    </row>
    <row r="1378" spans="1:8" ht="13.2">
      <c r="A1378" s="49"/>
      <c r="B1378" s="16" t="s">
        <v>138</v>
      </c>
      <c r="C1378" s="143" t="str">
        <f>VLOOKUP(B1378,'Thống kê'!$C$3:$D$970,2,0)</f>
        <v>Móc khoá Crybaby mini Popmart</v>
      </c>
      <c r="D1378" s="166">
        <f>VLOOKUP(B1378,'Thống kê'!$C$3:$M$970,4,0)</f>
        <v>0</v>
      </c>
      <c r="E1378" s="167">
        <v>1</v>
      </c>
      <c r="F1378" s="168">
        <f t="shared" si="6"/>
        <v>0</v>
      </c>
      <c r="G1378" s="144"/>
      <c r="H1378" s="372"/>
    </row>
    <row r="1379" spans="1:8" ht="13.2">
      <c r="A1379" s="49"/>
      <c r="B1379" s="16" t="s">
        <v>1389</v>
      </c>
      <c r="C1379" s="143" t="str">
        <f>VLOOKUP(B1379,'Thống kê'!$C$3:$D$970,2,0)</f>
        <v>Móc khoá Crybaby mini Popmart</v>
      </c>
      <c r="D1379" s="166">
        <f>VLOOKUP(B1379,'Thống kê'!$C$3:$M$970,4,0)</f>
        <v>0</v>
      </c>
      <c r="E1379" s="167">
        <v>1</v>
      </c>
      <c r="F1379" s="168">
        <f t="shared" si="6"/>
        <v>0</v>
      </c>
      <c r="G1379" s="144"/>
      <c r="H1379" s="372"/>
    </row>
    <row r="1380" spans="1:8" ht="13.2">
      <c r="A1380" s="49"/>
      <c r="B1380" s="16" t="s">
        <v>115</v>
      </c>
      <c r="C1380" s="143" t="str">
        <f>VLOOKUP(B1380,'Thống kê'!$C$3:$D$970,2,0)</f>
        <v>Heo ú</v>
      </c>
      <c r="D1380" s="166">
        <f>VLOOKUP(B1380,'Thống kê'!$C$3:$M$970,4,0)</f>
        <v>59500</v>
      </c>
      <c r="E1380" s="167">
        <v>1</v>
      </c>
      <c r="F1380" s="168">
        <f t="shared" si="6"/>
        <v>59500</v>
      </c>
      <c r="G1380" s="144"/>
      <c r="H1380" s="402">
        <v>112340</v>
      </c>
    </row>
    <row r="1381" spans="1:8" ht="13.2">
      <c r="A1381" s="49"/>
      <c r="B1381" s="16" t="s">
        <v>1475</v>
      </c>
      <c r="C1381" s="143">
        <f>VLOOKUP(B1381,'Thống kê'!$C$3:$D$970,2,0)</f>
        <v>0</v>
      </c>
      <c r="D1381" s="166">
        <f>VLOOKUP(B1381,'Thống kê'!$C$3:$M$970,4,0)</f>
        <v>0</v>
      </c>
      <c r="E1381" s="167">
        <v>1</v>
      </c>
      <c r="F1381" s="168">
        <f t="shared" si="6"/>
        <v>0</v>
      </c>
      <c r="G1381" s="144"/>
      <c r="H1381" s="372"/>
    </row>
    <row r="1382" spans="1:8" ht="13.2">
      <c r="A1382" s="49"/>
      <c r="B1382" s="16" t="s">
        <v>1824</v>
      </c>
      <c r="C1382" s="143" t="str">
        <f>VLOOKUP(B1382,'Thống kê'!$C$3:$D$970,2,0)</f>
        <v>Cài áo trái tim vàng</v>
      </c>
      <c r="D1382" s="166">
        <f>VLOOKUP(B1382,'Thống kê'!$C$3:$M$970,4,0)</f>
        <v>22900</v>
      </c>
      <c r="E1382" s="167">
        <v>1</v>
      </c>
      <c r="F1382" s="168">
        <f t="shared" si="6"/>
        <v>22900</v>
      </c>
      <c r="G1382" s="144"/>
      <c r="H1382" s="402">
        <v>125516</v>
      </c>
    </row>
    <row r="1383" spans="1:8" ht="13.2">
      <c r="A1383" s="49"/>
      <c r="B1383" s="16" t="s">
        <v>196</v>
      </c>
      <c r="C1383" s="143">
        <f>VLOOKUP(B1383,'Thống kê'!$C$3:$D$970,2,0)</f>
        <v>0</v>
      </c>
      <c r="D1383" s="166">
        <f>VLOOKUP(B1383,'Thống kê'!$C$3:$M$970,4,0)</f>
        <v>0</v>
      </c>
      <c r="E1383" s="167">
        <v>1</v>
      </c>
      <c r="F1383" s="168">
        <f t="shared" si="6"/>
        <v>0</v>
      </c>
      <c r="G1383" s="144"/>
      <c r="H1383" s="372"/>
    </row>
    <row r="1384" spans="1:8" ht="13.2">
      <c r="A1384" s="49"/>
      <c r="B1384" s="16" t="s">
        <v>1524</v>
      </c>
      <c r="C1384" s="143">
        <f>VLOOKUP(B1384,'Thống kê'!$C$3:$D$970,2,0)</f>
        <v>0</v>
      </c>
      <c r="D1384" s="166">
        <f>VLOOKUP(B1384,'Thống kê'!$C$3:$M$970,4,0)</f>
        <v>0</v>
      </c>
      <c r="E1384" s="167">
        <v>1</v>
      </c>
      <c r="F1384" s="168">
        <f t="shared" si="6"/>
        <v>0</v>
      </c>
      <c r="G1384" s="144"/>
      <c r="H1384" s="372"/>
    </row>
    <row r="1385" spans="1:8" ht="13.2">
      <c r="A1385" s="49"/>
      <c r="B1385" s="16" t="s">
        <v>96</v>
      </c>
      <c r="C1385" s="143">
        <f>VLOOKUP(B1385,'Thống kê'!$C$3:$D$970,2,0)</f>
        <v>0</v>
      </c>
      <c r="D1385" s="166">
        <f>VLOOKUP(B1385,'Thống kê'!$C$3:$M$970,4,0)</f>
        <v>0</v>
      </c>
      <c r="E1385" s="167">
        <v>1</v>
      </c>
      <c r="F1385" s="168">
        <f t="shared" si="6"/>
        <v>0</v>
      </c>
      <c r="G1385" s="144"/>
      <c r="H1385" s="175">
        <v>67094</v>
      </c>
    </row>
    <row r="1386" spans="1:8" ht="13.2">
      <c r="A1386" s="49"/>
      <c r="B1386" s="16" t="s">
        <v>138</v>
      </c>
      <c r="C1386" s="143" t="str">
        <f>VLOOKUP(B1386,'Thống kê'!$C$3:$D$970,2,0)</f>
        <v>Móc khoá Crybaby mini Popmart</v>
      </c>
      <c r="D1386" s="166">
        <f>VLOOKUP(B1386,'Thống kê'!$C$3:$M$970,4,0)</f>
        <v>0</v>
      </c>
      <c r="E1386" s="167">
        <v>1</v>
      </c>
      <c r="F1386" s="168">
        <f t="shared" si="6"/>
        <v>0</v>
      </c>
      <c r="G1386" s="144"/>
      <c r="H1386" s="402">
        <v>184828</v>
      </c>
    </row>
    <row r="1387" spans="1:8" ht="13.2">
      <c r="A1387" s="49"/>
      <c r="B1387" s="16" t="s">
        <v>77</v>
      </c>
      <c r="C1387" s="143">
        <f>VLOOKUP(B1387,'Thống kê'!$C$3:$D$970,2,0)</f>
        <v>0</v>
      </c>
      <c r="D1387" s="166">
        <f>VLOOKUP(B1387,'Thống kê'!$C$3:$M$970,4,0)</f>
        <v>0</v>
      </c>
      <c r="E1387" s="167">
        <v>1</v>
      </c>
      <c r="F1387" s="168">
        <f t="shared" si="6"/>
        <v>0</v>
      </c>
      <c r="G1387" s="144"/>
      <c r="H1387" s="372"/>
    </row>
    <row r="1388" spans="1:8" ht="13.2">
      <c r="A1388" s="49"/>
      <c r="B1388" s="16" t="s">
        <v>180</v>
      </c>
      <c r="C1388" s="143">
        <f>VLOOKUP(B1388,'Thống kê'!$C$3:$D$970,2,0)</f>
        <v>0</v>
      </c>
      <c r="D1388" s="166">
        <f>VLOOKUP(B1388,'Thống kê'!$C$3:$M$970,4,0)</f>
        <v>0</v>
      </c>
      <c r="E1388" s="167">
        <v>1</v>
      </c>
      <c r="F1388" s="168">
        <f t="shared" si="6"/>
        <v>0</v>
      </c>
      <c r="G1388" s="144"/>
      <c r="H1388" s="372"/>
    </row>
    <row r="1389" spans="1:8" ht="13.2">
      <c r="A1389" s="49"/>
      <c r="B1389" s="16" t="s">
        <v>1384</v>
      </c>
      <c r="C1389" s="143" t="str">
        <f>VLOOKUP(B1389,'Thống kê'!$C$3:$D$970,2,0)</f>
        <v>Móc khoá Crybaby mini Popmart</v>
      </c>
      <c r="D1389" s="166">
        <f>VLOOKUP(B1389,'Thống kê'!$C$3:$M$970,4,0)</f>
        <v>0</v>
      </c>
      <c r="E1389" s="167">
        <v>1</v>
      </c>
      <c r="F1389" s="168">
        <f t="shared" si="6"/>
        <v>0</v>
      </c>
      <c r="G1389" s="144"/>
      <c r="H1389" s="402">
        <v>155406</v>
      </c>
    </row>
    <row r="1390" spans="1:8" ht="13.2">
      <c r="A1390" s="49"/>
      <c r="B1390" s="16" t="s">
        <v>1386</v>
      </c>
      <c r="C1390" s="143" t="str">
        <f>VLOOKUP(B1390,'Thống kê'!$C$3:$D$970,2,0)</f>
        <v>Móc khoá Crybaby mini Popmart</v>
      </c>
      <c r="D1390" s="166">
        <f>VLOOKUP(B1390,'Thống kê'!$C$3:$M$970,4,0)</f>
        <v>0</v>
      </c>
      <c r="E1390" s="167">
        <v>1</v>
      </c>
      <c r="F1390" s="168">
        <f t="shared" si="6"/>
        <v>0</v>
      </c>
      <c r="G1390" s="144"/>
      <c r="H1390" s="372"/>
    </row>
    <row r="1391" spans="1:8" ht="13.2">
      <c r="A1391" s="49"/>
      <c r="B1391" s="16" t="s">
        <v>191</v>
      </c>
      <c r="C1391" s="143">
        <f>VLOOKUP(B1391,'Thống kê'!$C$3:$D$970,2,0)</f>
        <v>0</v>
      </c>
      <c r="D1391" s="166">
        <f>VLOOKUP(B1391,'Thống kê'!$C$3:$M$970,4,0)</f>
        <v>0</v>
      </c>
      <c r="E1391" s="167">
        <v>1</v>
      </c>
      <c r="F1391" s="168">
        <f t="shared" si="6"/>
        <v>0</v>
      </c>
      <c r="G1391" s="144"/>
      <c r="H1391" s="175">
        <v>67269</v>
      </c>
    </row>
    <row r="1392" spans="1:8" ht="13.2">
      <c r="A1392" s="49"/>
      <c r="B1392" s="16" t="s">
        <v>250</v>
      </c>
      <c r="C1392" s="143">
        <f>VLOOKUP(B1392,'Thống kê'!$C$3:$D$970,2,0)</f>
        <v>0</v>
      </c>
      <c r="D1392" s="166">
        <f>VLOOKUP(B1392,'Thống kê'!$C$3:$M$970,4,0)</f>
        <v>0</v>
      </c>
      <c r="E1392" s="167">
        <v>1</v>
      </c>
      <c r="F1392" s="168">
        <f t="shared" si="6"/>
        <v>0</v>
      </c>
      <c r="G1392" s="144"/>
      <c r="H1392" s="175">
        <v>179446</v>
      </c>
    </row>
    <row r="1393" spans="1:8" ht="13.2">
      <c r="A1393" s="49"/>
      <c r="B1393" s="16" t="s">
        <v>1520</v>
      </c>
      <c r="C1393" s="143">
        <f>VLOOKUP(B1393,'Thống kê'!$C$3:$D$970,2,0)</f>
        <v>0</v>
      </c>
      <c r="D1393" s="166">
        <f>VLOOKUP(B1393,'Thống kê'!$C$3:$M$970,4,0)</f>
        <v>0</v>
      </c>
      <c r="E1393" s="167">
        <v>1</v>
      </c>
      <c r="F1393" s="168">
        <f t="shared" si="6"/>
        <v>0</v>
      </c>
      <c r="G1393" s="144"/>
      <c r="H1393" s="402">
        <v>118080</v>
      </c>
    </row>
    <row r="1394" spans="1:8" ht="13.2">
      <c r="A1394" s="49"/>
      <c r="B1394" s="16" t="s">
        <v>279</v>
      </c>
      <c r="C1394" s="143">
        <f>VLOOKUP(B1394,'Thống kê'!$C$3:$D$970,2,0)</f>
        <v>0</v>
      </c>
      <c r="D1394" s="166">
        <f>VLOOKUP(B1394,'Thống kê'!$C$3:$M$970,4,0)</f>
        <v>0</v>
      </c>
      <c r="E1394" s="167">
        <v>1</v>
      </c>
      <c r="F1394" s="168">
        <f t="shared" si="6"/>
        <v>0</v>
      </c>
      <c r="G1394" s="144"/>
      <c r="H1394" s="372"/>
    </row>
    <row r="1395" spans="1:8" ht="13.2">
      <c r="A1395" s="49"/>
      <c r="B1395" s="16" t="s">
        <v>233</v>
      </c>
      <c r="C1395" s="143">
        <f>VLOOKUP(B1395,'Thống kê'!$C$3:$D$970,2,0)</f>
        <v>0</v>
      </c>
      <c r="D1395" s="166">
        <f>VLOOKUP(B1395,'Thống kê'!$C$3:$M$970,4,0)</f>
        <v>0</v>
      </c>
      <c r="E1395" s="167">
        <v>2</v>
      </c>
      <c r="F1395" s="168">
        <f t="shared" si="6"/>
        <v>0</v>
      </c>
      <c r="G1395" s="144"/>
      <c r="H1395" s="402">
        <v>184074</v>
      </c>
    </row>
    <row r="1396" spans="1:8" ht="13.2">
      <c r="A1396" s="49"/>
      <c r="B1396" s="16" t="s">
        <v>1516</v>
      </c>
      <c r="C1396" s="143">
        <f>VLOOKUP(B1396,'Thống kê'!$C$3:$D$970,2,0)</f>
        <v>0</v>
      </c>
      <c r="D1396" s="166">
        <f>VLOOKUP(B1396,'Thống kê'!$C$3:$M$970,4,0)</f>
        <v>0</v>
      </c>
      <c r="E1396" s="167">
        <v>1</v>
      </c>
      <c r="F1396" s="168">
        <f t="shared" si="6"/>
        <v>0</v>
      </c>
      <c r="G1396" s="144"/>
      <c r="H1396" s="372"/>
    </row>
    <row r="1397" spans="1:8" ht="13.2">
      <c r="A1397" s="49"/>
      <c r="B1397" s="16" t="s">
        <v>140</v>
      </c>
      <c r="C1397" s="143">
        <f>VLOOKUP(B1397,'Thống kê'!$C$3:$D$970,2,0)</f>
        <v>0</v>
      </c>
      <c r="D1397" s="166">
        <f>VLOOKUP(B1397,'Thống kê'!$C$3:$M$970,4,0)</f>
        <v>0</v>
      </c>
      <c r="E1397" s="167">
        <v>1</v>
      </c>
      <c r="F1397" s="168">
        <f t="shared" si="6"/>
        <v>0</v>
      </c>
      <c r="G1397" s="144"/>
      <c r="H1397" s="372"/>
    </row>
    <row r="1398" spans="1:8" ht="13.2">
      <c r="A1398" s="49"/>
      <c r="B1398" s="16" t="s">
        <v>1382</v>
      </c>
      <c r="C1398" s="143" t="str">
        <f>VLOOKUP(B1398,'Thống kê'!$C$3:$D$970,2,0)</f>
        <v>miếng dán silicon điện thoại</v>
      </c>
      <c r="D1398" s="166">
        <f>VLOOKUP(B1398,'Thống kê'!$C$3:$M$970,4,0)</f>
        <v>0</v>
      </c>
      <c r="E1398" s="167">
        <v>1</v>
      </c>
      <c r="F1398" s="168">
        <f t="shared" si="6"/>
        <v>0</v>
      </c>
      <c r="G1398" s="144"/>
      <c r="H1398" s="402">
        <v>55538</v>
      </c>
    </row>
    <row r="1399" spans="1:8" ht="13.2">
      <c r="A1399" s="49"/>
      <c r="B1399" s="16" t="s">
        <v>1519</v>
      </c>
      <c r="C1399" s="143">
        <f>VLOOKUP(B1399,'Thống kê'!$C$3:$D$970,2,0)</f>
        <v>0</v>
      </c>
      <c r="D1399" s="166">
        <f>VLOOKUP(B1399,'Thống kê'!$C$3:$M$970,4,0)</f>
        <v>0</v>
      </c>
      <c r="E1399" s="167">
        <v>1</v>
      </c>
      <c r="F1399" s="168">
        <f t="shared" si="6"/>
        <v>0</v>
      </c>
      <c r="G1399" s="144"/>
      <c r="H1399" s="372"/>
    </row>
    <row r="1400" spans="1:8" ht="13.2">
      <c r="A1400" s="49"/>
      <c r="B1400" s="16" t="s">
        <v>1387</v>
      </c>
      <c r="C1400" s="143" t="str">
        <f>VLOOKUP(B1400,'Thống kê'!$C$3:$D$970,2,0)</f>
        <v>Móc khoá Crybaby mini Popmart</v>
      </c>
      <c r="D1400" s="166">
        <f>VLOOKUP(B1400,'Thống kê'!$C$3:$M$970,4,0)</f>
        <v>0</v>
      </c>
      <c r="E1400" s="167">
        <v>1</v>
      </c>
      <c r="F1400" s="168">
        <f t="shared" si="6"/>
        <v>0</v>
      </c>
      <c r="G1400" s="144"/>
      <c r="H1400" s="176">
        <v>233110</v>
      </c>
    </row>
    <row r="1401" spans="1:8" ht="13.2">
      <c r="A1401" s="49"/>
      <c r="B1401" s="16" t="s">
        <v>1384</v>
      </c>
      <c r="C1401" s="143" t="str">
        <f>VLOOKUP(B1401,'Thống kê'!$C$3:$D$970,2,0)</f>
        <v>Móc khoá Crybaby mini Popmart</v>
      </c>
      <c r="D1401" s="166">
        <f>VLOOKUP(B1401,'Thống kê'!$C$3:$M$970,4,0)</f>
        <v>0</v>
      </c>
      <c r="E1401" s="167">
        <v>1</v>
      </c>
      <c r="F1401" s="168">
        <f t="shared" si="6"/>
        <v>0</v>
      </c>
      <c r="G1401" s="144"/>
      <c r="H1401" s="178"/>
    </row>
    <row r="1402" spans="1:8" ht="13.2">
      <c r="A1402" s="49"/>
      <c r="B1402" s="16" t="s">
        <v>138</v>
      </c>
      <c r="C1402" s="143" t="str">
        <f>VLOOKUP(B1402,'Thống kê'!$C$3:$D$970,2,0)</f>
        <v>Móc khoá Crybaby mini Popmart</v>
      </c>
      <c r="D1402" s="166">
        <f>VLOOKUP(B1402,'Thống kê'!$C$3:$M$970,4,0)</f>
        <v>0</v>
      </c>
      <c r="E1402" s="167">
        <v>1</v>
      </c>
      <c r="F1402" s="168">
        <f t="shared" si="6"/>
        <v>0</v>
      </c>
      <c r="G1402" s="144"/>
      <c r="H1402" s="175"/>
    </row>
    <row r="1403" spans="1:8" ht="13.2">
      <c r="A1403" s="49"/>
      <c r="B1403" s="16" t="s">
        <v>1515</v>
      </c>
      <c r="C1403" s="143">
        <f>VLOOKUP(B1403,'Thống kê'!$C$3:$D$970,2,0)</f>
        <v>0</v>
      </c>
      <c r="D1403" s="166">
        <f>VLOOKUP(B1403,'Thống kê'!$C$3:$M$970,4,0)</f>
        <v>0</v>
      </c>
      <c r="E1403" s="167">
        <v>1</v>
      </c>
      <c r="F1403" s="168">
        <f t="shared" si="6"/>
        <v>0</v>
      </c>
      <c r="G1403" s="144"/>
      <c r="H1403" s="176">
        <v>49845</v>
      </c>
    </row>
    <row r="1404" spans="1:8" ht="13.2">
      <c r="A1404" s="49"/>
      <c r="B1404" s="16" t="s">
        <v>77</v>
      </c>
      <c r="C1404" s="143">
        <f>VLOOKUP(B1404,'Thống kê'!$C$3:$D$970,2,0)</f>
        <v>0</v>
      </c>
      <c r="D1404" s="166">
        <f>VLOOKUP(B1404,'Thống kê'!$C$3:$M$970,4,0)</f>
        <v>0</v>
      </c>
      <c r="E1404" s="167">
        <v>1</v>
      </c>
      <c r="F1404" s="168">
        <f t="shared" si="6"/>
        <v>0</v>
      </c>
      <c r="G1404" s="144"/>
      <c r="H1404" s="178">
        <v>53262</v>
      </c>
    </row>
    <row r="1405" spans="1:8" ht="13.2">
      <c r="A1405" s="49"/>
      <c r="B1405" s="16" t="s">
        <v>1525</v>
      </c>
      <c r="C1405" s="143">
        <f>VLOOKUP(B1405,'Thống kê'!$C$3:$D$970,2,0)</f>
        <v>0</v>
      </c>
      <c r="D1405" s="166">
        <f>VLOOKUP(B1405,'Thống kê'!$C$3:$M$970,4,0)</f>
        <v>0</v>
      </c>
      <c r="E1405" s="167">
        <v>1</v>
      </c>
      <c r="F1405" s="168">
        <f t="shared" si="6"/>
        <v>0</v>
      </c>
      <c r="G1405" s="144"/>
      <c r="H1405" s="176">
        <v>109880</v>
      </c>
    </row>
    <row r="1406" spans="1:8" ht="13.2">
      <c r="A1406" s="49"/>
      <c r="B1406" s="16" t="s">
        <v>140</v>
      </c>
      <c r="C1406" s="143">
        <f>VLOOKUP(B1406,'Thống kê'!$C$3:$D$970,2,0)</f>
        <v>0</v>
      </c>
      <c r="D1406" s="166">
        <f>VLOOKUP(B1406,'Thống kê'!$C$3:$M$970,4,0)</f>
        <v>0</v>
      </c>
      <c r="E1406" s="167">
        <v>1</v>
      </c>
      <c r="F1406" s="168">
        <f t="shared" si="6"/>
        <v>0</v>
      </c>
      <c r="G1406" s="144"/>
      <c r="H1406" s="177"/>
    </row>
    <row r="1407" spans="1:8" ht="13.2">
      <c r="A1407" s="49"/>
      <c r="B1407" s="16" t="s">
        <v>1386</v>
      </c>
      <c r="C1407" s="143" t="str">
        <f>VLOOKUP(B1407,'Thống kê'!$C$3:$D$970,2,0)</f>
        <v>Móc khoá Crybaby mini Popmart</v>
      </c>
      <c r="D1407" s="166">
        <f>VLOOKUP(B1407,'Thống kê'!$C$3:$M$970,4,0)</f>
        <v>0</v>
      </c>
      <c r="E1407" s="167">
        <v>1</v>
      </c>
      <c r="F1407" s="168">
        <f t="shared" si="6"/>
        <v>0</v>
      </c>
      <c r="G1407" s="144"/>
      <c r="H1407" s="177">
        <v>84460</v>
      </c>
    </row>
    <row r="1408" spans="1:8" ht="13.2">
      <c r="A1408" s="49"/>
      <c r="B1408" s="16" t="s">
        <v>135</v>
      </c>
      <c r="C1408" s="143">
        <f>VLOOKUP(B1408,'Thống kê'!$C$3:$D$970,2,0)</f>
        <v>0</v>
      </c>
      <c r="D1408" s="166">
        <f>VLOOKUP(B1408,'Thống kê'!$C$3:$M$970,4,0)</f>
        <v>0</v>
      </c>
      <c r="E1408" s="167">
        <v>1</v>
      </c>
      <c r="F1408" s="168">
        <f t="shared" si="6"/>
        <v>0</v>
      </c>
      <c r="G1408" s="144"/>
      <c r="H1408" s="177">
        <v>53100</v>
      </c>
    </row>
    <row r="1409" spans="1:8" ht="13.2">
      <c r="A1409" s="49"/>
      <c r="B1409" s="16" t="s">
        <v>1387</v>
      </c>
      <c r="C1409" s="143" t="str">
        <f>VLOOKUP(B1409,'Thống kê'!$C$3:$D$970,2,0)</f>
        <v>Móc khoá Crybaby mini Popmart</v>
      </c>
      <c r="D1409" s="166">
        <f>VLOOKUP(B1409,'Thống kê'!$C$3:$M$970,4,0)</f>
        <v>0</v>
      </c>
      <c r="E1409" s="167">
        <v>1</v>
      </c>
      <c r="F1409" s="168">
        <f t="shared" si="6"/>
        <v>0</v>
      </c>
      <c r="G1409" s="144"/>
      <c r="H1409" s="177">
        <v>136120</v>
      </c>
    </row>
    <row r="1410" spans="1:8" ht="13.2">
      <c r="A1410" s="49"/>
      <c r="B1410" s="16" t="s">
        <v>77</v>
      </c>
      <c r="C1410" s="143">
        <f>VLOOKUP(B1410,'Thống kê'!$C$3:$D$970,2,0)</f>
        <v>0</v>
      </c>
      <c r="D1410" s="166">
        <f>VLOOKUP(B1410,'Thống kê'!$C$3:$M$970,4,0)</f>
        <v>0</v>
      </c>
      <c r="E1410" s="167">
        <v>1</v>
      </c>
      <c r="F1410" s="168">
        <f t="shared" si="6"/>
        <v>0</v>
      </c>
      <c r="G1410" s="144"/>
      <c r="H1410" s="178"/>
    </row>
    <row r="1411" spans="1:8" ht="13.2">
      <c r="A1411" s="49"/>
      <c r="B1411" s="16" t="s">
        <v>143</v>
      </c>
      <c r="C1411" s="143" t="str">
        <f>VLOOKUP(B1411,'Thống kê'!$C$3:$D$970,2,0)</f>
        <v>Mèo ú</v>
      </c>
      <c r="D1411" s="166">
        <f>VLOOKUP(B1411,'Thống kê'!$C$3:$M$970,4,0)</f>
        <v>59500</v>
      </c>
      <c r="E1411" s="167">
        <v>1</v>
      </c>
      <c r="F1411" s="168">
        <f t="shared" si="6"/>
        <v>59500</v>
      </c>
      <c r="G1411" s="144"/>
      <c r="H1411" s="175">
        <v>76945</v>
      </c>
    </row>
    <row r="1412" spans="1:8" ht="13.2">
      <c r="A1412" s="49"/>
      <c r="B1412" s="16" t="s">
        <v>119</v>
      </c>
      <c r="C1412" s="143" t="str">
        <f>VLOOKUP(B1412,'Thống kê'!$C$3:$D$970,2,0)</f>
        <v>Thỏ chạy xe gắn xe</v>
      </c>
      <c r="D1412" s="166">
        <f>VLOOKUP(B1412,'Thống kê'!$C$3:$M$970,4,0)</f>
        <v>45000</v>
      </c>
      <c r="E1412" s="167">
        <v>1</v>
      </c>
      <c r="F1412" s="168">
        <f t="shared" si="6"/>
        <v>45000</v>
      </c>
      <c r="G1412" s="144"/>
      <c r="H1412" s="175"/>
    </row>
    <row r="1413" spans="1:8" ht="13.2">
      <c r="A1413" s="49"/>
      <c r="B1413" s="16" t="s">
        <v>96</v>
      </c>
      <c r="C1413" s="143">
        <f>VLOOKUP(B1413,'Thống kê'!$C$3:$D$970,2,0)</f>
        <v>0</v>
      </c>
      <c r="D1413" s="166">
        <f>VLOOKUP(B1413,'Thống kê'!$C$3:$M$970,4,0)</f>
        <v>0</v>
      </c>
      <c r="E1413" s="167">
        <v>1</v>
      </c>
      <c r="F1413" s="168">
        <f t="shared" si="6"/>
        <v>0</v>
      </c>
      <c r="G1413" s="144"/>
      <c r="H1413" s="175">
        <v>66529</v>
      </c>
    </row>
    <row r="1414" spans="1:8" ht="13.2">
      <c r="A1414" s="64">
        <v>45728</v>
      </c>
      <c r="B1414" s="16" t="s">
        <v>1382</v>
      </c>
      <c r="C1414" s="143" t="str">
        <f>VLOOKUP(B1414,'Thống kê'!$C$3:$D$970,2,0)</f>
        <v>miếng dán silicon điện thoại</v>
      </c>
      <c r="D1414" s="166">
        <f>VLOOKUP(B1414,'Thống kê'!$C$3:$M$970,4,0)</f>
        <v>0</v>
      </c>
      <c r="E1414" s="167">
        <v>2</v>
      </c>
      <c r="F1414" s="168">
        <f t="shared" si="6"/>
        <v>0</v>
      </c>
      <c r="G1414" s="144"/>
      <c r="H1414" s="175">
        <v>153255</v>
      </c>
    </row>
    <row r="1415" spans="1:8" ht="13.2">
      <c r="A1415" s="49"/>
      <c r="B1415" s="16" t="s">
        <v>262</v>
      </c>
      <c r="C1415" s="143" t="str">
        <f>VLOOKUP(B1415,'Thống kê'!$C$3:$D$970,2,0)</f>
        <v>Pop Bean Baked Bread</v>
      </c>
      <c r="D1415" s="166">
        <f>VLOOKUP(B1415,'Thống kê'!$C$3:$M$970,4,0)</f>
        <v>167000</v>
      </c>
      <c r="E1415" s="167">
        <v>1</v>
      </c>
      <c r="F1415" s="168">
        <f t="shared" si="6"/>
        <v>167000</v>
      </c>
      <c r="G1415" s="144"/>
      <c r="H1415" s="175"/>
    </row>
    <row r="1416" spans="1:8" ht="13.2">
      <c r="A1416" s="49"/>
      <c r="B1416" s="16" t="s">
        <v>1382</v>
      </c>
      <c r="C1416" s="143" t="str">
        <f>VLOOKUP(B1416,'Thống kê'!$C$3:$D$970,2,0)</f>
        <v>miếng dán silicon điện thoại</v>
      </c>
      <c r="D1416" s="166">
        <f>VLOOKUP(B1416,'Thống kê'!$C$3:$M$970,4,0)</f>
        <v>0</v>
      </c>
      <c r="E1416" s="167">
        <v>2</v>
      </c>
      <c r="F1416" s="168">
        <f t="shared" si="6"/>
        <v>0</v>
      </c>
      <c r="G1416" s="144"/>
      <c r="H1416" s="175">
        <v>114533</v>
      </c>
    </row>
    <row r="1417" spans="1:8" ht="13.2">
      <c r="A1417" s="49"/>
      <c r="B1417" s="16" t="s">
        <v>196</v>
      </c>
      <c r="C1417" s="143">
        <f>VLOOKUP(B1417,'Thống kê'!$C$3:$D$970,2,0)</f>
        <v>0</v>
      </c>
      <c r="D1417" s="166">
        <f>VLOOKUP(B1417,'Thống kê'!$C$3:$M$970,4,0)</f>
        <v>0</v>
      </c>
      <c r="E1417" s="167">
        <v>1</v>
      </c>
      <c r="F1417" s="168">
        <f t="shared" si="6"/>
        <v>0</v>
      </c>
      <c r="G1417" s="144"/>
      <c r="H1417" s="175"/>
    </row>
    <row r="1418" spans="1:8" ht="13.2">
      <c r="A1418" s="49"/>
      <c r="B1418" s="16" t="s">
        <v>140</v>
      </c>
      <c r="C1418" s="143">
        <f>VLOOKUP(B1418,'Thống kê'!$C$3:$D$970,2,0)</f>
        <v>0</v>
      </c>
      <c r="D1418" s="166">
        <f>VLOOKUP(B1418,'Thống kê'!$C$3:$M$970,4,0)</f>
        <v>0</v>
      </c>
      <c r="E1418" s="167">
        <v>1</v>
      </c>
      <c r="F1418" s="168">
        <f t="shared" si="6"/>
        <v>0</v>
      </c>
      <c r="G1418" s="144"/>
      <c r="H1418" s="175"/>
    </row>
    <row r="1419" spans="1:8" ht="13.2">
      <c r="A1419" s="49"/>
      <c r="B1419" s="16" t="s">
        <v>1472</v>
      </c>
      <c r="C1419" s="143">
        <f>VLOOKUP(B1419,'Thống kê'!$C$3:$D$970,2,0)</f>
        <v>0</v>
      </c>
      <c r="D1419" s="166">
        <f>VLOOKUP(B1419,'Thống kê'!$C$3:$M$970,4,0)</f>
        <v>0</v>
      </c>
      <c r="E1419" s="167">
        <v>1</v>
      </c>
      <c r="F1419" s="168">
        <f t="shared" si="6"/>
        <v>0</v>
      </c>
      <c r="G1419" s="144"/>
      <c r="H1419" s="175">
        <v>142760</v>
      </c>
    </row>
    <row r="1420" spans="1:8" ht="13.2">
      <c r="A1420" s="49"/>
      <c r="B1420" s="16" t="s">
        <v>125</v>
      </c>
      <c r="C1420" s="143">
        <f>VLOOKUP(B1420,'Thống kê'!$C$3:$D$970,2,0)</f>
        <v>0</v>
      </c>
      <c r="D1420" s="166">
        <f>VLOOKUP(B1420,'Thống kê'!$C$3:$M$970,4,0)</f>
        <v>0</v>
      </c>
      <c r="E1420" s="167">
        <v>1</v>
      </c>
      <c r="F1420" s="168">
        <f t="shared" si="6"/>
        <v>0</v>
      </c>
      <c r="G1420" s="144"/>
      <c r="H1420" s="175">
        <v>215004</v>
      </c>
    </row>
    <row r="1421" spans="1:8" ht="13.2">
      <c r="A1421" s="49"/>
      <c r="B1421" s="16" t="s">
        <v>135</v>
      </c>
      <c r="C1421" s="143">
        <f>VLOOKUP(B1421,'Thống kê'!$C$3:$D$970,2,0)</f>
        <v>0</v>
      </c>
      <c r="D1421" s="166">
        <f>VLOOKUP(B1421,'Thống kê'!$C$3:$M$970,4,0)</f>
        <v>0</v>
      </c>
      <c r="E1421" s="167">
        <v>1</v>
      </c>
      <c r="F1421" s="168">
        <f t="shared" si="6"/>
        <v>0</v>
      </c>
      <c r="G1421" s="144"/>
      <c r="H1421" s="175"/>
    </row>
    <row r="1422" spans="1:8" ht="13.2">
      <c r="A1422" s="49"/>
      <c r="B1422" s="16" t="s">
        <v>1522</v>
      </c>
      <c r="C1422" s="143">
        <f>VLOOKUP(B1422,'Thống kê'!$C$3:$D$970,2,0)</f>
        <v>0</v>
      </c>
      <c r="D1422" s="166">
        <f>VLOOKUP(B1422,'Thống kê'!$C$3:$M$970,4,0)</f>
        <v>0</v>
      </c>
      <c r="E1422" s="167">
        <v>1</v>
      </c>
      <c r="F1422" s="168">
        <f t="shared" si="6"/>
        <v>0</v>
      </c>
      <c r="G1422" s="75"/>
      <c r="H1422" s="175"/>
    </row>
    <row r="1423" spans="1:8" ht="13.2">
      <c r="A1423" s="49"/>
      <c r="B1423" s="16" t="s">
        <v>176</v>
      </c>
      <c r="C1423" s="143">
        <f>VLOOKUP(B1423,'Thống kê'!$C$3:$D$970,2,0)</f>
        <v>0</v>
      </c>
      <c r="D1423" s="166">
        <f>VLOOKUP(B1423,'Thống kê'!$C$3:$M$970,4,0)</f>
        <v>0</v>
      </c>
      <c r="E1423" s="167">
        <v>1</v>
      </c>
      <c r="F1423" s="168">
        <f t="shared" si="6"/>
        <v>0</v>
      </c>
      <c r="G1423" s="75"/>
      <c r="H1423" s="175"/>
    </row>
    <row r="1424" spans="1:8" ht="13.2">
      <c r="A1424" s="49"/>
      <c r="B1424" s="16" t="s">
        <v>1396</v>
      </c>
      <c r="C1424" s="143" t="str">
        <f>VLOOKUP(B1424,'Thống kê'!$C$3:$D$970,2,0)</f>
        <v>Móc khoá Labubu mini Popmart</v>
      </c>
      <c r="D1424" s="166">
        <f>VLOOKUP(B1424,'Thống kê'!$C$3:$M$970,4,0)</f>
        <v>0</v>
      </c>
      <c r="E1424" s="167">
        <v>1</v>
      </c>
      <c r="F1424" s="168">
        <f t="shared" si="6"/>
        <v>0</v>
      </c>
      <c r="G1424" s="75"/>
      <c r="H1424" s="175">
        <v>379406</v>
      </c>
    </row>
    <row r="1425" spans="1:8" ht="13.2">
      <c r="A1425" s="49"/>
      <c r="B1425" s="16" t="s">
        <v>201</v>
      </c>
      <c r="C1425" s="143">
        <f>VLOOKUP(B1425,'Thống kê'!$C$3:$D$970,2,0)</f>
        <v>0</v>
      </c>
      <c r="D1425" s="166">
        <f>VLOOKUP(B1425,'Thống kê'!$C$3:$M$970,4,0)</f>
        <v>0</v>
      </c>
      <c r="E1425" s="167">
        <v>1</v>
      </c>
      <c r="F1425" s="168">
        <f t="shared" si="6"/>
        <v>0</v>
      </c>
      <c r="G1425" s="75"/>
      <c r="H1425" s="176"/>
    </row>
    <row r="1426" spans="1:8" ht="13.2">
      <c r="A1426" s="49"/>
      <c r="B1426" s="16" t="s">
        <v>245</v>
      </c>
      <c r="C1426" s="143" t="str">
        <f>VLOOKUP(B1426,'Thống kê'!$C$3:$D$970,2,0)</f>
        <v>Móc khóa Popbean</v>
      </c>
      <c r="D1426" s="166">
        <f>VLOOKUP(B1426,'Thống kê'!$C$3:$M$970,4,0)</f>
        <v>148000</v>
      </c>
      <c r="E1426" s="167">
        <v>1</v>
      </c>
      <c r="F1426" s="168">
        <f t="shared" si="6"/>
        <v>148000</v>
      </c>
      <c r="G1426" s="75"/>
      <c r="H1426" s="178"/>
    </row>
    <row r="1427" spans="1:8" ht="13.2">
      <c r="A1427" s="49"/>
      <c r="B1427" s="16" t="s">
        <v>1591</v>
      </c>
      <c r="C1427" s="143" t="str">
        <f>VLOOKUP(B1427,'Thống kê'!$C$3:$D$970,2,0)</f>
        <v>Thỏ ú</v>
      </c>
      <c r="D1427" s="166">
        <f>VLOOKUP(B1427,'Thống kê'!$C$3:$M$970,4,0)</f>
        <v>59500</v>
      </c>
      <c r="E1427" s="167">
        <v>1</v>
      </c>
      <c r="F1427" s="168">
        <f t="shared" si="6"/>
        <v>59500</v>
      </c>
      <c r="G1427" s="75"/>
      <c r="H1427" s="175">
        <v>53300</v>
      </c>
    </row>
    <row r="1428" spans="1:8" ht="13.2">
      <c r="A1428" s="49"/>
      <c r="B1428" s="16" t="s">
        <v>1397</v>
      </c>
      <c r="C1428" s="143" t="str">
        <f>VLOOKUP(B1428,'Thống kê'!$C$3:$D$970,2,0)</f>
        <v>Móc khoá Labubu mini Popmart</v>
      </c>
      <c r="D1428" s="166">
        <f>VLOOKUP(B1428,'Thống kê'!$C$3:$M$970,4,0)</f>
        <v>0</v>
      </c>
      <c r="E1428" s="167">
        <v>1</v>
      </c>
      <c r="F1428" s="168">
        <f t="shared" si="6"/>
        <v>0</v>
      </c>
      <c r="G1428" s="75"/>
      <c r="H1428" s="176">
        <v>87987</v>
      </c>
    </row>
    <row r="1429" spans="1:8" ht="13.2">
      <c r="A1429" s="49"/>
      <c r="B1429" s="16" t="s">
        <v>1705</v>
      </c>
      <c r="C1429" s="143" t="str">
        <f>VLOOKUP(B1429,'Thống kê'!$C$3:$D$970,2,0)</f>
        <v>Dây treo điện thoại có charm xinh xắn</v>
      </c>
      <c r="D1429" s="166">
        <f>VLOOKUP(B1429,'Thống kê'!$C$3:$M$970,4,0)</f>
        <v>27000</v>
      </c>
      <c r="E1429" s="167">
        <v>1</v>
      </c>
      <c r="F1429" s="168">
        <f t="shared" si="6"/>
        <v>27000</v>
      </c>
      <c r="G1429" s="75"/>
      <c r="H1429" s="177"/>
    </row>
    <row r="1430" spans="1:8" ht="13.2">
      <c r="A1430" s="49"/>
      <c r="B1430" s="16" t="s">
        <v>1515</v>
      </c>
      <c r="C1430" s="143">
        <f>VLOOKUP(B1430,'Thống kê'!$C$3:$D$970,2,0)</f>
        <v>0</v>
      </c>
      <c r="D1430" s="166">
        <f>VLOOKUP(B1430,'Thống kê'!$C$3:$M$970,4,0)</f>
        <v>0</v>
      </c>
      <c r="E1430" s="167">
        <v>1</v>
      </c>
      <c r="F1430" s="168">
        <f t="shared" si="6"/>
        <v>0</v>
      </c>
      <c r="G1430" s="75"/>
      <c r="H1430" s="177">
        <v>93480</v>
      </c>
    </row>
    <row r="1431" spans="1:8" ht="13.2">
      <c r="A1431" s="49"/>
      <c r="B1431" s="16" t="s">
        <v>1519</v>
      </c>
      <c r="C1431" s="143">
        <f>VLOOKUP(B1431,'Thống kê'!$C$3:$D$970,2,0)</f>
        <v>0</v>
      </c>
      <c r="D1431" s="166">
        <f>VLOOKUP(B1431,'Thống kê'!$C$3:$M$970,4,0)</f>
        <v>0</v>
      </c>
      <c r="E1431" s="167">
        <v>1</v>
      </c>
      <c r="F1431" s="168">
        <f t="shared" si="6"/>
        <v>0</v>
      </c>
      <c r="G1431" s="75"/>
      <c r="H1431" s="177"/>
    </row>
    <row r="1432" spans="1:8" ht="13.2">
      <c r="A1432" s="64"/>
      <c r="B1432" s="16" t="s">
        <v>1382</v>
      </c>
      <c r="C1432" s="143" t="str">
        <f>VLOOKUP(B1432,'Thống kê'!$C$3:$D$970,2,0)</f>
        <v>miếng dán silicon điện thoại</v>
      </c>
      <c r="D1432" s="166">
        <f>VLOOKUP(B1432,'Thống kê'!$C$3:$M$970,4,0)</f>
        <v>0</v>
      </c>
      <c r="E1432" s="167">
        <v>2</v>
      </c>
      <c r="F1432" s="168">
        <f t="shared" si="6"/>
        <v>0</v>
      </c>
      <c r="G1432" s="75"/>
      <c r="H1432" s="177">
        <v>114608</v>
      </c>
    </row>
    <row r="1433" spans="1:8" ht="13.2">
      <c r="A1433" s="49"/>
      <c r="B1433" s="16" t="s">
        <v>133</v>
      </c>
      <c r="C1433" s="143">
        <f>VLOOKUP(B1433,'Thống kê'!$C$3:$D$970,2,0)</f>
        <v>0</v>
      </c>
      <c r="D1433" s="166">
        <f>VLOOKUP(B1433,'Thống kê'!$C$3:$M$970,4,0)</f>
        <v>0</v>
      </c>
      <c r="E1433" s="167">
        <v>1</v>
      </c>
      <c r="F1433" s="168">
        <f t="shared" si="6"/>
        <v>0</v>
      </c>
      <c r="G1433" s="75"/>
      <c r="H1433" s="177"/>
    </row>
    <row r="1434" spans="1:8" ht="13.2">
      <c r="A1434" s="49"/>
      <c r="B1434" s="16" t="s">
        <v>77</v>
      </c>
      <c r="C1434" s="143">
        <f>VLOOKUP(B1434,'Thống kê'!$C$3:$D$970,2,0)</f>
        <v>0</v>
      </c>
      <c r="D1434" s="166">
        <f>VLOOKUP(B1434,'Thống kê'!$C$3:$M$970,4,0)</f>
        <v>0</v>
      </c>
      <c r="E1434" s="167">
        <v>1</v>
      </c>
      <c r="F1434" s="168">
        <f t="shared" si="6"/>
        <v>0</v>
      </c>
      <c r="G1434" s="75"/>
      <c r="H1434" s="177"/>
    </row>
    <row r="1435" spans="1:8" ht="13.2">
      <c r="A1435" s="49"/>
      <c r="B1435" s="16" t="s">
        <v>1485</v>
      </c>
      <c r="C1435" s="143" t="str">
        <f>VLOOKUP(B1435,'Thống kê'!$C$3:$D$970,2,0)</f>
        <v>Móc khoá Dudu nhiều màu sắc treo túi, đeo điện thoại</v>
      </c>
      <c r="D1435" s="166">
        <f>VLOOKUP(B1435,'Thống kê'!$C$3:$M$970,4,0)</f>
        <v>45000</v>
      </c>
      <c r="E1435" s="167"/>
      <c r="F1435" s="168">
        <f t="shared" si="6"/>
        <v>0</v>
      </c>
      <c r="G1435" s="75"/>
      <c r="H1435" s="177">
        <v>64325</v>
      </c>
    </row>
    <row r="1436" spans="1:8" ht="13.2">
      <c r="A1436" s="49"/>
      <c r="B1436" s="16" t="s">
        <v>1486</v>
      </c>
      <c r="C1436" s="143" t="str">
        <f>VLOOKUP(B1436,'Thống kê'!$C$3:$D$970,2,0)</f>
        <v>Móc khoá Dudu nhiều màu sắc treo túi, đeo điện thoại</v>
      </c>
      <c r="D1436" s="166">
        <f>VLOOKUP(B1436,'Thống kê'!$C$3:$M$970,4,0)</f>
        <v>45000</v>
      </c>
      <c r="E1436" s="167"/>
      <c r="F1436" s="168">
        <f t="shared" si="6"/>
        <v>0</v>
      </c>
      <c r="G1436" s="75"/>
      <c r="H1436" s="177"/>
    </row>
    <row r="1437" spans="1:8" ht="13.2">
      <c r="A1437" s="49"/>
      <c r="B1437" s="16" t="s">
        <v>1761</v>
      </c>
      <c r="C1437" s="143">
        <f>VLOOKUP(B1437,'Thống kê'!$C$3:$D$970,2,0)</f>
        <v>0</v>
      </c>
      <c r="D1437" s="166">
        <f>VLOOKUP(B1437,'Thống kê'!$C$3:$M$970,4,0)</f>
        <v>0</v>
      </c>
      <c r="E1437" s="167"/>
      <c r="F1437" s="168">
        <f t="shared" si="6"/>
        <v>0</v>
      </c>
      <c r="G1437" s="75"/>
      <c r="H1437" s="177">
        <v>71115</v>
      </c>
    </row>
    <row r="1438" spans="1:8" ht="13.2">
      <c r="A1438" s="49"/>
      <c r="B1438" s="16" t="s">
        <v>1382</v>
      </c>
      <c r="C1438" s="143" t="str">
        <f>VLOOKUP(B1438,'Thống kê'!$C$3:$D$970,2,0)</f>
        <v>miếng dán silicon điện thoại</v>
      </c>
      <c r="D1438" s="166">
        <f>VLOOKUP(B1438,'Thống kê'!$C$3:$M$970,4,0)</f>
        <v>0</v>
      </c>
      <c r="E1438" s="167">
        <v>2</v>
      </c>
      <c r="F1438" s="168">
        <f t="shared" si="6"/>
        <v>0</v>
      </c>
      <c r="G1438" s="75"/>
      <c r="H1438" s="177">
        <v>75992</v>
      </c>
    </row>
    <row r="1439" spans="1:8" ht="13.2">
      <c r="A1439" s="49"/>
      <c r="B1439" s="16" t="s">
        <v>238</v>
      </c>
      <c r="C1439" s="143">
        <f>VLOOKUP(B1439,'Thống kê'!$C$3:$D$970,2,0)</f>
        <v>0</v>
      </c>
      <c r="D1439" s="166">
        <f>VLOOKUP(B1439,'Thống kê'!$C$3:$M$970,4,0)</f>
        <v>0</v>
      </c>
      <c r="E1439" s="167">
        <v>1</v>
      </c>
      <c r="F1439" s="168">
        <f t="shared" si="6"/>
        <v>0</v>
      </c>
      <c r="G1439" s="75"/>
      <c r="H1439" s="177"/>
    </row>
    <row r="1440" spans="1:8" ht="13.2">
      <c r="A1440" s="49"/>
      <c r="B1440" s="16" t="s">
        <v>1382</v>
      </c>
      <c r="C1440" s="143" t="str">
        <f>VLOOKUP(B1440,'Thống kê'!$C$3:$D$970,2,0)</f>
        <v>miếng dán silicon điện thoại</v>
      </c>
      <c r="D1440" s="166">
        <f>VLOOKUP(B1440,'Thống kê'!$C$3:$M$970,4,0)</f>
        <v>0</v>
      </c>
      <c r="E1440" s="167">
        <v>2</v>
      </c>
      <c r="F1440" s="168">
        <f t="shared" si="6"/>
        <v>0</v>
      </c>
      <c r="G1440" s="75"/>
      <c r="H1440" s="177">
        <v>183901</v>
      </c>
    </row>
    <row r="1441" spans="1:8" ht="13.2">
      <c r="A1441" s="64"/>
      <c r="B1441" s="16" t="s">
        <v>140</v>
      </c>
      <c r="C1441" s="143">
        <f>VLOOKUP(B1441,'Thống kê'!$C$3:$D$970,2,0)</f>
        <v>0</v>
      </c>
      <c r="D1441" s="166">
        <f>VLOOKUP(B1441,'Thống kê'!$C$3:$M$970,4,0)</f>
        <v>0</v>
      </c>
      <c r="E1441" s="167">
        <v>1</v>
      </c>
      <c r="F1441" s="168">
        <f t="shared" si="6"/>
        <v>0</v>
      </c>
      <c r="G1441" s="75"/>
      <c r="H1441" s="177"/>
    </row>
    <row r="1442" spans="1:8" ht="13.2">
      <c r="A1442" s="49"/>
      <c r="B1442" s="16" t="s">
        <v>1388</v>
      </c>
      <c r="C1442" s="143" t="str">
        <f>VLOOKUP(B1442,'Thống kê'!$C$3:$D$970,2,0)</f>
        <v>Móc khoá Crybaby mini Popmart</v>
      </c>
      <c r="D1442" s="166">
        <f>VLOOKUP(B1442,'Thống kê'!$C$3:$M$970,4,0)</f>
        <v>0</v>
      </c>
      <c r="E1442" s="167">
        <v>1</v>
      </c>
      <c r="F1442" s="168">
        <f t="shared" si="6"/>
        <v>0</v>
      </c>
      <c r="G1442" s="75"/>
      <c r="H1442" s="178"/>
    </row>
    <row r="1443" spans="1:8" ht="13.2">
      <c r="A1443" s="49"/>
      <c r="B1443" s="16" t="s">
        <v>1382</v>
      </c>
      <c r="C1443" s="143" t="str">
        <f>VLOOKUP(B1443,'Thống kê'!$C$3:$D$970,2,0)</f>
        <v>miếng dán silicon điện thoại</v>
      </c>
      <c r="D1443" s="166">
        <f>VLOOKUP(B1443,'Thống kê'!$C$3:$M$970,4,0)</f>
        <v>0</v>
      </c>
      <c r="E1443" s="167">
        <v>4</v>
      </c>
      <c r="F1443" s="168">
        <f t="shared" si="6"/>
        <v>0</v>
      </c>
      <c r="G1443" s="75"/>
      <c r="H1443" s="176">
        <v>9387</v>
      </c>
    </row>
    <row r="1444" spans="1:8" ht="13.2">
      <c r="A1444" s="49"/>
      <c r="B1444" s="16" t="s">
        <v>77</v>
      </c>
      <c r="C1444" s="143">
        <f>VLOOKUP(B1444,'Thống kê'!$C$3:$D$970,2,0)</f>
        <v>0</v>
      </c>
      <c r="D1444" s="166">
        <f>VLOOKUP(B1444,'Thống kê'!$C$3:$M$970,4,0)</f>
        <v>0</v>
      </c>
      <c r="E1444" s="167">
        <v>1</v>
      </c>
      <c r="F1444" s="168">
        <f t="shared" si="6"/>
        <v>0</v>
      </c>
      <c r="G1444" s="75"/>
      <c r="H1444" s="177">
        <v>52912</v>
      </c>
    </row>
    <row r="1445" spans="1:8" ht="13.2">
      <c r="A1445" s="49"/>
      <c r="B1445" s="16" t="s">
        <v>133</v>
      </c>
      <c r="C1445" s="143">
        <f>VLOOKUP(B1445,'Thống kê'!$C$3:$D$970,2,0)</f>
        <v>0</v>
      </c>
      <c r="D1445" s="166">
        <f>VLOOKUP(B1445,'Thống kê'!$C$3:$M$970,4,0)</f>
        <v>0</v>
      </c>
      <c r="E1445" s="167">
        <v>1</v>
      </c>
      <c r="F1445" s="168">
        <f t="shared" si="6"/>
        <v>0</v>
      </c>
      <c r="G1445" s="75"/>
      <c r="H1445" s="177">
        <v>52912</v>
      </c>
    </row>
    <row r="1446" spans="1:8" ht="13.2">
      <c r="A1446" s="49"/>
      <c r="B1446" s="16" t="s">
        <v>1516</v>
      </c>
      <c r="C1446" s="143">
        <f>VLOOKUP(B1446,'Thống kê'!$C$3:$D$970,2,0)</f>
        <v>0</v>
      </c>
      <c r="D1446" s="166">
        <f>VLOOKUP(B1446,'Thống kê'!$C$3:$M$970,4,0)</f>
        <v>0</v>
      </c>
      <c r="E1446" s="167">
        <v>1</v>
      </c>
      <c r="F1446" s="168">
        <f t="shared" si="6"/>
        <v>0</v>
      </c>
      <c r="G1446" s="75"/>
      <c r="H1446" s="178">
        <v>53487</v>
      </c>
    </row>
    <row r="1447" spans="1:8" ht="13.2">
      <c r="A1447" s="49"/>
      <c r="B1447" s="16" t="s">
        <v>119</v>
      </c>
      <c r="C1447" s="143" t="str">
        <f>VLOOKUP(B1447,'Thống kê'!$C$3:$D$970,2,0)</f>
        <v>Thỏ chạy xe gắn xe</v>
      </c>
      <c r="D1447" s="166">
        <f>VLOOKUP(B1447,'Thống kê'!$C$3:$M$970,4,0)</f>
        <v>45000</v>
      </c>
      <c r="E1447" s="167">
        <v>1</v>
      </c>
      <c r="F1447" s="168">
        <f t="shared" si="6"/>
        <v>45000</v>
      </c>
      <c r="G1447" s="75"/>
      <c r="H1447" s="175">
        <v>30380</v>
      </c>
    </row>
    <row r="1448" spans="1:8" ht="13.2">
      <c r="A1448" s="49"/>
      <c r="B1448" s="16" t="s">
        <v>119</v>
      </c>
      <c r="C1448" s="143" t="str">
        <f>VLOOKUP(B1448,'Thống kê'!$C$3:$D$970,2,0)</f>
        <v>Thỏ chạy xe gắn xe</v>
      </c>
      <c r="D1448" s="166">
        <f>VLOOKUP(B1448,'Thống kê'!$C$3:$M$970,4,0)</f>
        <v>45000</v>
      </c>
      <c r="E1448" s="167">
        <v>1</v>
      </c>
      <c r="F1448" s="168">
        <f t="shared" si="6"/>
        <v>45000</v>
      </c>
      <c r="G1448" s="75"/>
      <c r="H1448" s="175">
        <v>88696</v>
      </c>
    </row>
    <row r="1449" spans="1:8" ht="13.2">
      <c r="A1449" s="49"/>
      <c r="B1449" s="16" t="s">
        <v>310</v>
      </c>
      <c r="C1449" s="143" t="str">
        <f>VLOOKUP(B1449,'Thống kê'!$C$3:$D$970,2,0)</f>
        <v>Trang trí mô hình Heo</v>
      </c>
      <c r="D1449" s="166">
        <f>VLOOKUP(B1449,'Thống kê'!$C$3:$M$970,4,0)</f>
        <v>39000</v>
      </c>
      <c r="E1449" s="167">
        <v>1</v>
      </c>
      <c r="F1449" s="168">
        <f t="shared" si="6"/>
        <v>39000</v>
      </c>
      <c r="G1449" s="75"/>
      <c r="H1449" s="176"/>
    </row>
    <row r="1450" spans="1:8" ht="13.2">
      <c r="A1450" s="49"/>
      <c r="B1450" s="16" t="s">
        <v>1481</v>
      </c>
      <c r="C1450" s="143" t="str">
        <f>VLOOKUP(B1450,'Thống kê'!$C$3:$D$970,2,0)</f>
        <v>Móc khoá Dudu nhiều màu sắc treo túi, đeo điện thoại</v>
      </c>
      <c r="D1450" s="166">
        <f>VLOOKUP(B1450,'Thống kê'!$C$3:$M$970,4,0)</f>
        <v>45000</v>
      </c>
      <c r="E1450" s="167">
        <v>1</v>
      </c>
      <c r="F1450" s="168">
        <f t="shared" si="6"/>
        <v>45000</v>
      </c>
      <c r="G1450" s="75"/>
      <c r="H1450" s="178"/>
    </row>
    <row r="1451" spans="1:8" ht="13.2">
      <c r="A1451" s="49"/>
      <c r="B1451" s="16" t="s">
        <v>1825</v>
      </c>
      <c r="C1451" s="143" t="str">
        <f>VLOOKUP(B1451,'Thống kê'!$C$3:$D$970,2,0)</f>
        <v>Túi Đựng Mắt Kính Da Pu</v>
      </c>
      <c r="D1451" s="166">
        <f>VLOOKUP(B1451,'Thống kê'!$C$3:$M$970,4,0)</f>
        <v>0</v>
      </c>
      <c r="E1451" s="167">
        <v>1</v>
      </c>
      <c r="F1451" s="168">
        <f t="shared" si="6"/>
        <v>0</v>
      </c>
      <c r="G1451" s="75"/>
      <c r="H1451" s="175">
        <v>129354</v>
      </c>
    </row>
    <row r="1452" spans="1:8" ht="13.2">
      <c r="A1452" s="49"/>
      <c r="B1452" s="16" t="s">
        <v>1524</v>
      </c>
      <c r="C1452" s="143">
        <f>VLOOKUP(B1452,'Thống kê'!$C$3:$D$970,2,0)</f>
        <v>0</v>
      </c>
      <c r="D1452" s="166">
        <f>VLOOKUP(B1452,'Thống kê'!$C$3:$M$970,4,0)</f>
        <v>0</v>
      </c>
      <c r="E1452" s="167">
        <v>1</v>
      </c>
      <c r="F1452" s="168">
        <f t="shared" si="6"/>
        <v>0</v>
      </c>
      <c r="G1452" s="75"/>
      <c r="H1452" s="175"/>
    </row>
    <row r="1453" spans="1:8" ht="13.2">
      <c r="A1453" s="49"/>
      <c r="B1453" s="16" t="s">
        <v>1523</v>
      </c>
      <c r="C1453" s="143">
        <f>VLOOKUP(B1453,'Thống kê'!$C$3:$D$970,2,0)</f>
        <v>0</v>
      </c>
      <c r="D1453" s="166">
        <f>VLOOKUP(B1453,'Thống kê'!$C$3:$M$970,4,0)</f>
        <v>0</v>
      </c>
      <c r="E1453" s="167">
        <v>1</v>
      </c>
      <c r="F1453" s="168">
        <f t="shared" si="6"/>
        <v>0</v>
      </c>
      <c r="G1453" s="75"/>
      <c r="H1453" s="175"/>
    </row>
    <row r="1454" spans="1:8" ht="13.2">
      <c r="A1454" s="49"/>
      <c r="B1454" s="16" t="s">
        <v>1464</v>
      </c>
      <c r="C1454" s="143">
        <f>VLOOKUP(B1454,'Thống kê'!$C$3:$D$970,2,0)</f>
        <v>0</v>
      </c>
      <c r="D1454" s="166">
        <f>VLOOKUP(B1454,'Thống kê'!$C$3:$M$970,4,0)</f>
        <v>0</v>
      </c>
      <c r="E1454" s="167">
        <v>1</v>
      </c>
      <c r="F1454" s="168">
        <f t="shared" si="6"/>
        <v>0</v>
      </c>
      <c r="G1454" s="75"/>
      <c r="H1454" s="176">
        <v>309960</v>
      </c>
    </row>
    <row r="1455" spans="1:8" ht="13.2">
      <c r="A1455" s="49"/>
      <c r="B1455" s="16" t="s">
        <v>1466</v>
      </c>
      <c r="C1455" s="143">
        <f>VLOOKUP(B1455,'Thống kê'!$C$3:$D$970,2,0)</f>
        <v>0</v>
      </c>
      <c r="D1455" s="166">
        <f>VLOOKUP(B1455,'Thống kê'!$C$3:$M$970,4,0)</f>
        <v>0</v>
      </c>
      <c r="E1455" s="167">
        <v>1</v>
      </c>
      <c r="F1455" s="168">
        <f t="shared" si="6"/>
        <v>0</v>
      </c>
      <c r="G1455" s="75"/>
      <c r="H1455" s="177"/>
    </row>
    <row r="1456" spans="1:8" ht="13.2">
      <c r="A1456" s="49"/>
      <c r="B1456" s="16" t="s">
        <v>1467</v>
      </c>
      <c r="C1456" s="143">
        <f>VLOOKUP(B1456,'Thống kê'!$C$3:$D$970,2,0)</f>
        <v>0</v>
      </c>
      <c r="D1456" s="166">
        <f>VLOOKUP(B1456,'Thống kê'!$C$3:$M$970,4,0)</f>
        <v>0</v>
      </c>
      <c r="E1456" s="167">
        <v>1</v>
      </c>
      <c r="F1456" s="168">
        <f t="shared" si="6"/>
        <v>0</v>
      </c>
      <c r="G1456" s="75"/>
      <c r="H1456" s="177"/>
    </row>
    <row r="1457" spans="1:8" ht="13.2">
      <c r="A1457" s="49"/>
      <c r="B1457" s="16" t="s">
        <v>228</v>
      </c>
      <c r="C1457" s="143">
        <f>VLOOKUP(B1457,'Thống kê'!$C$3:$D$970,2,0)</f>
        <v>0</v>
      </c>
      <c r="D1457" s="166">
        <f>VLOOKUP(B1457,'Thống kê'!$C$3:$M$970,4,0)</f>
        <v>0</v>
      </c>
      <c r="E1457" s="167">
        <v>1</v>
      </c>
      <c r="F1457" s="168">
        <f t="shared" si="6"/>
        <v>0</v>
      </c>
      <c r="G1457" s="75"/>
      <c r="H1457" s="177"/>
    </row>
    <row r="1458" spans="1:8" ht="13.2">
      <c r="A1458" s="49"/>
      <c r="B1458" s="16" t="s">
        <v>229</v>
      </c>
      <c r="C1458" s="143">
        <f>VLOOKUP(B1458,'Thống kê'!$C$3:$D$970,2,0)</f>
        <v>0</v>
      </c>
      <c r="D1458" s="166">
        <f>VLOOKUP(B1458,'Thống kê'!$C$3:$M$970,4,0)</f>
        <v>0</v>
      </c>
      <c r="E1458" s="167">
        <v>1</v>
      </c>
      <c r="F1458" s="168">
        <f t="shared" si="6"/>
        <v>0</v>
      </c>
      <c r="G1458" s="75"/>
      <c r="H1458" s="177"/>
    </row>
    <row r="1459" spans="1:8" ht="13.2">
      <c r="A1459" s="49"/>
      <c r="B1459" s="16" t="s">
        <v>267</v>
      </c>
      <c r="C1459" s="143">
        <f>VLOOKUP(B1459,'Thống kê'!$C$3:$D$970,2,0)</f>
        <v>0</v>
      </c>
      <c r="D1459" s="166">
        <f>VLOOKUP(B1459,'Thống kê'!$C$3:$M$970,4,0)</f>
        <v>0</v>
      </c>
      <c r="E1459" s="167">
        <v>1</v>
      </c>
      <c r="F1459" s="168">
        <f t="shared" si="6"/>
        <v>0</v>
      </c>
      <c r="G1459" s="75"/>
      <c r="H1459" s="177">
        <v>142760</v>
      </c>
    </row>
    <row r="1460" spans="1:8" ht="13.2">
      <c r="A1460" s="49"/>
      <c r="B1460" s="16" t="s">
        <v>149</v>
      </c>
      <c r="C1460" s="143" t="str">
        <f>VLOOKUP(B1460,'Thống kê'!$C$3:$D$970,2,0)</f>
        <v>ếch</v>
      </c>
      <c r="D1460" s="166">
        <f>VLOOKUP(B1460,'Thống kê'!$C$3:$M$970,4,0)</f>
        <v>35000</v>
      </c>
      <c r="E1460" s="167">
        <v>1</v>
      </c>
      <c r="F1460" s="168">
        <f t="shared" si="6"/>
        <v>35000</v>
      </c>
      <c r="G1460" s="75"/>
      <c r="H1460" s="177">
        <v>26329</v>
      </c>
    </row>
    <row r="1461" spans="1:8" ht="13.2">
      <c r="A1461" s="49"/>
      <c r="B1461" s="16" t="s">
        <v>112</v>
      </c>
      <c r="C1461" s="143">
        <f>VLOOKUP(B1461,'Thống kê'!$C$3:$D$970,2,0)</f>
        <v>0</v>
      </c>
      <c r="D1461" s="166">
        <f>VLOOKUP(B1461,'Thống kê'!$C$3:$M$970,4,0)</f>
        <v>0</v>
      </c>
      <c r="E1461" s="167">
        <v>1</v>
      </c>
      <c r="F1461" s="168">
        <f t="shared" si="6"/>
        <v>0</v>
      </c>
      <c r="G1461" s="75"/>
      <c r="H1461" s="177">
        <v>87740</v>
      </c>
    </row>
    <row r="1462" spans="1:8" ht="13.2">
      <c r="A1462" s="49"/>
      <c r="B1462" s="16" t="s">
        <v>1634</v>
      </c>
      <c r="C1462" s="143" t="str">
        <f>VLOOKUP(B1462,'Thống kê'!$C$3:$D$970,2,0)</f>
        <v>Móc khóa mèo đen cá</v>
      </c>
      <c r="D1462" s="166">
        <f>VLOOKUP(B1462,'Thống kê'!$C$3:$M$970,4,0)</f>
        <v>59000</v>
      </c>
      <c r="E1462" s="167">
        <v>1</v>
      </c>
      <c r="F1462" s="168">
        <f t="shared" si="6"/>
        <v>59000</v>
      </c>
      <c r="G1462" s="75"/>
      <c r="H1462" s="177">
        <v>47833</v>
      </c>
    </row>
    <row r="1463" spans="1:8" ht="13.2">
      <c r="A1463" s="64"/>
      <c r="B1463" s="16" t="s">
        <v>1775</v>
      </c>
      <c r="C1463" s="143" t="e">
        <f>VLOOKUP(B1463,'Thống kê'!$C$3:$D$970,2,0)</f>
        <v>#N/A</v>
      </c>
      <c r="D1463" s="166" t="e">
        <f>VLOOKUP(B1463,'Thống kê'!$C$3:$M$970,4,0)</f>
        <v>#N/A</v>
      </c>
      <c r="E1463" s="167">
        <v>1</v>
      </c>
      <c r="F1463" s="168" t="e">
        <f t="shared" si="6"/>
        <v>#N/A</v>
      </c>
      <c r="G1463" s="75"/>
      <c r="H1463" s="177">
        <v>52397</v>
      </c>
    </row>
    <row r="1464" spans="1:8" ht="13.2">
      <c r="A1464" s="49"/>
      <c r="B1464" s="16" t="s">
        <v>1826</v>
      </c>
      <c r="C1464" s="143" t="str">
        <f>VLOOKUP(B1464,'Thống kê'!$C$3:$D$970,2,0)</f>
        <v>Túi đựng đồ trang điểm nhỏ</v>
      </c>
      <c r="D1464" s="166">
        <f>VLOOKUP(B1464,'Thống kê'!$C$3:$M$970,4,0)</f>
        <v>0</v>
      </c>
      <c r="E1464" s="167">
        <v>1</v>
      </c>
      <c r="F1464" s="168">
        <f t="shared" si="6"/>
        <v>0</v>
      </c>
      <c r="G1464" s="75"/>
      <c r="H1464" s="178">
        <v>36900</v>
      </c>
    </row>
    <row r="1465" spans="1:8" ht="13.2">
      <c r="A1465" s="49"/>
      <c r="B1465" s="16" t="s">
        <v>258</v>
      </c>
      <c r="C1465" s="143" t="str">
        <f>VLOOKUP(B1465,'Thống kê'!$C$3:$D$970,2,0)</f>
        <v>Móc khoá Crybaby mini Popmart</v>
      </c>
      <c r="D1465" s="166">
        <f>VLOOKUP(B1465,'Thống kê'!$C$3:$M$970,4,0)</f>
        <v>0</v>
      </c>
      <c r="E1465" s="167">
        <v>1</v>
      </c>
      <c r="F1465" s="168">
        <f t="shared" si="6"/>
        <v>0</v>
      </c>
      <c r="G1465" s="75"/>
      <c r="H1465" s="175">
        <v>233110</v>
      </c>
    </row>
    <row r="1466" spans="1:8" ht="13.2">
      <c r="A1466" s="49"/>
      <c r="B1466" s="16" t="s">
        <v>138</v>
      </c>
      <c r="C1466" s="143" t="str">
        <f>VLOOKUP(B1466,'Thống kê'!$C$3:$D$970,2,0)</f>
        <v>Móc khoá Crybaby mini Popmart</v>
      </c>
      <c r="D1466" s="166">
        <f>VLOOKUP(B1466,'Thống kê'!$C$3:$M$970,4,0)</f>
        <v>0</v>
      </c>
      <c r="E1466" s="167">
        <v>1</v>
      </c>
      <c r="F1466" s="168">
        <f t="shared" si="6"/>
        <v>0</v>
      </c>
      <c r="G1466" s="75"/>
      <c r="H1466" s="176"/>
    </row>
    <row r="1467" spans="1:8" ht="13.2">
      <c r="A1467" s="64">
        <v>45729</v>
      </c>
      <c r="B1467" s="16" t="s">
        <v>1389</v>
      </c>
      <c r="C1467" s="143" t="str">
        <f>VLOOKUP(B1467,'Thống kê'!$C$3:$D$970,2,0)</f>
        <v>Móc khoá Crybaby mini Popmart</v>
      </c>
      <c r="D1467" s="166">
        <f>VLOOKUP(B1467,'Thống kê'!$C$3:$M$970,4,0)</f>
        <v>0</v>
      </c>
      <c r="E1467" s="167">
        <v>1</v>
      </c>
      <c r="F1467" s="168">
        <f t="shared" si="6"/>
        <v>0</v>
      </c>
      <c r="G1467" s="75"/>
      <c r="H1467" s="178"/>
    </row>
    <row r="1468" spans="1:8" ht="13.2">
      <c r="A1468" s="49"/>
      <c r="B1468" s="16" t="s">
        <v>1515</v>
      </c>
      <c r="C1468" s="143">
        <f>VLOOKUP(B1468,'Thống kê'!$C$3:$D$970,2,0)</f>
        <v>0</v>
      </c>
      <c r="D1468" s="166">
        <f>VLOOKUP(B1468,'Thống kê'!$C$3:$M$970,4,0)</f>
        <v>0</v>
      </c>
      <c r="E1468" s="167">
        <v>-1</v>
      </c>
      <c r="F1468" s="168">
        <f t="shared" si="6"/>
        <v>0</v>
      </c>
      <c r="G1468" s="75"/>
      <c r="H1468" s="176">
        <v>-64500</v>
      </c>
    </row>
    <row r="1469" spans="1:8" ht="13.2">
      <c r="A1469" s="49"/>
      <c r="B1469" s="16" t="s">
        <v>85</v>
      </c>
      <c r="C1469" s="143">
        <f>VLOOKUP(B1469,'Thống kê'!$C$3:$D$970,2,0)</f>
        <v>0</v>
      </c>
      <c r="D1469" s="166">
        <f>VLOOKUP(B1469,'Thống kê'!$C$3:$M$970,4,0)</f>
        <v>0</v>
      </c>
      <c r="E1469" s="167">
        <v>-1</v>
      </c>
      <c r="F1469" s="168">
        <f t="shared" si="6"/>
        <v>0</v>
      </c>
      <c r="G1469" s="75"/>
      <c r="H1469" s="177">
        <v>-72750</v>
      </c>
    </row>
    <row r="1470" spans="1:8" ht="13.2">
      <c r="A1470" s="49"/>
      <c r="B1470" s="16" t="s">
        <v>135</v>
      </c>
      <c r="C1470" s="143">
        <f>VLOOKUP(B1470,'Thống kê'!$C$3:$D$970,2,0)</f>
        <v>0</v>
      </c>
      <c r="D1470" s="166">
        <f>VLOOKUP(B1470,'Thống kê'!$C$3:$M$970,4,0)</f>
        <v>0</v>
      </c>
      <c r="E1470" s="167">
        <v>-1</v>
      </c>
      <c r="F1470" s="168">
        <f t="shared" si="6"/>
        <v>0</v>
      </c>
      <c r="G1470" s="75"/>
      <c r="H1470" s="177">
        <v>-65050</v>
      </c>
    </row>
    <row r="1471" spans="1:8" ht="13.2">
      <c r="A1471" s="49"/>
      <c r="B1471" s="16" t="s">
        <v>1342</v>
      </c>
      <c r="C1471" s="143" t="str">
        <f>VLOOKUP(B1471,'Thống kê'!$C$3:$D$970,2,0)</f>
        <v>Móc khóa chuối</v>
      </c>
      <c r="D1471" s="166">
        <f>VLOOKUP(B1471,'Thống kê'!$C$3:$M$970,4,0)</f>
        <v>148000</v>
      </c>
      <c r="E1471" s="167">
        <v>-1</v>
      </c>
      <c r="F1471" s="168">
        <f t="shared" si="6"/>
        <v>-148000</v>
      </c>
      <c r="G1471" s="75"/>
      <c r="H1471" s="177">
        <v>-196236</v>
      </c>
    </row>
    <row r="1472" spans="1:8" ht="13.2">
      <c r="A1472" s="49"/>
      <c r="B1472" s="16" t="s">
        <v>133</v>
      </c>
      <c r="C1472" s="143">
        <f>VLOOKUP(B1472,'Thống kê'!$C$3:$D$970,2,0)</f>
        <v>0</v>
      </c>
      <c r="D1472" s="166">
        <f>VLOOKUP(B1472,'Thống kê'!$C$3:$M$970,4,0)</f>
        <v>0</v>
      </c>
      <c r="E1472" s="167">
        <v>-1</v>
      </c>
      <c r="F1472" s="168">
        <f t="shared" si="6"/>
        <v>0</v>
      </c>
      <c r="G1472" s="75"/>
      <c r="H1472" s="403"/>
    </row>
    <row r="1473" spans="1:8" ht="13.2">
      <c r="A1473" s="49"/>
      <c r="B1473" s="16" t="s">
        <v>196</v>
      </c>
      <c r="C1473" s="143">
        <f>VLOOKUP(B1473,'Thống kê'!$C$3:$D$970,2,0)</f>
        <v>0</v>
      </c>
      <c r="D1473" s="166">
        <f>VLOOKUP(B1473,'Thống kê'!$C$3:$M$970,4,0)</f>
        <v>0</v>
      </c>
      <c r="E1473" s="167">
        <v>-1</v>
      </c>
      <c r="F1473" s="168">
        <f t="shared" si="6"/>
        <v>0</v>
      </c>
      <c r="G1473" s="75"/>
      <c r="H1473" s="373"/>
    </row>
    <row r="1474" spans="1:8" ht="13.2">
      <c r="A1474" s="49"/>
      <c r="B1474" s="16" t="s">
        <v>196</v>
      </c>
      <c r="C1474" s="143">
        <f>VLOOKUP(B1474,'Thống kê'!$C$3:$D$970,2,0)</f>
        <v>0</v>
      </c>
      <c r="D1474" s="166">
        <f>VLOOKUP(B1474,'Thống kê'!$C$3:$M$970,4,0)</f>
        <v>0</v>
      </c>
      <c r="E1474" s="167">
        <v>-1</v>
      </c>
      <c r="F1474" s="168">
        <f t="shared" si="6"/>
        <v>0</v>
      </c>
      <c r="G1474" s="75"/>
      <c r="H1474" s="177">
        <v>-116840</v>
      </c>
    </row>
    <row r="1475" spans="1:8" ht="13.2">
      <c r="A1475" s="49"/>
      <c r="B1475" s="16" t="s">
        <v>223</v>
      </c>
      <c r="C1475" s="143">
        <f>VLOOKUP(B1475,'Thống kê'!$C$3:$D$970,2,0)</f>
        <v>0</v>
      </c>
      <c r="D1475" s="166">
        <f>VLOOKUP(B1475,'Thống kê'!$C$3:$M$970,4,0)</f>
        <v>0</v>
      </c>
      <c r="E1475" s="167">
        <v>1</v>
      </c>
      <c r="F1475" s="168">
        <f t="shared" si="6"/>
        <v>0</v>
      </c>
      <c r="G1475" s="75"/>
      <c r="H1475" s="178">
        <v>87740</v>
      </c>
    </row>
    <row r="1476" spans="1:8" ht="13.2">
      <c r="A1476" s="49"/>
      <c r="B1476" s="16" t="s">
        <v>1446</v>
      </c>
      <c r="C1476" s="143" t="str">
        <f>VLOOKUP(B1476,'Thống kê'!$C$3:$D$970,2,0)</f>
        <v>túi mù mô hình</v>
      </c>
      <c r="D1476" s="166">
        <f>VLOOKUP(B1476,'Thống kê'!$C$3:$M$970,4,0)</f>
        <v>0</v>
      </c>
      <c r="E1476" s="167">
        <v>1</v>
      </c>
      <c r="F1476" s="168">
        <f t="shared" si="6"/>
        <v>0</v>
      </c>
      <c r="G1476" s="75"/>
      <c r="H1476" s="175">
        <v>218776</v>
      </c>
    </row>
    <row r="1477" spans="1:8" ht="13.2">
      <c r="A1477" s="49"/>
      <c r="B1477" s="16" t="s">
        <v>1384</v>
      </c>
      <c r="C1477" s="143" t="str">
        <f>VLOOKUP(B1477,'Thống kê'!$C$3:$D$970,2,0)</f>
        <v>Móc khoá Crybaby mini Popmart</v>
      </c>
      <c r="D1477" s="166">
        <f>VLOOKUP(B1477,'Thống kê'!$C$3:$M$970,4,0)</f>
        <v>0</v>
      </c>
      <c r="E1477" s="167">
        <v>1</v>
      </c>
      <c r="F1477" s="168">
        <f t="shared" si="6"/>
        <v>0</v>
      </c>
      <c r="G1477" s="75"/>
      <c r="H1477" s="175"/>
    </row>
    <row r="1478" spans="1:8" ht="13.2">
      <c r="A1478" s="49"/>
      <c r="B1478" s="16" t="s">
        <v>196</v>
      </c>
      <c r="C1478" s="143">
        <f>VLOOKUP(B1478,'Thống kê'!$C$3:$D$970,2,0)</f>
        <v>0</v>
      </c>
      <c r="D1478" s="166">
        <f>VLOOKUP(B1478,'Thống kê'!$C$3:$M$970,4,0)</f>
        <v>0</v>
      </c>
      <c r="E1478" s="167">
        <v>1</v>
      </c>
      <c r="F1478" s="168">
        <f t="shared" si="6"/>
        <v>0</v>
      </c>
      <c r="G1478" s="75"/>
      <c r="H1478" s="175"/>
    </row>
    <row r="1479" spans="1:8" ht="13.2">
      <c r="A1479" s="49"/>
      <c r="B1479" s="16" t="s">
        <v>1518</v>
      </c>
      <c r="C1479" s="143">
        <f>VLOOKUP(B1479,'Thống kê'!$C$3:$D$970,2,0)</f>
        <v>0</v>
      </c>
      <c r="D1479" s="166">
        <f>VLOOKUP(B1479,'Thống kê'!$C$3:$M$970,4,0)</f>
        <v>0</v>
      </c>
      <c r="E1479" s="167">
        <v>1</v>
      </c>
      <c r="F1479" s="168">
        <f t="shared" si="6"/>
        <v>0</v>
      </c>
      <c r="G1479" s="75"/>
      <c r="H1479" s="176"/>
    </row>
    <row r="1480" spans="1:8" ht="13.2">
      <c r="A1480" s="49"/>
      <c r="B1480" s="16" t="s">
        <v>1467</v>
      </c>
      <c r="C1480" s="143">
        <f>VLOOKUP(B1480,'Thống kê'!$C$3:$D$970,2,0)</f>
        <v>0</v>
      </c>
      <c r="D1480" s="166">
        <f>VLOOKUP(B1480,'Thống kê'!$C$3:$M$970,4,0)</f>
        <v>0</v>
      </c>
      <c r="E1480" s="167">
        <v>1</v>
      </c>
      <c r="F1480" s="168">
        <f t="shared" si="6"/>
        <v>0</v>
      </c>
      <c r="G1480" s="75"/>
      <c r="H1480" s="177">
        <v>62790</v>
      </c>
    </row>
    <row r="1481" spans="1:8" ht="13.2">
      <c r="A1481" s="49"/>
      <c r="B1481" s="16" t="s">
        <v>143</v>
      </c>
      <c r="C1481" s="143" t="str">
        <f>VLOOKUP(B1481,'Thống kê'!$C$3:$D$970,2,0)</f>
        <v>Mèo ú</v>
      </c>
      <c r="D1481" s="166">
        <f>VLOOKUP(B1481,'Thống kê'!$C$3:$M$970,4,0)</f>
        <v>59500</v>
      </c>
      <c r="E1481" s="167">
        <v>1</v>
      </c>
      <c r="F1481" s="168">
        <f t="shared" si="6"/>
        <v>59500</v>
      </c>
      <c r="G1481" s="75"/>
      <c r="H1481" s="178">
        <v>52925</v>
      </c>
    </row>
    <row r="1482" spans="1:8" ht="13.2">
      <c r="A1482" s="49"/>
      <c r="B1482" s="16" t="s">
        <v>1387</v>
      </c>
      <c r="C1482" s="143" t="str">
        <f>VLOOKUP(B1482,'Thống kê'!$C$3:$D$970,2,0)</f>
        <v>Móc khoá Crybaby mini Popmart</v>
      </c>
      <c r="D1482" s="166">
        <f>VLOOKUP(B1482,'Thống kê'!$C$3:$M$970,4,0)</f>
        <v>0</v>
      </c>
      <c r="E1482" s="167">
        <v>1</v>
      </c>
      <c r="F1482" s="168">
        <f t="shared" si="6"/>
        <v>0</v>
      </c>
      <c r="G1482" s="75"/>
      <c r="H1482" s="176">
        <v>77000</v>
      </c>
    </row>
    <row r="1483" spans="1:8" ht="13.2">
      <c r="A1483" s="49"/>
      <c r="B1483" s="16" t="s">
        <v>1519</v>
      </c>
      <c r="C1483" s="143">
        <f>VLOOKUP(B1483,'Thống kê'!$C$3:$D$970,2,0)</f>
        <v>0</v>
      </c>
      <c r="D1483" s="166">
        <f>VLOOKUP(B1483,'Thống kê'!$C$3:$M$970,4,0)</f>
        <v>0</v>
      </c>
      <c r="E1483" s="167">
        <v>1</v>
      </c>
      <c r="F1483" s="168">
        <f t="shared" si="6"/>
        <v>0</v>
      </c>
      <c r="G1483" s="75"/>
      <c r="H1483" s="177">
        <v>53562</v>
      </c>
    </row>
    <row r="1484" spans="1:8" ht="13.2">
      <c r="A1484" s="49"/>
      <c r="B1484" s="16" t="s">
        <v>1382</v>
      </c>
      <c r="C1484" s="143" t="str">
        <f>VLOOKUP(B1484,'Thống kê'!$C$3:$D$970,2,0)</f>
        <v>miếng dán silicon điện thoại</v>
      </c>
      <c r="D1484" s="166">
        <f>VLOOKUP(B1484,'Thống kê'!$C$3:$M$970,4,0)</f>
        <v>0</v>
      </c>
      <c r="E1484" s="167">
        <v>1</v>
      </c>
      <c r="F1484" s="168">
        <f t="shared" si="6"/>
        <v>0</v>
      </c>
      <c r="G1484" s="75"/>
      <c r="H1484" s="178">
        <v>55738</v>
      </c>
    </row>
    <row r="1485" spans="1:8" ht="13.2">
      <c r="A1485" s="49"/>
      <c r="B1485" s="16" t="s">
        <v>140</v>
      </c>
      <c r="C1485" s="143">
        <f>VLOOKUP(B1485,'Thống kê'!$C$3:$D$970,2,0)</f>
        <v>0</v>
      </c>
      <c r="D1485" s="166">
        <f>VLOOKUP(B1485,'Thống kê'!$C$3:$M$970,4,0)</f>
        <v>0</v>
      </c>
      <c r="E1485" s="167">
        <v>1</v>
      </c>
      <c r="F1485" s="168">
        <f t="shared" si="6"/>
        <v>0</v>
      </c>
      <c r="G1485" s="75"/>
      <c r="H1485" s="175"/>
    </row>
    <row r="1486" spans="1:8" ht="13.2">
      <c r="A1486" s="49"/>
      <c r="B1486" s="16" t="s">
        <v>119</v>
      </c>
      <c r="C1486" s="143" t="str">
        <f>VLOOKUP(B1486,'Thống kê'!$C$3:$D$970,2,0)</f>
        <v>Thỏ chạy xe gắn xe</v>
      </c>
      <c r="D1486" s="166">
        <f>VLOOKUP(B1486,'Thống kê'!$C$3:$M$970,4,0)</f>
        <v>45000</v>
      </c>
      <c r="E1486" s="167">
        <v>1</v>
      </c>
      <c r="F1486" s="168">
        <f t="shared" si="6"/>
        <v>45000</v>
      </c>
      <c r="G1486" s="75"/>
      <c r="H1486" s="176">
        <v>103238</v>
      </c>
    </row>
    <row r="1487" spans="1:8" ht="13.2">
      <c r="A1487" s="49"/>
      <c r="B1487" s="16" t="s">
        <v>232</v>
      </c>
      <c r="C1487" s="143" t="str">
        <f>VLOOKUP(B1487,'Thống kê'!$C$3:$D$970,2,0)</f>
        <v>Cáo gắn xe</v>
      </c>
      <c r="D1487" s="166">
        <f>VLOOKUP(B1487,'Thống kê'!$C$3:$M$970,4,0)</f>
        <v>45000</v>
      </c>
      <c r="E1487" s="167">
        <v>1</v>
      </c>
      <c r="F1487" s="168">
        <f t="shared" si="6"/>
        <v>45000</v>
      </c>
      <c r="G1487" s="75"/>
      <c r="H1487" s="177"/>
    </row>
    <row r="1488" spans="1:8" ht="13.2">
      <c r="A1488" s="49"/>
      <c r="B1488" s="16" t="s">
        <v>1375</v>
      </c>
      <c r="C1488" s="143" t="str">
        <f>VLOOKUP(B1488,'Thống kê'!$C$3:$D$970,2,0)</f>
        <v>Mô hình thần tài</v>
      </c>
      <c r="D1488" s="166">
        <f>VLOOKUP(B1488,'Thống kê'!$C$3:$M$970,4,0)</f>
        <v>59800</v>
      </c>
      <c r="E1488" s="167">
        <v>1</v>
      </c>
      <c r="F1488" s="168">
        <f t="shared" si="6"/>
        <v>59800</v>
      </c>
      <c r="G1488" s="75"/>
      <c r="H1488" s="177"/>
    </row>
    <row r="1489" spans="1:8" ht="13.2">
      <c r="A1489" s="49"/>
      <c r="B1489" s="16" t="s">
        <v>125</v>
      </c>
      <c r="C1489" s="143">
        <f>VLOOKUP(B1489,'Thống kê'!$C$3:$D$970,2,0)</f>
        <v>0</v>
      </c>
      <c r="D1489" s="166">
        <f>VLOOKUP(B1489,'Thống kê'!$C$3:$M$970,4,0)</f>
        <v>0</v>
      </c>
      <c r="E1489" s="167">
        <v>2</v>
      </c>
      <c r="F1489" s="168">
        <f t="shared" si="6"/>
        <v>0</v>
      </c>
      <c r="G1489" s="75"/>
      <c r="H1489" s="177">
        <v>175398</v>
      </c>
    </row>
    <row r="1490" spans="1:8" ht="13.2">
      <c r="A1490" s="49"/>
      <c r="B1490" s="16" t="s">
        <v>1523</v>
      </c>
      <c r="C1490" s="143">
        <f>VLOOKUP(B1490,'Thống kê'!$C$3:$D$970,2,0)</f>
        <v>0</v>
      </c>
      <c r="D1490" s="166">
        <f>VLOOKUP(B1490,'Thống kê'!$C$3:$M$970,4,0)</f>
        <v>0</v>
      </c>
      <c r="E1490" s="167">
        <v>1</v>
      </c>
      <c r="F1490" s="168">
        <f t="shared" si="6"/>
        <v>0</v>
      </c>
      <c r="G1490" s="75"/>
      <c r="H1490" s="177"/>
    </row>
    <row r="1491" spans="1:8" ht="13.2">
      <c r="A1491" s="49"/>
      <c r="B1491" s="16" t="s">
        <v>1520</v>
      </c>
      <c r="C1491" s="143">
        <f>VLOOKUP(B1491,'Thống kê'!$C$3:$D$970,2,0)</f>
        <v>0</v>
      </c>
      <c r="D1491" s="166">
        <f>VLOOKUP(B1491,'Thống kê'!$C$3:$M$970,4,0)</f>
        <v>0</v>
      </c>
      <c r="E1491" s="167">
        <v>1</v>
      </c>
      <c r="F1491" s="168">
        <f t="shared" si="6"/>
        <v>0</v>
      </c>
      <c r="G1491" s="75"/>
      <c r="H1491" s="178">
        <v>52357</v>
      </c>
    </row>
    <row r="1492" spans="1:8" ht="13.2">
      <c r="A1492" s="49"/>
      <c r="B1492" s="16" t="s">
        <v>1649</v>
      </c>
      <c r="C1492" s="143" t="str">
        <f>VLOOKUP(B1492,'Thống kê'!$C$3:$D$970,2,0)</f>
        <v>Túi chườm bụng trái bơ 1000ml</v>
      </c>
      <c r="D1492" s="166">
        <f>VLOOKUP(B1492,'Thống kê'!$C$3:$M$970,4,0)</f>
        <v>101150</v>
      </c>
      <c r="E1492" s="167">
        <v>1</v>
      </c>
      <c r="F1492" s="168">
        <f t="shared" si="6"/>
        <v>101150</v>
      </c>
      <c r="G1492" s="75"/>
      <c r="H1492" s="175">
        <v>165802</v>
      </c>
    </row>
    <row r="1493" spans="1:8" ht="13.2">
      <c r="A1493" s="49"/>
      <c r="B1493" s="16" t="s">
        <v>1386</v>
      </c>
      <c r="C1493" s="143" t="str">
        <f>VLOOKUP(B1493,'Thống kê'!$C$3:$D$970,2,0)</f>
        <v>Móc khoá Crybaby mini Popmart</v>
      </c>
      <c r="D1493" s="166">
        <f>VLOOKUP(B1493,'Thống kê'!$C$3:$M$970,4,0)</f>
        <v>0</v>
      </c>
      <c r="E1493" s="167">
        <v>1</v>
      </c>
      <c r="F1493" s="168">
        <f t="shared" si="6"/>
        <v>0</v>
      </c>
      <c r="G1493" s="75"/>
      <c r="H1493" s="175"/>
    </row>
    <row r="1494" spans="1:8" ht="13.2">
      <c r="A1494" s="49"/>
      <c r="B1494" s="16" t="s">
        <v>1642</v>
      </c>
      <c r="C1494" s="143" t="str">
        <f>VLOOKUP(B1494,'Thống kê'!$C$3:$D$970,2,0)</f>
        <v>Túi chườm bụng dứa (xanh đậm) 1000ml</v>
      </c>
      <c r="D1494" s="166">
        <f>VLOOKUP(B1494,'Thống kê'!$C$3:$M$970,4,0)</f>
        <v>101150</v>
      </c>
      <c r="E1494" s="167">
        <v>1</v>
      </c>
      <c r="F1494" s="168">
        <f t="shared" si="6"/>
        <v>101150</v>
      </c>
      <c r="G1494" s="75"/>
      <c r="H1494" s="402">
        <v>259905</v>
      </c>
    </row>
    <row r="1495" spans="1:8" ht="13.2">
      <c r="A1495" s="49"/>
      <c r="B1495" s="16" t="s">
        <v>258</v>
      </c>
      <c r="C1495" s="143" t="str">
        <f>VLOOKUP(B1495,'Thống kê'!$C$3:$D$970,2,0)</f>
        <v>Móc khoá Crybaby mini Popmart</v>
      </c>
      <c r="D1495" s="166">
        <f>VLOOKUP(B1495,'Thống kê'!$C$3:$M$970,4,0)</f>
        <v>0</v>
      </c>
      <c r="E1495" s="167">
        <v>1</v>
      </c>
      <c r="F1495" s="168">
        <f t="shared" si="6"/>
        <v>0</v>
      </c>
      <c r="G1495" s="75"/>
      <c r="H1495" s="372"/>
    </row>
    <row r="1496" spans="1:8" ht="13.2">
      <c r="A1496" s="49"/>
      <c r="B1496" s="16" t="s">
        <v>1388</v>
      </c>
      <c r="C1496" s="143" t="str">
        <f>VLOOKUP(B1496,'Thống kê'!$C$3:$D$970,2,0)</f>
        <v>Móc khoá Crybaby mini Popmart</v>
      </c>
      <c r="D1496" s="166">
        <f>VLOOKUP(B1496,'Thống kê'!$C$3:$M$970,4,0)</f>
        <v>0</v>
      </c>
      <c r="E1496" s="167">
        <v>1</v>
      </c>
      <c r="F1496" s="168">
        <f t="shared" si="6"/>
        <v>0</v>
      </c>
      <c r="G1496" s="75"/>
      <c r="H1496" s="373"/>
    </row>
    <row r="1497" spans="1:8" ht="13.2">
      <c r="A1497" s="49"/>
      <c r="B1497" s="16" t="s">
        <v>1522</v>
      </c>
      <c r="C1497" s="143">
        <f>VLOOKUP(B1497,'Thống kê'!$C$3:$D$970,2,0)</f>
        <v>0</v>
      </c>
      <c r="D1497" s="166">
        <f>VLOOKUP(B1497,'Thống kê'!$C$3:$M$970,4,0)</f>
        <v>0</v>
      </c>
      <c r="E1497" s="167">
        <v>1</v>
      </c>
      <c r="F1497" s="168">
        <f t="shared" si="6"/>
        <v>0</v>
      </c>
      <c r="G1497" s="75"/>
      <c r="H1497" s="403">
        <v>125870</v>
      </c>
    </row>
    <row r="1498" spans="1:8" ht="13.2">
      <c r="A1498" s="49"/>
      <c r="B1498" s="16" t="s">
        <v>96</v>
      </c>
      <c r="C1498" s="143">
        <f>VLOOKUP(B1498,'Thống kê'!$C$3:$D$970,2,0)</f>
        <v>0</v>
      </c>
      <c r="D1498" s="166">
        <f>VLOOKUP(B1498,'Thống kê'!$C$3:$M$970,4,0)</f>
        <v>0</v>
      </c>
      <c r="E1498" s="167">
        <v>1</v>
      </c>
      <c r="F1498" s="168">
        <f t="shared" si="6"/>
        <v>0</v>
      </c>
      <c r="G1498" s="75"/>
      <c r="H1498" s="373"/>
    </row>
    <row r="1499" spans="1:8" ht="13.2">
      <c r="A1499" s="49"/>
      <c r="B1499" s="16" t="s">
        <v>1519</v>
      </c>
      <c r="C1499" s="143">
        <f>VLOOKUP(B1499,'Thống kê'!$C$3:$D$970,2,0)</f>
        <v>0</v>
      </c>
      <c r="D1499" s="166">
        <f>VLOOKUP(B1499,'Thống kê'!$C$3:$M$970,4,0)</f>
        <v>0</v>
      </c>
      <c r="E1499" s="167">
        <v>1</v>
      </c>
      <c r="F1499" s="168">
        <f t="shared" si="6"/>
        <v>0</v>
      </c>
      <c r="G1499" s="75"/>
      <c r="H1499" s="176">
        <v>90200</v>
      </c>
    </row>
    <row r="1500" spans="1:8" ht="13.2">
      <c r="A1500" s="49"/>
      <c r="B1500" s="16" t="s">
        <v>1460</v>
      </c>
      <c r="C1500" s="143">
        <f>VLOOKUP(B1500,'Thống kê'!$C$3:$D$970,2,0)</f>
        <v>0</v>
      </c>
      <c r="D1500" s="166">
        <f>VLOOKUP(B1500,'Thống kê'!$C$3:$M$970,4,0)</f>
        <v>85000</v>
      </c>
      <c r="E1500" s="167">
        <v>1</v>
      </c>
      <c r="F1500" s="168">
        <f t="shared" si="6"/>
        <v>85000</v>
      </c>
      <c r="G1500" s="75"/>
      <c r="H1500" s="177">
        <v>56180</v>
      </c>
    </row>
    <row r="1501" spans="1:8" ht="13.2">
      <c r="A1501" s="49"/>
      <c r="B1501" s="16" t="s">
        <v>230</v>
      </c>
      <c r="C1501" s="143" t="str">
        <f>VLOOKUP(B1501,'Thống kê'!$C$3:$D$970,2,0)</f>
        <v>Móc khoá Crybaby mini Popmart</v>
      </c>
      <c r="D1501" s="166">
        <f>VLOOKUP(B1501,'Thống kê'!$C$3:$M$970,4,0)</f>
        <v>0</v>
      </c>
      <c r="E1501" s="167">
        <v>1</v>
      </c>
      <c r="F1501" s="168">
        <f t="shared" si="6"/>
        <v>0</v>
      </c>
      <c r="G1501" s="75"/>
      <c r="H1501" s="403">
        <v>155406</v>
      </c>
    </row>
    <row r="1502" spans="1:8" ht="13.2">
      <c r="A1502" s="64"/>
      <c r="B1502" s="16" t="s">
        <v>1386</v>
      </c>
      <c r="C1502" s="143" t="str">
        <f>VLOOKUP(B1502,'Thống kê'!$C$3:$D$970,2,0)</f>
        <v>Móc khoá Crybaby mini Popmart</v>
      </c>
      <c r="D1502" s="166">
        <f>VLOOKUP(B1502,'Thống kê'!$C$3:$M$970,4,0)</f>
        <v>0</v>
      </c>
      <c r="E1502" s="167">
        <v>1</v>
      </c>
      <c r="F1502" s="168">
        <f t="shared" si="6"/>
        <v>0</v>
      </c>
      <c r="G1502" s="75"/>
      <c r="H1502" s="373"/>
    </row>
    <row r="1503" spans="1:8" ht="13.2">
      <c r="A1503" s="49"/>
      <c r="B1503" s="16" t="s">
        <v>1384</v>
      </c>
      <c r="C1503" s="143" t="str">
        <f>VLOOKUP(B1503,'Thống kê'!$C$3:$D$970,2,0)</f>
        <v>Móc khoá Crybaby mini Popmart</v>
      </c>
      <c r="D1503" s="166">
        <f>VLOOKUP(B1503,'Thống kê'!$C$3:$M$970,4,0)</f>
        <v>0</v>
      </c>
      <c r="E1503" s="167">
        <v>1</v>
      </c>
      <c r="F1503" s="168">
        <f t="shared" si="6"/>
        <v>0</v>
      </c>
      <c r="G1503" s="75"/>
      <c r="H1503" s="177">
        <v>77500</v>
      </c>
    </row>
    <row r="1504" spans="1:8" ht="13.2">
      <c r="A1504" s="49"/>
      <c r="B1504" s="16" t="s">
        <v>1516</v>
      </c>
      <c r="C1504" s="143">
        <f>VLOOKUP(B1504,'Thống kê'!$C$3:$D$970,2,0)</f>
        <v>0</v>
      </c>
      <c r="D1504" s="166">
        <f>VLOOKUP(B1504,'Thống kê'!$C$3:$M$970,4,0)</f>
        <v>0</v>
      </c>
      <c r="E1504" s="167">
        <v>1</v>
      </c>
      <c r="F1504" s="168">
        <f t="shared" si="6"/>
        <v>0</v>
      </c>
      <c r="G1504" s="75"/>
      <c r="H1504" s="178">
        <v>91840</v>
      </c>
    </row>
    <row r="1505" spans="1:8" ht="13.2">
      <c r="A1505" s="49"/>
      <c r="B1505" s="16" t="s">
        <v>1523</v>
      </c>
      <c r="C1505" s="143">
        <f>VLOOKUP(B1505,'Thống kê'!$C$3:$D$970,2,0)</f>
        <v>0</v>
      </c>
      <c r="D1505" s="166">
        <f>VLOOKUP(B1505,'Thống kê'!$C$3:$M$970,4,0)</f>
        <v>0</v>
      </c>
      <c r="E1505" s="167">
        <v>1</v>
      </c>
      <c r="F1505" s="168">
        <f t="shared" si="6"/>
        <v>0</v>
      </c>
      <c r="G1505" s="75"/>
      <c r="H1505" s="402">
        <v>325527</v>
      </c>
    </row>
    <row r="1506" spans="1:8" ht="13.2">
      <c r="A1506" s="49"/>
      <c r="B1506" s="16" t="s">
        <v>1519</v>
      </c>
      <c r="C1506" s="143">
        <f>VLOOKUP(B1506,'Thống kê'!$C$3:$D$970,2,0)</f>
        <v>0</v>
      </c>
      <c r="D1506" s="166">
        <f>VLOOKUP(B1506,'Thống kê'!$C$3:$M$970,4,0)</f>
        <v>0</v>
      </c>
      <c r="E1506" s="167">
        <v>1</v>
      </c>
      <c r="F1506" s="168">
        <f t="shared" si="6"/>
        <v>0</v>
      </c>
      <c r="G1506" s="75"/>
      <c r="H1506" s="372"/>
    </row>
    <row r="1507" spans="1:8" ht="13.2">
      <c r="A1507" s="49"/>
      <c r="B1507" s="16" t="s">
        <v>206</v>
      </c>
      <c r="C1507" s="143" t="str">
        <f>VLOOKUP(B1507,'Thống kê'!$C$3:$D$970,2,0)</f>
        <v>Pop Bean Baked Bread</v>
      </c>
      <c r="D1507" s="166">
        <f>VLOOKUP(B1507,'Thống kê'!$C$3:$M$970,4,0)</f>
        <v>167000</v>
      </c>
      <c r="E1507" s="167">
        <v>1</v>
      </c>
      <c r="F1507" s="168">
        <f t="shared" si="6"/>
        <v>167000</v>
      </c>
      <c r="G1507" s="75"/>
      <c r="H1507" s="373"/>
    </row>
    <row r="1508" spans="1:8" ht="13.2">
      <c r="A1508" s="49"/>
      <c r="B1508" s="16" t="s">
        <v>1519</v>
      </c>
      <c r="C1508" s="143">
        <f>VLOOKUP(B1508,'Thống kê'!$C$3:$D$970,2,0)</f>
        <v>0</v>
      </c>
      <c r="D1508" s="166">
        <f>VLOOKUP(B1508,'Thống kê'!$C$3:$M$970,4,0)</f>
        <v>0</v>
      </c>
      <c r="E1508" s="167">
        <v>1</v>
      </c>
      <c r="F1508" s="168">
        <f t="shared" si="6"/>
        <v>0</v>
      </c>
      <c r="G1508" s="75"/>
      <c r="H1508" s="176">
        <v>53387</v>
      </c>
    </row>
    <row r="1509" spans="1:8" ht="13.2">
      <c r="A1509" s="49"/>
      <c r="B1509" s="16" t="s">
        <v>1589</v>
      </c>
      <c r="C1509" s="143" t="str">
        <f>VLOOKUP(B1509,'Thống kê'!$C$3:$D$970,2,0)</f>
        <v>Heo ú bay</v>
      </c>
      <c r="D1509" s="166">
        <f>VLOOKUP(B1509,'Thống kê'!$C$3:$M$970,4,0)</f>
        <v>64500</v>
      </c>
      <c r="E1509" s="167">
        <v>1</v>
      </c>
      <c r="F1509" s="168">
        <f t="shared" si="6"/>
        <v>64500</v>
      </c>
      <c r="G1509" s="75"/>
      <c r="H1509" s="177">
        <v>52808</v>
      </c>
    </row>
    <row r="1510" spans="1:8" ht="13.2">
      <c r="A1510" s="49"/>
      <c r="B1510" s="16" t="s">
        <v>1591</v>
      </c>
      <c r="C1510" s="143" t="str">
        <f>VLOOKUP(B1510,'Thống kê'!$C$3:$D$970,2,0)</f>
        <v>Thỏ ú</v>
      </c>
      <c r="D1510" s="166">
        <f>VLOOKUP(B1510,'Thống kê'!$C$3:$M$970,4,0)</f>
        <v>59500</v>
      </c>
      <c r="E1510" s="167">
        <v>1</v>
      </c>
      <c r="F1510" s="168">
        <f t="shared" si="6"/>
        <v>59500</v>
      </c>
      <c r="G1510" s="75"/>
      <c r="H1510" s="178">
        <v>53000</v>
      </c>
    </row>
    <row r="1511" spans="1:8" ht="13.2">
      <c r="A1511" s="49"/>
      <c r="B1511" s="16" t="s">
        <v>1386</v>
      </c>
      <c r="C1511" s="143" t="str">
        <f>VLOOKUP(B1511,'Thống kê'!$C$3:$D$970,2,0)</f>
        <v>Móc khoá Crybaby mini Popmart</v>
      </c>
      <c r="D1511" s="166">
        <f>VLOOKUP(B1511,'Thống kê'!$C$3:$M$970,4,0)</f>
        <v>0</v>
      </c>
      <c r="E1511" s="167">
        <v>1</v>
      </c>
      <c r="F1511" s="168">
        <f t="shared" si="6"/>
        <v>0</v>
      </c>
      <c r="G1511" s="75"/>
      <c r="H1511" s="175">
        <v>77550</v>
      </c>
    </row>
    <row r="1512" spans="1:8" ht="13.2">
      <c r="A1512" s="49"/>
      <c r="B1512" s="16" t="s">
        <v>230</v>
      </c>
      <c r="C1512" s="143" t="str">
        <f>VLOOKUP(B1512,'Thống kê'!$C$3:$D$970,2,0)</f>
        <v>Móc khoá Crybaby mini Popmart</v>
      </c>
      <c r="D1512" s="166">
        <f>VLOOKUP(B1512,'Thống kê'!$C$3:$M$970,4,0)</f>
        <v>0</v>
      </c>
      <c r="E1512" s="167">
        <v>1</v>
      </c>
      <c r="F1512" s="168">
        <f t="shared" si="6"/>
        <v>0</v>
      </c>
      <c r="G1512" s="75"/>
      <c r="H1512" s="175">
        <v>77250</v>
      </c>
    </row>
    <row r="1513" spans="1:8" ht="13.2">
      <c r="A1513" s="49"/>
      <c r="B1513" s="16" t="s">
        <v>279</v>
      </c>
      <c r="C1513" s="143">
        <f>VLOOKUP(B1513,'Thống kê'!$C$3:$D$970,2,0)</f>
        <v>0</v>
      </c>
      <c r="D1513" s="166">
        <f>VLOOKUP(B1513,'Thống kê'!$C$3:$M$970,4,0)</f>
        <v>0</v>
      </c>
      <c r="E1513" s="167">
        <v>1</v>
      </c>
      <c r="F1513" s="168">
        <f t="shared" si="6"/>
        <v>0</v>
      </c>
      <c r="G1513" s="75"/>
      <c r="H1513" s="402">
        <v>117874</v>
      </c>
    </row>
    <row r="1514" spans="1:8" ht="13.2">
      <c r="A1514" s="49"/>
      <c r="B1514" s="16" t="s">
        <v>140</v>
      </c>
      <c r="C1514" s="143">
        <f>VLOOKUP(B1514,'Thống kê'!$C$3:$D$970,2,0)</f>
        <v>0</v>
      </c>
      <c r="D1514" s="166">
        <f>VLOOKUP(B1514,'Thống kê'!$C$3:$M$970,4,0)</f>
        <v>0</v>
      </c>
      <c r="E1514" s="167">
        <v>1</v>
      </c>
      <c r="F1514" s="168">
        <f t="shared" si="6"/>
        <v>0</v>
      </c>
      <c r="G1514" s="75"/>
      <c r="H1514" s="372"/>
    </row>
    <row r="1515" spans="1:8" ht="13.2">
      <c r="A1515" s="49"/>
      <c r="B1515" s="16" t="s">
        <v>234</v>
      </c>
      <c r="C1515" s="143" t="str">
        <f>VLOOKUP(B1515,'Thống kê'!$C$3:$D$970,2,0)</f>
        <v>Móc khoá skullpanda phiên bản mini</v>
      </c>
      <c r="D1515" s="166">
        <f>VLOOKUP(B1515,'Thống kê'!$C$3:$M$970,4,0)</f>
        <v>98000</v>
      </c>
      <c r="E1515" s="167">
        <v>1</v>
      </c>
      <c r="F1515" s="168">
        <f t="shared" si="6"/>
        <v>98000</v>
      </c>
      <c r="G1515" s="75"/>
      <c r="H1515" s="402">
        <v>267073</v>
      </c>
    </row>
    <row r="1516" spans="1:8" ht="13.2">
      <c r="A1516" s="49"/>
      <c r="B1516" s="16" t="s">
        <v>1820</v>
      </c>
      <c r="C1516" s="143" t="e">
        <f>VLOOKUP(B1516,'Thống kê'!$C$3:$D$970,2,0)</f>
        <v>#N/A</v>
      </c>
      <c r="D1516" s="166" t="e">
        <f>VLOOKUP(B1516,'Thống kê'!$C$3:$M$970,4,0)</f>
        <v>#N/A</v>
      </c>
      <c r="E1516" s="167">
        <v>1</v>
      </c>
      <c r="F1516" s="168" t="e">
        <f t="shared" si="6"/>
        <v>#N/A</v>
      </c>
      <c r="G1516" s="75"/>
      <c r="H1516" s="372"/>
    </row>
    <row r="1517" spans="1:8" ht="13.2">
      <c r="A1517" s="49"/>
      <c r="B1517" s="16" t="s">
        <v>245</v>
      </c>
      <c r="C1517" s="143" t="str">
        <f>VLOOKUP(B1517,'Thống kê'!$C$3:$D$970,2,0)</f>
        <v>Móc khóa Popbean</v>
      </c>
      <c r="D1517" s="166">
        <f>VLOOKUP(B1517,'Thống kê'!$C$3:$M$970,4,0)</f>
        <v>148000</v>
      </c>
      <c r="E1517" s="167">
        <v>1</v>
      </c>
      <c r="F1517" s="168">
        <f t="shared" si="6"/>
        <v>148000</v>
      </c>
      <c r="G1517" s="75"/>
      <c r="H1517" s="372"/>
    </row>
    <row r="1518" spans="1:8" ht="13.2">
      <c r="A1518" s="49"/>
      <c r="B1518" s="16" t="s">
        <v>1472</v>
      </c>
      <c r="C1518" s="143">
        <f>VLOOKUP(B1518,'Thống kê'!$C$3:$D$970,2,0)</f>
        <v>0</v>
      </c>
      <c r="D1518" s="166">
        <f>VLOOKUP(B1518,'Thống kê'!$C$3:$M$970,4,0)</f>
        <v>0</v>
      </c>
      <c r="E1518" s="167">
        <v>1</v>
      </c>
      <c r="F1518" s="168">
        <f t="shared" si="6"/>
        <v>0</v>
      </c>
      <c r="G1518" s="75"/>
      <c r="H1518" s="402">
        <v>145124</v>
      </c>
    </row>
    <row r="1519" spans="1:8" ht="13.2">
      <c r="A1519" s="49"/>
      <c r="B1519" s="16" t="s">
        <v>1382</v>
      </c>
      <c r="C1519" s="143" t="str">
        <f>VLOOKUP(B1519,'Thống kê'!$C$3:$D$970,2,0)</f>
        <v>miếng dán silicon điện thoại</v>
      </c>
      <c r="D1519" s="166">
        <f>VLOOKUP(B1519,'Thống kê'!$C$3:$M$970,4,0)</f>
        <v>0</v>
      </c>
      <c r="E1519" s="167">
        <v>1</v>
      </c>
      <c r="F1519" s="168">
        <f t="shared" si="6"/>
        <v>0</v>
      </c>
      <c r="G1519" s="75"/>
      <c r="H1519" s="373"/>
    </row>
    <row r="1520" spans="1:8" ht="13.2">
      <c r="A1520" s="64"/>
      <c r="B1520" s="16" t="s">
        <v>112</v>
      </c>
      <c r="C1520" s="143">
        <f>VLOOKUP(B1520,'Thống kê'!$C$3:$D$970,2,0)</f>
        <v>0</v>
      </c>
      <c r="D1520" s="166">
        <f>VLOOKUP(B1520,'Thống kê'!$C$3:$M$970,4,0)</f>
        <v>0</v>
      </c>
      <c r="E1520" s="167">
        <v>-1</v>
      </c>
      <c r="F1520" s="168">
        <f t="shared" si="6"/>
        <v>0</v>
      </c>
      <c r="G1520" s="75"/>
      <c r="H1520" s="177">
        <v>-16500</v>
      </c>
    </row>
    <row r="1521" spans="1:8" ht="13.2">
      <c r="A1521" s="49"/>
      <c r="B1521" s="16" t="s">
        <v>1451</v>
      </c>
      <c r="C1521" s="143">
        <f>VLOOKUP(B1521,'Thống kê'!$C$3:$D$970,2,0)</f>
        <v>0</v>
      </c>
      <c r="D1521" s="166">
        <f>VLOOKUP(B1521,'Thống kê'!$C$3:$M$970,4,0)</f>
        <v>0</v>
      </c>
      <c r="E1521" s="167">
        <v>1</v>
      </c>
      <c r="F1521" s="168">
        <f t="shared" si="6"/>
        <v>0</v>
      </c>
      <c r="G1521" s="75"/>
      <c r="H1521" s="403">
        <v>235678</v>
      </c>
    </row>
    <row r="1522" spans="1:8" ht="13.2">
      <c r="A1522" s="49"/>
      <c r="B1522" s="16" t="s">
        <v>1483</v>
      </c>
      <c r="C1522" s="143" t="str">
        <f>VLOOKUP(B1522,'Thống kê'!$C$3:$D$970,2,0)</f>
        <v>Móc khoá Dudu nhiều màu sắc treo túi, đeo điện thoại</v>
      </c>
      <c r="D1522" s="166">
        <f>VLOOKUP(B1522,'Thống kê'!$C$3:$M$970,4,0)</f>
        <v>45000</v>
      </c>
      <c r="E1522" s="167">
        <v>1</v>
      </c>
      <c r="F1522" s="168">
        <f t="shared" si="6"/>
        <v>45000</v>
      </c>
      <c r="G1522" s="75"/>
      <c r="H1522" s="372"/>
    </row>
    <row r="1523" spans="1:8" ht="13.2">
      <c r="A1523" s="49"/>
      <c r="B1523" s="16" t="s">
        <v>206</v>
      </c>
      <c r="C1523" s="143" t="str">
        <f>VLOOKUP(B1523,'Thống kê'!$C$3:$D$970,2,0)</f>
        <v>Pop Bean Baked Bread</v>
      </c>
      <c r="D1523" s="166">
        <f>VLOOKUP(B1523,'Thống kê'!$C$3:$M$970,4,0)</f>
        <v>167000</v>
      </c>
      <c r="E1523" s="167">
        <v>1</v>
      </c>
      <c r="F1523" s="168">
        <f t="shared" si="6"/>
        <v>167000</v>
      </c>
      <c r="G1523" s="75"/>
      <c r="H1523" s="372"/>
    </row>
    <row r="1524" spans="1:8" ht="13.2">
      <c r="A1524" s="49"/>
      <c r="B1524" s="16" t="s">
        <v>191</v>
      </c>
      <c r="C1524" s="143">
        <f>VLOOKUP(B1524,'Thống kê'!$C$3:$D$970,2,0)</f>
        <v>0</v>
      </c>
      <c r="D1524" s="166">
        <f>VLOOKUP(B1524,'Thống kê'!$C$3:$M$970,4,0)</f>
        <v>0</v>
      </c>
      <c r="E1524" s="167">
        <v>1</v>
      </c>
      <c r="F1524" s="168">
        <f t="shared" si="6"/>
        <v>0</v>
      </c>
      <c r="G1524" s="75"/>
      <c r="H1524" s="402">
        <v>125545</v>
      </c>
    </row>
    <row r="1525" spans="1:8" ht="13.2">
      <c r="A1525" s="49"/>
      <c r="B1525" s="16" t="s">
        <v>96</v>
      </c>
      <c r="C1525" s="143">
        <f>VLOOKUP(B1525,'Thống kê'!$C$3:$D$970,2,0)</f>
        <v>0</v>
      </c>
      <c r="D1525" s="166">
        <f>VLOOKUP(B1525,'Thống kê'!$C$3:$M$970,4,0)</f>
        <v>0</v>
      </c>
      <c r="E1525" s="167">
        <v>1</v>
      </c>
      <c r="F1525" s="168">
        <f t="shared" si="6"/>
        <v>0</v>
      </c>
      <c r="G1525" s="75"/>
      <c r="H1525" s="372"/>
    </row>
    <row r="1526" spans="1:8" ht="13.2">
      <c r="A1526" s="49"/>
      <c r="B1526" s="16" t="s">
        <v>150</v>
      </c>
      <c r="C1526" s="143" t="str">
        <f>VLOOKUP(B1526,'Thống kê'!$C$3:$D$970,2,0)</f>
        <v>Móc khóa có chuông</v>
      </c>
      <c r="D1526" s="166">
        <f>VLOOKUP(B1526,'Thống kê'!$C$3:$M$970,4,0)</f>
        <v>59000</v>
      </c>
      <c r="E1526" s="167">
        <v>1</v>
      </c>
      <c r="F1526" s="168">
        <f t="shared" si="6"/>
        <v>59000</v>
      </c>
      <c r="G1526" s="75"/>
      <c r="H1526" s="402">
        <v>95776</v>
      </c>
    </row>
    <row r="1527" spans="1:8" ht="13.2">
      <c r="A1527" s="49"/>
      <c r="B1527" s="16" t="s">
        <v>1375</v>
      </c>
      <c r="C1527" s="143" t="str">
        <f>VLOOKUP(B1527,'Thống kê'!$C$3:$D$970,2,0)</f>
        <v>Mô hình thần tài</v>
      </c>
      <c r="D1527" s="166">
        <f>VLOOKUP(B1527,'Thống kê'!$C$3:$M$970,4,0)</f>
        <v>59800</v>
      </c>
      <c r="E1527" s="167">
        <v>1</v>
      </c>
      <c r="F1527" s="168">
        <f t="shared" si="6"/>
        <v>59800</v>
      </c>
      <c r="G1527" s="75"/>
      <c r="H1527" s="372"/>
    </row>
    <row r="1528" spans="1:8" ht="13.2">
      <c r="A1528" s="49"/>
      <c r="B1528" s="16" t="s">
        <v>238</v>
      </c>
      <c r="C1528" s="143">
        <f>VLOOKUP(B1528,'Thống kê'!$C$3:$D$970,2,0)</f>
        <v>0</v>
      </c>
      <c r="D1528" s="166">
        <f>VLOOKUP(B1528,'Thống kê'!$C$3:$M$970,4,0)</f>
        <v>0</v>
      </c>
      <c r="E1528" s="167">
        <v>1</v>
      </c>
      <c r="F1528" s="168">
        <f t="shared" si="6"/>
        <v>0</v>
      </c>
      <c r="G1528" s="75"/>
      <c r="H1528" s="175">
        <v>69840</v>
      </c>
    </row>
    <row r="1529" spans="1:8" ht="13.2">
      <c r="A1529" s="49"/>
      <c r="B1529" s="16" t="s">
        <v>206</v>
      </c>
      <c r="C1529" s="143" t="str">
        <f>VLOOKUP(B1529,'Thống kê'!$C$3:$D$970,2,0)</f>
        <v>Pop Bean Baked Bread</v>
      </c>
      <c r="D1529" s="166">
        <f>VLOOKUP(B1529,'Thống kê'!$C$3:$M$970,4,0)</f>
        <v>167000</v>
      </c>
      <c r="E1529" s="167">
        <v>1</v>
      </c>
      <c r="F1529" s="168">
        <f t="shared" si="6"/>
        <v>167000</v>
      </c>
      <c r="G1529" s="75"/>
      <c r="H1529" s="402">
        <v>259624</v>
      </c>
    </row>
    <row r="1530" spans="1:8" ht="13.2">
      <c r="A1530" s="49"/>
      <c r="B1530" s="16" t="s">
        <v>206</v>
      </c>
      <c r="C1530" s="143" t="str">
        <f>VLOOKUP(B1530,'Thống kê'!$C$3:$D$970,2,0)</f>
        <v>Pop Bean Baked Bread</v>
      </c>
      <c r="D1530" s="166">
        <f>VLOOKUP(B1530,'Thống kê'!$C$3:$M$970,4,0)</f>
        <v>167000</v>
      </c>
      <c r="E1530" s="167">
        <v>1</v>
      </c>
      <c r="F1530" s="168">
        <f t="shared" si="6"/>
        <v>167000</v>
      </c>
      <c r="G1530" s="75"/>
      <c r="H1530" s="373"/>
    </row>
    <row r="1531" spans="1:8" ht="13.2">
      <c r="A1531" s="49"/>
      <c r="B1531" s="16" t="s">
        <v>242</v>
      </c>
      <c r="C1531" s="143">
        <f>VLOOKUP(B1531,'Thống kê'!$C$3:$D$970,2,0)</f>
        <v>0</v>
      </c>
      <c r="D1531" s="166">
        <f>VLOOKUP(B1531,'Thống kê'!$C$3:$M$970,4,0)</f>
        <v>0</v>
      </c>
      <c r="E1531" s="167">
        <v>1</v>
      </c>
      <c r="F1531" s="168">
        <f t="shared" si="6"/>
        <v>0</v>
      </c>
      <c r="G1531" s="75"/>
      <c r="H1531" s="177">
        <v>45025</v>
      </c>
    </row>
    <row r="1532" spans="1:8" ht="13.2">
      <c r="A1532" s="49"/>
      <c r="B1532" s="16" t="s">
        <v>206</v>
      </c>
      <c r="C1532" s="143" t="str">
        <f>VLOOKUP(B1532,'Thống kê'!$C$3:$D$970,2,0)</f>
        <v>Pop Bean Baked Bread</v>
      </c>
      <c r="D1532" s="166">
        <f>VLOOKUP(B1532,'Thống kê'!$C$3:$M$970,4,0)</f>
        <v>167000</v>
      </c>
      <c r="E1532" s="167">
        <v>1</v>
      </c>
      <c r="F1532" s="168">
        <f t="shared" si="6"/>
        <v>167000</v>
      </c>
      <c r="G1532" s="75"/>
      <c r="H1532" s="403">
        <v>306680</v>
      </c>
    </row>
    <row r="1533" spans="1:8" ht="13.2">
      <c r="A1533" s="49"/>
      <c r="B1533" s="16" t="s">
        <v>258</v>
      </c>
      <c r="C1533" s="143" t="str">
        <f>VLOOKUP(B1533,'Thống kê'!$C$3:$D$970,2,0)</f>
        <v>Móc khoá Crybaby mini Popmart</v>
      </c>
      <c r="D1533" s="166">
        <f>VLOOKUP(B1533,'Thống kê'!$C$3:$M$970,4,0)</f>
        <v>0</v>
      </c>
      <c r="E1533" s="167">
        <v>1</v>
      </c>
      <c r="F1533" s="168">
        <f t="shared" si="6"/>
        <v>0</v>
      </c>
      <c r="G1533" s="75"/>
      <c r="H1533" s="372"/>
    </row>
    <row r="1534" spans="1:8" ht="13.2">
      <c r="A1534" s="64"/>
      <c r="B1534" s="16" t="s">
        <v>1388</v>
      </c>
      <c r="C1534" s="143" t="str">
        <f>VLOOKUP(B1534,'Thống kê'!$C$3:$D$970,2,0)</f>
        <v>Móc khoá Crybaby mini Popmart</v>
      </c>
      <c r="D1534" s="166">
        <f>VLOOKUP(B1534,'Thống kê'!$C$3:$M$970,4,0)</f>
        <v>0</v>
      </c>
      <c r="E1534" s="167">
        <v>1</v>
      </c>
      <c r="F1534" s="168">
        <f t="shared" si="6"/>
        <v>0</v>
      </c>
      <c r="G1534" s="75"/>
      <c r="H1534" s="372"/>
    </row>
    <row r="1535" spans="1:8" ht="13.2">
      <c r="A1535" s="49"/>
      <c r="B1535" s="16" t="s">
        <v>259</v>
      </c>
      <c r="C1535" s="143" t="str">
        <f>VLOOKUP(B1535,'Thống kê'!$C$3:$D$970,2,0)</f>
        <v>Móc khoá Crybaby mini Popmart</v>
      </c>
      <c r="D1535" s="166">
        <f>VLOOKUP(B1535,'Thống kê'!$C$3:$M$970,4,0)</f>
        <v>0</v>
      </c>
      <c r="E1535" s="167">
        <v>1</v>
      </c>
      <c r="F1535" s="168">
        <f t="shared" si="6"/>
        <v>0</v>
      </c>
      <c r="G1535" s="75"/>
      <c r="H1535" s="373"/>
    </row>
    <row r="1536" spans="1:8" ht="13.2">
      <c r="A1536" s="49"/>
      <c r="B1536" s="16" t="s">
        <v>1382</v>
      </c>
      <c r="C1536" s="143" t="str">
        <f>VLOOKUP(B1536,'Thống kê'!$C$3:$D$970,2,0)</f>
        <v>miếng dán silicon điện thoại</v>
      </c>
      <c r="D1536" s="166">
        <f>VLOOKUP(B1536,'Thống kê'!$C$3:$M$970,4,0)</f>
        <v>0</v>
      </c>
      <c r="E1536" s="167">
        <v>2</v>
      </c>
      <c r="F1536" s="168">
        <f t="shared" si="6"/>
        <v>0</v>
      </c>
      <c r="G1536" s="75"/>
      <c r="H1536" s="403">
        <v>26991</v>
      </c>
    </row>
    <row r="1537" spans="1:8" ht="13.2">
      <c r="A1537" s="49"/>
      <c r="B1537" s="16" t="s">
        <v>1705</v>
      </c>
      <c r="C1537" s="143" t="str">
        <f>VLOOKUP(B1537,'Thống kê'!$C$3:$D$970,2,0)</f>
        <v>Dây treo điện thoại có charm xinh xắn</v>
      </c>
      <c r="D1537" s="166">
        <f>VLOOKUP(B1537,'Thống kê'!$C$3:$M$970,4,0)</f>
        <v>27000</v>
      </c>
      <c r="E1537" s="167">
        <v>1</v>
      </c>
      <c r="F1537" s="168">
        <f t="shared" si="6"/>
        <v>27000</v>
      </c>
      <c r="G1537" s="75"/>
      <c r="H1537" s="373"/>
    </row>
    <row r="1538" spans="1:8" ht="13.2">
      <c r="A1538" s="49"/>
      <c r="B1538" s="16" t="s">
        <v>191</v>
      </c>
      <c r="C1538" s="143">
        <f>VLOOKUP(B1538,'Thống kê'!$C$3:$D$970,2,0)</f>
        <v>0</v>
      </c>
      <c r="D1538" s="166">
        <f>VLOOKUP(B1538,'Thống kê'!$C$3:$M$970,4,0)</f>
        <v>0</v>
      </c>
      <c r="E1538" s="167">
        <v>1</v>
      </c>
      <c r="F1538" s="168">
        <f t="shared" si="6"/>
        <v>0</v>
      </c>
      <c r="G1538" s="75"/>
      <c r="H1538" s="403">
        <v>117874</v>
      </c>
    </row>
    <row r="1539" spans="1:8" ht="13.2">
      <c r="A1539" s="49"/>
      <c r="B1539" s="16" t="s">
        <v>1524</v>
      </c>
      <c r="C1539" s="143">
        <f>VLOOKUP(B1539,'Thống kê'!$C$3:$D$970,2,0)</f>
        <v>0</v>
      </c>
      <c r="D1539" s="166">
        <f>VLOOKUP(B1539,'Thống kê'!$C$3:$M$970,4,0)</f>
        <v>0</v>
      </c>
      <c r="E1539" s="167">
        <v>1</v>
      </c>
      <c r="F1539" s="168">
        <f t="shared" si="6"/>
        <v>0</v>
      </c>
      <c r="G1539" s="75"/>
      <c r="H1539" s="373"/>
    </row>
    <row r="1540" spans="1:8" ht="13.2">
      <c r="A1540" s="49"/>
      <c r="B1540" s="16" t="s">
        <v>250</v>
      </c>
      <c r="C1540" s="143">
        <f>VLOOKUP(B1540,'Thống kê'!$C$3:$D$970,2,0)</f>
        <v>0</v>
      </c>
      <c r="D1540" s="166">
        <f>VLOOKUP(B1540,'Thống kê'!$C$3:$M$970,4,0)</f>
        <v>0</v>
      </c>
      <c r="E1540" s="167">
        <v>1</v>
      </c>
      <c r="F1540" s="168">
        <f t="shared" si="6"/>
        <v>0</v>
      </c>
      <c r="G1540" s="75"/>
      <c r="H1540" s="177">
        <v>179446</v>
      </c>
    </row>
    <row r="1541" spans="1:8" ht="13.2">
      <c r="A1541" s="49"/>
      <c r="B1541" s="16" t="s">
        <v>150</v>
      </c>
      <c r="C1541" s="143" t="str">
        <f>VLOOKUP(B1541,'Thống kê'!$C$3:$D$970,2,0)</f>
        <v>Móc khóa có chuông</v>
      </c>
      <c r="D1541" s="166">
        <f>VLOOKUP(B1541,'Thống kê'!$C$3:$M$970,4,0)</f>
        <v>59000</v>
      </c>
      <c r="E1541" s="167">
        <v>1</v>
      </c>
      <c r="F1541" s="168">
        <f t="shared" si="6"/>
        <v>59000</v>
      </c>
      <c r="G1541" s="75"/>
      <c r="H1541" s="177">
        <v>52900</v>
      </c>
    </row>
    <row r="1542" spans="1:8" ht="13.2">
      <c r="A1542" s="49"/>
      <c r="B1542" s="16" t="s">
        <v>233</v>
      </c>
      <c r="C1542" s="143">
        <f>VLOOKUP(B1542,'Thống kê'!$C$3:$D$970,2,0)</f>
        <v>0</v>
      </c>
      <c r="D1542" s="166">
        <f>VLOOKUP(B1542,'Thống kê'!$C$3:$M$970,4,0)</f>
        <v>0</v>
      </c>
      <c r="E1542" s="167">
        <v>1</v>
      </c>
      <c r="F1542" s="168">
        <f t="shared" si="6"/>
        <v>0</v>
      </c>
      <c r="G1542" s="75"/>
      <c r="H1542" s="403">
        <v>151634</v>
      </c>
    </row>
    <row r="1543" spans="1:8" ht="13.2">
      <c r="A1543" s="49"/>
      <c r="B1543" s="16" t="s">
        <v>1516</v>
      </c>
      <c r="C1543" s="143">
        <f>VLOOKUP(B1543,'Thống kê'!$C$3:$D$970,2,0)</f>
        <v>0</v>
      </c>
      <c r="D1543" s="166">
        <f>VLOOKUP(B1543,'Thống kê'!$C$3:$M$970,4,0)</f>
        <v>0</v>
      </c>
      <c r="E1543" s="167">
        <v>1</v>
      </c>
      <c r="F1543" s="168">
        <f t="shared" si="6"/>
        <v>0</v>
      </c>
      <c r="G1543" s="75"/>
      <c r="H1543" s="372"/>
    </row>
    <row r="1544" spans="1:8" ht="13.2">
      <c r="A1544" s="64"/>
      <c r="B1544" s="16" t="s">
        <v>135</v>
      </c>
      <c r="C1544" s="143">
        <f>VLOOKUP(B1544,'Thống kê'!$C$3:$D$970,2,0)</f>
        <v>0</v>
      </c>
      <c r="D1544" s="166">
        <f>VLOOKUP(B1544,'Thống kê'!$C$3:$M$970,4,0)</f>
        <v>0</v>
      </c>
      <c r="E1544" s="167">
        <v>1</v>
      </c>
      <c r="F1544" s="168">
        <f t="shared" si="6"/>
        <v>0</v>
      </c>
      <c r="G1544" s="75"/>
      <c r="H1544" s="175">
        <v>52582</v>
      </c>
    </row>
    <row r="1545" spans="1:8" ht="13.2">
      <c r="A1545" s="49"/>
      <c r="B1545" s="16" t="s">
        <v>180</v>
      </c>
      <c r="C1545" s="143">
        <f>VLOOKUP(B1545,'Thống kê'!$C$3:$D$970,2,0)</f>
        <v>0</v>
      </c>
      <c r="D1545" s="166">
        <f>VLOOKUP(B1545,'Thống kê'!$C$3:$M$970,4,0)</f>
        <v>0</v>
      </c>
      <c r="E1545" s="167">
        <v>1</v>
      </c>
      <c r="F1545" s="168">
        <f t="shared" si="6"/>
        <v>0</v>
      </c>
      <c r="G1545" s="75"/>
      <c r="H1545" s="175">
        <v>52398</v>
      </c>
    </row>
    <row r="1546" spans="1:8" ht="13.2">
      <c r="A1546" s="49"/>
      <c r="B1546" s="16" t="s">
        <v>1386</v>
      </c>
      <c r="C1546" s="143" t="str">
        <f>VLOOKUP(B1546,'Thống kê'!$C$3:$D$970,2,0)</f>
        <v>Móc khoá Crybaby mini Popmart</v>
      </c>
      <c r="D1546" s="166">
        <f>VLOOKUP(B1546,'Thống kê'!$C$3:$M$970,4,0)</f>
        <v>0</v>
      </c>
      <c r="E1546" s="167">
        <v>1</v>
      </c>
      <c r="F1546" s="168">
        <f t="shared" si="6"/>
        <v>0</v>
      </c>
      <c r="G1546" s="75"/>
      <c r="H1546" s="175">
        <v>85500</v>
      </c>
    </row>
    <row r="1547" spans="1:8" ht="13.2">
      <c r="A1547" s="49"/>
      <c r="B1547" s="16" t="s">
        <v>1472</v>
      </c>
      <c r="C1547" s="143">
        <f>VLOOKUP(B1547,'Thống kê'!$C$3:$D$970,2,0)</f>
        <v>0</v>
      </c>
      <c r="D1547" s="166">
        <f>VLOOKUP(B1547,'Thống kê'!$C$3:$M$970,4,0)</f>
        <v>0</v>
      </c>
      <c r="E1547" s="167">
        <v>1</v>
      </c>
      <c r="F1547" s="168">
        <f t="shared" si="6"/>
        <v>0</v>
      </c>
      <c r="G1547" s="75"/>
      <c r="H1547" s="175">
        <v>142685</v>
      </c>
    </row>
    <row r="1548" spans="1:8" ht="13.2">
      <c r="A1548" s="49"/>
      <c r="B1548" s="16" t="s">
        <v>77</v>
      </c>
      <c r="C1548" s="143">
        <f>VLOOKUP(B1548,'Thống kê'!$C$3:$D$970,2,0)</f>
        <v>0</v>
      </c>
      <c r="D1548" s="166">
        <f>VLOOKUP(B1548,'Thống kê'!$C$3:$M$970,4,0)</f>
        <v>0</v>
      </c>
      <c r="E1548" s="167">
        <v>1</v>
      </c>
      <c r="F1548" s="168">
        <f t="shared" si="6"/>
        <v>0</v>
      </c>
      <c r="G1548" s="75"/>
      <c r="H1548" s="402">
        <v>196144</v>
      </c>
    </row>
    <row r="1549" spans="1:8" ht="13.2">
      <c r="A1549" s="49"/>
      <c r="B1549" s="16" t="s">
        <v>1524</v>
      </c>
      <c r="C1549" s="143">
        <f>VLOOKUP(B1549,'Thống kê'!$C$3:$D$970,2,0)</f>
        <v>0</v>
      </c>
      <c r="D1549" s="166">
        <f>VLOOKUP(B1549,'Thống kê'!$C$3:$M$970,4,0)</f>
        <v>0</v>
      </c>
      <c r="E1549" s="167">
        <v>1</v>
      </c>
      <c r="F1549" s="168">
        <f t="shared" si="6"/>
        <v>0</v>
      </c>
      <c r="G1549" s="75"/>
      <c r="H1549" s="372"/>
    </row>
    <row r="1550" spans="1:8" ht="13.2">
      <c r="A1550" s="49"/>
      <c r="B1550" s="16" t="s">
        <v>1470</v>
      </c>
      <c r="C1550" s="143">
        <f>VLOOKUP(B1550,'Thống kê'!$C$3:$D$970,2,0)</f>
        <v>0</v>
      </c>
      <c r="D1550" s="166">
        <f>VLOOKUP(B1550,'Thống kê'!$C$3:$M$970,4,0)</f>
        <v>0</v>
      </c>
      <c r="E1550" s="167">
        <v>1</v>
      </c>
      <c r="F1550" s="168">
        <f t="shared" si="6"/>
        <v>0</v>
      </c>
      <c r="G1550" s="75"/>
      <c r="H1550" s="402">
        <v>145124</v>
      </c>
    </row>
    <row r="1551" spans="1:8" ht="13.2">
      <c r="A1551" s="49"/>
      <c r="B1551" s="16" t="s">
        <v>1382</v>
      </c>
      <c r="C1551" s="143" t="str">
        <f>VLOOKUP(B1551,'Thống kê'!$C$3:$D$970,2,0)</f>
        <v>miếng dán silicon điện thoại</v>
      </c>
      <c r="D1551" s="166">
        <f>VLOOKUP(B1551,'Thống kê'!$C$3:$M$970,4,0)</f>
        <v>0</v>
      </c>
      <c r="E1551" s="167">
        <v>1</v>
      </c>
      <c r="F1551" s="168">
        <f t="shared" si="6"/>
        <v>0</v>
      </c>
      <c r="G1551" s="75"/>
      <c r="H1551" s="372"/>
    </row>
    <row r="1552" spans="1:8" ht="13.2">
      <c r="A1552" s="49"/>
      <c r="B1552" s="16" t="s">
        <v>238</v>
      </c>
      <c r="C1552" s="143">
        <f>VLOOKUP(B1552,'Thống kê'!$C$3:$D$970,2,0)</f>
        <v>0</v>
      </c>
      <c r="D1552" s="166">
        <f>VLOOKUP(B1552,'Thống kê'!$C$3:$M$970,4,0)</f>
        <v>0</v>
      </c>
      <c r="E1552" s="167">
        <v>1</v>
      </c>
      <c r="F1552" s="168">
        <f t="shared" si="6"/>
        <v>0</v>
      </c>
      <c r="G1552" s="75"/>
      <c r="H1552" s="175">
        <v>69840</v>
      </c>
    </row>
    <row r="1553" spans="1:8" ht="13.2">
      <c r="A1553" s="49"/>
      <c r="B1553" s="16" t="s">
        <v>1827</v>
      </c>
      <c r="C1553" s="143" t="str">
        <f>VLOOKUP(B1553,'Thống kê'!$C$3:$D$970,2,0)</f>
        <v>Túi đựng đồ trang điểm nhỏ</v>
      </c>
      <c r="D1553" s="166">
        <f>VLOOKUP(B1553,'Thống kê'!$C$3:$M$970,4,0)</f>
        <v>0</v>
      </c>
      <c r="E1553" s="167">
        <v>2</v>
      </c>
      <c r="F1553" s="168">
        <f t="shared" si="6"/>
        <v>0</v>
      </c>
      <c r="G1553" s="75"/>
      <c r="H1553" s="402">
        <v>120540</v>
      </c>
    </row>
    <row r="1554" spans="1:8" ht="13.2">
      <c r="A1554" s="49"/>
      <c r="B1554" s="16" t="s">
        <v>1828</v>
      </c>
      <c r="C1554" s="143" t="str">
        <f>VLOOKUP(B1554,'Thống kê'!$C$3:$D$970,2,0)</f>
        <v>Túi đựng đồ trang điểm nơ</v>
      </c>
      <c r="D1554" s="166">
        <f>VLOOKUP(B1554,'Thống kê'!$C$3:$M$970,4,0)</f>
        <v>0</v>
      </c>
      <c r="E1554" s="167">
        <v>1</v>
      </c>
      <c r="F1554" s="168">
        <f t="shared" si="6"/>
        <v>0</v>
      </c>
      <c r="G1554" s="75"/>
      <c r="H1554" s="373"/>
    </row>
    <row r="1555" spans="1:8" ht="13.2">
      <c r="A1555" s="49"/>
      <c r="B1555" s="16" t="s">
        <v>1210</v>
      </c>
      <c r="C1555" s="143" t="str">
        <f>VLOOKUP(B1555,'Thống kê'!$C$3:$D$970,2,0)</f>
        <v>Shiba ú cầm hoa</v>
      </c>
      <c r="D1555" s="166">
        <f>VLOOKUP(B1555,'Thống kê'!$C$3:$M$970,4,0)</f>
        <v>64500</v>
      </c>
      <c r="E1555" s="167">
        <v>1</v>
      </c>
      <c r="F1555" s="168">
        <f t="shared" si="6"/>
        <v>64500</v>
      </c>
      <c r="G1555" s="75"/>
      <c r="H1555" s="178">
        <v>77169</v>
      </c>
    </row>
    <row r="1556" spans="1:8" ht="13.2">
      <c r="A1556" s="49"/>
      <c r="B1556" s="16" t="s">
        <v>94</v>
      </c>
      <c r="C1556" s="143" t="str">
        <f>VLOOKUP(B1556,'Thống kê'!$C$3:$D$970,2,0)</f>
        <v>thỏ</v>
      </c>
      <c r="D1556" s="166">
        <f>VLOOKUP(B1556,'Thống kê'!$C$3:$M$970,4,0)</f>
        <v>35000</v>
      </c>
      <c r="E1556" s="167">
        <v>1</v>
      </c>
      <c r="F1556" s="168">
        <f t="shared" si="6"/>
        <v>35000</v>
      </c>
      <c r="G1556" s="75"/>
      <c r="H1556" s="175"/>
    </row>
    <row r="1557" spans="1:8" ht="13.2">
      <c r="A1557" s="49"/>
      <c r="B1557" s="16" t="s">
        <v>1386</v>
      </c>
      <c r="C1557" s="143" t="str">
        <f>VLOOKUP(B1557,'Thống kê'!$C$3:$D$970,2,0)</f>
        <v>Móc khoá Crybaby mini Popmart</v>
      </c>
      <c r="D1557" s="166">
        <f>VLOOKUP(B1557,'Thống kê'!$C$3:$M$970,4,0)</f>
        <v>0</v>
      </c>
      <c r="E1557" s="167">
        <v>1</v>
      </c>
      <c r="F1557" s="168">
        <f t="shared" si="6"/>
        <v>0</v>
      </c>
      <c r="G1557" s="75"/>
      <c r="H1557" s="176">
        <v>85500</v>
      </c>
    </row>
    <row r="1558" spans="1:8" ht="13.2">
      <c r="A1558" s="49"/>
      <c r="B1558" s="16" t="s">
        <v>1520</v>
      </c>
      <c r="C1558" s="143">
        <f>VLOOKUP(B1558,'Thống kê'!$C$3:$D$970,2,0)</f>
        <v>0</v>
      </c>
      <c r="D1558" s="166">
        <f>VLOOKUP(B1558,'Thống kê'!$C$3:$M$970,4,0)</f>
        <v>0</v>
      </c>
      <c r="E1558" s="167">
        <v>1</v>
      </c>
      <c r="F1558" s="168">
        <f t="shared" si="6"/>
        <v>0</v>
      </c>
      <c r="G1558" s="75"/>
      <c r="H1558" s="177">
        <v>53550</v>
      </c>
    </row>
    <row r="1559" spans="1:8" ht="13.2">
      <c r="A1559" s="49"/>
      <c r="B1559" s="16" t="s">
        <v>206</v>
      </c>
      <c r="C1559" s="143" t="str">
        <f>VLOOKUP(B1559,'Thống kê'!$C$3:$D$970,2,0)</f>
        <v>Pop Bean Baked Bread</v>
      </c>
      <c r="D1559" s="166">
        <f>VLOOKUP(B1559,'Thống kê'!$C$3:$M$970,4,0)</f>
        <v>167000</v>
      </c>
      <c r="E1559" s="167">
        <v>2</v>
      </c>
      <c r="F1559" s="168">
        <f t="shared" si="6"/>
        <v>334000</v>
      </c>
      <c r="G1559" s="75"/>
      <c r="H1559" s="177">
        <v>251988</v>
      </c>
    </row>
    <row r="1560" spans="1:8" ht="13.2">
      <c r="A1560" s="49"/>
      <c r="B1560" s="16" t="s">
        <v>1382</v>
      </c>
      <c r="C1560" s="143" t="str">
        <f>VLOOKUP(B1560,'Thống kê'!$C$3:$D$970,2,0)</f>
        <v>miếng dán silicon điện thoại</v>
      </c>
      <c r="D1560" s="166">
        <f>VLOOKUP(B1560,'Thống kê'!$C$3:$M$970,4,0)</f>
        <v>0</v>
      </c>
      <c r="E1560" s="167">
        <v>2</v>
      </c>
      <c r="F1560" s="168">
        <f t="shared" si="6"/>
        <v>0</v>
      </c>
      <c r="G1560" s="75"/>
      <c r="H1560" s="403">
        <v>129368</v>
      </c>
    </row>
    <row r="1561" spans="1:8" ht="13.2">
      <c r="A1561" s="49"/>
      <c r="B1561" s="16" t="s">
        <v>1464</v>
      </c>
      <c r="C1561" s="143">
        <f>VLOOKUP(B1561,'Thống kê'!$C$3:$D$970,2,0)</f>
        <v>0</v>
      </c>
      <c r="D1561" s="166">
        <f>VLOOKUP(B1561,'Thống kê'!$C$3:$M$970,4,0)</f>
        <v>0</v>
      </c>
      <c r="E1561" s="167">
        <v>1</v>
      </c>
      <c r="F1561" s="168">
        <f t="shared" si="6"/>
        <v>0</v>
      </c>
      <c r="G1561" s="75"/>
      <c r="H1561" s="372"/>
    </row>
    <row r="1562" spans="1:8" ht="13.2">
      <c r="A1562" s="49"/>
      <c r="B1562" s="16" t="s">
        <v>1467</v>
      </c>
      <c r="C1562" s="143">
        <f>VLOOKUP(B1562,'Thống kê'!$C$3:$D$970,2,0)</f>
        <v>0</v>
      </c>
      <c r="D1562" s="166">
        <f>VLOOKUP(B1562,'Thống kê'!$C$3:$M$970,4,0)</f>
        <v>0</v>
      </c>
      <c r="E1562" s="167">
        <v>1</v>
      </c>
      <c r="F1562" s="168">
        <f t="shared" si="6"/>
        <v>0</v>
      </c>
      <c r="G1562" s="75"/>
      <c r="H1562" s="373"/>
    </row>
    <row r="1563" spans="1:8" ht="13.2">
      <c r="A1563" s="49"/>
      <c r="B1563" s="16" t="s">
        <v>1589</v>
      </c>
      <c r="C1563" s="143" t="str">
        <f>VLOOKUP(B1563,'Thống kê'!$C$3:$D$970,2,0)</f>
        <v>Heo ú bay</v>
      </c>
      <c r="D1563" s="166">
        <f>VLOOKUP(B1563,'Thống kê'!$C$3:$M$970,4,0)</f>
        <v>64500</v>
      </c>
      <c r="E1563" s="167">
        <v>1</v>
      </c>
      <c r="F1563" s="168">
        <f t="shared" si="6"/>
        <v>64500</v>
      </c>
      <c r="G1563" s="75"/>
      <c r="H1563" s="175">
        <v>51933</v>
      </c>
    </row>
    <row r="1564" spans="1:8" ht="13.2">
      <c r="A1564" s="49"/>
      <c r="B1564" s="16" t="s">
        <v>1597</v>
      </c>
      <c r="C1564" s="143" t="str">
        <f>VLOOKUP(B1564,'Thống kê'!$C$3:$D$970,2,0)</f>
        <v>Dao rọc giấy 12</v>
      </c>
      <c r="D1564" s="166">
        <f>VLOOKUP(B1564,'Thống kê'!$C$3:$M$970,4,0)</f>
        <v>12000</v>
      </c>
      <c r="E1564" s="167">
        <v>1</v>
      </c>
      <c r="F1564" s="168">
        <f t="shared" si="6"/>
        <v>12000</v>
      </c>
      <c r="G1564" s="75"/>
      <c r="H1564" s="402">
        <v>67273</v>
      </c>
    </row>
    <row r="1565" spans="1:8" ht="13.2">
      <c r="A1565" s="49"/>
      <c r="B1565" s="16" t="s">
        <v>116</v>
      </c>
      <c r="C1565" s="143" t="str">
        <f>VLOOKUP(B1565,'Thống kê'!$C$3:$D$970,2,0)</f>
        <v>heo ú cầm hoa</v>
      </c>
      <c r="D1565" s="166">
        <f>VLOOKUP(B1565,'Thống kê'!$C$3:$M$970,4,0)</f>
        <v>64500</v>
      </c>
      <c r="E1565" s="167">
        <v>1</v>
      </c>
      <c r="F1565" s="168">
        <f t="shared" si="6"/>
        <v>64500</v>
      </c>
      <c r="G1565" s="75"/>
      <c r="H1565" s="372"/>
    </row>
    <row r="1566" spans="1:8" ht="13.2">
      <c r="A1566" s="49"/>
      <c r="B1566" s="16" t="s">
        <v>1605</v>
      </c>
      <c r="C1566" s="143" t="str">
        <f>VLOOKUP(B1566,'Thống kê'!$C$3:$D$970,2,0)</f>
        <v>Thước dây xanh</v>
      </c>
      <c r="D1566" s="166">
        <f>VLOOKUP(B1566,'Thống kê'!$C$3:$M$970,4,0)</f>
        <v>9000</v>
      </c>
      <c r="E1566" s="167">
        <v>1</v>
      </c>
      <c r="F1566" s="168">
        <f t="shared" si="6"/>
        <v>9000</v>
      </c>
      <c r="G1566" s="75"/>
      <c r="H1566" s="372"/>
    </row>
    <row r="1567" spans="1:8" ht="13.2">
      <c r="A1567" s="49"/>
      <c r="B1567" s="16" t="s">
        <v>1663</v>
      </c>
      <c r="C1567" s="143" t="str">
        <f>VLOOKUP(B1567,'Thống kê'!$C$3:$D$970,2,0)</f>
        <v>Móc khóa Popbean Zsiga</v>
      </c>
      <c r="D1567" s="166">
        <f>VLOOKUP(B1567,'Thống kê'!$C$3:$M$970,4,0)</f>
        <v>148000</v>
      </c>
      <c r="E1567" s="167">
        <v>1</v>
      </c>
      <c r="F1567" s="168">
        <f t="shared" si="6"/>
        <v>148000</v>
      </c>
      <c r="G1567" s="75"/>
      <c r="H1567" s="175">
        <v>71340</v>
      </c>
    </row>
    <row r="1568" spans="1:8" ht="13.2">
      <c r="A1568" s="49"/>
      <c r="B1568" s="16" t="s">
        <v>1823</v>
      </c>
      <c r="C1568" s="143">
        <f>VLOOKUP(B1568,'Thống kê'!$C$3:$D$970,2,0)</f>
        <v>0</v>
      </c>
      <c r="D1568" s="166">
        <f>VLOOKUP(B1568,'Thống kê'!$C$3:$M$970,4,0)</f>
        <v>0</v>
      </c>
      <c r="E1568" s="167">
        <v>1</v>
      </c>
      <c r="F1568" s="168">
        <f t="shared" si="6"/>
        <v>0</v>
      </c>
      <c r="G1568" s="75"/>
      <c r="H1568" s="175">
        <v>87665</v>
      </c>
    </row>
    <row r="1569" spans="1:8" ht="13.2">
      <c r="A1569" s="49"/>
      <c r="B1569" s="16" t="s">
        <v>1823</v>
      </c>
      <c r="C1569" s="143">
        <f>VLOOKUP(B1569,'Thống kê'!$C$3:$D$970,2,0)</f>
        <v>0</v>
      </c>
      <c r="D1569" s="166">
        <f>VLOOKUP(B1569,'Thống kê'!$C$3:$M$970,4,0)</f>
        <v>0</v>
      </c>
      <c r="E1569" s="167">
        <v>1</v>
      </c>
      <c r="F1569" s="168">
        <f t="shared" si="6"/>
        <v>0</v>
      </c>
      <c r="G1569" s="75"/>
      <c r="H1569" s="402">
        <v>291100</v>
      </c>
    </row>
    <row r="1570" spans="1:8" ht="13.2">
      <c r="A1570" s="64"/>
      <c r="B1570" s="16" t="s">
        <v>241</v>
      </c>
      <c r="C1570" s="143">
        <f>VLOOKUP(B1570,'Thống kê'!$C$3:$D$970,2,0)</f>
        <v>0</v>
      </c>
      <c r="D1570" s="166">
        <f>VLOOKUP(B1570,'Thống kê'!$C$3:$M$970,4,0)</f>
        <v>0</v>
      </c>
      <c r="E1570" s="167">
        <v>1</v>
      </c>
      <c r="F1570" s="168">
        <f t="shared" si="6"/>
        <v>0</v>
      </c>
      <c r="G1570" s="75"/>
      <c r="H1570" s="372"/>
    </row>
    <row r="1571" spans="1:8" ht="13.2">
      <c r="A1571" s="49"/>
      <c r="B1571" s="16" t="s">
        <v>1463</v>
      </c>
      <c r="C1571" s="143">
        <f>VLOOKUP(B1571,'Thống kê'!$C$3:$D$970,2,0)</f>
        <v>0</v>
      </c>
      <c r="D1571" s="166">
        <f>VLOOKUP(B1571,'Thống kê'!$C$3:$M$970,4,0)</f>
        <v>0</v>
      </c>
      <c r="E1571" s="167">
        <v>1</v>
      </c>
      <c r="F1571" s="168">
        <f t="shared" si="6"/>
        <v>0</v>
      </c>
      <c r="G1571" s="75"/>
      <c r="H1571" s="372"/>
    </row>
    <row r="1572" spans="1:8" ht="13.2">
      <c r="A1572" s="49"/>
      <c r="B1572" s="16" t="s">
        <v>1461</v>
      </c>
      <c r="C1572" s="143">
        <f>VLOOKUP(B1572,'Thống kê'!$C$3:$D$970,2,0)</f>
        <v>0</v>
      </c>
      <c r="D1572" s="166">
        <f>VLOOKUP(B1572,'Thống kê'!$C$3:$M$970,4,0)</f>
        <v>0</v>
      </c>
      <c r="E1572" s="167">
        <v>1</v>
      </c>
      <c r="F1572" s="168">
        <f t="shared" si="6"/>
        <v>0</v>
      </c>
      <c r="G1572" s="75"/>
      <c r="H1572" s="373"/>
    </row>
    <row r="1573" spans="1:8" ht="13.2">
      <c r="A1573" s="49"/>
      <c r="B1573" s="16" t="s">
        <v>192</v>
      </c>
      <c r="C1573" s="143">
        <f>VLOOKUP(B1573,'Thống kê'!$C$3:$D$970,2,0)</f>
        <v>0</v>
      </c>
      <c r="D1573" s="166">
        <f>VLOOKUP(B1573,'Thống kê'!$C$3:$M$970,4,0)</f>
        <v>0</v>
      </c>
      <c r="E1573" s="167">
        <v>1</v>
      </c>
      <c r="F1573" s="168">
        <f t="shared" si="6"/>
        <v>0</v>
      </c>
      <c r="G1573" s="75"/>
      <c r="H1573" s="178">
        <v>59040</v>
      </c>
    </row>
    <row r="1574" spans="1:8" ht="13.2">
      <c r="A1574" s="49"/>
      <c r="B1574" s="16" t="s">
        <v>1382</v>
      </c>
      <c r="C1574" s="143" t="str">
        <f>VLOOKUP(B1574,'Thống kê'!$C$3:$D$970,2,0)</f>
        <v>miếng dán silicon điện thoại</v>
      </c>
      <c r="D1574" s="166">
        <f>VLOOKUP(B1574,'Thống kê'!$C$3:$M$970,4,0)</f>
        <v>0</v>
      </c>
      <c r="E1574" s="167">
        <v>1</v>
      </c>
      <c r="F1574" s="168">
        <f t="shared" si="6"/>
        <v>0</v>
      </c>
      <c r="G1574" s="75"/>
      <c r="H1574" s="402">
        <v>140974</v>
      </c>
    </row>
    <row r="1575" spans="1:8" ht="13.2">
      <c r="A1575" s="49"/>
      <c r="B1575" s="16" t="s">
        <v>1829</v>
      </c>
      <c r="C1575" s="143" t="e">
        <f>VLOOKUP(B1575,'Thống kê'!$C$3:$D$970,2,0)</f>
        <v>#N/A</v>
      </c>
      <c r="D1575" s="166" t="e">
        <f>VLOOKUP(B1575,'Thống kê'!$C$3:$M$970,4,0)</f>
        <v>#N/A</v>
      </c>
      <c r="E1575" s="167">
        <v>1</v>
      </c>
      <c r="F1575" s="168" t="e">
        <f t="shared" si="6"/>
        <v>#N/A</v>
      </c>
      <c r="G1575" s="75"/>
      <c r="H1575" s="372"/>
    </row>
    <row r="1576" spans="1:8" ht="13.2">
      <c r="A1576" s="49"/>
      <c r="B1576" s="16" t="s">
        <v>125</v>
      </c>
      <c r="C1576" s="143">
        <f>VLOOKUP(B1576,'Thống kê'!$C$3:$D$970,2,0)</f>
        <v>0</v>
      </c>
      <c r="D1576" s="166">
        <f>VLOOKUP(B1576,'Thống kê'!$C$3:$M$970,4,0)</f>
        <v>0</v>
      </c>
      <c r="E1576" s="167">
        <v>1</v>
      </c>
      <c r="F1576" s="168">
        <f t="shared" si="6"/>
        <v>0</v>
      </c>
      <c r="G1576" s="75"/>
      <c r="H1576" s="402">
        <v>141450</v>
      </c>
    </row>
    <row r="1577" spans="1:8" ht="13.2">
      <c r="A1577" s="49"/>
      <c r="B1577" s="16" t="s">
        <v>176</v>
      </c>
      <c r="C1577" s="143">
        <f>VLOOKUP(B1577,'Thống kê'!$C$3:$D$970,2,0)</f>
        <v>0</v>
      </c>
      <c r="D1577" s="166">
        <f>VLOOKUP(B1577,'Thống kê'!$C$3:$M$970,4,0)</f>
        <v>0</v>
      </c>
      <c r="E1577" s="167">
        <v>1</v>
      </c>
      <c r="F1577" s="168">
        <f t="shared" si="6"/>
        <v>0</v>
      </c>
      <c r="G1577" s="75"/>
      <c r="H1577" s="373"/>
    </row>
    <row r="1578" spans="1:8" ht="13.2">
      <c r="A1578" s="49"/>
      <c r="B1578" s="16" t="s">
        <v>113</v>
      </c>
      <c r="C1578" s="143" t="str">
        <f>VLOOKUP(B1578,'Thống kê'!$C$3:$D$970,2,0)</f>
        <v>Móc khoá Dimoo size mini (hàng remake)</v>
      </c>
      <c r="D1578" s="166">
        <f>VLOOKUP(B1578,'Thống kê'!$C$3:$M$970,4,0)</f>
        <v>0</v>
      </c>
      <c r="E1578" s="167">
        <v>1</v>
      </c>
      <c r="F1578" s="168">
        <f t="shared" si="6"/>
        <v>0</v>
      </c>
      <c r="G1578" s="75"/>
      <c r="H1578" s="178">
        <v>77900</v>
      </c>
    </row>
    <row r="1579" spans="1:8" ht="13.2">
      <c r="A1579" s="49"/>
      <c r="B1579" s="16" t="s">
        <v>1599</v>
      </c>
      <c r="C1579" s="143" t="str">
        <f>VLOOKUP(B1579,'Thống kê'!$C$3:$D$970,2,0)</f>
        <v>Dao rọc giấy 14</v>
      </c>
      <c r="D1579" s="166">
        <f>VLOOKUP(B1579,'Thống kê'!$C$3:$M$970,4,0)</f>
        <v>12000</v>
      </c>
      <c r="E1579" s="167">
        <v>1</v>
      </c>
      <c r="F1579" s="168">
        <f t="shared" si="6"/>
        <v>12000</v>
      </c>
      <c r="G1579" s="75"/>
      <c r="H1579" s="402">
        <v>82756</v>
      </c>
    </row>
    <row r="1580" spans="1:8" ht="13.2">
      <c r="A1580" s="49"/>
      <c r="B1580" s="16" t="s">
        <v>1382</v>
      </c>
      <c r="C1580" s="143" t="str">
        <f>VLOOKUP(B1580,'Thống kê'!$C$3:$D$970,2,0)</f>
        <v>miếng dán silicon điện thoại</v>
      </c>
      <c r="D1580" s="166">
        <f>VLOOKUP(B1580,'Thống kê'!$C$3:$M$970,4,0)</f>
        <v>0</v>
      </c>
      <c r="E1580" s="167">
        <v>1</v>
      </c>
      <c r="F1580" s="168">
        <f t="shared" si="6"/>
        <v>0</v>
      </c>
      <c r="G1580" s="75"/>
      <c r="H1580" s="372"/>
    </row>
    <row r="1581" spans="1:8" ht="13.2">
      <c r="A1581" s="49"/>
      <c r="B1581" s="16" t="s">
        <v>1333</v>
      </c>
      <c r="C1581" s="143" t="str">
        <f>VLOOKUP(B1581,'Thống kê'!$C$3:$D$970,2,0)</f>
        <v>Móc khóa Popbean</v>
      </c>
      <c r="D1581" s="166">
        <f>VLOOKUP(B1581,'Thống kê'!$C$3:$M$970,4,0)</f>
        <v>148000</v>
      </c>
      <c r="E1581" s="167">
        <v>1</v>
      </c>
      <c r="F1581" s="168">
        <f t="shared" si="6"/>
        <v>148000</v>
      </c>
      <c r="G1581" s="75"/>
      <c r="H1581" s="373"/>
    </row>
    <row r="1582" spans="1:8" ht="13.2">
      <c r="A1582" s="49"/>
      <c r="B1582" s="16" t="s">
        <v>135</v>
      </c>
      <c r="C1582" s="143">
        <f>VLOOKUP(B1582,'Thống kê'!$C$3:$D$970,2,0)</f>
        <v>0</v>
      </c>
      <c r="D1582" s="166">
        <f>VLOOKUP(B1582,'Thống kê'!$C$3:$M$970,4,0)</f>
        <v>0</v>
      </c>
      <c r="E1582" s="167">
        <v>1</v>
      </c>
      <c r="F1582" s="168">
        <f t="shared" si="6"/>
        <v>0</v>
      </c>
      <c r="G1582" s="75"/>
      <c r="H1582" s="176">
        <v>50434</v>
      </c>
    </row>
    <row r="1583" spans="1:8" ht="13.2">
      <c r="A1583" s="49"/>
      <c r="B1583" s="16" t="s">
        <v>1460</v>
      </c>
      <c r="C1583" s="143">
        <f>VLOOKUP(B1583,'Thống kê'!$C$3:$D$970,2,0)</f>
        <v>0</v>
      </c>
      <c r="D1583" s="166">
        <f>VLOOKUP(B1583,'Thống kê'!$C$3:$M$970,4,0)</f>
        <v>85000</v>
      </c>
      <c r="E1583" s="167">
        <v>1</v>
      </c>
      <c r="F1583" s="168">
        <f t="shared" si="6"/>
        <v>85000</v>
      </c>
      <c r="G1583" s="75"/>
      <c r="H1583" s="403">
        <v>361620</v>
      </c>
    </row>
    <row r="1584" spans="1:8" ht="13.2">
      <c r="A1584" s="49"/>
      <c r="B1584" s="16" t="s">
        <v>1335</v>
      </c>
      <c r="C1584" s="143" t="str">
        <f>VLOOKUP(B1584,'Thống kê'!$C$3:$D$970,2,0)</f>
        <v>Móc khóa Popbean</v>
      </c>
      <c r="D1584" s="166">
        <f>VLOOKUP(B1584,'Thống kê'!$C$3:$M$970,4,0)</f>
        <v>148000</v>
      </c>
      <c r="E1584" s="167">
        <v>1</v>
      </c>
      <c r="F1584" s="168">
        <f t="shared" si="6"/>
        <v>148000</v>
      </c>
      <c r="G1584" s="75"/>
      <c r="H1584" s="372"/>
    </row>
    <row r="1585" spans="1:8" ht="13.2">
      <c r="A1585" s="49"/>
      <c r="B1585" s="16" t="s">
        <v>1386</v>
      </c>
      <c r="C1585" s="143" t="str">
        <f>VLOOKUP(B1585,'Thống kê'!$C$3:$D$970,2,0)</f>
        <v>Móc khoá Crybaby mini Popmart</v>
      </c>
      <c r="D1585" s="166">
        <f>VLOOKUP(B1585,'Thống kê'!$C$3:$M$970,4,0)</f>
        <v>0</v>
      </c>
      <c r="E1585" s="167">
        <v>1</v>
      </c>
      <c r="F1585" s="168">
        <f t="shared" ref="F1585:F1839" si="7">D1585*E1585</f>
        <v>0</v>
      </c>
      <c r="G1585" s="75"/>
      <c r="H1585" s="372"/>
    </row>
    <row r="1586" spans="1:8" ht="13.2">
      <c r="A1586" s="49"/>
      <c r="B1586" s="16" t="s">
        <v>1388</v>
      </c>
      <c r="C1586" s="143" t="str">
        <f>VLOOKUP(B1586,'Thống kê'!$C$3:$D$970,2,0)</f>
        <v>Móc khoá Crybaby mini Popmart</v>
      </c>
      <c r="D1586" s="166">
        <f>VLOOKUP(B1586,'Thống kê'!$C$3:$M$970,4,0)</f>
        <v>0</v>
      </c>
      <c r="E1586" s="167">
        <v>1</v>
      </c>
      <c r="F1586" s="168">
        <f t="shared" si="7"/>
        <v>0</v>
      </c>
      <c r="G1586" s="75"/>
      <c r="H1586" s="373"/>
    </row>
    <row r="1587" spans="1:8" ht="13.2">
      <c r="A1587" s="49"/>
      <c r="B1587" s="16" t="s">
        <v>1461</v>
      </c>
      <c r="C1587" s="143">
        <f>VLOOKUP(B1587,'Thống kê'!$C$3:$D$970,2,0)</f>
        <v>0</v>
      </c>
      <c r="D1587" s="166">
        <f>VLOOKUP(B1587,'Thống kê'!$C$3:$M$970,4,0)</f>
        <v>0</v>
      </c>
      <c r="E1587" s="167">
        <v>2</v>
      </c>
      <c r="F1587" s="168">
        <f t="shared" si="7"/>
        <v>0</v>
      </c>
      <c r="G1587" s="75"/>
      <c r="H1587" s="177">
        <v>141040</v>
      </c>
    </row>
    <row r="1588" spans="1:8" ht="13.2">
      <c r="A1588" s="49"/>
      <c r="B1588" s="16" t="s">
        <v>191</v>
      </c>
      <c r="C1588" s="143">
        <f>VLOOKUP(B1588,'Thống kê'!$C$3:$D$970,2,0)</f>
        <v>0</v>
      </c>
      <c r="D1588" s="166">
        <f>VLOOKUP(B1588,'Thống kê'!$C$3:$M$970,4,0)</f>
        <v>0</v>
      </c>
      <c r="E1588" s="167">
        <v>1</v>
      </c>
      <c r="F1588" s="168">
        <f t="shared" si="7"/>
        <v>0</v>
      </c>
      <c r="G1588" s="75"/>
      <c r="H1588" s="178">
        <v>66604</v>
      </c>
    </row>
    <row r="1589" spans="1:8" ht="13.2">
      <c r="A1589" s="49"/>
      <c r="B1589" s="16" t="s">
        <v>135</v>
      </c>
      <c r="C1589" s="143">
        <f>VLOOKUP(B1589,'Thống kê'!$C$3:$D$970,2,0)</f>
        <v>0</v>
      </c>
      <c r="D1589" s="166">
        <f>VLOOKUP(B1589,'Thống kê'!$C$3:$M$970,4,0)</f>
        <v>0</v>
      </c>
      <c r="E1589" s="167">
        <v>1</v>
      </c>
      <c r="F1589" s="168">
        <f t="shared" si="7"/>
        <v>0</v>
      </c>
      <c r="G1589" s="75"/>
      <c r="H1589" s="175">
        <v>53050</v>
      </c>
    </row>
    <row r="1590" spans="1:8" ht="13.2">
      <c r="A1590" s="49"/>
      <c r="B1590" s="16" t="s">
        <v>234</v>
      </c>
      <c r="C1590" s="143" t="str">
        <f>VLOOKUP(B1590,'Thống kê'!$C$3:$D$970,2,0)</f>
        <v>Móc khoá skullpanda phiên bản mini</v>
      </c>
      <c r="D1590" s="166">
        <f>VLOOKUP(B1590,'Thống kê'!$C$3:$M$970,4,0)</f>
        <v>98000</v>
      </c>
      <c r="E1590" s="167">
        <v>1</v>
      </c>
      <c r="F1590" s="168">
        <f t="shared" si="7"/>
        <v>98000</v>
      </c>
      <c r="G1590" s="75"/>
      <c r="H1590" s="402">
        <v>148830</v>
      </c>
    </row>
    <row r="1591" spans="1:8" ht="13.2">
      <c r="A1591" s="49"/>
      <c r="B1591" s="16" t="s">
        <v>1461</v>
      </c>
      <c r="C1591" s="143">
        <f>VLOOKUP(B1591,'Thống kê'!$C$3:$D$970,2,0)</f>
        <v>0</v>
      </c>
      <c r="D1591" s="166">
        <f>VLOOKUP(B1591,'Thống kê'!$C$3:$M$970,4,0)</f>
        <v>0</v>
      </c>
      <c r="E1591" s="167">
        <v>1</v>
      </c>
      <c r="F1591" s="168">
        <f t="shared" si="7"/>
        <v>0</v>
      </c>
      <c r="G1591" s="75"/>
      <c r="H1591" s="373"/>
    </row>
    <row r="1592" spans="1:8" ht="13.2">
      <c r="A1592" s="49"/>
      <c r="B1592" s="16" t="s">
        <v>1520</v>
      </c>
      <c r="C1592" s="143">
        <f>VLOOKUP(B1592,'Thống kê'!$C$3:$D$970,2,0)</f>
        <v>0</v>
      </c>
      <c r="D1592" s="166">
        <f>VLOOKUP(B1592,'Thống kê'!$C$3:$M$970,4,0)</f>
        <v>0</v>
      </c>
      <c r="E1592" s="167">
        <v>1</v>
      </c>
      <c r="F1592" s="168">
        <f t="shared" si="7"/>
        <v>0</v>
      </c>
      <c r="G1592" s="75"/>
      <c r="H1592" s="403">
        <v>110084</v>
      </c>
    </row>
    <row r="1593" spans="1:8" ht="13.2">
      <c r="A1593" s="49"/>
      <c r="B1593" s="16" t="s">
        <v>196</v>
      </c>
      <c r="C1593" s="143">
        <f>VLOOKUP(B1593,'Thống kê'!$C$3:$D$970,2,0)</f>
        <v>0</v>
      </c>
      <c r="D1593" s="166">
        <f>VLOOKUP(B1593,'Thống kê'!$C$3:$M$970,4,0)</f>
        <v>0</v>
      </c>
      <c r="E1593" s="167">
        <v>1</v>
      </c>
      <c r="F1593" s="168">
        <f t="shared" si="7"/>
        <v>0</v>
      </c>
      <c r="G1593" s="75"/>
      <c r="H1593" s="372"/>
    </row>
    <row r="1594" spans="1:8" ht="13.2">
      <c r="A1594" s="64">
        <v>45732</v>
      </c>
      <c r="B1594" s="16" t="s">
        <v>279</v>
      </c>
      <c r="C1594" s="143">
        <f>VLOOKUP(B1594,'Thống kê'!$C$3:$D$970,2,0)</f>
        <v>0</v>
      </c>
      <c r="D1594" s="166">
        <f>VLOOKUP(B1594,'Thống kê'!$C$3:$M$970,4,0)</f>
        <v>0</v>
      </c>
      <c r="E1594" s="167">
        <v>1</v>
      </c>
      <c r="F1594" s="168">
        <f t="shared" si="7"/>
        <v>0</v>
      </c>
      <c r="G1594" s="75"/>
      <c r="H1594" s="176">
        <v>63454</v>
      </c>
    </row>
    <row r="1595" spans="1:8" ht="13.2">
      <c r="A1595" s="64"/>
      <c r="B1595" s="16" t="s">
        <v>1760</v>
      </c>
      <c r="C1595" s="143">
        <f>VLOOKUP(B1595,'Thống kê'!$C$3:$D$970,2,0)</f>
        <v>0</v>
      </c>
      <c r="D1595" s="166">
        <f>VLOOKUP(B1595,'Thống kê'!$C$3:$M$970,4,0)</f>
        <v>0</v>
      </c>
      <c r="E1595" s="167">
        <v>1</v>
      </c>
      <c r="F1595" s="168">
        <f t="shared" si="7"/>
        <v>0</v>
      </c>
      <c r="G1595" s="75"/>
      <c r="H1595" s="177">
        <v>70390</v>
      </c>
    </row>
    <row r="1596" spans="1:8" ht="13.2">
      <c r="A1596" s="49"/>
      <c r="B1596" s="16" t="s">
        <v>115</v>
      </c>
      <c r="C1596" s="143" t="str">
        <f>VLOOKUP(B1596,'Thống kê'!$C$3:$D$970,2,0)</f>
        <v>Heo ú</v>
      </c>
      <c r="D1596" s="166">
        <f>VLOOKUP(B1596,'Thống kê'!$C$3:$M$970,4,0)</f>
        <v>59500</v>
      </c>
      <c r="E1596" s="167">
        <v>1</v>
      </c>
      <c r="F1596" s="168">
        <f t="shared" si="7"/>
        <v>59500</v>
      </c>
      <c r="G1596" s="75"/>
      <c r="H1596" s="177">
        <v>47745</v>
      </c>
    </row>
    <row r="1597" spans="1:8" ht="13.2">
      <c r="A1597" s="49"/>
      <c r="B1597" s="16" t="s">
        <v>145</v>
      </c>
      <c r="C1597" s="143" t="str">
        <f>VLOOKUP(B1597,'Thống kê'!$C$3:$D$970,2,0)</f>
        <v>Thỏ đi vịt gắn xe</v>
      </c>
      <c r="D1597" s="166">
        <f>VLOOKUP(B1597,'Thống kê'!$C$3:$M$970,4,0)</f>
        <v>45000</v>
      </c>
      <c r="E1597" s="167">
        <v>1</v>
      </c>
      <c r="F1597" s="168">
        <f t="shared" si="7"/>
        <v>45000</v>
      </c>
      <c r="G1597" s="75"/>
      <c r="H1597" s="403">
        <v>55901</v>
      </c>
    </row>
    <row r="1598" spans="1:8" ht="13.2">
      <c r="A1598" s="49"/>
      <c r="B1598" s="16" t="s">
        <v>119</v>
      </c>
      <c r="C1598" s="143" t="str">
        <f>VLOOKUP(B1598,'Thống kê'!$C$3:$D$970,2,0)</f>
        <v>Thỏ chạy xe gắn xe</v>
      </c>
      <c r="D1598" s="166">
        <f>VLOOKUP(B1598,'Thống kê'!$C$3:$M$970,4,0)</f>
        <v>45000</v>
      </c>
      <c r="E1598" s="167">
        <v>1</v>
      </c>
      <c r="F1598" s="168">
        <f t="shared" si="7"/>
        <v>45000</v>
      </c>
      <c r="G1598" s="75"/>
      <c r="H1598" s="372"/>
    </row>
    <row r="1599" spans="1:8" ht="13.2">
      <c r="A1599" s="49"/>
      <c r="B1599" s="16" t="s">
        <v>119</v>
      </c>
      <c r="C1599" s="143" t="str">
        <f>VLOOKUP(B1599,'Thống kê'!$C$3:$D$970,2,0)</f>
        <v>Thỏ chạy xe gắn xe</v>
      </c>
      <c r="D1599" s="166">
        <f>VLOOKUP(B1599,'Thống kê'!$C$3:$M$970,4,0)</f>
        <v>45000</v>
      </c>
      <c r="E1599" s="167">
        <v>1</v>
      </c>
      <c r="F1599" s="168">
        <f t="shared" si="7"/>
        <v>45000</v>
      </c>
      <c r="G1599" s="75"/>
      <c r="H1599" s="176">
        <v>30380</v>
      </c>
    </row>
    <row r="1600" spans="1:8" ht="13.2">
      <c r="A1600" s="49"/>
      <c r="B1600" s="16" t="s">
        <v>279</v>
      </c>
      <c r="C1600" s="143">
        <f>VLOOKUP(B1600,'Thống kê'!$C$3:$D$970,2,0)</f>
        <v>0</v>
      </c>
      <c r="D1600" s="166">
        <f>VLOOKUP(B1600,'Thống kê'!$C$3:$M$970,4,0)</f>
        <v>0</v>
      </c>
      <c r="E1600" s="167">
        <v>1</v>
      </c>
      <c r="F1600" s="168">
        <f t="shared" si="7"/>
        <v>0</v>
      </c>
      <c r="G1600" s="75"/>
      <c r="H1600" s="178">
        <v>59654</v>
      </c>
    </row>
    <row r="1601" spans="1:8" ht="13.2">
      <c r="A1601" s="49"/>
      <c r="B1601" s="16" t="s">
        <v>186</v>
      </c>
      <c r="C1601" s="143" t="str">
        <f>VLOOKUP(B1601,'Thống kê'!$C$3:$D$970,2,0)</f>
        <v>Thỏ ú bay</v>
      </c>
      <c r="D1601" s="166">
        <f>VLOOKUP(B1601,'Thống kê'!$C$3:$M$970,4,0)</f>
        <v>64500</v>
      </c>
      <c r="E1601" s="167">
        <v>1</v>
      </c>
      <c r="F1601" s="168">
        <f t="shared" si="7"/>
        <v>64500</v>
      </c>
      <c r="G1601" s="75"/>
      <c r="H1601" s="176">
        <v>52408</v>
      </c>
    </row>
    <row r="1602" spans="1:8" ht="13.2">
      <c r="A1602" s="49"/>
      <c r="B1602" s="16" t="s">
        <v>143</v>
      </c>
      <c r="C1602" s="143" t="str">
        <f>VLOOKUP(B1602,'Thống kê'!$C$3:$D$970,2,0)</f>
        <v>Mèo ú</v>
      </c>
      <c r="D1602" s="166">
        <f>VLOOKUP(B1602,'Thống kê'!$C$3:$M$970,4,0)</f>
        <v>59500</v>
      </c>
      <c r="E1602" s="167">
        <v>1</v>
      </c>
      <c r="F1602" s="168">
        <f t="shared" si="7"/>
        <v>59500</v>
      </c>
      <c r="G1602" s="75"/>
      <c r="H1602" s="403">
        <v>104140</v>
      </c>
    </row>
    <row r="1603" spans="1:8" ht="13.2">
      <c r="A1603" s="49"/>
      <c r="B1603" s="16" t="s">
        <v>1210</v>
      </c>
      <c r="C1603" s="143" t="str">
        <f>VLOOKUP(B1603,'Thống kê'!$C$3:$D$970,2,0)</f>
        <v>Shiba ú cầm hoa</v>
      </c>
      <c r="D1603" s="166">
        <f>VLOOKUP(B1603,'Thống kê'!$C$3:$M$970,4,0)</f>
        <v>64500</v>
      </c>
      <c r="E1603" s="167">
        <v>1</v>
      </c>
      <c r="F1603" s="168">
        <f t="shared" si="7"/>
        <v>64500</v>
      </c>
      <c r="G1603" s="75"/>
      <c r="H1603" s="373"/>
    </row>
    <row r="1604" spans="1:8" ht="13.2">
      <c r="A1604" s="49"/>
      <c r="B1604" s="16" t="s">
        <v>116</v>
      </c>
      <c r="C1604" s="143" t="str">
        <f>VLOOKUP(B1604,'Thống kê'!$C$3:$D$970,2,0)</f>
        <v>heo ú cầm hoa</v>
      </c>
      <c r="D1604" s="166">
        <f>VLOOKUP(B1604,'Thống kê'!$C$3:$M$970,4,0)</f>
        <v>64500</v>
      </c>
      <c r="E1604" s="167">
        <v>1</v>
      </c>
      <c r="F1604" s="168">
        <f t="shared" si="7"/>
        <v>64500</v>
      </c>
      <c r="G1604" s="75"/>
      <c r="H1604" s="403">
        <v>81145</v>
      </c>
    </row>
    <row r="1605" spans="1:8" ht="13.2">
      <c r="A1605" s="49"/>
      <c r="B1605" s="16" t="s">
        <v>119</v>
      </c>
      <c r="C1605" s="143" t="str">
        <f>VLOOKUP(B1605,'Thống kê'!$C$3:$D$970,2,0)</f>
        <v>Thỏ chạy xe gắn xe</v>
      </c>
      <c r="D1605" s="166">
        <f>VLOOKUP(B1605,'Thống kê'!$C$3:$M$970,4,0)</f>
        <v>45000</v>
      </c>
      <c r="E1605" s="167">
        <v>1</v>
      </c>
      <c r="F1605" s="168">
        <f t="shared" si="7"/>
        <v>45000</v>
      </c>
      <c r="G1605" s="75"/>
      <c r="H1605" s="372"/>
    </row>
    <row r="1606" spans="1:8" ht="13.2">
      <c r="A1606" s="49"/>
      <c r="B1606" s="16" t="s">
        <v>1382</v>
      </c>
      <c r="C1606" s="143" t="str">
        <f>VLOOKUP(B1606,'Thống kê'!$C$3:$D$970,2,0)</f>
        <v>miếng dán silicon điện thoại</v>
      </c>
      <c r="D1606" s="166">
        <f>VLOOKUP(B1606,'Thống kê'!$C$3:$M$970,4,0)</f>
        <v>0</v>
      </c>
      <c r="E1606" s="167">
        <v>1</v>
      </c>
      <c r="F1606" s="168">
        <f t="shared" si="7"/>
        <v>0</v>
      </c>
      <c r="G1606" s="75"/>
      <c r="H1606" s="402">
        <v>55663</v>
      </c>
    </row>
    <row r="1607" spans="1:8" ht="13.2">
      <c r="A1607" s="49"/>
      <c r="B1607" s="16" t="s">
        <v>1516</v>
      </c>
      <c r="C1607" s="143">
        <f>VLOOKUP(B1607,'Thống kê'!$C$3:$D$970,2,0)</f>
        <v>0</v>
      </c>
      <c r="D1607" s="166">
        <f>VLOOKUP(B1607,'Thống kê'!$C$3:$M$970,4,0)</f>
        <v>0</v>
      </c>
      <c r="E1607" s="167">
        <v>1</v>
      </c>
      <c r="F1607" s="168">
        <f t="shared" si="7"/>
        <v>0</v>
      </c>
      <c r="G1607" s="75"/>
      <c r="H1607" s="373"/>
    </row>
    <row r="1608" spans="1:8" ht="13.2">
      <c r="A1608" s="64"/>
      <c r="B1608" s="16" t="s">
        <v>1829</v>
      </c>
      <c r="C1608" s="143" t="e">
        <f>VLOOKUP(B1608,'Thống kê'!$C$3:$D$970,2,0)</f>
        <v>#N/A</v>
      </c>
      <c r="D1608" s="166" t="e">
        <f>VLOOKUP(B1608,'Thống kê'!$C$3:$M$970,4,0)</f>
        <v>#N/A</v>
      </c>
      <c r="E1608" s="167">
        <v>1</v>
      </c>
      <c r="F1608" s="168" t="e">
        <f t="shared" si="7"/>
        <v>#N/A</v>
      </c>
      <c r="G1608" s="75"/>
      <c r="H1608" s="177">
        <v>138535</v>
      </c>
    </row>
    <row r="1609" spans="1:8" ht="13.2">
      <c r="A1609" s="49"/>
      <c r="B1609" s="16" t="s">
        <v>1779</v>
      </c>
      <c r="C1609" s="143">
        <f>VLOOKUP(B1609,'Thống kê'!$C$3:$D$970,2,0)</f>
        <v>0</v>
      </c>
      <c r="D1609" s="166">
        <f>VLOOKUP(B1609,'Thống kê'!$C$3:$M$970,4,0)</f>
        <v>0</v>
      </c>
      <c r="E1609" s="167">
        <v>1</v>
      </c>
      <c r="F1609" s="168">
        <f t="shared" si="7"/>
        <v>0</v>
      </c>
      <c r="G1609" s="75"/>
      <c r="H1609" s="177">
        <v>87540</v>
      </c>
    </row>
    <row r="1610" spans="1:8" ht="13.2">
      <c r="A1610" s="49"/>
      <c r="B1610" s="16" t="s">
        <v>1595</v>
      </c>
      <c r="C1610" s="143" t="str">
        <f>VLOOKUP(B1610,'Thống kê'!$C$3:$D$970,2,0)</f>
        <v>Dao rọc giấy 08</v>
      </c>
      <c r="D1610" s="166">
        <f>VLOOKUP(B1610,'Thống kê'!$C$3:$M$970,4,0)</f>
        <v>12000</v>
      </c>
      <c r="E1610" s="167">
        <v>1</v>
      </c>
      <c r="F1610" s="168">
        <f t="shared" si="7"/>
        <v>12000</v>
      </c>
      <c r="G1610" s="75"/>
      <c r="H1610" s="403">
        <v>211314</v>
      </c>
    </row>
    <row r="1611" spans="1:8" ht="13.2">
      <c r="A1611" s="49"/>
      <c r="B1611" s="16" t="s">
        <v>1424</v>
      </c>
      <c r="C1611" s="143" t="str">
        <f>VLOOKUP(B1611,'Thống kê'!$C$3:$D$970,2,0)</f>
        <v>Móc khoá Crybaby mini Popmart</v>
      </c>
      <c r="D1611" s="166">
        <f>VLOOKUP(B1611,'Thống kê'!$C$3:$M$970,4,0)</f>
        <v>145000</v>
      </c>
      <c r="E1611" s="167">
        <v>1</v>
      </c>
      <c r="F1611" s="168">
        <f t="shared" si="7"/>
        <v>145000</v>
      </c>
      <c r="G1611" s="75"/>
      <c r="H1611" s="372"/>
    </row>
    <row r="1612" spans="1:8" ht="13.2">
      <c r="A1612" s="49"/>
      <c r="B1612" s="16" t="s">
        <v>1475</v>
      </c>
      <c r="C1612" s="143">
        <f>VLOOKUP(B1612,'Thống kê'!$C$3:$D$970,2,0)</f>
        <v>0</v>
      </c>
      <c r="D1612" s="166">
        <f>VLOOKUP(B1612,'Thống kê'!$C$3:$M$970,4,0)</f>
        <v>0</v>
      </c>
      <c r="E1612" s="167">
        <v>1</v>
      </c>
      <c r="F1612" s="168">
        <f t="shared" si="7"/>
        <v>0</v>
      </c>
      <c r="G1612" s="75"/>
      <c r="H1612" s="372"/>
    </row>
    <row r="1613" spans="1:8" ht="13.2">
      <c r="A1613" s="49"/>
      <c r="B1613" s="16" t="s">
        <v>1830</v>
      </c>
      <c r="C1613" s="143" t="str">
        <f>VLOOKUP(B1613,'Thống kê'!$C$3:$D$970,2,0)</f>
        <v>Túi đựng đồ trang điểm nhỏ</v>
      </c>
      <c r="D1613" s="166">
        <f>VLOOKUP(B1613,'Thống kê'!$C$3:$M$970,4,0)</f>
        <v>0</v>
      </c>
      <c r="E1613" s="167">
        <v>1</v>
      </c>
      <c r="F1613" s="168">
        <f t="shared" si="7"/>
        <v>0</v>
      </c>
      <c r="G1613" s="75"/>
      <c r="H1613" s="372"/>
    </row>
    <row r="1614" spans="1:8" ht="13.2">
      <c r="A1614" s="49"/>
      <c r="B1614" s="16" t="s">
        <v>1831</v>
      </c>
      <c r="C1614" s="143" t="str">
        <f>VLOOKUP(B1614,'Thống kê'!$C$3:$D$970,2,0)</f>
        <v>Túi đựng trang điểm</v>
      </c>
      <c r="D1614" s="166">
        <f>VLOOKUP(B1614,'Thống kê'!$C$3:$M$970,4,0)</f>
        <v>0</v>
      </c>
      <c r="E1614" s="167">
        <v>1</v>
      </c>
      <c r="F1614" s="168">
        <f t="shared" si="7"/>
        <v>0</v>
      </c>
      <c r="G1614" s="75"/>
      <c r="H1614" s="373"/>
    </row>
    <row r="1615" spans="1:8" ht="13.2">
      <c r="A1615" s="49"/>
      <c r="B1615" s="16" t="s">
        <v>1389</v>
      </c>
      <c r="C1615" s="143" t="str">
        <f>VLOOKUP(B1615,'Thống kê'!$C$3:$D$970,2,0)</f>
        <v>Móc khoá Crybaby mini Popmart</v>
      </c>
      <c r="D1615" s="166">
        <f>VLOOKUP(B1615,'Thống kê'!$C$3:$M$970,4,0)</f>
        <v>0</v>
      </c>
      <c r="E1615" s="167">
        <v>1</v>
      </c>
      <c r="F1615" s="168">
        <f t="shared" si="7"/>
        <v>0</v>
      </c>
      <c r="G1615" s="75"/>
      <c r="H1615" s="403">
        <v>136120</v>
      </c>
    </row>
    <row r="1616" spans="1:8" ht="13.2">
      <c r="A1616" s="49"/>
      <c r="B1616" s="16" t="s">
        <v>77</v>
      </c>
      <c r="C1616" s="143">
        <f>VLOOKUP(B1616,'Thống kê'!$C$3:$D$970,2,0)</f>
        <v>0</v>
      </c>
      <c r="D1616" s="166">
        <f>VLOOKUP(B1616,'Thống kê'!$C$3:$M$970,4,0)</f>
        <v>0</v>
      </c>
      <c r="E1616" s="167">
        <v>1</v>
      </c>
      <c r="F1616" s="168">
        <f t="shared" si="7"/>
        <v>0</v>
      </c>
      <c r="G1616" s="75"/>
      <c r="H1616" s="373"/>
    </row>
    <row r="1617" spans="1:8" ht="13.2">
      <c r="A1617" s="49"/>
      <c r="B1617" s="16" t="s">
        <v>191</v>
      </c>
      <c r="C1617" s="143">
        <f>VLOOKUP(B1617,'Thống kê'!$C$3:$D$970,2,0)</f>
        <v>0</v>
      </c>
      <c r="D1617" s="166">
        <f>VLOOKUP(B1617,'Thống kê'!$C$3:$M$970,4,0)</f>
        <v>0</v>
      </c>
      <c r="E1617" s="167">
        <v>1</v>
      </c>
      <c r="F1617" s="168">
        <f t="shared" si="7"/>
        <v>0</v>
      </c>
      <c r="G1617" s="75"/>
      <c r="H1617" s="403">
        <v>182753</v>
      </c>
    </row>
    <row r="1618" spans="1:8" ht="13.2">
      <c r="A1618" s="49"/>
      <c r="B1618" s="16" t="s">
        <v>1522</v>
      </c>
      <c r="C1618" s="143">
        <f>VLOOKUP(B1618,'Thống kê'!$C$3:$D$970,2,0)</f>
        <v>0</v>
      </c>
      <c r="D1618" s="166">
        <f>VLOOKUP(B1618,'Thống kê'!$C$3:$M$970,4,0)</f>
        <v>0</v>
      </c>
      <c r="E1618" s="167">
        <v>1</v>
      </c>
      <c r="F1618" s="168">
        <f t="shared" si="7"/>
        <v>0</v>
      </c>
      <c r="G1618" s="75"/>
      <c r="H1618" s="372"/>
    </row>
    <row r="1619" spans="1:8" ht="13.2">
      <c r="A1619" s="49"/>
      <c r="B1619" s="16" t="s">
        <v>279</v>
      </c>
      <c r="C1619" s="143">
        <f>VLOOKUP(B1619,'Thống kê'!$C$3:$D$970,2,0)</f>
        <v>0</v>
      </c>
      <c r="D1619" s="166">
        <f>VLOOKUP(B1619,'Thống kê'!$C$3:$M$970,4,0)</f>
        <v>0</v>
      </c>
      <c r="E1619" s="167">
        <v>1</v>
      </c>
      <c r="F1619" s="168">
        <f t="shared" si="7"/>
        <v>0</v>
      </c>
      <c r="G1619" s="75"/>
      <c r="H1619" s="373"/>
    </row>
    <row r="1620" spans="1:8" ht="13.2">
      <c r="A1620" s="49"/>
      <c r="B1620" s="16" t="s">
        <v>115</v>
      </c>
      <c r="C1620" s="143" t="str">
        <f>VLOOKUP(B1620,'Thống kê'!$C$3:$D$970,2,0)</f>
        <v>Heo ú</v>
      </c>
      <c r="D1620" s="166">
        <f>VLOOKUP(B1620,'Thống kê'!$C$3:$M$970,4,0)</f>
        <v>59500</v>
      </c>
      <c r="E1620" s="167">
        <v>1</v>
      </c>
      <c r="F1620" s="168">
        <f t="shared" si="7"/>
        <v>59500</v>
      </c>
      <c r="G1620" s="75"/>
      <c r="H1620" s="403">
        <v>136924</v>
      </c>
    </row>
    <row r="1621" spans="1:8" ht="13.2">
      <c r="A1621" s="49"/>
      <c r="B1621" s="16" t="s">
        <v>183</v>
      </c>
      <c r="C1621" s="143" t="str">
        <f>VLOOKUP(B1621,'Thống kê'!$C$3:$D$970,2,0)</f>
        <v>Thỏ máy bay gắn xe</v>
      </c>
      <c r="D1621" s="166">
        <f>VLOOKUP(B1621,'Thống kê'!$C$3:$M$970,4,0)</f>
        <v>45000</v>
      </c>
      <c r="E1621" s="167">
        <v>1</v>
      </c>
      <c r="F1621" s="168">
        <f t="shared" si="7"/>
        <v>45000</v>
      </c>
      <c r="G1621" s="75"/>
      <c r="H1621" s="372"/>
    </row>
    <row r="1622" spans="1:8" ht="13.2">
      <c r="A1622" s="49"/>
      <c r="B1622" s="16" t="s">
        <v>119</v>
      </c>
      <c r="C1622" s="143" t="str">
        <f>VLOOKUP(B1622,'Thống kê'!$C$3:$D$970,2,0)</f>
        <v>Thỏ chạy xe gắn xe</v>
      </c>
      <c r="D1622" s="166">
        <f>VLOOKUP(B1622,'Thống kê'!$C$3:$M$970,4,0)</f>
        <v>45000</v>
      </c>
      <c r="E1622" s="167">
        <v>1</v>
      </c>
      <c r="F1622" s="168">
        <f t="shared" si="7"/>
        <v>45000</v>
      </c>
      <c r="G1622" s="75"/>
      <c r="H1622" s="372"/>
    </row>
    <row r="1623" spans="1:8" ht="13.2">
      <c r="A1623" s="49"/>
      <c r="B1623" s="16" t="s">
        <v>310</v>
      </c>
      <c r="C1623" s="143" t="str">
        <f>VLOOKUP(B1623,'Thống kê'!$C$3:$D$970,2,0)</f>
        <v>Trang trí mô hình Heo</v>
      </c>
      <c r="D1623" s="166">
        <f>VLOOKUP(B1623,'Thống kê'!$C$3:$M$970,4,0)</f>
        <v>39000</v>
      </c>
      <c r="E1623" s="167">
        <v>1</v>
      </c>
      <c r="F1623" s="168">
        <f t="shared" si="7"/>
        <v>39000</v>
      </c>
      <c r="G1623" s="75"/>
      <c r="H1623" s="373"/>
    </row>
    <row r="1624" spans="1:8" ht="13.2">
      <c r="A1624" s="49"/>
      <c r="B1624" s="16" t="s">
        <v>230</v>
      </c>
      <c r="C1624" s="143" t="str">
        <f>VLOOKUP(B1624,'Thống kê'!$C$3:$D$970,2,0)</f>
        <v>Móc khoá Crybaby mini Popmart</v>
      </c>
      <c r="D1624" s="166">
        <f>VLOOKUP(B1624,'Thống kê'!$C$3:$M$970,4,0)</f>
        <v>0</v>
      </c>
      <c r="E1624" s="167">
        <v>1</v>
      </c>
      <c r="F1624" s="168">
        <f t="shared" si="7"/>
        <v>0</v>
      </c>
      <c r="G1624" s="75"/>
      <c r="H1624" s="403">
        <v>155406</v>
      </c>
    </row>
    <row r="1625" spans="1:8" ht="13.2">
      <c r="A1625" s="49"/>
      <c r="B1625" s="16" t="s">
        <v>1388</v>
      </c>
      <c r="C1625" s="143" t="str">
        <f>VLOOKUP(B1625,'Thống kê'!$C$3:$D$970,2,0)</f>
        <v>Móc khoá Crybaby mini Popmart</v>
      </c>
      <c r="D1625" s="166">
        <f>VLOOKUP(B1625,'Thống kê'!$C$3:$M$970,4,0)</f>
        <v>0</v>
      </c>
      <c r="E1625" s="167">
        <v>1</v>
      </c>
      <c r="F1625" s="168">
        <f t="shared" si="7"/>
        <v>0</v>
      </c>
      <c r="G1625" s="75"/>
      <c r="H1625" s="373"/>
    </row>
    <row r="1626" spans="1:8" ht="13.2">
      <c r="A1626" s="49"/>
      <c r="B1626" s="16" t="s">
        <v>1603</v>
      </c>
      <c r="C1626" s="143" t="str">
        <f>VLOOKUP(B1626,'Thống kê'!$C$3:$D$970,2,0)</f>
        <v>Thước dây hồng phấn</v>
      </c>
      <c r="D1626" s="166">
        <f>VLOOKUP(B1626,'Thống kê'!$C$3:$M$970,4,0)</f>
        <v>9000</v>
      </c>
      <c r="E1626" s="167">
        <v>1</v>
      </c>
      <c r="F1626" s="168">
        <f t="shared" si="7"/>
        <v>9000</v>
      </c>
      <c r="G1626" s="75"/>
      <c r="H1626" s="403">
        <v>82410</v>
      </c>
    </row>
    <row r="1627" spans="1:8" ht="13.2">
      <c r="A1627" s="64"/>
      <c r="B1627" s="16" t="s">
        <v>234</v>
      </c>
      <c r="C1627" s="143" t="str">
        <f>VLOOKUP(B1627,'Thống kê'!$C$3:$D$970,2,0)</f>
        <v>Móc khoá skullpanda phiên bản mini</v>
      </c>
      <c r="D1627" s="166">
        <f>VLOOKUP(B1627,'Thống kê'!$C$3:$M$970,4,0)</f>
        <v>98000</v>
      </c>
      <c r="E1627" s="167">
        <v>1</v>
      </c>
      <c r="F1627" s="168">
        <f t="shared" si="7"/>
        <v>98000</v>
      </c>
      <c r="G1627" s="75"/>
      <c r="H1627" s="373"/>
    </row>
    <row r="1628" spans="1:8" ht="13.2">
      <c r="A1628" s="49"/>
      <c r="B1628" s="16" t="s">
        <v>234</v>
      </c>
      <c r="C1628" s="143" t="str">
        <f>VLOOKUP(B1628,'Thống kê'!$C$3:$D$970,2,0)</f>
        <v>Móc khoá skullpanda phiên bản mini</v>
      </c>
      <c r="D1628" s="166">
        <f>VLOOKUP(B1628,'Thống kê'!$C$3:$M$970,4,0)</f>
        <v>98000</v>
      </c>
      <c r="E1628" s="167">
        <v>1</v>
      </c>
      <c r="F1628" s="168">
        <f t="shared" si="7"/>
        <v>98000</v>
      </c>
      <c r="G1628" s="75"/>
      <c r="H1628" s="176">
        <v>73905</v>
      </c>
    </row>
    <row r="1629" spans="1:8" ht="13.2">
      <c r="A1629" s="49"/>
      <c r="B1629" s="16" t="s">
        <v>1382</v>
      </c>
      <c r="C1629" s="143" t="str">
        <f>VLOOKUP(B1629,'Thống kê'!$C$3:$D$970,2,0)</f>
        <v>miếng dán silicon điện thoại</v>
      </c>
      <c r="D1629" s="166">
        <f>VLOOKUP(B1629,'Thống kê'!$C$3:$M$970,4,0)</f>
        <v>0</v>
      </c>
      <c r="E1629" s="167">
        <v>1</v>
      </c>
      <c r="F1629" s="168">
        <f t="shared" si="7"/>
        <v>0</v>
      </c>
      <c r="G1629" s="75"/>
      <c r="H1629" s="403">
        <v>112243</v>
      </c>
    </row>
    <row r="1630" spans="1:8" ht="13.2">
      <c r="A1630" s="49"/>
      <c r="B1630" s="16" t="s">
        <v>1517</v>
      </c>
      <c r="C1630" s="143">
        <f>VLOOKUP(B1630,'Thống kê'!$C$3:$D$970,2,0)</f>
        <v>0</v>
      </c>
      <c r="D1630" s="166">
        <f>VLOOKUP(B1630,'Thống kê'!$C$3:$M$970,4,0)</f>
        <v>0</v>
      </c>
      <c r="E1630" s="167">
        <v>1</v>
      </c>
      <c r="F1630" s="168">
        <f t="shared" si="7"/>
        <v>0</v>
      </c>
      <c r="G1630" s="75"/>
      <c r="H1630" s="372"/>
    </row>
    <row r="1631" spans="1:8" ht="13.2">
      <c r="A1631" s="49"/>
      <c r="B1631" s="16" t="s">
        <v>196</v>
      </c>
      <c r="C1631" s="143">
        <f>VLOOKUP(B1631,'Thống kê'!$C$3:$D$970,2,0)</f>
        <v>0</v>
      </c>
      <c r="D1631" s="166">
        <f>VLOOKUP(B1631,'Thống kê'!$C$3:$M$970,4,0)</f>
        <v>0</v>
      </c>
      <c r="E1631" s="167">
        <v>1</v>
      </c>
      <c r="F1631" s="168">
        <f t="shared" si="7"/>
        <v>0</v>
      </c>
      <c r="G1631" s="75"/>
      <c r="H1631" s="373"/>
    </row>
    <row r="1632" spans="1:8" ht="13.2">
      <c r="A1632" s="49"/>
      <c r="B1632" s="16" t="s">
        <v>196</v>
      </c>
      <c r="C1632" s="143">
        <f>VLOOKUP(B1632,'Thống kê'!$C$3:$D$970,2,0)</f>
        <v>0</v>
      </c>
      <c r="D1632" s="166">
        <f>VLOOKUP(B1632,'Thống kê'!$C$3:$M$970,4,0)</f>
        <v>0</v>
      </c>
      <c r="E1632" s="167">
        <v>1</v>
      </c>
      <c r="F1632" s="168">
        <f t="shared" si="7"/>
        <v>0</v>
      </c>
      <c r="G1632" s="75"/>
      <c r="H1632" s="177">
        <v>53162</v>
      </c>
    </row>
    <row r="1633" spans="1:8" ht="13.2">
      <c r="A1633" s="49"/>
      <c r="B1633" s="16" t="s">
        <v>262</v>
      </c>
      <c r="C1633" s="143" t="str">
        <f>VLOOKUP(B1633,'Thống kê'!$C$3:$D$970,2,0)</f>
        <v>Pop Bean Baked Bread</v>
      </c>
      <c r="D1633" s="166">
        <f>VLOOKUP(B1633,'Thống kê'!$C$3:$M$970,4,0)</f>
        <v>167000</v>
      </c>
      <c r="E1633" s="167">
        <v>1</v>
      </c>
      <c r="F1633" s="168">
        <f t="shared" si="7"/>
        <v>167000</v>
      </c>
      <c r="G1633" s="75"/>
      <c r="H1633" s="177">
        <v>122010</v>
      </c>
    </row>
    <row r="1634" spans="1:8" ht="13.2">
      <c r="A1634" s="49"/>
      <c r="B1634" s="16" t="s">
        <v>1522</v>
      </c>
      <c r="C1634" s="143">
        <f>VLOOKUP(B1634,'Thống kê'!$C$3:$D$970,2,0)</f>
        <v>0</v>
      </c>
      <c r="D1634" s="166">
        <f>VLOOKUP(B1634,'Thống kê'!$C$3:$M$970,4,0)</f>
        <v>0</v>
      </c>
      <c r="E1634" s="167">
        <v>1</v>
      </c>
      <c r="F1634" s="168">
        <f t="shared" si="7"/>
        <v>0</v>
      </c>
      <c r="G1634" s="75"/>
      <c r="H1634" s="403">
        <v>110084</v>
      </c>
    </row>
    <row r="1635" spans="1:8" ht="13.2">
      <c r="A1635" s="49"/>
      <c r="B1635" s="16" t="s">
        <v>196</v>
      </c>
      <c r="C1635" s="143">
        <f>VLOOKUP(B1635,'Thống kê'!$C$3:$D$970,2,0)</f>
        <v>0</v>
      </c>
      <c r="D1635" s="166">
        <f>VLOOKUP(B1635,'Thống kê'!$C$3:$M$970,4,0)</f>
        <v>0</v>
      </c>
      <c r="E1635" s="167">
        <v>1</v>
      </c>
      <c r="F1635" s="168">
        <f t="shared" si="7"/>
        <v>0</v>
      </c>
      <c r="G1635" s="75"/>
      <c r="H1635" s="373"/>
    </row>
    <row r="1636" spans="1:8" ht="13.2">
      <c r="A1636" s="49"/>
      <c r="B1636" s="16" t="s">
        <v>1807</v>
      </c>
      <c r="C1636" s="143" t="e">
        <f>VLOOKUP(B1636,'Thống kê'!$C$3:$D$970,2,0)</f>
        <v>#N/A</v>
      </c>
      <c r="D1636" s="166" t="e">
        <f>VLOOKUP(B1636,'Thống kê'!$C$3:$M$970,4,0)</f>
        <v>#N/A</v>
      </c>
      <c r="E1636" s="167">
        <v>1</v>
      </c>
      <c r="F1636" s="168" t="e">
        <f t="shared" si="7"/>
        <v>#N/A</v>
      </c>
      <c r="G1636" s="75"/>
      <c r="H1636" s="403">
        <v>245271</v>
      </c>
    </row>
    <row r="1637" spans="1:8" ht="13.2">
      <c r="A1637" s="49"/>
      <c r="B1637" s="16" t="s">
        <v>1717</v>
      </c>
      <c r="C1637" s="143" t="str">
        <f>VLOOKUP(B1637,'Thống kê'!$C$3:$D$970,2,0)</f>
        <v>Pop Bean Baked Bread</v>
      </c>
      <c r="D1637" s="166">
        <f>VLOOKUP(B1637,'Thống kê'!$C$3:$M$970,4,0)</f>
        <v>167000</v>
      </c>
      <c r="E1637" s="167">
        <v>1</v>
      </c>
      <c r="F1637" s="168">
        <f t="shared" si="7"/>
        <v>167000</v>
      </c>
      <c r="G1637" s="75"/>
      <c r="H1637" s="372"/>
    </row>
    <row r="1638" spans="1:8" ht="13.2">
      <c r="A1638" s="49"/>
      <c r="B1638" s="16" t="s">
        <v>1826</v>
      </c>
      <c r="C1638" s="143" t="str">
        <f>VLOOKUP(B1638,'Thống kê'!$C$3:$D$970,2,0)</f>
        <v>Túi đựng đồ trang điểm nhỏ</v>
      </c>
      <c r="D1638" s="166">
        <f>VLOOKUP(B1638,'Thống kê'!$C$3:$M$970,4,0)</f>
        <v>0</v>
      </c>
      <c r="E1638" s="167">
        <v>1</v>
      </c>
      <c r="F1638" s="168">
        <f t="shared" si="7"/>
        <v>0</v>
      </c>
      <c r="G1638" s="75"/>
      <c r="H1638" s="373"/>
    </row>
    <row r="1639" spans="1:8" ht="13.2">
      <c r="A1639" s="49"/>
      <c r="B1639" s="16" t="s">
        <v>196</v>
      </c>
      <c r="C1639" s="143">
        <f>VLOOKUP(B1639,'Thống kê'!$C$3:$D$970,2,0)</f>
        <v>0</v>
      </c>
      <c r="D1639" s="166">
        <f>VLOOKUP(B1639,'Thống kê'!$C$3:$M$970,4,0)</f>
        <v>0</v>
      </c>
      <c r="E1639" s="167">
        <v>1</v>
      </c>
      <c r="F1639" s="168">
        <f t="shared" si="7"/>
        <v>0</v>
      </c>
      <c r="G1639" s="75"/>
      <c r="H1639" s="403">
        <v>109880</v>
      </c>
    </row>
    <row r="1640" spans="1:8" ht="13.2">
      <c r="A1640" s="64"/>
      <c r="B1640" s="16" t="s">
        <v>1524</v>
      </c>
      <c r="C1640" s="143">
        <f>VLOOKUP(B1640,'Thống kê'!$C$3:$D$970,2,0)</f>
        <v>0</v>
      </c>
      <c r="D1640" s="166">
        <f>VLOOKUP(B1640,'Thống kê'!$C$3:$M$970,4,0)</f>
        <v>0</v>
      </c>
      <c r="E1640" s="167">
        <v>1</v>
      </c>
      <c r="F1640" s="168">
        <f t="shared" si="7"/>
        <v>0</v>
      </c>
      <c r="G1640" s="75"/>
      <c r="H1640" s="373"/>
    </row>
    <row r="1641" spans="1:8" ht="13.2">
      <c r="A1641" s="49"/>
      <c r="B1641" s="16" t="s">
        <v>1523</v>
      </c>
      <c r="C1641" s="143">
        <f>VLOOKUP(B1641,'Thống kê'!$C$3:$D$970,2,0)</f>
        <v>0</v>
      </c>
      <c r="D1641" s="166">
        <f>VLOOKUP(B1641,'Thống kê'!$C$3:$M$970,4,0)</f>
        <v>0</v>
      </c>
      <c r="E1641" s="167">
        <v>1</v>
      </c>
      <c r="F1641" s="168">
        <f t="shared" si="7"/>
        <v>0</v>
      </c>
      <c r="G1641" s="75"/>
      <c r="H1641" s="403">
        <v>109880</v>
      </c>
    </row>
    <row r="1642" spans="1:8" ht="13.2">
      <c r="A1642" s="49"/>
      <c r="B1642" s="16" t="s">
        <v>140</v>
      </c>
      <c r="C1642" s="143">
        <f>VLOOKUP(B1642,'Thống kê'!$C$3:$D$970,2,0)</f>
        <v>0</v>
      </c>
      <c r="D1642" s="166">
        <f>VLOOKUP(B1642,'Thống kê'!$C$3:$M$970,4,0)</f>
        <v>0</v>
      </c>
      <c r="E1642" s="167">
        <v>1</v>
      </c>
      <c r="F1642" s="168">
        <f t="shared" si="7"/>
        <v>0</v>
      </c>
      <c r="G1642" s="75"/>
      <c r="H1642" s="373"/>
    </row>
    <row r="1643" spans="1:8" ht="13.2">
      <c r="A1643" s="49"/>
      <c r="B1643" s="16" t="s">
        <v>161</v>
      </c>
      <c r="C1643" s="143" t="str">
        <f>VLOOKUP(B1643,'Thống kê'!$C$3:$D$970,2,0)</f>
        <v>Dao rọc giấy 07</v>
      </c>
      <c r="D1643" s="166">
        <f>VLOOKUP(B1643,'Thống kê'!$C$3:$M$970,4,0)</f>
        <v>12000</v>
      </c>
      <c r="E1643" s="167">
        <v>1</v>
      </c>
      <c r="F1643" s="168">
        <f t="shared" si="7"/>
        <v>12000</v>
      </c>
      <c r="G1643" s="75"/>
      <c r="H1643" s="402">
        <v>480021</v>
      </c>
    </row>
    <row r="1644" spans="1:8" ht="13.2">
      <c r="A1644" s="49"/>
      <c r="B1644" s="16" t="s">
        <v>1353</v>
      </c>
      <c r="C1644" s="143" t="str">
        <f>VLOOKUP(B1644,'Thống kê'!$C$3:$D$970,2,0)</f>
        <v>Trang trí mô hình Vịt</v>
      </c>
      <c r="D1644" s="166">
        <f>VLOOKUP(B1644,'Thống kê'!$C$3:$M$970,4,0)</f>
        <v>39000</v>
      </c>
      <c r="E1644" s="167">
        <v>1</v>
      </c>
      <c r="F1644" s="168">
        <f t="shared" si="7"/>
        <v>39000</v>
      </c>
      <c r="G1644" s="75"/>
      <c r="H1644" s="372"/>
    </row>
    <row r="1645" spans="1:8" ht="13.2">
      <c r="A1645" s="49"/>
      <c r="B1645" s="16" t="s">
        <v>250</v>
      </c>
      <c r="C1645" s="143">
        <f>VLOOKUP(B1645,'Thống kê'!$C$3:$D$970,2,0)</f>
        <v>0</v>
      </c>
      <c r="D1645" s="166">
        <f>VLOOKUP(B1645,'Thống kê'!$C$3:$M$970,4,0)</f>
        <v>0</v>
      </c>
      <c r="E1645" s="167">
        <v>1</v>
      </c>
      <c r="F1645" s="168">
        <f t="shared" si="7"/>
        <v>0</v>
      </c>
      <c r="G1645" s="75"/>
      <c r="H1645" s="372"/>
    </row>
    <row r="1646" spans="1:8" ht="13.2">
      <c r="A1646" s="49"/>
      <c r="B1646" s="16" t="s">
        <v>1401</v>
      </c>
      <c r="C1646" s="143" t="str">
        <f>VLOOKUP(B1646,'Thống kê'!$C$3:$D$970,2,0)</f>
        <v>Móc khoá Dimoo size mini (hàng remake)</v>
      </c>
      <c r="D1646" s="166">
        <f>VLOOKUP(B1646,'Thống kê'!$C$3:$M$970,4,0)</f>
        <v>0</v>
      </c>
      <c r="E1646" s="167">
        <v>1</v>
      </c>
      <c r="F1646" s="168">
        <f t="shared" si="7"/>
        <v>0</v>
      </c>
      <c r="G1646" s="75"/>
      <c r="H1646" s="372"/>
    </row>
    <row r="1647" spans="1:8" ht="13.2">
      <c r="A1647" s="49"/>
      <c r="B1647" s="16" t="s">
        <v>234</v>
      </c>
      <c r="C1647" s="143" t="str">
        <f>VLOOKUP(B1647,'Thống kê'!$C$3:$D$970,2,0)</f>
        <v>Móc khoá skullpanda phiên bản mini</v>
      </c>
      <c r="D1647" s="166">
        <f>VLOOKUP(B1647,'Thống kê'!$C$3:$M$970,4,0)</f>
        <v>98000</v>
      </c>
      <c r="E1647" s="167">
        <v>1</v>
      </c>
      <c r="F1647" s="168">
        <f t="shared" si="7"/>
        <v>98000</v>
      </c>
      <c r="G1647" s="75"/>
      <c r="H1647" s="372"/>
    </row>
    <row r="1648" spans="1:8" ht="13.2">
      <c r="A1648" s="64"/>
      <c r="B1648" s="16" t="s">
        <v>107</v>
      </c>
      <c r="C1648" s="143">
        <f>VLOOKUP(B1648,'Thống kê'!$C$3:$D$970,2,0)</f>
        <v>0</v>
      </c>
      <c r="D1648" s="166">
        <f>VLOOKUP(B1648,'Thống kê'!$C$3:$M$970,4,0)</f>
        <v>0</v>
      </c>
      <c r="E1648" s="167">
        <v>1</v>
      </c>
      <c r="F1648" s="168">
        <f t="shared" si="7"/>
        <v>0</v>
      </c>
      <c r="G1648" s="75"/>
      <c r="H1648" s="372"/>
    </row>
    <row r="1649" spans="1:8" ht="13.2">
      <c r="A1649" s="49"/>
      <c r="B1649" s="16" t="s">
        <v>1483</v>
      </c>
      <c r="C1649" s="143" t="str">
        <f>VLOOKUP(B1649,'Thống kê'!$C$3:$D$970,2,0)</f>
        <v>Móc khoá Dudu nhiều màu sắc treo túi, đeo điện thoại</v>
      </c>
      <c r="D1649" s="166">
        <f>VLOOKUP(B1649,'Thống kê'!$C$3:$M$970,4,0)</f>
        <v>45000</v>
      </c>
      <c r="E1649" s="167">
        <v>1</v>
      </c>
      <c r="F1649" s="168">
        <f t="shared" si="7"/>
        <v>45000</v>
      </c>
      <c r="G1649" s="75"/>
      <c r="H1649" s="373"/>
    </row>
    <row r="1650" spans="1:8" ht="13.2">
      <c r="A1650" s="49"/>
      <c r="B1650" s="16" t="s">
        <v>233</v>
      </c>
      <c r="C1650" s="143">
        <f>VLOOKUP(B1650,'Thống kê'!$C$3:$D$970,2,0)</f>
        <v>0</v>
      </c>
      <c r="D1650" s="166">
        <f>VLOOKUP(B1650,'Thống kê'!$C$3:$M$970,4,0)</f>
        <v>0</v>
      </c>
      <c r="E1650" s="167">
        <v>1</v>
      </c>
      <c r="F1650" s="168">
        <f t="shared" si="7"/>
        <v>0</v>
      </c>
      <c r="G1650" s="75"/>
      <c r="H1650" s="402">
        <v>109880</v>
      </c>
    </row>
    <row r="1651" spans="1:8" ht="13.2">
      <c r="A1651" s="49"/>
      <c r="B1651" s="16" t="s">
        <v>1516</v>
      </c>
      <c r="C1651" s="143">
        <f>VLOOKUP(B1651,'Thống kê'!$C$3:$D$970,2,0)</f>
        <v>0</v>
      </c>
      <c r="D1651" s="166">
        <f>VLOOKUP(B1651,'Thống kê'!$C$3:$M$970,4,0)</f>
        <v>0</v>
      </c>
      <c r="E1651" s="167">
        <v>1</v>
      </c>
      <c r="F1651" s="168">
        <f t="shared" si="7"/>
        <v>0</v>
      </c>
      <c r="G1651" s="75"/>
      <c r="H1651" s="372"/>
    </row>
    <row r="1652" spans="1:8" ht="13.2">
      <c r="A1652" s="49"/>
      <c r="B1652" s="16" t="s">
        <v>233</v>
      </c>
      <c r="C1652" s="143">
        <f>VLOOKUP(B1652,'Thống kê'!$C$3:$D$970,2,0)</f>
        <v>0</v>
      </c>
      <c r="D1652" s="166">
        <f>VLOOKUP(B1652,'Thống kê'!$C$3:$M$970,4,0)</f>
        <v>0</v>
      </c>
      <c r="E1652" s="167">
        <v>1</v>
      </c>
      <c r="F1652" s="168">
        <f t="shared" si="7"/>
        <v>0</v>
      </c>
      <c r="G1652" s="75"/>
      <c r="H1652" s="402">
        <v>117480</v>
      </c>
    </row>
    <row r="1653" spans="1:8" ht="13.2">
      <c r="A1653" s="49"/>
      <c r="B1653" s="16" t="s">
        <v>1516</v>
      </c>
      <c r="C1653" s="143">
        <f>VLOOKUP(B1653,'Thống kê'!$C$3:$D$970,2,0)</f>
        <v>0</v>
      </c>
      <c r="D1653" s="166">
        <f>VLOOKUP(B1653,'Thống kê'!$C$3:$M$970,4,0)</f>
        <v>0</v>
      </c>
      <c r="E1653" s="167">
        <v>1</v>
      </c>
      <c r="F1653" s="168">
        <f t="shared" si="7"/>
        <v>0</v>
      </c>
      <c r="G1653" s="75"/>
      <c r="H1653" s="373"/>
    </row>
    <row r="1654" spans="1:8" ht="13.2">
      <c r="A1654" s="49"/>
      <c r="B1654" s="16" t="s">
        <v>279</v>
      </c>
      <c r="C1654" s="143">
        <f>VLOOKUP(B1654,'Thống kê'!$C$3:$D$970,2,0)</f>
        <v>0</v>
      </c>
      <c r="D1654" s="166">
        <f>VLOOKUP(B1654,'Thống kê'!$C$3:$M$970,4,0)</f>
        <v>0</v>
      </c>
      <c r="E1654" s="167">
        <v>1</v>
      </c>
      <c r="F1654" s="168">
        <f t="shared" si="7"/>
        <v>0</v>
      </c>
      <c r="G1654" s="75"/>
      <c r="H1654" s="177">
        <v>58829</v>
      </c>
    </row>
    <row r="1655" spans="1:8" ht="13.2">
      <c r="A1655" s="49"/>
      <c r="B1655" s="16" t="s">
        <v>1499</v>
      </c>
      <c r="C1655" s="143">
        <f>VLOOKUP(B1655,'Thống kê'!$C$3:$D$970,2,0)</f>
        <v>0</v>
      </c>
      <c r="D1655" s="166">
        <f>VLOOKUP(B1655,'Thống kê'!$C$3:$M$970,4,0)</f>
        <v>0</v>
      </c>
      <c r="E1655" s="167">
        <v>1</v>
      </c>
      <c r="F1655" s="168">
        <f t="shared" si="7"/>
        <v>0</v>
      </c>
      <c r="G1655" s="75"/>
      <c r="H1655" s="178">
        <v>87740</v>
      </c>
    </row>
    <row r="1656" spans="1:8" ht="13.2">
      <c r="A1656" s="49"/>
      <c r="B1656" s="16" t="s">
        <v>1382</v>
      </c>
      <c r="C1656" s="143" t="str">
        <f>VLOOKUP(B1656,'Thống kê'!$C$3:$D$970,2,0)</f>
        <v>miếng dán silicon điện thoại</v>
      </c>
      <c r="D1656" s="166">
        <f>VLOOKUP(B1656,'Thống kê'!$C$3:$M$970,4,0)</f>
        <v>0</v>
      </c>
      <c r="E1656" s="167">
        <v>1</v>
      </c>
      <c r="F1656" s="168">
        <f t="shared" si="7"/>
        <v>0</v>
      </c>
      <c r="G1656" s="75"/>
      <c r="H1656" s="402">
        <v>55538</v>
      </c>
    </row>
    <row r="1657" spans="1:8" ht="13.2">
      <c r="A1657" s="49"/>
      <c r="B1657" s="16" t="s">
        <v>140</v>
      </c>
      <c r="C1657" s="143">
        <f>VLOOKUP(B1657,'Thống kê'!$C$3:$D$970,2,0)</f>
        <v>0</v>
      </c>
      <c r="D1657" s="166">
        <f>VLOOKUP(B1657,'Thống kê'!$C$3:$M$970,4,0)</f>
        <v>0</v>
      </c>
      <c r="E1657" s="167">
        <v>1</v>
      </c>
      <c r="F1657" s="168">
        <f t="shared" si="7"/>
        <v>0</v>
      </c>
      <c r="G1657" s="75"/>
      <c r="H1657" s="373"/>
    </row>
    <row r="1658" spans="1:8" ht="13.2">
      <c r="A1658" s="49"/>
      <c r="B1658" s="16" t="s">
        <v>1466</v>
      </c>
      <c r="C1658" s="143">
        <f>VLOOKUP(B1658,'Thống kê'!$C$3:$D$970,2,0)</f>
        <v>0</v>
      </c>
      <c r="D1658" s="166">
        <f>VLOOKUP(B1658,'Thống kê'!$C$3:$M$970,4,0)</f>
        <v>0</v>
      </c>
      <c r="E1658" s="167">
        <v>1</v>
      </c>
      <c r="F1658" s="168">
        <f t="shared" si="7"/>
        <v>0</v>
      </c>
      <c r="G1658" s="75"/>
      <c r="H1658" s="403">
        <v>215133</v>
      </c>
    </row>
    <row r="1659" spans="1:8" ht="13.2">
      <c r="A1659" s="49"/>
      <c r="B1659" s="16" t="s">
        <v>258</v>
      </c>
      <c r="C1659" s="143" t="str">
        <f>VLOOKUP(B1659,'Thống kê'!$C$3:$D$970,2,0)</f>
        <v>Móc khoá Crybaby mini Popmart</v>
      </c>
      <c r="D1659" s="166">
        <f>VLOOKUP(B1659,'Thống kê'!$C$3:$M$970,4,0)</f>
        <v>0</v>
      </c>
      <c r="E1659" s="167">
        <v>1</v>
      </c>
      <c r="F1659" s="168">
        <f t="shared" si="7"/>
        <v>0</v>
      </c>
      <c r="G1659" s="75"/>
      <c r="H1659" s="372"/>
    </row>
    <row r="1660" spans="1:8" ht="13.2">
      <c r="A1660" s="49"/>
      <c r="B1660" s="16" t="s">
        <v>230</v>
      </c>
      <c r="C1660" s="143" t="str">
        <f>VLOOKUP(B1660,'Thống kê'!$C$3:$D$970,2,0)</f>
        <v>Móc khoá Crybaby mini Popmart</v>
      </c>
      <c r="D1660" s="166">
        <f>VLOOKUP(B1660,'Thống kê'!$C$3:$M$970,4,0)</f>
        <v>0</v>
      </c>
      <c r="E1660" s="167">
        <v>1</v>
      </c>
      <c r="F1660" s="168">
        <f t="shared" si="7"/>
        <v>0</v>
      </c>
      <c r="G1660" s="75"/>
      <c r="H1660" s="373"/>
    </row>
    <row r="1661" spans="1:8" ht="13.2">
      <c r="A1661" s="49"/>
      <c r="B1661" s="16" t="s">
        <v>258</v>
      </c>
      <c r="C1661" s="143" t="str">
        <f>VLOOKUP(B1661,'Thống kê'!$C$3:$D$970,2,0)</f>
        <v>Móc khoá Crybaby mini Popmart</v>
      </c>
      <c r="D1661" s="166">
        <f>VLOOKUP(B1661,'Thống kê'!$C$3:$M$970,4,0)</f>
        <v>0</v>
      </c>
      <c r="E1661" s="167">
        <v>1</v>
      </c>
      <c r="F1661" s="168">
        <f t="shared" si="7"/>
        <v>0</v>
      </c>
      <c r="G1661" s="75"/>
      <c r="H1661" s="177">
        <v>77825</v>
      </c>
    </row>
    <row r="1662" spans="1:8" ht="13.2">
      <c r="A1662" s="49"/>
      <c r="B1662" s="16" t="s">
        <v>1832</v>
      </c>
      <c r="C1662" s="143" t="str">
        <f>VLOOKUP(B1662,'Thống kê'!$C$3:$D$970,2,0)</f>
        <v>Ống 10 dây cột tóc đen</v>
      </c>
      <c r="D1662" s="166">
        <f>VLOOKUP(B1662,'Thống kê'!$C$3:$M$970,4,0)</f>
        <v>30000</v>
      </c>
      <c r="E1662" s="167">
        <v>1</v>
      </c>
      <c r="F1662" s="168">
        <f t="shared" si="7"/>
        <v>30000</v>
      </c>
      <c r="G1662" s="75"/>
      <c r="H1662" s="403">
        <v>74217</v>
      </c>
    </row>
    <row r="1663" spans="1:8" ht="13.2">
      <c r="A1663" s="49"/>
      <c r="B1663" s="16" t="s">
        <v>1523</v>
      </c>
      <c r="C1663" s="143">
        <f>VLOOKUP(B1663,'Thống kê'!$C$3:$D$970,2,0)</f>
        <v>0</v>
      </c>
      <c r="D1663" s="166">
        <f>VLOOKUP(B1663,'Thống kê'!$C$3:$M$970,4,0)</f>
        <v>0</v>
      </c>
      <c r="E1663" s="167">
        <v>1</v>
      </c>
      <c r="F1663" s="168">
        <f t="shared" si="7"/>
        <v>0</v>
      </c>
      <c r="G1663" s="75"/>
      <c r="H1663" s="373"/>
    </row>
    <row r="1664" spans="1:8" ht="13.2">
      <c r="A1664" s="49"/>
      <c r="B1664" s="16" t="s">
        <v>310</v>
      </c>
      <c r="C1664" s="143" t="str">
        <f>VLOOKUP(B1664,'Thống kê'!$C$3:$D$970,2,0)</f>
        <v>Trang trí mô hình Heo</v>
      </c>
      <c r="D1664" s="166">
        <f>VLOOKUP(B1664,'Thống kê'!$C$3:$M$970,4,0)</f>
        <v>39000</v>
      </c>
      <c r="E1664" s="167">
        <v>1</v>
      </c>
      <c r="F1664" s="168">
        <f t="shared" si="7"/>
        <v>39000</v>
      </c>
      <c r="G1664" s="75"/>
      <c r="H1664" s="402">
        <v>107322</v>
      </c>
    </row>
    <row r="1665" spans="1:8" ht="13.2">
      <c r="A1665" s="49"/>
      <c r="B1665" s="16" t="s">
        <v>1384</v>
      </c>
      <c r="C1665" s="143" t="str">
        <f>VLOOKUP(B1665,'Thống kê'!$C$3:$D$970,2,0)</f>
        <v>Móc khoá Crybaby mini Popmart</v>
      </c>
      <c r="D1665" s="166">
        <f>VLOOKUP(B1665,'Thống kê'!$C$3:$M$970,4,0)</f>
        <v>0</v>
      </c>
      <c r="E1665" s="167">
        <v>1</v>
      </c>
      <c r="F1665" s="168">
        <f t="shared" si="7"/>
        <v>0</v>
      </c>
      <c r="G1665" s="75"/>
      <c r="H1665" s="372"/>
    </row>
    <row r="1666" spans="1:8" ht="13.2">
      <c r="A1666" s="49"/>
      <c r="B1666" s="16" t="s">
        <v>238</v>
      </c>
      <c r="C1666" s="143">
        <f>VLOOKUP(B1666,'Thống kê'!$C$3:$D$970,2,0)</f>
        <v>0</v>
      </c>
      <c r="D1666" s="166">
        <f>VLOOKUP(B1666,'Thống kê'!$C$3:$M$970,4,0)</f>
        <v>0</v>
      </c>
      <c r="E1666" s="167">
        <v>1</v>
      </c>
      <c r="F1666" s="168">
        <f t="shared" si="7"/>
        <v>0</v>
      </c>
      <c r="G1666" s="75"/>
      <c r="H1666" s="402">
        <v>129560</v>
      </c>
    </row>
    <row r="1667" spans="1:8" ht="13.2">
      <c r="A1667" s="64"/>
      <c r="B1667" s="16" t="s">
        <v>196</v>
      </c>
      <c r="C1667" s="143">
        <f>VLOOKUP(B1667,'Thống kê'!$C$3:$D$970,2,0)</f>
        <v>0</v>
      </c>
      <c r="D1667" s="166">
        <f>VLOOKUP(B1667,'Thống kê'!$C$3:$M$970,4,0)</f>
        <v>0</v>
      </c>
      <c r="E1667" s="167">
        <v>1</v>
      </c>
      <c r="F1667" s="168">
        <f t="shared" si="7"/>
        <v>0</v>
      </c>
      <c r="G1667" s="75"/>
      <c r="H1667" s="373"/>
    </row>
    <row r="1668" spans="1:8" ht="13.2">
      <c r="A1668" s="49"/>
      <c r="B1668" s="16" t="s">
        <v>1717</v>
      </c>
      <c r="C1668" s="143" t="str">
        <f>VLOOKUP(B1668,'Thống kê'!$C$3:$D$970,2,0)</f>
        <v>Pop Bean Baked Bread</v>
      </c>
      <c r="D1668" s="166">
        <f>VLOOKUP(B1668,'Thống kê'!$C$3:$M$970,4,0)</f>
        <v>167000</v>
      </c>
      <c r="E1668" s="167">
        <v>1</v>
      </c>
      <c r="F1668" s="168">
        <f t="shared" si="7"/>
        <v>167000</v>
      </c>
      <c r="G1668" s="75"/>
      <c r="H1668" s="177">
        <v>138610</v>
      </c>
    </row>
    <row r="1669" spans="1:8" ht="13.2">
      <c r="A1669" s="49"/>
      <c r="B1669" s="16" t="s">
        <v>1468</v>
      </c>
      <c r="C1669" s="143">
        <f>VLOOKUP(B1669,'Thống kê'!$C$3:$D$970,2,0)</f>
        <v>0</v>
      </c>
      <c r="D1669" s="166">
        <f>VLOOKUP(B1669,'Thống kê'!$C$3:$M$970,4,0)</f>
        <v>0</v>
      </c>
      <c r="E1669" s="167">
        <v>1</v>
      </c>
      <c r="F1669" s="168">
        <f t="shared" si="7"/>
        <v>0</v>
      </c>
      <c r="G1669" s="75"/>
      <c r="H1669" s="177">
        <v>58965</v>
      </c>
    </row>
    <row r="1670" spans="1:8" ht="13.2">
      <c r="A1670" s="49"/>
      <c r="B1670" s="16" t="s">
        <v>1384</v>
      </c>
      <c r="C1670" s="143" t="str">
        <f>VLOOKUP(B1670,'Thống kê'!$C$3:$D$970,2,0)</f>
        <v>Móc khoá Crybaby mini Popmart</v>
      </c>
      <c r="D1670" s="166">
        <f>VLOOKUP(B1670,'Thống kê'!$C$3:$M$970,4,0)</f>
        <v>0</v>
      </c>
      <c r="E1670" s="167">
        <v>1</v>
      </c>
      <c r="F1670" s="168">
        <f t="shared" si="7"/>
        <v>0</v>
      </c>
      <c r="G1670" s="75"/>
      <c r="H1670" s="178">
        <v>76035</v>
      </c>
    </row>
    <row r="1671" spans="1:8" ht="13.2">
      <c r="A1671" s="49"/>
      <c r="B1671" s="16" t="s">
        <v>1832</v>
      </c>
      <c r="C1671" s="143" t="str">
        <f>VLOOKUP(B1671,'Thống kê'!$C$3:$D$970,2,0)</f>
        <v>Ống 10 dây cột tóc đen</v>
      </c>
      <c r="D1671" s="166">
        <f>VLOOKUP(B1671,'Thống kê'!$C$3:$M$970,4,0)</f>
        <v>30000</v>
      </c>
      <c r="E1671" s="167">
        <v>1</v>
      </c>
      <c r="F1671" s="168">
        <f t="shared" si="7"/>
        <v>30000</v>
      </c>
      <c r="G1671" s="75"/>
      <c r="H1671" s="402">
        <v>284910</v>
      </c>
    </row>
    <row r="1672" spans="1:8" ht="13.2">
      <c r="A1672" s="49"/>
      <c r="B1672" s="16" t="s">
        <v>1833</v>
      </c>
      <c r="C1672" s="143" t="str">
        <f>VLOOKUP(B1672,'Thống kê'!$C$3:$D$970,2,0)</f>
        <v>Ống 8 dây cột tóc đen xoắn</v>
      </c>
      <c r="D1672" s="166">
        <f>VLOOKUP(B1672,'Thống kê'!$C$3:$M$970,4,0)</f>
        <v>28000</v>
      </c>
      <c r="E1672" s="167">
        <v>1</v>
      </c>
      <c r="F1672" s="168">
        <f t="shared" si="7"/>
        <v>28000</v>
      </c>
      <c r="G1672" s="75"/>
      <c r="H1672" s="372"/>
    </row>
    <row r="1673" spans="1:8" ht="13.2">
      <c r="A1673" s="49"/>
      <c r="B1673" s="16" t="s">
        <v>201</v>
      </c>
      <c r="C1673" s="143">
        <f>VLOOKUP(B1673,'Thống kê'!$C$3:$D$970,2,0)</f>
        <v>0</v>
      </c>
      <c r="D1673" s="166">
        <f>VLOOKUP(B1673,'Thống kê'!$C$3:$M$970,4,0)</f>
        <v>0</v>
      </c>
      <c r="E1673" s="167">
        <v>1</v>
      </c>
      <c r="F1673" s="168">
        <f t="shared" si="7"/>
        <v>0</v>
      </c>
      <c r="G1673" s="75"/>
      <c r="H1673" s="372"/>
    </row>
    <row r="1674" spans="1:8" ht="13.2">
      <c r="A1674" s="49"/>
      <c r="B1674" s="16" t="s">
        <v>138</v>
      </c>
      <c r="C1674" s="143" t="str">
        <f>VLOOKUP(B1674,'Thống kê'!$C$3:$D$970,2,0)</f>
        <v>Móc khoá Crybaby mini Popmart</v>
      </c>
      <c r="D1674" s="166">
        <f>VLOOKUP(B1674,'Thống kê'!$C$3:$M$970,4,0)</f>
        <v>0</v>
      </c>
      <c r="E1674" s="167">
        <v>1</v>
      </c>
      <c r="F1674" s="168">
        <f t="shared" si="7"/>
        <v>0</v>
      </c>
      <c r="G1674" s="75"/>
      <c r="H1674" s="373"/>
    </row>
    <row r="1675" spans="1:8" ht="13.2">
      <c r="A1675" s="49"/>
      <c r="B1675" s="16" t="s">
        <v>196</v>
      </c>
      <c r="C1675" s="143">
        <f>VLOOKUP(B1675,'Thống kê'!$C$3:$D$970,2,0)</f>
        <v>0</v>
      </c>
      <c r="D1675" s="166">
        <f>VLOOKUP(B1675,'Thống kê'!$C$3:$M$970,4,0)</f>
        <v>0</v>
      </c>
      <c r="E1675" s="167">
        <v>1</v>
      </c>
      <c r="F1675" s="168">
        <f t="shared" si="7"/>
        <v>0</v>
      </c>
      <c r="G1675" s="75"/>
      <c r="H1675" s="178">
        <v>100040</v>
      </c>
    </row>
    <row r="1676" spans="1:8" ht="13.2">
      <c r="A1676" s="49"/>
      <c r="B1676" s="16" t="s">
        <v>150</v>
      </c>
      <c r="C1676" s="143" t="str">
        <f>VLOOKUP(B1676,'Thống kê'!$C$3:$D$970,2,0)</f>
        <v>Móc khóa có chuông</v>
      </c>
      <c r="D1676" s="166">
        <f>VLOOKUP(B1676,'Thống kê'!$C$3:$M$970,4,0)</f>
        <v>59000</v>
      </c>
      <c r="E1676" s="167">
        <v>1</v>
      </c>
      <c r="F1676" s="168">
        <f t="shared" si="7"/>
        <v>59000</v>
      </c>
      <c r="G1676" s="75"/>
      <c r="H1676" s="176">
        <v>53100</v>
      </c>
    </row>
    <row r="1677" spans="1:8" ht="13.2">
      <c r="A1677" s="49"/>
      <c r="B1677" s="16" t="s">
        <v>150</v>
      </c>
      <c r="C1677" s="143" t="str">
        <f>VLOOKUP(B1677,'Thống kê'!$C$3:$D$970,2,0)</f>
        <v>Móc khóa có chuông</v>
      </c>
      <c r="D1677" s="166">
        <f>VLOOKUP(B1677,'Thống kê'!$C$3:$M$970,4,0)</f>
        <v>59000</v>
      </c>
      <c r="E1677" s="167">
        <v>1</v>
      </c>
      <c r="F1677" s="168">
        <f t="shared" si="7"/>
        <v>59000</v>
      </c>
      <c r="G1677" s="75"/>
      <c r="H1677" s="177">
        <v>53125</v>
      </c>
    </row>
    <row r="1678" spans="1:8" ht="13.2">
      <c r="A1678" s="49"/>
      <c r="B1678" s="16" t="s">
        <v>119</v>
      </c>
      <c r="C1678" s="143" t="str">
        <f>VLOOKUP(B1678,'Thống kê'!$C$3:$D$970,2,0)</f>
        <v>Thỏ chạy xe gắn xe</v>
      </c>
      <c r="D1678" s="166">
        <f>VLOOKUP(B1678,'Thống kê'!$C$3:$M$970,4,0)</f>
        <v>45000</v>
      </c>
      <c r="E1678" s="167">
        <v>1</v>
      </c>
      <c r="F1678" s="168">
        <f t="shared" si="7"/>
        <v>45000</v>
      </c>
      <c r="G1678" s="75"/>
      <c r="H1678" s="177">
        <v>29680</v>
      </c>
    </row>
    <row r="1679" spans="1:8" ht="13.2">
      <c r="A1679" s="49"/>
      <c r="B1679" s="16" t="s">
        <v>242</v>
      </c>
      <c r="C1679" s="143">
        <f>VLOOKUP(B1679,'Thống kê'!$C$3:$D$970,2,0)</f>
        <v>0</v>
      </c>
      <c r="D1679" s="166">
        <f>VLOOKUP(B1679,'Thống kê'!$C$3:$M$970,4,0)</f>
        <v>0</v>
      </c>
      <c r="E1679" s="167">
        <v>4</v>
      </c>
      <c r="F1679" s="168">
        <f t="shared" si="7"/>
        <v>0</v>
      </c>
      <c r="G1679" s="75"/>
      <c r="H1679" s="178">
        <v>165143</v>
      </c>
    </row>
    <row r="1680" spans="1:8" ht="13.2">
      <c r="A1680" s="49"/>
      <c r="B1680" s="16" t="s">
        <v>1760</v>
      </c>
      <c r="C1680" s="143">
        <f>VLOOKUP(B1680,'Thống kê'!$C$3:$D$970,2,0)</f>
        <v>0</v>
      </c>
      <c r="D1680" s="166">
        <f>VLOOKUP(B1680,'Thống kê'!$C$3:$M$970,4,0)</f>
        <v>0</v>
      </c>
      <c r="E1680" s="167">
        <v>1</v>
      </c>
      <c r="F1680" s="168">
        <f t="shared" si="7"/>
        <v>0</v>
      </c>
      <c r="G1680" s="75"/>
      <c r="H1680" s="402">
        <v>149240</v>
      </c>
    </row>
    <row r="1681" spans="1:8" ht="13.2">
      <c r="A1681" s="49"/>
      <c r="B1681" s="16" t="s">
        <v>1764</v>
      </c>
      <c r="C1681" s="143">
        <f>VLOOKUP(B1681,'Thống kê'!$C$3:$D$970,2,0)</f>
        <v>0</v>
      </c>
      <c r="D1681" s="166">
        <f>VLOOKUP(B1681,'Thống kê'!$C$3:$M$970,4,0)</f>
        <v>0</v>
      </c>
      <c r="E1681" s="167">
        <v>1</v>
      </c>
      <c r="F1681" s="168">
        <f t="shared" si="7"/>
        <v>0</v>
      </c>
      <c r="G1681" s="75"/>
      <c r="H1681" s="373"/>
    </row>
    <row r="1682" spans="1:8" ht="13.2">
      <c r="A1682" s="49"/>
      <c r="B1682" s="16" t="s">
        <v>247</v>
      </c>
      <c r="C1682" s="143">
        <f>VLOOKUP(B1682,'Thống kê'!$C$3:$D$970,2,0)</f>
        <v>0</v>
      </c>
      <c r="D1682" s="166">
        <f>VLOOKUP(B1682,'Thống kê'!$C$3:$M$970,4,0)</f>
        <v>0</v>
      </c>
      <c r="E1682" s="167">
        <v>1</v>
      </c>
      <c r="F1682" s="168">
        <f t="shared" si="7"/>
        <v>0</v>
      </c>
      <c r="G1682" s="75"/>
      <c r="H1682" s="177">
        <v>70940</v>
      </c>
    </row>
    <row r="1683" spans="1:8" ht="13.2">
      <c r="A1683" s="49"/>
      <c r="B1683" s="16" t="s">
        <v>1521</v>
      </c>
      <c r="C1683" s="143">
        <f>VLOOKUP(B1683,'Thống kê'!$C$3:$D$970,2,0)</f>
        <v>0</v>
      </c>
      <c r="D1683" s="166">
        <f>VLOOKUP(B1683,'Thống kê'!$C$3:$M$970,4,0)</f>
        <v>0</v>
      </c>
      <c r="E1683" s="167">
        <v>1</v>
      </c>
      <c r="F1683" s="168">
        <f t="shared" si="7"/>
        <v>0</v>
      </c>
      <c r="G1683" s="75"/>
      <c r="H1683" s="403">
        <v>110290</v>
      </c>
    </row>
    <row r="1684" spans="1:8" ht="13.2">
      <c r="A1684" s="49"/>
      <c r="B1684" s="16" t="s">
        <v>279</v>
      </c>
      <c r="C1684" s="143">
        <f>VLOOKUP(B1684,'Thống kê'!$C$3:$D$970,2,0)</f>
        <v>0</v>
      </c>
      <c r="D1684" s="166">
        <f>VLOOKUP(B1684,'Thống kê'!$C$3:$M$970,4,0)</f>
        <v>0</v>
      </c>
      <c r="E1684" s="167">
        <v>1</v>
      </c>
      <c r="F1684" s="168">
        <f t="shared" si="7"/>
        <v>0</v>
      </c>
      <c r="G1684" s="75"/>
      <c r="H1684" s="372"/>
    </row>
    <row r="1685" spans="1:8" ht="13.2">
      <c r="A1685" s="49"/>
      <c r="B1685" s="16" t="s">
        <v>1644</v>
      </c>
      <c r="C1685" s="143" t="str">
        <f>VLOOKUP(B1685,'Thống kê'!$C$3:$D$970,2,0)</f>
        <v>Túi chườm bụng dâu (xanh) 500ml</v>
      </c>
      <c r="D1685" s="166">
        <f>VLOOKUP(B1685,'Thống kê'!$C$3:$M$970,4,0)</f>
        <v>78200</v>
      </c>
      <c r="E1685" s="167">
        <v>1</v>
      </c>
      <c r="F1685" s="168">
        <f t="shared" si="7"/>
        <v>78200</v>
      </c>
      <c r="G1685" s="75"/>
      <c r="H1685" s="176">
        <v>68880</v>
      </c>
    </row>
    <row r="1686" spans="1:8" ht="13.2">
      <c r="A1686" s="49"/>
      <c r="B1686" s="16" t="s">
        <v>262</v>
      </c>
      <c r="C1686" s="143" t="str">
        <f>VLOOKUP(B1686,'Thống kê'!$C$3:$D$970,2,0)</f>
        <v>Pop Bean Baked Bread</v>
      </c>
      <c r="D1686" s="166">
        <f>VLOOKUP(B1686,'Thống kê'!$C$3:$M$970,4,0)</f>
        <v>167000</v>
      </c>
      <c r="E1686" s="167">
        <v>1</v>
      </c>
      <c r="F1686" s="168">
        <f t="shared" si="7"/>
        <v>167000</v>
      </c>
      <c r="G1686" s="75"/>
      <c r="H1686" s="403">
        <v>267260</v>
      </c>
    </row>
    <row r="1687" spans="1:8" ht="13.2">
      <c r="A1687" s="49"/>
      <c r="B1687" s="16" t="s">
        <v>262</v>
      </c>
      <c r="C1687" s="143" t="str">
        <f>VLOOKUP(B1687,'Thống kê'!$C$3:$D$970,2,0)</f>
        <v>Pop Bean Baked Bread</v>
      </c>
      <c r="D1687" s="166">
        <f>VLOOKUP(B1687,'Thống kê'!$C$3:$M$970,4,0)</f>
        <v>167000</v>
      </c>
      <c r="E1687" s="167">
        <v>1</v>
      </c>
      <c r="F1687" s="168">
        <f t="shared" si="7"/>
        <v>167000</v>
      </c>
      <c r="G1687" s="75"/>
      <c r="H1687" s="373"/>
    </row>
    <row r="1688" spans="1:8" ht="13.2">
      <c r="A1688" s="49"/>
      <c r="B1688" s="16" t="s">
        <v>1499</v>
      </c>
      <c r="C1688" s="143">
        <f>VLOOKUP(B1688,'Thống kê'!$C$3:$D$970,2,0)</f>
        <v>0</v>
      </c>
      <c r="D1688" s="166">
        <f>VLOOKUP(B1688,'Thống kê'!$C$3:$M$970,4,0)</f>
        <v>0</v>
      </c>
      <c r="E1688" s="167">
        <v>1</v>
      </c>
      <c r="F1688" s="168">
        <f t="shared" si="7"/>
        <v>0</v>
      </c>
      <c r="G1688" s="75"/>
      <c r="H1688" s="178">
        <v>87740</v>
      </c>
    </row>
    <row r="1689" spans="1:8" ht="13.2">
      <c r="A1689" s="49"/>
      <c r="B1689" s="16" t="s">
        <v>145</v>
      </c>
      <c r="C1689" s="143" t="str">
        <f>VLOOKUP(B1689,'Thống kê'!$C$3:$D$970,2,0)</f>
        <v>Thỏ đi vịt gắn xe</v>
      </c>
      <c r="D1689" s="166">
        <f>VLOOKUP(B1689,'Thống kê'!$C$3:$M$970,4,0)</f>
        <v>45000</v>
      </c>
      <c r="E1689" s="167">
        <v>1</v>
      </c>
      <c r="F1689" s="168">
        <f t="shared" si="7"/>
        <v>45000</v>
      </c>
      <c r="G1689" s="75"/>
      <c r="H1689" s="402">
        <v>55701</v>
      </c>
    </row>
    <row r="1690" spans="1:8" ht="13.2">
      <c r="A1690" s="64"/>
      <c r="B1690" s="16" t="s">
        <v>119</v>
      </c>
      <c r="C1690" s="143" t="str">
        <f>VLOOKUP(B1690,'Thống kê'!$C$3:$D$970,2,0)</f>
        <v>Thỏ chạy xe gắn xe</v>
      </c>
      <c r="D1690" s="166">
        <f>VLOOKUP(B1690,'Thống kê'!$C$3:$M$970,4,0)</f>
        <v>45000</v>
      </c>
      <c r="E1690" s="167">
        <v>1</v>
      </c>
      <c r="F1690" s="168">
        <f t="shared" si="7"/>
        <v>45000</v>
      </c>
      <c r="G1690" s="75"/>
      <c r="H1690" s="373"/>
    </row>
    <row r="1691" spans="1:8" ht="13.2">
      <c r="A1691" s="49"/>
      <c r="B1691" s="16" t="s">
        <v>1466</v>
      </c>
      <c r="C1691" s="143">
        <f>VLOOKUP(B1691,'Thống kê'!$C$3:$D$970,2,0)</f>
        <v>0</v>
      </c>
      <c r="D1691" s="166">
        <f>VLOOKUP(B1691,'Thống kê'!$C$3:$M$970,4,0)</f>
        <v>0</v>
      </c>
      <c r="E1691" s="167">
        <v>1</v>
      </c>
      <c r="F1691" s="168">
        <f t="shared" si="7"/>
        <v>0</v>
      </c>
      <c r="G1691" s="75"/>
      <c r="H1691" s="177">
        <v>58640</v>
      </c>
    </row>
    <row r="1692" spans="1:8" ht="13.2">
      <c r="A1692" s="49"/>
      <c r="B1692" s="16" t="s">
        <v>279</v>
      </c>
      <c r="C1692" s="143">
        <f>VLOOKUP(B1692,'Thống kê'!$C$3:$D$970,2,0)</f>
        <v>0</v>
      </c>
      <c r="D1692" s="166">
        <f>VLOOKUP(B1692,'Thống kê'!$C$3:$M$970,4,0)</f>
        <v>0</v>
      </c>
      <c r="E1692" s="167">
        <v>1</v>
      </c>
      <c r="F1692" s="168">
        <f t="shared" si="7"/>
        <v>0</v>
      </c>
      <c r="G1692" s="75"/>
      <c r="H1692" s="403">
        <v>118080</v>
      </c>
    </row>
    <row r="1693" spans="1:8" ht="13.2">
      <c r="A1693" s="49"/>
      <c r="B1693" s="16" t="s">
        <v>96</v>
      </c>
      <c r="C1693" s="143">
        <f>VLOOKUP(B1693,'Thống kê'!$C$3:$D$970,2,0)</f>
        <v>0</v>
      </c>
      <c r="D1693" s="166">
        <f>VLOOKUP(B1693,'Thống kê'!$C$3:$M$970,4,0)</f>
        <v>0</v>
      </c>
      <c r="E1693" s="167">
        <v>1</v>
      </c>
      <c r="F1693" s="168">
        <f t="shared" si="7"/>
        <v>0</v>
      </c>
      <c r="G1693" s="75"/>
      <c r="H1693" s="373"/>
    </row>
    <row r="1694" spans="1:8" ht="13.2">
      <c r="A1694" s="49"/>
      <c r="B1694" s="16" t="s">
        <v>145</v>
      </c>
      <c r="C1694" s="143" t="str">
        <f>VLOOKUP(B1694,'Thống kê'!$C$3:$D$970,2,0)</f>
        <v>Thỏ đi vịt gắn xe</v>
      </c>
      <c r="D1694" s="166">
        <f>VLOOKUP(B1694,'Thống kê'!$C$3:$M$970,4,0)</f>
        <v>45000</v>
      </c>
      <c r="E1694" s="167">
        <v>1</v>
      </c>
      <c r="F1694" s="168">
        <f t="shared" si="7"/>
        <v>45000</v>
      </c>
      <c r="G1694" s="75"/>
      <c r="H1694" s="403">
        <v>55501</v>
      </c>
    </row>
    <row r="1695" spans="1:8" ht="13.2">
      <c r="A1695" s="49"/>
      <c r="B1695" s="16" t="s">
        <v>119</v>
      </c>
      <c r="C1695" s="143" t="str">
        <f>VLOOKUP(B1695,'Thống kê'!$C$3:$D$970,2,0)</f>
        <v>Thỏ chạy xe gắn xe</v>
      </c>
      <c r="D1695" s="166">
        <f>VLOOKUP(B1695,'Thống kê'!$C$3:$M$970,4,0)</f>
        <v>45000</v>
      </c>
      <c r="E1695" s="167">
        <v>1</v>
      </c>
      <c r="F1695" s="168">
        <f t="shared" si="7"/>
        <v>45000</v>
      </c>
      <c r="G1695" s="75"/>
      <c r="H1695" s="372"/>
    </row>
    <row r="1696" spans="1:8" ht="13.2">
      <c r="A1696" s="49"/>
      <c r="B1696" s="16" t="s">
        <v>150</v>
      </c>
      <c r="C1696" s="143" t="str">
        <f>VLOOKUP(B1696,'Thống kê'!$C$3:$D$970,2,0)</f>
        <v>Móc khóa có chuông</v>
      </c>
      <c r="D1696" s="166">
        <f>VLOOKUP(B1696,'Thống kê'!$C$3:$M$970,4,0)</f>
        <v>59000</v>
      </c>
      <c r="E1696" s="167">
        <v>1</v>
      </c>
      <c r="F1696" s="168">
        <f t="shared" si="7"/>
        <v>59000</v>
      </c>
      <c r="G1696" s="75"/>
      <c r="H1696" s="175">
        <v>52900</v>
      </c>
    </row>
    <row r="1697" spans="1:8" ht="13.2">
      <c r="A1697" s="49"/>
      <c r="B1697" s="16" t="s">
        <v>1386</v>
      </c>
      <c r="C1697" s="143" t="str">
        <f>VLOOKUP(B1697,'Thống kê'!$C$3:$D$970,2,0)</f>
        <v>Móc khoá Crybaby mini Popmart</v>
      </c>
      <c r="D1697" s="166">
        <f>VLOOKUP(B1697,'Thống kê'!$C$3:$M$970,4,0)</f>
        <v>0</v>
      </c>
      <c r="E1697" s="167">
        <v>1</v>
      </c>
      <c r="F1697" s="168">
        <f t="shared" si="7"/>
        <v>0</v>
      </c>
      <c r="G1697" s="75"/>
      <c r="H1697" s="402">
        <v>134480</v>
      </c>
    </row>
    <row r="1698" spans="1:8" ht="13.2">
      <c r="A1698" s="49"/>
      <c r="B1698" s="16" t="s">
        <v>1526</v>
      </c>
      <c r="C1698" s="143">
        <f>VLOOKUP(B1698,'Thống kê'!$C$3:$D$970,2,0)</f>
        <v>0</v>
      </c>
      <c r="D1698" s="166">
        <f>VLOOKUP(B1698,'Thống kê'!$C$3:$M$970,4,0)</f>
        <v>0</v>
      </c>
      <c r="E1698" s="167">
        <v>1</v>
      </c>
      <c r="F1698" s="168">
        <f t="shared" si="7"/>
        <v>0</v>
      </c>
      <c r="G1698" s="75"/>
      <c r="H1698" s="372"/>
    </row>
    <row r="1699" spans="1:8" ht="13.2">
      <c r="A1699" s="49"/>
      <c r="B1699" s="16" t="s">
        <v>96</v>
      </c>
      <c r="C1699" s="143">
        <f>VLOOKUP(B1699,'Thống kê'!$C$3:$D$970,2,0)</f>
        <v>0</v>
      </c>
      <c r="D1699" s="166">
        <f>VLOOKUP(B1699,'Thống kê'!$C$3:$M$970,4,0)</f>
        <v>0</v>
      </c>
      <c r="E1699" s="167">
        <v>1</v>
      </c>
      <c r="F1699" s="168">
        <f t="shared" si="7"/>
        <v>0</v>
      </c>
      <c r="G1699" s="75"/>
      <c r="H1699" s="176">
        <v>67219</v>
      </c>
    </row>
    <row r="1700" spans="1:8" ht="13.2">
      <c r="A1700" s="49"/>
      <c r="B1700" s="16" t="s">
        <v>1519</v>
      </c>
      <c r="C1700" s="143">
        <f>VLOOKUP(B1700,'Thống kê'!$C$3:$D$970,2,0)</f>
        <v>0</v>
      </c>
      <c r="D1700" s="166">
        <f>VLOOKUP(B1700,'Thống kê'!$C$3:$M$970,4,0)</f>
        <v>0</v>
      </c>
      <c r="E1700" s="167">
        <v>1</v>
      </c>
      <c r="F1700" s="168">
        <f t="shared" si="7"/>
        <v>0</v>
      </c>
      <c r="G1700" s="75"/>
      <c r="H1700" s="178">
        <v>53362</v>
      </c>
    </row>
    <row r="1701" spans="1:8" ht="13.2">
      <c r="A1701" s="49"/>
      <c r="B1701" s="16" t="s">
        <v>234</v>
      </c>
      <c r="C1701" s="143" t="str">
        <f>VLOOKUP(B1701,'Thống kê'!$C$3:$D$970,2,0)</f>
        <v>Móc khoá skullpanda phiên bản mini</v>
      </c>
      <c r="D1701" s="166">
        <f>VLOOKUP(B1701,'Thống kê'!$C$3:$M$970,4,0)</f>
        <v>98000</v>
      </c>
      <c r="E1701" s="167">
        <v>1</v>
      </c>
      <c r="F1701" s="168">
        <f t="shared" si="7"/>
        <v>98000</v>
      </c>
      <c r="G1701" s="75"/>
      <c r="H1701" s="175">
        <v>74205</v>
      </c>
    </row>
    <row r="1702" spans="1:8" ht="13.2">
      <c r="A1702" s="49"/>
      <c r="B1702" s="16" t="s">
        <v>1765</v>
      </c>
      <c r="C1702" s="143">
        <f>VLOOKUP(B1702,'Thống kê'!$C$3:$D$970,2,0)</f>
        <v>0</v>
      </c>
      <c r="D1702" s="166">
        <f>VLOOKUP(B1702,'Thống kê'!$C$3:$M$970,4,0)</f>
        <v>0</v>
      </c>
      <c r="E1702" s="167">
        <v>1</v>
      </c>
      <c r="F1702" s="168">
        <f t="shared" si="7"/>
        <v>0</v>
      </c>
      <c r="G1702" s="75"/>
      <c r="H1702" s="402">
        <v>419745</v>
      </c>
    </row>
    <row r="1703" spans="1:8" ht="13.2">
      <c r="A1703" s="49"/>
      <c r="B1703" s="16" t="s">
        <v>85</v>
      </c>
      <c r="C1703" s="143">
        <f>VLOOKUP(B1703,'Thống kê'!$C$3:$D$970,2,0)</f>
        <v>0</v>
      </c>
      <c r="D1703" s="166">
        <f>VLOOKUP(B1703,'Thống kê'!$C$3:$M$970,4,0)</f>
        <v>0</v>
      </c>
      <c r="E1703" s="167">
        <v>1</v>
      </c>
      <c r="F1703" s="168">
        <f t="shared" si="7"/>
        <v>0</v>
      </c>
      <c r="G1703" s="75"/>
      <c r="H1703" s="372"/>
    </row>
    <row r="1704" spans="1:8" ht="13.2">
      <c r="A1704" s="49"/>
      <c r="B1704" s="16" t="s">
        <v>96</v>
      </c>
      <c r="C1704" s="143">
        <f>VLOOKUP(B1704,'Thống kê'!$C$3:$D$970,2,0)</f>
        <v>0</v>
      </c>
      <c r="D1704" s="166">
        <f>VLOOKUP(B1704,'Thống kê'!$C$3:$M$970,4,0)</f>
        <v>0</v>
      </c>
      <c r="E1704" s="167">
        <v>1</v>
      </c>
      <c r="F1704" s="168">
        <f t="shared" si="7"/>
        <v>0</v>
      </c>
      <c r="G1704" s="75"/>
      <c r="H1704" s="372"/>
    </row>
    <row r="1705" spans="1:8" ht="13.2">
      <c r="A1705" s="49"/>
      <c r="B1705" s="16" t="s">
        <v>1499</v>
      </c>
      <c r="C1705" s="143">
        <f>VLOOKUP(B1705,'Thống kê'!$C$3:$D$970,2,0)</f>
        <v>0</v>
      </c>
      <c r="D1705" s="166">
        <f>VLOOKUP(B1705,'Thống kê'!$C$3:$M$970,4,0)</f>
        <v>0</v>
      </c>
      <c r="E1705" s="167">
        <v>1</v>
      </c>
      <c r="F1705" s="168">
        <f t="shared" si="7"/>
        <v>0</v>
      </c>
      <c r="G1705" s="75"/>
      <c r="H1705" s="372"/>
    </row>
    <row r="1706" spans="1:8" ht="13.2">
      <c r="A1706" s="49"/>
      <c r="B1706" s="16" t="s">
        <v>1518</v>
      </c>
      <c r="C1706" s="143">
        <f>VLOOKUP(B1706,'Thống kê'!$C$3:$D$970,2,0)</f>
        <v>0</v>
      </c>
      <c r="D1706" s="166">
        <f>VLOOKUP(B1706,'Thống kê'!$C$3:$M$970,4,0)</f>
        <v>0</v>
      </c>
      <c r="E1706" s="167">
        <v>1</v>
      </c>
      <c r="F1706" s="168">
        <f t="shared" si="7"/>
        <v>0</v>
      </c>
      <c r="G1706" s="75"/>
      <c r="H1706" s="372"/>
    </row>
    <row r="1707" spans="1:8" ht="13.2">
      <c r="A1707" s="49"/>
      <c r="B1707" s="16" t="s">
        <v>1526</v>
      </c>
      <c r="C1707" s="143">
        <f>VLOOKUP(B1707,'Thống kê'!$C$3:$D$970,2,0)</f>
        <v>0</v>
      </c>
      <c r="D1707" s="166">
        <f>VLOOKUP(B1707,'Thống kê'!$C$3:$M$970,4,0)</f>
        <v>0</v>
      </c>
      <c r="E1707" s="167">
        <v>1</v>
      </c>
      <c r="F1707" s="168">
        <f t="shared" si="7"/>
        <v>0</v>
      </c>
      <c r="G1707" s="75"/>
      <c r="H1707" s="372"/>
    </row>
    <row r="1708" spans="1:8" ht="13.2">
      <c r="A1708" s="49"/>
      <c r="B1708" s="16" t="s">
        <v>1517</v>
      </c>
      <c r="C1708" s="143">
        <f>VLOOKUP(B1708,'Thống kê'!$C$3:$D$970,2,0)</f>
        <v>0</v>
      </c>
      <c r="D1708" s="166">
        <f>VLOOKUP(B1708,'Thống kê'!$C$3:$M$970,4,0)</f>
        <v>0</v>
      </c>
      <c r="E1708" s="167">
        <v>1</v>
      </c>
      <c r="F1708" s="168">
        <f t="shared" si="7"/>
        <v>0</v>
      </c>
      <c r="G1708" s="75"/>
      <c r="H1708" s="402">
        <v>109880</v>
      </c>
    </row>
    <row r="1709" spans="1:8" ht="13.2">
      <c r="A1709" s="49"/>
      <c r="B1709" s="16" t="s">
        <v>196</v>
      </c>
      <c r="C1709" s="143">
        <f>VLOOKUP(B1709,'Thống kê'!$C$3:$D$970,2,0)</f>
        <v>0</v>
      </c>
      <c r="D1709" s="166">
        <f>VLOOKUP(B1709,'Thống kê'!$C$3:$M$970,4,0)</f>
        <v>0</v>
      </c>
      <c r="E1709" s="167">
        <v>1</v>
      </c>
      <c r="F1709" s="168">
        <f t="shared" si="7"/>
        <v>0</v>
      </c>
      <c r="G1709" s="75"/>
      <c r="H1709" s="373"/>
    </row>
    <row r="1710" spans="1:8" ht="13.2">
      <c r="A1710" s="49"/>
      <c r="B1710" s="16" t="s">
        <v>77</v>
      </c>
      <c r="C1710" s="143">
        <f>VLOOKUP(B1710,'Thống kê'!$C$3:$D$970,2,0)</f>
        <v>0</v>
      </c>
      <c r="D1710" s="166">
        <f>VLOOKUP(B1710,'Thống kê'!$C$3:$M$970,4,0)</f>
        <v>0</v>
      </c>
      <c r="E1710" s="167">
        <v>1</v>
      </c>
      <c r="F1710" s="168">
        <f t="shared" si="7"/>
        <v>0</v>
      </c>
      <c r="G1710" s="75"/>
      <c r="H1710" s="177">
        <v>52912</v>
      </c>
    </row>
    <row r="1711" spans="1:8" ht="13.2">
      <c r="A1711" s="49"/>
      <c r="B1711" s="16" t="s">
        <v>140</v>
      </c>
      <c r="C1711" s="143">
        <f>VLOOKUP(B1711,'Thống kê'!$C$3:$D$970,2,0)</f>
        <v>0</v>
      </c>
      <c r="D1711" s="166">
        <f>VLOOKUP(B1711,'Thống kê'!$C$3:$M$970,4,0)</f>
        <v>0</v>
      </c>
      <c r="E1711" s="167">
        <v>1</v>
      </c>
      <c r="F1711" s="168">
        <f t="shared" si="7"/>
        <v>0</v>
      </c>
      <c r="G1711" s="75"/>
      <c r="H1711" s="403">
        <v>172758</v>
      </c>
    </row>
    <row r="1712" spans="1:8" ht="13.2">
      <c r="A1712" s="64"/>
      <c r="B1712" s="16" t="s">
        <v>140</v>
      </c>
      <c r="C1712" s="143">
        <f>VLOOKUP(B1712,'Thống kê'!$C$3:$D$970,2,0)</f>
        <v>0</v>
      </c>
      <c r="D1712" s="166">
        <f>VLOOKUP(B1712,'Thống kê'!$C$3:$M$970,4,0)</f>
        <v>0</v>
      </c>
      <c r="E1712" s="167">
        <v>1</v>
      </c>
      <c r="F1712" s="168">
        <f t="shared" si="7"/>
        <v>0</v>
      </c>
      <c r="G1712" s="75"/>
      <c r="H1712" s="373"/>
    </row>
    <row r="1713" spans="1:8" ht="13.2">
      <c r="A1713" s="49"/>
      <c r="B1713" s="16" t="s">
        <v>133</v>
      </c>
      <c r="C1713" s="143">
        <f>VLOOKUP(B1713,'Thống kê'!$C$3:$D$970,2,0)</f>
        <v>0</v>
      </c>
      <c r="D1713" s="166">
        <f>VLOOKUP(B1713,'Thống kê'!$C$3:$M$970,4,0)</f>
        <v>0</v>
      </c>
      <c r="E1713" s="167">
        <v>1</v>
      </c>
      <c r="F1713" s="168">
        <f t="shared" si="7"/>
        <v>0</v>
      </c>
      <c r="G1713" s="75"/>
      <c r="H1713" s="402">
        <v>109880</v>
      </c>
    </row>
    <row r="1714" spans="1:8" ht="13.2">
      <c r="A1714" s="49"/>
      <c r="B1714" s="16" t="s">
        <v>77</v>
      </c>
      <c r="C1714" s="143">
        <f>VLOOKUP(B1714,'Thống kê'!$C$3:$D$970,2,0)</f>
        <v>0</v>
      </c>
      <c r="D1714" s="166">
        <f>VLOOKUP(B1714,'Thống kê'!$C$3:$M$970,4,0)</f>
        <v>0</v>
      </c>
      <c r="E1714" s="167">
        <v>1</v>
      </c>
      <c r="F1714" s="168">
        <f t="shared" si="7"/>
        <v>0</v>
      </c>
      <c r="G1714" s="75"/>
      <c r="H1714" s="373"/>
    </row>
    <row r="1715" spans="1:8" ht="13.2">
      <c r="A1715" s="49"/>
      <c r="B1715" s="16" t="s">
        <v>1382</v>
      </c>
      <c r="C1715" s="143" t="str">
        <f>VLOOKUP(B1715,'Thống kê'!$C$3:$D$970,2,0)</f>
        <v>miếng dán silicon điện thoại</v>
      </c>
      <c r="D1715" s="166">
        <f>VLOOKUP(B1715,'Thống kê'!$C$3:$M$970,4,0)</f>
        <v>0</v>
      </c>
      <c r="E1715" s="167">
        <v>2</v>
      </c>
      <c r="F1715" s="168">
        <f t="shared" si="7"/>
        <v>0</v>
      </c>
      <c r="G1715" s="75"/>
      <c r="H1715" s="402">
        <v>164966</v>
      </c>
    </row>
    <row r="1716" spans="1:8" ht="13.2">
      <c r="A1716" s="49"/>
      <c r="B1716" s="16" t="s">
        <v>1807</v>
      </c>
      <c r="C1716" s="143" t="e">
        <f>VLOOKUP(B1716,'Thống kê'!$C$3:$D$970,2,0)</f>
        <v>#N/A</v>
      </c>
      <c r="D1716" s="166" t="e">
        <f>VLOOKUP(B1716,'Thống kê'!$C$3:$M$970,4,0)</f>
        <v>#N/A</v>
      </c>
      <c r="E1716" s="167">
        <v>1</v>
      </c>
      <c r="F1716" s="168" t="e">
        <f t="shared" si="7"/>
        <v>#N/A</v>
      </c>
      <c r="G1716" s="75"/>
      <c r="H1716" s="372"/>
    </row>
    <row r="1717" spans="1:8" ht="13.2">
      <c r="A1717" s="49"/>
      <c r="B1717" s="16" t="s">
        <v>138</v>
      </c>
      <c r="C1717" s="143" t="str">
        <f>VLOOKUP(B1717,'Thống kê'!$C$3:$D$970,2,0)</f>
        <v>Móc khoá Crybaby mini Popmart</v>
      </c>
      <c r="D1717" s="166">
        <f>VLOOKUP(B1717,'Thống kê'!$C$3:$M$970,4,0)</f>
        <v>0</v>
      </c>
      <c r="E1717" s="167">
        <v>1</v>
      </c>
      <c r="F1717" s="168">
        <f t="shared" si="7"/>
        <v>0</v>
      </c>
      <c r="G1717" s="75"/>
      <c r="H1717" s="372"/>
    </row>
    <row r="1718" spans="1:8" ht="13.2">
      <c r="A1718" s="49"/>
      <c r="B1718" s="16" t="s">
        <v>133</v>
      </c>
      <c r="C1718" s="143">
        <f>VLOOKUP(B1718,'Thống kê'!$C$3:$D$970,2,0)</f>
        <v>0</v>
      </c>
      <c r="D1718" s="166">
        <f>VLOOKUP(B1718,'Thống kê'!$C$3:$M$970,4,0)</f>
        <v>0</v>
      </c>
      <c r="E1718" s="167">
        <v>1</v>
      </c>
      <c r="F1718" s="168">
        <f t="shared" si="7"/>
        <v>0</v>
      </c>
      <c r="G1718" s="75"/>
      <c r="H1718" s="175">
        <v>53162</v>
      </c>
    </row>
    <row r="1719" spans="1:8" ht="13.2">
      <c r="A1719" s="49"/>
      <c r="B1719" s="16" t="s">
        <v>1337</v>
      </c>
      <c r="C1719" s="143" t="str">
        <f>VLOOKUP(B1719,'Thống kê'!$C$3:$D$970,2,0)</f>
        <v>Móc khóa chuối</v>
      </c>
      <c r="D1719" s="166">
        <f>VLOOKUP(B1719,'Thống kê'!$C$3:$M$970,4,0)</f>
        <v>148000</v>
      </c>
      <c r="E1719" s="167">
        <v>1</v>
      </c>
      <c r="F1719" s="168">
        <f t="shared" si="7"/>
        <v>148000</v>
      </c>
      <c r="G1719" s="75"/>
      <c r="H1719" s="402">
        <v>118803</v>
      </c>
    </row>
    <row r="1720" spans="1:8" ht="13.2">
      <c r="A1720" s="49"/>
      <c r="B1720" s="16" t="s">
        <v>150</v>
      </c>
      <c r="C1720" s="143" t="str">
        <f>VLOOKUP(B1720,'Thống kê'!$C$3:$D$970,2,0)</f>
        <v>Móc khóa có chuông</v>
      </c>
      <c r="D1720" s="166">
        <f>VLOOKUP(B1720,'Thống kê'!$C$3:$M$970,4,0)</f>
        <v>59000</v>
      </c>
      <c r="E1720" s="167">
        <v>1</v>
      </c>
      <c r="F1720" s="168">
        <f t="shared" si="7"/>
        <v>59000</v>
      </c>
      <c r="G1720" s="75"/>
      <c r="H1720" s="372"/>
    </row>
    <row r="1721" spans="1:8" ht="13.2">
      <c r="A1721" s="49"/>
      <c r="B1721" s="16" t="s">
        <v>1382</v>
      </c>
      <c r="C1721" s="143" t="str">
        <f>VLOOKUP(B1721,'Thống kê'!$C$3:$D$970,2,0)</f>
        <v>miếng dán silicon điện thoại</v>
      </c>
      <c r="D1721" s="166">
        <f>VLOOKUP(B1721,'Thống kê'!$C$3:$M$970,4,0)</f>
        <v>0</v>
      </c>
      <c r="E1721" s="167">
        <v>1</v>
      </c>
      <c r="F1721" s="168">
        <f t="shared" si="7"/>
        <v>0</v>
      </c>
      <c r="G1721" s="75"/>
      <c r="H1721" s="373"/>
    </row>
    <row r="1722" spans="1:8" ht="13.2">
      <c r="A1722" s="49"/>
      <c r="B1722" s="16" t="s">
        <v>189</v>
      </c>
      <c r="C1722" s="143" t="str">
        <f>VLOOKUP(B1722,'Thống kê'!$C$3:$D$970,2,0)</f>
        <v>Gấu nâu gắn xe</v>
      </c>
      <c r="D1722" s="166">
        <f>VLOOKUP(B1722,'Thống kê'!$C$3:$M$970,4,0)</f>
        <v>45000</v>
      </c>
      <c r="E1722" s="167">
        <v>1</v>
      </c>
      <c r="F1722" s="168">
        <f t="shared" si="7"/>
        <v>45000</v>
      </c>
      <c r="G1722" s="75"/>
      <c r="H1722" s="177">
        <v>30305</v>
      </c>
    </row>
    <row r="1723" spans="1:8" ht="13.2">
      <c r="A1723" s="49"/>
      <c r="B1723" s="16" t="s">
        <v>125</v>
      </c>
      <c r="C1723" s="143">
        <f>VLOOKUP(B1723,'Thống kê'!$C$3:$D$970,2,0)</f>
        <v>0</v>
      </c>
      <c r="D1723" s="166">
        <f>VLOOKUP(B1723,'Thống kê'!$C$3:$M$970,4,0)</f>
        <v>0</v>
      </c>
      <c r="E1723" s="167">
        <v>1</v>
      </c>
      <c r="F1723" s="168">
        <f t="shared" si="7"/>
        <v>0</v>
      </c>
      <c r="G1723" s="75"/>
      <c r="H1723" s="177">
        <v>66809</v>
      </c>
    </row>
    <row r="1724" spans="1:8" ht="13.2">
      <c r="A1724" s="49"/>
      <c r="B1724" s="16" t="s">
        <v>191</v>
      </c>
      <c r="C1724" s="143">
        <f>VLOOKUP(B1724,'Thống kê'!$C$3:$D$970,2,0)</f>
        <v>0</v>
      </c>
      <c r="D1724" s="166">
        <f>VLOOKUP(B1724,'Thống kê'!$C$3:$M$970,4,0)</f>
        <v>0</v>
      </c>
      <c r="E1724" s="167">
        <v>1</v>
      </c>
      <c r="F1724" s="168">
        <f t="shared" si="7"/>
        <v>0</v>
      </c>
      <c r="G1724" s="75"/>
      <c r="H1724" s="178">
        <v>67259</v>
      </c>
    </row>
    <row r="1725" spans="1:8" ht="13.2">
      <c r="A1725" s="49"/>
      <c r="B1725" s="16" t="s">
        <v>234</v>
      </c>
      <c r="C1725" s="143" t="str">
        <f>VLOOKUP(B1725,'Thống kê'!$C$3:$D$970,2,0)</f>
        <v>Móc khoá skullpanda phiên bản mini</v>
      </c>
      <c r="D1725" s="166">
        <f>VLOOKUP(B1725,'Thống kê'!$C$3:$M$970,4,0)</f>
        <v>98000</v>
      </c>
      <c r="E1725" s="167">
        <v>1</v>
      </c>
      <c r="F1725" s="168">
        <f t="shared" si="7"/>
        <v>98000</v>
      </c>
      <c r="G1725" s="75"/>
      <c r="H1725" s="402">
        <v>153430</v>
      </c>
    </row>
    <row r="1726" spans="1:8" ht="13.2">
      <c r="A1726" s="49"/>
      <c r="B1726" s="16" t="s">
        <v>1330</v>
      </c>
      <c r="C1726" s="143" t="str">
        <f>VLOOKUP(B1726,'Thống kê'!$C$3:$D$970,2,0)</f>
        <v>Móc khóa Popbean</v>
      </c>
      <c r="D1726" s="166">
        <f>VLOOKUP(B1726,'Thống kê'!$C$3:$M$970,4,0)</f>
        <v>148000</v>
      </c>
      <c r="E1726" s="167">
        <v>1</v>
      </c>
      <c r="F1726" s="168">
        <f t="shared" si="7"/>
        <v>148000</v>
      </c>
      <c r="G1726" s="75"/>
      <c r="H1726" s="372"/>
    </row>
    <row r="1727" spans="1:8" ht="13.2">
      <c r="A1727" s="49"/>
      <c r="B1727" s="16" t="s">
        <v>1466</v>
      </c>
      <c r="C1727" s="143">
        <f>VLOOKUP(B1727,'Thống kê'!$C$3:$D$970,2,0)</f>
        <v>0</v>
      </c>
      <c r="D1727" s="166">
        <f>VLOOKUP(B1727,'Thống kê'!$C$3:$M$970,4,0)</f>
        <v>0</v>
      </c>
      <c r="E1727" s="167">
        <v>1</v>
      </c>
      <c r="F1727" s="168">
        <f t="shared" si="7"/>
        <v>0</v>
      </c>
      <c r="G1727" s="75"/>
      <c r="H1727" s="175">
        <v>58865</v>
      </c>
    </row>
    <row r="1728" spans="1:8" ht="13.2">
      <c r="A1728" s="49"/>
      <c r="B1728" s="16" t="s">
        <v>1472</v>
      </c>
      <c r="C1728" s="143">
        <f>VLOOKUP(B1728,'Thống kê'!$C$3:$D$970,2,0)</f>
        <v>0</v>
      </c>
      <c r="D1728" s="166">
        <f>VLOOKUP(B1728,'Thống kê'!$C$3:$M$970,4,0)</f>
        <v>0</v>
      </c>
      <c r="E1728" s="167">
        <v>1</v>
      </c>
      <c r="F1728" s="168">
        <f t="shared" si="7"/>
        <v>0</v>
      </c>
      <c r="G1728" s="75"/>
      <c r="H1728" s="176">
        <v>142760</v>
      </c>
    </row>
    <row r="1729" spans="1:8" ht="13.2">
      <c r="A1729" s="49"/>
      <c r="B1729" s="16" t="s">
        <v>191</v>
      </c>
      <c r="C1729" s="143">
        <f>VLOOKUP(B1729,'Thống kê'!$C$3:$D$970,2,0)</f>
        <v>0</v>
      </c>
      <c r="D1729" s="166">
        <f>VLOOKUP(B1729,'Thống kê'!$C$3:$M$970,4,0)</f>
        <v>0</v>
      </c>
      <c r="E1729" s="167">
        <v>1</v>
      </c>
      <c r="F1729" s="168">
        <f t="shared" si="7"/>
        <v>0</v>
      </c>
      <c r="G1729" s="75"/>
      <c r="H1729" s="178">
        <v>67369</v>
      </c>
    </row>
    <row r="1730" spans="1:8" ht="13.2">
      <c r="A1730" s="49"/>
      <c r="B1730" s="16" t="s">
        <v>140</v>
      </c>
      <c r="C1730" s="143">
        <f>VLOOKUP(B1730,'Thống kê'!$C$3:$D$970,2,0)</f>
        <v>0</v>
      </c>
      <c r="D1730" s="166">
        <f>VLOOKUP(B1730,'Thống kê'!$C$3:$M$970,4,0)</f>
        <v>0</v>
      </c>
      <c r="E1730" s="167">
        <v>1</v>
      </c>
      <c r="F1730" s="168">
        <f t="shared" si="7"/>
        <v>0</v>
      </c>
      <c r="G1730" s="75"/>
      <c r="H1730" s="402">
        <v>218776</v>
      </c>
    </row>
    <row r="1731" spans="1:8" ht="13.2">
      <c r="A1731" s="49"/>
      <c r="B1731" s="16" t="s">
        <v>233</v>
      </c>
      <c r="C1731" s="143">
        <f>VLOOKUP(B1731,'Thống kê'!$C$3:$D$970,2,0)</f>
        <v>0</v>
      </c>
      <c r="D1731" s="166">
        <f>VLOOKUP(B1731,'Thống kê'!$C$3:$M$970,4,0)</f>
        <v>0</v>
      </c>
      <c r="E1731" s="167">
        <v>1</v>
      </c>
      <c r="F1731" s="168">
        <f t="shared" si="7"/>
        <v>0</v>
      </c>
      <c r="G1731" s="75"/>
      <c r="H1731" s="372"/>
    </row>
    <row r="1732" spans="1:8" ht="13.2">
      <c r="A1732" s="49"/>
      <c r="B1732" s="16" t="s">
        <v>180</v>
      </c>
      <c r="C1732" s="143">
        <f>VLOOKUP(B1732,'Thống kê'!$C$3:$D$970,2,0)</f>
        <v>0</v>
      </c>
      <c r="D1732" s="166">
        <f>VLOOKUP(B1732,'Thống kê'!$C$3:$M$970,4,0)</f>
        <v>0</v>
      </c>
      <c r="E1732" s="167">
        <v>1</v>
      </c>
      <c r="F1732" s="168">
        <f t="shared" si="7"/>
        <v>0</v>
      </c>
      <c r="G1732" s="75"/>
      <c r="H1732" s="372"/>
    </row>
    <row r="1733" spans="1:8" ht="13.2">
      <c r="A1733" s="49"/>
      <c r="B1733" s="16" t="s">
        <v>1384</v>
      </c>
      <c r="C1733" s="143" t="str">
        <f>VLOOKUP(B1733,'Thống kê'!$C$3:$D$970,2,0)</f>
        <v>Móc khoá Crybaby mini Popmart</v>
      </c>
      <c r="D1733" s="166">
        <f>VLOOKUP(B1733,'Thống kê'!$C$3:$M$970,4,0)</f>
        <v>0</v>
      </c>
      <c r="E1733" s="167">
        <v>1</v>
      </c>
      <c r="F1733" s="168">
        <f t="shared" si="7"/>
        <v>0</v>
      </c>
      <c r="G1733" s="75"/>
      <c r="H1733" s="176">
        <v>77500</v>
      </c>
    </row>
    <row r="1734" spans="1:8" ht="13.2">
      <c r="A1734" s="49"/>
      <c r="B1734" s="16" t="s">
        <v>1521</v>
      </c>
      <c r="C1734" s="143">
        <f>VLOOKUP(B1734,'Thống kê'!$C$3:$D$970,2,0)</f>
        <v>0</v>
      </c>
      <c r="D1734" s="166">
        <f>VLOOKUP(B1734,'Thống kê'!$C$3:$M$970,4,0)</f>
        <v>0</v>
      </c>
      <c r="E1734" s="167">
        <v>1</v>
      </c>
      <c r="F1734" s="168">
        <f t="shared" si="7"/>
        <v>0</v>
      </c>
      <c r="G1734" s="75"/>
      <c r="H1734" s="178">
        <v>53750</v>
      </c>
    </row>
    <row r="1735" spans="1:8" ht="13.2">
      <c r="A1735" s="49"/>
      <c r="B1735" s="16" t="s">
        <v>201</v>
      </c>
      <c r="C1735" s="143">
        <f>VLOOKUP(B1735,'Thống kê'!$C$3:$D$970,2,0)</f>
        <v>0</v>
      </c>
      <c r="D1735" s="166">
        <f>VLOOKUP(B1735,'Thống kê'!$C$3:$M$970,4,0)</f>
        <v>0</v>
      </c>
      <c r="E1735" s="167">
        <v>1</v>
      </c>
      <c r="F1735" s="168">
        <f t="shared" si="7"/>
        <v>0</v>
      </c>
      <c r="G1735" s="75"/>
      <c r="H1735" s="176">
        <v>179446</v>
      </c>
    </row>
    <row r="1736" spans="1:8" ht="13.2">
      <c r="A1736" s="49"/>
      <c r="B1736" s="16" t="s">
        <v>1522</v>
      </c>
      <c r="C1736" s="143">
        <f>VLOOKUP(B1736,'Thống kê'!$C$3:$D$970,2,0)</f>
        <v>0</v>
      </c>
      <c r="D1736" s="166">
        <f>VLOOKUP(B1736,'Thống kê'!$C$3:$M$970,4,0)</f>
        <v>0</v>
      </c>
      <c r="E1736" s="167">
        <v>1</v>
      </c>
      <c r="F1736" s="168">
        <f t="shared" si="7"/>
        <v>0</v>
      </c>
      <c r="G1736" s="75"/>
      <c r="H1736" s="403">
        <v>153331</v>
      </c>
    </row>
    <row r="1737" spans="1:8" ht="13.2">
      <c r="A1737" s="49"/>
      <c r="B1737" s="16" t="s">
        <v>196</v>
      </c>
      <c r="C1737" s="143">
        <f>VLOOKUP(B1737,'Thống kê'!$C$3:$D$970,2,0)</f>
        <v>0</v>
      </c>
      <c r="D1737" s="166">
        <f>VLOOKUP(B1737,'Thống kê'!$C$3:$M$970,4,0)</f>
        <v>0</v>
      </c>
      <c r="E1737" s="167">
        <v>1</v>
      </c>
      <c r="F1737" s="168">
        <f t="shared" si="7"/>
        <v>0</v>
      </c>
      <c r="G1737" s="75"/>
      <c r="H1737" s="372"/>
    </row>
    <row r="1738" spans="1:8" ht="13.2">
      <c r="A1738" s="49"/>
      <c r="B1738" s="16" t="s">
        <v>140</v>
      </c>
      <c r="C1738" s="143">
        <f>VLOOKUP(B1738,'Thống kê'!$C$3:$D$970,2,0)</f>
        <v>0</v>
      </c>
      <c r="D1738" s="166">
        <f>VLOOKUP(B1738,'Thống kê'!$C$3:$M$970,4,0)</f>
        <v>0</v>
      </c>
      <c r="E1738" s="167">
        <v>1</v>
      </c>
      <c r="F1738" s="168">
        <f t="shared" si="7"/>
        <v>0</v>
      </c>
      <c r="G1738" s="75"/>
      <c r="H1738" s="373"/>
    </row>
    <row r="1739" spans="1:8" ht="13.2">
      <c r="A1739" s="49"/>
      <c r="B1739" s="16" t="s">
        <v>1382</v>
      </c>
      <c r="C1739" s="143" t="str">
        <f>VLOOKUP(B1739,'Thống kê'!$C$3:$D$970,2,0)</f>
        <v>miếng dán silicon điện thoại</v>
      </c>
      <c r="D1739" s="166">
        <f>VLOOKUP(B1739,'Thống kê'!$C$3:$M$970,4,0)</f>
        <v>0</v>
      </c>
      <c r="E1739" s="167">
        <v>2</v>
      </c>
      <c r="F1739" s="168">
        <f t="shared" si="7"/>
        <v>0</v>
      </c>
      <c r="G1739" s="75"/>
      <c r="H1739" s="403">
        <v>255392</v>
      </c>
    </row>
    <row r="1740" spans="1:8" ht="13.2">
      <c r="A1740" s="49"/>
      <c r="B1740" s="16" t="s">
        <v>192</v>
      </c>
      <c r="C1740" s="143">
        <f>VLOOKUP(B1740,'Thống kê'!$C$3:$D$970,2,0)</f>
        <v>0</v>
      </c>
      <c r="D1740" s="166">
        <f>VLOOKUP(B1740,'Thống kê'!$C$3:$M$970,4,0)</f>
        <v>0</v>
      </c>
      <c r="E1740" s="167">
        <v>1</v>
      </c>
      <c r="F1740" s="168">
        <f t="shared" si="7"/>
        <v>0</v>
      </c>
      <c r="G1740" s="75"/>
      <c r="H1740" s="372"/>
    </row>
    <row r="1741" spans="1:8" ht="13.2">
      <c r="A1741" s="49"/>
      <c r="B1741" s="16" t="s">
        <v>133</v>
      </c>
      <c r="C1741" s="143">
        <f>VLOOKUP(B1741,'Thống kê'!$C$3:$D$970,2,0)</f>
        <v>0</v>
      </c>
      <c r="D1741" s="166">
        <f>VLOOKUP(B1741,'Thống kê'!$C$3:$M$970,4,0)</f>
        <v>0</v>
      </c>
      <c r="E1741" s="167">
        <v>1</v>
      </c>
      <c r="F1741" s="168">
        <f t="shared" si="7"/>
        <v>0</v>
      </c>
      <c r="G1741" s="75"/>
      <c r="H1741" s="372"/>
    </row>
    <row r="1742" spans="1:8" ht="13.2">
      <c r="A1742" s="49"/>
      <c r="B1742" s="16" t="s">
        <v>1516</v>
      </c>
      <c r="C1742" s="143">
        <f>VLOOKUP(B1742,'Thống kê'!$C$3:$D$970,2,0)</f>
        <v>0</v>
      </c>
      <c r="D1742" s="166">
        <f>VLOOKUP(B1742,'Thống kê'!$C$3:$M$970,4,0)</f>
        <v>0</v>
      </c>
      <c r="E1742" s="167">
        <v>1</v>
      </c>
      <c r="F1742" s="168">
        <f t="shared" si="7"/>
        <v>0</v>
      </c>
      <c r="G1742" s="75"/>
      <c r="H1742" s="372"/>
    </row>
    <row r="1743" spans="1:8" ht="13.2">
      <c r="A1743" s="49"/>
      <c r="B1743" s="16" t="s">
        <v>140</v>
      </c>
      <c r="C1743" s="143">
        <f>VLOOKUP(B1743,'Thống kê'!$C$3:$D$970,2,0)</f>
        <v>0</v>
      </c>
      <c r="D1743" s="166">
        <f>VLOOKUP(B1743,'Thống kê'!$C$3:$M$970,4,0)</f>
        <v>0</v>
      </c>
      <c r="E1743" s="167">
        <v>1</v>
      </c>
      <c r="F1743" s="168">
        <f t="shared" si="7"/>
        <v>0</v>
      </c>
      <c r="G1743" s="75"/>
      <c r="H1743" s="372"/>
    </row>
    <row r="1744" spans="1:8" ht="13.2">
      <c r="A1744" s="49"/>
      <c r="B1744" s="16" t="s">
        <v>1525</v>
      </c>
      <c r="C1744" s="143">
        <f>VLOOKUP(B1744,'Thống kê'!$C$3:$D$970,2,0)</f>
        <v>0</v>
      </c>
      <c r="D1744" s="166">
        <f>VLOOKUP(B1744,'Thống kê'!$C$3:$M$970,4,0)</f>
        <v>0</v>
      </c>
      <c r="E1744" s="167">
        <v>1</v>
      </c>
      <c r="F1744" s="168">
        <f t="shared" si="7"/>
        <v>0</v>
      </c>
      <c r="G1744" s="75"/>
      <c r="H1744" s="402">
        <v>109880</v>
      </c>
    </row>
    <row r="1745" spans="1:8" ht="13.2">
      <c r="A1745" s="49"/>
      <c r="B1745" s="16" t="s">
        <v>196</v>
      </c>
      <c r="C1745" s="143">
        <f>VLOOKUP(B1745,'Thống kê'!$C$3:$D$970,2,0)</f>
        <v>0</v>
      </c>
      <c r="D1745" s="166">
        <f>VLOOKUP(B1745,'Thống kê'!$C$3:$M$970,4,0)</f>
        <v>0</v>
      </c>
      <c r="E1745" s="167">
        <v>1</v>
      </c>
      <c r="F1745" s="168">
        <f t="shared" si="7"/>
        <v>0</v>
      </c>
      <c r="G1745" s="75"/>
      <c r="H1745" s="373"/>
    </row>
    <row r="1746" spans="1:8" ht="13.2">
      <c r="A1746" s="49"/>
      <c r="B1746" s="16" t="s">
        <v>1516</v>
      </c>
      <c r="C1746" s="143">
        <f>VLOOKUP(B1746,'Thống kê'!$C$3:$D$970,2,0)</f>
        <v>0</v>
      </c>
      <c r="D1746" s="166">
        <f>VLOOKUP(B1746,'Thống kê'!$C$3:$M$970,4,0)</f>
        <v>0</v>
      </c>
      <c r="E1746" s="167">
        <v>1</v>
      </c>
      <c r="F1746" s="168">
        <f t="shared" si="7"/>
        <v>0</v>
      </c>
      <c r="G1746" s="75"/>
      <c r="H1746" s="403">
        <v>109880</v>
      </c>
    </row>
    <row r="1747" spans="1:8" ht="13.2">
      <c r="A1747" s="49"/>
      <c r="B1747" s="16" t="s">
        <v>140</v>
      </c>
      <c r="C1747" s="143">
        <f>VLOOKUP(B1747,'Thống kê'!$C$3:$D$970,2,0)</f>
        <v>0</v>
      </c>
      <c r="D1747" s="166">
        <f>VLOOKUP(B1747,'Thống kê'!$C$3:$M$970,4,0)</f>
        <v>0</v>
      </c>
      <c r="E1747" s="167">
        <v>1</v>
      </c>
      <c r="F1747" s="168">
        <f t="shared" si="7"/>
        <v>0</v>
      </c>
      <c r="G1747" s="75"/>
      <c r="H1747" s="373"/>
    </row>
    <row r="1748" spans="1:8" ht="13.2">
      <c r="A1748" s="49"/>
      <c r="B1748" s="16" t="s">
        <v>1472</v>
      </c>
      <c r="C1748" s="143">
        <f>VLOOKUP(B1748,'Thống kê'!$C$3:$D$970,2,0)</f>
        <v>0</v>
      </c>
      <c r="D1748" s="166">
        <f>VLOOKUP(B1748,'Thống kê'!$C$3:$M$970,4,0)</f>
        <v>0</v>
      </c>
      <c r="E1748" s="167">
        <v>1</v>
      </c>
      <c r="F1748" s="168">
        <f t="shared" si="7"/>
        <v>0</v>
      </c>
      <c r="G1748" s="75"/>
      <c r="H1748" s="403">
        <v>214751</v>
      </c>
    </row>
    <row r="1749" spans="1:8" ht="13.2">
      <c r="A1749" s="49"/>
      <c r="B1749" s="16" t="s">
        <v>1388</v>
      </c>
      <c r="C1749" s="143" t="str">
        <f>VLOOKUP(B1749,'Thống kê'!$C$3:$D$970,2,0)</f>
        <v>Móc khoá Crybaby mini Popmart</v>
      </c>
      <c r="D1749" s="166">
        <f>VLOOKUP(B1749,'Thống kê'!$C$3:$M$970,4,0)</f>
        <v>0</v>
      </c>
      <c r="E1749" s="167">
        <v>1</v>
      </c>
      <c r="F1749" s="168">
        <f t="shared" si="7"/>
        <v>0</v>
      </c>
      <c r="G1749" s="75"/>
      <c r="H1749" s="373"/>
    </row>
    <row r="1750" spans="1:8" ht="13.2">
      <c r="A1750" s="49"/>
      <c r="B1750" s="16" t="s">
        <v>1516</v>
      </c>
      <c r="C1750" s="143">
        <f>VLOOKUP(B1750,'Thống kê'!$C$3:$D$970,2,0)</f>
        <v>0</v>
      </c>
      <c r="D1750" s="166">
        <f>VLOOKUP(B1750,'Thống kê'!$C$3:$M$970,4,0)</f>
        <v>0</v>
      </c>
      <c r="E1750" s="167">
        <v>1</v>
      </c>
      <c r="F1750" s="168">
        <f t="shared" si="7"/>
        <v>0</v>
      </c>
      <c r="G1750" s="75"/>
      <c r="H1750" s="403">
        <v>188600</v>
      </c>
    </row>
    <row r="1751" spans="1:8" ht="13.2">
      <c r="A1751" s="49"/>
      <c r="B1751" s="16" t="s">
        <v>140</v>
      </c>
      <c r="C1751" s="143">
        <f>VLOOKUP(B1751,'Thống kê'!$C$3:$D$970,2,0)</f>
        <v>0</v>
      </c>
      <c r="D1751" s="166">
        <f>VLOOKUP(B1751,'Thống kê'!$C$3:$M$970,4,0)</f>
        <v>0</v>
      </c>
      <c r="E1751" s="167">
        <v>1</v>
      </c>
      <c r="F1751" s="168">
        <f t="shared" si="7"/>
        <v>0</v>
      </c>
      <c r="G1751" s="75"/>
      <c r="H1751" s="373"/>
    </row>
    <row r="1752" spans="1:8" ht="13.2">
      <c r="A1752" s="64"/>
      <c r="B1752" s="16" t="s">
        <v>1382</v>
      </c>
      <c r="C1752" s="143" t="str">
        <f>VLOOKUP(B1752,'Thống kê'!$C$3:$D$970,2,0)</f>
        <v>miếng dán silicon điện thoại</v>
      </c>
      <c r="D1752" s="166">
        <f>VLOOKUP(B1752,'Thống kê'!$C$3:$M$970,4,0)</f>
        <v>0</v>
      </c>
      <c r="E1752" s="167">
        <v>3</v>
      </c>
      <c r="F1752" s="168">
        <f t="shared" si="7"/>
        <v>0</v>
      </c>
      <c r="G1752" s="75"/>
      <c r="H1752" s="177">
        <v>6695</v>
      </c>
    </row>
    <row r="1753" spans="1:8" ht="13.2">
      <c r="A1753" s="49"/>
      <c r="B1753" s="16" t="s">
        <v>223</v>
      </c>
      <c r="C1753" s="143">
        <f>VLOOKUP(B1753,'Thống kê'!$C$3:$D$970,2,0)</f>
        <v>0</v>
      </c>
      <c r="D1753" s="166">
        <f>VLOOKUP(B1753,'Thống kê'!$C$3:$M$970,4,0)</f>
        <v>0</v>
      </c>
      <c r="E1753" s="167">
        <v>1</v>
      </c>
      <c r="F1753" s="168">
        <f t="shared" si="7"/>
        <v>0</v>
      </c>
      <c r="G1753" s="75"/>
      <c r="H1753" s="403">
        <v>173512</v>
      </c>
    </row>
    <row r="1754" spans="1:8" ht="13.2">
      <c r="A1754" s="49"/>
      <c r="B1754" s="16" t="s">
        <v>1779</v>
      </c>
      <c r="C1754" s="143">
        <f>VLOOKUP(B1754,'Thống kê'!$C$3:$D$970,2,0)</f>
        <v>0</v>
      </c>
      <c r="D1754" s="166">
        <f>VLOOKUP(B1754,'Thống kê'!$C$3:$M$970,4,0)</f>
        <v>0</v>
      </c>
      <c r="E1754" s="167">
        <v>1</v>
      </c>
      <c r="F1754" s="168">
        <f t="shared" si="7"/>
        <v>0</v>
      </c>
      <c r="G1754" s="75"/>
      <c r="H1754" s="373"/>
    </row>
    <row r="1755" spans="1:8" ht="13.2">
      <c r="A1755" s="49"/>
      <c r="B1755" s="16" t="s">
        <v>1388</v>
      </c>
      <c r="C1755" s="143" t="str">
        <f>VLOOKUP(B1755,'Thống kê'!$C$3:$D$970,2,0)</f>
        <v>Móc khoá Crybaby mini Popmart</v>
      </c>
      <c r="D1755" s="166">
        <f>VLOOKUP(B1755,'Thống kê'!$C$3:$M$970,4,0)</f>
        <v>0</v>
      </c>
      <c r="E1755" s="167">
        <v>1</v>
      </c>
      <c r="F1755" s="168">
        <f t="shared" si="7"/>
        <v>0</v>
      </c>
      <c r="G1755" s="75"/>
      <c r="H1755" s="178">
        <v>77725</v>
      </c>
    </row>
    <row r="1756" spans="1:8" ht="13.2">
      <c r="A1756" s="49"/>
      <c r="B1756" s="16" t="s">
        <v>1522</v>
      </c>
      <c r="C1756" s="143">
        <f>VLOOKUP(B1756,'Thống kê'!$C$3:$D$970,2,0)</f>
        <v>0</v>
      </c>
      <c r="D1756" s="166">
        <f>VLOOKUP(B1756,'Thống kê'!$C$3:$M$970,4,0)</f>
        <v>0</v>
      </c>
      <c r="E1756" s="167">
        <v>-1</v>
      </c>
      <c r="F1756" s="168">
        <f t="shared" si="7"/>
        <v>0</v>
      </c>
      <c r="G1756" s="75"/>
      <c r="H1756" s="175">
        <v>-49992</v>
      </c>
    </row>
    <row r="1757" spans="1:8" ht="13.2">
      <c r="A1757" s="49"/>
      <c r="B1757" s="16" t="s">
        <v>1521</v>
      </c>
      <c r="C1757" s="143">
        <f>VLOOKUP(B1757,'Thống kê'!$C$3:$D$970,2,0)</f>
        <v>0</v>
      </c>
      <c r="D1757" s="166">
        <f>VLOOKUP(B1757,'Thống kê'!$C$3:$M$970,4,0)</f>
        <v>0</v>
      </c>
      <c r="E1757" s="167">
        <v>-1</v>
      </c>
      <c r="F1757" s="168">
        <f t="shared" si="7"/>
        <v>0</v>
      </c>
      <c r="G1757" s="75"/>
      <c r="H1757" s="175">
        <v>-50125</v>
      </c>
    </row>
    <row r="1758" spans="1:8" ht="13.2">
      <c r="A1758" s="49"/>
      <c r="B1758" s="16" t="s">
        <v>192</v>
      </c>
      <c r="C1758" s="143">
        <f>VLOOKUP(B1758,'Thống kê'!$C$3:$D$970,2,0)</f>
        <v>0</v>
      </c>
      <c r="D1758" s="166">
        <f>VLOOKUP(B1758,'Thống kê'!$C$3:$M$970,4,0)</f>
        <v>0</v>
      </c>
      <c r="E1758" s="167">
        <v>-1</v>
      </c>
      <c r="F1758" s="168">
        <f t="shared" si="7"/>
        <v>0</v>
      </c>
      <c r="G1758" s="75"/>
      <c r="H1758" s="176">
        <v>-72000</v>
      </c>
    </row>
    <row r="1759" spans="1:8" ht="13.2">
      <c r="A1759" s="49"/>
      <c r="B1759" s="16" t="s">
        <v>191</v>
      </c>
      <c r="C1759" s="143">
        <f>VLOOKUP(B1759,'Thống kê'!$C$3:$D$970,2,0)</f>
        <v>0</v>
      </c>
      <c r="D1759" s="166">
        <f>VLOOKUP(B1759,'Thống kê'!$C$3:$M$970,4,0)</f>
        <v>0</v>
      </c>
      <c r="E1759" s="167">
        <v>1</v>
      </c>
      <c r="F1759" s="168">
        <f t="shared" si="7"/>
        <v>0</v>
      </c>
      <c r="G1759" s="75"/>
      <c r="H1759" s="177">
        <v>67444</v>
      </c>
    </row>
    <row r="1760" spans="1:8" ht="13.2">
      <c r="A1760" s="49"/>
      <c r="B1760" s="16" t="s">
        <v>1586</v>
      </c>
      <c r="C1760" s="143" t="str">
        <f>VLOOKUP(B1760,'Thống kê'!$C$3:$D$970,2,0)</f>
        <v>Thỏ ú hoa</v>
      </c>
      <c r="D1760" s="166">
        <f>VLOOKUP(B1760,'Thống kê'!$C$3:$M$970,4,0)</f>
        <v>64500</v>
      </c>
      <c r="E1760" s="167">
        <v>1</v>
      </c>
      <c r="F1760" s="168">
        <f t="shared" si="7"/>
        <v>64500</v>
      </c>
      <c r="G1760" s="75"/>
      <c r="H1760" s="177">
        <v>52808</v>
      </c>
    </row>
    <row r="1761" spans="1:8" ht="13.2">
      <c r="A1761" s="64"/>
      <c r="B1761" s="16" t="s">
        <v>85</v>
      </c>
      <c r="C1761" s="143">
        <f>VLOOKUP(B1761,'Thống kê'!$C$3:$D$970,2,0)</f>
        <v>0</v>
      </c>
      <c r="D1761" s="166">
        <f>VLOOKUP(B1761,'Thống kê'!$C$3:$M$970,4,0)</f>
        <v>0</v>
      </c>
      <c r="E1761" s="167">
        <v>1</v>
      </c>
      <c r="F1761" s="168">
        <f t="shared" si="7"/>
        <v>0</v>
      </c>
      <c r="G1761" s="75"/>
      <c r="H1761" s="403">
        <v>118080</v>
      </c>
    </row>
    <row r="1762" spans="1:8" ht="13.2">
      <c r="A1762" s="49"/>
      <c r="B1762" s="16" t="s">
        <v>1522</v>
      </c>
      <c r="C1762" s="143">
        <f>VLOOKUP(B1762,'Thống kê'!$C$3:$D$970,2,0)</f>
        <v>0</v>
      </c>
      <c r="D1762" s="166">
        <f>VLOOKUP(B1762,'Thống kê'!$C$3:$M$970,4,0)</f>
        <v>0</v>
      </c>
      <c r="E1762" s="167">
        <v>1</v>
      </c>
      <c r="F1762" s="168">
        <f t="shared" si="7"/>
        <v>0</v>
      </c>
      <c r="G1762" s="75"/>
      <c r="H1762" s="372"/>
    </row>
    <row r="1763" spans="1:8" ht="13.2">
      <c r="A1763" s="49"/>
      <c r="B1763" s="16" t="s">
        <v>250</v>
      </c>
      <c r="C1763" s="143">
        <f>VLOOKUP(B1763,'Thống kê'!$C$3:$D$970,2,0)</f>
        <v>0</v>
      </c>
      <c r="D1763" s="166">
        <f>VLOOKUP(B1763,'Thống kê'!$C$3:$M$970,4,0)</f>
        <v>0</v>
      </c>
      <c r="E1763" s="167">
        <v>1</v>
      </c>
      <c r="F1763" s="168">
        <f t="shared" si="7"/>
        <v>0</v>
      </c>
      <c r="G1763" s="75"/>
      <c r="H1763" s="176">
        <v>179446</v>
      </c>
    </row>
    <row r="1764" spans="1:8" ht="13.2">
      <c r="A1764" s="49"/>
      <c r="B1764" s="16" t="s">
        <v>96</v>
      </c>
      <c r="C1764" s="143">
        <f>VLOOKUP(B1764,'Thống kê'!$C$3:$D$970,2,0)</f>
        <v>0</v>
      </c>
      <c r="D1764" s="166">
        <f>VLOOKUP(B1764,'Thống kê'!$C$3:$M$970,4,0)</f>
        <v>0</v>
      </c>
      <c r="E1764" s="167">
        <v>1</v>
      </c>
      <c r="F1764" s="168">
        <f t="shared" si="7"/>
        <v>0</v>
      </c>
      <c r="G1764" s="75"/>
      <c r="H1764" s="177">
        <v>66604</v>
      </c>
    </row>
    <row r="1765" spans="1:8" ht="13.2">
      <c r="A1765" s="49"/>
      <c r="B1765" s="16" t="s">
        <v>1825</v>
      </c>
      <c r="C1765" s="143" t="str">
        <f>VLOOKUP(B1765,'Thống kê'!$C$3:$D$970,2,0)</f>
        <v>Túi Đựng Mắt Kính Da Pu</v>
      </c>
      <c r="D1765" s="166">
        <f>VLOOKUP(B1765,'Thống kê'!$C$3:$M$970,4,0)</f>
        <v>0</v>
      </c>
      <c r="E1765" s="167">
        <v>1</v>
      </c>
      <c r="F1765" s="168">
        <f t="shared" si="7"/>
        <v>0</v>
      </c>
      <c r="G1765" s="75"/>
      <c r="H1765" s="403">
        <v>32643</v>
      </c>
    </row>
    <row r="1766" spans="1:8" ht="13.2">
      <c r="A1766" s="49"/>
      <c r="B1766" s="16" t="s">
        <v>1834</v>
      </c>
      <c r="C1766" s="143" t="str">
        <f>VLOOKUP(B1766,'Thống kê'!$C$3:$D$970,2,0)</f>
        <v>Túi Đựng Mắt Kính Da Pu</v>
      </c>
      <c r="D1766" s="166">
        <f>VLOOKUP(B1766,'Thống kê'!$C$3:$M$970,4,0)</f>
        <v>0</v>
      </c>
      <c r="E1766" s="167">
        <v>1</v>
      </c>
      <c r="F1766" s="168">
        <f t="shared" si="7"/>
        <v>0</v>
      </c>
      <c r="G1766" s="75"/>
      <c r="H1766" s="373"/>
    </row>
    <row r="1767" spans="1:8" ht="13.2">
      <c r="A1767" s="49"/>
      <c r="B1767" s="16" t="s">
        <v>186</v>
      </c>
      <c r="C1767" s="143" t="str">
        <f>VLOOKUP(B1767,'Thống kê'!$C$3:$D$970,2,0)</f>
        <v>Thỏ ú bay</v>
      </c>
      <c r="D1767" s="166">
        <f>VLOOKUP(B1767,'Thống kê'!$C$3:$M$970,4,0)</f>
        <v>64500</v>
      </c>
      <c r="E1767" s="167">
        <v>1</v>
      </c>
      <c r="F1767" s="168">
        <f t="shared" si="7"/>
        <v>64500</v>
      </c>
      <c r="G1767" s="75"/>
      <c r="H1767" s="403">
        <v>80595</v>
      </c>
    </row>
    <row r="1768" spans="1:8" ht="13.2">
      <c r="A1768" s="49"/>
      <c r="B1768" s="16" t="s">
        <v>181</v>
      </c>
      <c r="C1768" s="143" t="str">
        <f>VLOOKUP(B1768,'Thống kê'!$C$3:$D$970,2,0)</f>
        <v>Thỏ mặt trăng gắn xe</v>
      </c>
      <c r="D1768" s="166">
        <f>VLOOKUP(B1768,'Thống kê'!$C$3:$M$970,4,0)</f>
        <v>45000</v>
      </c>
      <c r="E1768" s="167">
        <v>1</v>
      </c>
      <c r="F1768" s="168">
        <f t="shared" si="7"/>
        <v>45000</v>
      </c>
      <c r="G1768" s="75"/>
      <c r="H1768" s="373"/>
    </row>
    <row r="1769" spans="1:8" ht="13.2">
      <c r="A1769" s="49"/>
      <c r="B1769" s="16" t="s">
        <v>1587</v>
      </c>
      <c r="C1769" s="143" t="str">
        <f>VLOOKUP(B1769,'Thống kê'!$C$3:$D$970,2,0)</f>
        <v>Vịt ú bay</v>
      </c>
      <c r="D1769" s="166">
        <f>VLOOKUP(B1769,'Thống kê'!$C$3:$M$970,4,0)</f>
        <v>64500</v>
      </c>
      <c r="E1769" s="167">
        <v>1</v>
      </c>
      <c r="F1769" s="168">
        <f t="shared" si="7"/>
        <v>64500</v>
      </c>
      <c r="G1769" s="75"/>
      <c r="H1769" s="177">
        <v>51660</v>
      </c>
    </row>
    <row r="1770" spans="1:8" ht="13.2">
      <c r="A1770" s="49"/>
      <c r="B1770" s="16" t="s">
        <v>267</v>
      </c>
      <c r="C1770" s="143">
        <f>VLOOKUP(B1770,'Thống kê'!$C$3:$D$970,2,0)</f>
        <v>0</v>
      </c>
      <c r="D1770" s="166">
        <f>VLOOKUP(B1770,'Thống kê'!$C$3:$M$970,4,0)</f>
        <v>0</v>
      </c>
      <c r="E1770" s="167">
        <v>1</v>
      </c>
      <c r="F1770" s="168">
        <f t="shared" si="7"/>
        <v>0</v>
      </c>
      <c r="G1770" s="75"/>
      <c r="H1770" s="177">
        <v>142760</v>
      </c>
    </row>
    <row r="1771" spans="1:8" ht="13.2">
      <c r="A1771" s="49"/>
      <c r="B1771" s="16" t="s">
        <v>191</v>
      </c>
      <c r="C1771" s="143">
        <f>VLOOKUP(B1771,'Thống kê'!$C$3:$D$970,2,0)</f>
        <v>0</v>
      </c>
      <c r="D1771" s="166">
        <f>VLOOKUP(B1771,'Thống kê'!$C$3:$M$970,4,0)</f>
        <v>0</v>
      </c>
      <c r="E1771" s="167">
        <v>1</v>
      </c>
      <c r="F1771" s="168">
        <f t="shared" si="7"/>
        <v>0</v>
      </c>
      <c r="G1771" s="75"/>
      <c r="H1771" s="177">
        <v>66319</v>
      </c>
    </row>
    <row r="1772" spans="1:8" ht="13.2">
      <c r="A1772" s="49"/>
      <c r="B1772" s="16" t="s">
        <v>1388</v>
      </c>
      <c r="C1772" s="143" t="str">
        <f>VLOOKUP(B1772,'Thống kê'!$C$3:$D$970,2,0)</f>
        <v>Móc khoá Crybaby mini Popmart</v>
      </c>
      <c r="D1772" s="166">
        <f>VLOOKUP(B1772,'Thống kê'!$C$3:$M$970,4,0)</f>
        <v>0</v>
      </c>
      <c r="E1772" s="167">
        <v>1</v>
      </c>
      <c r="F1772" s="168">
        <f t="shared" si="7"/>
        <v>0</v>
      </c>
      <c r="G1772" s="75"/>
      <c r="H1772" s="177">
        <v>77825</v>
      </c>
    </row>
    <row r="1773" spans="1:8" ht="13.2">
      <c r="A1773" s="49"/>
      <c r="B1773" s="16" t="s">
        <v>223</v>
      </c>
      <c r="C1773" s="143">
        <f>VLOOKUP(B1773,'Thống kê'!$C$3:$D$970,2,0)</f>
        <v>0</v>
      </c>
      <c r="D1773" s="166">
        <f>VLOOKUP(B1773,'Thống kê'!$C$3:$M$970,4,0)</f>
        <v>0</v>
      </c>
      <c r="E1773" s="167">
        <v>1</v>
      </c>
      <c r="F1773" s="168">
        <f t="shared" si="7"/>
        <v>0</v>
      </c>
      <c r="G1773" s="75"/>
      <c r="H1773" s="403">
        <v>173512</v>
      </c>
    </row>
    <row r="1774" spans="1:8" ht="13.2">
      <c r="A1774" s="49"/>
      <c r="B1774" s="16" t="s">
        <v>1779</v>
      </c>
      <c r="C1774" s="143">
        <f>VLOOKUP(B1774,'Thống kê'!$C$3:$D$970,2,0)</f>
        <v>0</v>
      </c>
      <c r="D1774" s="166">
        <f>VLOOKUP(B1774,'Thống kê'!$C$3:$M$970,4,0)</f>
        <v>0</v>
      </c>
      <c r="E1774" s="167">
        <v>1</v>
      </c>
      <c r="F1774" s="168">
        <f t="shared" si="7"/>
        <v>0</v>
      </c>
      <c r="G1774" s="75"/>
      <c r="H1774" s="373"/>
    </row>
    <row r="1775" spans="1:8" ht="13.2">
      <c r="A1775" s="49"/>
      <c r="B1775" s="16" t="s">
        <v>191</v>
      </c>
      <c r="C1775" s="143">
        <f>VLOOKUP(B1775,'Thống kê'!$C$3:$D$970,2,0)</f>
        <v>0</v>
      </c>
      <c r="D1775" s="166">
        <f>VLOOKUP(B1775,'Thống kê'!$C$3:$M$970,4,0)</f>
        <v>0</v>
      </c>
      <c r="E1775" s="167">
        <v>1</v>
      </c>
      <c r="F1775" s="168">
        <f t="shared" si="7"/>
        <v>0</v>
      </c>
      <c r="G1775" s="75"/>
      <c r="H1775" s="177">
        <v>67059</v>
      </c>
    </row>
    <row r="1776" spans="1:8" ht="13.2">
      <c r="A1776" s="49"/>
      <c r="B1776" s="16" t="s">
        <v>233</v>
      </c>
      <c r="C1776" s="143">
        <f>VLOOKUP(B1776,'Thống kê'!$C$3:$D$970,2,0)</f>
        <v>0</v>
      </c>
      <c r="D1776" s="166">
        <f>VLOOKUP(B1776,'Thống kê'!$C$3:$M$970,4,0)</f>
        <v>0</v>
      </c>
      <c r="E1776" s="167">
        <v>1</v>
      </c>
      <c r="F1776" s="168">
        <f t="shared" si="7"/>
        <v>0</v>
      </c>
      <c r="G1776" s="75"/>
      <c r="H1776" s="177">
        <v>53162</v>
      </c>
    </row>
    <row r="1777" spans="1:8" ht="13.2">
      <c r="A1777" s="49"/>
      <c r="B1777" s="16" t="s">
        <v>191</v>
      </c>
      <c r="C1777" s="143">
        <f>VLOOKUP(B1777,'Thống kê'!$C$3:$D$970,2,0)</f>
        <v>0</v>
      </c>
      <c r="D1777" s="166">
        <f>VLOOKUP(B1777,'Thống kê'!$C$3:$M$970,4,0)</f>
        <v>0</v>
      </c>
      <c r="E1777" s="167">
        <v>1</v>
      </c>
      <c r="F1777" s="168">
        <f t="shared" si="7"/>
        <v>0</v>
      </c>
      <c r="G1777" s="75"/>
      <c r="H1777" s="177">
        <v>67044</v>
      </c>
    </row>
    <row r="1778" spans="1:8" ht="13.2">
      <c r="A1778" s="49"/>
      <c r="B1778" s="16" t="s">
        <v>1761</v>
      </c>
      <c r="C1778" s="143">
        <f>VLOOKUP(B1778,'Thống kê'!$C$3:$D$970,2,0)</f>
        <v>0</v>
      </c>
      <c r="D1778" s="166">
        <f>VLOOKUP(B1778,'Thống kê'!$C$3:$M$970,4,0)</f>
        <v>0</v>
      </c>
      <c r="E1778" s="167">
        <v>1</v>
      </c>
      <c r="F1778" s="168">
        <f t="shared" si="7"/>
        <v>0</v>
      </c>
      <c r="G1778" s="75"/>
      <c r="H1778" s="177">
        <v>70940</v>
      </c>
    </row>
    <row r="1779" spans="1:8" ht="13.2">
      <c r="A1779" s="49"/>
      <c r="B1779" s="16" t="s">
        <v>96</v>
      </c>
      <c r="C1779" s="143">
        <f>VLOOKUP(B1779,'Thống kê'!$C$3:$D$970,2,0)</f>
        <v>0</v>
      </c>
      <c r="D1779" s="166">
        <f>VLOOKUP(B1779,'Thống kê'!$C$3:$M$970,4,0)</f>
        <v>0</v>
      </c>
      <c r="E1779" s="167">
        <v>1</v>
      </c>
      <c r="F1779" s="168">
        <f t="shared" si="7"/>
        <v>0</v>
      </c>
      <c r="G1779" s="75"/>
      <c r="H1779" s="177">
        <v>67444</v>
      </c>
    </row>
    <row r="1780" spans="1:8" ht="13.2">
      <c r="A1780" s="49"/>
      <c r="B1780" s="16" t="s">
        <v>196</v>
      </c>
      <c r="C1780" s="143">
        <f>VLOOKUP(B1780,'Thống kê'!$C$3:$D$970,2,0)</f>
        <v>0</v>
      </c>
      <c r="D1780" s="166">
        <f>VLOOKUP(B1780,'Thống kê'!$C$3:$M$970,4,0)</f>
        <v>0</v>
      </c>
      <c r="E1780" s="167">
        <v>1</v>
      </c>
      <c r="F1780" s="168">
        <f t="shared" si="7"/>
        <v>0</v>
      </c>
      <c r="G1780" s="75"/>
      <c r="H1780" s="178">
        <v>53387</v>
      </c>
    </row>
    <row r="1781" spans="1:8" ht="13.2">
      <c r="A1781" s="49"/>
      <c r="B1781" s="16" t="s">
        <v>1825</v>
      </c>
      <c r="C1781" s="143" t="str">
        <f>VLOOKUP(B1781,'Thống kê'!$C$3:$D$970,2,0)</f>
        <v>Túi Đựng Mắt Kính Da Pu</v>
      </c>
      <c r="D1781" s="166">
        <f>VLOOKUP(B1781,'Thống kê'!$C$3:$M$970,4,0)</f>
        <v>0</v>
      </c>
      <c r="E1781" s="167">
        <v>1</v>
      </c>
      <c r="F1781" s="168">
        <f t="shared" si="7"/>
        <v>0</v>
      </c>
      <c r="G1781" s="75"/>
      <c r="H1781" s="175">
        <v>19049</v>
      </c>
    </row>
    <row r="1782" spans="1:8" ht="13.2">
      <c r="A1782" s="49"/>
      <c r="B1782" s="16" t="s">
        <v>1384</v>
      </c>
      <c r="C1782" s="143" t="str">
        <f>VLOOKUP(B1782,'Thống kê'!$C$3:$D$970,2,0)</f>
        <v>Móc khoá Crybaby mini Popmart</v>
      </c>
      <c r="D1782" s="166">
        <f>VLOOKUP(B1782,'Thống kê'!$C$3:$M$970,4,0)</f>
        <v>0</v>
      </c>
      <c r="E1782" s="167">
        <v>1</v>
      </c>
      <c r="F1782" s="168">
        <f t="shared" si="7"/>
        <v>0</v>
      </c>
      <c r="G1782" s="75"/>
      <c r="H1782" s="175">
        <v>77675</v>
      </c>
    </row>
    <row r="1783" spans="1:8" ht="13.2">
      <c r="A1783" s="49"/>
      <c r="B1783" s="16" t="s">
        <v>1835</v>
      </c>
      <c r="C1783" s="143" t="str">
        <f>VLOOKUP(B1783,'Thống kê'!$C$3:$D$970,2,0)</f>
        <v>Móc khoá cún Chanh vàng</v>
      </c>
      <c r="D1783" s="166">
        <f>VLOOKUP(B1783,'Thống kê'!$C$3:$M$970,4,0)</f>
        <v>38000</v>
      </c>
      <c r="E1783" s="167">
        <v>1</v>
      </c>
      <c r="F1783" s="168">
        <f t="shared" si="7"/>
        <v>38000</v>
      </c>
      <c r="G1783" s="75"/>
      <c r="H1783" s="402">
        <v>165321</v>
      </c>
    </row>
    <row r="1784" spans="1:8" ht="13.2">
      <c r="A1784" s="49"/>
      <c r="B1784" s="16" t="s">
        <v>1472</v>
      </c>
      <c r="C1784" s="143">
        <f>VLOOKUP(B1784,'Thống kê'!$C$3:$D$970,2,0)</f>
        <v>0</v>
      </c>
      <c r="D1784" s="166">
        <f>VLOOKUP(B1784,'Thống kê'!$C$3:$M$970,4,0)</f>
        <v>0</v>
      </c>
      <c r="E1784" s="167">
        <v>1</v>
      </c>
      <c r="F1784" s="168">
        <f t="shared" si="7"/>
        <v>0</v>
      </c>
      <c r="G1784" s="75"/>
      <c r="H1784" s="373"/>
    </row>
    <row r="1785" spans="1:8" ht="13.2">
      <c r="A1785" s="49"/>
      <c r="B1785" s="16" t="s">
        <v>1760</v>
      </c>
      <c r="C1785" s="143">
        <f>VLOOKUP(B1785,'Thống kê'!$C$3:$D$970,2,0)</f>
        <v>0</v>
      </c>
      <c r="D1785" s="166">
        <f>VLOOKUP(B1785,'Thống kê'!$C$3:$M$970,4,0)</f>
        <v>0</v>
      </c>
      <c r="E1785" s="167">
        <v>1</v>
      </c>
      <c r="F1785" s="168">
        <f t="shared" si="7"/>
        <v>0</v>
      </c>
      <c r="G1785" s="75"/>
      <c r="H1785" s="177">
        <v>70715</v>
      </c>
    </row>
    <row r="1786" spans="1:8" ht="13.2">
      <c r="A1786" s="49"/>
      <c r="B1786" s="16" t="s">
        <v>191</v>
      </c>
      <c r="C1786" s="143">
        <f>VLOOKUP(B1786,'Thống kê'!$C$3:$D$970,2,0)</f>
        <v>0</v>
      </c>
      <c r="D1786" s="166">
        <f>VLOOKUP(B1786,'Thống kê'!$C$3:$M$970,4,0)</f>
        <v>0</v>
      </c>
      <c r="E1786" s="167">
        <v>1</v>
      </c>
      <c r="F1786" s="168">
        <f t="shared" si="7"/>
        <v>0</v>
      </c>
      <c r="G1786" s="75"/>
      <c r="H1786" s="403">
        <v>151904</v>
      </c>
    </row>
    <row r="1787" spans="1:8" ht="13.2">
      <c r="A1787" s="49"/>
      <c r="B1787" s="16" t="s">
        <v>1384</v>
      </c>
      <c r="C1787" s="143" t="str">
        <f>VLOOKUP(B1787,'Thống kê'!$C$3:$D$970,2,0)</f>
        <v>Móc khoá Crybaby mini Popmart</v>
      </c>
      <c r="D1787" s="166">
        <f>VLOOKUP(B1787,'Thống kê'!$C$3:$M$970,4,0)</f>
        <v>0</v>
      </c>
      <c r="E1787" s="167">
        <v>1</v>
      </c>
      <c r="F1787" s="168">
        <f t="shared" si="7"/>
        <v>0</v>
      </c>
      <c r="G1787" s="75"/>
      <c r="H1787" s="373"/>
    </row>
    <row r="1788" spans="1:8" ht="13.2">
      <c r="A1788" s="49"/>
      <c r="B1788" s="16" t="s">
        <v>150</v>
      </c>
      <c r="C1788" s="143" t="str">
        <f>VLOOKUP(B1788,'Thống kê'!$C$3:$D$970,2,0)</f>
        <v>Móc khóa có chuông</v>
      </c>
      <c r="D1788" s="166">
        <f>VLOOKUP(B1788,'Thống kê'!$C$3:$M$970,4,0)</f>
        <v>59000</v>
      </c>
      <c r="E1788" s="167">
        <v>1</v>
      </c>
      <c r="F1788" s="168">
        <f t="shared" si="7"/>
        <v>59000</v>
      </c>
      <c r="G1788" s="75"/>
      <c r="H1788" s="178">
        <v>52900</v>
      </c>
    </row>
    <row r="1789" spans="1:8" ht="13.2">
      <c r="A1789" s="49"/>
      <c r="B1789" s="16" t="s">
        <v>140</v>
      </c>
      <c r="C1789" s="143">
        <f>VLOOKUP(B1789,'Thống kê'!$C$3:$D$970,2,0)</f>
        <v>0</v>
      </c>
      <c r="D1789" s="166">
        <f>VLOOKUP(B1789,'Thống kê'!$C$3:$M$970,4,0)</f>
        <v>0</v>
      </c>
      <c r="E1789" s="167">
        <v>1</v>
      </c>
      <c r="F1789" s="168">
        <f t="shared" si="7"/>
        <v>0</v>
      </c>
      <c r="G1789" s="75"/>
      <c r="H1789" s="175">
        <v>100040</v>
      </c>
    </row>
    <row r="1790" spans="1:8" ht="13.2">
      <c r="A1790" s="49"/>
      <c r="B1790" s="16" t="s">
        <v>143</v>
      </c>
      <c r="C1790" s="143" t="str">
        <f>VLOOKUP(B1790,'Thống kê'!$C$3:$D$970,2,0)</f>
        <v>Mèo ú</v>
      </c>
      <c r="D1790" s="166">
        <f>VLOOKUP(B1790,'Thống kê'!$C$3:$M$970,4,0)</f>
        <v>59500</v>
      </c>
      <c r="E1790" s="167">
        <v>1</v>
      </c>
      <c r="F1790" s="168">
        <f t="shared" si="7"/>
        <v>59500</v>
      </c>
      <c r="G1790" s="75"/>
      <c r="H1790" s="402">
        <v>92033</v>
      </c>
    </row>
    <row r="1791" spans="1:8" ht="13.2">
      <c r="A1791" s="49"/>
      <c r="B1791" s="16" t="s">
        <v>119</v>
      </c>
      <c r="C1791" s="143" t="str">
        <f>VLOOKUP(B1791,'Thống kê'!$C$3:$D$970,2,0)</f>
        <v>Thỏ chạy xe gắn xe</v>
      </c>
      <c r="D1791" s="166">
        <f>VLOOKUP(B1791,'Thống kê'!$C$3:$M$970,4,0)</f>
        <v>45000</v>
      </c>
      <c r="E1791" s="167">
        <v>1</v>
      </c>
      <c r="F1791" s="168">
        <f t="shared" si="7"/>
        <v>45000</v>
      </c>
      <c r="G1791" s="75"/>
      <c r="H1791" s="372"/>
    </row>
    <row r="1792" spans="1:8" ht="13.2">
      <c r="A1792" s="49"/>
      <c r="B1792" s="16" t="s">
        <v>1832</v>
      </c>
      <c r="C1792" s="143" t="str">
        <f>VLOOKUP(B1792,'Thống kê'!$C$3:$D$970,2,0)</f>
        <v>Ống 10 dây cột tóc đen</v>
      </c>
      <c r="D1792" s="166">
        <f>VLOOKUP(B1792,'Thống kê'!$C$3:$M$970,4,0)</f>
        <v>30000</v>
      </c>
      <c r="E1792" s="167">
        <v>1</v>
      </c>
      <c r="F1792" s="168">
        <f t="shared" si="7"/>
        <v>30000</v>
      </c>
      <c r="G1792" s="75"/>
      <c r="H1792" s="373"/>
    </row>
    <row r="1793" spans="1:8" ht="13.2">
      <c r="A1793" s="49"/>
      <c r="B1793" s="16" t="s">
        <v>1516</v>
      </c>
      <c r="C1793" s="143">
        <f>VLOOKUP(B1793,'Thống kê'!$C$3:$D$970,2,0)</f>
        <v>0</v>
      </c>
      <c r="D1793" s="166">
        <f>VLOOKUP(B1793,'Thống kê'!$C$3:$M$970,4,0)</f>
        <v>0</v>
      </c>
      <c r="E1793" s="167">
        <v>1</v>
      </c>
      <c r="F1793" s="168">
        <f t="shared" si="7"/>
        <v>0</v>
      </c>
      <c r="G1793" s="75"/>
      <c r="H1793" s="175">
        <v>91840</v>
      </c>
    </row>
    <row r="1794" spans="1:8" ht="13.2">
      <c r="A1794" s="49"/>
      <c r="B1794" s="16" t="s">
        <v>1521</v>
      </c>
      <c r="C1794" s="143">
        <f>VLOOKUP(B1794,'Thống kê'!$C$3:$D$970,2,0)</f>
        <v>0</v>
      </c>
      <c r="D1794" s="166">
        <f>VLOOKUP(B1794,'Thống kê'!$C$3:$M$970,4,0)</f>
        <v>0</v>
      </c>
      <c r="E1794" s="167">
        <v>1</v>
      </c>
      <c r="F1794" s="168">
        <f t="shared" si="7"/>
        <v>0</v>
      </c>
      <c r="G1794" s="75"/>
      <c r="H1794" s="175">
        <v>53750</v>
      </c>
    </row>
    <row r="1795" spans="1:8" ht="13.2">
      <c r="A1795" s="49"/>
      <c r="B1795" s="16" t="s">
        <v>140</v>
      </c>
      <c r="C1795" s="143">
        <f>VLOOKUP(B1795,'Thống kê'!$C$3:$D$970,2,0)</f>
        <v>0</v>
      </c>
      <c r="D1795" s="166">
        <f>VLOOKUP(B1795,'Thống kê'!$C$3:$M$970,4,0)</f>
        <v>0</v>
      </c>
      <c r="E1795" s="167">
        <v>1</v>
      </c>
      <c r="F1795" s="168">
        <f t="shared" si="7"/>
        <v>0</v>
      </c>
      <c r="G1795" s="75"/>
      <c r="H1795" s="176">
        <v>50020</v>
      </c>
    </row>
    <row r="1796" spans="1:8" ht="13.2">
      <c r="A1796" s="49"/>
      <c r="B1796" s="16" t="s">
        <v>159</v>
      </c>
      <c r="C1796" s="143">
        <f>VLOOKUP(B1796,'Thống kê'!$C$3:$D$970,2,0)</f>
        <v>0</v>
      </c>
      <c r="D1796" s="166">
        <f>VLOOKUP(B1796,'Thống kê'!$C$3:$M$970,4,0)</f>
        <v>0</v>
      </c>
      <c r="E1796" s="167">
        <v>1</v>
      </c>
      <c r="F1796" s="168">
        <f t="shared" si="7"/>
        <v>0</v>
      </c>
      <c r="G1796" s="75"/>
      <c r="H1796" s="178">
        <v>112050</v>
      </c>
    </row>
    <row r="1797" spans="1:8" ht="13.2">
      <c r="A1797" s="49"/>
      <c r="B1797" s="16" t="s">
        <v>223</v>
      </c>
      <c r="C1797" s="143">
        <f>VLOOKUP(B1797,'Thống kê'!$C$3:$D$970,2,0)</f>
        <v>0</v>
      </c>
      <c r="D1797" s="166">
        <f>VLOOKUP(B1797,'Thống kê'!$C$3:$M$970,4,0)</f>
        <v>0</v>
      </c>
      <c r="E1797" s="167">
        <v>1</v>
      </c>
      <c r="F1797" s="168">
        <f t="shared" si="7"/>
        <v>0</v>
      </c>
      <c r="G1797" s="75"/>
      <c r="H1797" s="176">
        <v>87990</v>
      </c>
    </row>
    <row r="1798" spans="1:8" ht="13.2">
      <c r="A1798" s="49"/>
      <c r="B1798" s="16" t="s">
        <v>234</v>
      </c>
      <c r="C1798" s="143" t="str">
        <f>VLOOKUP(B1798,'Thống kê'!$C$3:$D$970,2,0)</f>
        <v>Móc khoá skullpanda phiên bản mini</v>
      </c>
      <c r="D1798" s="166">
        <f>VLOOKUP(B1798,'Thống kê'!$C$3:$M$970,4,0)</f>
        <v>98000</v>
      </c>
      <c r="E1798" s="167">
        <v>1</v>
      </c>
      <c r="F1798" s="168">
        <f t="shared" si="7"/>
        <v>98000</v>
      </c>
      <c r="G1798" s="75"/>
      <c r="H1798" s="177">
        <v>75030</v>
      </c>
    </row>
    <row r="1799" spans="1:8" ht="13.2">
      <c r="A1799" s="49"/>
      <c r="B1799" s="16" t="s">
        <v>77</v>
      </c>
      <c r="C1799" s="143">
        <f>VLOOKUP(B1799,'Thống kê'!$C$3:$D$970,2,0)</f>
        <v>0</v>
      </c>
      <c r="D1799" s="166">
        <f>VLOOKUP(B1799,'Thống kê'!$C$3:$M$970,4,0)</f>
        <v>0</v>
      </c>
      <c r="E1799" s="167">
        <v>-1</v>
      </c>
      <c r="F1799" s="168">
        <f t="shared" si="7"/>
        <v>0</v>
      </c>
      <c r="G1799" s="75"/>
      <c r="H1799" s="178">
        <v>-65320</v>
      </c>
    </row>
    <row r="1800" spans="1:8" ht="13.2">
      <c r="A1800" s="49"/>
      <c r="B1800" s="16" t="s">
        <v>149</v>
      </c>
      <c r="C1800" s="143" t="str">
        <f>VLOOKUP(B1800,'Thống kê'!$C$3:$D$970,2,0)</f>
        <v>ếch</v>
      </c>
      <c r="D1800" s="166">
        <f>VLOOKUP(B1800,'Thống kê'!$C$3:$M$970,4,0)</f>
        <v>35000</v>
      </c>
      <c r="E1800" s="167">
        <v>-1</v>
      </c>
      <c r="F1800" s="168">
        <f t="shared" si="7"/>
        <v>-35000</v>
      </c>
      <c r="G1800" s="75"/>
      <c r="H1800" s="175">
        <v>-32200</v>
      </c>
    </row>
    <row r="1801" spans="1:8" ht="13.2">
      <c r="A1801" s="49"/>
      <c r="B1801" s="16" t="s">
        <v>1826</v>
      </c>
      <c r="C1801" s="143" t="str">
        <f>VLOOKUP(B1801,'Thống kê'!$C$3:$D$970,2,0)</f>
        <v>Túi đựng đồ trang điểm nhỏ</v>
      </c>
      <c r="D1801" s="166">
        <f>VLOOKUP(B1801,'Thống kê'!$C$3:$M$970,4,0)</f>
        <v>0</v>
      </c>
      <c r="E1801" s="167">
        <v>-1</v>
      </c>
      <c r="F1801" s="168">
        <f t="shared" si="7"/>
        <v>0</v>
      </c>
      <c r="G1801" s="75"/>
      <c r="H1801" s="175">
        <v>-45000</v>
      </c>
    </row>
    <row r="1802" spans="1:8" ht="13.2">
      <c r="A1802" s="49"/>
      <c r="B1802" s="16" t="s">
        <v>1827</v>
      </c>
      <c r="C1802" s="143" t="str">
        <f>VLOOKUP(B1802,'Thống kê'!$C$3:$D$970,2,0)</f>
        <v>Túi đựng đồ trang điểm nhỏ</v>
      </c>
      <c r="D1802" s="166">
        <f>VLOOKUP(B1802,'Thống kê'!$C$3:$M$970,4,0)</f>
        <v>0</v>
      </c>
      <c r="E1802" s="167">
        <v>-2</v>
      </c>
      <c r="F1802" s="168">
        <f t="shared" si="7"/>
        <v>0</v>
      </c>
      <c r="G1802" s="75"/>
      <c r="H1802" s="402">
        <v>-132300</v>
      </c>
    </row>
    <row r="1803" spans="1:8" ht="13.2">
      <c r="A1803" s="49"/>
      <c r="B1803" s="16" t="s">
        <v>1828</v>
      </c>
      <c r="C1803" s="143" t="str">
        <f>VLOOKUP(B1803,'Thống kê'!$C$3:$D$970,2,0)</f>
        <v>Túi đựng đồ trang điểm nơ</v>
      </c>
      <c r="D1803" s="166">
        <f>VLOOKUP(B1803,'Thống kê'!$C$3:$M$970,4,0)</f>
        <v>0</v>
      </c>
      <c r="E1803" s="167">
        <v>-1</v>
      </c>
      <c r="F1803" s="168">
        <f t="shared" si="7"/>
        <v>0</v>
      </c>
      <c r="G1803" s="75"/>
      <c r="H1803" s="373"/>
    </row>
    <row r="1804" spans="1:8" ht="13.2">
      <c r="A1804" s="49"/>
      <c r="B1804" s="16" t="s">
        <v>180</v>
      </c>
      <c r="C1804" s="143">
        <f>VLOOKUP(B1804,'Thống kê'!$C$3:$D$970,2,0)</f>
        <v>0</v>
      </c>
      <c r="D1804" s="166">
        <f>VLOOKUP(B1804,'Thống kê'!$C$3:$M$970,4,0)</f>
        <v>0</v>
      </c>
      <c r="E1804" s="167">
        <v>-1</v>
      </c>
      <c r="F1804" s="168">
        <f t="shared" si="7"/>
        <v>0</v>
      </c>
      <c r="G1804" s="75"/>
      <c r="H1804" s="177">
        <v>-50508</v>
      </c>
    </row>
    <row r="1805" spans="1:8" ht="13.2">
      <c r="A1805" s="49"/>
      <c r="B1805" s="16" t="s">
        <v>1483</v>
      </c>
      <c r="C1805" s="143" t="str">
        <f>VLOOKUP(B1805,'Thống kê'!$C$3:$D$970,2,0)</f>
        <v>Móc khoá Dudu nhiều màu sắc treo túi, đeo điện thoại</v>
      </c>
      <c r="D1805" s="166">
        <f>VLOOKUP(B1805,'Thống kê'!$C$3:$M$970,4,0)</f>
        <v>45000</v>
      </c>
      <c r="E1805" s="167">
        <v>-1</v>
      </c>
      <c r="F1805" s="168">
        <f t="shared" si="7"/>
        <v>-45000</v>
      </c>
      <c r="G1805" s="75"/>
      <c r="H1805" s="177">
        <v>-36588</v>
      </c>
    </row>
    <row r="1806" spans="1:8" ht="13.2">
      <c r="A1806" s="49"/>
      <c r="B1806" s="16" t="s">
        <v>192</v>
      </c>
      <c r="C1806" s="143">
        <f>VLOOKUP(B1806,'Thống kê'!$C$3:$D$970,2,0)</f>
        <v>0</v>
      </c>
      <c r="D1806" s="166">
        <f>VLOOKUP(B1806,'Thống kê'!$C$3:$M$970,4,0)</f>
        <v>0</v>
      </c>
      <c r="E1806" s="167">
        <v>-1</v>
      </c>
      <c r="F1806" s="168">
        <f t="shared" si="7"/>
        <v>0</v>
      </c>
      <c r="G1806" s="75"/>
      <c r="H1806" s="177">
        <v>72000</v>
      </c>
    </row>
    <row r="1807" spans="1:8" ht="13.2">
      <c r="A1807" s="49"/>
      <c r="B1807" s="16" t="s">
        <v>279</v>
      </c>
      <c r="C1807" s="143">
        <f>VLOOKUP(B1807,'Thống kê'!$C$3:$D$970,2,0)</f>
        <v>0</v>
      </c>
      <c r="D1807" s="166">
        <f>VLOOKUP(B1807,'Thống kê'!$C$3:$M$970,4,0)</f>
        <v>0</v>
      </c>
      <c r="E1807" s="167">
        <v>1</v>
      </c>
      <c r="F1807" s="168">
        <f t="shared" si="7"/>
        <v>0</v>
      </c>
      <c r="G1807" s="75"/>
      <c r="H1807" s="177">
        <v>59654</v>
      </c>
    </row>
    <row r="1808" spans="1:8" ht="13.2">
      <c r="A1808" s="49"/>
      <c r="B1808" s="16" t="s">
        <v>1386</v>
      </c>
      <c r="C1808" s="143" t="str">
        <f>VLOOKUP(B1808,'Thống kê'!$C$3:$D$970,2,0)</f>
        <v>Móc khoá Crybaby mini Popmart</v>
      </c>
      <c r="D1808" s="166">
        <f>VLOOKUP(B1808,'Thống kê'!$C$3:$M$970,4,0)</f>
        <v>0</v>
      </c>
      <c r="E1808" s="167">
        <v>1</v>
      </c>
      <c r="F1808" s="168">
        <f t="shared" si="7"/>
        <v>0</v>
      </c>
      <c r="G1808" s="75"/>
      <c r="H1808" s="178">
        <v>77900</v>
      </c>
    </row>
    <row r="1809" spans="1:8" ht="13.2">
      <c r="A1809" s="49"/>
      <c r="B1809" s="16" t="s">
        <v>119</v>
      </c>
      <c r="C1809" s="143" t="str">
        <f>VLOOKUP(B1809,'Thống kê'!$C$3:$D$970,2,0)</f>
        <v>Thỏ chạy xe gắn xe</v>
      </c>
      <c r="D1809" s="166">
        <f>VLOOKUP(B1809,'Thống kê'!$C$3:$M$970,4,0)</f>
        <v>45000</v>
      </c>
      <c r="E1809" s="167">
        <v>1</v>
      </c>
      <c r="F1809" s="168">
        <f t="shared" si="7"/>
        <v>45000</v>
      </c>
      <c r="G1809" s="75"/>
      <c r="H1809" s="175">
        <v>29480</v>
      </c>
    </row>
    <row r="1810" spans="1:8" ht="13.2">
      <c r="A1810" s="49"/>
      <c r="B1810" s="16" t="s">
        <v>143</v>
      </c>
      <c r="C1810" s="143" t="str">
        <f>VLOOKUP(B1810,'Thống kê'!$C$3:$D$970,2,0)</f>
        <v>Mèo ú</v>
      </c>
      <c r="D1810" s="166">
        <f>VLOOKUP(B1810,'Thống kê'!$C$3:$M$970,4,0)</f>
        <v>59500</v>
      </c>
      <c r="E1810" s="167">
        <v>1</v>
      </c>
      <c r="F1810" s="168">
        <f t="shared" si="7"/>
        <v>59500</v>
      </c>
      <c r="G1810" s="75"/>
      <c r="H1810" s="176">
        <v>52190</v>
      </c>
    </row>
    <row r="1811" spans="1:8" ht="13.2">
      <c r="A1811" s="49"/>
      <c r="B1811" s="16" t="s">
        <v>77</v>
      </c>
      <c r="C1811" s="143">
        <f>VLOOKUP(B1811,'Thống kê'!$C$3:$D$970,2,0)</f>
        <v>0</v>
      </c>
      <c r="D1811" s="166">
        <f>VLOOKUP(B1811,'Thống kê'!$C$3:$M$970,4,0)</f>
        <v>0</v>
      </c>
      <c r="E1811" s="167">
        <v>1</v>
      </c>
      <c r="F1811" s="168">
        <f t="shared" si="7"/>
        <v>0</v>
      </c>
      <c r="G1811" s="75"/>
      <c r="H1811" s="403">
        <v>175775</v>
      </c>
    </row>
    <row r="1812" spans="1:8" ht="13.2">
      <c r="A1812" s="64"/>
      <c r="B1812" s="16" t="s">
        <v>1389</v>
      </c>
      <c r="C1812" s="143" t="str">
        <f>VLOOKUP(B1812,'Thống kê'!$C$3:$D$970,2,0)</f>
        <v>Móc khoá Crybaby mini Popmart</v>
      </c>
      <c r="D1812" s="166">
        <f>VLOOKUP(B1812,'Thống kê'!$C$3:$M$970,4,0)</f>
        <v>0</v>
      </c>
      <c r="E1812" s="167">
        <v>1</v>
      </c>
      <c r="F1812" s="168">
        <f t="shared" si="7"/>
        <v>0</v>
      </c>
      <c r="G1812" s="75"/>
      <c r="H1812" s="373"/>
    </row>
    <row r="1813" spans="1:8" ht="13.2">
      <c r="A1813" s="49"/>
      <c r="B1813" s="16" t="s">
        <v>125</v>
      </c>
      <c r="C1813" s="143">
        <f>VLOOKUP(B1813,'Thống kê'!$C$3:$D$970,2,0)</f>
        <v>0</v>
      </c>
      <c r="D1813" s="166">
        <f>VLOOKUP(B1813,'Thống kê'!$C$3:$M$970,4,0)</f>
        <v>0</v>
      </c>
      <c r="E1813" s="167">
        <v>1</v>
      </c>
      <c r="F1813" s="168">
        <f t="shared" si="7"/>
        <v>0</v>
      </c>
      <c r="G1813" s="75"/>
      <c r="H1813" s="403">
        <v>141050</v>
      </c>
    </row>
    <row r="1814" spans="1:8" ht="13.2">
      <c r="A1814" s="49"/>
      <c r="B1814" s="16" t="s">
        <v>191</v>
      </c>
      <c r="C1814" s="143">
        <f>VLOOKUP(B1814,'Thống kê'!$C$3:$D$970,2,0)</f>
        <v>0</v>
      </c>
      <c r="D1814" s="166">
        <f>VLOOKUP(B1814,'Thống kê'!$C$3:$M$970,4,0)</f>
        <v>0</v>
      </c>
      <c r="E1814" s="167">
        <v>1</v>
      </c>
      <c r="F1814" s="168">
        <f t="shared" si="7"/>
        <v>0</v>
      </c>
      <c r="G1814" s="75"/>
      <c r="H1814" s="373"/>
    </row>
    <row r="1815" spans="1:8" ht="13.2">
      <c r="A1815" s="49"/>
      <c r="B1815" s="16" t="s">
        <v>140</v>
      </c>
      <c r="C1815" s="143">
        <f>VLOOKUP(B1815,'Thống kê'!$C$3:$D$970,2,0)</f>
        <v>0</v>
      </c>
      <c r="D1815" s="166">
        <f>VLOOKUP(B1815,'Thống kê'!$C$3:$M$970,4,0)</f>
        <v>0</v>
      </c>
      <c r="E1815" s="167">
        <v>1</v>
      </c>
      <c r="F1815" s="168">
        <f t="shared" si="7"/>
        <v>0</v>
      </c>
      <c r="G1815" s="75"/>
      <c r="H1815" s="177">
        <v>74620</v>
      </c>
    </row>
    <row r="1816" spans="1:8" ht="13.2">
      <c r="A1816" s="49"/>
      <c r="B1816" s="16" t="s">
        <v>143</v>
      </c>
      <c r="C1816" s="143" t="str">
        <f>VLOOKUP(B1816,'Thống kê'!$C$3:$D$970,2,0)</f>
        <v>Mèo ú</v>
      </c>
      <c r="D1816" s="166">
        <f>VLOOKUP(B1816,'Thống kê'!$C$3:$M$970,4,0)</f>
        <v>59500</v>
      </c>
      <c r="E1816" s="167">
        <v>1</v>
      </c>
      <c r="F1816" s="168">
        <f t="shared" si="7"/>
        <v>59500</v>
      </c>
      <c r="G1816" s="75"/>
      <c r="H1816" s="178">
        <v>53300</v>
      </c>
    </row>
    <row r="1817" spans="1:8" ht="13.2">
      <c r="A1817" s="49"/>
      <c r="B1817" s="16" t="s">
        <v>241</v>
      </c>
      <c r="C1817" s="143">
        <f>VLOOKUP(B1817,'Thống kê'!$C$3:$D$970,2,0)</f>
        <v>0</v>
      </c>
      <c r="D1817" s="166">
        <f>VLOOKUP(B1817,'Thống kê'!$C$3:$M$970,4,0)</f>
        <v>0</v>
      </c>
      <c r="E1817" s="167">
        <v>1</v>
      </c>
      <c r="F1817" s="168">
        <f t="shared" si="7"/>
        <v>0</v>
      </c>
      <c r="G1817" s="75"/>
      <c r="H1817" s="402">
        <v>141040</v>
      </c>
    </row>
    <row r="1818" spans="1:8" ht="13.2">
      <c r="A1818" s="49"/>
      <c r="B1818" s="16" t="s">
        <v>107</v>
      </c>
      <c r="C1818" s="143">
        <f>VLOOKUP(B1818,'Thống kê'!$C$3:$D$970,2,0)</f>
        <v>0</v>
      </c>
      <c r="D1818" s="166">
        <f>VLOOKUP(B1818,'Thống kê'!$C$3:$M$970,4,0)</f>
        <v>0</v>
      </c>
      <c r="E1818" s="167">
        <v>1</v>
      </c>
      <c r="F1818" s="168">
        <f t="shared" si="7"/>
        <v>0</v>
      </c>
      <c r="G1818" s="75"/>
      <c r="H1818" s="373"/>
    </row>
    <row r="1819" spans="1:8" ht="13.2">
      <c r="A1819" s="49"/>
      <c r="B1819" s="16" t="s">
        <v>133</v>
      </c>
      <c r="C1819" s="143">
        <f>VLOOKUP(B1819,'Thống kê'!$C$3:$D$970,2,0)</f>
        <v>0</v>
      </c>
      <c r="D1819" s="166">
        <f>VLOOKUP(B1819,'Thống kê'!$C$3:$M$970,4,0)</f>
        <v>0</v>
      </c>
      <c r="E1819" s="167">
        <v>1</v>
      </c>
      <c r="F1819" s="168">
        <f t="shared" si="7"/>
        <v>0</v>
      </c>
      <c r="G1819" s="75"/>
      <c r="H1819" s="177">
        <v>53487</v>
      </c>
    </row>
    <row r="1820" spans="1:8" ht="13.2">
      <c r="A1820" s="49"/>
      <c r="B1820" s="16" t="s">
        <v>234</v>
      </c>
      <c r="C1820" s="143" t="str">
        <f>VLOOKUP(B1820,'Thống kê'!$C$3:$D$970,2,0)</f>
        <v>Móc khoá skullpanda phiên bản mini</v>
      </c>
      <c r="D1820" s="166">
        <f>VLOOKUP(B1820,'Thống kê'!$C$3:$M$970,4,0)</f>
        <v>98000</v>
      </c>
      <c r="E1820" s="167">
        <v>1</v>
      </c>
      <c r="F1820" s="168">
        <f t="shared" si="7"/>
        <v>98000</v>
      </c>
      <c r="G1820" s="75"/>
      <c r="H1820" s="177">
        <v>74680</v>
      </c>
    </row>
    <row r="1821" spans="1:8" ht="13.2">
      <c r="A1821" s="49"/>
      <c r="B1821" s="16" t="s">
        <v>94</v>
      </c>
      <c r="C1821" s="143" t="str">
        <f>VLOOKUP(B1821,'Thống kê'!$C$3:$D$970,2,0)</f>
        <v>thỏ</v>
      </c>
      <c r="D1821" s="166">
        <f>VLOOKUP(B1821,'Thống kê'!$C$3:$M$970,4,0)</f>
        <v>35000</v>
      </c>
      <c r="E1821" s="167">
        <v>3</v>
      </c>
      <c r="F1821" s="168">
        <f t="shared" si="7"/>
        <v>105000</v>
      </c>
      <c r="G1821" s="75"/>
      <c r="H1821" s="177">
        <v>72252</v>
      </c>
    </row>
    <row r="1822" spans="1:8" ht="13.2">
      <c r="A1822" s="49"/>
      <c r="B1822" s="16" t="s">
        <v>1382</v>
      </c>
      <c r="C1822" s="143" t="str">
        <f>VLOOKUP(B1822,'Thống kê'!$C$3:$D$970,2,0)</f>
        <v>miếng dán silicon điện thoại</v>
      </c>
      <c r="D1822" s="166">
        <f>VLOOKUP(B1822,'Thống kê'!$C$3:$M$970,4,0)</f>
        <v>0</v>
      </c>
      <c r="E1822" s="167">
        <v>2</v>
      </c>
      <c r="F1822" s="168">
        <f t="shared" si="7"/>
        <v>0</v>
      </c>
      <c r="G1822" s="75"/>
      <c r="H1822" s="403">
        <v>134288</v>
      </c>
    </row>
    <row r="1823" spans="1:8" ht="13.2">
      <c r="A1823" s="49"/>
      <c r="B1823" s="16" t="s">
        <v>159</v>
      </c>
      <c r="C1823" s="143">
        <f>VLOOKUP(B1823,'Thống kê'!$C$3:$D$970,2,0)</f>
        <v>0</v>
      </c>
      <c r="D1823" s="166">
        <f>VLOOKUP(B1823,'Thống kê'!$C$3:$M$970,4,0)</f>
        <v>0</v>
      </c>
      <c r="E1823" s="167">
        <v>1</v>
      </c>
      <c r="F1823" s="168">
        <f t="shared" si="7"/>
        <v>0</v>
      </c>
      <c r="G1823" s="75"/>
      <c r="H1823" s="372"/>
    </row>
    <row r="1824" spans="1:8" ht="13.2">
      <c r="A1824" s="49"/>
      <c r="B1824" s="16" t="s">
        <v>1517</v>
      </c>
      <c r="C1824" s="143">
        <f>VLOOKUP(B1824,'Thống kê'!$C$3:$D$970,2,0)</f>
        <v>0</v>
      </c>
      <c r="D1824" s="166">
        <f>VLOOKUP(B1824,'Thống kê'!$C$3:$M$970,4,0)</f>
        <v>0</v>
      </c>
      <c r="E1824" s="167">
        <v>1</v>
      </c>
      <c r="F1824" s="168">
        <f t="shared" si="7"/>
        <v>0</v>
      </c>
      <c r="G1824" s="75"/>
      <c r="H1824" s="373"/>
    </row>
    <row r="1825" spans="1:8" ht="13.2">
      <c r="A1825" s="49"/>
      <c r="B1825" s="16" t="s">
        <v>1384</v>
      </c>
      <c r="C1825" s="143" t="str">
        <f>VLOOKUP(B1825,'Thống kê'!$C$3:$D$970,2,0)</f>
        <v>Móc khoá Crybaby mini Popmart</v>
      </c>
      <c r="D1825" s="166">
        <f>VLOOKUP(B1825,'Thống kê'!$C$3:$M$970,4,0)</f>
        <v>0</v>
      </c>
      <c r="E1825" s="167">
        <v>1</v>
      </c>
      <c r="F1825" s="168">
        <f t="shared" si="7"/>
        <v>0</v>
      </c>
      <c r="G1825" s="75"/>
      <c r="H1825" s="177">
        <v>77600</v>
      </c>
    </row>
    <row r="1826" spans="1:8" ht="13.2">
      <c r="A1826" s="49"/>
      <c r="B1826" s="16" t="s">
        <v>196</v>
      </c>
      <c r="C1826" s="143">
        <f>VLOOKUP(B1826,'Thống kê'!$C$3:$D$970,2,0)</f>
        <v>0</v>
      </c>
      <c r="D1826" s="166">
        <f>VLOOKUP(B1826,'Thống kê'!$C$3:$M$970,4,0)</f>
        <v>0</v>
      </c>
      <c r="E1826" s="167">
        <v>1</v>
      </c>
      <c r="F1826" s="168">
        <f t="shared" si="7"/>
        <v>0</v>
      </c>
      <c r="G1826" s="75"/>
      <c r="H1826" s="403">
        <v>109880</v>
      </c>
    </row>
    <row r="1827" spans="1:8" ht="13.2">
      <c r="A1827" s="49"/>
      <c r="B1827" s="16" t="s">
        <v>140</v>
      </c>
      <c r="C1827" s="143">
        <f>VLOOKUP(B1827,'Thống kê'!$C$3:$D$970,2,0)</f>
        <v>0</v>
      </c>
      <c r="D1827" s="166">
        <f>VLOOKUP(B1827,'Thống kê'!$C$3:$M$970,4,0)</f>
        <v>0</v>
      </c>
      <c r="E1827" s="167">
        <v>1</v>
      </c>
      <c r="F1827" s="168">
        <f t="shared" si="7"/>
        <v>0</v>
      </c>
      <c r="G1827" s="75"/>
      <c r="H1827" s="373"/>
    </row>
    <row r="1828" spans="1:8" ht="13.2">
      <c r="A1828" s="49"/>
      <c r="B1828" s="16" t="s">
        <v>201</v>
      </c>
      <c r="C1828" s="143">
        <f>VLOOKUP(B1828,'Thống kê'!$C$3:$D$970,2,0)</f>
        <v>0</v>
      </c>
      <c r="D1828" s="166">
        <f>VLOOKUP(B1828,'Thống kê'!$C$3:$M$970,4,0)</f>
        <v>0</v>
      </c>
      <c r="E1828" s="167">
        <v>1</v>
      </c>
      <c r="F1828" s="168">
        <f t="shared" si="7"/>
        <v>0</v>
      </c>
      <c r="G1828" s="75"/>
      <c r="H1828" s="403">
        <v>446382</v>
      </c>
    </row>
    <row r="1829" spans="1:8" ht="13.2">
      <c r="A1829" s="49"/>
      <c r="B1829" s="16" t="s">
        <v>234</v>
      </c>
      <c r="C1829" s="143" t="str">
        <f>VLOOKUP(B1829,'Thống kê'!$C$3:$D$970,2,0)</f>
        <v>Móc khoá skullpanda phiên bản mini</v>
      </c>
      <c r="D1829" s="166">
        <f>VLOOKUP(B1829,'Thống kê'!$C$3:$M$970,4,0)</f>
        <v>98000</v>
      </c>
      <c r="E1829" s="167">
        <v>1</v>
      </c>
      <c r="F1829" s="168">
        <f t="shared" si="7"/>
        <v>98000</v>
      </c>
      <c r="G1829" s="75"/>
      <c r="H1829" s="372"/>
    </row>
    <row r="1830" spans="1:8" ht="13.2">
      <c r="A1830" s="49"/>
      <c r="B1830" s="16" t="s">
        <v>1836</v>
      </c>
      <c r="C1830" s="143" t="str">
        <f>VLOOKUP(B1830,'Thống kê'!$C$3:$D$970,2,0)</f>
        <v>Túi Đựng Mắt Kính Da Pu</v>
      </c>
      <c r="D1830" s="166">
        <f>VLOOKUP(B1830,'Thống kê'!$C$3:$M$970,4,0)</f>
        <v>0</v>
      </c>
      <c r="E1830" s="167">
        <v>1</v>
      </c>
      <c r="F1830" s="168">
        <f t="shared" si="7"/>
        <v>0</v>
      </c>
      <c r="G1830" s="75"/>
      <c r="H1830" s="372"/>
    </row>
    <row r="1831" spans="1:8" ht="13.2">
      <c r="A1831" s="49"/>
      <c r="B1831" s="16" t="s">
        <v>1825</v>
      </c>
      <c r="C1831" s="143" t="str">
        <f>VLOOKUP(B1831,'Thống kê'!$C$3:$D$970,2,0)</f>
        <v>Túi Đựng Mắt Kính Da Pu</v>
      </c>
      <c r="D1831" s="166">
        <f>VLOOKUP(B1831,'Thống kê'!$C$3:$M$970,4,0)</f>
        <v>0</v>
      </c>
      <c r="E1831" s="167">
        <v>1</v>
      </c>
      <c r="F1831" s="168">
        <f t="shared" si="7"/>
        <v>0</v>
      </c>
      <c r="G1831" s="75"/>
      <c r="H1831" s="372"/>
    </row>
    <row r="1832" spans="1:8" ht="13.2">
      <c r="A1832" s="49"/>
      <c r="B1832" s="16" t="s">
        <v>262</v>
      </c>
      <c r="C1832" s="143" t="str">
        <f>VLOOKUP(B1832,'Thống kê'!$C$3:$D$970,2,0)</f>
        <v>Pop Bean Baked Bread</v>
      </c>
      <c r="D1832" s="166">
        <f>VLOOKUP(B1832,'Thống kê'!$C$3:$M$970,4,0)</f>
        <v>167000</v>
      </c>
      <c r="E1832" s="167">
        <v>1</v>
      </c>
      <c r="F1832" s="168">
        <f t="shared" si="7"/>
        <v>167000</v>
      </c>
      <c r="G1832" s="75"/>
      <c r="H1832" s="373"/>
    </row>
    <row r="1833" spans="1:8" ht="13.2">
      <c r="A1833" s="49"/>
      <c r="B1833" s="16" t="s">
        <v>1382</v>
      </c>
      <c r="C1833" s="143" t="str">
        <f>VLOOKUP(B1833,'Thống kê'!$C$3:$D$970,2,0)</f>
        <v>miếng dán silicon điện thoại</v>
      </c>
      <c r="D1833" s="166">
        <f>VLOOKUP(B1833,'Thống kê'!$C$3:$M$970,4,0)</f>
        <v>0</v>
      </c>
      <c r="E1833" s="167">
        <v>2</v>
      </c>
      <c r="F1833" s="168">
        <f t="shared" si="7"/>
        <v>0</v>
      </c>
      <c r="G1833" s="75"/>
      <c r="H1833" s="402">
        <v>343939</v>
      </c>
    </row>
    <row r="1834" spans="1:8" ht="13.2">
      <c r="A1834" s="49"/>
      <c r="B1834" s="16" t="s">
        <v>250</v>
      </c>
      <c r="C1834" s="143">
        <f>VLOOKUP(B1834,'Thống kê'!$C$3:$D$970,2,0)</f>
        <v>0</v>
      </c>
      <c r="D1834" s="166">
        <f>VLOOKUP(B1834,'Thống kê'!$C$3:$M$970,4,0)</f>
        <v>0</v>
      </c>
      <c r="E1834" s="167">
        <v>1</v>
      </c>
      <c r="F1834" s="168">
        <f t="shared" si="7"/>
        <v>0</v>
      </c>
      <c r="G1834" s="75"/>
      <c r="H1834" s="372"/>
    </row>
    <row r="1835" spans="1:8" ht="13.2">
      <c r="A1835" s="49"/>
      <c r="B1835" s="16" t="s">
        <v>138</v>
      </c>
      <c r="C1835" s="143" t="str">
        <f>VLOOKUP(B1835,'Thống kê'!$C$3:$D$970,2,0)</f>
        <v>Móc khoá Crybaby mini Popmart</v>
      </c>
      <c r="D1835" s="166">
        <f>VLOOKUP(B1835,'Thống kê'!$C$3:$M$970,4,0)</f>
        <v>0</v>
      </c>
      <c r="E1835" s="167">
        <v>1</v>
      </c>
      <c r="F1835" s="168">
        <f t="shared" si="7"/>
        <v>0</v>
      </c>
      <c r="G1835" s="75"/>
      <c r="H1835" s="372"/>
    </row>
    <row r="1836" spans="1:8" ht="13.2">
      <c r="A1836" s="49"/>
      <c r="B1836" s="16" t="s">
        <v>1389</v>
      </c>
      <c r="C1836" s="143" t="str">
        <f>VLOOKUP(B1836,'Thống kê'!$C$3:$D$970,2,0)</f>
        <v>Móc khoá Crybaby mini Popmart</v>
      </c>
      <c r="D1836" s="166">
        <f>VLOOKUP(B1836,'Thống kê'!$C$3:$M$970,4,0)</f>
        <v>0</v>
      </c>
      <c r="E1836" s="167">
        <v>1</v>
      </c>
      <c r="F1836" s="168">
        <f t="shared" si="7"/>
        <v>0</v>
      </c>
      <c r="G1836" s="75"/>
      <c r="H1836" s="373"/>
    </row>
    <row r="1837" spans="1:8" ht="13.2">
      <c r="A1837" s="49"/>
      <c r="B1837" s="16" t="s">
        <v>143</v>
      </c>
      <c r="C1837" s="143" t="str">
        <f>VLOOKUP(B1837,'Thống kê'!$C$3:$D$970,2,0)</f>
        <v>Mèo ú</v>
      </c>
      <c r="D1837" s="166">
        <f>VLOOKUP(B1837,'Thống kê'!$C$3:$M$970,4,0)</f>
        <v>59500</v>
      </c>
      <c r="E1837" s="167">
        <v>1</v>
      </c>
      <c r="F1837" s="168">
        <f t="shared" si="7"/>
        <v>59500</v>
      </c>
      <c r="G1837" s="75"/>
      <c r="H1837" s="403">
        <v>152540</v>
      </c>
    </row>
    <row r="1838" spans="1:8" ht="13.2">
      <c r="A1838" s="49"/>
      <c r="B1838" s="16" t="s">
        <v>1351</v>
      </c>
      <c r="C1838" s="143" t="str">
        <f>VLOOKUP(B1838,'Thống kê'!$C$3:$D$970,2,0)</f>
        <v>Trang trí mô hình Heo</v>
      </c>
      <c r="D1838" s="166">
        <f>VLOOKUP(B1838,'Thống kê'!$C$3:$M$970,4,0)</f>
        <v>39000</v>
      </c>
      <c r="E1838" s="167">
        <v>1</v>
      </c>
      <c r="F1838" s="168">
        <f t="shared" si="7"/>
        <v>39000</v>
      </c>
      <c r="G1838" s="75"/>
      <c r="H1838" s="372"/>
    </row>
    <row r="1839" spans="1:8" ht="13.2">
      <c r="A1839" s="64"/>
      <c r="B1839" s="16" t="s">
        <v>1353</v>
      </c>
      <c r="C1839" s="143" t="str">
        <f>VLOOKUP(B1839,'Thống kê'!$C$3:$D$970,2,0)</f>
        <v>Trang trí mô hình Vịt</v>
      </c>
      <c r="D1839" s="166">
        <f>VLOOKUP(B1839,'Thống kê'!$C$3:$M$970,4,0)</f>
        <v>39000</v>
      </c>
      <c r="E1839" s="167">
        <v>1</v>
      </c>
      <c r="F1839" s="168">
        <f t="shared" si="7"/>
        <v>39000</v>
      </c>
      <c r="G1839" s="75"/>
      <c r="H1839" s="372"/>
    </row>
    <row r="1840" spans="1:8" ht="13.2">
      <c r="A1840" s="49"/>
      <c r="B1840" s="16" t="s">
        <v>1359</v>
      </c>
      <c r="C1840" s="143" t="str">
        <f>VLOOKUP(B1840,'Thống kê'!$C$3:$D$970,2,0)</f>
        <v>Trang trí mô hình Cún</v>
      </c>
      <c r="D1840" s="166">
        <f>VLOOKUP(B1840,'Thống kê'!$C$3:$M$970,4,0)</f>
        <v>39000</v>
      </c>
      <c r="E1840" s="167">
        <v>1</v>
      </c>
      <c r="F1840" s="168">
        <f t="shared" ref="F1840:F2094" si="8">D1840*E1840</f>
        <v>39000</v>
      </c>
      <c r="G1840" s="75"/>
      <c r="H1840" s="372"/>
    </row>
    <row r="1841" spans="1:8" ht="13.2">
      <c r="A1841" s="49"/>
      <c r="B1841" s="16" t="s">
        <v>1696</v>
      </c>
      <c r="C1841" s="143" t="str">
        <f>VLOOKUP(B1841,'Thống kê'!$C$3:$D$970,2,0)</f>
        <v>gấu</v>
      </c>
      <c r="D1841" s="166">
        <f>VLOOKUP(B1841,'Thống kê'!$C$3:$M$970,4,0)</f>
        <v>35000</v>
      </c>
      <c r="E1841" s="167">
        <v>1</v>
      </c>
      <c r="F1841" s="168">
        <f t="shared" si="8"/>
        <v>35000</v>
      </c>
      <c r="G1841" s="75"/>
      <c r="H1841" s="372"/>
    </row>
    <row r="1842" spans="1:8" ht="13.2">
      <c r="A1842" s="49"/>
      <c r="B1842" s="16" t="s">
        <v>1599</v>
      </c>
      <c r="C1842" s="143" t="str">
        <f>VLOOKUP(B1842,'Thống kê'!$C$3:$D$970,2,0)</f>
        <v>Dao rọc giấy 14</v>
      </c>
      <c r="D1842" s="166">
        <f>VLOOKUP(B1842,'Thống kê'!$C$3:$M$970,4,0)</f>
        <v>12000</v>
      </c>
      <c r="E1842" s="167">
        <v>1</v>
      </c>
      <c r="F1842" s="168">
        <f t="shared" si="8"/>
        <v>12000</v>
      </c>
      <c r="G1842" s="75"/>
      <c r="H1842" s="402">
        <v>84083</v>
      </c>
    </row>
    <row r="1843" spans="1:8" ht="13.2">
      <c r="A1843" s="49"/>
      <c r="B1843" s="16" t="s">
        <v>234</v>
      </c>
      <c r="C1843" s="143" t="str">
        <f>VLOOKUP(B1843,'Thống kê'!$C$3:$D$970,2,0)</f>
        <v>Móc khoá skullpanda phiên bản mini</v>
      </c>
      <c r="D1843" s="166">
        <f>VLOOKUP(B1843,'Thống kê'!$C$3:$M$970,4,0)</f>
        <v>98000</v>
      </c>
      <c r="E1843" s="167">
        <v>1</v>
      </c>
      <c r="F1843" s="168">
        <f t="shared" si="8"/>
        <v>98000</v>
      </c>
      <c r="G1843" s="75"/>
      <c r="H1843" s="372"/>
    </row>
    <row r="1844" spans="1:8" ht="13.2">
      <c r="A1844" s="49"/>
      <c r="B1844" s="16" t="s">
        <v>77</v>
      </c>
      <c r="C1844" s="143">
        <f>VLOOKUP(B1844,'Thống kê'!$C$3:$D$970,2,0)</f>
        <v>0</v>
      </c>
      <c r="D1844" s="166">
        <f>VLOOKUP(B1844,'Thống kê'!$C$3:$M$970,4,0)</f>
        <v>0</v>
      </c>
      <c r="E1844" s="167">
        <v>1</v>
      </c>
      <c r="F1844" s="168">
        <f t="shared" si="8"/>
        <v>0</v>
      </c>
      <c r="G1844" s="75"/>
      <c r="H1844" s="176">
        <v>52912</v>
      </c>
    </row>
    <row r="1845" spans="1:8" ht="13.2">
      <c r="A1845" s="49"/>
      <c r="B1845" s="16" t="s">
        <v>1384</v>
      </c>
      <c r="C1845" s="143" t="str">
        <f>VLOOKUP(B1845,'Thống kê'!$C$3:$D$970,2,0)</f>
        <v>Móc khoá Crybaby mini Popmart</v>
      </c>
      <c r="D1845" s="166">
        <f>VLOOKUP(B1845,'Thống kê'!$C$3:$M$970,4,0)</f>
        <v>0</v>
      </c>
      <c r="E1845" s="167">
        <v>1</v>
      </c>
      <c r="F1845" s="168">
        <f t="shared" si="8"/>
        <v>0</v>
      </c>
      <c r="G1845" s="75"/>
      <c r="H1845" s="177">
        <v>77265</v>
      </c>
    </row>
    <row r="1846" spans="1:8" ht="13.2">
      <c r="A1846" s="49"/>
      <c r="B1846" s="16" t="s">
        <v>138</v>
      </c>
      <c r="C1846" s="143" t="str">
        <f>VLOOKUP(B1846,'Thống kê'!$C$3:$D$970,2,0)</f>
        <v>Móc khoá Crybaby mini Popmart</v>
      </c>
      <c r="D1846" s="166">
        <f>VLOOKUP(B1846,'Thống kê'!$C$3:$M$970,4,0)</f>
        <v>0</v>
      </c>
      <c r="E1846" s="167">
        <v>1</v>
      </c>
      <c r="F1846" s="168">
        <f t="shared" si="8"/>
        <v>0</v>
      </c>
      <c r="G1846" s="75"/>
      <c r="H1846" s="177">
        <v>77075</v>
      </c>
    </row>
    <row r="1847" spans="1:8" ht="13.2">
      <c r="A1847" s="49"/>
      <c r="B1847" s="16" t="s">
        <v>196</v>
      </c>
      <c r="C1847" s="143">
        <f>VLOOKUP(B1847,'Thống kê'!$C$3:$D$970,2,0)</f>
        <v>0</v>
      </c>
      <c r="D1847" s="166">
        <f>VLOOKUP(B1847,'Thống kê'!$C$3:$M$970,4,0)</f>
        <v>0</v>
      </c>
      <c r="E1847" s="167">
        <v>1</v>
      </c>
      <c r="F1847" s="168">
        <f t="shared" si="8"/>
        <v>0</v>
      </c>
      <c r="G1847" s="75"/>
      <c r="H1847" s="177">
        <v>57362</v>
      </c>
    </row>
    <row r="1848" spans="1:8" ht="13.2">
      <c r="A1848" s="49"/>
      <c r="B1848" s="16" t="s">
        <v>85</v>
      </c>
      <c r="C1848" s="143">
        <f>VLOOKUP(B1848,'Thống kê'!$C$3:$D$970,2,0)</f>
        <v>0</v>
      </c>
      <c r="D1848" s="166">
        <f>VLOOKUP(B1848,'Thống kê'!$C$3:$M$970,4,0)</f>
        <v>0</v>
      </c>
      <c r="E1848" s="167">
        <v>1</v>
      </c>
      <c r="F1848" s="168">
        <f t="shared" si="8"/>
        <v>0</v>
      </c>
      <c r="G1848" s="75"/>
      <c r="H1848" s="177">
        <v>58829</v>
      </c>
    </row>
    <row r="1849" spans="1:8" ht="13.2">
      <c r="A1849" s="49"/>
      <c r="B1849" s="16" t="s">
        <v>196</v>
      </c>
      <c r="C1849" s="143">
        <f>VLOOKUP(B1849,'Thống kê'!$C$3:$D$970,2,0)</f>
        <v>0</v>
      </c>
      <c r="D1849" s="166">
        <f>VLOOKUP(B1849,'Thống kê'!$C$3:$M$970,4,0)</f>
        <v>0</v>
      </c>
      <c r="E1849" s="167">
        <v>1</v>
      </c>
      <c r="F1849" s="168">
        <f t="shared" si="8"/>
        <v>0</v>
      </c>
      <c r="G1849" s="75"/>
      <c r="H1849" s="403">
        <v>328645</v>
      </c>
    </row>
    <row r="1850" spans="1:8" ht="13.2">
      <c r="A1850" s="49"/>
      <c r="B1850" s="16" t="s">
        <v>140</v>
      </c>
      <c r="C1850" s="143">
        <f>VLOOKUP(B1850,'Thống kê'!$C$3:$D$970,2,0)</f>
        <v>0</v>
      </c>
      <c r="D1850" s="166">
        <f>VLOOKUP(B1850,'Thống kê'!$C$3:$M$970,4,0)</f>
        <v>0</v>
      </c>
      <c r="E1850" s="167">
        <v>1</v>
      </c>
      <c r="F1850" s="168">
        <f t="shared" si="8"/>
        <v>0</v>
      </c>
      <c r="G1850" s="75"/>
      <c r="H1850" s="372"/>
    </row>
    <row r="1851" spans="1:8" ht="13.2">
      <c r="A1851" s="49"/>
      <c r="B1851" s="16" t="s">
        <v>196</v>
      </c>
      <c r="C1851" s="143">
        <f>VLOOKUP(B1851,'Thống kê'!$C$3:$D$970,2,0)</f>
        <v>0</v>
      </c>
      <c r="D1851" s="166">
        <f>VLOOKUP(B1851,'Thống kê'!$C$3:$M$970,4,0)</f>
        <v>0</v>
      </c>
      <c r="E1851" s="167">
        <v>1</v>
      </c>
      <c r="F1851" s="168">
        <f t="shared" si="8"/>
        <v>0</v>
      </c>
      <c r="G1851" s="75"/>
      <c r="H1851" s="372"/>
    </row>
    <row r="1852" spans="1:8" ht="13.2">
      <c r="A1852" s="49"/>
      <c r="B1852" s="16" t="s">
        <v>1387</v>
      </c>
      <c r="C1852" s="143" t="str">
        <f>VLOOKUP(B1852,'Thống kê'!$C$3:$D$970,2,0)</f>
        <v>Móc khoá Crybaby mini Popmart</v>
      </c>
      <c r="D1852" s="166">
        <f>VLOOKUP(B1852,'Thống kê'!$C$3:$M$970,4,0)</f>
        <v>0</v>
      </c>
      <c r="E1852" s="167">
        <v>1</v>
      </c>
      <c r="F1852" s="168">
        <f t="shared" si="8"/>
        <v>0</v>
      </c>
      <c r="G1852" s="75"/>
      <c r="H1852" s="373"/>
    </row>
    <row r="1853" spans="1:8" ht="13.2">
      <c r="A1853" s="49"/>
      <c r="B1853" s="16" t="s">
        <v>150</v>
      </c>
      <c r="C1853" s="143" t="str">
        <f>VLOOKUP(B1853,'Thống kê'!$C$3:$D$970,2,0)</f>
        <v>Móc khóa có chuông</v>
      </c>
      <c r="D1853" s="166">
        <f>VLOOKUP(B1853,'Thống kê'!$C$3:$M$970,4,0)</f>
        <v>59000</v>
      </c>
      <c r="E1853" s="167">
        <v>1</v>
      </c>
      <c r="F1853" s="168">
        <f t="shared" si="8"/>
        <v>59000</v>
      </c>
      <c r="G1853" s="75"/>
      <c r="H1853" s="178">
        <v>52900</v>
      </c>
    </row>
    <row r="1854" spans="1:8" ht="13.2">
      <c r="A1854" s="49"/>
      <c r="B1854" s="16" t="s">
        <v>1601</v>
      </c>
      <c r="C1854" s="143" t="str">
        <f>VLOOKUP(B1854,'Thống kê'!$C$3:$D$970,2,0)</f>
        <v>Dao rọc giấy 19</v>
      </c>
      <c r="D1854" s="166">
        <f>VLOOKUP(B1854,'Thống kê'!$C$3:$M$970,4,0)</f>
        <v>12000</v>
      </c>
      <c r="E1854" s="167">
        <v>1</v>
      </c>
      <c r="F1854" s="168">
        <f t="shared" si="8"/>
        <v>12000</v>
      </c>
      <c r="G1854" s="75"/>
      <c r="H1854" s="402">
        <v>194819</v>
      </c>
    </row>
    <row r="1855" spans="1:8" ht="13.2">
      <c r="A1855" s="49"/>
      <c r="B1855" s="16" t="s">
        <v>1790</v>
      </c>
      <c r="C1855" s="143" t="str">
        <f>VLOOKUP(B1855,'Thống kê'!$C$3:$D$970,2,0)</f>
        <v>Hộp thuốc nơ hồng</v>
      </c>
      <c r="D1855" s="166">
        <f>VLOOKUP(B1855,'Thống kê'!$C$3:$M$970,4,0)</f>
        <v>11000</v>
      </c>
      <c r="E1855" s="167">
        <v>1</v>
      </c>
      <c r="F1855" s="168">
        <f t="shared" si="8"/>
        <v>11000</v>
      </c>
      <c r="G1855" s="75"/>
      <c r="H1855" s="372"/>
    </row>
    <row r="1856" spans="1:8" ht="13.2">
      <c r="A1856" s="49"/>
      <c r="B1856" s="16" t="s">
        <v>1382</v>
      </c>
      <c r="C1856" s="143" t="str">
        <f>VLOOKUP(B1856,'Thống kê'!$C$3:$D$970,2,0)</f>
        <v>miếng dán silicon điện thoại</v>
      </c>
      <c r="D1856" s="166">
        <f>VLOOKUP(B1856,'Thống kê'!$C$3:$M$970,4,0)</f>
        <v>0</v>
      </c>
      <c r="E1856" s="167">
        <v>1</v>
      </c>
      <c r="F1856" s="168">
        <f t="shared" si="8"/>
        <v>0</v>
      </c>
      <c r="G1856" s="75"/>
      <c r="H1856" s="372"/>
    </row>
    <row r="1857" spans="1:8" ht="13.2">
      <c r="A1857" s="64"/>
      <c r="B1857" s="16" t="s">
        <v>228</v>
      </c>
      <c r="C1857" s="143">
        <f>VLOOKUP(B1857,'Thống kê'!$C$3:$D$970,2,0)</f>
        <v>0</v>
      </c>
      <c r="D1857" s="166">
        <f>VLOOKUP(B1857,'Thống kê'!$C$3:$M$970,4,0)</f>
        <v>0</v>
      </c>
      <c r="E1857" s="167">
        <v>1</v>
      </c>
      <c r="F1857" s="168">
        <f t="shared" si="8"/>
        <v>0</v>
      </c>
      <c r="G1857" s="75"/>
      <c r="H1857" s="372"/>
    </row>
    <row r="1858" spans="1:8" ht="13.2">
      <c r="A1858" s="49"/>
      <c r="B1858" s="16" t="s">
        <v>1499</v>
      </c>
      <c r="C1858" s="143">
        <f>VLOOKUP(B1858,'Thống kê'!$C$3:$D$970,2,0)</f>
        <v>0</v>
      </c>
      <c r="D1858" s="166">
        <f>VLOOKUP(B1858,'Thống kê'!$C$3:$M$970,4,0)</f>
        <v>0</v>
      </c>
      <c r="E1858" s="167">
        <v>1</v>
      </c>
      <c r="F1858" s="168">
        <f t="shared" si="8"/>
        <v>0</v>
      </c>
      <c r="G1858" s="75"/>
      <c r="H1858" s="372"/>
    </row>
    <row r="1859" spans="1:8" ht="13.2">
      <c r="A1859" s="49"/>
      <c r="B1859" s="16" t="s">
        <v>1826</v>
      </c>
      <c r="C1859" s="143" t="str">
        <f>VLOOKUP(B1859,'Thống kê'!$C$3:$D$970,2,0)</f>
        <v>Túi đựng đồ trang điểm nhỏ</v>
      </c>
      <c r="D1859" s="166">
        <f>VLOOKUP(B1859,'Thống kê'!$C$3:$M$970,4,0)</f>
        <v>0</v>
      </c>
      <c r="E1859" s="167">
        <v>1</v>
      </c>
      <c r="F1859" s="168">
        <f t="shared" si="8"/>
        <v>0</v>
      </c>
      <c r="G1859" s="75"/>
      <c r="H1859" s="373"/>
    </row>
    <row r="1860" spans="1:8" ht="13.2">
      <c r="A1860" s="49"/>
      <c r="B1860" s="16" t="s">
        <v>1836</v>
      </c>
      <c r="C1860" s="143" t="str">
        <f>VLOOKUP(B1860,'Thống kê'!$C$3:$D$970,2,0)</f>
        <v>Túi Đựng Mắt Kính Da Pu</v>
      </c>
      <c r="D1860" s="166">
        <f>VLOOKUP(B1860,'Thống kê'!$C$3:$M$970,4,0)</f>
        <v>0</v>
      </c>
      <c r="E1860" s="167">
        <v>1</v>
      </c>
      <c r="F1860" s="168">
        <f t="shared" si="8"/>
        <v>0</v>
      </c>
      <c r="G1860" s="75"/>
      <c r="H1860" s="177">
        <v>12092</v>
      </c>
    </row>
    <row r="1861" spans="1:8" ht="13.2">
      <c r="A1861" s="49"/>
      <c r="B1861" s="16" t="s">
        <v>1386</v>
      </c>
      <c r="C1861" s="143" t="str">
        <f>VLOOKUP(B1861,'Thống kê'!$C$3:$D$970,2,0)</f>
        <v>Móc khoá Crybaby mini Popmart</v>
      </c>
      <c r="D1861" s="166">
        <f>VLOOKUP(B1861,'Thống kê'!$C$3:$M$970,4,0)</f>
        <v>0</v>
      </c>
      <c r="E1861" s="167">
        <v>1</v>
      </c>
      <c r="F1861" s="168">
        <f t="shared" si="8"/>
        <v>0</v>
      </c>
      <c r="G1861" s="75"/>
      <c r="H1861" s="403">
        <v>155406</v>
      </c>
    </row>
    <row r="1862" spans="1:8" ht="13.2">
      <c r="A1862" s="49"/>
      <c r="B1862" s="16" t="s">
        <v>138</v>
      </c>
      <c r="C1862" s="143" t="str">
        <f>VLOOKUP(B1862,'Thống kê'!$C$3:$D$970,2,0)</f>
        <v>Móc khoá Crybaby mini Popmart</v>
      </c>
      <c r="D1862" s="166">
        <f>VLOOKUP(B1862,'Thống kê'!$C$3:$M$970,4,0)</f>
        <v>0</v>
      </c>
      <c r="E1862" s="167">
        <v>1</v>
      </c>
      <c r="F1862" s="168">
        <f t="shared" si="8"/>
        <v>0</v>
      </c>
      <c r="G1862" s="75"/>
      <c r="H1862" s="373"/>
    </row>
    <row r="1863" spans="1:8" ht="13.2">
      <c r="A1863" s="49"/>
      <c r="B1863" s="16" t="s">
        <v>1471</v>
      </c>
      <c r="C1863" s="143">
        <f>VLOOKUP(B1863,'Thống kê'!$C$3:$D$970,2,0)</f>
        <v>0</v>
      </c>
      <c r="D1863" s="166">
        <f>VLOOKUP(B1863,'Thống kê'!$C$3:$M$970,4,0)</f>
        <v>0</v>
      </c>
      <c r="E1863" s="167">
        <v>1</v>
      </c>
      <c r="F1863" s="168">
        <f t="shared" si="8"/>
        <v>0</v>
      </c>
      <c r="G1863" s="75"/>
      <c r="H1863" s="177">
        <v>142760</v>
      </c>
    </row>
    <row r="1864" spans="1:8" ht="13.2">
      <c r="A1864" s="49"/>
      <c r="B1864" s="16" t="s">
        <v>231</v>
      </c>
      <c r="C1864" s="143" t="str">
        <f>VLOOKUP(B1864,'Thống kê'!$C$3:$D$970,2,0)</f>
        <v>Móc khóa đôi gấu trúc</v>
      </c>
      <c r="D1864" s="166">
        <f>VLOOKUP(B1864,'Thống kê'!$C$3:$M$970,4,0)</f>
        <v>56580</v>
      </c>
      <c r="E1864" s="167">
        <v>1</v>
      </c>
      <c r="F1864" s="168">
        <f t="shared" si="8"/>
        <v>56580</v>
      </c>
      <c r="G1864" s="75"/>
      <c r="H1864" s="178">
        <v>47273</v>
      </c>
    </row>
    <row r="1865" spans="1:8" ht="13.2">
      <c r="A1865" s="49"/>
      <c r="B1865" s="16" t="s">
        <v>183</v>
      </c>
      <c r="C1865" s="143" t="str">
        <f>VLOOKUP(B1865,'Thống kê'!$C$3:$D$970,2,0)</f>
        <v>Thỏ máy bay gắn xe</v>
      </c>
      <c r="D1865" s="166">
        <f>VLOOKUP(B1865,'Thống kê'!$C$3:$M$970,4,0)</f>
        <v>45000</v>
      </c>
      <c r="E1865" s="167">
        <v>1</v>
      </c>
      <c r="F1865" s="168">
        <f t="shared" si="8"/>
        <v>45000</v>
      </c>
      <c r="G1865" s="75"/>
      <c r="H1865" s="175">
        <v>29230</v>
      </c>
    </row>
    <row r="1866" spans="1:8" ht="13.2">
      <c r="A1866" s="49"/>
      <c r="B1866" s="16" t="s">
        <v>1835</v>
      </c>
      <c r="C1866" s="143" t="str">
        <f>VLOOKUP(B1866,'Thống kê'!$C$3:$D$970,2,0)</f>
        <v>Móc khoá cún Chanh vàng</v>
      </c>
      <c r="D1866" s="166">
        <f>VLOOKUP(B1866,'Thống kê'!$C$3:$M$970,4,0)</f>
        <v>38000</v>
      </c>
      <c r="E1866" s="167">
        <v>1</v>
      </c>
      <c r="F1866" s="168">
        <f t="shared" si="8"/>
        <v>38000</v>
      </c>
      <c r="G1866" s="75"/>
      <c r="H1866" s="175">
        <v>28092</v>
      </c>
    </row>
    <row r="1867" spans="1:8" ht="13.2">
      <c r="A1867" s="49"/>
      <c r="B1867" s="16" t="s">
        <v>1515</v>
      </c>
      <c r="C1867" s="143">
        <f>VLOOKUP(B1867,'Thống kê'!$C$3:$D$970,2,0)</f>
        <v>0</v>
      </c>
      <c r="D1867" s="166">
        <f>VLOOKUP(B1867,'Thống kê'!$C$3:$M$970,4,0)</f>
        <v>0</v>
      </c>
      <c r="E1867" s="167">
        <v>1</v>
      </c>
      <c r="F1867" s="168">
        <f t="shared" si="8"/>
        <v>0</v>
      </c>
      <c r="G1867" s="75"/>
      <c r="H1867" s="175">
        <v>100040</v>
      </c>
    </row>
    <row r="1868" spans="1:8" ht="13.2">
      <c r="A1868" s="49"/>
      <c r="B1868" s="16" t="s">
        <v>171</v>
      </c>
      <c r="C1868" s="143">
        <f>VLOOKUP(B1868,'Thống kê'!$C$3:$D$970,2,0)</f>
        <v>0</v>
      </c>
      <c r="D1868" s="166">
        <f>VLOOKUP(B1868,'Thống kê'!$C$3:$M$970,4,0)</f>
        <v>0</v>
      </c>
      <c r="E1868" s="167">
        <v>1</v>
      </c>
      <c r="F1868" s="168">
        <f t="shared" si="8"/>
        <v>0</v>
      </c>
      <c r="G1868" s="75"/>
      <c r="H1868" s="402">
        <v>134080</v>
      </c>
    </row>
    <row r="1869" spans="1:8" ht="13.2">
      <c r="A1869" s="49"/>
      <c r="B1869" s="16" t="s">
        <v>279</v>
      </c>
      <c r="C1869" s="143">
        <f>VLOOKUP(B1869,'Thống kê'!$C$3:$D$970,2,0)</f>
        <v>0</v>
      </c>
      <c r="D1869" s="166">
        <f>VLOOKUP(B1869,'Thống kê'!$C$3:$M$970,4,0)</f>
        <v>0</v>
      </c>
      <c r="E1869" s="167">
        <v>1</v>
      </c>
      <c r="F1869" s="168">
        <f t="shared" si="8"/>
        <v>0</v>
      </c>
      <c r="G1869" s="75"/>
      <c r="H1869" s="373"/>
    </row>
    <row r="1870" spans="1:8" ht="13.2">
      <c r="A1870" s="49"/>
      <c r="B1870" s="16" t="s">
        <v>140</v>
      </c>
      <c r="C1870" s="143">
        <f>VLOOKUP(B1870,'Thống kê'!$C$3:$D$970,2,0)</f>
        <v>0</v>
      </c>
      <c r="D1870" s="166">
        <f>VLOOKUP(B1870,'Thống kê'!$C$3:$M$970,4,0)</f>
        <v>0</v>
      </c>
      <c r="E1870" s="167">
        <v>1</v>
      </c>
      <c r="F1870" s="168">
        <f t="shared" si="8"/>
        <v>0</v>
      </c>
      <c r="G1870" s="75"/>
      <c r="H1870" s="178">
        <v>53562</v>
      </c>
    </row>
    <row r="1871" spans="1:8" ht="13.2">
      <c r="A1871" s="49"/>
      <c r="B1871" s="16" t="s">
        <v>1384</v>
      </c>
      <c r="C1871" s="143" t="str">
        <f>VLOOKUP(B1871,'Thống kê'!$C$3:$D$970,2,0)</f>
        <v>Móc khoá Crybaby mini Popmart</v>
      </c>
      <c r="D1871" s="166">
        <f>VLOOKUP(B1871,'Thống kê'!$C$3:$M$970,4,0)</f>
        <v>0</v>
      </c>
      <c r="E1871" s="167">
        <v>1</v>
      </c>
      <c r="F1871" s="168">
        <f t="shared" si="8"/>
        <v>0</v>
      </c>
      <c r="G1871" s="75"/>
      <c r="H1871" s="176">
        <v>77265</v>
      </c>
    </row>
    <row r="1872" spans="1:8" ht="13.2">
      <c r="A1872" s="49"/>
      <c r="B1872" s="16" t="s">
        <v>142</v>
      </c>
      <c r="C1872" s="143">
        <f>VLOOKUP(B1872,'Thống kê'!$C$3:$D$970,2,0)</f>
        <v>0</v>
      </c>
      <c r="D1872" s="166">
        <f>VLOOKUP(B1872,'Thống kê'!$C$3:$M$970,4,0)</f>
        <v>0</v>
      </c>
      <c r="E1872" s="167">
        <v>1</v>
      </c>
      <c r="F1872" s="168">
        <f t="shared" si="8"/>
        <v>0</v>
      </c>
      <c r="G1872" s="75"/>
      <c r="H1872" s="178">
        <v>67675</v>
      </c>
    </row>
    <row r="1873" spans="1:8" ht="13.2">
      <c r="A1873" s="49"/>
      <c r="B1873" s="16" t="s">
        <v>1388</v>
      </c>
      <c r="C1873" s="143" t="str">
        <f>VLOOKUP(B1873,'Thống kê'!$C$3:$D$970,2,0)</f>
        <v>Móc khoá Crybaby mini Popmart</v>
      </c>
      <c r="D1873" s="166">
        <f>VLOOKUP(B1873,'Thống kê'!$C$3:$M$970,4,0)</f>
        <v>0</v>
      </c>
      <c r="E1873" s="167">
        <v>1</v>
      </c>
      <c r="F1873" s="168">
        <f t="shared" si="8"/>
        <v>0</v>
      </c>
      <c r="G1873" s="75"/>
      <c r="H1873" s="175">
        <v>77275</v>
      </c>
    </row>
    <row r="1874" spans="1:8" ht="13.2">
      <c r="A1874" s="49"/>
      <c r="B1874" s="16" t="s">
        <v>279</v>
      </c>
      <c r="C1874" s="143">
        <f>VLOOKUP(B1874,'Thống kê'!$C$3:$D$970,2,0)</f>
        <v>0</v>
      </c>
      <c r="D1874" s="166">
        <f>VLOOKUP(B1874,'Thống kê'!$C$3:$M$970,4,0)</f>
        <v>0</v>
      </c>
      <c r="E1874" s="167">
        <v>1</v>
      </c>
      <c r="F1874" s="168">
        <f t="shared" si="8"/>
        <v>0</v>
      </c>
      <c r="G1874" s="75"/>
      <c r="H1874" s="176">
        <v>59035</v>
      </c>
    </row>
    <row r="1875" spans="1:8" ht="13.2">
      <c r="A1875" s="49"/>
      <c r="B1875" s="16" t="s">
        <v>183</v>
      </c>
      <c r="C1875" s="143" t="str">
        <f>VLOOKUP(B1875,'Thống kê'!$C$3:$D$970,2,0)</f>
        <v>Thỏ máy bay gắn xe</v>
      </c>
      <c r="D1875" s="166">
        <f>VLOOKUP(B1875,'Thống kê'!$C$3:$M$970,4,0)</f>
        <v>45000</v>
      </c>
      <c r="E1875" s="167">
        <v>1</v>
      </c>
      <c r="F1875" s="168">
        <f t="shared" si="8"/>
        <v>45000</v>
      </c>
      <c r="G1875" s="75"/>
      <c r="H1875" s="403">
        <v>55511</v>
      </c>
    </row>
    <row r="1876" spans="1:8" ht="13.2">
      <c r="A1876" s="49"/>
      <c r="B1876" s="16" t="s">
        <v>119</v>
      </c>
      <c r="C1876" s="143" t="str">
        <f>VLOOKUP(B1876,'Thống kê'!$C$3:$D$970,2,0)</f>
        <v>Thỏ chạy xe gắn xe</v>
      </c>
      <c r="D1876" s="166">
        <f>VLOOKUP(B1876,'Thống kê'!$C$3:$M$970,4,0)</f>
        <v>45000</v>
      </c>
      <c r="E1876" s="167">
        <v>1</v>
      </c>
      <c r="F1876" s="168">
        <f t="shared" si="8"/>
        <v>45000</v>
      </c>
      <c r="G1876" s="75"/>
      <c r="H1876" s="372"/>
    </row>
    <row r="1877" spans="1:8" ht="13.2">
      <c r="A1877" s="49"/>
      <c r="B1877" s="16" t="s">
        <v>1472</v>
      </c>
      <c r="C1877" s="143">
        <f>VLOOKUP(B1877,'Thống kê'!$C$3:$D$970,2,0)</f>
        <v>0</v>
      </c>
      <c r="D1877" s="166">
        <f>VLOOKUP(B1877,'Thống kê'!$C$3:$M$970,4,0)</f>
        <v>0</v>
      </c>
      <c r="E1877" s="167">
        <v>1</v>
      </c>
      <c r="F1877" s="168">
        <f t="shared" si="8"/>
        <v>0</v>
      </c>
      <c r="G1877" s="75"/>
      <c r="H1877" s="402">
        <v>170091</v>
      </c>
    </row>
    <row r="1878" spans="1:8" ht="13.2">
      <c r="A1878" s="49"/>
      <c r="B1878" s="16" t="s">
        <v>1485</v>
      </c>
      <c r="C1878" s="143" t="str">
        <f>VLOOKUP(B1878,'Thống kê'!$C$3:$D$970,2,0)</f>
        <v>Móc khoá Dudu nhiều màu sắc treo túi, đeo điện thoại</v>
      </c>
      <c r="D1878" s="166">
        <f>VLOOKUP(B1878,'Thống kê'!$C$3:$M$970,4,0)</f>
        <v>45000</v>
      </c>
      <c r="E1878" s="167">
        <v>1</v>
      </c>
      <c r="F1878" s="168">
        <f t="shared" si="8"/>
        <v>45000</v>
      </c>
      <c r="G1878" s="75"/>
      <c r="H1878" s="373"/>
    </row>
    <row r="1879" spans="1:8" ht="13.2">
      <c r="A1879" s="49"/>
      <c r="B1879" s="16" t="s">
        <v>1446</v>
      </c>
      <c r="C1879" s="143" t="str">
        <f>VLOOKUP(B1879,'Thống kê'!$C$3:$D$970,2,0)</f>
        <v>túi mù mô hình</v>
      </c>
      <c r="D1879" s="166">
        <f>VLOOKUP(B1879,'Thống kê'!$C$3:$M$970,4,0)</f>
        <v>0</v>
      </c>
      <c r="E1879" s="167">
        <v>1</v>
      </c>
      <c r="F1879" s="168">
        <f t="shared" si="8"/>
        <v>0</v>
      </c>
      <c r="G1879" s="75"/>
      <c r="H1879" s="402">
        <v>100040</v>
      </c>
    </row>
    <row r="1880" spans="1:8" ht="13.2">
      <c r="A1880" s="49"/>
      <c r="B1880" s="16" t="s">
        <v>1337</v>
      </c>
      <c r="C1880" s="143" t="str">
        <f>VLOOKUP(B1880,'Thống kê'!$C$3:$D$970,2,0)</f>
        <v>Móc khóa chuối</v>
      </c>
      <c r="D1880" s="166">
        <f>VLOOKUP(B1880,'Thống kê'!$C$3:$M$970,4,0)</f>
        <v>148000</v>
      </c>
      <c r="E1880" s="167">
        <v>1</v>
      </c>
      <c r="F1880" s="168">
        <f t="shared" si="8"/>
        <v>148000</v>
      </c>
      <c r="G1880" s="75"/>
      <c r="H1880" s="373"/>
    </row>
    <row r="1881" spans="1:8" ht="13.2">
      <c r="A1881" s="49"/>
      <c r="B1881" s="16" t="s">
        <v>133</v>
      </c>
      <c r="C1881" s="143">
        <f>VLOOKUP(B1881,'Thống kê'!$C$3:$D$970,2,0)</f>
        <v>0</v>
      </c>
      <c r="D1881" s="166">
        <f>VLOOKUP(B1881,'Thống kê'!$C$3:$M$970,4,0)</f>
        <v>0</v>
      </c>
      <c r="E1881" s="167">
        <v>1</v>
      </c>
      <c r="F1881" s="168">
        <f t="shared" si="8"/>
        <v>0</v>
      </c>
      <c r="G1881" s="75"/>
      <c r="H1881" s="175">
        <v>64463</v>
      </c>
    </row>
    <row r="1882" spans="1:8" ht="13.2">
      <c r="A1882" s="49"/>
      <c r="B1882" s="16" t="s">
        <v>142</v>
      </c>
      <c r="C1882" s="143">
        <f>VLOOKUP(B1882,'Thống kê'!$C$3:$D$970,2,0)</f>
        <v>0</v>
      </c>
      <c r="D1882" s="166">
        <f>VLOOKUP(B1882,'Thống kê'!$C$3:$M$970,4,0)</f>
        <v>0</v>
      </c>
      <c r="E1882" s="167">
        <v>1</v>
      </c>
      <c r="F1882" s="168">
        <f t="shared" si="8"/>
        <v>0</v>
      </c>
      <c r="G1882" s="75"/>
      <c r="H1882" s="176">
        <v>59235</v>
      </c>
    </row>
    <row r="1883" spans="1:8" ht="13.2">
      <c r="A1883" s="49"/>
      <c r="B1883" s="16" t="s">
        <v>140</v>
      </c>
      <c r="C1883" s="143">
        <f>VLOOKUP(B1883,'Thống kê'!$C$3:$D$970,2,0)</f>
        <v>0</v>
      </c>
      <c r="D1883" s="166">
        <f>VLOOKUP(B1883,'Thống kê'!$C$3:$M$970,4,0)</f>
        <v>0</v>
      </c>
      <c r="E1883" s="167">
        <v>1</v>
      </c>
      <c r="F1883" s="168">
        <f t="shared" si="8"/>
        <v>0</v>
      </c>
      <c r="G1883" s="75"/>
      <c r="H1883" s="177">
        <v>53487</v>
      </c>
    </row>
    <row r="1884" spans="1:8" ht="13.2">
      <c r="A1884" s="49"/>
      <c r="B1884" s="16" t="s">
        <v>1825</v>
      </c>
      <c r="C1884" s="143" t="str">
        <f>VLOOKUP(B1884,'Thống kê'!$C$3:$D$970,2,0)</f>
        <v>Túi Đựng Mắt Kính Da Pu</v>
      </c>
      <c r="D1884" s="166">
        <f>VLOOKUP(B1884,'Thống kê'!$C$3:$M$970,4,0)</f>
        <v>0</v>
      </c>
      <c r="E1884" s="167">
        <v>2</v>
      </c>
      <c r="F1884" s="168">
        <f t="shared" si="8"/>
        <v>0</v>
      </c>
      <c r="G1884" s="75"/>
      <c r="H1884" s="177">
        <v>38050</v>
      </c>
    </row>
    <row r="1885" spans="1:8" ht="13.2">
      <c r="A1885" s="49"/>
      <c r="B1885" s="16" t="s">
        <v>1386</v>
      </c>
      <c r="C1885" s="143" t="str">
        <f>VLOOKUP(B1885,'Thống kê'!$C$3:$D$970,2,0)</f>
        <v>Móc khoá Crybaby mini Popmart</v>
      </c>
      <c r="D1885" s="166">
        <f>VLOOKUP(B1885,'Thống kê'!$C$3:$M$970,4,0)</f>
        <v>0</v>
      </c>
      <c r="E1885" s="167">
        <v>1</v>
      </c>
      <c r="F1885" s="168">
        <f t="shared" si="8"/>
        <v>0</v>
      </c>
      <c r="G1885" s="75"/>
      <c r="H1885" s="177">
        <v>77900</v>
      </c>
    </row>
    <row r="1886" spans="1:8" ht="13.2">
      <c r="A1886" s="64"/>
      <c r="B1886" s="16" t="s">
        <v>1761</v>
      </c>
      <c r="C1886" s="143">
        <f>VLOOKUP(B1886,'Thống kê'!$C$3:$D$970,2,0)</f>
        <v>0</v>
      </c>
      <c r="D1886" s="166">
        <f>VLOOKUP(B1886,'Thống kê'!$C$3:$M$970,4,0)</f>
        <v>0</v>
      </c>
      <c r="E1886" s="167">
        <v>1</v>
      </c>
      <c r="F1886" s="168">
        <f t="shared" si="8"/>
        <v>0</v>
      </c>
      <c r="G1886" s="75"/>
      <c r="H1886" s="403">
        <v>149240</v>
      </c>
    </row>
    <row r="1887" spans="1:8" ht="13.2">
      <c r="A1887" s="49"/>
      <c r="B1887" s="16" t="s">
        <v>1764</v>
      </c>
      <c r="C1887" s="143">
        <f>VLOOKUP(B1887,'Thống kê'!$C$3:$D$970,2,0)</f>
        <v>0</v>
      </c>
      <c r="D1887" s="166">
        <f>VLOOKUP(B1887,'Thống kê'!$C$3:$M$970,4,0)</f>
        <v>0</v>
      </c>
      <c r="E1887" s="167">
        <v>1</v>
      </c>
      <c r="F1887" s="168">
        <f t="shared" si="8"/>
        <v>0</v>
      </c>
      <c r="G1887" s="75"/>
      <c r="H1887" s="373"/>
    </row>
    <row r="1888" spans="1:8" ht="13.2">
      <c r="A1888" s="49"/>
      <c r="B1888" s="16" t="s">
        <v>150</v>
      </c>
      <c r="C1888" s="143" t="str">
        <f>VLOOKUP(B1888,'Thống kê'!$C$3:$D$970,2,0)</f>
        <v>Móc khóa có chuông</v>
      </c>
      <c r="D1888" s="166">
        <f>VLOOKUP(B1888,'Thống kê'!$C$3:$M$970,4,0)</f>
        <v>59000</v>
      </c>
      <c r="E1888" s="167">
        <v>1</v>
      </c>
      <c r="F1888" s="168">
        <f t="shared" si="8"/>
        <v>59000</v>
      </c>
      <c r="G1888" s="75"/>
      <c r="H1888" s="177">
        <v>47585</v>
      </c>
    </row>
    <row r="1889" spans="1:8" ht="13.2">
      <c r="A1889" s="49"/>
      <c r="B1889" s="16" t="s">
        <v>192</v>
      </c>
      <c r="C1889" s="143">
        <f>VLOOKUP(B1889,'Thống kê'!$C$3:$D$970,2,0)</f>
        <v>0</v>
      </c>
      <c r="D1889" s="166">
        <f>VLOOKUP(B1889,'Thống kê'!$C$3:$M$970,4,0)</f>
        <v>0</v>
      </c>
      <c r="E1889" s="167">
        <v>1</v>
      </c>
      <c r="F1889" s="168">
        <f t="shared" si="8"/>
        <v>0</v>
      </c>
      <c r="G1889" s="75"/>
      <c r="H1889" s="177">
        <v>59040</v>
      </c>
    </row>
    <row r="1890" spans="1:8" ht="13.2">
      <c r="A1890" s="49"/>
      <c r="B1890" s="16" t="s">
        <v>85</v>
      </c>
      <c r="C1890" s="143">
        <f>VLOOKUP(B1890,'Thống kê'!$C$3:$D$970,2,0)</f>
        <v>0</v>
      </c>
      <c r="D1890" s="166">
        <f>VLOOKUP(B1890,'Thống kê'!$C$3:$M$970,4,0)</f>
        <v>0</v>
      </c>
      <c r="E1890" s="167">
        <v>1</v>
      </c>
      <c r="F1890" s="168">
        <f t="shared" si="8"/>
        <v>0</v>
      </c>
      <c r="G1890" s="75"/>
      <c r="H1890" s="403">
        <v>221793</v>
      </c>
    </row>
    <row r="1891" spans="1:8" ht="13.2">
      <c r="A1891" s="1"/>
      <c r="B1891" s="16" t="s">
        <v>196</v>
      </c>
      <c r="C1891" s="143">
        <f>VLOOKUP(B1891,'Thống kê'!$C$3:$D$970,2,0)</f>
        <v>0</v>
      </c>
      <c r="D1891" s="166">
        <f>VLOOKUP(B1891,'Thống kê'!$C$3:$M$970,4,0)</f>
        <v>0</v>
      </c>
      <c r="E1891" s="167">
        <v>1</v>
      </c>
      <c r="F1891" s="168">
        <f t="shared" si="8"/>
        <v>0</v>
      </c>
      <c r="G1891" s="75"/>
      <c r="H1891" s="372"/>
    </row>
    <row r="1892" spans="1:8" ht="13.2">
      <c r="A1892" s="49"/>
      <c r="B1892" s="16" t="s">
        <v>1515</v>
      </c>
      <c r="C1892" s="143">
        <f>VLOOKUP(B1892,'Thống kê'!$C$3:$D$970,2,0)</f>
        <v>0</v>
      </c>
      <c r="D1892" s="166">
        <f>VLOOKUP(B1892,'Thống kê'!$C$3:$M$970,4,0)</f>
        <v>0</v>
      </c>
      <c r="E1892" s="167">
        <v>1</v>
      </c>
      <c r="F1892" s="168">
        <f t="shared" si="8"/>
        <v>0</v>
      </c>
      <c r="G1892" s="75"/>
      <c r="H1892" s="372"/>
    </row>
    <row r="1893" spans="1:8" ht="13.2">
      <c r="A1893" s="49"/>
      <c r="B1893" s="16" t="s">
        <v>140</v>
      </c>
      <c r="C1893" s="143">
        <f>VLOOKUP(B1893,'Thống kê'!$C$3:$D$970,2,0)</f>
        <v>0</v>
      </c>
      <c r="D1893" s="166">
        <f>VLOOKUP(B1893,'Thống kê'!$C$3:$M$970,4,0)</f>
        <v>0</v>
      </c>
      <c r="E1893" s="167">
        <v>1</v>
      </c>
      <c r="F1893" s="168">
        <f t="shared" si="8"/>
        <v>0</v>
      </c>
      <c r="G1893" s="75"/>
      <c r="H1893" s="373"/>
    </row>
    <row r="1894" spans="1:8" ht="13.2">
      <c r="A1894" s="49"/>
      <c r="B1894" s="16" t="s">
        <v>1517</v>
      </c>
      <c r="C1894" s="143">
        <f>VLOOKUP(B1894,'Thống kê'!$C$3:$D$970,2,0)</f>
        <v>0</v>
      </c>
      <c r="D1894" s="166">
        <f>VLOOKUP(B1894,'Thống kê'!$C$3:$M$970,4,0)</f>
        <v>0</v>
      </c>
      <c r="E1894" s="167">
        <v>1</v>
      </c>
      <c r="F1894" s="168">
        <f t="shared" si="8"/>
        <v>0</v>
      </c>
      <c r="G1894" s="75"/>
      <c r="H1894" s="178">
        <v>53562</v>
      </c>
    </row>
    <row r="1895" spans="1:8" ht="13.2">
      <c r="A1895" s="49"/>
      <c r="B1895" s="16" t="s">
        <v>1388</v>
      </c>
      <c r="C1895" s="143" t="str">
        <f>VLOOKUP(B1895,'Thống kê'!$C$3:$D$970,2,0)</f>
        <v>Móc khoá Crybaby mini Popmart</v>
      </c>
      <c r="D1895" s="166">
        <f>VLOOKUP(B1895,'Thống kê'!$C$3:$M$970,4,0)</f>
        <v>0</v>
      </c>
      <c r="E1895" s="167">
        <v>1</v>
      </c>
      <c r="F1895" s="168">
        <f t="shared" si="8"/>
        <v>0</v>
      </c>
      <c r="G1895" s="75"/>
      <c r="H1895" s="176">
        <v>77725</v>
      </c>
    </row>
    <row r="1896" spans="1:8" ht="13.2">
      <c r="A1896" s="49"/>
      <c r="B1896" s="16" t="s">
        <v>1384</v>
      </c>
      <c r="C1896" s="143" t="str">
        <f>VLOOKUP(B1896,'Thống kê'!$C$3:$D$970,2,0)</f>
        <v>Móc khoá Crybaby mini Popmart</v>
      </c>
      <c r="D1896" s="166">
        <f>VLOOKUP(B1896,'Thống kê'!$C$3:$M$970,4,0)</f>
        <v>0</v>
      </c>
      <c r="E1896" s="167">
        <v>1</v>
      </c>
      <c r="F1896" s="168">
        <f t="shared" si="8"/>
        <v>0</v>
      </c>
      <c r="G1896" s="75"/>
      <c r="H1896" s="178">
        <v>77725</v>
      </c>
    </row>
    <row r="1897" spans="1:8" ht="13.2">
      <c r="A1897" s="49"/>
      <c r="B1897" s="16" t="s">
        <v>1524</v>
      </c>
      <c r="C1897" s="143">
        <f>VLOOKUP(B1897,'Thống kê'!$C$3:$D$970,2,0)</f>
        <v>0</v>
      </c>
      <c r="D1897" s="166">
        <f>VLOOKUP(B1897,'Thống kê'!$C$3:$M$970,4,0)</f>
        <v>0</v>
      </c>
      <c r="E1897" s="167">
        <v>1</v>
      </c>
      <c r="F1897" s="168">
        <f t="shared" si="8"/>
        <v>0</v>
      </c>
      <c r="G1897" s="75"/>
      <c r="H1897" s="176">
        <v>100040</v>
      </c>
    </row>
    <row r="1898" spans="1:8" ht="13.2">
      <c r="A1898" s="49"/>
      <c r="B1898" s="16" t="s">
        <v>1525</v>
      </c>
      <c r="C1898" s="143">
        <f>VLOOKUP(B1898,'Thống kê'!$C$3:$D$970,2,0)</f>
        <v>0</v>
      </c>
      <c r="D1898" s="166">
        <f>VLOOKUP(B1898,'Thống kê'!$C$3:$M$970,4,0)</f>
        <v>0</v>
      </c>
      <c r="E1898" s="167">
        <v>1</v>
      </c>
      <c r="F1898" s="168">
        <f t="shared" si="8"/>
        <v>0</v>
      </c>
      <c r="G1898" s="75"/>
      <c r="H1898" s="403">
        <v>160687</v>
      </c>
    </row>
    <row r="1899" spans="1:8" ht="13.2">
      <c r="A1899" s="64"/>
      <c r="B1899" s="16" t="s">
        <v>1516</v>
      </c>
      <c r="C1899" s="143">
        <f>VLOOKUP(B1899,'Thống kê'!$C$3:$D$970,2,0)</f>
        <v>0</v>
      </c>
      <c r="D1899" s="166">
        <f>VLOOKUP(B1899,'Thống kê'!$C$3:$M$970,4,0)</f>
        <v>0</v>
      </c>
      <c r="E1899" s="167">
        <v>1</v>
      </c>
      <c r="F1899" s="168">
        <f t="shared" si="8"/>
        <v>0</v>
      </c>
      <c r="G1899" s="75"/>
      <c r="H1899" s="372"/>
    </row>
    <row r="1900" spans="1:8" ht="13.2">
      <c r="A1900" s="49"/>
      <c r="B1900" s="16" t="s">
        <v>140</v>
      </c>
      <c r="C1900" s="143">
        <f>VLOOKUP(B1900,'Thống kê'!$C$3:$D$970,2,0)</f>
        <v>0</v>
      </c>
      <c r="D1900" s="166">
        <f>VLOOKUP(B1900,'Thống kê'!$C$3:$M$970,4,0)</f>
        <v>0</v>
      </c>
      <c r="E1900" s="167">
        <v>1</v>
      </c>
      <c r="F1900" s="168">
        <f t="shared" si="8"/>
        <v>0</v>
      </c>
      <c r="G1900" s="75"/>
      <c r="H1900" s="373"/>
    </row>
    <row r="1901" spans="1:8" ht="13.2">
      <c r="A1901" s="49"/>
      <c r="B1901" s="16" t="s">
        <v>126</v>
      </c>
      <c r="C1901" s="143">
        <f>VLOOKUP(B1901,'Thống kê'!$C$3:$D$970,2,0)</f>
        <v>0</v>
      </c>
      <c r="D1901" s="166">
        <f>VLOOKUP(B1901,'Thống kê'!$C$3:$M$970,4,0)</f>
        <v>0</v>
      </c>
      <c r="E1901" s="167">
        <v>1</v>
      </c>
      <c r="F1901" s="168">
        <f t="shared" si="8"/>
        <v>0</v>
      </c>
      <c r="G1901" s="75"/>
      <c r="H1901" s="177">
        <v>59860</v>
      </c>
    </row>
    <row r="1902" spans="1:8" ht="13.2">
      <c r="A1902" s="49"/>
      <c r="B1902" s="16" t="s">
        <v>1573</v>
      </c>
      <c r="C1902" s="143">
        <f>VLOOKUP(B1902,'Thống kê'!$C$3:$D$970,2,0)</f>
        <v>0</v>
      </c>
      <c r="D1902" s="166">
        <f>VLOOKUP(B1902,'Thống kê'!$C$3:$M$970,4,0)</f>
        <v>0</v>
      </c>
      <c r="E1902" s="167">
        <v>1</v>
      </c>
      <c r="F1902" s="168">
        <f t="shared" si="8"/>
        <v>0</v>
      </c>
      <c r="G1902" s="75"/>
      <c r="H1902" s="403">
        <v>25836</v>
      </c>
    </row>
    <row r="1903" spans="1:8" ht="13.2">
      <c r="A1903" s="49"/>
      <c r="B1903" s="16" t="s">
        <v>1834</v>
      </c>
      <c r="C1903" s="143" t="str">
        <f>VLOOKUP(B1903,'Thống kê'!$C$3:$D$970,2,0)</f>
        <v>Túi Đựng Mắt Kính Da Pu</v>
      </c>
      <c r="D1903" s="166">
        <f>VLOOKUP(B1903,'Thống kê'!$C$3:$M$970,4,0)</f>
        <v>0</v>
      </c>
      <c r="E1903" s="167">
        <v>1</v>
      </c>
      <c r="F1903" s="168">
        <f t="shared" si="8"/>
        <v>0</v>
      </c>
      <c r="G1903" s="75"/>
      <c r="H1903" s="373"/>
    </row>
    <row r="1904" spans="1:8" ht="13.2">
      <c r="A1904" s="49"/>
      <c r="B1904" s="16" t="s">
        <v>85</v>
      </c>
      <c r="C1904" s="143">
        <f>VLOOKUP(B1904,'Thống kê'!$C$3:$D$970,2,0)</f>
        <v>0</v>
      </c>
      <c r="D1904" s="166">
        <f>VLOOKUP(B1904,'Thống kê'!$C$3:$M$970,4,0)</f>
        <v>0</v>
      </c>
      <c r="E1904" s="167">
        <v>1</v>
      </c>
      <c r="F1904" s="168">
        <f t="shared" si="8"/>
        <v>0</v>
      </c>
      <c r="G1904" s="75"/>
      <c r="H1904" s="177">
        <v>58960</v>
      </c>
    </row>
    <row r="1905" spans="1:8" ht="13.2">
      <c r="A1905" s="49"/>
      <c r="B1905" s="16" t="s">
        <v>1825</v>
      </c>
      <c r="C1905" s="143" t="str">
        <f>VLOOKUP(B1905,'Thống kê'!$C$3:$D$970,2,0)</f>
        <v>Túi Đựng Mắt Kính Da Pu</v>
      </c>
      <c r="D1905" s="166">
        <f>VLOOKUP(B1905,'Thống kê'!$C$3:$M$970,4,0)</f>
        <v>0</v>
      </c>
      <c r="E1905" s="167">
        <v>1</v>
      </c>
      <c r="F1905" s="168">
        <f t="shared" si="8"/>
        <v>0</v>
      </c>
      <c r="G1905" s="75"/>
      <c r="H1905" s="177">
        <v>19474</v>
      </c>
    </row>
    <row r="1906" spans="1:8" ht="13.2">
      <c r="A1906" s="49"/>
      <c r="B1906" s="16" t="s">
        <v>1384</v>
      </c>
      <c r="C1906" s="143" t="str">
        <f>VLOOKUP(B1906,'Thống kê'!$C$3:$D$970,2,0)</f>
        <v>Móc khoá Crybaby mini Popmart</v>
      </c>
      <c r="D1906" s="166">
        <f>VLOOKUP(B1906,'Thống kê'!$C$3:$M$970,4,0)</f>
        <v>0</v>
      </c>
      <c r="E1906" s="167">
        <v>1</v>
      </c>
      <c r="F1906" s="168">
        <f t="shared" si="8"/>
        <v>0</v>
      </c>
      <c r="G1906" s="75"/>
      <c r="H1906" s="177">
        <v>77715</v>
      </c>
    </row>
    <row r="1907" spans="1:8" ht="13.2">
      <c r="A1907" s="49"/>
      <c r="B1907" s="16" t="s">
        <v>140</v>
      </c>
      <c r="C1907" s="143">
        <f>VLOOKUP(B1907,'Thống kê'!$C$3:$D$970,2,0)</f>
        <v>0</v>
      </c>
      <c r="D1907" s="166">
        <f>VLOOKUP(B1907,'Thống kê'!$C$3:$M$970,4,0)</f>
        <v>0</v>
      </c>
      <c r="E1907" s="167">
        <v>1</v>
      </c>
      <c r="F1907" s="168">
        <f t="shared" si="8"/>
        <v>0</v>
      </c>
      <c r="G1907" s="75"/>
      <c r="H1907" s="178">
        <v>74620</v>
      </c>
    </row>
    <row r="1908" spans="1:8" ht="13.2">
      <c r="A1908" s="49"/>
      <c r="B1908" s="16" t="s">
        <v>127</v>
      </c>
      <c r="C1908" s="143">
        <f>VLOOKUP(B1908,'Thống kê'!$C$3:$D$970,2,0)</f>
        <v>0</v>
      </c>
      <c r="D1908" s="166">
        <f>VLOOKUP(B1908,'Thống kê'!$C$3:$M$970,4,0)</f>
        <v>0</v>
      </c>
      <c r="E1908" s="167">
        <v>1</v>
      </c>
      <c r="F1908" s="168">
        <f t="shared" si="8"/>
        <v>0</v>
      </c>
      <c r="G1908" s="75"/>
      <c r="H1908" s="176">
        <v>68060</v>
      </c>
    </row>
    <row r="1909" spans="1:8" ht="13.2">
      <c r="A1909" s="49"/>
      <c r="B1909" s="16" t="s">
        <v>1524</v>
      </c>
      <c r="C1909" s="143">
        <f>VLOOKUP(B1909,'Thống kê'!$C$3:$D$970,2,0)</f>
        <v>0</v>
      </c>
      <c r="D1909" s="166">
        <f>VLOOKUP(B1909,'Thống kê'!$C$3:$M$970,4,0)</f>
        <v>0</v>
      </c>
      <c r="E1909" s="167">
        <v>1</v>
      </c>
      <c r="F1909" s="168">
        <f t="shared" si="8"/>
        <v>0</v>
      </c>
      <c r="G1909" s="75"/>
      <c r="H1909" s="178">
        <v>49635</v>
      </c>
    </row>
    <row r="1910" spans="1:8" ht="13.2">
      <c r="A1910" s="49"/>
      <c r="B1910" s="16" t="s">
        <v>126</v>
      </c>
      <c r="C1910" s="143">
        <f>VLOOKUP(B1910,'Thống kê'!$C$3:$D$970,2,0)</f>
        <v>0</v>
      </c>
      <c r="D1910" s="166">
        <f>VLOOKUP(B1910,'Thống kê'!$C$3:$M$970,4,0)</f>
        <v>0</v>
      </c>
      <c r="E1910" s="167">
        <v>1</v>
      </c>
      <c r="F1910" s="168">
        <f t="shared" si="8"/>
        <v>0</v>
      </c>
      <c r="G1910" s="75"/>
      <c r="H1910" s="176">
        <v>68060</v>
      </c>
    </row>
    <row r="1911" spans="1:8" ht="13.2">
      <c r="A1911" s="49"/>
      <c r="B1911" s="16" t="s">
        <v>191</v>
      </c>
      <c r="C1911" s="143">
        <f>VLOOKUP(B1911,'Thống kê'!$C$3:$D$970,2,0)</f>
        <v>0</v>
      </c>
      <c r="D1911" s="166">
        <f>VLOOKUP(B1911,'Thống kê'!$C$3:$M$970,4,0)</f>
        <v>0</v>
      </c>
      <c r="E1911" s="167">
        <v>1</v>
      </c>
      <c r="F1911" s="168">
        <f t="shared" si="8"/>
        <v>0</v>
      </c>
      <c r="G1911" s="75"/>
      <c r="H1911" s="177">
        <v>67425</v>
      </c>
    </row>
    <row r="1912" spans="1:8" ht="13.2">
      <c r="A1912" s="49"/>
      <c r="B1912" s="16" t="s">
        <v>77</v>
      </c>
      <c r="C1912" s="143">
        <f>VLOOKUP(B1912,'Thống kê'!$C$3:$D$970,2,0)</f>
        <v>0</v>
      </c>
      <c r="D1912" s="166">
        <f>VLOOKUP(B1912,'Thống kê'!$C$3:$M$970,4,0)</f>
        <v>0</v>
      </c>
      <c r="E1912" s="167">
        <v>1</v>
      </c>
      <c r="F1912" s="168">
        <f t="shared" si="8"/>
        <v>0</v>
      </c>
      <c r="G1912" s="75"/>
      <c r="H1912" s="403">
        <v>460000</v>
      </c>
    </row>
    <row r="1913" spans="1:8" ht="13.2">
      <c r="A1913" s="49"/>
      <c r="B1913" s="16" t="s">
        <v>180</v>
      </c>
      <c r="C1913" s="143">
        <f>VLOOKUP(B1913,'Thống kê'!$C$3:$D$970,2,0)</f>
        <v>0</v>
      </c>
      <c r="D1913" s="166">
        <f>VLOOKUP(B1913,'Thống kê'!$C$3:$M$970,4,0)</f>
        <v>0</v>
      </c>
      <c r="E1913" s="167">
        <v>1</v>
      </c>
      <c r="F1913" s="168">
        <f t="shared" si="8"/>
        <v>0</v>
      </c>
      <c r="G1913" s="75"/>
      <c r="H1913" s="372"/>
    </row>
    <row r="1914" spans="1:8" ht="13.2">
      <c r="A1914" s="49"/>
      <c r="B1914" s="16" t="s">
        <v>233</v>
      </c>
      <c r="C1914" s="143">
        <f>VLOOKUP(B1914,'Thống kê'!$C$3:$D$970,2,0)</f>
        <v>0</v>
      </c>
      <c r="D1914" s="166">
        <f>VLOOKUP(B1914,'Thống kê'!$C$3:$M$970,4,0)</f>
        <v>0</v>
      </c>
      <c r="E1914" s="167">
        <v>2</v>
      </c>
      <c r="F1914" s="168">
        <f t="shared" si="8"/>
        <v>0</v>
      </c>
      <c r="G1914" s="75"/>
      <c r="H1914" s="372"/>
    </row>
    <row r="1915" spans="1:8" ht="13.2">
      <c r="A1915" s="49"/>
      <c r="B1915" s="16" t="s">
        <v>1516</v>
      </c>
      <c r="C1915" s="143">
        <f>VLOOKUP(B1915,'Thống kê'!$C$3:$D$970,2,0)</f>
        <v>0</v>
      </c>
      <c r="D1915" s="166">
        <f>VLOOKUP(B1915,'Thống kê'!$C$3:$M$970,4,0)</f>
        <v>0</v>
      </c>
      <c r="E1915" s="167">
        <v>1</v>
      </c>
      <c r="F1915" s="168">
        <f t="shared" si="8"/>
        <v>0</v>
      </c>
      <c r="G1915" s="75"/>
      <c r="H1915" s="372"/>
    </row>
    <row r="1916" spans="1:8" ht="13.2">
      <c r="A1916" s="49"/>
      <c r="B1916" s="16" t="s">
        <v>1523</v>
      </c>
      <c r="C1916" s="143">
        <f>VLOOKUP(B1916,'Thống kê'!$C$3:$D$970,2,0)</f>
        <v>0</v>
      </c>
      <c r="D1916" s="166">
        <f>VLOOKUP(B1916,'Thống kê'!$C$3:$M$970,4,0)</f>
        <v>0</v>
      </c>
      <c r="E1916" s="167">
        <v>2</v>
      </c>
      <c r="F1916" s="168">
        <f t="shared" si="8"/>
        <v>0</v>
      </c>
      <c r="G1916" s="75"/>
      <c r="H1916" s="372"/>
    </row>
    <row r="1917" spans="1:8" ht="13.2">
      <c r="A1917" s="49"/>
      <c r="B1917" s="16" t="s">
        <v>140</v>
      </c>
      <c r="C1917" s="143">
        <f>VLOOKUP(B1917,'Thống kê'!$C$3:$D$970,2,0)</f>
        <v>0</v>
      </c>
      <c r="D1917" s="166">
        <f>VLOOKUP(B1917,'Thống kê'!$C$3:$M$970,4,0)</f>
        <v>0</v>
      </c>
      <c r="E1917" s="167">
        <v>1</v>
      </c>
      <c r="F1917" s="168">
        <f t="shared" si="8"/>
        <v>0</v>
      </c>
      <c r="G1917" s="75"/>
      <c r="H1917" s="373"/>
    </row>
    <row r="1918" spans="1:8" ht="13.2">
      <c r="A1918" s="49"/>
      <c r="B1918" s="16" t="s">
        <v>126</v>
      </c>
      <c r="C1918" s="143">
        <f>VLOOKUP(B1918,'Thống kê'!$C$3:$D$970,2,0)</f>
        <v>0</v>
      </c>
      <c r="D1918" s="166">
        <f>VLOOKUP(B1918,'Thống kê'!$C$3:$M$970,4,0)</f>
        <v>0</v>
      </c>
      <c r="E1918" s="167">
        <v>1</v>
      </c>
      <c r="F1918" s="168">
        <f t="shared" si="8"/>
        <v>0</v>
      </c>
      <c r="G1918" s="75"/>
      <c r="H1918" s="402">
        <v>126280</v>
      </c>
    </row>
    <row r="1919" spans="1:8" ht="13.2">
      <c r="A1919" s="64"/>
      <c r="B1919" s="16" t="s">
        <v>279</v>
      </c>
      <c r="C1919" s="143">
        <f>VLOOKUP(B1919,'Thống kê'!$C$3:$D$970,2,0)</f>
        <v>0</v>
      </c>
      <c r="D1919" s="166">
        <f>VLOOKUP(B1919,'Thống kê'!$C$3:$M$970,4,0)</f>
        <v>0</v>
      </c>
      <c r="E1919" s="167">
        <v>1</v>
      </c>
      <c r="F1919" s="168">
        <f t="shared" si="8"/>
        <v>0</v>
      </c>
      <c r="G1919" s="75"/>
      <c r="H1919" s="373"/>
    </row>
    <row r="1920" spans="1:8" ht="13.2">
      <c r="A1920" s="49"/>
      <c r="B1920" s="16" t="s">
        <v>1516</v>
      </c>
      <c r="C1920" s="143">
        <f>VLOOKUP(B1920,'Thống kê'!$C$3:$D$970,2,0)</f>
        <v>0</v>
      </c>
      <c r="D1920" s="166">
        <f>VLOOKUP(B1920,'Thống kê'!$C$3:$M$970,4,0)</f>
        <v>0</v>
      </c>
      <c r="E1920" s="167">
        <v>1</v>
      </c>
      <c r="F1920" s="168">
        <f t="shared" si="8"/>
        <v>0</v>
      </c>
      <c r="G1920" s="75"/>
      <c r="H1920" s="177">
        <v>49620</v>
      </c>
    </row>
    <row r="1921" spans="1:8" ht="13.2">
      <c r="A1921" s="49"/>
      <c r="B1921" s="16" t="s">
        <v>1382</v>
      </c>
      <c r="C1921" s="143" t="str">
        <f>VLOOKUP(B1921,'Thống kê'!$C$3:$D$970,2,0)</f>
        <v>miếng dán silicon điện thoại</v>
      </c>
      <c r="D1921" s="166">
        <f>VLOOKUP(B1921,'Thống kê'!$C$3:$M$970,4,0)</f>
        <v>0</v>
      </c>
      <c r="E1921" s="167">
        <v>2</v>
      </c>
      <c r="F1921" s="168">
        <f t="shared" si="8"/>
        <v>0</v>
      </c>
      <c r="G1921" s="75"/>
      <c r="H1921" s="403">
        <v>57915</v>
      </c>
    </row>
    <row r="1922" spans="1:8" ht="13.2">
      <c r="A1922" s="49"/>
      <c r="B1922" s="16" t="s">
        <v>196</v>
      </c>
      <c r="C1922" s="143">
        <f>VLOOKUP(B1922,'Thống kê'!$C$3:$D$970,2,0)</f>
        <v>0</v>
      </c>
      <c r="D1922" s="166">
        <f>VLOOKUP(B1922,'Thống kê'!$C$3:$M$970,4,0)</f>
        <v>0</v>
      </c>
      <c r="E1922" s="167">
        <v>1</v>
      </c>
      <c r="F1922" s="168">
        <f t="shared" si="8"/>
        <v>0</v>
      </c>
      <c r="G1922" s="75"/>
      <c r="H1922" s="373"/>
    </row>
    <row r="1923" spans="1:8" ht="13.2">
      <c r="A1923" s="49"/>
      <c r="B1923" s="16" t="s">
        <v>1525</v>
      </c>
      <c r="C1923" s="143">
        <f>VLOOKUP(B1923,'Thống kê'!$C$3:$D$970,2,0)</f>
        <v>0</v>
      </c>
      <c r="D1923" s="166">
        <f>VLOOKUP(B1923,'Thống kê'!$C$3:$M$970,4,0)</f>
        <v>0</v>
      </c>
      <c r="E1923" s="167">
        <v>1</v>
      </c>
      <c r="F1923" s="168">
        <f t="shared" si="8"/>
        <v>0</v>
      </c>
      <c r="G1923" s="75"/>
      <c r="H1923" s="178">
        <v>53562</v>
      </c>
    </row>
    <row r="1924" spans="1:8" ht="13.2">
      <c r="A1924" s="49"/>
      <c r="B1924" s="16" t="s">
        <v>325</v>
      </c>
      <c r="C1924" s="143" t="str">
        <f>VLOOKUP(B1924,'Thống kê'!$C$3:$D$970,2,0)</f>
        <v>Gấu ú</v>
      </c>
      <c r="D1924" s="166">
        <f>VLOOKUP(B1924,'Thống kê'!$C$3:$M$970,4,0)</f>
        <v>59500</v>
      </c>
      <c r="E1924" s="167">
        <v>1</v>
      </c>
      <c r="F1924" s="168">
        <f t="shared" si="8"/>
        <v>59500</v>
      </c>
      <c r="G1924" s="75"/>
      <c r="H1924" s="402">
        <v>104140</v>
      </c>
    </row>
    <row r="1925" spans="1:8" ht="13.2">
      <c r="A1925" s="49"/>
      <c r="B1925" s="16" t="s">
        <v>186</v>
      </c>
      <c r="C1925" s="143" t="str">
        <f>VLOOKUP(B1925,'Thống kê'!$C$3:$D$970,2,0)</f>
        <v>Thỏ ú bay</v>
      </c>
      <c r="D1925" s="166">
        <f>VLOOKUP(B1925,'Thống kê'!$C$3:$M$970,4,0)</f>
        <v>64500</v>
      </c>
      <c r="E1925" s="167">
        <v>1</v>
      </c>
      <c r="F1925" s="168">
        <f t="shared" si="8"/>
        <v>64500</v>
      </c>
      <c r="G1925" s="75"/>
      <c r="H1925" s="373"/>
    </row>
    <row r="1926" spans="1:8" ht="13.2">
      <c r="A1926" s="49"/>
      <c r="B1926" s="16" t="s">
        <v>1475</v>
      </c>
      <c r="C1926" s="143">
        <f>VLOOKUP(B1926,'Thống kê'!$C$3:$D$970,2,0)</f>
        <v>0</v>
      </c>
      <c r="D1926" s="166">
        <f>VLOOKUP(B1926,'Thống kê'!$C$3:$M$970,4,0)</f>
        <v>0</v>
      </c>
      <c r="E1926" s="167">
        <v>1</v>
      </c>
      <c r="F1926" s="168">
        <f t="shared" si="8"/>
        <v>0</v>
      </c>
      <c r="G1926" s="75"/>
      <c r="H1926" s="177">
        <v>59040</v>
      </c>
    </row>
    <row r="1927" spans="1:8" ht="13.2">
      <c r="A1927" s="49"/>
      <c r="B1927" s="16" t="s">
        <v>1384</v>
      </c>
      <c r="C1927" s="143" t="str">
        <f>VLOOKUP(B1927,'Thống kê'!$C$3:$D$970,2,0)</f>
        <v>Móc khoá Crybaby mini Popmart</v>
      </c>
      <c r="D1927" s="166">
        <f>VLOOKUP(B1927,'Thống kê'!$C$3:$M$970,4,0)</f>
        <v>0</v>
      </c>
      <c r="E1927" s="167">
        <v>1</v>
      </c>
      <c r="F1927" s="168">
        <f t="shared" si="8"/>
        <v>0</v>
      </c>
      <c r="G1927" s="75"/>
      <c r="H1927" s="177">
        <v>77500</v>
      </c>
    </row>
    <row r="1928" spans="1:8" ht="13.2">
      <c r="A1928" s="49"/>
      <c r="B1928" s="16" t="s">
        <v>119</v>
      </c>
      <c r="C1928" s="143" t="str">
        <f>VLOOKUP(B1928,'Thống kê'!$C$3:$D$970,2,0)</f>
        <v>Thỏ chạy xe gắn xe</v>
      </c>
      <c r="D1928" s="166">
        <f>VLOOKUP(B1928,'Thống kê'!$C$3:$M$970,4,0)</f>
        <v>45000</v>
      </c>
      <c r="E1928" s="167">
        <v>1</v>
      </c>
      <c r="F1928" s="168">
        <f t="shared" si="8"/>
        <v>45000</v>
      </c>
      <c r="G1928" s="75"/>
      <c r="H1928" s="177">
        <v>30380</v>
      </c>
    </row>
    <row r="1929" spans="1:8" ht="13.2">
      <c r="A1929" s="49"/>
      <c r="B1929" s="16" t="s">
        <v>1499</v>
      </c>
      <c r="C1929" s="143">
        <f>VLOOKUP(B1929,'Thống kê'!$C$3:$D$970,2,0)</f>
        <v>0</v>
      </c>
      <c r="D1929" s="166">
        <f>VLOOKUP(B1929,'Thống kê'!$C$3:$M$970,4,0)</f>
        <v>0</v>
      </c>
      <c r="E1929" s="167">
        <v>1</v>
      </c>
      <c r="F1929" s="168">
        <f t="shared" si="8"/>
        <v>0</v>
      </c>
      <c r="G1929" s="75"/>
      <c r="H1929" s="403">
        <v>151890</v>
      </c>
    </row>
    <row r="1930" spans="1:8" ht="13.2">
      <c r="A1930" s="49"/>
      <c r="B1930" s="16" t="s">
        <v>1837</v>
      </c>
      <c r="C1930" s="143" t="str">
        <f>VLOOKUP(B1930,'Thống kê'!$C$3:$D$970,2,0)</f>
        <v>Túi đựng mỹ phẩm cầm tay</v>
      </c>
      <c r="D1930" s="166">
        <f>VLOOKUP(B1930,'Thống kê'!$C$3:$M$970,4,0)</f>
        <v>0</v>
      </c>
      <c r="E1930" s="167">
        <v>1</v>
      </c>
      <c r="F1930" s="168">
        <f t="shared" si="8"/>
        <v>0</v>
      </c>
      <c r="G1930" s="75"/>
      <c r="H1930" s="373"/>
    </row>
    <row r="1931" spans="1:8" ht="13.2">
      <c r="A1931" s="49"/>
      <c r="B1931" s="16" t="s">
        <v>1384</v>
      </c>
      <c r="C1931" s="143" t="str">
        <f>VLOOKUP(B1931,'Thống kê'!$C$3:$D$970,2,0)</f>
        <v>Móc khoá Crybaby mini Popmart</v>
      </c>
      <c r="D1931" s="166">
        <f>VLOOKUP(B1931,'Thống kê'!$C$3:$M$970,4,0)</f>
        <v>0</v>
      </c>
      <c r="E1931" s="167">
        <v>1</v>
      </c>
      <c r="F1931" s="168">
        <f t="shared" si="8"/>
        <v>0</v>
      </c>
      <c r="G1931" s="75"/>
      <c r="H1931" s="177">
        <v>77725</v>
      </c>
    </row>
    <row r="1932" spans="1:8" ht="13.2">
      <c r="A1932" s="49"/>
      <c r="B1932" s="16" t="s">
        <v>192</v>
      </c>
      <c r="C1932" s="143">
        <f>VLOOKUP(B1932,'Thống kê'!$C$3:$D$970,2,0)</f>
        <v>0</v>
      </c>
      <c r="D1932" s="166">
        <f>VLOOKUP(B1932,'Thống kê'!$C$3:$M$970,4,0)</f>
        <v>0</v>
      </c>
      <c r="E1932" s="167">
        <v>3</v>
      </c>
      <c r="F1932" s="168">
        <f t="shared" si="8"/>
        <v>0</v>
      </c>
      <c r="G1932" s="75"/>
      <c r="H1932" s="177">
        <v>181056</v>
      </c>
    </row>
    <row r="1933" spans="1:8" ht="13.2">
      <c r="A1933" s="49"/>
      <c r="B1933" s="16" t="s">
        <v>127</v>
      </c>
      <c r="C1933" s="143">
        <f>VLOOKUP(B1933,'Thống kê'!$C$3:$D$970,2,0)</f>
        <v>0</v>
      </c>
      <c r="D1933" s="166">
        <f>VLOOKUP(B1933,'Thống kê'!$C$3:$M$970,4,0)</f>
        <v>0</v>
      </c>
      <c r="E1933" s="167">
        <v>1</v>
      </c>
      <c r="F1933" s="168">
        <f t="shared" si="8"/>
        <v>0</v>
      </c>
      <c r="G1933" s="75"/>
      <c r="H1933" s="177">
        <v>68060</v>
      </c>
    </row>
    <row r="1934" spans="1:8" ht="13.2">
      <c r="A1934" s="49"/>
      <c r="B1934" s="16" t="s">
        <v>1838</v>
      </c>
      <c r="C1934" s="143" t="str">
        <f>VLOOKUP(B1934,'Thống kê'!$C$3:$D$970,2,0)</f>
        <v>Ống 20 dây cột tóc đen</v>
      </c>
      <c r="D1934" s="166">
        <f>VLOOKUP(B1934,'Thống kê'!$C$3:$M$970,4,0)</f>
        <v>19000</v>
      </c>
      <c r="E1934" s="167">
        <v>1</v>
      </c>
      <c r="F1934" s="168">
        <f t="shared" si="8"/>
        <v>19000</v>
      </c>
      <c r="G1934" s="75"/>
      <c r="H1934" s="403">
        <v>150454</v>
      </c>
    </row>
    <row r="1935" spans="1:8" ht="13.2">
      <c r="A1935" s="49"/>
      <c r="B1935" s="16" t="s">
        <v>1387</v>
      </c>
      <c r="C1935" s="143" t="str">
        <f>VLOOKUP(B1935,'Thống kê'!$C$3:$D$970,2,0)</f>
        <v>Móc khoá Crybaby mini Popmart</v>
      </c>
      <c r="D1935" s="166">
        <f>VLOOKUP(B1935,'Thống kê'!$C$3:$M$970,4,0)</f>
        <v>0</v>
      </c>
      <c r="E1935" s="167">
        <v>1</v>
      </c>
      <c r="F1935" s="168">
        <f t="shared" si="8"/>
        <v>0</v>
      </c>
      <c r="G1935" s="75"/>
      <c r="H1935" s="372"/>
    </row>
    <row r="1936" spans="1:8" ht="13.2">
      <c r="A1936" s="49"/>
      <c r="B1936" s="16" t="s">
        <v>1525</v>
      </c>
      <c r="C1936" s="143">
        <f>VLOOKUP(B1936,'Thống kê'!$C$3:$D$970,2,0)</f>
        <v>0</v>
      </c>
      <c r="D1936" s="166">
        <f>VLOOKUP(B1936,'Thống kê'!$C$3:$M$970,4,0)</f>
        <v>0</v>
      </c>
      <c r="E1936" s="167">
        <v>1</v>
      </c>
      <c r="F1936" s="168">
        <f t="shared" si="8"/>
        <v>0</v>
      </c>
      <c r="G1936" s="75"/>
      <c r="H1936" s="373"/>
    </row>
    <row r="1937" spans="1:8" ht="13.2">
      <c r="A1937" s="49"/>
      <c r="B1937" s="16" t="s">
        <v>126</v>
      </c>
      <c r="C1937" s="143">
        <f>VLOOKUP(B1937,'Thống kê'!$C$3:$D$970,2,0)</f>
        <v>0</v>
      </c>
      <c r="D1937" s="166">
        <f>VLOOKUP(B1937,'Thống kê'!$C$3:$M$970,4,0)</f>
        <v>0</v>
      </c>
      <c r="E1937" s="167">
        <v>1</v>
      </c>
      <c r="F1937" s="168">
        <f t="shared" si="8"/>
        <v>0</v>
      </c>
      <c r="G1937" s="75"/>
      <c r="H1937" s="403">
        <v>236881</v>
      </c>
    </row>
    <row r="1938" spans="1:8" ht="13.2">
      <c r="A1938" s="49"/>
      <c r="B1938" s="16" t="s">
        <v>142</v>
      </c>
      <c r="C1938" s="143">
        <f>VLOOKUP(B1938,'Thống kê'!$C$3:$D$970,2,0)</f>
        <v>0</v>
      </c>
      <c r="D1938" s="166">
        <f>VLOOKUP(B1938,'Thống kê'!$C$3:$M$970,4,0)</f>
        <v>0</v>
      </c>
      <c r="E1938" s="167">
        <v>1</v>
      </c>
      <c r="F1938" s="168">
        <f t="shared" si="8"/>
        <v>0</v>
      </c>
      <c r="G1938" s="75"/>
      <c r="H1938" s="372"/>
    </row>
    <row r="1939" spans="1:8" ht="13.2">
      <c r="A1939" s="49"/>
      <c r="B1939" s="16" t="s">
        <v>127</v>
      </c>
      <c r="C1939" s="143">
        <f>VLOOKUP(B1939,'Thống kê'!$C$3:$D$970,2,0)</f>
        <v>0</v>
      </c>
      <c r="D1939" s="166">
        <f>VLOOKUP(B1939,'Thống kê'!$C$3:$M$970,4,0)</f>
        <v>0</v>
      </c>
      <c r="E1939" s="167">
        <v>1</v>
      </c>
      <c r="F1939" s="168">
        <f t="shared" si="8"/>
        <v>0</v>
      </c>
      <c r="G1939" s="75"/>
      <c r="H1939" s="372"/>
    </row>
    <row r="1940" spans="1:8" ht="13.2">
      <c r="A1940" s="49"/>
      <c r="B1940" s="16" t="s">
        <v>279</v>
      </c>
      <c r="C1940" s="143">
        <f>VLOOKUP(B1940,'Thống kê'!$C$3:$D$970,2,0)</f>
        <v>0</v>
      </c>
      <c r="D1940" s="166">
        <f>VLOOKUP(B1940,'Thống kê'!$C$3:$M$970,4,0)</f>
        <v>0</v>
      </c>
      <c r="E1940" s="167">
        <v>1</v>
      </c>
      <c r="F1940" s="168">
        <f t="shared" si="8"/>
        <v>0</v>
      </c>
      <c r="G1940" s="75"/>
      <c r="H1940" s="373"/>
    </row>
    <row r="1941" spans="1:8" ht="13.2">
      <c r="A1941" s="49"/>
      <c r="B1941" s="16" t="s">
        <v>234</v>
      </c>
      <c r="C1941" s="143" t="str">
        <f>VLOOKUP(B1941,'Thống kê'!$C$3:$D$970,2,0)</f>
        <v>Móc khoá skullpanda phiên bản mini</v>
      </c>
      <c r="D1941" s="166">
        <f>VLOOKUP(B1941,'Thống kê'!$C$3:$M$970,4,0)</f>
        <v>98000</v>
      </c>
      <c r="E1941" s="167">
        <v>2</v>
      </c>
      <c r="F1941" s="168">
        <f t="shared" si="8"/>
        <v>196000</v>
      </c>
      <c r="G1941" s="75"/>
      <c r="H1941" s="177">
        <v>156620</v>
      </c>
    </row>
    <row r="1942" spans="1:8" ht="13.2">
      <c r="A1942" s="49"/>
      <c r="B1942" s="16" t="s">
        <v>150</v>
      </c>
      <c r="C1942" s="143" t="str">
        <f>VLOOKUP(B1942,'Thống kê'!$C$3:$D$970,2,0)</f>
        <v>Móc khóa có chuông</v>
      </c>
      <c r="D1942" s="166">
        <f>VLOOKUP(B1942,'Thống kê'!$C$3:$M$970,4,0)</f>
        <v>59000</v>
      </c>
      <c r="E1942" s="167">
        <v>1</v>
      </c>
      <c r="F1942" s="168">
        <f t="shared" si="8"/>
        <v>59000</v>
      </c>
      <c r="G1942" s="75"/>
      <c r="H1942" s="177">
        <v>60900</v>
      </c>
    </row>
    <row r="1943" spans="1:8" ht="13.2">
      <c r="A1943" s="49"/>
      <c r="B1943" s="16" t="s">
        <v>77</v>
      </c>
      <c r="C1943" s="143">
        <f>VLOOKUP(B1943,'Thống kê'!$C$3:$D$970,2,0)</f>
        <v>0</v>
      </c>
      <c r="D1943" s="166">
        <f>VLOOKUP(B1943,'Thống kê'!$C$3:$M$970,4,0)</f>
        <v>0</v>
      </c>
      <c r="E1943" s="167">
        <v>1</v>
      </c>
      <c r="F1943" s="168">
        <f t="shared" si="8"/>
        <v>0</v>
      </c>
      <c r="G1943" s="75"/>
      <c r="H1943" s="403">
        <v>141860</v>
      </c>
    </row>
    <row r="1944" spans="1:8" ht="13.2">
      <c r="A1944" s="49"/>
      <c r="B1944" s="16" t="s">
        <v>1517</v>
      </c>
      <c r="C1944" s="143">
        <f>VLOOKUP(B1944,'Thống kê'!$C$3:$D$970,2,0)</f>
        <v>0</v>
      </c>
      <c r="D1944" s="166">
        <f>VLOOKUP(B1944,'Thống kê'!$C$3:$M$970,4,0)</f>
        <v>0</v>
      </c>
      <c r="E1944" s="167">
        <v>1</v>
      </c>
      <c r="F1944" s="168">
        <f t="shared" si="8"/>
        <v>0</v>
      </c>
      <c r="G1944" s="75"/>
      <c r="H1944" s="372"/>
    </row>
    <row r="1945" spans="1:8" ht="13.2">
      <c r="A1945" s="64"/>
      <c r="B1945" s="16" t="s">
        <v>1523</v>
      </c>
      <c r="C1945" s="143">
        <f>VLOOKUP(B1945,'Thống kê'!$C$3:$D$970,2,0)</f>
        <v>0</v>
      </c>
      <c r="D1945" s="166">
        <f>VLOOKUP(B1945,'Thống kê'!$C$3:$M$970,4,0)</f>
        <v>0</v>
      </c>
      <c r="E1945" s="167">
        <v>1</v>
      </c>
      <c r="F1945" s="168">
        <f t="shared" si="8"/>
        <v>0</v>
      </c>
      <c r="G1945" s="75"/>
      <c r="H1945" s="373"/>
    </row>
    <row r="1946" spans="1:8" ht="13.2">
      <c r="A1946" s="49"/>
      <c r="B1946" s="16" t="s">
        <v>126</v>
      </c>
      <c r="C1946" s="143">
        <f>VLOOKUP(B1946,'Thống kê'!$C$3:$D$970,2,0)</f>
        <v>0</v>
      </c>
      <c r="D1946" s="166">
        <f>VLOOKUP(B1946,'Thống kê'!$C$3:$M$970,4,0)</f>
        <v>0</v>
      </c>
      <c r="E1946" s="167">
        <v>1</v>
      </c>
      <c r="F1946" s="168">
        <f t="shared" si="8"/>
        <v>0</v>
      </c>
      <c r="G1946" s="75"/>
      <c r="H1946" s="403">
        <v>450000</v>
      </c>
    </row>
    <row r="1947" spans="1:8" ht="13.2">
      <c r="A1947" s="49"/>
      <c r="B1947" s="16" t="s">
        <v>171</v>
      </c>
      <c r="C1947" s="143">
        <f>VLOOKUP(B1947,'Thống kê'!$C$3:$D$970,2,0)</f>
        <v>0</v>
      </c>
      <c r="D1947" s="166">
        <f>VLOOKUP(B1947,'Thống kê'!$C$3:$M$970,4,0)</f>
        <v>0</v>
      </c>
      <c r="E1947" s="167">
        <v>1</v>
      </c>
      <c r="F1947" s="168">
        <f t="shared" si="8"/>
        <v>0</v>
      </c>
      <c r="G1947" s="75"/>
      <c r="H1947" s="372"/>
    </row>
    <row r="1948" spans="1:8" ht="13.2">
      <c r="A1948" s="49"/>
      <c r="B1948" s="16" t="s">
        <v>142</v>
      </c>
      <c r="C1948" s="143">
        <f>VLOOKUP(B1948,'Thống kê'!$C$3:$D$970,2,0)</f>
        <v>0</v>
      </c>
      <c r="D1948" s="166">
        <f>VLOOKUP(B1948,'Thống kê'!$C$3:$M$970,4,0)</f>
        <v>0</v>
      </c>
      <c r="E1948" s="167">
        <v>1</v>
      </c>
      <c r="F1948" s="168">
        <f t="shared" si="8"/>
        <v>0</v>
      </c>
      <c r="G1948" s="75"/>
      <c r="H1948" s="372"/>
    </row>
    <row r="1949" spans="1:8" ht="13.2">
      <c r="A1949" s="49"/>
      <c r="B1949" s="16" t="s">
        <v>171</v>
      </c>
      <c r="C1949" s="143">
        <f>VLOOKUP(B1949,'Thống kê'!$C$3:$D$970,2,0)</f>
        <v>0</v>
      </c>
      <c r="D1949" s="166">
        <f>VLOOKUP(B1949,'Thống kê'!$C$3:$M$970,4,0)</f>
        <v>0</v>
      </c>
      <c r="E1949" s="167">
        <v>1</v>
      </c>
      <c r="F1949" s="168">
        <f t="shared" si="8"/>
        <v>0</v>
      </c>
      <c r="G1949" s="75"/>
      <c r="H1949" s="372"/>
    </row>
    <row r="1950" spans="1:8" ht="13.2">
      <c r="A1950" s="49"/>
      <c r="B1950" s="16" t="s">
        <v>142</v>
      </c>
      <c r="C1950" s="143">
        <f>VLOOKUP(B1950,'Thống kê'!$C$3:$D$970,2,0)</f>
        <v>0</v>
      </c>
      <c r="D1950" s="166">
        <f>VLOOKUP(B1950,'Thống kê'!$C$3:$M$970,4,0)</f>
        <v>0</v>
      </c>
      <c r="E1950" s="167">
        <v>1</v>
      </c>
      <c r="F1950" s="168">
        <f t="shared" si="8"/>
        <v>0</v>
      </c>
      <c r="G1950" s="75"/>
      <c r="H1950" s="372"/>
    </row>
    <row r="1951" spans="1:8" ht="13.2">
      <c r="A1951" s="49"/>
      <c r="B1951" s="16" t="s">
        <v>85</v>
      </c>
      <c r="C1951" s="143">
        <f>VLOOKUP(B1951,'Thống kê'!$C$3:$D$970,2,0)</f>
        <v>0</v>
      </c>
      <c r="D1951" s="166">
        <f>VLOOKUP(B1951,'Thống kê'!$C$3:$M$970,4,0)</f>
        <v>0</v>
      </c>
      <c r="E1951" s="167">
        <v>1</v>
      </c>
      <c r="F1951" s="168">
        <f t="shared" si="8"/>
        <v>0</v>
      </c>
      <c r="G1951" s="75"/>
      <c r="H1951" s="372"/>
    </row>
    <row r="1952" spans="1:8" ht="13.2">
      <c r="A1952" s="49"/>
      <c r="B1952" s="16" t="s">
        <v>223</v>
      </c>
      <c r="C1952" s="143">
        <f>VLOOKUP(B1952,'Thống kê'!$C$3:$D$970,2,0)</f>
        <v>0</v>
      </c>
      <c r="D1952" s="166">
        <f>VLOOKUP(B1952,'Thống kê'!$C$3:$M$970,4,0)</f>
        <v>0</v>
      </c>
      <c r="E1952" s="167">
        <v>1</v>
      </c>
      <c r="F1952" s="168">
        <f t="shared" si="8"/>
        <v>0</v>
      </c>
      <c r="G1952" s="75"/>
      <c r="H1952" s="403">
        <v>173512</v>
      </c>
    </row>
    <row r="1953" spans="1:8" ht="13.2">
      <c r="A1953" s="49"/>
      <c r="B1953" s="16" t="s">
        <v>1779</v>
      </c>
      <c r="C1953" s="143">
        <f>VLOOKUP(B1953,'Thống kê'!$C$3:$D$970,2,0)</f>
        <v>0</v>
      </c>
      <c r="D1953" s="166">
        <f>VLOOKUP(B1953,'Thống kê'!$C$3:$M$970,4,0)</f>
        <v>0</v>
      </c>
      <c r="E1953" s="167">
        <v>1</v>
      </c>
      <c r="F1953" s="168">
        <f t="shared" si="8"/>
        <v>0</v>
      </c>
      <c r="G1953" s="75"/>
      <c r="H1953" s="373"/>
    </row>
    <row r="1954" spans="1:8" ht="13.2">
      <c r="A1954" s="49"/>
      <c r="B1954" s="16" t="s">
        <v>269</v>
      </c>
      <c r="C1954" s="143" t="str">
        <f>VLOOKUP(B1954,'Thống kê'!$C$3:$D$970,2,0)</f>
        <v>Dao rọc giấy 17</v>
      </c>
      <c r="D1954" s="166">
        <f>VLOOKUP(B1954,'Thống kê'!$C$3:$M$970,4,0)</f>
        <v>12000</v>
      </c>
      <c r="E1954" s="167">
        <v>1</v>
      </c>
      <c r="F1954" s="168">
        <f t="shared" si="8"/>
        <v>12000</v>
      </c>
      <c r="G1954" s="75"/>
      <c r="H1954" s="402">
        <v>27008</v>
      </c>
    </row>
    <row r="1955" spans="1:8" ht="13.2">
      <c r="A1955" s="49"/>
      <c r="B1955" s="16" t="s">
        <v>1597</v>
      </c>
      <c r="C1955" s="143" t="str">
        <f>VLOOKUP(B1955,'Thống kê'!$C$3:$D$970,2,0)</f>
        <v>Dao rọc giấy 12</v>
      </c>
      <c r="D1955" s="166">
        <f>VLOOKUP(B1955,'Thống kê'!$C$3:$M$970,4,0)</f>
        <v>12000</v>
      </c>
      <c r="E1955" s="167">
        <v>1</v>
      </c>
      <c r="F1955" s="168">
        <f t="shared" si="8"/>
        <v>12000</v>
      </c>
      <c r="G1955" s="75"/>
      <c r="H1955" s="372"/>
    </row>
    <row r="1956" spans="1:8" ht="13.2">
      <c r="A1956" s="49"/>
      <c r="B1956" s="16" t="s">
        <v>1598</v>
      </c>
      <c r="C1956" s="143" t="str">
        <f>VLOOKUP(B1956,'Thống kê'!$C$3:$D$970,2,0)</f>
        <v>Dao rọc giấy 13</v>
      </c>
      <c r="D1956" s="166">
        <f>VLOOKUP(B1956,'Thống kê'!$C$3:$M$970,4,0)</f>
        <v>12000</v>
      </c>
      <c r="E1956" s="167">
        <v>1</v>
      </c>
      <c r="F1956" s="168">
        <f t="shared" si="8"/>
        <v>12000</v>
      </c>
      <c r="G1956" s="75"/>
      <c r="H1956" s="373"/>
    </row>
    <row r="1957" spans="1:8" ht="13.2">
      <c r="A1957" s="49"/>
      <c r="B1957" s="16" t="s">
        <v>133</v>
      </c>
      <c r="C1957" s="143">
        <f>VLOOKUP(B1957,'Thống kê'!$C$3:$D$970,2,0)</f>
        <v>0</v>
      </c>
      <c r="D1957" s="166">
        <f>VLOOKUP(B1957,'Thống kê'!$C$3:$M$970,4,0)</f>
        <v>0</v>
      </c>
      <c r="E1957" s="167">
        <v>1</v>
      </c>
      <c r="F1957" s="168">
        <f t="shared" si="8"/>
        <v>0</v>
      </c>
      <c r="G1957" s="75"/>
      <c r="H1957" s="403">
        <v>109880</v>
      </c>
    </row>
    <row r="1958" spans="1:8" ht="13.2">
      <c r="A1958" s="49"/>
      <c r="B1958" s="16" t="s">
        <v>1517</v>
      </c>
      <c r="C1958" s="143">
        <f>VLOOKUP(B1958,'Thống kê'!$C$3:$D$970,2,0)</f>
        <v>0</v>
      </c>
      <c r="D1958" s="166">
        <f>VLOOKUP(B1958,'Thống kê'!$C$3:$M$970,4,0)</f>
        <v>0</v>
      </c>
      <c r="E1958" s="167">
        <v>1</v>
      </c>
      <c r="F1958" s="168">
        <f t="shared" si="8"/>
        <v>0</v>
      </c>
      <c r="G1958" s="75"/>
      <c r="H1958" s="373"/>
    </row>
    <row r="1959" spans="1:8" ht="13.2">
      <c r="A1959" s="49"/>
      <c r="B1959" s="16" t="s">
        <v>279</v>
      </c>
      <c r="C1959" s="143">
        <f>VLOOKUP(B1959,'Thống kê'!$C$3:$D$970,2,0)</f>
        <v>0</v>
      </c>
      <c r="D1959" s="166">
        <f>VLOOKUP(B1959,'Thống kê'!$C$3:$M$970,4,0)</f>
        <v>0</v>
      </c>
      <c r="E1959" s="167">
        <v>1</v>
      </c>
      <c r="F1959" s="168">
        <f t="shared" si="8"/>
        <v>0</v>
      </c>
      <c r="G1959" s="75"/>
      <c r="H1959" s="177">
        <v>59860</v>
      </c>
    </row>
    <row r="1960" spans="1:8" ht="13.2">
      <c r="A1960" s="49"/>
      <c r="B1960" s="16" t="s">
        <v>196</v>
      </c>
      <c r="C1960" s="143">
        <f>VLOOKUP(B1960,'Thống kê'!$C$3:$D$970,2,0)</f>
        <v>0</v>
      </c>
      <c r="D1960" s="166">
        <f>VLOOKUP(B1960,'Thống kê'!$C$3:$M$970,4,0)</f>
        <v>0</v>
      </c>
      <c r="E1960" s="167">
        <v>1</v>
      </c>
      <c r="F1960" s="168">
        <f t="shared" si="8"/>
        <v>0</v>
      </c>
      <c r="G1960" s="75"/>
      <c r="H1960" s="178">
        <v>73062</v>
      </c>
    </row>
    <row r="1961" spans="1:8" ht="13.2">
      <c r="A1961" s="49"/>
      <c r="B1961" s="16" t="s">
        <v>142</v>
      </c>
      <c r="C1961" s="143">
        <f>VLOOKUP(B1961,'Thống kê'!$C$3:$D$970,2,0)</f>
        <v>0</v>
      </c>
      <c r="D1961" s="166">
        <f>VLOOKUP(B1961,'Thống kê'!$C$3:$M$970,4,0)</f>
        <v>0</v>
      </c>
      <c r="E1961" s="167">
        <v>1</v>
      </c>
      <c r="F1961" s="168">
        <f t="shared" si="8"/>
        <v>0</v>
      </c>
      <c r="G1961" s="75"/>
      <c r="H1961" s="402">
        <v>126280</v>
      </c>
    </row>
    <row r="1962" spans="1:8" ht="13.2">
      <c r="A1962" s="49"/>
      <c r="B1962" s="16" t="s">
        <v>127</v>
      </c>
      <c r="C1962" s="143">
        <f>VLOOKUP(B1962,'Thống kê'!$C$3:$D$970,2,0)</f>
        <v>0</v>
      </c>
      <c r="D1962" s="166">
        <f>VLOOKUP(B1962,'Thống kê'!$C$3:$M$970,4,0)</f>
        <v>0</v>
      </c>
      <c r="E1962" s="167">
        <v>1</v>
      </c>
      <c r="F1962" s="168">
        <f t="shared" si="8"/>
        <v>0</v>
      </c>
      <c r="G1962" s="75"/>
      <c r="H1962" s="373"/>
    </row>
    <row r="1963" spans="1:8" ht="13.2">
      <c r="A1963" s="49"/>
      <c r="B1963" s="16" t="s">
        <v>171</v>
      </c>
      <c r="C1963" s="143">
        <f>VLOOKUP(B1963,'Thống kê'!$C$3:$D$970,2,0)</f>
        <v>0</v>
      </c>
      <c r="D1963" s="166">
        <f>VLOOKUP(B1963,'Thống kê'!$C$3:$M$970,4,0)</f>
        <v>0</v>
      </c>
      <c r="E1963" s="167">
        <v>1</v>
      </c>
      <c r="F1963" s="168">
        <f t="shared" si="8"/>
        <v>0</v>
      </c>
      <c r="G1963" s="75"/>
      <c r="H1963" s="403">
        <v>141040</v>
      </c>
    </row>
    <row r="1964" spans="1:8" ht="13.2">
      <c r="A1964" s="49"/>
      <c r="B1964" s="16" t="s">
        <v>96</v>
      </c>
      <c r="C1964" s="143">
        <f>VLOOKUP(B1964,'Thống kê'!$C$3:$D$970,2,0)</f>
        <v>0</v>
      </c>
      <c r="D1964" s="166">
        <f>VLOOKUP(B1964,'Thống kê'!$C$3:$M$970,4,0)</f>
        <v>0</v>
      </c>
      <c r="E1964" s="167">
        <v>1</v>
      </c>
      <c r="F1964" s="168">
        <f t="shared" si="8"/>
        <v>0</v>
      </c>
      <c r="G1964" s="75"/>
      <c r="H1964" s="373"/>
    </row>
    <row r="1965" spans="1:8" ht="13.2">
      <c r="A1965" s="49"/>
      <c r="B1965" s="16" t="s">
        <v>1382</v>
      </c>
      <c r="C1965" s="143" t="str">
        <f>VLOOKUP(B1965,'Thống kê'!$C$3:$D$970,2,0)</f>
        <v>miếng dán silicon điện thoại</v>
      </c>
      <c r="D1965" s="166">
        <f>VLOOKUP(B1965,'Thống kê'!$C$3:$M$970,4,0)</f>
        <v>0</v>
      </c>
      <c r="E1965" s="167">
        <v>1</v>
      </c>
      <c r="F1965" s="168">
        <f t="shared" si="8"/>
        <v>0</v>
      </c>
      <c r="G1965" s="75"/>
      <c r="H1965" s="403">
        <v>92562</v>
      </c>
    </row>
    <row r="1966" spans="1:8" ht="13.2">
      <c r="A1966" s="49"/>
      <c r="B1966" s="16" t="s">
        <v>1516</v>
      </c>
      <c r="C1966" s="143">
        <f>VLOOKUP(B1966,'Thống kê'!$C$3:$D$970,2,0)</f>
        <v>0</v>
      </c>
      <c r="D1966" s="166">
        <f>VLOOKUP(B1966,'Thống kê'!$C$3:$M$970,4,0)</f>
        <v>0</v>
      </c>
      <c r="E1966" s="167">
        <v>1</v>
      </c>
      <c r="F1966" s="168">
        <f t="shared" si="8"/>
        <v>0</v>
      </c>
      <c r="G1966" s="75"/>
      <c r="H1966" s="373"/>
    </row>
    <row r="1967" spans="1:8" ht="13.2">
      <c r="A1967" s="49"/>
      <c r="B1967" s="16" t="s">
        <v>1384</v>
      </c>
      <c r="C1967" s="143" t="str">
        <f>VLOOKUP(B1967,'Thống kê'!$C$3:$D$970,2,0)</f>
        <v>Móc khoá Crybaby mini Popmart</v>
      </c>
      <c r="D1967" s="166">
        <f>VLOOKUP(B1967,'Thống kê'!$C$3:$M$970,4,0)</f>
        <v>0</v>
      </c>
      <c r="E1967" s="167">
        <v>1</v>
      </c>
      <c r="F1967" s="168">
        <f t="shared" si="8"/>
        <v>0</v>
      </c>
      <c r="G1967" s="75"/>
      <c r="H1967" s="177">
        <v>77500</v>
      </c>
    </row>
    <row r="1968" spans="1:8" ht="13.2">
      <c r="A1968" s="49"/>
      <c r="B1968" s="16" t="s">
        <v>176</v>
      </c>
      <c r="C1968" s="143">
        <f>VLOOKUP(B1968,'Thống kê'!$C$3:$D$970,2,0)</f>
        <v>0</v>
      </c>
      <c r="D1968" s="166">
        <f>VLOOKUP(B1968,'Thống kê'!$C$3:$M$970,4,0)</f>
        <v>0</v>
      </c>
      <c r="E1968" s="167">
        <v>1</v>
      </c>
      <c r="F1968" s="168">
        <f t="shared" si="8"/>
        <v>0</v>
      </c>
      <c r="G1968" s="75"/>
      <c r="H1968" s="403">
        <v>87534</v>
      </c>
    </row>
    <row r="1969" spans="1:8" ht="13.2">
      <c r="A1969" s="49"/>
      <c r="B1969" s="16" t="s">
        <v>1817</v>
      </c>
      <c r="C1969" s="143" t="str">
        <f>VLOOKUP(B1969,'Thống kê'!$C$3:$D$970,2,0)</f>
        <v>Túi Đựng Mắt Kính Da Pu</v>
      </c>
      <c r="D1969" s="166">
        <f>VLOOKUP(B1969,'Thống kê'!$C$3:$M$970,4,0)</f>
        <v>0</v>
      </c>
      <c r="E1969" s="167">
        <v>1</v>
      </c>
      <c r="F1969" s="168">
        <f t="shared" si="8"/>
        <v>0</v>
      </c>
      <c r="G1969" s="75"/>
      <c r="H1969" s="372"/>
    </row>
    <row r="1970" spans="1:8" ht="13.2">
      <c r="A1970" s="49"/>
      <c r="B1970" s="16" t="s">
        <v>133</v>
      </c>
      <c r="C1970" s="143">
        <f>VLOOKUP(B1970,'Thống kê'!$C$3:$D$970,2,0)</f>
        <v>0</v>
      </c>
      <c r="D1970" s="166">
        <f>VLOOKUP(B1970,'Thống kê'!$C$3:$M$970,4,0)</f>
        <v>0</v>
      </c>
      <c r="E1970" s="167">
        <v>1</v>
      </c>
      <c r="F1970" s="168">
        <f t="shared" si="8"/>
        <v>0</v>
      </c>
      <c r="G1970" s="75"/>
      <c r="H1970" s="402">
        <v>108240</v>
      </c>
    </row>
    <row r="1971" spans="1:8" ht="13.2">
      <c r="A1971" s="49"/>
      <c r="B1971" s="16" t="s">
        <v>140</v>
      </c>
      <c r="C1971" s="143">
        <f>VLOOKUP(B1971,'Thống kê'!$C$3:$D$970,2,0)</f>
        <v>0</v>
      </c>
      <c r="D1971" s="166">
        <f>VLOOKUP(B1971,'Thống kê'!$C$3:$M$970,4,0)</f>
        <v>0</v>
      </c>
      <c r="E1971" s="167">
        <v>1</v>
      </c>
      <c r="F1971" s="168">
        <f t="shared" si="8"/>
        <v>0</v>
      </c>
      <c r="G1971" s="75"/>
      <c r="H1971" s="373"/>
    </row>
    <row r="1972" spans="1:8" ht="13.2">
      <c r="A1972" s="49"/>
      <c r="B1972" s="16" t="s">
        <v>279</v>
      </c>
      <c r="C1972" s="143">
        <f>VLOOKUP(B1972,'Thống kê'!$C$3:$D$970,2,0)</f>
        <v>0</v>
      </c>
      <c r="D1972" s="166">
        <f>VLOOKUP(B1972,'Thống kê'!$C$3:$M$970,4,0)</f>
        <v>0</v>
      </c>
      <c r="E1972" s="167">
        <v>1</v>
      </c>
      <c r="F1972" s="168">
        <f t="shared" si="8"/>
        <v>0</v>
      </c>
      <c r="G1972" s="75"/>
      <c r="H1972" s="177">
        <v>59860</v>
      </c>
    </row>
    <row r="1973" spans="1:8" ht="13.2">
      <c r="A1973" s="49"/>
      <c r="B1973" s="16" t="s">
        <v>126</v>
      </c>
      <c r="C1973" s="143">
        <f>VLOOKUP(B1973,'Thống kê'!$C$3:$D$970,2,0)</f>
        <v>0</v>
      </c>
      <c r="D1973" s="166">
        <f>VLOOKUP(B1973,'Thống kê'!$C$3:$M$970,4,0)</f>
        <v>0</v>
      </c>
      <c r="E1973" s="167">
        <v>1</v>
      </c>
      <c r="F1973" s="168">
        <f t="shared" si="8"/>
        <v>0</v>
      </c>
      <c r="G1973" s="75"/>
      <c r="H1973" s="177">
        <v>67660</v>
      </c>
    </row>
    <row r="1974" spans="1:8" ht="13.2">
      <c r="A1974" s="64"/>
      <c r="B1974" s="16" t="s">
        <v>85</v>
      </c>
      <c r="C1974" s="143">
        <f>VLOOKUP(B1974,'Thống kê'!$C$3:$D$970,2,0)</f>
        <v>0</v>
      </c>
      <c r="D1974" s="166">
        <f>VLOOKUP(B1974,'Thống kê'!$C$3:$M$970,4,0)</f>
        <v>0</v>
      </c>
      <c r="E1974" s="167">
        <v>1</v>
      </c>
      <c r="F1974" s="168">
        <f t="shared" si="8"/>
        <v>0</v>
      </c>
      <c r="G1974" s="75"/>
      <c r="H1974" s="178">
        <v>59860</v>
      </c>
    </row>
    <row r="1975" spans="1:8" ht="13.2">
      <c r="A1975" s="49"/>
      <c r="B1975" s="16" t="s">
        <v>150</v>
      </c>
      <c r="C1975" s="143" t="str">
        <f>VLOOKUP(B1975,'Thống kê'!$C$3:$D$970,2,0)</f>
        <v>Móc khóa có chuông</v>
      </c>
      <c r="D1975" s="166">
        <f>VLOOKUP(B1975,'Thống kê'!$C$3:$M$970,4,0)</f>
        <v>59000</v>
      </c>
      <c r="E1975" s="167">
        <v>1</v>
      </c>
      <c r="F1975" s="168">
        <f t="shared" si="8"/>
        <v>59000</v>
      </c>
      <c r="G1975" s="75"/>
      <c r="H1975" s="402">
        <v>150000</v>
      </c>
    </row>
    <row r="1976" spans="1:8" ht="13.2">
      <c r="A1976" s="49"/>
      <c r="B1976" s="16" t="s">
        <v>1382</v>
      </c>
      <c r="C1976" s="143" t="str">
        <f>VLOOKUP(B1976,'Thống kê'!$C$3:$D$970,2,0)</f>
        <v>miếng dán silicon điện thoại</v>
      </c>
      <c r="D1976" s="166">
        <f>VLOOKUP(B1976,'Thống kê'!$C$3:$M$970,4,0)</f>
        <v>0</v>
      </c>
      <c r="E1976" s="167">
        <v>3</v>
      </c>
      <c r="F1976" s="168">
        <f t="shared" si="8"/>
        <v>0</v>
      </c>
      <c r="G1976" s="75"/>
      <c r="H1976" s="372"/>
    </row>
    <row r="1977" spans="1:8" ht="13.2">
      <c r="A1977" s="49"/>
      <c r="B1977" s="16" t="s">
        <v>1821</v>
      </c>
      <c r="C1977" s="143" t="e">
        <f>VLOOKUP(B1977,'Thống kê'!$C$3:$D$970,2,0)</f>
        <v>#N/A</v>
      </c>
      <c r="D1977" s="166" t="e">
        <f>VLOOKUP(B1977,'Thống kê'!$C$3:$M$970,4,0)</f>
        <v>#N/A</v>
      </c>
      <c r="E1977" s="167">
        <v>5</v>
      </c>
      <c r="F1977" s="168" t="e">
        <f t="shared" si="8"/>
        <v>#N/A</v>
      </c>
      <c r="G1977" s="75"/>
      <c r="H1977" s="372"/>
    </row>
    <row r="1978" spans="1:8" ht="13.2">
      <c r="A1978" s="49"/>
      <c r="B1978" s="16" t="s">
        <v>208</v>
      </c>
      <c r="C1978" s="143" t="e">
        <f>VLOOKUP(B1978,'Thống kê'!$C$3:$D$970,2,0)</f>
        <v>#N/A</v>
      </c>
      <c r="D1978" s="166" t="e">
        <f>VLOOKUP(B1978,'Thống kê'!$C$3:$M$970,4,0)</f>
        <v>#N/A</v>
      </c>
      <c r="E1978" s="167">
        <v>5</v>
      </c>
      <c r="F1978" s="168" t="e">
        <f t="shared" si="8"/>
        <v>#N/A</v>
      </c>
      <c r="G1978" s="75"/>
      <c r="H1978" s="372"/>
    </row>
    <row r="1979" spans="1:8" ht="13.2">
      <c r="A1979" s="49"/>
      <c r="B1979" s="16" t="s">
        <v>1567</v>
      </c>
      <c r="C1979" s="143">
        <f>VLOOKUP(B1979,'Thống kê'!$C$3:$D$970,2,0)</f>
        <v>0</v>
      </c>
      <c r="D1979" s="166">
        <f>VLOOKUP(B1979,'Thống kê'!$C$3:$M$970,4,0)</f>
        <v>0</v>
      </c>
      <c r="E1979" s="167">
        <v>5</v>
      </c>
      <c r="F1979" s="168">
        <f t="shared" si="8"/>
        <v>0</v>
      </c>
      <c r="G1979" s="75"/>
      <c r="H1979" s="372"/>
    </row>
    <row r="1980" spans="1:8" ht="13.2">
      <c r="A1980" s="49"/>
      <c r="B1980" s="16" t="s">
        <v>210</v>
      </c>
      <c r="C1980" s="143">
        <f>VLOOKUP(B1980,'Thống kê'!$C$3:$D$970,2,0)</f>
        <v>0</v>
      </c>
      <c r="D1980" s="166">
        <f>VLOOKUP(B1980,'Thống kê'!$C$3:$M$970,4,0)</f>
        <v>0</v>
      </c>
      <c r="E1980" s="167">
        <v>5</v>
      </c>
      <c r="F1980" s="168">
        <f t="shared" si="8"/>
        <v>0</v>
      </c>
      <c r="G1980" s="75"/>
      <c r="H1980" s="373"/>
    </row>
    <row r="1981" spans="1:8" ht="13.2">
      <c r="A1981" s="49"/>
      <c r="B1981" s="16" t="s">
        <v>126</v>
      </c>
      <c r="C1981" s="143">
        <f>VLOOKUP(B1981,'Thống kê'!$C$3:$D$970,2,0)</f>
        <v>0</v>
      </c>
      <c r="D1981" s="166">
        <f>VLOOKUP(B1981,'Thống kê'!$C$3:$M$970,4,0)</f>
        <v>0</v>
      </c>
      <c r="E1981" s="167">
        <v>1</v>
      </c>
      <c r="F1981" s="168">
        <f t="shared" si="8"/>
        <v>0</v>
      </c>
      <c r="G1981" s="75"/>
      <c r="H1981" s="403">
        <v>134480</v>
      </c>
    </row>
    <row r="1982" spans="1:8" ht="13.2">
      <c r="A1982" s="64"/>
      <c r="B1982" s="16" t="s">
        <v>96</v>
      </c>
      <c r="C1982" s="143">
        <f>VLOOKUP(B1982,'Thống kê'!$C$3:$D$970,2,0)</f>
        <v>0</v>
      </c>
      <c r="D1982" s="166">
        <f>VLOOKUP(B1982,'Thống kê'!$C$3:$M$970,4,0)</f>
        <v>0</v>
      </c>
      <c r="E1982" s="167">
        <v>1</v>
      </c>
      <c r="F1982" s="168">
        <f t="shared" si="8"/>
        <v>0</v>
      </c>
      <c r="G1982" s="75"/>
      <c r="H1982" s="373"/>
    </row>
    <row r="1983" spans="1:8" ht="13.2">
      <c r="A1983" s="49"/>
      <c r="B1983" s="16" t="s">
        <v>1389</v>
      </c>
      <c r="C1983" s="143" t="str">
        <f>VLOOKUP(B1983,'Thống kê'!$C$3:$D$970,2,0)</f>
        <v>Móc khoá Crybaby mini Popmart</v>
      </c>
      <c r="D1983" s="166">
        <f>VLOOKUP(B1983,'Thống kê'!$C$3:$M$970,4,0)</f>
        <v>0</v>
      </c>
      <c r="E1983" s="167">
        <v>1</v>
      </c>
      <c r="F1983" s="168">
        <f t="shared" si="8"/>
        <v>0</v>
      </c>
      <c r="G1983" s="75"/>
      <c r="H1983" s="177">
        <v>77500</v>
      </c>
    </row>
    <row r="1984" spans="1:8" ht="13.2">
      <c r="A1984" s="49"/>
      <c r="B1984" s="16" t="s">
        <v>191</v>
      </c>
      <c r="C1984" s="143">
        <f>VLOOKUP(B1984,'Thống kê'!$C$3:$D$970,2,0)</f>
        <v>0</v>
      </c>
      <c r="D1984" s="166">
        <f>VLOOKUP(B1984,'Thống kê'!$C$3:$M$970,4,0)</f>
        <v>0</v>
      </c>
      <c r="E1984" s="167">
        <v>1</v>
      </c>
      <c r="F1984" s="168">
        <f t="shared" si="8"/>
        <v>0</v>
      </c>
      <c r="G1984" s="75"/>
      <c r="H1984" s="177">
        <v>68060</v>
      </c>
    </row>
    <row r="1985" spans="1:8" ht="13.2">
      <c r="A1985" s="49"/>
      <c r="B1985" s="16" t="s">
        <v>1839</v>
      </c>
      <c r="C1985" s="143" t="str">
        <f>VLOOKUP(B1985,'Thống kê'!$C$3:$D$970,2,0)</f>
        <v>Thiệp</v>
      </c>
      <c r="D1985" s="166">
        <f>VLOOKUP(B1985,'Thống kê'!$C$3:$M$970,4,0)</f>
        <v>0</v>
      </c>
      <c r="E1985" s="167">
        <v>1</v>
      </c>
      <c r="F1985" s="168">
        <f t="shared" si="8"/>
        <v>0</v>
      </c>
      <c r="G1985" s="75"/>
      <c r="H1985" s="403">
        <v>205702</v>
      </c>
    </row>
    <row r="1986" spans="1:8" ht="13.2">
      <c r="A1986" s="49"/>
      <c r="B1986" s="16" t="s">
        <v>1603</v>
      </c>
      <c r="C1986" s="143" t="str">
        <f>VLOOKUP(B1986,'Thống kê'!$C$3:$D$970,2,0)</f>
        <v>Thước dây hồng phấn</v>
      </c>
      <c r="D1986" s="166">
        <f>VLOOKUP(B1986,'Thống kê'!$C$3:$M$970,4,0)</f>
        <v>9000</v>
      </c>
      <c r="E1986" s="167">
        <v>1</v>
      </c>
      <c r="F1986" s="168">
        <f t="shared" si="8"/>
        <v>9000</v>
      </c>
      <c r="G1986" s="75"/>
      <c r="H1986" s="372"/>
    </row>
    <row r="1987" spans="1:8" ht="13.2">
      <c r="A1987" s="49"/>
      <c r="B1987" s="16" t="s">
        <v>168</v>
      </c>
      <c r="C1987" s="143" t="str">
        <f>VLOOKUP(B1987,'Thống kê'!$C$3:$D$970,2,0)</f>
        <v>Thiệp</v>
      </c>
      <c r="D1987" s="166">
        <f>VLOOKUP(B1987,'Thống kê'!$C$3:$M$970,4,0)</f>
        <v>0</v>
      </c>
      <c r="E1987" s="167">
        <v>1</v>
      </c>
      <c r="F1987" s="168">
        <f t="shared" si="8"/>
        <v>0</v>
      </c>
      <c r="G1987" s="75"/>
      <c r="H1987" s="372"/>
    </row>
    <row r="1988" spans="1:8" ht="13.2">
      <c r="A1988" s="49"/>
      <c r="B1988" s="16" t="s">
        <v>207</v>
      </c>
      <c r="C1988" s="143" t="str">
        <f>VLOOKUP(B1988,'Thống kê'!$C$3:$D$970,2,0)</f>
        <v>Thiệp</v>
      </c>
      <c r="D1988" s="166">
        <f>VLOOKUP(B1988,'Thống kê'!$C$3:$M$970,4,0)</f>
        <v>0</v>
      </c>
      <c r="E1988" s="167">
        <v>1</v>
      </c>
      <c r="F1988" s="168">
        <f t="shared" si="8"/>
        <v>0</v>
      </c>
      <c r="G1988" s="75"/>
      <c r="H1988" s="372"/>
    </row>
    <row r="1989" spans="1:8" ht="13.2">
      <c r="A1989" s="49"/>
      <c r="B1989" s="16" t="s">
        <v>230</v>
      </c>
      <c r="C1989" s="143" t="str">
        <f>VLOOKUP(B1989,'Thống kê'!$C$3:$D$970,2,0)</f>
        <v>Móc khoá Crybaby mini Popmart</v>
      </c>
      <c r="D1989" s="166">
        <f>VLOOKUP(B1989,'Thống kê'!$C$3:$M$970,4,0)</f>
        <v>0</v>
      </c>
      <c r="E1989" s="167">
        <v>1</v>
      </c>
      <c r="F1989" s="168">
        <f t="shared" si="8"/>
        <v>0</v>
      </c>
      <c r="G1989" s="75"/>
      <c r="H1989" s="372"/>
    </row>
    <row r="1990" spans="1:8" ht="13.2">
      <c r="A1990" s="49"/>
      <c r="B1990" s="16" t="s">
        <v>1516</v>
      </c>
      <c r="C1990" s="143">
        <f>VLOOKUP(B1990,'Thống kê'!$C$3:$D$970,2,0)</f>
        <v>0</v>
      </c>
      <c r="D1990" s="166">
        <f>VLOOKUP(B1990,'Thống kê'!$C$3:$M$970,4,0)</f>
        <v>0</v>
      </c>
      <c r="E1990" s="167">
        <v>1</v>
      </c>
      <c r="F1990" s="168">
        <f t="shared" si="8"/>
        <v>0</v>
      </c>
      <c r="G1990" s="75"/>
      <c r="H1990" s="372"/>
    </row>
    <row r="1991" spans="1:8" ht="13.2">
      <c r="A1991" s="49"/>
      <c r="B1991" s="16" t="s">
        <v>140</v>
      </c>
      <c r="C1991" s="143">
        <f>VLOOKUP(B1991,'Thống kê'!$C$3:$D$970,2,0)</f>
        <v>0</v>
      </c>
      <c r="D1991" s="166">
        <f>VLOOKUP(B1991,'Thống kê'!$C$3:$M$970,4,0)</f>
        <v>0</v>
      </c>
      <c r="E1991" s="167">
        <v>1</v>
      </c>
      <c r="F1991" s="168">
        <f t="shared" si="8"/>
        <v>0</v>
      </c>
      <c r="G1991" s="75"/>
      <c r="H1991" s="372"/>
    </row>
    <row r="1992" spans="1:8" ht="13.2">
      <c r="A1992" s="49"/>
      <c r="B1992" s="16" t="s">
        <v>77</v>
      </c>
      <c r="C1992" s="143">
        <f>VLOOKUP(B1992,'Thống kê'!$C$3:$D$970,2,0)</f>
        <v>0</v>
      </c>
      <c r="D1992" s="166">
        <f>VLOOKUP(B1992,'Thống kê'!$C$3:$M$970,4,0)</f>
        <v>0</v>
      </c>
      <c r="E1992" s="167">
        <v>1</v>
      </c>
      <c r="F1992" s="168">
        <f t="shared" si="8"/>
        <v>0</v>
      </c>
      <c r="G1992" s="75"/>
      <c r="H1992" s="175">
        <v>53562</v>
      </c>
    </row>
    <row r="1993" spans="1:8" ht="13.2">
      <c r="A1993" s="49"/>
      <c r="B1993" s="16" t="s">
        <v>1840</v>
      </c>
      <c r="C1993" s="143" t="str">
        <f>VLOOKUP(B1993,'Thống kê'!$C$3:$D$970,2,0)</f>
        <v>Túi Đựng Mắt Kính Da Pu</v>
      </c>
      <c r="D1993" s="166">
        <f>VLOOKUP(B1993,'Thống kê'!$C$3:$M$970,4,0)</f>
        <v>0</v>
      </c>
      <c r="E1993" s="167">
        <v>1</v>
      </c>
      <c r="F1993" s="168">
        <f t="shared" si="8"/>
        <v>0</v>
      </c>
      <c r="G1993" s="75"/>
      <c r="H1993" s="402">
        <v>35036</v>
      </c>
    </row>
    <row r="1994" spans="1:8" ht="13.2">
      <c r="A1994" s="49"/>
      <c r="B1994" s="16" t="s">
        <v>1573</v>
      </c>
      <c r="C1994" s="143">
        <f>VLOOKUP(B1994,'Thống kê'!$C$3:$D$970,2,0)</f>
        <v>0</v>
      </c>
      <c r="D1994" s="166">
        <f>VLOOKUP(B1994,'Thống kê'!$C$3:$M$970,4,0)</f>
        <v>0</v>
      </c>
      <c r="E1994" s="167">
        <v>1</v>
      </c>
      <c r="F1994" s="168">
        <f t="shared" si="8"/>
        <v>0</v>
      </c>
      <c r="G1994" s="75"/>
      <c r="H1994" s="373"/>
    </row>
    <row r="1995" spans="1:8" ht="13.2">
      <c r="A1995" s="49"/>
      <c r="B1995" s="16" t="s">
        <v>116</v>
      </c>
      <c r="C1995" s="143" t="str">
        <f>VLOOKUP(B1995,'Thống kê'!$C$3:$D$970,2,0)</f>
        <v>heo ú cầm hoa</v>
      </c>
      <c r="D1995" s="166">
        <f>VLOOKUP(B1995,'Thống kê'!$C$3:$M$970,4,0)</f>
        <v>64500</v>
      </c>
      <c r="E1995" s="167">
        <v>1</v>
      </c>
      <c r="F1995" s="168">
        <f t="shared" si="8"/>
        <v>64500</v>
      </c>
      <c r="G1995" s="75"/>
      <c r="H1995" s="403">
        <v>80965</v>
      </c>
    </row>
    <row r="1996" spans="1:8" ht="13.2">
      <c r="A1996" s="49"/>
      <c r="B1996" s="16" t="s">
        <v>1359</v>
      </c>
      <c r="C1996" s="143" t="str">
        <f>VLOOKUP(B1996,'Thống kê'!$C$3:$D$970,2,0)</f>
        <v>Trang trí mô hình Cún</v>
      </c>
      <c r="D1996" s="166">
        <f>VLOOKUP(B1996,'Thống kê'!$C$3:$M$970,4,0)</f>
        <v>39000</v>
      </c>
      <c r="E1996" s="167">
        <v>1</v>
      </c>
      <c r="F1996" s="168">
        <f t="shared" si="8"/>
        <v>39000</v>
      </c>
      <c r="G1996" s="75"/>
      <c r="H1996" s="373"/>
    </row>
    <row r="1997" spans="1:8" ht="13.2">
      <c r="A1997" s="49"/>
      <c r="B1997" s="16" t="s">
        <v>191</v>
      </c>
      <c r="C1997" s="143">
        <f>VLOOKUP(B1997,'Thống kê'!$C$3:$D$970,2,0)</f>
        <v>0</v>
      </c>
      <c r="D1997" s="166">
        <f>VLOOKUP(B1997,'Thống kê'!$C$3:$M$970,4,0)</f>
        <v>0</v>
      </c>
      <c r="E1997" s="167">
        <v>1</v>
      </c>
      <c r="F1997" s="168">
        <f t="shared" si="8"/>
        <v>0</v>
      </c>
      <c r="G1997" s="75"/>
      <c r="H1997" s="177">
        <v>68060</v>
      </c>
    </row>
    <row r="1998" spans="1:8" ht="13.2">
      <c r="A1998" s="49"/>
      <c r="B1998" s="16" t="s">
        <v>1481</v>
      </c>
      <c r="C1998" s="143" t="str">
        <f>VLOOKUP(B1998,'Thống kê'!$C$3:$D$970,2,0)</f>
        <v>Móc khoá Dudu nhiều màu sắc treo túi, đeo điện thoại</v>
      </c>
      <c r="D1998" s="166">
        <f>VLOOKUP(B1998,'Thống kê'!$C$3:$M$970,4,0)</f>
        <v>45000</v>
      </c>
      <c r="E1998" s="167">
        <v>1</v>
      </c>
      <c r="F1998" s="168">
        <f t="shared" si="8"/>
        <v>45000</v>
      </c>
      <c r="G1998" s="75"/>
      <c r="H1998" s="403">
        <v>113358</v>
      </c>
    </row>
    <row r="1999" spans="1:8" ht="13.2">
      <c r="A1999" s="49"/>
      <c r="B1999" s="16" t="s">
        <v>1384</v>
      </c>
      <c r="C1999" s="143" t="str">
        <f>VLOOKUP(B1999,'Thống kê'!$C$3:$D$970,2,0)</f>
        <v>Móc khoá Crybaby mini Popmart</v>
      </c>
      <c r="D1999" s="166">
        <f>VLOOKUP(B1999,'Thống kê'!$C$3:$M$970,4,0)</f>
        <v>0</v>
      </c>
      <c r="E1999" s="167">
        <v>1</v>
      </c>
      <c r="F1999" s="168">
        <f t="shared" si="8"/>
        <v>0</v>
      </c>
      <c r="G1999" s="75"/>
      <c r="H1999" s="373"/>
    </row>
    <row r="2000" spans="1:8" ht="13.2">
      <c r="A2000" s="64"/>
      <c r="B2000" s="16" t="s">
        <v>77</v>
      </c>
      <c r="C2000" s="143">
        <f>VLOOKUP(B2000,'Thống kê'!$C$3:$D$970,2,0)</f>
        <v>0</v>
      </c>
      <c r="D2000" s="166">
        <f>VLOOKUP(B2000,'Thống kê'!$C$3:$M$970,4,0)</f>
        <v>0</v>
      </c>
      <c r="E2000" s="167">
        <v>1</v>
      </c>
      <c r="F2000" s="168">
        <f t="shared" si="8"/>
        <v>0</v>
      </c>
      <c r="G2000" s="75"/>
      <c r="H2000" s="177">
        <v>53562</v>
      </c>
    </row>
    <row r="2001" spans="1:8" ht="13.2">
      <c r="A2001" s="49"/>
      <c r="B2001" s="16" t="s">
        <v>161</v>
      </c>
      <c r="C2001" s="143" t="str">
        <f>VLOOKUP(B2001,'Thống kê'!$C$3:$D$970,2,0)</f>
        <v>Dao rọc giấy 07</v>
      </c>
      <c r="D2001" s="166">
        <f>VLOOKUP(B2001,'Thống kê'!$C$3:$M$970,4,0)</f>
        <v>12000</v>
      </c>
      <c r="E2001" s="167">
        <v>1</v>
      </c>
      <c r="F2001" s="168">
        <f t="shared" si="8"/>
        <v>12000</v>
      </c>
      <c r="G2001" s="75"/>
      <c r="H2001" s="403">
        <v>88032</v>
      </c>
    </row>
    <row r="2002" spans="1:8" ht="13.2">
      <c r="A2002" s="49"/>
      <c r="B2002" s="16" t="s">
        <v>278</v>
      </c>
      <c r="C2002" s="143" t="str">
        <f>VLOOKUP(B2002,'Thống kê'!$C$3:$D$970,2,0)</f>
        <v>Dao rọc giấy 09</v>
      </c>
      <c r="D2002" s="166">
        <f>VLOOKUP(B2002,'Thống kê'!$C$3:$M$970,4,0)</f>
        <v>12000</v>
      </c>
      <c r="E2002" s="167">
        <v>1</v>
      </c>
      <c r="F2002" s="168">
        <f t="shared" si="8"/>
        <v>12000</v>
      </c>
      <c r="G2002" s="75"/>
      <c r="H2002" s="372"/>
    </row>
    <row r="2003" spans="1:8" ht="13.2">
      <c r="A2003" s="49"/>
      <c r="B2003" s="16" t="s">
        <v>126</v>
      </c>
      <c r="C2003" s="143">
        <f>VLOOKUP(B2003,'Thống kê'!$C$3:$D$970,2,0)</f>
        <v>0</v>
      </c>
      <c r="D2003" s="166">
        <f>VLOOKUP(B2003,'Thống kê'!$C$3:$M$970,4,0)</f>
        <v>0</v>
      </c>
      <c r="E2003" s="167">
        <v>1</v>
      </c>
      <c r="F2003" s="168">
        <f t="shared" si="8"/>
        <v>0</v>
      </c>
      <c r="G2003" s="75"/>
      <c r="H2003" s="372"/>
    </row>
    <row r="2004" spans="1:8" ht="13.2">
      <c r="A2004" s="49"/>
      <c r="B2004" s="16" t="s">
        <v>1821</v>
      </c>
      <c r="C2004" s="143" t="e">
        <f>VLOOKUP(B2004,'Thống kê'!$C$3:$D$970,2,0)</f>
        <v>#N/A</v>
      </c>
      <c r="D2004" s="166" t="e">
        <f>VLOOKUP(B2004,'Thống kê'!$C$3:$M$970,4,0)</f>
        <v>#N/A</v>
      </c>
      <c r="E2004" s="167">
        <v>1</v>
      </c>
      <c r="F2004" s="168" t="e">
        <f t="shared" si="8"/>
        <v>#N/A</v>
      </c>
      <c r="G2004" s="75"/>
      <c r="H2004" s="373"/>
    </row>
    <row r="2005" spans="1:8" ht="13.2">
      <c r="A2005" s="49"/>
      <c r="B2005" s="16" t="s">
        <v>127</v>
      </c>
      <c r="C2005" s="143">
        <f>VLOOKUP(B2005,'Thống kê'!$C$3:$D$970,2,0)</f>
        <v>0</v>
      </c>
      <c r="D2005" s="166">
        <f>VLOOKUP(B2005,'Thống kê'!$C$3:$M$970,4,0)</f>
        <v>0</v>
      </c>
      <c r="E2005" s="167">
        <v>1</v>
      </c>
      <c r="F2005" s="168">
        <f t="shared" si="8"/>
        <v>0</v>
      </c>
      <c r="G2005" s="75"/>
      <c r="H2005" s="177">
        <v>67985</v>
      </c>
    </row>
    <row r="2006" spans="1:8" ht="13.2">
      <c r="A2006" s="49"/>
      <c r="B2006" s="16" t="s">
        <v>1387</v>
      </c>
      <c r="C2006" s="143" t="str">
        <f>VLOOKUP(B2006,'Thống kê'!$C$3:$D$970,2,0)</f>
        <v>Móc khoá Crybaby mini Popmart</v>
      </c>
      <c r="D2006" s="166">
        <f>VLOOKUP(B2006,'Thống kê'!$C$3:$M$970,4,0)</f>
        <v>0</v>
      </c>
      <c r="E2006" s="167">
        <v>1</v>
      </c>
      <c r="F2006" s="168">
        <f t="shared" si="8"/>
        <v>0</v>
      </c>
      <c r="G2006" s="75"/>
      <c r="H2006" s="177">
        <v>76775</v>
      </c>
    </row>
    <row r="2007" spans="1:8" ht="13.2">
      <c r="A2007" s="49"/>
      <c r="B2007" s="16" t="s">
        <v>196</v>
      </c>
      <c r="C2007" s="143">
        <f>VLOOKUP(B2007,'Thống kê'!$C$3:$D$970,2,0)</f>
        <v>0</v>
      </c>
      <c r="D2007" s="166">
        <f>VLOOKUP(B2007,'Thống kê'!$C$3:$M$970,4,0)</f>
        <v>0</v>
      </c>
      <c r="E2007" s="167">
        <v>1</v>
      </c>
      <c r="F2007" s="168">
        <f t="shared" si="8"/>
        <v>0</v>
      </c>
      <c r="G2007" s="75"/>
      <c r="H2007" s="177">
        <v>100040</v>
      </c>
    </row>
    <row r="2008" spans="1:8" ht="13.2">
      <c r="A2008" s="49"/>
      <c r="B2008" s="16" t="s">
        <v>259</v>
      </c>
      <c r="C2008" s="143" t="str">
        <f>VLOOKUP(B2008,'Thống kê'!$C$3:$D$970,2,0)</f>
        <v>Móc khoá Crybaby mini Popmart</v>
      </c>
      <c r="D2008" s="166">
        <f>VLOOKUP(B2008,'Thống kê'!$C$3:$M$970,4,0)</f>
        <v>0</v>
      </c>
      <c r="E2008" s="167">
        <v>1</v>
      </c>
      <c r="F2008" s="168">
        <f t="shared" si="8"/>
        <v>0</v>
      </c>
      <c r="G2008" s="75"/>
      <c r="H2008" s="177">
        <v>77900</v>
      </c>
    </row>
    <row r="2009" spans="1:8" ht="13.2">
      <c r="A2009" s="49"/>
      <c r="B2009" s="16" t="s">
        <v>77</v>
      </c>
      <c r="C2009" s="143">
        <f>VLOOKUP(B2009,'Thống kê'!$C$3:$D$970,2,0)</f>
        <v>0</v>
      </c>
      <c r="D2009" s="166">
        <f>VLOOKUP(B2009,'Thống kê'!$C$3:$M$970,4,0)</f>
        <v>0</v>
      </c>
      <c r="E2009" s="167">
        <v>1</v>
      </c>
      <c r="F2009" s="168">
        <f t="shared" si="8"/>
        <v>0</v>
      </c>
      <c r="G2009" s="75"/>
      <c r="H2009" s="177">
        <v>70187</v>
      </c>
    </row>
    <row r="2010" spans="1:8" ht="13.2">
      <c r="A2010" s="49"/>
      <c r="B2010" s="16" t="s">
        <v>279</v>
      </c>
      <c r="C2010" s="143">
        <f>VLOOKUP(B2010,'Thống kê'!$C$3:$D$970,2,0)</f>
        <v>0</v>
      </c>
      <c r="D2010" s="166">
        <f>VLOOKUP(B2010,'Thống kê'!$C$3:$M$970,4,0)</f>
        <v>0</v>
      </c>
      <c r="E2010" s="167">
        <v>1</v>
      </c>
      <c r="F2010" s="168">
        <f t="shared" si="8"/>
        <v>0</v>
      </c>
      <c r="G2010" s="75"/>
      <c r="H2010" s="177">
        <v>59860</v>
      </c>
    </row>
    <row r="2011" spans="1:8" ht="13.2">
      <c r="A2011" s="49"/>
      <c r="B2011" s="16" t="s">
        <v>1525</v>
      </c>
      <c r="C2011" s="143">
        <f>VLOOKUP(B2011,'Thống kê'!$C$3:$D$970,2,0)</f>
        <v>0</v>
      </c>
      <c r="D2011" s="166">
        <f>VLOOKUP(B2011,'Thống kê'!$C$3:$M$970,4,0)</f>
        <v>0</v>
      </c>
      <c r="E2011" s="167">
        <v>1</v>
      </c>
      <c r="F2011" s="168">
        <f t="shared" si="8"/>
        <v>0</v>
      </c>
      <c r="G2011" s="75"/>
      <c r="H2011" s="403">
        <v>109880</v>
      </c>
    </row>
    <row r="2012" spans="1:8" ht="13.2">
      <c r="A2012" s="49"/>
      <c r="B2012" s="16" t="s">
        <v>233</v>
      </c>
      <c r="C2012" s="143">
        <f>VLOOKUP(B2012,'Thống kê'!$C$3:$D$970,2,0)</f>
        <v>0</v>
      </c>
      <c r="D2012" s="166">
        <f>VLOOKUP(B2012,'Thống kê'!$C$3:$M$970,4,0)</f>
        <v>0</v>
      </c>
      <c r="E2012" s="167">
        <v>1</v>
      </c>
      <c r="F2012" s="168">
        <f t="shared" si="8"/>
        <v>0</v>
      </c>
      <c r="G2012" s="75"/>
      <c r="H2012" s="372"/>
    </row>
    <row r="2013" spans="1:8" ht="13.2">
      <c r="A2013" s="49"/>
      <c r="B2013" s="16" t="s">
        <v>1621</v>
      </c>
      <c r="C2013" s="143" t="str">
        <f>VLOOKUP(B2013,'Thống kê'!$C$3:$D$970,2,0)</f>
        <v>Mô hình mèo 2</v>
      </c>
      <c r="D2013" s="166">
        <f>VLOOKUP(B2013,'Thống kê'!$C$3:$M$970,4,0)</f>
        <v>37800</v>
      </c>
      <c r="E2013" s="167">
        <v>1</v>
      </c>
      <c r="F2013" s="168">
        <f t="shared" si="8"/>
        <v>37800</v>
      </c>
      <c r="G2013" s="75"/>
      <c r="H2013" s="402">
        <v>99194</v>
      </c>
    </row>
    <row r="2014" spans="1:8" ht="13.2">
      <c r="A2014" s="49"/>
      <c r="B2014" s="16" t="s">
        <v>1636</v>
      </c>
      <c r="C2014" s="143" t="str">
        <f>VLOOKUP(B2014,'Thống kê'!$C$3:$D$970,2,0)</f>
        <v>Mô hình mèo 3</v>
      </c>
      <c r="D2014" s="166">
        <f>VLOOKUP(B2014,'Thống kê'!$C$3:$M$970,4,0)</f>
        <v>37800</v>
      </c>
      <c r="E2014" s="167">
        <v>1</v>
      </c>
      <c r="F2014" s="168">
        <f t="shared" si="8"/>
        <v>37800</v>
      </c>
      <c r="G2014" s="75"/>
      <c r="H2014" s="372"/>
    </row>
    <row r="2015" spans="1:8" ht="13.2">
      <c r="A2015" s="49"/>
      <c r="B2015" s="16" t="s">
        <v>1623</v>
      </c>
      <c r="C2015" s="143" t="str">
        <f>VLOOKUP(B2015,'Thống kê'!$C$3:$D$970,2,0)</f>
        <v>Mô hình mèo 5</v>
      </c>
      <c r="D2015" s="166">
        <f>VLOOKUP(B2015,'Thống kê'!$C$3:$M$970,4,0)</f>
        <v>37800</v>
      </c>
      <c r="E2015" s="167">
        <v>1</v>
      </c>
      <c r="F2015" s="168">
        <f t="shared" si="8"/>
        <v>37800</v>
      </c>
      <c r="G2015" s="75"/>
      <c r="H2015" s="373"/>
    </row>
    <row r="2016" spans="1:8" ht="13.2">
      <c r="A2016" s="64"/>
      <c r="B2016" s="16" t="s">
        <v>1384</v>
      </c>
      <c r="C2016" s="143" t="str">
        <f>VLOOKUP(B2016,'Thống kê'!$C$3:$D$970,2,0)</f>
        <v>Móc khoá Crybaby mini Popmart</v>
      </c>
      <c r="D2016" s="166">
        <f>VLOOKUP(B2016,'Thống kê'!$C$3:$M$970,4,0)</f>
        <v>0</v>
      </c>
      <c r="E2016" s="167">
        <v>1</v>
      </c>
      <c r="F2016" s="168">
        <f t="shared" si="8"/>
        <v>0</v>
      </c>
      <c r="G2016" s="75"/>
      <c r="H2016" s="403">
        <v>163006</v>
      </c>
    </row>
    <row r="2017" spans="1:8" ht="13.2">
      <c r="A2017" s="49"/>
      <c r="B2017" s="16" t="s">
        <v>1386</v>
      </c>
      <c r="C2017" s="143" t="str">
        <f>VLOOKUP(B2017,'Thống kê'!$C$3:$D$970,2,0)</f>
        <v>Móc khoá Crybaby mini Popmart</v>
      </c>
      <c r="D2017" s="166">
        <f>VLOOKUP(B2017,'Thống kê'!$C$3:$M$970,4,0)</f>
        <v>0</v>
      </c>
      <c r="E2017" s="167">
        <v>1</v>
      </c>
      <c r="F2017" s="168">
        <f t="shared" si="8"/>
        <v>0</v>
      </c>
      <c r="G2017" s="75"/>
      <c r="H2017" s="372"/>
    </row>
    <row r="2018" spans="1:8" ht="13.2">
      <c r="A2018" s="49"/>
      <c r="B2018" s="16" t="s">
        <v>77</v>
      </c>
      <c r="C2018" s="143">
        <f>VLOOKUP(B2018,'Thống kê'!$C$3:$D$970,2,0)</f>
        <v>0</v>
      </c>
      <c r="D2018" s="166">
        <f>VLOOKUP(B2018,'Thống kê'!$C$3:$M$970,4,0)</f>
        <v>0</v>
      </c>
      <c r="E2018" s="167">
        <v>1</v>
      </c>
      <c r="F2018" s="168">
        <f t="shared" si="8"/>
        <v>0</v>
      </c>
      <c r="G2018" s="75"/>
      <c r="H2018" s="402">
        <v>153143</v>
      </c>
    </row>
    <row r="2019" spans="1:8" ht="13.2">
      <c r="A2019" s="49"/>
      <c r="B2019" s="16" t="s">
        <v>77</v>
      </c>
      <c r="C2019" s="143">
        <f>VLOOKUP(B2019,'Thống kê'!$C$3:$D$970,2,0)</f>
        <v>0</v>
      </c>
      <c r="D2019" s="166">
        <f>VLOOKUP(B2019,'Thống kê'!$C$3:$M$970,4,0)</f>
        <v>0</v>
      </c>
      <c r="E2019" s="167">
        <v>1</v>
      </c>
      <c r="F2019" s="168">
        <f t="shared" si="8"/>
        <v>0</v>
      </c>
      <c r="G2019" s="75"/>
      <c r="H2019" s="372"/>
    </row>
    <row r="2020" spans="1:8" ht="13.2">
      <c r="A2020" s="49"/>
      <c r="B2020" s="16" t="s">
        <v>1523</v>
      </c>
      <c r="C2020" s="143">
        <f>VLOOKUP(B2020,'Thống kê'!$C$3:$D$970,2,0)</f>
        <v>0</v>
      </c>
      <c r="D2020" s="166">
        <f>VLOOKUP(B2020,'Thống kê'!$C$3:$M$970,4,0)</f>
        <v>0</v>
      </c>
      <c r="E2020" s="167">
        <v>1</v>
      </c>
      <c r="F2020" s="168">
        <f t="shared" si="8"/>
        <v>0</v>
      </c>
      <c r="G2020" s="75"/>
      <c r="H2020" s="373"/>
    </row>
    <row r="2021" spans="1:8" ht="13.2">
      <c r="A2021" s="49"/>
      <c r="B2021" s="16" t="s">
        <v>1424</v>
      </c>
      <c r="C2021" s="143" t="str">
        <f>VLOOKUP(B2021,'Thống kê'!$C$3:$D$970,2,0)</f>
        <v>Móc khoá Crybaby mini Popmart</v>
      </c>
      <c r="D2021" s="166">
        <f>VLOOKUP(B2021,'Thống kê'!$C$3:$M$970,4,0)</f>
        <v>145000</v>
      </c>
      <c r="E2021" s="167">
        <v>2</v>
      </c>
      <c r="F2021" s="168">
        <f t="shared" si="8"/>
        <v>290000</v>
      </c>
      <c r="G2021" s="75"/>
      <c r="H2021" s="177">
        <v>155406</v>
      </c>
    </row>
    <row r="2022" spans="1:8" ht="13.2">
      <c r="A2022" s="49"/>
      <c r="B2022" s="16" t="s">
        <v>116</v>
      </c>
      <c r="C2022" s="143" t="str">
        <f>VLOOKUP(B2022,'Thống kê'!$C$3:$D$970,2,0)</f>
        <v>heo ú cầm hoa</v>
      </c>
      <c r="D2022" s="166">
        <f>VLOOKUP(B2022,'Thống kê'!$C$3:$M$970,4,0)</f>
        <v>64500</v>
      </c>
      <c r="E2022" s="167">
        <v>1</v>
      </c>
      <c r="F2022" s="168">
        <f t="shared" si="8"/>
        <v>64500</v>
      </c>
      <c r="G2022" s="75"/>
      <c r="H2022" s="403">
        <v>102500</v>
      </c>
    </row>
    <row r="2023" spans="1:8" ht="13.2">
      <c r="A2023" s="49"/>
      <c r="B2023" s="16" t="s">
        <v>150</v>
      </c>
      <c r="C2023" s="143" t="str">
        <f>VLOOKUP(B2023,'Thống kê'!$C$3:$D$970,2,0)</f>
        <v>Móc khóa có chuông</v>
      </c>
      <c r="D2023" s="166">
        <f>VLOOKUP(B2023,'Thống kê'!$C$3:$M$970,4,0)</f>
        <v>59000</v>
      </c>
      <c r="E2023" s="167">
        <v>1</v>
      </c>
      <c r="F2023" s="168">
        <f t="shared" si="8"/>
        <v>59000</v>
      </c>
      <c r="G2023" s="75"/>
      <c r="H2023" s="373"/>
    </row>
    <row r="2024" spans="1:8" ht="13.2">
      <c r="A2024" s="49"/>
      <c r="B2024" s="16" t="s">
        <v>238</v>
      </c>
      <c r="C2024" s="143">
        <f>VLOOKUP(B2024,'Thống kê'!$C$3:$D$970,2,0)</f>
        <v>0</v>
      </c>
      <c r="D2024" s="166">
        <f>VLOOKUP(B2024,'Thống kê'!$C$3:$M$970,4,0)</f>
        <v>0</v>
      </c>
      <c r="E2024" s="167">
        <v>1</v>
      </c>
      <c r="F2024" s="168">
        <f t="shared" si="8"/>
        <v>0</v>
      </c>
      <c r="G2024" s="75"/>
      <c r="H2024" s="403">
        <v>206058</v>
      </c>
    </row>
    <row r="2025" spans="1:8" ht="13.2">
      <c r="A2025" s="49"/>
      <c r="B2025" s="16" t="s">
        <v>196</v>
      </c>
      <c r="C2025" s="143">
        <f>VLOOKUP(B2025,'Thống kê'!$C$3:$D$970,2,0)</f>
        <v>0</v>
      </c>
      <c r="D2025" s="166">
        <f>VLOOKUP(B2025,'Thống kê'!$C$3:$M$970,4,0)</f>
        <v>0</v>
      </c>
      <c r="E2025" s="167">
        <v>1</v>
      </c>
      <c r="F2025" s="168">
        <f t="shared" si="8"/>
        <v>0</v>
      </c>
      <c r="G2025" s="75"/>
      <c r="H2025" s="372"/>
    </row>
    <row r="2026" spans="1:8" ht="13.2">
      <c r="A2026" s="49"/>
      <c r="B2026" s="16" t="s">
        <v>1523</v>
      </c>
      <c r="C2026" s="143">
        <f>VLOOKUP(B2026,'Thống kê'!$C$3:$D$970,2,0)</f>
        <v>0</v>
      </c>
      <c r="D2026" s="166">
        <f>VLOOKUP(B2026,'Thống kê'!$C$3:$M$970,4,0)</f>
        <v>0</v>
      </c>
      <c r="E2026" s="167">
        <v>1</v>
      </c>
      <c r="F2026" s="168">
        <f t="shared" si="8"/>
        <v>0</v>
      </c>
      <c r="G2026" s="75"/>
      <c r="H2026" s="372"/>
    </row>
    <row r="2027" spans="1:8" ht="13.2">
      <c r="A2027" s="49"/>
      <c r="B2027" s="16" t="s">
        <v>206</v>
      </c>
      <c r="C2027" s="143" t="str">
        <f>VLOOKUP(B2027,'Thống kê'!$C$3:$D$970,2,0)</f>
        <v>Pop Bean Baked Bread</v>
      </c>
      <c r="D2027" s="166">
        <f>VLOOKUP(B2027,'Thống kê'!$C$3:$M$970,4,0)</f>
        <v>167000</v>
      </c>
      <c r="E2027" s="167">
        <v>1</v>
      </c>
      <c r="F2027" s="168">
        <f t="shared" si="8"/>
        <v>167000</v>
      </c>
      <c r="G2027" s="75"/>
      <c r="H2027" s="175">
        <v>122010</v>
      </c>
    </row>
    <row r="2028" spans="1:8" ht="13.2">
      <c r="A2028" s="49"/>
      <c r="B2028" s="16" t="s">
        <v>1446</v>
      </c>
      <c r="C2028" s="143" t="str">
        <f>VLOOKUP(B2028,'Thống kê'!$C$3:$D$970,2,0)</f>
        <v>túi mù mô hình</v>
      </c>
      <c r="D2028" s="166">
        <f>VLOOKUP(B2028,'Thống kê'!$C$3:$M$970,4,0)</f>
        <v>0</v>
      </c>
      <c r="E2028" s="167">
        <v>1</v>
      </c>
      <c r="F2028" s="168">
        <f t="shared" si="8"/>
        <v>0</v>
      </c>
      <c r="G2028" s="75"/>
      <c r="H2028" s="175">
        <v>40415</v>
      </c>
    </row>
    <row r="2029" spans="1:8" ht="13.2">
      <c r="A2029" s="49"/>
      <c r="B2029" s="16" t="s">
        <v>127</v>
      </c>
      <c r="C2029" s="143">
        <f>VLOOKUP(B2029,'Thống kê'!$C$3:$D$970,2,0)</f>
        <v>0</v>
      </c>
      <c r="D2029" s="166">
        <f>VLOOKUP(B2029,'Thống kê'!$C$3:$M$970,4,0)</f>
        <v>0</v>
      </c>
      <c r="E2029" s="167">
        <v>1</v>
      </c>
      <c r="F2029" s="168">
        <f t="shared" si="8"/>
        <v>0</v>
      </c>
      <c r="G2029" s="75"/>
      <c r="H2029" s="176">
        <v>59860</v>
      </c>
    </row>
    <row r="2030" spans="1:8" ht="13.2">
      <c r="A2030" s="49"/>
      <c r="B2030" s="16" t="s">
        <v>142</v>
      </c>
      <c r="C2030" s="143">
        <f>VLOOKUP(B2030,'Thống kê'!$C$3:$D$970,2,0)</f>
        <v>0</v>
      </c>
      <c r="D2030" s="166">
        <f>VLOOKUP(B2030,'Thống kê'!$C$3:$M$970,4,0)</f>
        <v>0</v>
      </c>
      <c r="E2030" s="167">
        <v>1</v>
      </c>
      <c r="F2030" s="168">
        <f t="shared" si="8"/>
        <v>0</v>
      </c>
      <c r="G2030" s="75"/>
      <c r="H2030" s="403">
        <v>126280</v>
      </c>
    </row>
    <row r="2031" spans="1:8" ht="13.2">
      <c r="A2031" s="49"/>
      <c r="B2031" s="16" t="s">
        <v>127</v>
      </c>
      <c r="C2031" s="143">
        <f>VLOOKUP(B2031,'Thống kê'!$C$3:$D$970,2,0)</f>
        <v>0</v>
      </c>
      <c r="D2031" s="166">
        <f>VLOOKUP(B2031,'Thống kê'!$C$3:$M$970,4,0)</f>
        <v>0</v>
      </c>
      <c r="E2031" s="167">
        <v>1</v>
      </c>
      <c r="F2031" s="168">
        <f t="shared" si="8"/>
        <v>0</v>
      </c>
      <c r="G2031" s="75"/>
      <c r="H2031" s="373"/>
    </row>
    <row r="2032" spans="1:8" ht="13.2">
      <c r="A2032" s="49"/>
      <c r="B2032" s="16" t="s">
        <v>192</v>
      </c>
      <c r="C2032" s="143">
        <f>VLOOKUP(B2032,'Thống kê'!$C$3:$D$970,2,0)</f>
        <v>0</v>
      </c>
      <c r="D2032" s="166">
        <f>VLOOKUP(B2032,'Thống kê'!$C$3:$M$970,4,0)</f>
        <v>0</v>
      </c>
      <c r="E2032" s="167">
        <v>4</v>
      </c>
      <c r="F2032" s="168">
        <f t="shared" si="8"/>
        <v>0</v>
      </c>
      <c r="G2032" s="75"/>
      <c r="H2032" s="403">
        <v>387040</v>
      </c>
    </row>
    <row r="2033" spans="1:8" ht="13.2">
      <c r="A2033" s="64"/>
      <c r="B2033" s="16" t="s">
        <v>1474</v>
      </c>
      <c r="C2033" s="143">
        <f>VLOOKUP(B2033,'Thống kê'!$C$3:$D$970,2,0)</f>
        <v>0</v>
      </c>
      <c r="D2033" s="166">
        <f>VLOOKUP(B2033,'Thống kê'!$C$3:$M$970,4,0)</f>
        <v>0</v>
      </c>
      <c r="E2033" s="167">
        <v>2</v>
      </c>
      <c r="F2033" s="168">
        <f t="shared" si="8"/>
        <v>0</v>
      </c>
      <c r="G2033" s="75"/>
      <c r="H2033" s="373"/>
    </row>
    <row r="2034" spans="1:8" ht="13.2">
      <c r="A2034" s="49"/>
      <c r="B2034" s="16" t="s">
        <v>1382</v>
      </c>
      <c r="C2034" s="143" t="str">
        <f>VLOOKUP(B2034,'Thống kê'!$C$3:$D$970,2,0)</f>
        <v>miếng dán silicon điện thoại</v>
      </c>
      <c r="D2034" s="166">
        <f>VLOOKUP(B2034,'Thống kê'!$C$3:$M$970,4,0)</f>
        <v>0</v>
      </c>
      <c r="E2034" s="167">
        <v>2</v>
      </c>
      <c r="F2034" s="168">
        <f t="shared" si="8"/>
        <v>0</v>
      </c>
      <c r="G2034" s="75"/>
      <c r="H2034" s="403">
        <v>56020</v>
      </c>
    </row>
    <row r="2035" spans="1:8" ht="13.2">
      <c r="A2035" s="49"/>
      <c r="B2035" s="16" t="s">
        <v>233</v>
      </c>
      <c r="C2035" s="143">
        <f>VLOOKUP(B2035,'Thống kê'!$C$3:$D$970,2,0)</f>
        <v>0</v>
      </c>
      <c r="D2035" s="166">
        <f>VLOOKUP(B2035,'Thống kê'!$C$3:$M$970,4,0)</f>
        <v>0</v>
      </c>
      <c r="E2035" s="167">
        <v>1</v>
      </c>
      <c r="F2035" s="168">
        <f t="shared" si="8"/>
        <v>0</v>
      </c>
      <c r="G2035" s="75"/>
      <c r="H2035" s="373"/>
    </row>
    <row r="2036" spans="1:8" ht="13.2">
      <c r="A2036" s="49"/>
      <c r="B2036" s="16" t="s">
        <v>142</v>
      </c>
      <c r="C2036" s="143">
        <f>VLOOKUP(B2036,'Thống kê'!$C$3:$D$970,2,0)</f>
        <v>0</v>
      </c>
      <c r="D2036" s="166">
        <f>VLOOKUP(B2036,'Thống kê'!$C$3:$M$970,4,0)</f>
        <v>0</v>
      </c>
      <c r="E2036" s="167">
        <v>1</v>
      </c>
      <c r="F2036" s="168">
        <f t="shared" si="8"/>
        <v>0</v>
      </c>
      <c r="G2036" s="75"/>
      <c r="H2036" s="177">
        <v>67185</v>
      </c>
    </row>
    <row r="2037" spans="1:8" ht="13.2">
      <c r="A2037" s="49"/>
      <c r="B2037" s="16" t="s">
        <v>126</v>
      </c>
      <c r="C2037" s="143">
        <f>VLOOKUP(B2037,'Thống kê'!$C$3:$D$970,2,0)</f>
        <v>0</v>
      </c>
      <c r="D2037" s="166">
        <f>VLOOKUP(B2037,'Thống kê'!$C$3:$M$970,4,0)</f>
        <v>0</v>
      </c>
      <c r="E2037" s="167">
        <v>1</v>
      </c>
      <c r="F2037" s="168">
        <f t="shared" si="8"/>
        <v>0</v>
      </c>
      <c r="G2037" s="75"/>
      <c r="H2037" s="177">
        <v>67660</v>
      </c>
    </row>
    <row r="2038" spans="1:8" ht="13.2">
      <c r="A2038" s="49"/>
      <c r="B2038" s="16" t="s">
        <v>206</v>
      </c>
      <c r="C2038" s="143" t="str">
        <f>VLOOKUP(B2038,'Thống kê'!$C$3:$D$970,2,0)</f>
        <v>Pop Bean Baked Bread</v>
      </c>
      <c r="D2038" s="166">
        <f>VLOOKUP(B2038,'Thống kê'!$C$3:$M$970,4,0)</f>
        <v>167000</v>
      </c>
      <c r="E2038" s="167">
        <v>1</v>
      </c>
      <c r="F2038" s="168">
        <f t="shared" si="8"/>
        <v>167000</v>
      </c>
      <c r="G2038" s="75"/>
      <c r="H2038" s="403">
        <v>124374</v>
      </c>
    </row>
    <row r="2039" spans="1:8" ht="13.2">
      <c r="A2039" s="49"/>
      <c r="B2039" s="16" t="s">
        <v>1382</v>
      </c>
      <c r="C2039" s="143" t="str">
        <f>VLOOKUP(B2039,'Thống kê'!$C$3:$D$970,2,0)</f>
        <v>miếng dán silicon điện thoại</v>
      </c>
      <c r="D2039" s="166">
        <f>VLOOKUP(B2039,'Thống kê'!$C$3:$M$970,4,0)</f>
        <v>0</v>
      </c>
      <c r="E2039" s="167">
        <v>1</v>
      </c>
      <c r="F2039" s="168">
        <f t="shared" si="8"/>
        <v>0</v>
      </c>
      <c r="G2039" s="75"/>
      <c r="H2039" s="373"/>
    </row>
    <row r="2040" spans="1:8" ht="13.2">
      <c r="A2040" s="49"/>
      <c r="B2040" s="16" t="s">
        <v>1384</v>
      </c>
      <c r="C2040" s="143" t="str">
        <f>VLOOKUP(B2040,'Thống kê'!$C$3:$D$970,2,0)</f>
        <v>Móc khoá Crybaby mini Popmart</v>
      </c>
      <c r="D2040" s="166">
        <f>VLOOKUP(B2040,'Thống kê'!$C$3:$M$970,4,0)</f>
        <v>0</v>
      </c>
      <c r="E2040" s="167">
        <v>1</v>
      </c>
      <c r="F2040" s="168">
        <f t="shared" si="8"/>
        <v>0</v>
      </c>
      <c r="G2040" s="75"/>
      <c r="H2040" s="176">
        <v>77265</v>
      </c>
    </row>
    <row r="2041" spans="1:8" ht="13.2">
      <c r="A2041" s="49"/>
      <c r="B2041" s="16" t="s">
        <v>127</v>
      </c>
      <c r="C2041" s="143">
        <f>VLOOKUP(B2041,'Thống kê'!$C$3:$D$970,2,0)</f>
        <v>0</v>
      </c>
      <c r="D2041" s="166">
        <f>VLOOKUP(B2041,'Thống kê'!$C$3:$M$970,4,0)</f>
        <v>0</v>
      </c>
      <c r="E2041" s="167">
        <v>1</v>
      </c>
      <c r="F2041" s="168">
        <f t="shared" si="8"/>
        <v>0</v>
      </c>
      <c r="G2041" s="75"/>
      <c r="H2041" s="177">
        <v>68060</v>
      </c>
    </row>
    <row r="2042" spans="1:8" ht="13.2">
      <c r="A2042" s="49"/>
      <c r="B2042" s="16" t="s">
        <v>85</v>
      </c>
      <c r="C2042" s="143">
        <f>VLOOKUP(B2042,'Thống kê'!$C$3:$D$970,2,0)</f>
        <v>0</v>
      </c>
      <c r="D2042" s="166">
        <f>VLOOKUP(B2042,'Thống kê'!$C$3:$M$970,4,0)</f>
        <v>0</v>
      </c>
      <c r="E2042" s="167">
        <v>1</v>
      </c>
      <c r="F2042" s="168">
        <f t="shared" si="8"/>
        <v>0</v>
      </c>
      <c r="G2042" s="75"/>
      <c r="H2042" s="177">
        <v>59860</v>
      </c>
    </row>
    <row r="2043" spans="1:8" ht="13.2">
      <c r="A2043" s="64"/>
      <c r="B2043" s="16" t="s">
        <v>245</v>
      </c>
      <c r="C2043" s="143" t="str">
        <f>VLOOKUP(B2043,'Thống kê'!$C$3:$D$970,2,0)</f>
        <v>Móc khóa Popbean</v>
      </c>
      <c r="D2043" s="166">
        <f>VLOOKUP(B2043,'Thống kê'!$C$3:$M$970,4,0)</f>
        <v>148000</v>
      </c>
      <c r="E2043" s="167">
        <v>1</v>
      </c>
      <c r="F2043" s="168">
        <f t="shared" si="8"/>
        <v>148000</v>
      </c>
      <c r="G2043" s="75"/>
      <c r="H2043" s="177">
        <v>128740</v>
      </c>
    </row>
    <row r="2044" spans="1:8" ht="13.2">
      <c r="A2044" s="49"/>
      <c r="B2044" s="16" t="s">
        <v>1472</v>
      </c>
      <c r="C2044" s="143">
        <f>VLOOKUP(B2044,'Thống kê'!$C$3:$D$970,2,0)</f>
        <v>0</v>
      </c>
      <c r="D2044" s="166">
        <f>VLOOKUP(B2044,'Thống kê'!$C$3:$M$970,4,0)</f>
        <v>0</v>
      </c>
      <c r="E2044" s="167">
        <v>1</v>
      </c>
      <c r="F2044" s="168">
        <f t="shared" si="8"/>
        <v>0</v>
      </c>
      <c r="G2044" s="75"/>
      <c r="H2044" s="403">
        <v>215151</v>
      </c>
    </row>
    <row r="2045" spans="1:8" ht="13.2">
      <c r="A2045" s="49"/>
      <c r="B2045" s="16" t="s">
        <v>1384</v>
      </c>
      <c r="C2045" s="143" t="str">
        <f>VLOOKUP(B2045,'Thống kê'!$C$3:$D$970,2,0)</f>
        <v>Móc khoá Crybaby mini Popmart</v>
      </c>
      <c r="D2045" s="166">
        <f>VLOOKUP(B2045,'Thống kê'!$C$3:$M$970,4,0)</f>
        <v>0</v>
      </c>
      <c r="E2045" s="167">
        <v>1</v>
      </c>
      <c r="F2045" s="168">
        <f t="shared" si="8"/>
        <v>0</v>
      </c>
      <c r="G2045" s="75"/>
      <c r="H2045" s="373"/>
    </row>
    <row r="2046" spans="1:8" ht="13.2">
      <c r="A2046" s="49"/>
      <c r="B2046" s="16" t="s">
        <v>1825</v>
      </c>
      <c r="C2046" s="143" t="str">
        <f>VLOOKUP(B2046,'Thống kê'!$C$3:$D$970,2,0)</f>
        <v>Túi Đựng Mắt Kính Da Pu</v>
      </c>
      <c r="D2046" s="166">
        <f>VLOOKUP(B2046,'Thống kê'!$C$3:$M$970,4,0)</f>
        <v>0</v>
      </c>
      <c r="E2046" s="167">
        <v>1</v>
      </c>
      <c r="F2046" s="168">
        <f t="shared" si="8"/>
        <v>0</v>
      </c>
      <c r="G2046" s="75"/>
      <c r="H2046" s="177">
        <v>19474</v>
      </c>
    </row>
    <row r="2047" spans="1:8" ht="13.2">
      <c r="A2047" s="49"/>
      <c r="B2047" s="16" t="s">
        <v>133</v>
      </c>
      <c r="C2047" s="143">
        <f>VLOOKUP(B2047,'Thống kê'!$C$3:$D$970,2,0)</f>
        <v>0</v>
      </c>
      <c r="D2047" s="166">
        <f>VLOOKUP(B2047,'Thống kê'!$C$3:$M$970,4,0)</f>
        <v>0</v>
      </c>
      <c r="E2047" s="167">
        <v>2</v>
      </c>
      <c r="F2047" s="168">
        <f t="shared" si="8"/>
        <v>0</v>
      </c>
      <c r="G2047" s="75"/>
      <c r="H2047" s="178">
        <v>109880</v>
      </c>
    </row>
    <row r="2048" spans="1:8" ht="13.2">
      <c r="A2048" s="49"/>
      <c r="B2048" s="16" t="s">
        <v>1825</v>
      </c>
      <c r="C2048" s="143" t="str">
        <f>VLOOKUP(B2048,'Thống kê'!$C$3:$D$970,2,0)</f>
        <v>Túi Đựng Mắt Kính Da Pu</v>
      </c>
      <c r="D2048" s="166">
        <f>VLOOKUP(B2048,'Thống kê'!$C$3:$M$970,4,0)</f>
        <v>0</v>
      </c>
      <c r="E2048" s="167">
        <v>1</v>
      </c>
      <c r="F2048" s="168">
        <f t="shared" si="8"/>
        <v>0</v>
      </c>
      <c r="G2048" s="75"/>
      <c r="H2048" s="402">
        <v>53750</v>
      </c>
    </row>
    <row r="2049" spans="1:8" ht="13.2">
      <c r="A2049" s="49"/>
      <c r="B2049" s="16" t="s">
        <v>1817</v>
      </c>
      <c r="C2049" s="143" t="str">
        <f>VLOOKUP(B2049,'Thống kê'!$C$3:$D$970,2,0)</f>
        <v>Túi Đựng Mắt Kính Da Pu</v>
      </c>
      <c r="D2049" s="166">
        <f>VLOOKUP(B2049,'Thống kê'!$C$3:$M$970,4,0)</f>
        <v>0</v>
      </c>
      <c r="E2049" s="167">
        <v>1</v>
      </c>
      <c r="F2049" s="168">
        <f t="shared" si="8"/>
        <v>0</v>
      </c>
      <c r="G2049" s="75"/>
      <c r="H2049" s="372"/>
    </row>
    <row r="2050" spans="1:8" ht="13.2">
      <c r="A2050" s="49"/>
      <c r="B2050" s="16" t="s">
        <v>1841</v>
      </c>
      <c r="C2050" s="143" t="str">
        <f>VLOOKUP(B2050,'Thống kê'!$C$3:$D$970,2,0)</f>
        <v>Túi Đựng Mắt Kính Da Pu</v>
      </c>
      <c r="D2050" s="166">
        <f>VLOOKUP(B2050,'Thống kê'!$C$3:$M$970,4,0)</f>
        <v>0</v>
      </c>
      <c r="E2050" s="167">
        <v>1</v>
      </c>
      <c r="F2050" s="168">
        <f t="shared" si="8"/>
        <v>0</v>
      </c>
      <c r="G2050" s="75"/>
      <c r="H2050" s="373"/>
    </row>
    <row r="2051" spans="1:8" ht="13.2">
      <c r="A2051" s="49"/>
      <c r="B2051" s="16" t="s">
        <v>142</v>
      </c>
      <c r="C2051" s="143">
        <f>VLOOKUP(B2051,'Thống kê'!$C$3:$D$970,2,0)</f>
        <v>0</v>
      </c>
      <c r="D2051" s="166">
        <f>VLOOKUP(B2051,'Thống kê'!$C$3:$M$970,4,0)</f>
        <v>0</v>
      </c>
      <c r="E2051" s="167">
        <v>1</v>
      </c>
      <c r="F2051" s="168">
        <f t="shared" si="8"/>
        <v>0</v>
      </c>
      <c r="G2051" s="75"/>
      <c r="H2051" s="177">
        <v>68060</v>
      </c>
    </row>
    <row r="2052" spans="1:8" ht="13.2">
      <c r="A2052" s="49"/>
      <c r="B2052" s="16" t="s">
        <v>234</v>
      </c>
      <c r="C2052" s="143" t="str">
        <f>VLOOKUP(B2052,'Thống kê'!$C$3:$D$970,2,0)</f>
        <v>Móc khoá skullpanda phiên bản mini</v>
      </c>
      <c r="D2052" s="166">
        <f>VLOOKUP(B2052,'Thống kê'!$C$3:$M$970,4,0)</f>
        <v>98000</v>
      </c>
      <c r="E2052" s="167">
        <v>1</v>
      </c>
      <c r="F2052" s="168">
        <f t="shared" si="8"/>
        <v>98000</v>
      </c>
      <c r="G2052" s="75"/>
      <c r="H2052" s="178">
        <v>75030</v>
      </c>
    </row>
    <row r="2053" spans="1:8" ht="13.2">
      <c r="A2053" s="49"/>
      <c r="B2053" s="16" t="s">
        <v>126</v>
      </c>
      <c r="C2053" s="143">
        <f>VLOOKUP(B2053,'Thống kê'!$C$3:$D$970,2,0)</f>
        <v>0</v>
      </c>
      <c r="D2053" s="166">
        <f>VLOOKUP(B2053,'Thống kê'!$C$3:$M$970,4,0)</f>
        <v>0</v>
      </c>
      <c r="E2053" s="167">
        <v>1</v>
      </c>
      <c r="F2053" s="168">
        <f t="shared" si="8"/>
        <v>0</v>
      </c>
      <c r="G2053" s="75"/>
      <c r="H2053" s="175">
        <v>59225</v>
      </c>
    </row>
    <row r="2054" spans="1:8" ht="13.2">
      <c r="A2054" s="49"/>
      <c r="B2054" s="16" t="s">
        <v>142</v>
      </c>
      <c r="C2054" s="143">
        <f>VLOOKUP(B2054,'Thống kê'!$C$3:$D$970,2,0)</f>
        <v>0</v>
      </c>
      <c r="D2054" s="166">
        <f>VLOOKUP(B2054,'Thống kê'!$C$3:$M$970,4,0)</f>
        <v>0</v>
      </c>
      <c r="E2054" s="167">
        <v>1</v>
      </c>
      <c r="F2054" s="168">
        <f t="shared" si="8"/>
        <v>0</v>
      </c>
      <c r="G2054" s="75"/>
      <c r="H2054" s="402">
        <v>126280</v>
      </c>
    </row>
    <row r="2055" spans="1:8" ht="13.2">
      <c r="A2055" s="49"/>
      <c r="B2055" s="16" t="s">
        <v>127</v>
      </c>
      <c r="C2055" s="143">
        <f>VLOOKUP(B2055,'Thống kê'!$C$3:$D$970,2,0)</f>
        <v>0</v>
      </c>
      <c r="D2055" s="166">
        <f>VLOOKUP(B2055,'Thống kê'!$C$3:$M$970,4,0)</f>
        <v>0</v>
      </c>
      <c r="E2055" s="167">
        <v>1</v>
      </c>
      <c r="F2055" s="168">
        <f t="shared" si="8"/>
        <v>0</v>
      </c>
      <c r="G2055" s="75"/>
      <c r="H2055" s="372"/>
    </row>
    <row r="2056" spans="1:8" ht="13.2">
      <c r="A2056" s="49"/>
      <c r="B2056" s="16" t="s">
        <v>1841</v>
      </c>
      <c r="C2056" s="143" t="str">
        <f>VLOOKUP(B2056,'Thống kê'!$C$3:$D$970,2,0)</f>
        <v>Túi Đựng Mắt Kính Da Pu</v>
      </c>
      <c r="D2056" s="166">
        <f>VLOOKUP(B2056,'Thống kê'!$C$3:$M$970,4,0)</f>
        <v>0</v>
      </c>
      <c r="E2056" s="167">
        <v>1</v>
      </c>
      <c r="F2056" s="168">
        <f t="shared" si="8"/>
        <v>0</v>
      </c>
      <c r="G2056" s="75"/>
      <c r="H2056" s="176">
        <v>18524</v>
      </c>
    </row>
    <row r="2057" spans="1:8" ht="13.2">
      <c r="A2057" s="64"/>
      <c r="B2057" s="16" t="s">
        <v>126</v>
      </c>
      <c r="C2057" s="143">
        <f>VLOOKUP(B2057,'Thống kê'!$C$3:$D$970,2,0)</f>
        <v>0</v>
      </c>
      <c r="D2057" s="166">
        <f>VLOOKUP(B2057,'Thống kê'!$C$3:$M$970,4,0)</f>
        <v>0</v>
      </c>
      <c r="E2057" s="167">
        <v>1</v>
      </c>
      <c r="F2057" s="168">
        <f t="shared" si="8"/>
        <v>0</v>
      </c>
      <c r="G2057" s="75"/>
      <c r="H2057" s="403">
        <v>141040</v>
      </c>
    </row>
    <row r="2058" spans="1:8" ht="13.2">
      <c r="A2058" s="49"/>
      <c r="B2058" s="16" t="s">
        <v>142</v>
      </c>
      <c r="C2058" s="143">
        <f>VLOOKUP(B2058,'Thống kê'!$C$3:$D$970,2,0)</f>
        <v>0</v>
      </c>
      <c r="D2058" s="166">
        <f>VLOOKUP(B2058,'Thống kê'!$C$3:$M$970,4,0)</f>
        <v>0</v>
      </c>
      <c r="E2058" s="167">
        <v>1</v>
      </c>
      <c r="F2058" s="168">
        <f t="shared" si="8"/>
        <v>0</v>
      </c>
      <c r="G2058" s="75"/>
      <c r="H2058" s="373"/>
    </row>
    <row r="2059" spans="1:8" ht="13.2">
      <c r="A2059" s="49"/>
      <c r="B2059" s="16" t="s">
        <v>206</v>
      </c>
      <c r="C2059" s="143" t="str">
        <f>VLOOKUP(B2059,'Thống kê'!$C$3:$D$970,2,0)</f>
        <v>Pop Bean Baked Bread</v>
      </c>
      <c r="D2059" s="166">
        <f>VLOOKUP(B2059,'Thống kê'!$C$3:$M$970,4,0)</f>
        <v>167000</v>
      </c>
      <c r="E2059" s="167">
        <v>1</v>
      </c>
      <c r="F2059" s="168">
        <f t="shared" si="8"/>
        <v>167000</v>
      </c>
      <c r="G2059" s="75"/>
      <c r="H2059" s="176">
        <v>122010</v>
      </c>
    </row>
    <row r="2060" spans="1:8" ht="13.2">
      <c r="A2060" s="49"/>
      <c r="B2060" s="16" t="s">
        <v>1459</v>
      </c>
      <c r="C2060" s="143">
        <f>VLOOKUP(B2060,'Thống kê'!$C$3:$D$970,2,0)</f>
        <v>0</v>
      </c>
      <c r="D2060" s="166">
        <f>VLOOKUP(B2060,'Thống kê'!$C$3:$M$970,4,0)</f>
        <v>85000</v>
      </c>
      <c r="E2060" s="167">
        <v>1</v>
      </c>
      <c r="F2060" s="168">
        <f t="shared" si="8"/>
        <v>85000</v>
      </c>
      <c r="G2060" s="75"/>
      <c r="H2060" s="178">
        <v>56580</v>
      </c>
    </row>
    <row r="2061" spans="1:8" ht="13.2">
      <c r="A2061" s="49"/>
      <c r="B2061" s="16" t="s">
        <v>196</v>
      </c>
      <c r="C2061" s="143">
        <f>VLOOKUP(B2061,'Thống kê'!$C$3:$D$970,2,0)</f>
        <v>0</v>
      </c>
      <c r="D2061" s="166">
        <f>VLOOKUP(B2061,'Thống kê'!$C$3:$M$970,4,0)</f>
        <v>0</v>
      </c>
      <c r="E2061" s="167">
        <v>1</v>
      </c>
      <c r="F2061" s="168">
        <f t="shared" si="8"/>
        <v>0</v>
      </c>
      <c r="G2061" s="75"/>
      <c r="H2061" s="402">
        <v>172758</v>
      </c>
    </row>
    <row r="2062" spans="1:8" ht="13.2">
      <c r="A2062" s="49"/>
      <c r="B2062" s="16" t="s">
        <v>1515</v>
      </c>
      <c r="C2062" s="143">
        <f>VLOOKUP(B2062,'Thống kê'!$C$3:$D$970,2,0)</f>
        <v>0</v>
      </c>
      <c r="D2062" s="166">
        <f>VLOOKUP(B2062,'Thống kê'!$C$3:$M$970,4,0)</f>
        <v>0</v>
      </c>
      <c r="E2062" s="167">
        <v>1</v>
      </c>
      <c r="F2062" s="168">
        <f t="shared" si="8"/>
        <v>0</v>
      </c>
      <c r="G2062" s="75"/>
      <c r="H2062" s="373"/>
    </row>
    <row r="2063" spans="1:8" ht="13.2">
      <c r="A2063" s="49"/>
      <c r="B2063" s="16" t="s">
        <v>1761</v>
      </c>
      <c r="C2063" s="143">
        <f>VLOOKUP(B2063,'Thống kê'!$C$3:$D$970,2,0)</f>
        <v>0</v>
      </c>
      <c r="D2063" s="166">
        <f>VLOOKUP(B2063,'Thống kê'!$C$3:$M$970,4,0)</f>
        <v>0</v>
      </c>
      <c r="E2063" s="167">
        <v>1</v>
      </c>
      <c r="F2063" s="168">
        <f t="shared" si="8"/>
        <v>0</v>
      </c>
      <c r="G2063" s="75"/>
      <c r="H2063" s="178">
        <v>71340</v>
      </c>
    </row>
    <row r="2064" spans="1:8" ht="13.2">
      <c r="A2064" s="49"/>
      <c r="B2064" s="16" t="s">
        <v>140</v>
      </c>
      <c r="C2064" s="143">
        <f>VLOOKUP(B2064,'Thống kê'!$C$3:$D$970,2,0)</f>
        <v>0</v>
      </c>
      <c r="D2064" s="166">
        <f>VLOOKUP(B2064,'Thống kê'!$C$3:$M$970,4,0)</f>
        <v>0</v>
      </c>
      <c r="E2064" s="167">
        <v>1</v>
      </c>
      <c r="F2064" s="168">
        <f t="shared" si="8"/>
        <v>0</v>
      </c>
      <c r="G2064" s="75"/>
      <c r="H2064" s="402">
        <v>347305</v>
      </c>
    </row>
    <row r="2065" spans="1:8" ht="13.2">
      <c r="A2065" s="49"/>
      <c r="B2065" s="16" t="s">
        <v>1525</v>
      </c>
      <c r="C2065" s="143">
        <f>VLOOKUP(B2065,'Thống kê'!$C$3:$D$970,2,0)</f>
        <v>0</v>
      </c>
      <c r="D2065" s="166">
        <f>VLOOKUP(B2065,'Thống kê'!$C$3:$M$970,4,0)</f>
        <v>0</v>
      </c>
      <c r="E2065" s="167">
        <v>1</v>
      </c>
      <c r="F2065" s="168">
        <f t="shared" si="8"/>
        <v>0</v>
      </c>
      <c r="G2065" s="75"/>
      <c r="H2065" s="372"/>
    </row>
    <row r="2066" spans="1:8" ht="13.2">
      <c r="A2066" s="49"/>
      <c r="B2066" s="16" t="s">
        <v>180</v>
      </c>
      <c r="C2066" s="143">
        <f>VLOOKUP(B2066,'Thống kê'!$C$3:$D$970,2,0)</f>
        <v>0</v>
      </c>
      <c r="D2066" s="166">
        <f>VLOOKUP(B2066,'Thống kê'!$C$3:$M$970,4,0)</f>
        <v>0</v>
      </c>
      <c r="E2066" s="167">
        <v>1</v>
      </c>
      <c r="F2066" s="168">
        <f t="shared" si="8"/>
        <v>0</v>
      </c>
      <c r="G2066" s="75"/>
      <c r="H2066" s="372"/>
    </row>
    <row r="2067" spans="1:8" ht="13.2">
      <c r="A2067" s="49"/>
      <c r="B2067" s="16" t="s">
        <v>1515</v>
      </c>
      <c r="C2067" s="143">
        <f>VLOOKUP(B2067,'Thống kê'!$C$3:$D$970,2,0)</f>
        <v>0</v>
      </c>
      <c r="D2067" s="166">
        <f>VLOOKUP(B2067,'Thống kê'!$C$3:$M$970,4,0)</f>
        <v>0</v>
      </c>
      <c r="E2067" s="167">
        <v>1</v>
      </c>
      <c r="F2067" s="168">
        <f t="shared" si="8"/>
        <v>0</v>
      </c>
      <c r="G2067" s="75"/>
      <c r="H2067" s="372"/>
    </row>
    <row r="2068" spans="1:8" ht="13.2">
      <c r="A2068" s="49"/>
      <c r="B2068" s="16" t="s">
        <v>1523</v>
      </c>
      <c r="C2068" s="143">
        <f>VLOOKUP(B2068,'Thống kê'!$C$3:$D$970,2,0)</f>
        <v>0</v>
      </c>
      <c r="D2068" s="166">
        <f>VLOOKUP(B2068,'Thống kê'!$C$3:$M$970,4,0)</f>
        <v>0</v>
      </c>
      <c r="E2068" s="167">
        <v>1</v>
      </c>
      <c r="F2068" s="168">
        <f t="shared" si="8"/>
        <v>0</v>
      </c>
      <c r="G2068" s="75"/>
      <c r="H2068" s="372"/>
    </row>
    <row r="2069" spans="1:8" ht="13.2">
      <c r="A2069" s="49"/>
      <c r="B2069" s="16" t="s">
        <v>140</v>
      </c>
      <c r="C2069" s="143">
        <f>VLOOKUP(B2069,'Thống kê'!$C$3:$D$970,2,0)</f>
        <v>0</v>
      </c>
      <c r="D2069" s="166">
        <f>VLOOKUP(B2069,'Thống kê'!$C$3:$M$970,4,0)</f>
        <v>0</v>
      </c>
      <c r="E2069" s="167">
        <v>1</v>
      </c>
      <c r="F2069" s="168">
        <f t="shared" si="8"/>
        <v>0</v>
      </c>
      <c r="G2069" s="75"/>
      <c r="H2069" s="372"/>
    </row>
    <row r="2070" spans="1:8" ht="13.2">
      <c r="A2070" s="49"/>
      <c r="B2070" s="16" t="s">
        <v>1717</v>
      </c>
      <c r="C2070" s="143" t="str">
        <f>VLOOKUP(B2070,'Thống kê'!$C$3:$D$970,2,0)</f>
        <v>Pop Bean Baked Bread</v>
      </c>
      <c r="D2070" s="166">
        <f>VLOOKUP(B2070,'Thống kê'!$C$3:$M$970,4,0)</f>
        <v>167000</v>
      </c>
      <c r="E2070" s="167">
        <v>1</v>
      </c>
      <c r="F2070" s="168">
        <f t="shared" si="8"/>
        <v>167000</v>
      </c>
      <c r="G2070" s="75"/>
      <c r="H2070" s="175">
        <v>130310</v>
      </c>
    </row>
    <row r="2071" spans="1:8" ht="13.2">
      <c r="A2071" s="49"/>
      <c r="B2071" s="16" t="s">
        <v>230</v>
      </c>
      <c r="C2071" s="143" t="str">
        <f>VLOOKUP(B2071,'Thống kê'!$C$3:$D$970,2,0)</f>
        <v>Móc khoá Crybaby mini Popmart</v>
      </c>
      <c r="D2071" s="166">
        <f>VLOOKUP(B2071,'Thống kê'!$C$3:$M$970,4,0)</f>
        <v>0</v>
      </c>
      <c r="E2071" s="167">
        <v>1</v>
      </c>
      <c r="F2071" s="168">
        <f t="shared" si="8"/>
        <v>0</v>
      </c>
      <c r="G2071" s="75"/>
      <c r="H2071" s="402">
        <v>136120</v>
      </c>
    </row>
    <row r="2072" spans="1:8" ht="13.2">
      <c r="A2072" s="49"/>
      <c r="B2072" s="16" t="s">
        <v>140</v>
      </c>
      <c r="C2072" s="143">
        <f>VLOOKUP(B2072,'Thống kê'!$C$3:$D$970,2,0)</f>
        <v>0</v>
      </c>
      <c r="D2072" s="166">
        <f>VLOOKUP(B2072,'Thống kê'!$C$3:$M$970,4,0)</f>
        <v>0</v>
      </c>
      <c r="E2072" s="167">
        <v>1</v>
      </c>
      <c r="F2072" s="168">
        <f t="shared" si="8"/>
        <v>0</v>
      </c>
      <c r="G2072" s="75"/>
      <c r="H2072" s="373"/>
    </row>
    <row r="2073" spans="1:8" ht="13.2">
      <c r="A2073" s="49"/>
      <c r="B2073" s="16" t="s">
        <v>126</v>
      </c>
      <c r="C2073" s="143">
        <f>VLOOKUP(B2073,'Thống kê'!$C$3:$D$970,2,0)</f>
        <v>0</v>
      </c>
      <c r="D2073" s="166">
        <f>VLOOKUP(B2073,'Thống kê'!$C$3:$M$970,4,0)</f>
        <v>0</v>
      </c>
      <c r="E2073" s="167">
        <v>1</v>
      </c>
      <c r="F2073" s="168">
        <f t="shared" si="8"/>
        <v>0</v>
      </c>
      <c r="G2073" s="75"/>
      <c r="H2073" s="175">
        <v>59660</v>
      </c>
    </row>
    <row r="2074" spans="1:8" ht="13.2">
      <c r="A2074" s="49"/>
      <c r="B2074" s="16" t="s">
        <v>1462</v>
      </c>
      <c r="C2074" s="143">
        <f>VLOOKUP(B2074,'Thống kê'!$C$3:$D$970,2,0)</f>
        <v>0</v>
      </c>
      <c r="D2074" s="166">
        <f>VLOOKUP(B2074,'Thống kê'!$C$3:$M$970,4,0)</f>
        <v>0</v>
      </c>
      <c r="E2074" s="167">
        <v>1</v>
      </c>
      <c r="F2074" s="168">
        <f t="shared" si="8"/>
        <v>0</v>
      </c>
      <c r="G2074" s="75"/>
      <c r="H2074" s="402">
        <v>203688</v>
      </c>
    </row>
    <row r="2075" spans="1:8" ht="13.2">
      <c r="A2075" s="49"/>
      <c r="B2075" s="16" t="s">
        <v>1463</v>
      </c>
      <c r="C2075" s="143">
        <f>VLOOKUP(B2075,'Thống kê'!$C$3:$D$970,2,0)</f>
        <v>0</v>
      </c>
      <c r="D2075" s="166">
        <f>VLOOKUP(B2075,'Thống kê'!$C$3:$M$970,4,0)</f>
        <v>0</v>
      </c>
      <c r="E2075" s="167">
        <v>1</v>
      </c>
      <c r="F2075" s="168">
        <f t="shared" si="8"/>
        <v>0</v>
      </c>
      <c r="G2075" s="75"/>
      <c r="H2075" s="372"/>
    </row>
    <row r="2076" spans="1:8" ht="13.2">
      <c r="A2076" s="49"/>
      <c r="B2076" s="16" t="s">
        <v>1461</v>
      </c>
      <c r="C2076" s="143">
        <f>VLOOKUP(B2076,'Thống kê'!$C$3:$D$970,2,0)</f>
        <v>0</v>
      </c>
      <c r="D2076" s="166">
        <f>VLOOKUP(B2076,'Thống kê'!$C$3:$M$970,4,0)</f>
        <v>0</v>
      </c>
      <c r="E2076" s="167">
        <v>1</v>
      </c>
      <c r="F2076" s="168">
        <f t="shared" si="8"/>
        <v>0</v>
      </c>
      <c r="G2076" s="75"/>
      <c r="H2076" s="373"/>
    </row>
    <row r="2077" spans="1:8" ht="13.2">
      <c r="A2077" s="49"/>
      <c r="B2077" s="16" t="s">
        <v>1523</v>
      </c>
      <c r="C2077" s="143">
        <f>VLOOKUP(B2077,'Thống kê'!$C$3:$D$970,2,0)</f>
        <v>0</v>
      </c>
      <c r="D2077" s="166">
        <f>VLOOKUP(B2077,'Thống kê'!$C$3:$M$970,4,0)</f>
        <v>0</v>
      </c>
      <c r="E2077" s="167">
        <v>2</v>
      </c>
      <c r="F2077" s="168">
        <f t="shared" si="8"/>
        <v>0</v>
      </c>
      <c r="G2077" s="75"/>
      <c r="H2077" s="177">
        <v>109880</v>
      </c>
    </row>
    <row r="2078" spans="1:8" ht="13.2">
      <c r="A2078" s="49"/>
      <c r="B2078" s="16" t="s">
        <v>183</v>
      </c>
      <c r="C2078" s="143" t="str">
        <f>VLOOKUP(B2078,'Thống kê'!$C$3:$D$970,2,0)</f>
        <v>Thỏ máy bay gắn xe</v>
      </c>
      <c r="D2078" s="166">
        <f>VLOOKUP(B2078,'Thống kê'!$C$3:$M$970,4,0)</f>
        <v>45000</v>
      </c>
      <c r="E2078" s="167">
        <v>1</v>
      </c>
      <c r="F2078" s="168">
        <f t="shared" si="8"/>
        <v>45000</v>
      </c>
      <c r="G2078" s="75"/>
      <c r="H2078" s="178">
        <v>52230</v>
      </c>
    </row>
    <row r="2079" spans="1:8" ht="13.2">
      <c r="A2079" s="49"/>
      <c r="B2079" s="16" t="s">
        <v>1472</v>
      </c>
      <c r="C2079" s="143">
        <f>VLOOKUP(B2079,'Thống kê'!$C$3:$D$970,2,0)</f>
        <v>0</v>
      </c>
      <c r="D2079" s="166">
        <f>VLOOKUP(B2079,'Thống kê'!$C$3:$M$970,4,0)</f>
        <v>0</v>
      </c>
      <c r="E2079" s="167">
        <v>1</v>
      </c>
      <c r="F2079" s="168">
        <f t="shared" si="8"/>
        <v>0</v>
      </c>
      <c r="G2079" s="75"/>
      <c r="H2079" s="402">
        <v>309167</v>
      </c>
    </row>
    <row r="2080" spans="1:8" ht="13.2">
      <c r="A2080" s="49"/>
      <c r="B2080" s="16" t="s">
        <v>1523</v>
      </c>
      <c r="C2080" s="143">
        <f>VLOOKUP(B2080,'Thống kê'!$C$3:$D$970,2,0)</f>
        <v>0</v>
      </c>
      <c r="D2080" s="166">
        <f>VLOOKUP(B2080,'Thống kê'!$C$3:$M$970,4,0)</f>
        <v>0</v>
      </c>
      <c r="E2080" s="167">
        <v>1</v>
      </c>
      <c r="F2080" s="168">
        <f t="shared" si="8"/>
        <v>0</v>
      </c>
      <c r="G2080" s="75"/>
      <c r="H2080" s="372"/>
    </row>
    <row r="2081" spans="1:8" ht="13.2">
      <c r="A2081" s="49"/>
      <c r="B2081" s="16" t="s">
        <v>159</v>
      </c>
      <c r="C2081" s="143">
        <f>VLOOKUP(B2081,'Thống kê'!$C$3:$D$970,2,0)</f>
        <v>0</v>
      </c>
      <c r="D2081" s="166">
        <f>VLOOKUP(B2081,'Thống kê'!$C$3:$M$970,4,0)</f>
        <v>0</v>
      </c>
      <c r="E2081" s="167">
        <v>1</v>
      </c>
      <c r="F2081" s="168">
        <f t="shared" si="8"/>
        <v>0</v>
      </c>
      <c r="G2081" s="75"/>
      <c r="H2081" s="373"/>
    </row>
    <row r="2082" spans="1:8" ht="13.2">
      <c r="A2082" s="49"/>
      <c r="B2082" s="16" t="s">
        <v>126</v>
      </c>
      <c r="C2082" s="143">
        <f>VLOOKUP(B2082,'Thống kê'!$C$3:$D$970,2,0)</f>
        <v>0</v>
      </c>
      <c r="D2082" s="166">
        <f>VLOOKUP(B2082,'Thống kê'!$C$3:$M$970,4,0)</f>
        <v>0</v>
      </c>
      <c r="E2082" s="167">
        <v>1</v>
      </c>
      <c r="F2082" s="168">
        <f t="shared" si="8"/>
        <v>0</v>
      </c>
      <c r="G2082" s="75"/>
      <c r="H2082" s="403">
        <v>126280</v>
      </c>
    </row>
    <row r="2083" spans="1:8" ht="13.2">
      <c r="A2083" s="64"/>
      <c r="B2083" s="16" t="s">
        <v>191</v>
      </c>
      <c r="C2083" s="143">
        <f>VLOOKUP(B2083,'Thống kê'!$C$3:$D$970,2,0)</f>
        <v>0</v>
      </c>
      <c r="D2083" s="166">
        <f>VLOOKUP(B2083,'Thống kê'!$C$3:$M$970,4,0)</f>
        <v>0</v>
      </c>
      <c r="E2083" s="167">
        <v>1</v>
      </c>
      <c r="F2083" s="168">
        <f t="shared" si="8"/>
        <v>0</v>
      </c>
      <c r="G2083" s="75"/>
      <c r="H2083" s="373"/>
    </row>
    <row r="2084" spans="1:8" ht="13.2">
      <c r="A2084" s="49"/>
      <c r="B2084" s="16" t="s">
        <v>252</v>
      </c>
      <c r="C2084" s="143">
        <f>VLOOKUP(B2084,'Thống kê'!$C$3:$D$970,2,0)</f>
        <v>0</v>
      </c>
      <c r="D2084" s="166">
        <f>VLOOKUP(B2084,'Thống kê'!$C$3:$M$970,4,0)</f>
        <v>0</v>
      </c>
      <c r="E2084" s="167">
        <v>1</v>
      </c>
      <c r="F2084" s="168">
        <f t="shared" si="8"/>
        <v>0</v>
      </c>
      <c r="G2084" s="75"/>
      <c r="H2084" s="403">
        <v>501267</v>
      </c>
    </row>
    <row r="2085" spans="1:8" ht="13.2">
      <c r="A2085" s="49"/>
      <c r="B2085" s="16" t="s">
        <v>1823</v>
      </c>
      <c r="C2085" s="143">
        <f>VLOOKUP(B2085,'Thống kê'!$C$3:$D$970,2,0)</f>
        <v>0</v>
      </c>
      <c r="D2085" s="166">
        <f>VLOOKUP(B2085,'Thống kê'!$C$3:$M$970,4,0)</f>
        <v>0</v>
      </c>
      <c r="E2085" s="167">
        <v>1</v>
      </c>
      <c r="F2085" s="168">
        <f t="shared" si="8"/>
        <v>0</v>
      </c>
      <c r="G2085" s="75"/>
      <c r="H2085" s="372"/>
    </row>
    <row r="2086" spans="1:8" ht="13.2">
      <c r="A2086" s="49"/>
      <c r="B2086" s="16" t="s">
        <v>113</v>
      </c>
      <c r="C2086" s="143" t="str">
        <f>VLOOKUP(B2086,'Thống kê'!$C$3:$D$970,2,0)</f>
        <v>Móc khoá Dimoo size mini (hàng remake)</v>
      </c>
      <c r="D2086" s="166">
        <f>VLOOKUP(B2086,'Thống kê'!$C$3:$M$970,4,0)</f>
        <v>0</v>
      </c>
      <c r="E2086" s="167">
        <v>1</v>
      </c>
      <c r="F2086" s="168">
        <f t="shared" si="8"/>
        <v>0</v>
      </c>
      <c r="G2086" s="75"/>
      <c r="H2086" s="372"/>
    </row>
    <row r="2087" spans="1:8" ht="13.2">
      <c r="A2087" s="49"/>
      <c r="B2087" s="16" t="s">
        <v>234</v>
      </c>
      <c r="C2087" s="143" t="str">
        <f>VLOOKUP(B2087,'Thống kê'!$C$3:$D$970,2,0)</f>
        <v>Móc khoá skullpanda phiên bản mini</v>
      </c>
      <c r="D2087" s="166">
        <f>VLOOKUP(B2087,'Thống kê'!$C$3:$M$970,4,0)</f>
        <v>98000</v>
      </c>
      <c r="E2087" s="167">
        <v>1</v>
      </c>
      <c r="F2087" s="168">
        <f t="shared" si="8"/>
        <v>98000</v>
      </c>
      <c r="G2087" s="75"/>
      <c r="H2087" s="372"/>
    </row>
    <row r="2088" spans="1:8" ht="13.2">
      <c r="A2088" s="49"/>
      <c r="B2088" s="16" t="s">
        <v>245</v>
      </c>
      <c r="C2088" s="143" t="str">
        <f>VLOOKUP(B2088,'Thống kê'!$C$3:$D$970,2,0)</f>
        <v>Móc khóa Popbean</v>
      </c>
      <c r="D2088" s="166">
        <f>VLOOKUP(B2088,'Thống kê'!$C$3:$M$970,4,0)</f>
        <v>148000</v>
      </c>
      <c r="E2088" s="167">
        <v>1</v>
      </c>
      <c r="F2088" s="168">
        <f t="shared" si="8"/>
        <v>148000</v>
      </c>
      <c r="G2088" s="75"/>
      <c r="H2088" s="373"/>
    </row>
    <row r="2089" spans="1:8" ht="13.2">
      <c r="A2089" s="49"/>
      <c r="B2089" s="16" t="s">
        <v>1761</v>
      </c>
      <c r="C2089" s="143">
        <f>VLOOKUP(B2089,'Thống kê'!$C$3:$D$970,2,0)</f>
        <v>0</v>
      </c>
      <c r="D2089" s="166">
        <f>VLOOKUP(B2089,'Thống kê'!$C$3:$M$970,4,0)</f>
        <v>0</v>
      </c>
      <c r="E2089" s="167">
        <v>2</v>
      </c>
      <c r="F2089" s="168">
        <f t="shared" si="8"/>
        <v>0</v>
      </c>
      <c r="G2089" s="75"/>
      <c r="H2089" s="177">
        <v>149240</v>
      </c>
    </row>
    <row r="2090" spans="1:8" ht="13.2">
      <c r="A2090" s="49"/>
      <c r="B2090" s="16" t="s">
        <v>96</v>
      </c>
      <c r="C2090" s="143">
        <f>VLOOKUP(B2090,'Thống kê'!$C$3:$D$970,2,0)</f>
        <v>0</v>
      </c>
      <c r="D2090" s="166">
        <f>VLOOKUP(B2090,'Thống kê'!$C$3:$M$970,4,0)</f>
        <v>0</v>
      </c>
      <c r="E2090" s="167">
        <v>1</v>
      </c>
      <c r="F2090" s="168">
        <f t="shared" si="8"/>
        <v>0</v>
      </c>
      <c r="G2090" s="75"/>
      <c r="H2090" s="178">
        <v>68060</v>
      </c>
    </row>
    <row r="2091" spans="1:8" ht="13.2">
      <c r="A2091" s="49"/>
      <c r="B2091" s="16" t="s">
        <v>258</v>
      </c>
      <c r="C2091" s="143" t="str">
        <f>VLOOKUP(B2091,'Thống kê'!$C$3:$D$970,2,0)</f>
        <v>Móc khoá Crybaby mini Popmart</v>
      </c>
      <c r="D2091" s="166">
        <f>VLOOKUP(B2091,'Thống kê'!$C$3:$M$970,4,0)</f>
        <v>0</v>
      </c>
      <c r="E2091" s="167">
        <v>1</v>
      </c>
      <c r="F2091" s="168">
        <f t="shared" si="8"/>
        <v>0</v>
      </c>
      <c r="G2091" s="75"/>
      <c r="H2091" s="402">
        <v>155406</v>
      </c>
    </row>
    <row r="2092" spans="1:8" ht="13.2">
      <c r="A2092" s="49"/>
      <c r="B2092" s="16" t="s">
        <v>259</v>
      </c>
      <c r="C2092" s="143" t="str">
        <f>VLOOKUP(B2092,'Thống kê'!$C$3:$D$970,2,0)</f>
        <v>Móc khoá Crybaby mini Popmart</v>
      </c>
      <c r="D2092" s="166">
        <f>VLOOKUP(B2092,'Thống kê'!$C$3:$M$970,4,0)</f>
        <v>0</v>
      </c>
      <c r="E2092" s="167">
        <v>1</v>
      </c>
      <c r="F2092" s="168">
        <f t="shared" si="8"/>
        <v>0</v>
      </c>
      <c r="G2092" s="75"/>
      <c r="H2092" s="372"/>
    </row>
    <row r="2093" spans="1:8" ht="13.2">
      <c r="A2093" s="49"/>
      <c r="B2093" s="16" t="s">
        <v>1573</v>
      </c>
      <c r="C2093" s="143">
        <f>VLOOKUP(B2093,'Thống kê'!$C$3:$D$970,2,0)</f>
        <v>0</v>
      </c>
      <c r="D2093" s="166">
        <f>VLOOKUP(B2093,'Thống kê'!$C$3:$M$970,4,0)</f>
        <v>0</v>
      </c>
      <c r="E2093" s="167">
        <v>1</v>
      </c>
      <c r="F2093" s="168">
        <f t="shared" si="8"/>
        <v>0</v>
      </c>
      <c r="G2093" s="75"/>
      <c r="H2093" s="402">
        <v>52192</v>
      </c>
    </row>
    <row r="2094" spans="1:8" ht="13.2">
      <c r="A2094" s="49"/>
      <c r="B2094" s="16" t="s">
        <v>1841</v>
      </c>
      <c r="C2094" s="143" t="str">
        <f>VLOOKUP(B2094,'Thống kê'!$C$3:$D$970,2,0)</f>
        <v>Túi Đựng Mắt Kính Da Pu</v>
      </c>
      <c r="D2094" s="166">
        <f>VLOOKUP(B2094,'Thống kê'!$C$3:$M$970,4,0)</f>
        <v>0</v>
      </c>
      <c r="E2094" s="167">
        <v>2</v>
      </c>
      <c r="F2094" s="168">
        <f t="shared" si="8"/>
        <v>0</v>
      </c>
      <c r="G2094" s="75"/>
      <c r="H2094" s="373"/>
    </row>
    <row r="2095" spans="1:8" ht="13.2">
      <c r="A2095" s="49"/>
      <c r="B2095" s="16" t="s">
        <v>119</v>
      </c>
      <c r="C2095" s="143" t="str">
        <f>VLOOKUP(B2095,'Thống kê'!$C$3:$D$970,2,0)</f>
        <v>Thỏ chạy xe gắn xe</v>
      </c>
      <c r="D2095" s="166">
        <f>VLOOKUP(B2095,'Thống kê'!$C$3:$M$970,4,0)</f>
        <v>45000</v>
      </c>
      <c r="E2095" s="167">
        <v>1</v>
      </c>
      <c r="F2095" s="168">
        <f t="shared" ref="F2095:F2349" si="9">D2095*E2095</f>
        <v>45000</v>
      </c>
      <c r="G2095" s="75"/>
      <c r="H2095" s="403">
        <v>55901</v>
      </c>
    </row>
    <row r="2096" spans="1:8" ht="13.2">
      <c r="A2096" s="49"/>
      <c r="B2096" s="16" t="s">
        <v>232</v>
      </c>
      <c r="C2096" s="143" t="str">
        <f>VLOOKUP(B2096,'Thống kê'!$C$3:$D$970,2,0)</f>
        <v>Cáo gắn xe</v>
      </c>
      <c r="D2096" s="166">
        <f>VLOOKUP(B2096,'Thống kê'!$C$3:$M$970,4,0)</f>
        <v>45000</v>
      </c>
      <c r="E2096" s="167">
        <v>1</v>
      </c>
      <c r="F2096" s="168">
        <f t="shared" si="9"/>
        <v>45000</v>
      </c>
      <c r="G2096" s="75"/>
      <c r="H2096" s="373"/>
    </row>
    <row r="2097" spans="1:8" ht="13.2">
      <c r="A2097" s="49"/>
      <c r="B2097" s="16" t="s">
        <v>1804</v>
      </c>
      <c r="C2097" s="143" t="str">
        <f>VLOOKUP(B2097,'Thống kê'!$C$3:$D$970,2,0)</f>
        <v>Móc khoá cún Chuối</v>
      </c>
      <c r="D2097" s="166">
        <f>VLOOKUP(B2097,'Thống kê'!$C$3:$M$970,4,0)</f>
        <v>38000</v>
      </c>
      <c r="E2097" s="167">
        <v>1</v>
      </c>
      <c r="F2097" s="168">
        <f t="shared" si="9"/>
        <v>38000</v>
      </c>
      <c r="G2097" s="75"/>
      <c r="H2097" s="177">
        <v>28242</v>
      </c>
    </row>
    <row r="2098" spans="1:8" ht="13.2">
      <c r="A2098" s="49"/>
      <c r="B2098" s="16" t="s">
        <v>1624</v>
      </c>
      <c r="C2098" s="143" t="str">
        <f>VLOOKUP(B2098,'Thống kê'!$C$3:$D$970,2,0)</f>
        <v>Móc khóa mèo trái tim</v>
      </c>
      <c r="D2098" s="166">
        <f>VLOOKUP(B2098,'Thống kê'!$C$3:$M$970,4,0)</f>
        <v>59000</v>
      </c>
      <c r="E2098" s="167">
        <v>1</v>
      </c>
      <c r="F2098" s="168">
        <f t="shared" si="9"/>
        <v>59000</v>
      </c>
      <c r="G2098" s="75"/>
      <c r="H2098" s="403">
        <v>90200</v>
      </c>
    </row>
    <row r="2099" spans="1:8" ht="13.2">
      <c r="A2099" s="49"/>
      <c r="B2099" s="16" t="s">
        <v>150</v>
      </c>
      <c r="C2099" s="143" t="str">
        <f>VLOOKUP(B2099,'Thống kê'!$C$3:$D$970,2,0)</f>
        <v>Móc khóa có chuông</v>
      </c>
      <c r="D2099" s="166">
        <f>VLOOKUP(B2099,'Thống kê'!$C$3:$M$970,4,0)</f>
        <v>59000</v>
      </c>
      <c r="E2099" s="167">
        <v>1</v>
      </c>
      <c r="F2099" s="168">
        <f t="shared" si="9"/>
        <v>59000</v>
      </c>
      <c r="G2099" s="75"/>
      <c r="H2099" s="373"/>
    </row>
    <row r="2100" spans="1:8" ht="13.2">
      <c r="A2100" s="49"/>
      <c r="B2100" s="16" t="s">
        <v>223</v>
      </c>
      <c r="C2100" s="143">
        <f>VLOOKUP(B2100,'Thống kê'!$C$3:$D$970,2,0)</f>
        <v>0</v>
      </c>
      <c r="D2100" s="166">
        <f>VLOOKUP(B2100,'Thống kê'!$C$3:$M$970,4,0)</f>
        <v>0</v>
      </c>
      <c r="E2100" s="167">
        <v>1</v>
      </c>
      <c r="F2100" s="168">
        <f t="shared" si="9"/>
        <v>0</v>
      </c>
      <c r="G2100" s="75"/>
      <c r="H2100" s="177">
        <v>87665</v>
      </c>
    </row>
    <row r="2101" spans="1:8" ht="13.2">
      <c r="A2101" s="49"/>
      <c r="B2101" s="16" t="s">
        <v>1842</v>
      </c>
      <c r="C2101" s="143" t="str">
        <f>VLOOKUP(B2101,'Thống kê'!$C$3:$D$970,2,0)</f>
        <v>Trâm cài 27</v>
      </c>
      <c r="D2101" s="166">
        <f>VLOOKUP(B2101,'Thống kê'!$C$3:$M$970,4,0)</f>
        <v>36340</v>
      </c>
      <c r="E2101" s="167">
        <v>1</v>
      </c>
      <c r="F2101" s="168">
        <f t="shared" si="9"/>
        <v>36340</v>
      </c>
      <c r="G2101" s="75"/>
      <c r="H2101" s="403">
        <v>58209</v>
      </c>
    </row>
    <row r="2102" spans="1:8" ht="13.2">
      <c r="A2102" s="49"/>
      <c r="B2102" s="16" t="s">
        <v>1840</v>
      </c>
      <c r="C2102" s="143" t="str">
        <f>VLOOKUP(B2102,'Thống kê'!$C$3:$D$970,2,0)</f>
        <v>Túi Đựng Mắt Kính Da Pu</v>
      </c>
      <c r="D2102" s="166">
        <f>VLOOKUP(B2102,'Thống kê'!$C$3:$M$970,4,0)</f>
        <v>0</v>
      </c>
      <c r="E2102" s="167">
        <v>1</v>
      </c>
      <c r="F2102" s="168">
        <f t="shared" si="9"/>
        <v>0</v>
      </c>
      <c r="G2102" s="75"/>
      <c r="H2102" s="372"/>
    </row>
    <row r="2103" spans="1:8" ht="13.2">
      <c r="A2103" s="49"/>
      <c r="B2103" s="16" t="s">
        <v>1841</v>
      </c>
      <c r="C2103" s="143" t="str">
        <f>VLOOKUP(B2103,'Thống kê'!$C$3:$D$970,2,0)</f>
        <v>Túi Đựng Mắt Kính Da Pu</v>
      </c>
      <c r="D2103" s="166">
        <f>VLOOKUP(B2103,'Thống kê'!$C$3:$M$970,4,0)</f>
        <v>0</v>
      </c>
      <c r="E2103" s="167">
        <v>1</v>
      </c>
      <c r="F2103" s="168">
        <f t="shared" si="9"/>
        <v>0</v>
      </c>
      <c r="G2103" s="75"/>
      <c r="H2103" s="373"/>
    </row>
    <row r="2104" spans="1:8" ht="13.2">
      <c r="A2104" s="49"/>
      <c r="B2104" s="16" t="s">
        <v>125</v>
      </c>
      <c r="C2104" s="143">
        <f>VLOOKUP(B2104,'Thống kê'!$C$3:$D$970,2,0)</f>
        <v>0</v>
      </c>
      <c r="D2104" s="166">
        <f>VLOOKUP(B2104,'Thống kê'!$C$3:$M$970,4,0)</f>
        <v>0</v>
      </c>
      <c r="E2104" s="167">
        <v>1</v>
      </c>
      <c r="F2104" s="168">
        <f t="shared" si="9"/>
        <v>0</v>
      </c>
      <c r="G2104" s="75"/>
      <c r="H2104" s="177">
        <v>68060</v>
      </c>
    </row>
    <row r="2105" spans="1:8" ht="13.2">
      <c r="A2105" s="49"/>
      <c r="B2105" s="16" t="s">
        <v>1384</v>
      </c>
      <c r="C2105" s="143" t="str">
        <f>VLOOKUP(B2105,'Thống kê'!$C$3:$D$970,2,0)</f>
        <v>Móc khoá Crybaby mini Popmart</v>
      </c>
      <c r="D2105" s="166">
        <f>VLOOKUP(B2105,'Thống kê'!$C$3:$M$970,4,0)</f>
        <v>0</v>
      </c>
      <c r="E2105" s="167">
        <v>1</v>
      </c>
      <c r="F2105" s="168">
        <f t="shared" si="9"/>
        <v>0</v>
      </c>
      <c r="G2105" s="75"/>
      <c r="H2105" s="403">
        <v>155406</v>
      </c>
    </row>
    <row r="2106" spans="1:8" ht="13.2">
      <c r="A2106" s="49"/>
      <c r="B2106" s="16" t="s">
        <v>1389</v>
      </c>
      <c r="C2106" s="143" t="str">
        <f>VLOOKUP(B2106,'Thống kê'!$C$3:$D$970,2,0)</f>
        <v>Móc khoá Crybaby mini Popmart</v>
      </c>
      <c r="D2106" s="166">
        <f>VLOOKUP(B2106,'Thống kê'!$C$3:$M$970,4,0)</f>
        <v>0</v>
      </c>
      <c r="E2106" s="167">
        <v>1</v>
      </c>
      <c r="F2106" s="168">
        <f t="shared" si="9"/>
        <v>0</v>
      </c>
      <c r="G2106" s="75"/>
      <c r="H2106" s="373"/>
    </row>
    <row r="2107" spans="1:8" ht="13.2">
      <c r="A2107" s="157"/>
      <c r="B2107" s="16" t="s">
        <v>150</v>
      </c>
      <c r="C2107" s="143" t="str">
        <f>VLOOKUP(B2107,'Thống kê'!$C$3:$D$970,2,0)</f>
        <v>Móc khóa có chuông</v>
      </c>
      <c r="D2107" s="166">
        <f>VLOOKUP(B2107,'Thống kê'!$C$3:$M$970,4,0)</f>
        <v>59000</v>
      </c>
      <c r="E2107" s="167">
        <v>1</v>
      </c>
      <c r="F2107" s="168">
        <f t="shared" si="9"/>
        <v>59000</v>
      </c>
      <c r="G2107" s="75"/>
      <c r="H2107" s="177">
        <v>53300</v>
      </c>
    </row>
    <row r="2108" spans="1:8" ht="13.2">
      <c r="A2108" s="49"/>
      <c r="B2108" s="16" t="s">
        <v>1463</v>
      </c>
      <c r="C2108" s="143">
        <f>VLOOKUP(B2108,'Thống kê'!$C$3:$D$970,2,0)</f>
        <v>0</v>
      </c>
      <c r="D2108" s="166">
        <f>VLOOKUP(B2108,'Thống kê'!$C$3:$M$970,4,0)</f>
        <v>0</v>
      </c>
      <c r="E2108" s="167">
        <v>1</v>
      </c>
      <c r="F2108" s="168">
        <f t="shared" si="9"/>
        <v>0</v>
      </c>
      <c r="G2108" s="75"/>
      <c r="H2108" s="178">
        <v>67240</v>
      </c>
    </row>
    <row r="2109" spans="1:8" ht="13.2">
      <c r="A2109" s="49"/>
      <c r="B2109" s="16" t="s">
        <v>126</v>
      </c>
      <c r="C2109" s="143">
        <f>VLOOKUP(B2109,'Thống kê'!$C$3:$D$970,2,0)</f>
        <v>0</v>
      </c>
      <c r="D2109" s="166">
        <f>VLOOKUP(B2109,'Thống kê'!$C$3:$M$970,4,0)</f>
        <v>0</v>
      </c>
      <c r="E2109" s="167">
        <v>1</v>
      </c>
      <c r="F2109" s="168">
        <f t="shared" si="9"/>
        <v>0</v>
      </c>
      <c r="G2109" s="75"/>
      <c r="H2109" s="175">
        <v>67860</v>
      </c>
    </row>
    <row r="2110" spans="1:8" ht="13.2">
      <c r="A2110" s="49"/>
      <c r="B2110" s="16" t="s">
        <v>142</v>
      </c>
      <c r="C2110" s="143">
        <f>VLOOKUP(B2110,'Thống kê'!$C$3:$D$970,2,0)</f>
        <v>0</v>
      </c>
      <c r="D2110" s="166">
        <f>VLOOKUP(B2110,'Thống kê'!$C$3:$M$970,4,0)</f>
        <v>0</v>
      </c>
      <c r="E2110" s="167">
        <v>1</v>
      </c>
      <c r="F2110" s="168">
        <f t="shared" si="9"/>
        <v>0</v>
      </c>
      <c r="G2110" s="75"/>
      <c r="H2110" s="402">
        <v>126280</v>
      </c>
    </row>
    <row r="2111" spans="1:8" ht="13.2">
      <c r="A2111" s="49"/>
      <c r="B2111" s="16" t="s">
        <v>127</v>
      </c>
      <c r="C2111" s="143">
        <f>VLOOKUP(B2111,'Thống kê'!$C$3:$D$970,2,0)</f>
        <v>0</v>
      </c>
      <c r="D2111" s="166">
        <f>VLOOKUP(B2111,'Thống kê'!$C$3:$M$970,4,0)</f>
        <v>0</v>
      </c>
      <c r="E2111" s="167">
        <v>1</v>
      </c>
      <c r="F2111" s="168">
        <f t="shared" si="9"/>
        <v>0</v>
      </c>
      <c r="G2111" s="75"/>
      <c r="H2111" s="373"/>
    </row>
    <row r="2112" spans="1:8" ht="13.2">
      <c r="A2112" s="49"/>
      <c r="B2112" s="16" t="s">
        <v>191</v>
      </c>
      <c r="C2112" s="143">
        <f>VLOOKUP(B2112,'Thống kê'!$C$3:$D$970,2,0)</f>
        <v>0</v>
      </c>
      <c r="D2112" s="166">
        <f>VLOOKUP(B2112,'Thống kê'!$C$3:$M$970,4,0)</f>
        <v>0</v>
      </c>
      <c r="E2112" s="167">
        <v>1</v>
      </c>
      <c r="F2112" s="168">
        <f t="shared" si="9"/>
        <v>0</v>
      </c>
      <c r="G2112" s="75"/>
      <c r="H2112" s="177">
        <v>68060</v>
      </c>
    </row>
    <row r="2113" spans="1:8" ht="13.2">
      <c r="A2113" s="49"/>
      <c r="B2113" s="16" t="s">
        <v>1843</v>
      </c>
      <c r="C2113" s="143" t="str">
        <f>VLOOKUP(B2113,'Thống kê'!$C$3:$D$970,2,0)</f>
        <v>Trâm cài 23</v>
      </c>
      <c r="D2113" s="166">
        <f>VLOOKUP(B2113,'Thống kê'!$C$3:$M$970,4,0)</f>
        <v>33120</v>
      </c>
      <c r="E2113" s="167">
        <v>1</v>
      </c>
      <c r="F2113" s="168">
        <f t="shared" si="9"/>
        <v>33120</v>
      </c>
      <c r="G2113" s="75"/>
      <c r="H2113" s="403">
        <v>49884</v>
      </c>
    </row>
    <row r="2114" spans="1:8" ht="13.2">
      <c r="A2114" s="49"/>
      <c r="B2114" s="16" t="s">
        <v>1382</v>
      </c>
      <c r="C2114" s="143" t="str">
        <f>VLOOKUP(B2114,'Thống kê'!$C$3:$D$970,2,0)</f>
        <v>miếng dán silicon điện thoại</v>
      </c>
      <c r="D2114" s="166">
        <f>VLOOKUP(B2114,'Thống kê'!$C$3:$M$970,4,0)</f>
        <v>0</v>
      </c>
      <c r="E2114" s="167">
        <v>1</v>
      </c>
      <c r="F2114" s="168">
        <f t="shared" si="9"/>
        <v>0</v>
      </c>
      <c r="G2114" s="75"/>
      <c r="H2114" s="372"/>
    </row>
    <row r="2115" spans="1:8" ht="13.2">
      <c r="A2115" s="49"/>
      <c r="B2115" s="16" t="s">
        <v>1841</v>
      </c>
      <c r="C2115" s="143" t="str">
        <f>VLOOKUP(B2115,'Thống kê'!$C$3:$D$970,2,0)</f>
        <v>Túi Đựng Mắt Kính Da Pu</v>
      </c>
      <c r="D2115" s="166">
        <f>VLOOKUP(B2115,'Thống kê'!$C$3:$M$970,4,0)</f>
        <v>0</v>
      </c>
      <c r="E2115" s="167">
        <v>1</v>
      </c>
      <c r="F2115" s="168">
        <f t="shared" si="9"/>
        <v>0</v>
      </c>
      <c r="G2115" s="75"/>
      <c r="H2115" s="373"/>
    </row>
    <row r="2116" spans="1:8" ht="13.2">
      <c r="A2116" s="49"/>
      <c r="B2116" s="16" t="s">
        <v>126</v>
      </c>
      <c r="C2116" s="143">
        <f>VLOOKUP(B2116,'Thống kê'!$C$3:$D$970,2,0)</f>
        <v>0</v>
      </c>
      <c r="D2116" s="166">
        <f>VLOOKUP(B2116,'Thống kê'!$C$3:$M$970,4,0)</f>
        <v>0</v>
      </c>
      <c r="E2116" s="167">
        <v>1</v>
      </c>
      <c r="F2116" s="168">
        <f t="shared" si="9"/>
        <v>0</v>
      </c>
      <c r="G2116" s="75"/>
      <c r="H2116" s="403">
        <v>78576</v>
      </c>
    </row>
    <row r="2117" spans="1:8" ht="13.2">
      <c r="A2117" s="49"/>
      <c r="B2117" s="16" t="s">
        <v>1821</v>
      </c>
      <c r="C2117" s="143" t="e">
        <f>VLOOKUP(B2117,'Thống kê'!$C$3:$D$970,2,0)</f>
        <v>#N/A</v>
      </c>
      <c r="D2117" s="166" t="e">
        <f>VLOOKUP(B2117,'Thống kê'!$C$3:$M$970,4,0)</f>
        <v>#N/A</v>
      </c>
      <c r="E2117" s="167">
        <v>1</v>
      </c>
      <c r="F2117" s="168" t="e">
        <f t="shared" si="9"/>
        <v>#N/A</v>
      </c>
      <c r="G2117" s="75"/>
      <c r="H2117" s="372"/>
    </row>
    <row r="2118" spans="1:8" ht="13.2">
      <c r="A2118" s="49"/>
      <c r="B2118" s="16" t="s">
        <v>209</v>
      </c>
      <c r="C2118" s="143">
        <f>VLOOKUP(B2118,'Thống kê'!$C$3:$D$970,2,0)</f>
        <v>0</v>
      </c>
      <c r="D2118" s="166">
        <f>VLOOKUP(B2118,'Thống kê'!$C$3:$M$970,4,0)</f>
        <v>0</v>
      </c>
      <c r="E2118" s="167">
        <v>1</v>
      </c>
      <c r="F2118" s="168">
        <f t="shared" si="9"/>
        <v>0</v>
      </c>
      <c r="G2118" s="75"/>
      <c r="H2118" s="372"/>
    </row>
    <row r="2119" spans="1:8" ht="13.2">
      <c r="A2119" s="49"/>
      <c r="B2119" s="16" t="s">
        <v>210</v>
      </c>
      <c r="C2119" s="143">
        <f>VLOOKUP(B2119,'Thống kê'!$C$3:$D$970,2,0)</f>
        <v>0</v>
      </c>
      <c r="D2119" s="166">
        <f>VLOOKUP(B2119,'Thống kê'!$C$3:$M$970,4,0)</f>
        <v>0</v>
      </c>
      <c r="E2119" s="167">
        <v>1</v>
      </c>
      <c r="F2119" s="168">
        <f t="shared" si="9"/>
        <v>0</v>
      </c>
      <c r="G2119" s="75"/>
      <c r="H2119" s="373"/>
    </row>
    <row r="2120" spans="1:8" ht="13.2">
      <c r="A2120" s="49"/>
      <c r="B2120" s="16" t="s">
        <v>325</v>
      </c>
      <c r="C2120" s="143" t="str">
        <f>VLOOKUP(B2120,'Thống kê'!$C$3:$D$970,2,0)</f>
        <v>Gấu ú</v>
      </c>
      <c r="D2120" s="166">
        <f>VLOOKUP(B2120,'Thống kê'!$C$3:$M$970,4,0)</f>
        <v>59500</v>
      </c>
      <c r="E2120" s="167">
        <v>1</v>
      </c>
      <c r="F2120" s="168">
        <f t="shared" si="9"/>
        <v>59500</v>
      </c>
      <c r="G2120" s="75"/>
      <c r="H2120" s="402">
        <v>104140</v>
      </c>
    </row>
    <row r="2121" spans="1:8" ht="13.2">
      <c r="A2121" s="49"/>
      <c r="B2121" s="16" t="s">
        <v>186</v>
      </c>
      <c r="C2121" s="143" t="str">
        <f>VLOOKUP(B2121,'Thống kê'!$C$3:$D$970,2,0)</f>
        <v>Thỏ ú bay</v>
      </c>
      <c r="D2121" s="166">
        <f>VLOOKUP(B2121,'Thống kê'!$C$3:$M$970,4,0)</f>
        <v>64500</v>
      </c>
      <c r="E2121" s="167">
        <v>1</v>
      </c>
      <c r="F2121" s="168">
        <f t="shared" si="9"/>
        <v>64500</v>
      </c>
      <c r="G2121" s="75"/>
      <c r="H2121" s="373"/>
    </row>
    <row r="2122" spans="1:8" ht="13.2">
      <c r="A2122" s="49"/>
      <c r="B2122" s="16" t="s">
        <v>245</v>
      </c>
      <c r="C2122" s="143" t="str">
        <f>VLOOKUP(B2122,'Thống kê'!$C$3:$D$970,2,0)</f>
        <v>Móc khóa Popbean</v>
      </c>
      <c r="D2122" s="166">
        <f>VLOOKUP(B2122,'Thống kê'!$C$3:$M$970,4,0)</f>
        <v>148000</v>
      </c>
      <c r="E2122" s="167">
        <v>1</v>
      </c>
      <c r="F2122" s="168">
        <f t="shared" si="9"/>
        <v>148000</v>
      </c>
      <c r="G2122" s="75"/>
      <c r="H2122" s="177">
        <v>128740</v>
      </c>
    </row>
    <row r="2123" spans="1:8" ht="13.2">
      <c r="A2123" s="49"/>
      <c r="B2123" s="16" t="s">
        <v>126</v>
      </c>
      <c r="C2123" s="143">
        <f>VLOOKUP(B2123,'Thống kê'!$C$3:$D$970,2,0)</f>
        <v>0</v>
      </c>
      <c r="D2123" s="166">
        <f>VLOOKUP(B2123,'Thống kê'!$C$3:$M$970,4,0)</f>
        <v>0</v>
      </c>
      <c r="E2123" s="167">
        <v>1</v>
      </c>
      <c r="F2123" s="168">
        <f t="shared" si="9"/>
        <v>0</v>
      </c>
      <c r="G2123" s="75"/>
      <c r="H2123" s="177">
        <v>67410</v>
      </c>
    </row>
    <row r="2124" spans="1:8" ht="13.2">
      <c r="A2124" s="49"/>
      <c r="B2124" s="16" t="s">
        <v>1524</v>
      </c>
      <c r="C2124" s="143">
        <f>VLOOKUP(B2124,'Thống kê'!$C$3:$D$970,2,0)</f>
        <v>0</v>
      </c>
      <c r="D2124" s="166">
        <f>VLOOKUP(B2124,'Thống kê'!$C$3:$M$970,4,0)</f>
        <v>0</v>
      </c>
      <c r="E2124" s="167">
        <v>1</v>
      </c>
      <c r="F2124" s="168">
        <f t="shared" si="9"/>
        <v>0</v>
      </c>
      <c r="G2124" s="75"/>
      <c r="H2124" s="403">
        <v>109880</v>
      </c>
    </row>
    <row r="2125" spans="1:8" ht="13.2">
      <c r="A2125" s="49"/>
      <c r="B2125" s="16" t="s">
        <v>1523</v>
      </c>
      <c r="C2125" s="143">
        <f>VLOOKUP(B2125,'Thống kê'!$C$3:$D$970,2,0)</f>
        <v>0</v>
      </c>
      <c r="D2125" s="166">
        <f>VLOOKUP(B2125,'Thống kê'!$C$3:$M$970,4,0)</f>
        <v>0</v>
      </c>
      <c r="E2125" s="167">
        <v>1</v>
      </c>
      <c r="F2125" s="168">
        <f t="shared" si="9"/>
        <v>0</v>
      </c>
      <c r="G2125" s="75"/>
      <c r="H2125" s="373"/>
    </row>
    <row r="2126" spans="1:8" ht="13.2">
      <c r="A2126" s="49"/>
      <c r="B2126" s="16" t="s">
        <v>1524</v>
      </c>
      <c r="C2126" s="143">
        <f>VLOOKUP(B2126,'Thống kê'!$C$3:$D$970,2,0)</f>
        <v>0</v>
      </c>
      <c r="D2126" s="166">
        <f>VLOOKUP(B2126,'Thống kê'!$C$3:$M$970,4,0)</f>
        <v>0</v>
      </c>
      <c r="E2126" s="167">
        <v>-1</v>
      </c>
      <c r="F2126" s="168">
        <f t="shared" si="9"/>
        <v>0</v>
      </c>
      <c r="G2126" s="75"/>
      <c r="H2126" s="178">
        <v>-61000</v>
      </c>
    </row>
    <row r="2127" spans="1:8" ht="13.2">
      <c r="A2127" s="49"/>
      <c r="B2127" s="16" t="s">
        <v>192</v>
      </c>
      <c r="C2127" s="143">
        <f>VLOOKUP(B2127,'Thống kê'!$C$3:$D$970,2,0)</f>
        <v>0</v>
      </c>
      <c r="D2127" s="166">
        <f>VLOOKUP(B2127,'Thống kê'!$C$3:$M$970,4,0)</f>
        <v>0</v>
      </c>
      <c r="E2127" s="167">
        <v>-1</v>
      </c>
      <c r="F2127" s="168">
        <f t="shared" si="9"/>
        <v>0</v>
      </c>
      <c r="G2127" s="75"/>
      <c r="H2127" s="175">
        <v>-62560</v>
      </c>
    </row>
    <row r="2128" spans="1:8" ht="13.2">
      <c r="A2128" s="49"/>
      <c r="B2128" s="16" t="s">
        <v>1384</v>
      </c>
      <c r="C2128" s="143" t="str">
        <f>VLOOKUP(B2128,'Thống kê'!$C$3:$D$970,2,0)</f>
        <v>Móc khoá Crybaby mini Popmart</v>
      </c>
      <c r="D2128" s="166">
        <f>VLOOKUP(B2128,'Thống kê'!$C$3:$M$970,4,0)</f>
        <v>0</v>
      </c>
      <c r="E2128" s="167">
        <v>-1</v>
      </c>
      <c r="F2128" s="168">
        <f t="shared" si="9"/>
        <v>0</v>
      </c>
      <c r="G2128" s="75"/>
      <c r="H2128" s="175">
        <v>-98700</v>
      </c>
    </row>
    <row r="2129" spans="1:8" ht="13.2">
      <c r="A2129" s="49"/>
      <c r="B2129" s="16" t="s">
        <v>126</v>
      </c>
      <c r="C2129" s="143">
        <f>VLOOKUP(B2129,'Thống kê'!$C$3:$D$970,2,0)</f>
        <v>0</v>
      </c>
      <c r="D2129" s="166">
        <f>VLOOKUP(B2129,'Thống kê'!$C$3:$M$970,4,0)</f>
        <v>0</v>
      </c>
      <c r="E2129" s="167">
        <v>-1</v>
      </c>
      <c r="F2129" s="168">
        <f t="shared" si="9"/>
        <v>0</v>
      </c>
      <c r="G2129" s="75"/>
      <c r="H2129" s="402">
        <v>-418880</v>
      </c>
    </row>
    <row r="2130" spans="1:8" ht="13.2">
      <c r="A2130" s="49"/>
      <c r="B2130" s="16" t="s">
        <v>171</v>
      </c>
      <c r="C2130" s="143">
        <f>VLOOKUP(B2130,'Thống kê'!$C$3:$D$970,2,0)</f>
        <v>0</v>
      </c>
      <c r="D2130" s="166">
        <f>VLOOKUP(B2130,'Thống kê'!$C$3:$M$970,4,0)</f>
        <v>0</v>
      </c>
      <c r="E2130" s="167">
        <v>-1</v>
      </c>
      <c r="F2130" s="168">
        <f t="shared" si="9"/>
        <v>0</v>
      </c>
      <c r="G2130" s="75"/>
      <c r="H2130" s="372"/>
    </row>
    <row r="2131" spans="1:8" ht="13.2">
      <c r="A2131" s="49"/>
      <c r="B2131" s="16" t="s">
        <v>142</v>
      </c>
      <c r="C2131" s="143">
        <f>VLOOKUP(B2131,'Thống kê'!$C$3:$D$970,2,0)</f>
        <v>0</v>
      </c>
      <c r="D2131" s="166">
        <f>VLOOKUP(B2131,'Thống kê'!$C$3:$M$970,4,0)</f>
        <v>0</v>
      </c>
      <c r="E2131" s="167">
        <v>-1</v>
      </c>
      <c r="F2131" s="168">
        <f t="shared" si="9"/>
        <v>0</v>
      </c>
      <c r="G2131" s="75"/>
      <c r="H2131" s="372"/>
    </row>
    <row r="2132" spans="1:8" ht="13.2">
      <c r="A2132" s="49"/>
      <c r="B2132" s="16" t="s">
        <v>171</v>
      </c>
      <c r="C2132" s="143">
        <f>VLOOKUP(B2132,'Thống kê'!$C$3:$D$970,2,0)</f>
        <v>0</v>
      </c>
      <c r="D2132" s="166">
        <f>VLOOKUP(B2132,'Thống kê'!$C$3:$M$970,4,0)</f>
        <v>0</v>
      </c>
      <c r="E2132" s="167">
        <v>-1</v>
      </c>
      <c r="F2132" s="168">
        <f t="shared" si="9"/>
        <v>0</v>
      </c>
      <c r="G2132" s="75"/>
      <c r="H2132" s="372"/>
    </row>
    <row r="2133" spans="1:8" ht="13.2">
      <c r="A2133" s="49"/>
      <c r="B2133" s="16" t="s">
        <v>142</v>
      </c>
      <c r="C2133" s="143">
        <f>VLOOKUP(B2133,'Thống kê'!$C$3:$D$970,2,0)</f>
        <v>0</v>
      </c>
      <c r="D2133" s="166">
        <f>VLOOKUP(B2133,'Thống kê'!$C$3:$M$970,4,0)</f>
        <v>0</v>
      </c>
      <c r="E2133" s="167">
        <v>-1</v>
      </c>
      <c r="F2133" s="168">
        <f t="shared" si="9"/>
        <v>0</v>
      </c>
      <c r="G2133" s="75"/>
      <c r="H2133" s="372"/>
    </row>
    <row r="2134" spans="1:8" ht="13.2">
      <c r="A2134" s="49"/>
      <c r="B2134" s="16" t="s">
        <v>85</v>
      </c>
      <c r="C2134" s="143">
        <f>VLOOKUP(B2134,'Thống kê'!$C$3:$D$970,2,0)</f>
        <v>0</v>
      </c>
      <c r="D2134" s="166">
        <f>VLOOKUP(B2134,'Thống kê'!$C$3:$M$970,4,0)</f>
        <v>0</v>
      </c>
      <c r="E2134" s="167">
        <v>-1</v>
      </c>
      <c r="F2134" s="168">
        <f t="shared" si="9"/>
        <v>0</v>
      </c>
      <c r="G2134" s="75"/>
      <c r="H2134" s="372"/>
    </row>
    <row r="2135" spans="1:8" ht="13.2">
      <c r="A2135" s="64">
        <v>45750</v>
      </c>
      <c r="B2135" s="16" t="s">
        <v>80</v>
      </c>
      <c r="C2135" s="143">
        <f>VLOOKUP(B2135,'Thống kê'!$C$3:$D$970,2,0)</f>
        <v>0</v>
      </c>
      <c r="D2135" s="166">
        <f>VLOOKUP(B2135,'Thống kê'!$C$3:$M$970,4,0)</f>
        <v>0</v>
      </c>
      <c r="E2135" s="167">
        <v>1</v>
      </c>
      <c r="F2135" s="168">
        <f t="shared" si="9"/>
        <v>0</v>
      </c>
      <c r="G2135" s="75"/>
      <c r="H2135" s="177">
        <v>68060</v>
      </c>
    </row>
    <row r="2136" spans="1:8" ht="13.2">
      <c r="A2136" s="49"/>
      <c r="B2136" s="16" t="s">
        <v>116</v>
      </c>
      <c r="C2136" s="143" t="str">
        <f>VLOOKUP(B2136,'Thống kê'!$C$3:$D$970,2,0)</f>
        <v>heo ú cầm hoa</v>
      </c>
      <c r="D2136" s="166">
        <f>VLOOKUP(B2136,'Thống kê'!$C$3:$M$970,4,0)</f>
        <v>64500</v>
      </c>
      <c r="E2136" s="167">
        <v>1</v>
      </c>
      <c r="F2136" s="168">
        <f t="shared" si="9"/>
        <v>64500</v>
      </c>
      <c r="G2136" s="75"/>
      <c r="H2136" s="177">
        <v>52808</v>
      </c>
    </row>
    <row r="2137" spans="1:8" ht="13.2">
      <c r="A2137" s="49"/>
      <c r="B2137" s="16" t="s">
        <v>150</v>
      </c>
      <c r="C2137" s="143" t="str">
        <f>VLOOKUP(B2137,'Thống kê'!$C$3:$D$970,2,0)</f>
        <v>Móc khóa có chuông</v>
      </c>
      <c r="D2137" s="166">
        <f>VLOOKUP(B2137,'Thống kê'!$C$3:$M$970,4,0)</f>
        <v>59000</v>
      </c>
      <c r="E2137" s="167">
        <v>1</v>
      </c>
      <c r="F2137" s="168">
        <f t="shared" si="9"/>
        <v>59000</v>
      </c>
      <c r="G2137" s="75"/>
      <c r="H2137" s="177">
        <v>53300</v>
      </c>
    </row>
    <row r="2138" spans="1:8" ht="13.2">
      <c r="A2138" s="49"/>
      <c r="B2138" s="16" t="s">
        <v>183</v>
      </c>
      <c r="C2138" s="143" t="str">
        <f>VLOOKUP(B2138,'Thống kê'!$C$3:$D$970,2,0)</f>
        <v>Thỏ máy bay gắn xe</v>
      </c>
      <c r="D2138" s="166">
        <f>VLOOKUP(B2138,'Thống kê'!$C$3:$M$970,4,0)</f>
        <v>45000</v>
      </c>
      <c r="E2138" s="167">
        <v>1</v>
      </c>
      <c r="F2138" s="168">
        <f t="shared" si="9"/>
        <v>45000</v>
      </c>
      <c r="G2138" s="75"/>
      <c r="H2138" s="177">
        <v>29955</v>
      </c>
    </row>
    <row r="2139" spans="1:8" ht="13.2">
      <c r="A2139" s="49"/>
      <c r="B2139" s="16" t="s">
        <v>119</v>
      </c>
      <c r="C2139" s="143" t="str">
        <f>VLOOKUP(B2139,'Thống kê'!$C$3:$D$970,2,0)</f>
        <v>Thỏ chạy xe gắn xe</v>
      </c>
      <c r="D2139" s="166">
        <f>VLOOKUP(B2139,'Thống kê'!$C$3:$M$970,4,0)</f>
        <v>45000</v>
      </c>
      <c r="E2139" s="167">
        <v>1</v>
      </c>
      <c r="F2139" s="168">
        <f t="shared" si="9"/>
        <v>45000</v>
      </c>
      <c r="G2139" s="75"/>
      <c r="H2139" s="403">
        <v>175963</v>
      </c>
    </row>
    <row r="2140" spans="1:8" ht="13.2">
      <c r="A2140" s="49"/>
      <c r="B2140" s="16" t="s">
        <v>309</v>
      </c>
      <c r="C2140" s="143">
        <f>VLOOKUP(B2140,'Thống kê'!$C$3:$D$970,2,0)</f>
        <v>0</v>
      </c>
      <c r="D2140" s="166">
        <f>VLOOKUP(B2140,'Thống kê'!$C$3:$M$970,4,0)</f>
        <v>0</v>
      </c>
      <c r="E2140" s="167">
        <v>1</v>
      </c>
      <c r="F2140" s="168">
        <f t="shared" si="9"/>
        <v>0</v>
      </c>
      <c r="G2140" s="75"/>
      <c r="H2140" s="372"/>
    </row>
    <row r="2141" spans="1:8" ht="13.2">
      <c r="A2141" s="49"/>
      <c r="B2141" s="16" t="s">
        <v>1353</v>
      </c>
      <c r="C2141" s="143" t="str">
        <f>VLOOKUP(B2141,'Thống kê'!$C$3:$D$970,2,0)</f>
        <v>Trang trí mô hình Vịt</v>
      </c>
      <c r="D2141" s="166">
        <f>VLOOKUP(B2141,'Thống kê'!$C$3:$M$970,4,0)</f>
        <v>39000</v>
      </c>
      <c r="E2141" s="167">
        <v>1</v>
      </c>
      <c r="F2141" s="168">
        <f t="shared" si="9"/>
        <v>39000</v>
      </c>
      <c r="G2141" s="75"/>
      <c r="H2141" s="372"/>
    </row>
    <row r="2142" spans="1:8" ht="13.2">
      <c r="A2142" s="157"/>
      <c r="B2142" s="16" t="s">
        <v>1355</v>
      </c>
      <c r="C2142" s="143" t="str">
        <f>VLOOKUP(B2142,'Thống kê'!$C$3:$D$970,2,0)</f>
        <v>Trang trí mô hình Gấu</v>
      </c>
      <c r="D2142" s="166">
        <f>VLOOKUP(B2142,'Thống kê'!$C$3:$M$970,4,0)</f>
        <v>39000</v>
      </c>
      <c r="E2142" s="167">
        <v>1</v>
      </c>
      <c r="F2142" s="168">
        <f t="shared" si="9"/>
        <v>39000</v>
      </c>
      <c r="G2142" s="75"/>
      <c r="H2142" s="372"/>
    </row>
    <row r="2143" spans="1:8" ht="13.2">
      <c r="A2143" s="49"/>
      <c r="B2143" s="16" t="s">
        <v>1837</v>
      </c>
      <c r="C2143" s="143" t="str">
        <f>VLOOKUP(B2143,'Thống kê'!$C$3:$D$970,2,0)</f>
        <v>Túi đựng mỹ phẩm cầm tay</v>
      </c>
      <c r="D2143" s="166">
        <f>VLOOKUP(B2143,'Thống kê'!$C$3:$M$970,4,0)</f>
        <v>0</v>
      </c>
      <c r="E2143" s="167">
        <v>1</v>
      </c>
      <c r="F2143" s="168">
        <f t="shared" si="9"/>
        <v>0</v>
      </c>
      <c r="G2143" s="75"/>
      <c r="H2143" s="372"/>
    </row>
    <row r="2144" spans="1:8" ht="13.2">
      <c r="A2144" s="49"/>
      <c r="B2144" s="16" t="s">
        <v>116</v>
      </c>
      <c r="C2144" s="143" t="str">
        <f>VLOOKUP(B2144,'Thống kê'!$C$3:$D$970,2,0)</f>
        <v>heo ú cầm hoa</v>
      </c>
      <c r="D2144" s="166">
        <f>VLOOKUP(B2144,'Thống kê'!$C$3:$M$970,4,0)</f>
        <v>64500</v>
      </c>
      <c r="E2144" s="167">
        <v>1</v>
      </c>
      <c r="F2144" s="168">
        <f t="shared" si="9"/>
        <v>64500</v>
      </c>
      <c r="G2144" s="75"/>
      <c r="H2144" s="402">
        <v>99220</v>
      </c>
    </row>
    <row r="2145" spans="1:8" ht="13.2">
      <c r="A2145" s="49"/>
      <c r="B2145" s="16" t="s">
        <v>150</v>
      </c>
      <c r="C2145" s="143" t="str">
        <f>VLOOKUP(B2145,'Thống kê'!$C$3:$D$970,2,0)</f>
        <v>Móc khóa có chuông</v>
      </c>
      <c r="D2145" s="166">
        <f>VLOOKUP(B2145,'Thống kê'!$C$3:$M$970,4,0)</f>
        <v>59000</v>
      </c>
      <c r="E2145" s="167">
        <v>1</v>
      </c>
      <c r="F2145" s="168">
        <f t="shared" si="9"/>
        <v>59000</v>
      </c>
      <c r="G2145" s="75"/>
      <c r="H2145" s="373"/>
    </row>
    <row r="2146" spans="1:8" ht="13.2">
      <c r="A2146" s="49"/>
      <c r="B2146" s="16" t="s">
        <v>80</v>
      </c>
      <c r="C2146" s="143">
        <f>VLOOKUP(B2146,'Thống kê'!$C$3:$D$970,2,0)</f>
        <v>0</v>
      </c>
      <c r="D2146" s="166">
        <f>VLOOKUP(B2146,'Thống kê'!$C$3:$M$970,4,0)</f>
        <v>0</v>
      </c>
      <c r="E2146" s="167">
        <v>1</v>
      </c>
      <c r="F2146" s="168">
        <f t="shared" si="9"/>
        <v>0</v>
      </c>
      <c r="G2146" s="75"/>
      <c r="H2146" s="403">
        <v>126280</v>
      </c>
    </row>
    <row r="2147" spans="1:8" ht="13.2">
      <c r="A2147" s="49"/>
      <c r="B2147" s="16" t="s">
        <v>127</v>
      </c>
      <c r="C2147" s="143">
        <f>VLOOKUP(B2147,'Thống kê'!$C$3:$D$970,2,0)</f>
        <v>0</v>
      </c>
      <c r="D2147" s="166">
        <f>VLOOKUP(B2147,'Thống kê'!$C$3:$M$970,4,0)</f>
        <v>0</v>
      </c>
      <c r="E2147" s="167">
        <v>1</v>
      </c>
      <c r="F2147" s="168">
        <f t="shared" si="9"/>
        <v>0</v>
      </c>
      <c r="G2147" s="75"/>
      <c r="H2147" s="373"/>
    </row>
    <row r="2148" spans="1:8" ht="13.2">
      <c r="A2148" s="49"/>
      <c r="B2148" s="16" t="s">
        <v>176</v>
      </c>
      <c r="C2148" s="143">
        <f>VLOOKUP(B2148,'Thống kê'!$C$3:$D$970,2,0)</f>
        <v>0</v>
      </c>
      <c r="D2148" s="166">
        <f>VLOOKUP(B2148,'Thống kê'!$C$3:$M$970,4,0)</f>
        <v>0</v>
      </c>
      <c r="E2148" s="167">
        <v>1</v>
      </c>
      <c r="F2148" s="168">
        <f t="shared" si="9"/>
        <v>0</v>
      </c>
      <c r="G2148" s="75"/>
      <c r="H2148" s="177">
        <v>67985</v>
      </c>
    </row>
    <row r="2149" spans="1:8" ht="13.2">
      <c r="A2149" s="64">
        <v>45751</v>
      </c>
      <c r="B2149" s="16" t="s">
        <v>85</v>
      </c>
      <c r="C2149" s="143">
        <f>VLOOKUP(B2149,'Thống kê'!$C$3:$D$970,2,0)</f>
        <v>0</v>
      </c>
      <c r="D2149" s="166">
        <f>VLOOKUP(B2149,'Thống kê'!$C$3:$M$970,4,0)</f>
        <v>0</v>
      </c>
      <c r="E2149" s="167">
        <v>1</v>
      </c>
      <c r="F2149" s="168">
        <f t="shared" si="9"/>
        <v>0</v>
      </c>
      <c r="G2149" s="75"/>
      <c r="H2149" s="177">
        <v>53562</v>
      </c>
    </row>
    <row r="2150" spans="1:8" ht="13.2">
      <c r="A2150" s="49"/>
      <c r="B2150" s="16" t="s">
        <v>126</v>
      </c>
      <c r="C2150" s="143">
        <f>VLOOKUP(B2150,'Thống kê'!$C$3:$D$970,2,0)</f>
        <v>0</v>
      </c>
      <c r="D2150" s="166">
        <f>VLOOKUP(B2150,'Thống kê'!$C$3:$M$970,4,0)</f>
        <v>0</v>
      </c>
      <c r="E2150" s="167">
        <v>1</v>
      </c>
      <c r="F2150" s="168">
        <f t="shared" si="9"/>
        <v>0</v>
      </c>
      <c r="G2150" s="75"/>
      <c r="H2150" s="177">
        <v>59210</v>
      </c>
    </row>
    <row r="2151" spans="1:8" ht="13.2">
      <c r="A2151" s="49"/>
      <c r="B2151" s="16" t="s">
        <v>1815</v>
      </c>
      <c r="C2151" s="143" t="str">
        <f>VLOOKUP(B2151,'Thống kê'!$C$3:$D$970,2,0)</f>
        <v>Hộp thuốc nơ tím</v>
      </c>
      <c r="D2151" s="166">
        <f>VLOOKUP(B2151,'Thống kê'!$C$3:$M$970,4,0)</f>
        <v>11000</v>
      </c>
      <c r="E2151" s="167">
        <v>1</v>
      </c>
      <c r="F2151" s="168">
        <f t="shared" si="9"/>
        <v>11000</v>
      </c>
      <c r="G2151" s="75"/>
      <c r="H2151" s="403">
        <v>82185</v>
      </c>
    </row>
    <row r="2152" spans="1:8" ht="13.2">
      <c r="A2152" s="49"/>
      <c r="B2152" s="16" t="s">
        <v>1603</v>
      </c>
      <c r="C2152" s="143" t="str">
        <f>VLOOKUP(B2152,'Thống kê'!$C$3:$D$970,2,0)</f>
        <v>Thước dây hồng phấn</v>
      </c>
      <c r="D2152" s="166">
        <f>VLOOKUP(B2152,'Thống kê'!$C$3:$M$970,4,0)</f>
        <v>9000</v>
      </c>
      <c r="E2152" s="167">
        <v>1</v>
      </c>
      <c r="F2152" s="168">
        <f t="shared" si="9"/>
        <v>9000</v>
      </c>
      <c r="G2152" s="75"/>
      <c r="H2152" s="372"/>
    </row>
    <row r="2153" spans="1:8" ht="13.2">
      <c r="A2153" s="49"/>
      <c r="B2153" s="16" t="s">
        <v>127</v>
      </c>
      <c r="C2153" s="143">
        <f>VLOOKUP(B2153,'Thống kê'!$C$3:$D$970,2,0)</f>
        <v>0</v>
      </c>
      <c r="D2153" s="166">
        <f>VLOOKUP(B2153,'Thống kê'!$C$3:$M$970,4,0)</f>
        <v>0</v>
      </c>
      <c r="E2153" s="167">
        <v>1</v>
      </c>
      <c r="F2153" s="168">
        <f t="shared" si="9"/>
        <v>0</v>
      </c>
      <c r="G2153" s="75"/>
      <c r="H2153" s="373"/>
    </row>
    <row r="2154" spans="1:8" ht="13.2">
      <c r="A2154" s="49"/>
      <c r="B2154" s="16" t="s">
        <v>196</v>
      </c>
      <c r="C2154" s="143">
        <f>VLOOKUP(B2154,'Thống kê'!$C$3:$D$970,2,0)</f>
        <v>0</v>
      </c>
      <c r="D2154" s="166">
        <f>VLOOKUP(B2154,'Thống kê'!$C$3:$M$970,4,0)</f>
        <v>0</v>
      </c>
      <c r="E2154" s="167">
        <v>1</v>
      </c>
      <c r="F2154" s="168">
        <f t="shared" si="9"/>
        <v>0</v>
      </c>
      <c r="G2154" s="75"/>
      <c r="H2154" s="178">
        <v>53487</v>
      </c>
    </row>
    <row r="2155" spans="1:8" ht="13.2">
      <c r="A2155" s="49"/>
      <c r="B2155" s="16" t="s">
        <v>80</v>
      </c>
      <c r="C2155" s="143">
        <f>VLOOKUP(B2155,'Thống kê'!$C$3:$D$970,2,0)</f>
        <v>0</v>
      </c>
      <c r="D2155" s="166">
        <f>VLOOKUP(B2155,'Thống kê'!$C$3:$M$970,4,0)</f>
        <v>0</v>
      </c>
      <c r="E2155" s="167">
        <v>1</v>
      </c>
      <c r="F2155" s="168">
        <f t="shared" si="9"/>
        <v>0</v>
      </c>
      <c r="G2155" s="75"/>
      <c r="H2155" s="402">
        <v>142680</v>
      </c>
    </row>
    <row r="2156" spans="1:8" ht="13.2">
      <c r="A2156" s="49"/>
      <c r="B2156" s="16" t="s">
        <v>127</v>
      </c>
      <c r="C2156" s="143">
        <f>VLOOKUP(B2156,'Thống kê'!$C$3:$D$970,2,0)</f>
        <v>0</v>
      </c>
      <c r="D2156" s="166">
        <f>VLOOKUP(B2156,'Thống kê'!$C$3:$M$970,4,0)</f>
        <v>0</v>
      </c>
      <c r="E2156" s="167">
        <v>1</v>
      </c>
      <c r="F2156" s="168">
        <f t="shared" si="9"/>
        <v>0</v>
      </c>
      <c r="G2156" s="75"/>
      <c r="H2156" s="373"/>
    </row>
    <row r="2157" spans="1:8" ht="13.2">
      <c r="A2157" s="49"/>
      <c r="B2157" s="16" t="s">
        <v>279</v>
      </c>
      <c r="C2157" s="143">
        <f>VLOOKUP(B2157,'Thống kê'!$C$3:$D$970,2,0)</f>
        <v>0</v>
      </c>
      <c r="D2157" s="166">
        <f>VLOOKUP(B2157,'Thống kê'!$C$3:$M$970,4,0)</f>
        <v>0</v>
      </c>
      <c r="E2157" s="167">
        <v>1</v>
      </c>
      <c r="F2157" s="168">
        <f t="shared" si="9"/>
        <v>0</v>
      </c>
      <c r="G2157" s="75"/>
      <c r="H2157" s="177">
        <v>59428</v>
      </c>
    </row>
    <row r="2158" spans="1:8" ht="13.2">
      <c r="A2158" s="49"/>
      <c r="B2158" s="16" t="s">
        <v>279</v>
      </c>
      <c r="C2158" s="143">
        <f>VLOOKUP(B2158,'Thống kê'!$C$3:$D$970,2,0)</f>
        <v>0</v>
      </c>
      <c r="D2158" s="166">
        <f>VLOOKUP(B2158,'Thống kê'!$C$3:$M$970,4,0)</f>
        <v>0</v>
      </c>
      <c r="E2158" s="167">
        <v>1</v>
      </c>
      <c r="F2158" s="168">
        <f t="shared" si="9"/>
        <v>0</v>
      </c>
      <c r="G2158" s="75"/>
      <c r="H2158" s="178">
        <v>59860</v>
      </c>
    </row>
    <row r="2159" spans="1:8" ht="13.2">
      <c r="A2159" s="49"/>
      <c r="B2159" s="16" t="s">
        <v>94</v>
      </c>
      <c r="C2159" s="143" t="str">
        <f>VLOOKUP(B2159,'Thống kê'!$C$3:$D$970,2,0)</f>
        <v>thỏ</v>
      </c>
      <c r="D2159" s="166">
        <f>VLOOKUP(B2159,'Thống kê'!$C$3:$M$970,4,0)</f>
        <v>35000</v>
      </c>
      <c r="E2159" s="167">
        <v>1</v>
      </c>
      <c r="F2159" s="168">
        <f t="shared" si="9"/>
        <v>35000</v>
      </c>
      <c r="G2159" s="75"/>
      <c r="H2159" s="175">
        <v>26329</v>
      </c>
    </row>
    <row r="2160" spans="1:8" ht="13.2">
      <c r="A2160" s="49"/>
      <c r="B2160" s="16" t="s">
        <v>242</v>
      </c>
      <c r="C2160" s="143">
        <f>VLOOKUP(B2160,'Thống kê'!$C$3:$D$970,2,0)</f>
        <v>0</v>
      </c>
      <c r="D2160" s="166">
        <f>VLOOKUP(B2160,'Thống kê'!$C$3:$M$970,4,0)</f>
        <v>0</v>
      </c>
      <c r="E2160" s="167">
        <v>1</v>
      </c>
      <c r="F2160" s="168">
        <f t="shared" si="9"/>
        <v>0</v>
      </c>
      <c r="G2160" s="75"/>
      <c r="H2160" s="175">
        <v>90200</v>
      </c>
    </row>
    <row r="2161" spans="1:8" ht="13.2">
      <c r="A2161" s="49"/>
      <c r="B2161" s="16" t="s">
        <v>126</v>
      </c>
      <c r="C2161" s="143">
        <f>VLOOKUP(B2161,'Thống kê'!$C$3:$D$970,2,0)</f>
        <v>0</v>
      </c>
      <c r="D2161" s="166">
        <f>VLOOKUP(B2161,'Thống kê'!$C$3:$M$970,4,0)</f>
        <v>0</v>
      </c>
      <c r="E2161" s="167">
        <v>1</v>
      </c>
      <c r="F2161" s="168">
        <f t="shared" si="9"/>
        <v>0</v>
      </c>
      <c r="G2161" s="75"/>
      <c r="H2161" s="402">
        <v>141040</v>
      </c>
    </row>
    <row r="2162" spans="1:8" ht="13.2">
      <c r="A2162" s="49"/>
      <c r="B2162" s="16" t="s">
        <v>176</v>
      </c>
      <c r="C2162" s="143">
        <f>VLOOKUP(B2162,'Thống kê'!$C$3:$D$970,2,0)</f>
        <v>0</v>
      </c>
      <c r="D2162" s="166">
        <f>VLOOKUP(B2162,'Thống kê'!$C$3:$M$970,4,0)</f>
        <v>0</v>
      </c>
      <c r="E2162" s="167">
        <v>1</v>
      </c>
      <c r="F2162" s="168">
        <f t="shared" si="9"/>
        <v>0</v>
      </c>
      <c r="G2162" s="75"/>
      <c r="H2162" s="373"/>
    </row>
    <row r="2163" spans="1:8" ht="13.2">
      <c r="A2163" s="49"/>
      <c r="B2163" s="16" t="s">
        <v>159</v>
      </c>
      <c r="C2163" s="143">
        <f>VLOOKUP(B2163,'Thống kê'!$C$3:$D$970,2,0)</f>
        <v>0</v>
      </c>
      <c r="D2163" s="166">
        <f>VLOOKUP(B2163,'Thống kê'!$C$3:$M$970,4,0)</f>
        <v>0</v>
      </c>
      <c r="E2163" s="167">
        <v>1</v>
      </c>
      <c r="F2163" s="168">
        <f t="shared" si="9"/>
        <v>0</v>
      </c>
      <c r="G2163" s="75"/>
      <c r="H2163" s="403">
        <v>129560</v>
      </c>
    </row>
    <row r="2164" spans="1:8" ht="13.2">
      <c r="A2164" s="49"/>
      <c r="B2164" s="16" t="s">
        <v>196</v>
      </c>
      <c r="C2164" s="143">
        <f>VLOOKUP(B2164,'Thống kê'!$C$3:$D$970,2,0)</f>
        <v>0</v>
      </c>
      <c r="D2164" s="166">
        <f>VLOOKUP(B2164,'Thống kê'!$C$3:$M$970,4,0)</f>
        <v>0</v>
      </c>
      <c r="E2164" s="167">
        <v>1</v>
      </c>
      <c r="F2164" s="168">
        <f t="shared" si="9"/>
        <v>0</v>
      </c>
      <c r="G2164" s="75"/>
      <c r="H2164" s="373"/>
    </row>
    <row r="2165" spans="1:8" ht="13.2">
      <c r="A2165" s="49"/>
      <c r="B2165" s="16" t="s">
        <v>133</v>
      </c>
      <c r="C2165" s="143">
        <f>VLOOKUP(B2165,'Thống kê'!$C$3:$D$970,2,0)</f>
        <v>0</v>
      </c>
      <c r="D2165" s="166">
        <f>VLOOKUP(B2165,'Thống kê'!$C$3:$M$970,4,0)</f>
        <v>0</v>
      </c>
      <c r="E2165" s="167">
        <v>1</v>
      </c>
      <c r="F2165" s="168">
        <f t="shared" si="9"/>
        <v>0</v>
      </c>
      <c r="G2165" s="75"/>
      <c r="H2165" s="403">
        <v>109880</v>
      </c>
    </row>
    <row r="2166" spans="1:8" ht="13.2">
      <c r="A2166" s="49"/>
      <c r="B2166" s="16" t="s">
        <v>77</v>
      </c>
      <c r="C2166" s="143">
        <f>VLOOKUP(B2166,'Thống kê'!$C$3:$D$970,2,0)</f>
        <v>0</v>
      </c>
      <c r="D2166" s="166">
        <f>VLOOKUP(B2166,'Thống kê'!$C$3:$M$970,4,0)</f>
        <v>0</v>
      </c>
      <c r="E2166" s="167">
        <v>1</v>
      </c>
      <c r="F2166" s="168">
        <f t="shared" si="9"/>
        <v>0</v>
      </c>
      <c r="G2166" s="75"/>
      <c r="H2166" s="373"/>
    </row>
    <row r="2167" spans="1:8" ht="13.2">
      <c r="A2167" s="49"/>
      <c r="B2167" s="16" t="s">
        <v>133</v>
      </c>
      <c r="C2167" s="143">
        <f>VLOOKUP(B2167,'Thống kê'!$C$3:$D$970,2,0)</f>
        <v>0</v>
      </c>
      <c r="D2167" s="166">
        <f>VLOOKUP(B2167,'Thống kê'!$C$3:$M$970,4,0)</f>
        <v>0</v>
      </c>
      <c r="E2167" s="167">
        <v>1</v>
      </c>
      <c r="F2167" s="168">
        <f t="shared" si="9"/>
        <v>0</v>
      </c>
      <c r="G2167" s="75"/>
      <c r="H2167" s="403">
        <v>73564</v>
      </c>
    </row>
    <row r="2168" spans="1:8" ht="13.2">
      <c r="A2168" s="49"/>
      <c r="B2168" s="16" t="s">
        <v>1830</v>
      </c>
      <c r="C2168" s="143" t="str">
        <f>VLOOKUP(B2168,'Thống kê'!$C$3:$D$970,2,0)</f>
        <v>Túi đựng đồ trang điểm nhỏ</v>
      </c>
      <c r="D2168" s="166">
        <f>VLOOKUP(B2168,'Thống kê'!$C$3:$M$970,4,0)</f>
        <v>0</v>
      </c>
      <c r="E2168" s="167">
        <v>1</v>
      </c>
      <c r="F2168" s="168">
        <f t="shared" si="9"/>
        <v>0</v>
      </c>
      <c r="G2168" s="75"/>
      <c r="H2168" s="372"/>
    </row>
    <row r="2169" spans="1:8" ht="13.2">
      <c r="A2169" s="49"/>
      <c r="B2169" s="16" t="s">
        <v>171</v>
      </c>
      <c r="C2169" s="143">
        <f>VLOOKUP(B2169,'Thống kê'!$C$3:$D$970,2,0)</f>
        <v>0</v>
      </c>
      <c r="D2169" s="166">
        <f>VLOOKUP(B2169,'Thống kê'!$C$3:$M$970,4,0)</f>
        <v>0</v>
      </c>
      <c r="E2169" s="167">
        <v>1</v>
      </c>
      <c r="F2169" s="168">
        <f t="shared" si="9"/>
        <v>0</v>
      </c>
      <c r="G2169" s="75"/>
      <c r="H2169" s="402">
        <v>175775</v>
      </c>
    </row>
    <row r="2170" spans="1:8" ht="13.2">
      <c r="A2170" s="49"/>
      <c r="B2170" s="16" t="s">
        <v>142</v>
      </c>
      <c r="C2170" s="143">
        <f>VLOOKUP(B2170,'Thống kê'!$C$3:$D$970,2,0)</f>
        <v>0</v>
      </c>
      <c r="D2170" s="166">
        <f>VLOOKUP(B2170,'Thống kê'!$C$3:$M$970,4,0)</f>
        <v>0</v>
      </c>
      <c r="E2170" s="167">
        <v>1</v>
      </c>
      <c r="F2170" s="168">
        <f t="shared" si="9"/>
        <v>0</v>
      </c>
      <c r="G2170" s="75"/>
      <c r="H2170" s="372"/>
    </row>
    <row r="2171" spans="1:8" ht="13.2">
      <c r="A2171" s="49"/>
      <c r="B2171" s="16" t="s">
        <v>85</v>
      </c>
      <c r="C2171" s="143">
        <f>VLOOKUP(B2171,'Thống kê'!$C$3:$D$970,2,0)</f>
        <v>0</v>
      </c>
      <c r="D2171" s="166">
        <f>VLOOKUP(B2171,'Thống kê'!$C$3:$M$970,4,0)</f>
        <v>0</v>
      </c>
      <c r="E2171" s="167">
        <v>1</v>
      </c>
      <c r="F2171" s="168">
        <f t="shared" si="9"/>
        <v>0</v>
      </c>
      <c r="G2171" s="75"/>
      <c r="H2171" s="373"/>
    </row>
    <row r="2172" spans="1:8" ht="13.2">
      <c r="A2172" s="49"/>
      <c r="B2172" s="16" t="s">
        <v>242</v>
      </c>
      <c r="C2172" s="143">
        <f>VLOOKUP(B2172,'Thống kê'!$C$3:$D$970,2,0)</f>
        <v>0</v>
      </c>
      <c r="D2172" s="166">
        <f>VLOOKUP(B2172,'Thống kê'!$C$3:$M$970,4,0)</f>
        <v>0</v>
      </c>
      <c r="E2172" s="167">
        <v>1</v>
      </c>
      <c r="F2172" s="168">
        <f t="shared" si="9"/>
        <v>0</v>
      </c>
      <c r="G2172" s="75"/>
      <c r="H2172" s="178">
        <v>97110</v>
      </c>
    </row>
    <row r="2173" spans="1:8" ht="13.2">
      <c r="A2173" s="49"/>
      <c r="B2173" s="16" t="s">
        <v>1605</v>
      </c>
      <c r="C2173" s="143" t="str">
        <f>VLOOKUP(B2173,'Thống kê'!$C$3:$D$970,2,0)</f>
        <v>Thước dây xanh</v>
      </c>
      <c r="D2173" s="166">
        <f>VLOOKUP(B2173,'Thống kê'!$C$3:$M$970,4,0)</f>
        <v>9000</v>
      </c>
      <c r="E2173" s="167">
        <v>1</v>
      </c>
      <c r="F2173" s="168">
        <f t="shared" si="9"/>
        <v>9000</v>
      </c>
      <c r="G2173" s="75"/>
      <c r="H2173" s="402">
        <v>100102</v>
      </c>
    </row>
    <row r="2174" spans="1:8" ht="13.2">
      <c r="A2174" s="49"/>
      <c r="B2174" s="16" t="s">
        <v>1567</v>
      </c>
      <c r="C2174" s="143">
        <f>VLOOKUP(B2174,'Thống kê'!$C$3:$D$970,2,0)</f>
        <v>0</v>
      </c>
      <c r="D2174" s="166">
        <f>VLOOKUP(B2174,'Thống kê'!$C$3:$M$970,4,0)</f>
        <v>0</v>
      </c>
      <c r="E2174" s="167">
        <v>1</v>
      </c>
      <c r="F2174" s="168">
        <f t="shared" si="9"/>
        <v>0</v>
      </c>
      <c r="G2174" s="75"/>
      <c r="H2174" s="372"/>
    </row>
    <row r="2175" spans="1:8" ht="13.2">
      <c r="A2175" s="49"/>
      <c r="B2175" s="16" t="s">
        <v>1568</v>
      </c>
      <c r="C2175" s="143">
        <f>VLOOKUP(B2175,'Thống kê'!$C$3:$D$970,2,0)</f>
        <v>0</v>
      </c>
      <c r="D2175" s="166">
        <f>VLOOKUP(B2175,'Thống kê'!$C$3:$M$970,4,0)</f>
        <v>0</v>
      </c>
      <c r="E2175" s="167">
        <v>1</v>
      </c>
      <c r="F2175" s="168">
        <f t="shared" si="9"/>
        <v>0</v>
      </c>
      <c r="G2175" s="75"/>
      <c r="H2175" s="372"/>
    </row>
    <row r="2176" spans="1:8" ht="13.2">
      <c r="A2176" s="49"/>
      <c r="B2176" s="16" t="s">
        <v>209</v>
      </c>
      <c r="C2176" s="143">
        <f>VLOOKUP(B2176,'Thống kê'!$C$3:$D$970,2,0)</f>
        <v>0</v>
      </c>
      <c r="D2176" s="166">
        <f>VLOOKUP(B2176,'Thống kê'!$C$3:$M$970,4,0)</f>
        <v>0</v>
      </c>
      <c r="E2176" s="167">
        <v>1</v>
      </c>
      <c r="F2176" s="168">
        <f t="shared" si="9"/>
        <v>0</v>
      </c>
      <c r="G2176" s="75"/>
      <c r="H2176" s="372"/>
    </row>
    <row r="2177" spans="1:8" ht="13.2">
      <c r="A2177" s="49"/>
      <c r="B2177" s="16" t="s">
        <v>196</v>
      </c>
      <c r="C2177" s="143">
        <f>VLOOKUP(B2177,'Thống kê'!$C$3:$D$970,2,0)</f>
        <v>0</v>
      </c>
      <c r="D2177" s="166">
        <f>VLOOKUP(B2177,'Thống kê'!$C$3:$M$970,4,0)</f>
        <v>0</v>
      </c>
      <c r="E2177" s="167">
        <v>1</v>
      </c>
      <c r="F2177" s="168">
        <f t="shared" si="9"/>
        <v>0</v>
      </c>
      <c r="G2177" s="75"/>
      <c r="H2177" s="372"/>
    </row>
    <row r="2178" spans="1:8" ht="13.2">
      <c r="A2178" s="49"/>
      <c r="B2178" s="16" t="s">
        <v>1830</v>
      </c>
      <c r="C2178" s="143" t="str">
        <f>VLOOKUP(B2178,'Thống kê'!$C$3:$D$970,2,0)</f>
        <v>Túi đựng đồ trang điểm nhỏ</v>
      </c>
      <c r="D2178" s="166">
        <f>VLOOKUP(B2178,'Thống kê'!$C$3:$M$970,4,0)</f>
        <v>0</v>
      </c>
      <c r="E2178" s="167">
        <v>1</v>
      </c>
      <c r="F2178" s="168">
        <f t="shared" si="9"/>
        <v>0</v>
      </c>
      <c r="G2178" s="75"/>
      <c r="H2178" s="373"/>
    </row>
    <row r="2179" spans="1:8" ht="13.2">
      <c r="A2179" s="49"/>
      <c r="B2179" s="16" t="s">
        <v>1817</v>
      </c>
      <c r="C2179" s="143" t="str">
        <f>VLOOKUP(B2179,'Thống kê'!$C$3:$D$970,2,0)</f>
        <v>Túi Đựng Mắt Kính Da Pu</v>
      </c>
      <c r="D2179" s="166">
        <f>VLOOKUP(B2179,'Thống kê'!$C$3:$M$970,4,0)</f>
        <v>0</v>
      </c>
      <c r="E2179" s="167">
        <v>1</v>
      </c>
      <c r="F2179" s="168">
        <f t="shared" si="9"/>
        <v>0</v>
      </c>
      <c r="G2179" s="75"/>
      <c r="H2179" s="403">
        <v>38950</v>
      </c>
    </row>
    <row r="2180" spans="1:8" ht="13.2">
      <c r="A2180" s="49"/>
      <c r="B2180" s="16" t="s">
        <v>1841</v>
      </c>
      <c r="C2180" s="143" t="str">
        <f>VLOOKUP(B2180,'Thống kê'!$C$3:$D$970,2,0)</f>
        <v>Túi Đựng Mắt Kính Da Pu</v>
      </c>
      <c r="D2180" s="166">
        <f>VLOOKUP(B2180,'Thống kê'!$C$3:$M$970,4,0)</f>
        <v>0</v>
      </c>
      <c r="E2180" s="167">
        <v>1</v>
      </c>
      <c r="F2180" s="168">
        <f t="shared" si="9"/>
        <v>0</v>
      </c>
      <c r="G2180" s="75"/>
      <c r="H2180" s="373"/>
    </row>
    <row r="2181" spans="1:8" ht="13.2">
      <c r="A2181" s="64"/>
      <c r="B2181" s="16" t="s">
        <v>209</v>
      </c>
      <c r="C2181" s="143">
        <f>VLOOKUP(B2181,'Thống kê'!$C$3:$D$970,2,0)</f>
        <v>0</v>
      </c>
      <c r="D2181" s="166">
        <f>VLOOKUP(B2181,'Thống kê'!$C$3:$M$970,4,0)</f>
        <v>0</v>
      </c>
      <c r="E2181" s="167">
        <v>1</v>
      </c>
      <c r="F2181" s="168">
        <f t="shared" si="9"/>
        <v>0</v>
      </c>
      <c r="G2181" s="75"/>
      <c r="H2181" s="403">
        <v>84910</v>
      </c>
    </row>
    <row r="2182" spans="1:8" ht="13.2">
      <c r="A2182" s="49"/>
      <c r="B2182" s="16" t="s">
        <v>210</v>
      </c>
      <c r="C2182" s="143">
        <f>VLOOKUP(B2182,'Thống kê'!$C$3:$D$970,2,0)</f>
        <v>0</v>
      </c>
      <c r="D2182" s="166">
        <f>VLOOKUP(B2182,'Thống kê'!$C$3:$M$970,4,0)</f>
        <v>0</v>
      </c>
      <c r="E2182" s="167">
        <v>1</v>
      </c>
      <c r="F2182" s="168">
        <f t="shared" si="9"/>
        <v>0</v>
      </c>
      <c r="G2182" s="75"/>
      <c r="H2182" s="372"/>
    </row>
    <row r="2183" spans="1:8" ht="13.2">
      <c r="A2183" s="49"/>
      <c r="B2183" s="16" t="s">
        <v>1384</v>
      </c>
      <c r="C2183" s="143" t="str">
        <f>VLOOKUP(B2183,'Thống kê'!$C$3:$D$970,2,0)</f>
        <v>Móc khoá Crybaby mini Popmart</v>
      </c>
      <c r="D2183" s="166">
        <f>VLOOKUP(B2183,'Thống kê'!$C$3:$M$970,4,0)</f>
        <v>0</v>
      </c>
      <c r="E2183" s="167">
        <v>1</v>
      </c>
      <c r="F2183" s="168">
        <f t="shared" si="9"/>
        <v>0</v>
      </c>
      <c r="G2183" s="75"/>
      <c r="H2183" s="373"/>
    </row>
    <row r="2184" spans="1:8" ht="13.2">
      <c r="A2184" s="49"/>
      <c r="B2184" s="16" t="s">
        <v>119</v>
      </c>
      <c r="C2184" s="143" t="str">
        <f>VLOOKUP(B2184,'Thống kê'!$C$3:$D$970,2,0)</f>
        <v>Thỏ chạy xe gắn xe</v>
      </c>
      <c r="D2184" s="166">
        <f>VLOOKUP(B2184,'Thống kê'!$C$3:$M$970,4,0)</f>
        <v>45000</v>
      </c>
      <c r="E2184" s="167">
        <v>1</v>
      </c>
      <c r="F2184" s="168">
        <f t="shared" si="9"/>
        <v>45000</v>
      </c>
      <c r="G2184" s="75"/>
      <c r="H2184" s="176">
        <v>30380</v>
      </c>
    </row>
    <row r="2185" spans="1:8" ht="13.2">
      <c r="A2185" s="49"/>
      <c r="B2185" s="16" t="s">
        <v>200</v>
      </c>
      <c r="C2185" s="143">
        <f>VLOOKUP(B2185,'Thống kê'!$C$3:$D$970,2,0)</f>
        <v>0</v>
      </c>
      <c r="D2185" s="166">
        <f>VLOOKUP(B2185,'Thống kê'!$C$3:$M$970,4,0)</f>
        <v>0</v>
      </c>
      <c r="E2185" s="167">
        <v>1</v>
      </c>
      <c r="F2185" s="168">
        <f t="shared" si="9"/>
        <v>0</v>
      </c>
      <c r="G2185" s="75"/>
      <c r="H2185" s="403">
        <v>147718</v>
      </c>
    </row>
    <row r="2186" spans="1:8" ht="13.2">
      <c r="A2186" s="49"/>
      <c r="B2186" s="16" t="s">
        <v>142</v>
      </c>
      <c r="C2186" s="143">
        <f>VLOOKUP(B2186,'Thống kê'!$C$3:$D$970,2,0)</f>
        <v>0</v>
      </c>
      <c r="D2186" s="166">
        <f>VLOOKUP(B2186,'Thống kê'!$C$3:$M$970,4,0)</f>
        <v>0</v>
      </c>
      <c r="E2186" s="167">
        <v>1</v>
      </c>
      <c r="F2186" s="168">
        <f t="shared" si="9"/>
        <v>0</v>
      </c>
      <c r="G2186" s="75"/>
      <c r="H2186" s="372"/>
    </row>
    <row r="2187" spans="1:8" ht="13.2">
      <c r="A2187" s="49"/>
      <c r="B2187" s="16" t="s">
        <v>133</v>
      </c>
      <c r="C2187" s="143">
        <f>VLOOKUP(B2187,'Thống kê'!$C$3:$D$970,2,0)</f>
        <v>0</v>
      </c>
      <c r="D2187" s="166">
        <f>VLOOKUP(B2187,'Thống kê'!$C$3:$M$970,4,0)</f>
        <v>0</v>
      </c>
      <c r="E2187" s="167">
        <v>1</v>
      </c>
      <c r="F2187" s="168">
        <f t="shared" si="9"/>
        <v>0</v>
      </c>
      <c r="G2187" s="75"/>
      <c r="H2187" s="402">
        <v>109880</v>
      </c>
    </row>
    <row r="2188" spans="1:8" ht="13.2">
      <c r="A2188" s="49"/>
      <c r="B2188" s="16" t="s">
        <v>77</v>
      </c>
      <c r="C2188" s="143">
        <f>VLOOKUP(B2188,'Thống kê'!$C$3:$D$970,2,0)</f>
        <v>0</v>
      </c>
      <c r="D2188" s="166">
        <f>VLOOKUP(B2188,'Thống kê'!$C$3:$M$970,4,0)</f>
        <v>0</v>
      </c>
      <c r="E2188" s="167">
        <v>1</v>
      </c>
      <c r="F2188" s="168">
        <f t="shared" si="9"/>
        <v>0</v>
      </c>
      <c r="G2188" s="75"/>
      <c r="H2188" s="373"/>
    </row>
    <row r="2189" spans="1:8" ht="13.2">
      <c r="A2189" s="49"/>
      <c r="B2189" s="16" t="s">
        <v>200</v>
      </c>
      <c r="C2189" s="143">
        <f>VLOOKUP(B2189,'Thống kê'!$C$3:$D$970,2,0)</f>
        <v>0</v>
      </c>
      <c r="D2189" s="166">
        <f>VLOOKUP(B2189,'Thống kê'!$C$3:$M$970,4,0)</f>
        <v>0</v>
      </c>
      <c r="E2189" s="167">
        <v>1</v>
      </c>
      <c r="F2189" s="168">
        <f t="shared" si="9"/>
        <v>0</v>
      </c>
      <c r="G2189" s="75"/>
      <c r="H2189" s="178">
        <v>59198</v>
      </c>
    </row>
    <row r="2190" spans="1:8" ht="13.2">
      <c r="A2190" s="49"/>
      <c r="B2190" s="16" t="s">
        <v>127</v>
      </c>
      <c r="C2190" s="143">
        <f>VLOOKUP(B2190,'Thống kê'!$C$3:$D$970,2,0)</f>
        <v>0</v>
      </c>
      <c r="D2190" s="166">
        <f>VLOOKUP(B2190,'Thống kê'!$C$3:$M$970,4,0)</f>
        <v>0</v>
      </c>
      <c r="E2190" s="167">
        <v>1</v>
      </c>
      <c r="F2190" s="168">
        <f t="shared" si="9"/>
        <v>0</v>
      </c>
      <c r="G2190" s="75"/>
      <c r="H2190" s="176">
        <v>65282</v>
      </c>
    </row>
    <row r="2191" spans="1:8" ht="13.2">
      <c r="A2191" s="49"/>
      <c r="B2191" s="16" t="s">
        <v>116</v>
      </c>
      <c r="C2191" s="143" t="str">
        <f>VLOOKUP(B2191,'Thống kê'!$C$3:$D$970,2,0)</f>
        <v>heo ú cầm hoa</v>
      </c>
      <c r="D2191" s="166">
        <f>VLOOKUP(B2191,'Thống kê'!$C$3:$M$970,4,0)</f>
        <v>64500</v>
      </c>
      <c r="E2191" s="167">
        <v>1</v>
      </c>
      <c r="F2191" s="168">
        <f t="shared" si="9"/>
        <v>64500</v>
      </c>
      <c r="G2191" s="75"/>
      <c r="H2191" s="177">
        <v>52808</v>
      </c>
    </row>
    <row r="2192" spans="1:8" ht="13.2">
      <c r="A2192" s="49"/>
      <c r="B2192" s="16" t="s">
        <v>1519</v>
      </c>
      <c r="C2192" s="143">
        <f>VLOOKUP(B2192,'Thống kê'!$C$3:$D$970,2,0)</f>
        <v>0</v>
      </c>
      <c r="D2192" s="166">
        <f>VLOOKUP(B2192,'Thống kê'!$C$3:$M$970,4,0)</f>
        <v>0</v>
      </c>
      <c r="E2192" s="167">
        <v>1</v>
      </c>
      <c r="F2192" s="168">
        <f t="shared" si="9"/>
        <v>0</v>
      </c>
      <c r="G2192" s="75"/>
      <c r="H2192" s="177">
        <v>91840</v>
      </c>
    </row>
    <row r="2193" spans="1:8" ht="13.2">
      <c r="A2193" s="49"/>
      <c r="B2193" s="16" t="s">
        <v>196</v>
      </c>
      <c r="C2193" s="143">
        <f>VLOOKUP(B2193,'Thống kê'!$C$3:$D$970,2,0)</f>
        <v>0</v>
      </c>
      <c r="D2193" s="166">
        <f>VLOOKUP(B2193,'Thống kê'!$C$3:$M$970,4,0)</f>
        <v>0</v>
      </c>
      <c r="E2193" s="167">
        <v>1</v>
      </c>
      <c r="F2193" s="168">
        <f t="shared" si="9"/>
        <v>0</v>
      </c>
      <c r="G2193" s="75"/>
      <c r="H2193" s="403">
        <v>106764</v>
      </c>
    </row>
    <row r="2194" spans="1:8" ht="13.2">
      <c r="A2194" s="49"/>
      <c r="B2194" s="16" t="s">
        <v>105</v>
      </c>
      <c r="C2194" s="143" t="str">
        <f>VLOOKUP(B2194,'Thống kê'!$C$3:$D$970,2,0)</f>
        <v>Túi đựng đồ trang điểm nhỏ</v>
      </c>
      <c r="D2194" s="166">
        <f>VLOOKUP(B2194,'Thống kê'!$C$3:$M$970,4,0)</f>
        <v>0</v>
      </c>
      <c r="E2194" s="167">
        <v>1</v>
      </c>
      <c r="F2194" s="168">
        <f t="shared" si="9"/>
        <v>0</v>
      </c>
      <c r="G2194" s="75"/>
      <c r="H2194" s="373"/>
    </row>
    <row r="2195" spans="1:8" ht="13.2">
      <c r="A2195" s="49"/>
      <c r="B2195" s="16" t="s">
        <v>1530</v>
      </c>
      <c r="C2195" s="143">
        <f>VLOOKUP(B2195,'Thống kê'!$C$3:$D$970,2,0)</f>
        <v>0</v>
      </c>
      <c r="D2195" s="166">
        <f>VLOOKUP(B2195,'Thống kê'!$C$3:$M$970,4,0)</f>
        <v>0</v>
      </c>
      <c r="E2195" s="167">
        <v>1</v>
      </c>
      <c r="F2195" s="168">
        <f t="shared" si="9"/>
        <v>0</v>
      </c>
      <c r="G2195" s="75"/>
      <c r="H2195" s="403">
        <v>139400</v>
      </c>
    </row>
    <row r="2196" spans="1:8" ht="13.2">
      <c r="A2196" s="49"/>
      <c r="B2196" s="16" t="s">
        <v>125</v>
      </c>
      <c r="C2196" s="143">
        <f>VLOOKUP(B2196,'Thống kê'!$C$3:$D$970,2,0)</f>
        <v>0</v>
      </c>
      <c r="D2196" s="166">
        <f>VLOOKUP(B2196,'Thống kê'!$C$3:$M$970,4,0)</f>
        <v>0</v>
      </c>
      <c r="E2196" s="167">
        <v>1</v>
      </c>
      <c r="F2196" s="168">
        <f t="shared" si="9"/>
        <v>0</v>
      </c>
      <c r="G2196" s="75"/>
      <c r="H2196" s="373"/>
    </row>
    <row r="2197" spans="1:8" ht="13.2">
      <c r="A2197" s="49"/>
      <c r="B2197" s="16" t="s">
        <v>1524</v>
      </c>
      <c r="C2197" s="143">
        <f>VLOOKUP(B2197,'Thống kê'!$C$3:$D$970,2,0)</f>
        <v>0</v>
      </c>
      <c r="D2197" s="166">
        <f>VLOOKUP(B2197,'Thống kê'!$C$3:$M$970,4,0)</f>
        <v>0</v>
      </c>
      <c r="E2197" s="167">
        <v>1</v>
      </c>
      <c r="F2197" s="168">
        <f t="shared" si="9"/>
        <v>0</v>
      </c>
      <c r="G2197" s="75"/>
      <c r="H2197" s="177">
        <v>52912</v>
      </c>
    </row>
    <row r="2198" spans="1:8" ht="13.2">
      <c r="A2198" s="49"/>
      <c r="B2198" s="16" t="s">
        <v>126</v>
      </c>
      <c r="C2198" s="143">
        <f>VLOOKUP(B2198,'Thống kê'!$C$3:$D$970,2,0)</f>
        <v>0</v>
      </c>
      <c r="D2198" s="166">
        <f>VLOOKUP(B2198,'Thống kê'!$C$3:$M$970,4,0)</f>
        <v>0</v>
      </c>
      <c r="E2198" s="167">
        <v>1</v>
      </c>
      <c r="F2198" s="168">
        <f t="shared" si="9"/>
        <v>0</v>
      </c>
      <c r="G2198" s="75"/>
      <c r="H2198" s="177">
        <v>65282</v>
      </c>
    </row>
    <row r="2199" spans="1:8" ht="13.2">
      <c r="A2199" s="49"/>
      <c r="B2199" s="16" t="s">
        <v>1382</v>
      </c>
      <c r="C2199" s="143" t="str">
        <f>VLOOKUP(B2199,'Thống kê'!$C$3:$D$970,2,0)</f>
        <v>miếng dán silicon điện thoại</v>
      </c>
      <c r="D2199" s="166">
        <f>VLOOKUP(B2199,'Thống kê'!$C$3:$M$970,4,0)</f>
        <v>0</v>
      </c>
      <c r="E2199" s="167">
        <v>1</v>
      </c>
      <c r="F2199" s="168">
        <f t="shared" si="9"/>
        <v>0</v>
      </c>
      <c r="G2199" s="75"/>
      <c r="H2199" s="403">
        <v>68782</v>
      </c>
    </row>
    <row r="2200" spans="1:8" ht="13.2">
      <c r="A2200" s="49"/>
      <c r="B2200" s="16" t="s">
        <v>80</v>
      </c>
      <c r="C2200" s="143">
        <f>VLOOKUP(B2200,'Thống kê'!$C$3:$D$970,2,0)</f>
        <v>0</v>
      </c>
      <c r="D2200" s="166">
        <f>VLOOKUP(B2200,'Thống kê'!$C$3:$M$970,4,0)</f>
        <v>0</v>
      </c>
      <c r="E2200" s="167">
        <v>1</v>
      </c>
      <c r="F2200" s="168">
        <f t="shared" si="9"/>
        <v>0</v>
      </c>
      <c r="G2200" s="75"/>
      <c r="H2200" s="373"/>
    </row>
    <row r="2201" spans="1:8" ht="13.2">
      <c r="A2201" s="49"/>
      <c r="B2201" s="16" t="s">
        <v>1367</v>
      </c>
      <c r="C2201" s="143" t="str">
        <f>VLOOKUP(B2201,'Thống kê'!$C$3:$D$970,2,0)</f>
        <v>Móc khóa Popbean</v>
      </c>
      <c r="D2201" s="166">
        <f>VLOOKUP(B2201,'Thống kê'!$C$3:$M$970,4,0)</f>
        <v>148000</v>
      </c>
      <c r="E2201" s="167">
        <v>1</v>
      </c>
      <c r="F2201" s="168">
        <f t="shared" si="9"/>
        <v>148000</v>
      </c>
      <c r="G2201" s="75"/>
      <c r="H2201" s="403">
        <v>215004</v>
      </c>
    </row>
    <row r="2202" spans="1:8" ht="13.2">
      <c r="A2202" s="49"/>
      <c r="B2202" s="16" t="s">
        <v>1687</v>
      </c>
      <c r="C2202" s="143">
        <f>VLOOKUP(B2202,'Thống kê'!$C$3:$D$970,2,0)</f>
        <v>0</v>
      </c>
      <c r="D2202" s="166">
        <f>VLOOKUP(B2202,'Thống kê'!$C$3:$M$970,4,0)</f>
        <v>0</v>
      </c>
      <c r="E2202" s="167">
        <v>1</v>
      </c>
      <c r="F2202" s="168">
        <f t="shared" si="9"/>
        <v>0</v>
      </c>
      <c r="G2202" s="75"/>
      <c r="H2202" s="373"/>
    </row>
    <row r="2203" spans="1:8" ht="13.2">
      <c r="A2203" s="49"/>
      <c r="B2203" s="16" t="s">
        <v>279</v>
      </c>
      <c r="C2203" s="143">
        <f>VLOOKUP(B2203,'Thống kê'!$C$3:$D$970,2,0)</f>
        <v>0</v>
      </c>
      <c r="D2203" s="166">
        <f>VLOOKUP(B2203,'Thống kê'!$C$3:$M$970,4,0)</f>
        <v>0</v>
      </c>
      <c r="E2203" s="167">
        <v>1</v>
      </c>
      <c r="F2203" s="168">
        <f t="shared" si="9"/>
        <v>0</v>
      </c>
      <c r="G2203" s="75"/>
      <c r="H2203" s="177">
        <v>59198</v>
      </c>
    </row>
    <row r="2204" spans="1:8" ht="13.2">
      <c r="A2204" s="49"/>
      <c r="B2204" s="16" t="s">
        <v>116</v>
      </c>
      <c r="C2204" s="143" t="str">
        <f>VLOOKUP(B2204,'Thống kê'!$C$3:$D$970,2,0)</f>
        <v>heo ú cầm hoa</v>
      </c>
      <c r="D2204" s="166">
        <f>VLOOKUP(B2204,'Thống kê'!$C$3:$M$970,4,0)</f>
        <v>64500</v>
      </c>
      <c r="E2204" s="167">
        <v>1</v>
      </c>
      <c r="F2204" s="168">
        <f t="shared" si="9"/>
        <v>64500</v>
      </c>
      <c r="G2204" s="75"/>
      <c r="H2204" s="403">
        <v>81020</v>
      </c>
    </row>
    <row r="2205" spans="1:8" ht="13.2">
      <c r="A2205" s="49"/>
      <c r="B2205" s="16" t="s">
        <v>183</v>
      </c>
      <c r="C2205" s="143" t="str">
        <f>VLOOKUP(B2205,'Thống kê'!$C$3:$D$970,2,0)</f>
        <v>Thỏ máy bay gắn xe</v>
      </c>
      <c r="D2205" s="166">
        <f>VLOOKUP(B2205,'Thống kê'!$C$3:$M$970,4,0)</f>
        <v>45000</v>
      </c>
      <c r="E2205" s="167">
        <v>1</v>
      </c>
      <c r="F2205" s="168">
        <f t="shared" si="9"/>
        <v>45000</v>
      </c>
      <c r="G2205" s="75"/>
      <c r="H2205" s="373"/>
    </row>
    <row r="2206" spans="1:8" ht="13.2">
      <c r="A2206" s="49"/>
      <c r="B2206" s="16" t="s">
        <v>107</v>
      </c>
      <c r="C2206" s="143">
        <f>VLOOKUP(B2206,'Thống kê'!$C$3:$D$970,2,0)</f>
        <v>0</v>
      </c>
      <c r="D2206" s="166">
        <f>VLOOKUP(B2206,'Thống kê'!$C$3:$M$970,4,0)</f>
        <v>0</v>
      </c>
      <c r="E2206" s="167">
        <v>1</v>
      </c>
      <c r="F2206" s="168">
        <f t="shared" si="9"/>
        <v>0</v>
      </c>
      <c r="G2206" s="75"/>
      <c r="H2206" s="403">
        <v>140220</v>
      </c>
    </row>
    <row r="2207" spans="1:8" ht="13.2">
      <c r="A2207" s="49"/>
      <c r="B2207" s="16" t="s">
        <v>221</v>
      </c>
      <c r="C2207" s="143">
        <f>VLOOKUP(B2207,'Thống kê'!$C$3:$D$970,2,0)</f>
        <v>0</v>
      </c>
      <c r="D2207" s="166">
        <f>VLOOKUP(B2207,'Thống kê'!$C$3:$M$970,4,0)</f>
        <v>0</v>
      </c>
      <c r="E2207" s="167">
        <v>1</v>
      </c>
      <c r="F2207" s="168">
        <f t="shared" si="9"/>
        <v>0</v>
      </c>
      <c r="G2207" s="75"/>
      <c r="H2207" s="373"/>
    </row>
    <row r="2208" spans="1:8" ht="13.2">
      <c r="A2208" s="49"/>
      <c r="B2208" s="16" t="s">
        <v>159</v>
      </c>
      <c r="C2208" s="143">
        <f>VLOOKUP(B2208,'Thống kê'!$C$3:$D$970,2,0)</f>
        <v>0</v>
      </c>
      <c r="D2208" s="166">
        <f>VLOOKUP(B2208,'Thống kê'!$C$3:$M$970,4,0)</f>
        <v>0</v>
      </c>
      <c r="E2208" s="167">
        <v>1</v>
      </c>
      <c r="F2208" s="168">
        <f t="shared" si="9"/>
        <v>0</v>
      </c>
      <c r="G2208" s="75"/>
      <c r="H2208" s="177">
        <v>69910</v>
      </c>
    </row>
    <row r="2209" spans="1:8" ht="13.2">
      <c r="A2209" s="49"/>
      <c r="B2209" s="16" t="s">
        <v>127</v>
      </c>
      <c r="C2209" s="143">
        <f>VLOOKUP(B2209,'Thống kê'!$C$3:$D$970,2,0)</f>
        <v>0</v>
      </c>
      <c r="D2209" s="166">
        <f>VLOOKUP(B2209,'Thống kê'!$C$3:$M$970,4,0)</f>
        <v>0</v>
      </c>
      <c r="E2209" s="167">
        <v>1</v>
      </c>
      <c r="F2209" s="168">
        <f t="shared" si="9"/>
        <v>0</v>
      </c>
      <c r="G2209" s="75"/>
      <c r="H2209" s="177">
        <v>65795</v>
      </c>
    </row>
    <row r="2210" spans="1:8" ht="13.2">
      <c r="A2210" s="49"/>
      <c r="B2210" s="16" t="s">
        <v>1382</v>
      </c>
      <c r="C2210" s="143" t="str">
        <f>VLOOKUP(B2210,'Thống kê'!$C$3:$D$970,2,0)</f>
        <v>miếng dán silicon điện thoại</v>
      </c>
      <c r="D2210" s="166">
        <f>VLOOKUP(B2210,'Thống kê'!$C$3:$M$970,4,0)</f>
        <v>0</v>
      </c>
      <c r="E2210" s="167">
        <v>5</v>
      </c>
      <c r="F2210" s="168">
        <f t="shared" si="9"/>
        <v>0</v>
      </c>
      <c r="G2210" s="75"/>
      <c r="H2210" s="403">
        <v>225885</v>
      </c>
    </row>
    <row r="2211" spans="1:8" ht="13.2">
      <c r="A2211" s="49"/>
      <c r="B2211" s="16" t="s">
        <v>159</v>
      </c>
      <c r="C2211" s="143">
        <f>VLOOKUP(B2211,'Thống kê'!$C$3:$D$970,2,0)</f>
        <v>0</v>
      </c>
      <c r="D2211" s="166">
        <f>VLOOKUP(B2211,'Thống kê'!$C$3:$M$970,4,0)</f>
        <v>0</v>
      </c>
      <c r="E2211" s="167">
        <v>1</v>
      </c>
      <c r="F2211" s="168">
        <f t="shared" si="9"/>
        <v>0</v>
      </c>
      <c r="G2211" s="75"/>
      <c r="H2211" s="372"/>
    </row>
    <row r="2212" spans="1:8" ht="13.2">
      <c r="A2212" s="49"/>
      <c r="B2212" s="16" t="s">
        <v>238</v>
      </c>
      <c r="C2212" s="143">
        <f>VLOOKUP(B2212,'Thống kê'!$C$3:$D$970,2,0)</f>
        <v>0</v>
      </c>
      <c r="D2212" s="166">
        <f>VLOOKUP(B2212,'Thống kê'!$C$3:$M$970,4,0)</f>
        <v>0</v>
      </c>
      <c r="E2212" s="167">
        <v>2</v>
      </c>
      <c r="F2212" s="168">
        <f t="shared" si="9"/>
        <v>0</v>
      </c>
      <c r="G2212" s="75"/>
      <c r="H2212" s="373"/>
    </row>
    <row r="2213" spans="1:8" ht="13.2">
      <c r="A2213" s="49"/>
      <c r="B2213" s="16" t="s">
        <v>171</v>
      </c>
      <c r="C2213" s="143">
        <f>VLOOKUP(B2213,'Thống kê'!$C$3:$D$970,2,0)</f>
        <v>0</v>
      </c>
      <c r="D2213" s="166">
        <f>VLOOKUP(B2213,'Thống kê'!$C$3:$M$970,4,0)</f>
        <v>0</v>
      </c>
      <c r="E2213" s="167">
        <v>1</v>
      </c>
      <c r="F2213" s="168">
        <f t="shared" si="9"/>
        <v>0</v>
      </c>
      <c r="G2213" s="75"/>
      <c r="H2213" s="403">
        <v>238065</v>
      </c>
    </row>
    <row r="2214" spans="1:8" ht="13.2">
      <c r="A2214" s="49"/>
      <c r="B2214" s="16" t="s">
        <v>142</v>
      </c>
      <c r="C2214" s="143">
        <f>VLOOKUP(B2214,'Thống kê'!$C$3:$D$970,2,0)</f>
        <v>0</v>
      </c>
      <c r="D2214" s="166">
        <f>VLOOKUP(B2214,'Thống kê'!$C$3:$M$970,4,0)</f>
        <v>0</v>
      </c>
      <c r="E2214" s="167">
        <v>1</v>
      </c>
      <c r="F2214" s="168">
        <f t="shared" si="9"/>
        <v>0</v>
      </c>
      <c r="G2214" s="75"/>
      <c r="H2214" s="372"/>
    </row>
    <row r="2215" spans="1:8" ht="13.2">
      <c r="A2215" s="49"/>
      <c r="B2215" s="16" t="s">
        <v>127</v>
      </c>
      <c r="C2215" s="143">
        <f>VLOOKUP(B2215,'Thống kê'!$C$3:$D$970,2,0)</f>
        <v>0</v>
      </c>
      <c r="D2215" s="166">
        <f>VLOOKUP(B2215,'Thống kê'!$C$3:$M$970,4,0)</f>
        <v>0</v>
      </c>
      <c r="E2215" s="167">
        <v>1</v>
      </c>
      <c r="F2215" s="168">
        <f t="shared" si="9"/>
        <v>0</v>
      </c>
      <c r="G2215" s="75"/>
      <c r="H2215" s="372"/>
    </row>
    <row r="2216" spans="1:8" ht="13.2">
      <c r="A2216" s="49"/>
      <c r="B2216" s="16" t="s">
        <v>200</v>
      </c>
      <c r="C2216" s="143">
        <f>VLOOKUP(B2216,'Thống kê'!$C$3:$D$970,2,0)</f>
        <v>0</v>
      </c>
      <c r="D2216" s="166">
        <f>VLOOKUP(B2216,'Thống kê'!$C$3:$M$970,4,0)</f>
        <v>0</v>
      </c>
      <c r="E2216" s="167">
        <v>1</v>
      </c>
      <c r="F2216" s="168">
        <f t="shared" si="9"/>
        <v>0</v>
      </c>
      <c r="G2216" s="75"/>
      <c r="H2216" s="373"/>
    </row>
    <row r="2217" spans="1:8" ht="13.2">
      <c r="A2217" s="49"/>
      <c r="B2217" s="16" t="s">
        <v>1600</v>
      </c>
      <c r="C2217" s="143" t="str">
        <f>VLOOKUP(B2217,'Thống kê'!$C$3:$D$970,2,0)</f>
        <v>Dao rọc giấy 18</v>
      </c>
      <c r="D2217" s="166">
        <f>VLOOKUP(B2217,'Thống kê'!$C$3:$M$970,4,0)</f>
        <v>12000</v>
      </c>
      <c r="E2217" s="167">
        <v>1</v>
      </c>
      <c r="F2217" s="168">
        <f t="shared" si="9"/>
        <v>12000</v>
      </c>
      <c r="G2217" s="75"/>
      <c r="H2217" s="402">
        <v>21395</v>
      </c>
    </row>
    <row r="2218" spans="1:8" ht="13.2">
      <c r="A2218" s="49"/>
      <c r="B2218" s="16" t="s">
        <v>1836</v>
      </c>
      <c r="C2218" s="143" t="str">
        <f>VLOOKUP(B2218,'Thống kê'!$C$3:$D$970,2,0)</f>
        <v>Túi Đựng Mắt Kính Da Pu</v>
      </c>
      <c r="D2218" s="166">
        <f>VLOOKUP(B2218,'Thống kê'!$C$3:$M$970,4,0)</f>
        <v>0</v>
      </c>
      <c r="E2218" s="167">
        <v>1</v>
      </c>
      <c r="F2218" s="168">
        <f t="shared" si="9"/>
        <v>0</v>
      </c>
      <c r="G2218" s="75"/>
      <c r="H2218" s="373"/>
    </row>
    <row r="2219" spans="1:8" ht="13.2">
      <c r="A2219" s="49"/>
      <c r="B2219" s="16" t="s">
        <v>186</v>
      </c>
      <c r="C2219" s="143" t="str">
        <f>VLOOKUP(B2219,'Thống kê'!$C$3:$D$970,2,0)</f>
        <v>Thỏ ú bay</v>
      </c>
      <c r="D2219" s="166">
        <f>VLOOKUP(B2219,'Thống kê'!$C$3:$M$970,4,0)</f>
        <v>64500</v>
      </c>
      <c r="E2219" s="167">
        <v>1</v>
      </c>
      <c r="F2219" s="168">
        <f t="shared" si="9"/>
        <v>64500</v>
      </c>
      <c r="G2219" s="75"/>
      <c r="H2219" s="177">
        <v>52158</v>
      </c>
    </row>
    <row r="2220" spans="1:8" ht="13.2">
      <c r="A2220" s="49"/>
      <c r="B2220" s="16" t="s">
        <v>1840</v>
      </c>
      <c r="C2220" s="143" t="str">
        <f>VLOOKUP(B2220,'Thống kê'!$C$3:$D$970,2,0)</f>
        <v>Túi Đựng Mắt Kính Da Pu</v>
      </c>
      <c r="D2220" s="166">
        <f>VLOOKUP(B2220,'Thống kê'!$C$3:$M$970,4,0)</f>
        <v>0</v>
      </c>
      <c r="E2220" s="167">
        <v>1</v>
      </c>
      <c r="F2220" s="168">
        <f t="shared" si="9"/>
        <v>0</v>
      </c>
      <c r="G2220" s="75"/>
      <c r="H2220" s="177">
        <v>12817</v>
      </c>
    </row>
    <row r="2221" spans="1:8" ht="13.2">
      <c r="A2221" s="49"/>
      <c r="B2221" s="16" t="s">
        <v>77</v>
      </c>
      <c r="C2221" s="143">
        <f>VLOOKUP(B2221,'Thống kê'!$C$3:$D$970,2,0)</f>
        <v>0</v>
      </c>
      <c r="D2221" s="166">
        <f>VLOOKUP(B2221,'Thống kê'!$C$3:$M$970,4,0)</f>
        <v>0</v>
      </c>
      <c r="E2221" s="167">
        <v>1</v>
      </c>
      <c r="F2221" s="168">
        <f t="shared" si="9"/>
        <v>0</v>
      </c>
      <c r="G2221" s="75"/>
      <c r="H2221" s="403">
        <v>169740</v>
      </c>
    </row>
    <row r="2222" spans="1:8" ht="13.2">
      <c r="A2222" s="49"/>
      <c r="B2222" s="16" t="s">
        <v>1524</v>
      </c>
      <c r="C2222" s="143">
        <f>VLOOKUP(B2222,'Thống kê'!$C$3:$D$970,2,0)</f>
        <v>0</v>
      </c>
      <c r="D2222" s="166">
        <f>VLOOKUP(B2222,'Thống kê'!$C$3:$M$970,4,0)</f>
        <v>0</v>
      </c>
      <c r="E2222" s="167">
        <v>1</v>
      </c>
      <c r="F2222" s="168">
        <f t="shared" si="9"/>
        <v>0</v>
      </c>
      <c r="G2222" s="75"/>
      <c r="H2222" s="372"/>
    </row>
    <row r="2223" spans="1:8" ht="13.2">
      <c r="A2223" s="49"/>
      <c r="B2223" s="16" t="s">
        <v>1523</v>
      </c>
      <c r="C2223" s="143">
        <f>VLOOKUP(B2223,'Thống kê'!$C$3:$D$970,2,0)</f>
        <v>0</v>
      </c>
      <c r="D2223" s="166">
        <f>VLOOKUP(B2223,'Thống kê'!$C$3:$M$970,4,0)</f>
        <v>0</v>
      </c>
      <c r="E2223" s="167">
        <v>1</v>
      </c>
      <c r="F2223" s="168">
        <f t="shared" si="9"/>
        <v>0</v>
      </c>
      <c r="G2223" s="75"/>
      <c r="H2223" s="372"/>
    </row>
    <row r="2224" spans="1:8" ht="13.2">
      <c r="A2224" s="49"/>
      <c r="B2224" s="16" t="s">
        <v>140</v>
      </c>
      <c r="C2224" s="143">
        <f>VLOOKUP(B2224,'Thống kê'!$C$3:$D$970,2,0)</f>
        <v>0</v>
      </c>
      <c r="D2224" s="166">
        <f>VLOOKUP(B2224,'Thống kê'!$C$3:$M$970,4,0)</f>
        <v>0</v>
      </c>
      <c r="E2224" s="167">
        <v>1</v>
      </c>
      <c r="F2224" s="168">
        <f t="shared" si="9"/>
        <v>0</v>
      </c>
      <c r="G2224" s="75"/>
      <c r="H2224" s="175">
        <v>56580</v>
      </c>
    </row>
    <row r="2225" spans="1:8" ht="13.2">
      <c r="A2225" s="64">
        <v>45752</v>
      </c>
      <c r="B2225" s="16" t="s">
        <v>85</v>
      </c>
      <c r="C2225" s="143">
        <f>VLOOKUP(B2225,'Thống kê'!$C$3:$D$970,2,0)</f>
        <v>0</v>
      </c>
      <c r="D2225" s="166">
        <f>VLOOKUP(B2225,'Thống kê'!$C$3:$M$970,4,0)</f>
        <v>0</v>
      </c>
      <c r="E2225" s="167">
        <v>1</v>
      </c>
      <c r="F2225" s="168">
        <f t="shared" si="9"/>
        <v>0</v>
      </c>
      <c r="G2225" s="75"/>
      <c r="H2225" s="402">
        <v>123000</v>
      </c>
    </row>
    <row r="2226" spans="1:8" ht="13.2">
      <c r="A2226" s="49"/>
      <c r="B2226" s="16" t="s">
        <v>279</v>
      </c>
      <c r="C2226" s="143">
        <f>VLOOKUP(B2226,'Thống kê'!$C$3:$D$970,2,0)</f>
        <v>0</v>
      </c>
      <c r="D2226" s="166">
        <f>VLOOKUP(B2226,'Thống kê'!$C$3:$M$970,4,0)</f>
        <v>0</v>
      </c>
      <c r="E2226" s="167">
        <v>1</v>
      </c>
      <c r="F2226" s="168">
        <f t="shared" si="9"/>
        <v>0</v>
      </c>
      <c r="G2226" s="75"/>
      <c r="H2226" s="373"/>
    </row>
    <row r="2227" spans="1:8" ht="13.2">
      <c r="A2227" s="49"/>
      <c r="B2227" s="16" t="s">
        <v>1522</v>
      </c>
      <c r="C2227" s="143">
        <f>VLOOKUP(B2227,'Thống kê'!$C$3:$D$970,2,0)</f>
        <v>0</v>
      </c>
      <c r="D2227" s="166">
        <f>VLOOKUP(B2227,'Thống kê'!$C$3:$M$970,4,0)</f>
        <v>0</v>
      </c>
      <c r="E2227" s="167">
        <v>1</v>
      </c>
      <c r="F2227" s="168">
        <f t="shared" si="9"/>
        <v>0</v>
      </c>
      <c r="G2227" s="75"/>
      <c r="H2227" s="175">
        <v>56505</v>
      </c>
    </row>
    <row r="2228" spans="1:8" ht="13.2">
      <c r="A2228" s="49"/>
      <c r="B2228" s="16" t="s">
        <v>140</v>
      </c>
      <c r="C2228" s="143">
        <f>VLOOKUP(B2228,'Thống kê'!$C$3:$D$970,2,0)</f>
        <v>0</v>
      </c>
      <c r="D2228" s="166">
        <f>VLOOKUP(B2228,'Thống kê'!$C$3:$M$970,4,0)</f>
        <v>0</v>
      </c>
      <c r="E2228" s="167">
        <v>1</v>
      </c>
      <c r="F2228" s="168">
        <f t="shared" si="9"/>
        <v>0</v>
      </c>
      <c r="G2228" s="75"/>
      <c r="H2228" s="402">
        <v>136120</v>
      </c>
    </row>
    <row r="2229" spans="1:8" ht="13.2">
      <c r="A2229" s="49"/>
      <c r="B2229" s="16" t="s">
        <v>1524</v>
      </c>
      <c r="C2229" s="143">
        <f>VLOOKUP(B2229,'Thống kê'!$C$3:$D$970,2,0)</f>
        <v>0</v>
      </c>
      <c r="D2229" s="166">
        <f>VLOOKUP(B2229,'Thống kê'!$C$3:$M$970,4,0)</f>
        <v>0</v>
      </c>
      <c r="E2229" s="167">
        <v>1</v>
      </c>
      <c r="F2229" s="168">
        <f t="shared" si="9"/>
        <v>0</v>
      </c>
      <c r="G2229" s="75"/>
      <c r="H2229" s="372"/>
    </row>
    <row r="2230" spans="1:8" ht="13.2">
      <c r="A2230" s="49"/>
      <c r="B2230" s="16" t="s">
        <v>1525</v>
      </c>
      <c r="C2230" s="143">
        <f>VLOOKUP(B2230,'Thống kê'!$C$3:$D$970,2,0)</f>
        <v>0</v>
      </c>
      <c r="D2230" s="166">
        <f>VLOOKUP(B2230,'Thống kê'!$C$3:$M$970,4,0)</f>
        <v>0</v>
      </c>
      <c r="E2230" s="167">
        <v>1</v>
      </c>
      <c r="F2230" s="168">
        <f t="shared" si="9"/>
        <v>0</v>
      </c>
      <c r="G2230" s="75"/>
      <c r="H2230" s="402">
        <v>116440</v>
      </c>
    </row>
    <row r="2231" spans="1:8" ht="13.2">
      <c r="A2231" s="49"/>
      <c r="B2231" s="16" t="s">
        <v>133</v>
      </c>
      <c r="C2231" s="143">
        <f>VLOOKUP(B2231,'Thống kê'!$C$3:$D$970,2,0)</f>
        <v>0</v>
      </c>
      <c r="D2231" s="166">
        <f>VLOOKUP(B2231,'Thống kê'!$C$3:$M$970,4,0)</f>
        <v>0</v>
      </c>
      <c r="E2231" s="167">
        <v>1</v>
      </c>
      <c r="F2231" s="168">
        <f t="shared" si="9"/>
        <v>0</v>
      </c>
      <c r="G2231" s="75"/>
      <c r="H2231" s="373"/>
    </row>
    <row r="2232" spans="1:8" ht="13.2">
      <c r="A2232" s="49"/>
      <c r="B2232" s="16" t="s">
        <v>1387</v>
      </c>
      <c r="C2232" s="143" t="str">
        <f>VLOOKUP(B2232,'Thống kê'!$C$3:$D$970,2,0)</f>
        <v>Móc khoá Crybaby mini Popmart</v>
      </c>
      <c r="D2232" s="166">
        <f>VLOOKUP(B2232,'Thống kê'!$C$3:$M$970,4,0)</f>
        <v>0</v>
      </c>
      <c r="E2232" s="167">
        <v>1</v>
      </c>
      <c r="F2232" s="168">
        <f t="shared" si="9"/>
        <v>0</v>
      </c>
      <c r="G2232" s="75"/>
      <c r="H2232" s="177">
        <v>77900</v>
      </c>
    </row>
    <row r="2233" spans="1:8" ht="13.2">
      <c r="A2233" s="49"/>
      <c r="B2233" s="16" t="s">
        <v>145</v>
      </c>
      <c r="C2233" s="143" t="str">
        <f>VLOOKUP(B2233,'Thống kê'!$C$3:$D$970,2,0)</f>
        <v>Thỏ đi vịt gắn xe</v>
      </c>
      <c r="D2233" s="166">
        <f>VLOOKUP(B2233,'Thống kê'!$C$3:$M$970,4,0)</f>
        <v>45000</v>
      </c>
      <c r="E2233" s="167">
        <v>1</v>
      </c>
      <c r="F2233" s="168">
        <f t="shared" si="9"/>
        <v>45000</v>
      </c>
      <c r="G2233" s="75"/>
      <c r="H2233" s="403">
        <v>108280</v>
      </c>
    </row>
    <row r="2234" spans="1:8" ht="13.2">
      <c r="A2234" s="64"/>
      <c r="B2234" s="16" t="s">
        <v>1424</v>
      </c>
      <c r="C2234" s="143" t="str">
        <f>VLOOKUP(B2234,'Thống kê'!$C$3:$D$970,2,0)</f>
        <v>Móc khoá Crybaby mini Popmart</v>
      </c>
      <c r="D2234" s="166">
        <f>VLOOKUP(B2234,'Thống kê'!$C$3:$M$970,4,0)</f>
        <v>145000</v>
      </c>
      <c r="E2234" s="167">
        <v>1</v>
      </c>
      <c r="F2234" s="168">
        <f t="shared" si="9"/>
        <v>145000</v>
      </c>
      <c r="G2234" s="75"/>
      <c r="H2234" s="373"/>
    </row>
    <row r="2235" spans="1:8" ht="13.2">
      <c r="A2235" s="49"/>
      <c r="B2235" s="16" t="s">
        <v>142</v>
      </c>
      <c r="C2235" s="143">
        <f>VLOOKUP(B2235,'Thống kê'!$C$3:$D$970,2,0)</f>
        <v>0</v>
      </c>
      <c r="D2235" s="166">
        <f>VLOOKUP(B2235,'Thống kê'!$C$3:$M$970,4,0)</f>
        <v>0</v>
      </c>
      <c r="E2235" s="167">
        <v>1</v>
      </c>
      <c r="F2235" s="168">
        <f t="shared" si="9"/>
        <v>0</v>
      </c>
      <c r="G2235" s="75"/>
      <c r="H2235" s="176">
        <v>66220</v>
      </c>
    </row>
    <row r="2236" spans="1:8" ht="13.2">
      <c r="A2236" s="49"/>
      <c r="B2236" s="16" t="s">
        <v>227</v>
      </c>
      <c r="C2236" s="143" t="str">
        <f>VLOOKUP(B2236,'Thống kê'!$C$3:$D$970,2,0)</f>
        <v>Móc khóa đôi corgy</v>
      </c>
      <c r="D2236" s="166">
        <f>VLOOKUP(B2236,'Thống kê'!$C$3:$M$970,4,0)</f>
        <v>56580</v>
      </c>
      <c r="E2236" s="167">
        <v>1</v>
      </c>
      <c r="F2236" s="168">
        <f t="shared" si="9"/>
        <v>56580</v>
      </c>
      <c r="G2236" s="75"/>
      <c r="H2236" s="177">
        <v>47908</v>
      </c>
    </row>
    <row r="2237" spans="1:8" ht="13.2">
      <c r="A2237" s="49"/>
      <c r="B2237" s="16" t="s">
        <v>234</v>
      </c>
      <c r="C2237" s="143" t="str">
        <f>VLOOKUP(B2237,'Thống kê'!$C$3:$D$970,2,0)</f>
        <v>Móc khoá skullpanda phiên bản mini</v>
      </c>
      <c r="D2237" s="166">
        <f>VLOOKUP(B2237,'Thống kê'!$C$3:$M$970,4,0)</f>
        <v>98000</v>
      </c>
      <c r="E2237" s="167">
        <v>1</v>
      </c>
      <c r="F2237" s="168">
        <f t="shared" si="9"/>
        <v>98000</v>
      </c>
      <c r="G2237" s="75"/>
      <c r="H2237" s="178">
        <v>74655</v>
      </c>
    </row>
    <row r="2238" spans="1:8" ht="13.2">
      <c r="A2238" s="49"/>
      <c r="B2238" s="16" t="s">
        <v>1384</v>
      </c>
      <c r="C2238" s="143" t="str">
        <f>VLOOKUP(B2238,'Thống kê'!$C$3:$D$970,2,0)</f>
        <v>Móc khoá Crybaby mini Popmart</v>
      </c>
      <c r="D2238" s="166">
        <f>VLOOKUP(B2238,'Thống kê'!$C$3:$M$970,4,0)</f>
        <v>0</v>
      </c>
      <c r="E2238" s="167">
        <v>1</v>
      </c>
      <c r="F2238" s="168">
        <f t="shared" si="9"/>
        <v>0</v>
      </c>
      <c r="G2238" s="75"/>
      <c r="H2238" s="175">
        <v>77500</v>
      </c>
    </row>
    <row r="2239" spans="1:8" ht="13.2">
      <c r="A2239" s="49"/>
      <c r="B2239" s="16" t="s">
        <v>1529</v>
      </c>
      <c r="C2239" s="143">
        <f>VLOOKUP(B2239,'Thống kê'!$C$3:$D$970,2,0)</f>
        <v>0</v>
      </c>
      <c r="D2239" s="166">
        <f>VLOOKUP(B2239,'Thống kê'!$C$3:$M$970,4,0)</f>
        <v>0</v>
      </c>
      <c r="E2239" s="167">
        <v>1</v>
      </c>
      <c r="F2239" s="168">
        <f t="shared" si="9"/>
        <v>0</v>
      </c>
      <c r="G2239" s="75"/>
      <c r="H2239" s="175">
        <v>66420</v>
      </c>
    </row>
    <row r="2240" spans="1:8" ht="13.2">
      <c r="A2240" s="49"/>
      <c r="B2240" s="16" t="s">
        <v>1844</v>
      </c>
      <c r="C2240" s="143" t="str">
        <f>VLOOKUP(B2240,'Thống kê'!$C$3:$D$970,2,0)</f>
        <v>Hộp thuốc ngôi sao xanh</v>
      </c>
      <c r="D2240" s="166">
        <f>VLOOKUP(B2240,'Thống kê'!$C$3:$M$970,4,0)</f>
        <v>11000</v>
      </c>
      <c r="E2240" s="167">
        <v>1</v>
      </c>
      <c r="F2240" s="168">
        <f t="shared" si="9"/>
        <v>11000</v>
      </c>
      <c r="G2240" s="75"/>
      <c r="H2240" s="402">
        <v>34760</v>
      </c>
    </row>
    <row r="2241" spans="1:8" ht="13.2">
      <c r="A2241" s="49"/>
      <c r="B2241" s="16" t="s">
        <v>1836</v>
      </c>
      <c r="C2241" s="143" t="str">
        <f>VLOOKUP(B2241,'Thống kê'!$C$3:$D$970,2,0)</f>
        <v>Túi Đựng Mắt Kính Da Pu</v>
      </c>
      <c r="D2241" s="166">
        <f>VLOOKUP(B2241,'Thống kê'!$C$3:$M$970,4,0)</f>
        <v>0</v>
      </c>
      <c r="E2241" s="167">
        <v>1</v>
      </c>
      <c r="F2241" s="168">
        <f t="shared" si="9"/>
        <v>0</v>
      </c>
      <c r="G2241" s="75"/>
      <c r="H2241" s="372"/>
    </row>
    <row r="2242" spans="1:8" ht="13.2">
      <c r="A2242" s="49"/>
      <c r="B2242" s="16" t="s">
        <v>1845</v>
      </c>
      <c r="C2242" s="143" t="str">
        <f>VLOOKUP(B2242,'Thống kê'!$C$3:$D$970,2,0)</f>
        <v>Túi Đựng Mắt Kính Da Pu</v>
      </c>
      <c r="D2242" s="166">
        <f>VLOOKUP(B2242,'Thống kê'!$C$3:$M$970,4,0)</f>
        <v>0</v>
      </c>
      <c r="E2242" s="167">
        <v>1</v>
      </c>
      <c r="F2242" s="168">
        <f t="shared" si="9"/>
        <v>0</v>
      </c>
      <c r="G2242" s="75"/>
      <c r="H2242" s="373"/>
    </row>
    <row r="2243" spans="1:8" ht="13.2">
      <c r="A2243" s="49"/>
      <c r="B2243" s="16" t="s">
        <v>1382</v>
      </c>
      <c r="C2243" s="143" t="str">
        <f>VLOOKUP(B2243,'Thống kê'!$C$3:$D$970,2,0)</f>
        <v>miếng dán silicon điện thoại</v>
      </c>
      <c r="D2243" s="166">
        <f>VLOOKUP(B2243,'Thống kê'!$C$3:$M$970,4,0)</f>
        <v>0</v>
      </c>
      <c r="E2243" s="167">
        <v>2</v>
      </c>
      <c r="F2243" s="168">
        <f t="shared" si="9"/>
        <v>0</v>
      </c>
      <c r="G2243" s="75"/>
      <c r="H2243" s="402">
        <v>157119</v>
      </c>
    </row>
    <row r="2244" spans="1:8" ht="13.2">
      <c r="A2244" s="49"/>
      <c r="B2244" s="16" t="s">
        <v>234</v>
      </c>
      <c r="C2244" s="143" t="str">
        <f>VLOOKUP(B2244,'Thống kê'!$C$3:$D$970,2,0)</f>
        <v>Móc khoá skullpanda phiên bản mini</v>
      </c>
      <c r="D2244" s="166">
        <f>VLOOKUP(B2244,'Thống kê'!$C$3:$M$970,4,0)</f>
        <v>98000</v>
      </c>
      <c r="E2244" s="167">
        <v>1</v>
      </c>
      <c r="F2244" s="168">
        <f t="shared" si="9"/>
        <v>98000</v>
      </c>
      <c r="G2244" s="75"/>
      <c r="H2244" s="372"/>
    </row>
    <row r="2245" spans="1:8" ht="13.2">
      <c r="A2245" s="49"/>
      <c r="B2245" s="16" t="s">
        <v>1387</v>
      </c>
      <c r="C2245" s="143" t="str">
        <f>VLOOKUP(B2245,'Thống kê'!$C$3:$D$970,2,0)</f>
        <v>Móc khoá Crybaby mini Popmart</v>
      </c>
      <c r="D2245" s="166">
        <f>VLOOKUP(B2245,'Thống kê'!$C$3:$M$970,4,0)</f>
        <v>0</v>
      </c>
      <c r="E2245" s="167">
        <v>1</v>
      </c>
      <c r="F2245" s="168">
        <f t="shared" si="9"/>
        <v>0</v>
      </c>
      <c r="G2245" s="75"/>
      <c r="H2245" s="373"/>
    </row>
    <row r="2246" spans="1:8" ht="13.2">
      <c r="A2246" s="49"/>
      <c r="B2246" s="16" t="s">
        <v>1470</v>
      </c>
      <c r="C2246" s="143">
        <f>VLOOKUP(B2246,'Thống kê'!$C$3:$D$970,2,0)</f>
        <v>0</v>
      </c>
      <c r="D2246" s="166">
        <f>VLOOKUP(B2246,'Thống kê'!$C$3:$M$970,4,0)</f>
        <v>0</v>
      </c>
      <c r="E2246" s="167">
        <v>1</v>
      </c>
      <c r="F2246" s="168">
        <f t="shared" si="9"/>
        <v>0</v>
      </c>
      <c r="G2246" s="75"/>
      <c r="H2246" s="403">
        <v>135994</v>
      </c>
    </row>
    <row r="2247" spans="1:8" ht="13.2">
      <c r="A2247" s="49"/>
      <c r="B2247" s="16" t="s">
        <v>1382</v>
      </c>
      <c r="C2247" s="143" t="str">
        <f>VLOOKUP(B2247,'Thống kê'!$C$3:$D$970,2,0)</f>
        <v>miếng dán silicon điện thoại</v>
      </c>
      <c r="D2247" s="166">
        <f>VLOOKUP(B2247,'Thống kê'!$C$3:$M$970,4,0)</f>
        <v>0</v>
      </c>
      <c r="E2247" s="167">
        <v>1</v>
      </c>
      <c r="F2247" s="168">
        <f t="shared" si="9"/>
        <v>0</v>
      </c>
      <c r="G2247" s="75"/>
      <c r="H2247" s="372"/>
    </row>
    <row r="2248" spans="1:8" ht="13.2">
      <c r="A2248" s="49"/>
      <c r="B2248" s="16" t="s">
        <v>191</v>
      </c>
      <c r="C2248" s="143">
        <f>VLOOKUP(B2248,'Thống kê'!$C$3:$D$970,2,0)</f>
        <v>0</v>
      </c>
      <c r="D2248" s="166">
        <f>VLOOKUP(B2248,'Thống kê'!$C$3:$M$970,4,0)</f>
        <v>0</v>
      </c>
      <c r="E2248" s="167">
        <v>1</v>
      </c>
      <c r="F2248" s="168">
        <f t="shared" si="9"/>
        <v>0</v>
      </c>
      <c r="G2248" s="75"/>
      <c r="H2248" s="176">
        <v>66020</v>
      </c>
    </row>
    <row r="2249" spans="1:8" ht="13.2">
      <c r="A2249" s="49"/>
      <c r="B2249" s="16" t="s">
        <v>1384</v>
      </c>
      <c r="C2249" s="143" t="str">
        <f>VLOOKUP(B2249,'Thống kê'!$C$3:$D$970,2,0)</f>
        <v>Móc khoá Crybaby mini Popmart</v>
      </c>
      <c r="D2249" s="166">
        <f>VLOOKUP(B2249,'Thống kê'!$C$3:$M$970,4,0)</f>
        <v>0</v>
      </c>
      <c r="E2249" s="167">
        <v>1</v>
      </c>
      <c r="F2249" s="168">
        <f t="shared" si="9"/>
        <v>0</v>
      </c>
      <c r="G2249" s="75"/>
      <c r="H2249" s="403">
        <v>130708</v>
      </c>
    </row>
    <row r="2250" spans="1:8" ht="13.2">
      <c r="A2250" s="49"/>
      <c r="B2250" s="16" t="s">
        <v>149</v>
      </c>
      <c r="C2250" s="143" t="str">
        <f>VLOOKUP(B2250,'Thống kê'!$C$3:$D$970,2,0)</f>
        <v>ếch</v>
      </c>
      <c r="D2250" s="166">
        <f>VLOOKUP(B2250,'Thống kê'!$C$3:$M$970,4,0)</f>
        <v>35000</v>
      </c>
      <c r="E2250" s="167">
        <v>1</v>
      </c>
      <c r="F2250" s="168">
        <f t="shared" si="9"/>
        <v>35000</v>
      </c>
      <c r="G2250" s="75"/>
      <c r="H2250" s="372"/>
    </row>
    <row r="2251" spans="1:8" ht="13.2">
      <c r="A2251" s="49"/>
      <c r="B2251" s="16" t="s">
        <v>94</v>
      </c>
      <c r="C2251" s="143" t="str">
        <f>VLOOKUP(B2251,'Thống kê'!$C$3:$D$970,2,0)</f>
        <v>thỏ</v>
      </c>
      <c r="D2251" s="166">
        <f>VLOOKUP(B2251,'Thống kê'!$C$3:$M$970,4,0)</f>
        <v>35000</v>
      </c>
      <c r="E2251" s="167">
        <v>1</v>
      </c>
      <c r="F2251" s="168">
        <f t="shared" si="9"/>
        <v>35000</v>
      </c>
      <c r="G2251" s="75"/>
      <c r="H2251" s="373"/>
    </row>
    <row r="2252" spans="1:8" ht="13.2">
      <c r="A2252" s="49"/>
      <c r="B2252" s="16" t="s">
        <v>196</v>
      </c>
      <c r="C2252" s="143">
        <f>VLOOKUP(B2252,'Thống kê'!$C$3:$D$970,2,0)</f>
        <v>0</v>
      </c>
      <c r="D2252" s="166">
        <f>VLOOKUP(B2252,'Thống kê'!$C$3:$M$970,4,0)</f>
        <v>0</v>
      </c>
      <c r="E2252" s="167">
        <v>1</v>
      </c>
      <c r="F2252" s="168">
        <f t="shared" si="9"/>
        <v>0</v>
      </c>
      <c r="G2252" s="75"/>
      <c r="H2252" s="178">
        <v>63140</v>
      </c>
    </row>
    <row r="2253" spans="1:8" ht="13.2">
      <c r="A2253" s="49"/>
      <c r="B2253" s="16" t="s">
        <v>85</v>
      </c>
      <c r="C2253" s="143">
        <f>VLOOKUP(B2253,'Thống kê'!$C$3:$D$970,2,0)</f>
        <v>0</v>
      </c>
      <c r="D2253" s="166">
        <f>VLOOKUP(B2253,'Thống kê'!$C$3:$M$970,4,0)</f>
        <v>0</v>
      </c>
      <c r="E2253" s="167">
        <v>1</v>
      </c>
      <c r="F2253" s="168">
        <f t="shared" si="9"/>
        <v>0</v>
      </c>
      <c r="G2253" s="75"/>
      <c r="H2253" s="176">
        <v>56580</v>
      </c>
    </row>
    <row r="2254" spans="1:8" ht="13.2">
      <c r="A2254" s="49"/>
      <c r="B2254" s="16" t="s">
        <v>85</v>
      </c>
      <c r="C2254" s="143">
        <f>VLOOKUP(B2254,'Thống kê'!$C$3:$D$970,2,0)</f>
        <v>0</v>
      </c>
      <c r="D2254" s="166">
        <f>VLOOKUP(B2254,'Thống kê'!$C$3:$M$970,4,0)</f>
        <v>0</v>
      </c>
      <c r="E2254" s="167">
        <v>1</v>
      </c>
      <c r="F2254" s="168">
        <f t="shared" si="9"/>
        <v>0</v>
      </c>
      <c r="G2254" s="75"/>
      <c r="H2254" s="177">
        <v>56180</v>
      </c>
    </row>
    <row r="2255" spans="1:8" ht="13.2">
      <c r="A2255" s="49"/>
      <c r="B2255" s="16" t="s">
        <v>127</v>
      </c>
      <c r="C2255" s="143">
        <f>VLOOKUP(B2255,'Thống kê'!$C$3:$D$970,2,0)</f>
        <v>0</v>
      </c>
      <c r="D2255" s="166">
        <f>VLOOKUP(B2255,'Thống kê'!$C$3:$M$970,4,0)</f>
        <v>0</v>
      </c>
      <c r="E2255" s="167">
        <v>1</v>
      </c>
      <c r="F2255" s="168">
        <f t="shared" si="9"/>
        <v>0</v>
      </c>
      <c r="G2255" s="75"/>
      <c r="H2255" s="177">
        <v>65482</v>
      </c>
    </row>
    <row r="2256" spans="1:8" ht="13.2">
      <c r="A2256" s="49"/>
      <c r="B2256" s="16" t="s">
        <v>1635</v>
      </c>
      <c r="C2256" s="143" t="str">
        <f>VLOOKUP(B2256,'Thống kê'!$C$3:$D$970,2,0)</f>
        <v>Mô hình mèo 4</v>
      </c>
      <c r="D2256" s="166">
        <f>VLOOKUP(B2256,'Thống kê'!$C$3:$M$970,4,0)</f>
        <v>37800</v>
      </c>
      <c r="E2256" s="167">
        <v>1</v>
      </c>
      <c r="F2256" s="168">
        <f t="shared" si="9"/>
        <v>37800</v>
      </c>
      <c r="G2256" s="75"/>
      <c r="H2256" s="403">
        <v>58492</v>
      </c>
    </row>
    <row r="2257" spans="1:8" ht="13.2">
      <c r="A2257" s="49"/>
      <c r="B2257" s="16" t="s">
        <v>1623</v>
      </c>
      <c r="C2257" s="143" t="str">
        <f>VLOOKUP(B2257,'Thống kê'!$C$3:$D$970,2,0)</f>
        <v>Mô hình mèo 5</v>
      </c>
      <c r="D2257" s="166">
        <f>VLOOKUP(B2257,'Thống kê'!$C$3:$M$970,4,0)</f>
        <v>37800</v>
      </c>
      <c r="E2257" s="167">
        <v>1</v>
      </c>
      <c r="F2257" s="168">
        <f t="shared" si="9"/>
        <v>37800</v>
      </c>
      <c r="G2257" s="75"/>
      <c r="H2257" s="373"/>
    </row>
    <row r="2258" spans="1:8" ht="13.2">
      <c r="A2258" s="49"/>
      <c r="B2258" s="16" t="s">
        <v>159</v>
      </c>
      <c r="C2258" s="143">
        <f>VLOOKUP(B2258,'Thống kê'!$C$3:$D$970,2,0)</f>
        <v>0</v>
      </c>
      <c r="D2258" s="166">
        <f>VLOOKUP(B2258,'Thống kê'!$C$3:$M$970,4,0)</f>
        <v>0</v>
      </c>
      <c r="E2258" s="167">
        <v>1</v>
      </c>
      <c r="F2258" s="168">
        <f t="shared" si="9"/>
        <v>0</v>
      </c>
      <c r="G2258" s="75"/>
      <c r="H2258" s="403">
        <v>207267</v>
      </c>
    </row>
    <row r="2259" spans="1:8" ht="13.2">
      <c r="A2259" s="49"/>
      <c r="B2259" s="16" t="s">
        <v>1524</v>
      </c>
      <c r="C2259" s="143">
        <f>VLOOKUP(B2259,'Thống kê'!$C$3:$D$970,2,0)</f>
        <v>0</v>
      </c>
      <c r="D2259" s="166">
        <f>VLOOKUP(B2259,'Thống kê'!$C$3:$M$970,4,0)</f>
        <v>0</v>
      </c>
      <c r="E2259" s="167">
        <v>1</v>
      </c>
      <c r="F2259" s="168">
        <f t="shared" si="9"/>
        <v>0</v>
      </c>
      <c r="G2259" s="75"/>
      <c r="H2259" s="372"/>
    </row>
    <row r="2260" spans="1:8" ht="13.2">
      <c r="A2260" s="49"/>
      <c r="B2260" s="16" t="s">
        <v>127</v>
      </c>
      <c r="C2260" s="143">
        <f>VLOOKUP(B2260,'Thống kê'!$C$3:$D$970,2,0)</f>
        <v>0</v>
      </c>
      <c r="D2260" s="166">
        <f>VLOOKUP(B2260,'Thống kê'!$C$3:$M$970,4,0)</f>
        <v>0</v>
      </c>
      <c r="E2260" s="167">
        <v>1</v>
      </c>
      <c r="F2260" s="168">
        <f t="shared" si="9"/>
        <v>0</v>
      </c>
      <c r="G2260" s="75"/>
      <c r="H2260" s="176">
        <v>66345</v>
      </c>
    </row>
    <row r="2261" spans="1:8" ht="13.2">
      <c r="A2261" s="49"/>
      <c r="B2261" s="16" t="s">
        <v>1836</v>
      </c>
      <c r="C2261" s="143" t="str">
        <f>VLOOKUP(B2261,'Thống kê'!$C$3:$D$970,2,0)</f>
        <v>Túi Đựng Mắt Kính Da Pu</v>
      </c>
      <c r="D2261" s="166">
        <f>VLOOKUP(B2261,'Thống kê'!$C$3:$M$970,4,0)</f>
        <v>0</v>
      </c>
      <c r="E2261" s="167">
        <v>1</v>
      </c>
      <c r="F2261" s="168">
        <f t="shared" si="9"/>
        <v>0</v>
      </c>
      <c r="G2261" s="75"/>
      <c r="H2261" s="403">
        <v>45211</v>
      </c>
    </row>
    <row r="2262" spans="1:8" ht="13.2">
      <c r="A2262" s="49"/>
      <c r="B2262" s="16" t="s">
        <v>1827</v>
      </c>
      <c r="C2262" s="143" t="str">
        <f>VLOOKUP(B2262,'Thống kê'!$C$3:$D$970,2,0)</f>
        <v>Túi đựng đồ trang điểm nhỏ</v>
      </c>
      <c r="D2262" s="166">
        <f>VLOOKUP(B2262,'Thống kê'!$C$3:$M$970,4,0)</f>
        <v>0</v>
      </c>
      <c r="E2262" s="167">
        <v>1</v>
      </c>
      <c r="F2262" s="168">
        <f t="shared" si="9"/>
        <v>0</v>
      </c>
      <c r="G2262" s="75"/>
      <c r="H2262" s="372"/>
    </row>
    <row r="2263" spans="1:8" ht="13.2">
      <c r="A2263" s="49"/>
      <c r="B2263" s="16" t="s">
        <v>133</v>
      </c>
      <c r="C2263" s="143">
        <f>VLOOKUP(B2263,'Thống kê'!$C$3:$D$970,2,0)</f>
        <v>0</v>
      </c>
      <c r="D2263" s="166">
        <f>VLOOKUP(B2263,'Thống kê'!$C$3:$M$970,4,0)</f>
        <v>0</v>
      </c>
      <c r="E2263" s="167">
        <v>1</v>
      </c>
      <c r="F2263" s="168">
        <f t="shared" si="9"/>
        <v>0</v>
      </c>
      <c r="G2263" s="75"/>
      <c r="H2263" s="176">
        <v>56580</v>
      </c>
    </row>
    <row r="2264" spans="1:8" ht="13.2">
      <c r="A2264" s="64"/>
      <c r="B2264" s="16" t="s">
        <v>1382</v>
      </c>
      <c r="C2264" s="143" t="str">
        <f>VLOOKUP(B2264,'Thống kê'!$C$3:$D$970,2,0)</f>
        <v>miếng dán silicon điện thoại</v>
      </c>
      <c r="D2264" s="166">
        <f>VLOOKUP(B2264,'Thống kê'!$C$3:$M$970,4,0)</f>
        <v>0</v>
      </c>
      <c r="E2264" s="167">
        <v>1</v>
      </c>
      <c r="F2264" s="168">
        <f t="shared" si="9"/>
        <v>0</v>
      </c>
      <c r="G2264" s="75"/>
      <c r="H2264" s="403">
        <v>72592</v>
      </c>
    </row>
    <row r="2265" spans="1:8" ht="13.2">
      <c r="A2265" s="49"/>
      <c r="B2265" s="16" t="s">
        <v>196</v>
      </c>
      <c r="C2265" s="143">
        <f>VLOOKUP(B2265,'Thống kê'!$C$3:$D$970,2,0)</f>
        <v>0</v>
      </c>
      <c r="D2265" s="166">
        <f>VLOOKUP(B2265,'Thống kê'!$C$3:$M$970,4,0)</f>
        <v>0</v>
      </c>
      <c r="E2265" s="167">
        <v>1</v>
      </c>
      <c r="F2265" s="168">
        <f t="shared" si="9"/>
        <v>0</v>
      </c>
      <c r="G2265" s="75"/>
      <c r="H2265" s="373"/>
    </row>
    <row r="2266" spans="1:8" ht="13.2">
      <c r="A2266" s="49"/>
      <c r="B2266" s="16" t="s">
        <v>1817</v>
      </c>
      <c r="C2266" s="143" t="str">
        <f>VLOOKUP(B2266,'Thống kê'!$C$3:$D$970,2,0)</f>
        <v>Túi Đựng Mắt Kính Da Pu</v>
      </c>
      <c r="D2266" s="166">
        <f>VLOOKUP(B2266,'Thống kê'!$C$3:$M$970,4,0)</f>
        <v>0</v>
      </c>
      <c r="E2266" s="167">
        <v>1</v>
      </c>
      <c r="F2266" s="168">
        <f t="shared" si="9"/>
        <v>0</v>
      </c>
      <c r="G2266" s="75"/>
      <c r="H2266" s="403">
        <v>38550</v>
      </c>
    </row>
    <row r="2267" spans="1:8" ht="13.2">
      <c r="A2267" s="49"/>
      <c r="B2267" s="16" t="s">
        <v>1841</v>
      </c>
      <c r="C2267" s="143" t="str">
        <f>VLOOKUP(B2267,'Thống kê'!$C$3:$D$970,2,0)</f>
        <v>Túi Đựng Mắt Kính Da Pu</v>
      </c>
      <c r="D2267" s="166">
        <f>VLOOKUP(B2267,'Thống kê'!$C$3:$M$970,4,0)</f>
        <v>0</v>
      </c>
      <c r="E2267" s="167">
        <v>1</v>
      </c>
      <c r="F2267" s="168">
        <f t="shared" si="9"/>
        <v>0</v>
      </c>
      <c r="G2267" s="75"/>
      <c r="H2267" s="373"/>
    </row>
    <row r="2268" spans="1:8" ht="13.2">
      <c r="A2268" s="49"/>
      <c r="B2268" s="16" t="s">
        <v>1382</v>
      </c>
      <c r="C2268" s="143" t="str">
        <f>VLOOKUP(B2268,'Thống kê'!$C$3:$D$970,2,0)</f>
        <v>miếng dán silicon điện thoại</v>
      </c>
      <c r="D2268" s="166">
        <f>VLOOKUP(B2268,'Thống kê'!$C$3:$M$970,4,0)</f>
        <v>0</v>
      </c>
      <c r="E2268" s="167">
        <v>1</v>
      </c>
      <c r="F2268" s="168">
        <f t="shared" si="9"/>
        <v>0</v>
      </c>
      <c r="G2268" s="75"/>
      <c r="H2268" s="402">
        <v>149274</v>
      </c>
    </row>
    <row r="2269" spans="1:8" ht="13.2">
      <c r="A2269" s="49"/>
      <c r="B2269" s="16" t="s">
        <v>262</v>
      </c>
      <c r="C2269" s="143" t="str">
        <f>VLOOKUP(B2269,'Thống kê'!$C$3:$D$970,2,0)</f>
        <v>Pop Bean Baked Bread</v>
      </c>
      <c r="D2269" s="166">
        <f>VLOOKUP(B2269,'Thống kê'!$C$3:$M$970,4,0)</f>
        <v>167000</v>
      </c>
      <c r="E2269" s="167">
        <v>1</v>
      </c>
      <c r="F2269" s="168">
        <f t="shared" si="9"/>
        <v>167000</v>
      </c>
      <c r="G2269" s="75"/>
      <c r="H2269" s="373"/>
    </row>
    <row r="2270" spans="1:8" ht="13.2">
      <c r="A2270" s="64">
        <v>45755</v>
      </c>
      <c r="B2270" s="16" t="s">
        <v>77</v>
      </c>
      <c r="C2270" s="143">
        <f>VLOOKUP(B2270,'Thống kê'!$C$3:$D$970,2,0)</f>
        <v>0</v>
      </c>
      <c r="D2270" s="166">
        <f>VLOOKUP(B2270,'Thống kê'!$C$3:$M$970,4,0)</f>
        <v>0</v>
      </c>
      <c r="E2270" s="167">
        <v>1</v>
      </c>
      <c r="F2270" s="168">
        <f t="shared" si="9"/>
        <v>0</v>
      </c>
      <c r="G2270" s="75"/>
      <c r="H2270" s="403">
        <v>196144</v>
      </c>
    </row>
    <row r="2271" spans="1:8" ht="13.2">
      <c r="A2271" s="49"/>
      <c r="B2271" s="16" t="s">
        <v>1516</v>
      </c>
      <c r="C2271" s="143">
        <f>VLOOKUP(B2271,'Thống kê'!$C$3:$D$970,2,0)</f>
        <v>0</v>
      </c>
      <c r="D2271" s="166">
        <f>VLOOKUP(B2271,'Thống kê'!$C$3:$M$970,4,0)</f>
        <v>0</v>
      </c>
      <c r="E2271" s="167">
        <v>1</v>
      </c>
      <c r="F2271" s="168">
        <f t="shared" si="9"/>
        <v>0</v>
      </c>
      <c r="G2271" s="75"/>
      <c r="H2271" s="372"/>
    </row>
    <row r="2272" spans="1:8" ht="13.2">
      <c r="A2272" s="49"/>
      <c r="B2272" s="16" t="s">
        <v>84</v>
      </c>
      <c r="C2272" s="143">
        <f>VLOOKUP(B2272,'Thống kê'!$C$3:$D$970,2,0)</f>
        <v>0</v>
      </c>
      <c r="D2272" s="166">
        <f>VLOOKUP(B2272,'Thống kê'!$C$3:$M$970,4,0)</f>
        <v>0</v>
      </c>
      <c r="E2272" s="167">
        <v>1</v>
      </c>
      <c r="F2272" s="168">
        <f t="shared" si="9"/>
        <v>0</v>
      </c>
      <c r="G2272" s="75"/>
      <c r="H2272" s="372"/>
    </row>
    <row r="2273" spans="1:8" ht="13.2">
      <c r="A2273" s="49"/>
      <c r="B2273" s="16" t="s">
        <v>140</v>
      </c>
      <c r="C2273" s="143">
        <f>VLOOKUP(B2273,'Thống kê'!$C$3:$D$970,2,0)</f>
        <v>0</v>
      </c>
      <c r="D2273" s="166">
        <f>VLOOKUP(B2273,'Thống kê'!$C$3:$M$970,4,0)</f>
        <v>0</v>
      </c>
      <c r="E2273" s="167">
        <v>1</v>
      </c>
      <c r="F2273" s="168">
        <f t="shared" si="9"/>
        <v>0</v>
      </c>
      <c r="G2273" s="75"/>
      <c r="H2273" s="373"/>
    </row>
    <row r="2274" spans="1:8" ht="13.2">
      <c r="A2274" s="49"/>
      <c r="B2274" s="16" t="s">
        <v>140</v>
      </c>
      <c r="C2274" s="143">
        <f>VLOOKUP(B2274,'Thống kê'!$C$3:$D$970,2,0)</f>
        <v>0</v>
      </c>
      <c r="D2274" s="166">
        <f>VLOOKUP(B2274,'Thống kê'!$C$3:$M$970,4,0)</f>
        <v>0</v>
      </c>
      <c r="E2274" s="167">
        <v>1</v>
      </c>
      <c r="F2274" s="168">
        <f t="shared" si="9"/>
        <v>0</v>
      </c>
      <c r="G2274" s="75"/>
      <c r="H2274" s="403">
        <v>153340</v>
      </c>
    </row>
    <row r="2275" spans="1:8" ht="13.2">
      <c r="A2275" s="49"/>
      <c r="B2275" s="16" t="s">
        <v>140</v>
      </c>
      <c r="C2275" s="143">
        <f>VLOOKUP(B2275,'Thống kê'!$C$3:$D$970,2,0)</f>
        <v>0</v>
      </c>
      <c r="D2275" s="166">
        <f>VLOOKUP(B2275,'Thống kê'!$C$3:$M$970,4,0)</f>
        <v>0</v>
      </c>
      <c r="E2275" s="167">
        <v>1</v>
      </c>
      <c r="F2275" s="168">
        <f t="shared" si="9"/>
        <v>0</v>
      </c>
      <c r="G2275" s="75"/>
      <c r="H2275" s="372"/>
    </row>
    <row r="2276" spans="1:8" ht="13.2">
      <c r="A2276" s="49"/>
      <c r="B2276" s="16" t="s">
        <v>245</v>
      </c>
      <c r="C2276" s="143" t="str">
        <f>VLOOKUP(B2276,'Thống kê'!$C$3:$D$970,2,0)</f>
        <v>Móc khóa Popbean</v>
      </c>
      <c r="D2276" s="166">
        <f>VLOOKUP(B2276,'Thống kê'!$C$3:$M$970,4,0)</f>
        <v>148000</v>
      </c>
      <c r="E2276" s="167">
        <v>-1</v>
      </c>
      <c r="F2276" s="168">
        <f t="shared" si="9"/>
        <v>-148000</v>
      </c>
      <c r="G2276" s="75"/>
      <c r="H2276" s="175">
        <v>-150000</v>
      </c>
    </row>
    <row r="2277" spans="1:8" ht="13.2">
      <c r="A2277" s="49"/>
      <c r="B2277" s="16" t="s">
        <v>126</v>
      </c>
      <c r="C2277" s="143">
        <f>VLOOKUP(B2277,'Thống kê'!$C$3:$D$970,2,0)</f>
        <v>0</v>
      </c>
      <c r="D2277" s="166">
        <f>VLOOKUP(B2277,'Thống kê'!$C$3:$M$970,4,0)</f>
        <v>0</v>
      </c>
      <c r="E2277" s="167">
        <v>-1</v>
      </c>
      <c r="F2277" s="168">
        <f t="shared" si="9"/>
        <v>0</v>
      </c>
      <c r="G2277" s="75"/>
      <c r="H2277" s="176">
        <v>-73040</v>
      </c>
    </row>
    <row r="2278" spans="1:8" ht="13.2">
      <c r="A2278" s="49"/>
      <c r="B2278" s="16" t="s">
        <v>200</v>
      </c>
      <c r="C2278" s="143">
        <f>VLOOKUP(B2278,'Thống kê'!$C$3:$D$970,2,0)</f>
        <v>0</v>
      </c>
      <c r="D2278" s="166">
        <f>VLOOKUP(B2278,'Thống kê'!$C$3:$M$970,4,0)</f>
        <v>0</v>
      </c>
      <c r="E2278" s="167">
        <v>-1</v>
      </c>
      <c r="F2278" s="168">
        <f t="shared" si="9"/>
        <v>0</v>
      </c>
      <c r="G2278" s="75"/>
      <c r="H2278" s="177">
        <v>-32800</v>
      </c>
    </row>
    <row r="2279" spans="1:8" ht="13.2">
      <c r="A2279" s="49"/>
      <c r="B2279" s="16" t="s">
        <v>206</v>
      </c>
      <c r="C2279" s="143" t="str">
        <f>VLOOKUP(B2279,'Thống kê'!$C$3:$D$970,2,0)</f>
        <v>Pop Bean Baked Bread</v>
      </c>
      <c r="D2279" s="166">
        <f>VLOOKUP(B2279,'Thống kê'!$C$3:$M$970,4,0)</f>
        <v>167000</v>
      </c>
      <c r="E2279" s="167">
        <v>-1</v>
      </c>
      <c r="F2279" s="168">
        <f t="shared" si="9"/>
        <v>-167000</v>
      </c>
      <c r="G2279" s="75"/>
      <c r="H2279" s="403">
        <v>-137862</v>
      </c>
    </row>
    <row r="2280" spans="1:8" ht="13.2">
      <c r="A2280" s="49"/>
      <c r="B2280" s="16" t="s">
        <v>1382</v>
      </c>
      <c r="C2280" s="143" t="str">
        <f>VLOOKUP(B2280,'Thống kê'!$C$3:$D$970,2,0)</f>
        <v>miếng dán silicon điện thoại</v>
      </c>
      <c r="D2280" s="166">
        <f>VLOOKUP(B2280,'Thống kê'!$C$3:$M$970,4,0)</f>
        <v>0</v>
      </c>
      <c r="E2280" s="167">
        <v>-1</v>
      </c>
      <c r="F2280" s="168">
        <f t="shared" si="9"/>
        <v>0</v>
      </c>
      <c r="G2280" s="75"/>
      <c r="H2280" s="373"/>
    </row>
    <row r="2281" spans="1:8" ht="13.2">
      <c r="A2281" s="49"/>
      <c r="B2281" s="16" t="s">
        <v>1382</v>
      </c>
      <c r="C2281" s="143" t="str">
        <f>VLOOKUP(B2281,'Thống kê'!$C$3:$D$970,2,0)</f>
        <v>miếng dán silicon điện thoại</v>
      </c>
      <c r="D2281" s="166">
        <f>VLOOKUP(B2281,'Thống kê'!$C$3:$M$970,4,0)</f>
        <v>0</v>
      </c>
      <c r="E2281" s="167">
        <v>5</v>
      </c>
      <c r="F2281" s="168">
        <f t="shared" si="9"/>
        <v>0</v>
      </c>
      <c r="G2281" s="75"/>
      <c r="H2281" s="178">
        <v>11826</v>
      </c>
    </row>
    <row r="2282" spans="1:8" ht="13.2">
      <c r="A2282" s="49"/>
      <c r="B2282" s="16" t="s">
        <v>1387</v>
      </c>
      <c r="C2282" s="143" t="str">
        <f>VLOOKUP(B2282,'Thống kê'!$C$3:$D$970,2,0)</f>
        <v>Móc khoá Crybaby mini Popmart</v>
      </c>
      <c r="D2282" s="166">
        <f>VLOOKUP(B2282,'Thống kê'!$C$3:$M$970,4,0)</f>
        <v>0</v>
      </c>
      <c r="E2282" s="167">
        <v>1</v>
      </c>
      <c r="F2282" s="168">
        <f t="shared" si="9"/>
        <v>0</v>
      </c>
      <c r="G2282" s="75"/>
      <c r="H2282" s="402">
        <v>139400</v>
      </c>
    </row>
    <row r="2283" spans="1:8" ht="13.2">
      <c r="A2283" s="49"/>
      <c r="B2283" s="16" t="s">
        <v>77</v>
      </c>
      <c r="C2283" s="143">
        <f>VLOOKUP(B2283,'Thống kê'!$C$3:$D$970,2,0)</f>
        <v>0</v>
      </c>
      <c r="D2283" s="166">
        <f>VLOOKUP(B2283,'Thống kê'!$C$3:$M$970,4,0)</f>
        <v>0</v>
      </c>
      <c r="E2283" s="167">
        <v>1</v>
      </c>
      <c r="F2283" s="168">
        <f t="shared" si="9"/>
        <v>0</v>
      </c>
      <c r="G2283" s="75"/>
      <c r="H2283" s="373"/>
    </row>
    <row r="2284" spans="1:8" ht="13.2">
      <c r="A2284" s="49"/>
      <c r="B2284" s="16" t="s">
        <v>119</v>
      </c>
      <c r="C2284" s="143" t="str">
        <f>VLOOKUP(B2284,'Thống kê'!$C$3:$D$970,2,0)</f>
        <v>Thỏ chạy xe gắn xe</v>
      </c>
      <c r="D2284" s="166">
        <f>VLOOKUP(B2284,'Thống kê'!$C$3:$M$970,4,0)</f>
        <v>45000</v>
      </c>
      <c r="E2284" s="167">
        <v>1</v>
      </c>
      <c r="F2284" s="168">
        <f t="shared" si="9"/>
        <v>45000</v>
      </c>
      <c r="G2284" s="75"/>
      <c r="H2284" s="177">
        <v>29955</v>
      </c>
    </row>
    <row r="2285" spans="1:8" ht="13.2">
      <c r="A2285" s="49"/>
      <c r="B2285" s="16" t="s">
        <v>1717</v>
      </c>
      <c r="C2285" s="143" t="str">
        <f>VLOOKUP(B2285,'Thống kê'!$C$3:$D$970,2,0)</f>
        <v>Pop Bean Baked Bread</v>
      </c>
      <c r="D2285" s="166">
        <f>VLOOKUP(B2285,'Thống kê'!$C$3:$M$970,4,0)</f>
        <v>167000</v>
      </c>
      <c r="E2285" s="167">
        <v>1</v>
      </c>
      <c r="F2285" s="168">
        <f t="shared" si="9"/>
        <v>167000</v>
      </c>
      <c r="G2285" s="75"/>
      <c r="H2285" s="178">
        <v>130310</v>
      </c>
    </row>
    <row r="2286" spans="1:8" ht="13.2">
      <c r="A2286" s="49"/>
      <c r="B2286" s="16" t="s">
        <v>127</v>
      </c>
      <c r="C2286" s="143">
        <f>VLOOKUP(B2286,'Thống kê'!$C$3:$D$970,2,0)</f>
        <v>0</v>
      </c>
      <c r="D2286" s="166">
        <f>VLOOKUP(B2286,'Thống kê'!$C$3:$M$970,4,0)</f>
        <v>0</v>
      </c>
      <c r="E2286" s="167">
        <v>1</v>
      </c>
      <c r="F2286" s="168">
        <f t="shared" si="9"/>
        <v>0</v>
      </c>
      <c r="G2286" s="75"/>
      <c r="H2286" s="175">
        <v>59523</v>
      </c>
    </row>
    <row r="2287" spans="1:8" ht="13.2">
      <c r="A2287" s="49"/>
      <c r="B2287" s="16" t="s">
        <v>161</v>
      </c>
      <c r="C2287" s="143" t="str">
        <f>VLOOKUP(B2287,'Thống kê'!$C$3:$D$970,2,0)</f>
        <v>Dao rọc giấy 07</v>
      </c>
      <c r="D2287" s="166">
        <f>VLOOKUP(B2287,'Thống kê'!$C$3:$M$970,4,0)</f>
        <v>12000</v>
      </c>
      <c r="E2287" s="167">
        <v>1</v>
      </c>
      <c r="F2287" s="168">
        <f t="shared" si="9"/>
        <v>12000</v>
      </c>
      <c r="G2287" s="75"/>
      <c r="H2287" s="402">
        <v>150940</v>
      </c>
    </row>
    <row r="2288" spans="1:8" ht="13.2">
      <c r="A2288" s="49"/>
      <c r="B2288" s="16" t="s">
        <v>177</v>
      </c>
      <c r="C2288" s="143" t="str">
        <f>VLOOKUP(B2288,'Thống kê'!$C$3:$D$970,2,0)</f>
        <v>Dao rọc giấy 15</v>
      </c>
      <c r="D2288" s="166">
        <f>VLOOKUP(B2288,'Thống kê'!$C$3:$M$970,4,0)</f>
        <v>12000</v>
      </c>
      <c r="E2288" s="167">
        <v>1</v>
      </c>
      <c r="F2288" s="168">
        <f t="shared" si="9"/>
        <v>12000</v>
      </c>
      <c r="G2288" s="75"/>
      <c r="H2288" s="372"/>
    </row>
    <row r="2289" spans="1:8" ht="13.2">
      <c r="A2289" s="64"/>
      <c r="B2289" s="16" t="s">
        <v>80</v>
      </c>
      <c r="C2289" s="143">
        <f>VLOOKUP(B2289,'Thống kê'!$C$3:$D$970,2,0)</f>
        <v>0</v>
      </c>
      <c r="D2289" s="166">
        <f>VLOOKUP(B2289,'Thống kê'!$C$3:$M$970,4,0)</f>
        <v>0</v>
      </c>
      <c r="E2289" s="167">
        <v>1</v>
      </c>
      <c r="F2289" s="168">
        <f t="shared" si="9"/>
        <v>0</v>
      </c>
      <c r="G2289" s="75"/>
      <c r="H2289" s="372"/>
    </row>
    <row r="2290" spans="1:8" ht="13.2">
      <c r="A2290" s="49"/>
      <c r="B2290" s="16" t="s">
        <v>171</v>
      </c>
      <c r="C2290" s="143">
        <f>VLOOKUP(B2290,'Thống kê'!$C$3:$D$970,2,0)</f>
        <v>0</v>
      </c>
      <c r="D2290" s="166">
        <f>VLOOKUP(B2290,'Thống kê'!$C$3:$M$970,4,0)</f>
        <v>0</v>
      </c>
      <c r="E2290" s="167">
        <v>1</v>
      </c>
      <c r="F2290" s="168">
        <f t="shared" si="9"/>
        <v>0</v>
      </c>
      <c r="G2290" s="75"/>
      <c r="H2290" s="373"/>
    </row>
    <row r="2291" spans="1:8" ht="13.2">
      <c r="A2291" s="49"/>
      <c r="B2291" s="16" t="s">
        <v>171</v>
      </c>
      <c r="C2291" s="143">
        <f>VLOOKUP(B2291,'Thống kê'!$C$3:$D$970,2,0)</f>
        <v>0</v>
      </c>
      <c r="D2291" s="166">
        <f>VLOOKUP(B2291,'Thống kê'!$C$3:$M$970,4,0)</f>
        <v>0</v>
      </c>
      <c r="E2291" s="167">
        <v>1</v>
      </c>
      <c r="F2291" s="168">
        <f t="shared" si="9"/>
        <v>0</v>
      </c>
      <c r="G2291" s="75"/>
      <c r="H2291" s="403">
        <v>178793</v>
      </c>
    </row>
    <row r="2292" spans="1:8" ht="13.2">
      <c r="A2292" s="49"/>
      <c r="B2292" s="16" t="s">
        <v>127</v>
      </c>
      <c r="C2292" s="143">
        <f>VLOOKUP(B2292,'Thống kê'!$C$3:$D$970,2,0)</f>
        <v>0</v>
      </c>
      <c r="D2292" s="166">
        <f>VLOOKUP(B2292,'Thống kê'!$C$3:$M$970,4,0)</f>
        <v>0</v>
      </c>
      <c r="E2292" s="167">
        <v>1</v>
      </c>
      <c r="F2292" s="168">
        <f t="shared" si="9"/>
        <v>0</v>
      </c>
      <c r="G2292" s="75"/>
      <c r="H2292" s="372"/>
    </row>
    <row r="2293" spans="1:8" ht="13.2">
      <c r="A2293" s="49"/>
      <c r="B2293" s="16" t="s">
        <v>1530</v>
      </c>
      <c r="C2293" s="143">
        <f>VLOOKUP(B2293,'Thống kê'!$C$3:$D$970,2,0)</f>
        <v>0</v>
      </c>
      <c r="D2293" s="166">
        <f>VLOOKUP(B2293,'Thống kê'!$C$3:$M$970,4,0)</f>
        <v>0</v>
      </c>
      <c r="E2293" s="167">
        <v>1</v>
      </c>
      <c r="F2293" s="168">
        <f t="shared" si="9"/>
        <v>0</v>
      </c>
      <c r="G2293" s="75"/>
      <c r="H2293" s="373"/>
    </row>
    <row r="2294" spans="1:8" ht="13.2">
      <c r="A2294" s="49"/>
      <c r="B2294" s="16" t="s">
        <v>1521</v>
      </c>
      <c r="C2294" s="143">
        <f>VLOOKUP(B2294,'Thống kê'!$C$3:$D$970,2,0)</f>
        <v>0</v>
      </c>
      <c r="D2294" s="166">
        <f>VLOOKUP(B2294,'Thống kê'!$C$3:$M$970,4,0)</f>
        <v>0</v>
      </c>
      <c r="E2294" s="167">
        <v>1</v>
      </c>
      <c r="F2294" s="168">
        <f t="shared" si="9"/>
        <v>0</v>
      </c>
      <c r="G2294" s="75"/>
      <c r="H2294" s="402">
        <v>106600</v>
      </c>
    </row>
    <row r="2295" spans="1:8" ht="13.2">
      <c r="A2295" s="49"/>
      <c r="B2295" s="16" t="s">
        <v>1522</v>
      </c>
      <c r="C2295" s="143">
        <f>VLOOKUP(B2295,'Thống kê'!$C$3:$D$970,2,0)</f>
        <v>0</v>
      </c>
      <c r="D2295" s="166">
        <f>VLOOKUP(B2295,'Thống kê'!$C$3:$M$970,4,0)</f>
        <v>0</v>
      </c>
      <c r="E2295" s="167">
        <v>1</v>
      </c>
      <c r="F2295" s="168">
        <f t="shared" si="9"/>
        <v>0</v>
      </c>
      <c r="G2295" s="75"/>
      <c r="H2295" s="372"/>
    </row>
    <row r="2296" spans="1:8" ht="13.2">
      <c r="A2296" s="49"/>
      <c r="B2296" s="16" t="s">
        <v>1761</v>
      </c>
      <c r="C2296" s="143">
        <f>VLOOKUP(B2296,'Thống kê'!$C$3:$D$970,2,0)</f>
        <v>0</v>
      </c>
      <c r="D2296" s="166">
        <f>VLOOKUP(B2296,'Thống kê'!$C$3:$M$970,4,0)</f>
        <v>0</v>
      </c>
      <c r="E2296" s="167">
        <v>1</v>
      </c>
      <c r="F2296" s="168">
        <f t="shared" si="9"/>
        <v>0</v>
      </c>
      <c r="G2296" s="75"/>
      <c r="H2296" s="402">
        <v>197662</v>
      </c>
    </row>
    <row r="2297" spans="1:8" ht="13.2">
      <c r="A2297" s="49"/>
      <c r="B2297" s="16" t="s">
        <v>206</v>
      </c>
      <c r="C2297" s="143" t="str">
        <f>VLOOKUP(B2297,'Thống kê'!$C$3:$D$970,2,0)</f>
        <v>Pop Bean Baked Bread</v>
      </c>
      <c r="D2297" s="166">
        <f>VLOOKUP(B2297,'Thống kê'!$C$3:$M$970,4,0)</f>
        <v>167000</v>
      </c>
      <c r="E2297" s="167">
        <v>1</v>
      </c>
      <c r="F2297" s="168">
        <f t="shared" si="9"/>
        <v>167000</v>
      </c>
      <c r="G2297" s="75"/>
      <c r="H2297" s="372"/>
    </row>
    <row r="2298" spans="1:8" ht="13.2">
      <c r="A2298" s="49"/>
      <c r="B2298" s="16" t="s">
        <v>138</v>
      </c>
      <c r="C2298" s="143" t="str">
        <f>VLOOKUP(B2298,'Thống kê'!$C$3:$D$970,2,0)</f>
        <v>Móc khoá Crybaby mini Popmart</v>
      </c>
      <c r="D2298" s="166">
        <f>VLOOKUP(B2298,'Thống kê'!$C$3:$M$970,4,0)</f>
        <v>0</v>
      </c>
      <c r="E2298" s="167">
        <v>1</v>
      </c>
      <c r="F2298" s="168">
        <f t="shared" si="9"/>
        <v>0</v>
      </c>
      <c r="G2298" s="75"/>
      <c r="H2298" s="175">
        <v>76260</v>
      </c>
    </row>
    <row r="2299" spans="1:8" ht="13.2">
      <c r="A2299" s="49"/>
      <c r="B2299" s="16" t="s">
        <v>133</v>
      </c>
      <c r="C2299" s="143">
        <f>VLOOKUP(B2299,'Thống kê'!$C$3:$D$970,2,0)</f>
        <v>0</v>
      </c>
      <c r="D2299" s="166">
        <f>VLOOKUP(B2299,'Thống kê'!$C$3:$M$970,4,0)</f>
        <v>0</v>
      </c>
      <c r="E2299" s="167">
        <v>1</v>
      </c>
      <c r="F2299" s="168">
        <f t="shared" si="9"/>
        <v>0</v>
      </c>
      <c r="G2299" s="75"/>
      <c r="H2299" s="402">
        <v>116440</v>
      </c>
    </row>
    <row r="2300" spans="1:8" ht="13.2">
      <c r="A2300" s="49"/>
      <c r="B2300" s="16" t="s">
        <v>180</v>
      </c>
      <c r="C2300" s="143">
        <f>VLOOKUP(B2300,'Thống kê'!$C$3:$D$970,2,0)</f>
        <v>0</v>
      </c>
      <c r="D2300" s="166">
        <f>VLOOKUP(B2300,'Thống kê'!$C$3:$M$970,4,0)</f>
        <v>0</v>
      </c>
      <c r="E2300" s="167">
        <v>1</v>
      </c>
      <c r="F2300" s="168">
        <f t="shared" si="9"/>
        <v>0</v>
      </c>
      <c r="G2300" s="75"/>
      <c r="H2300" s="373"/>
    </row>
    <row r="2301" spans="1:8" ht="13.2">
      <c r="A2301" s="49"/>
      <c r="B2301" s="16" t="s">
        <v>1846</v>
      </c>
      <c r="C2301" s="143" t="str">
        <f>VLOOKUP(B2301,'Thống kê'!$C$3:$D$970,2,0)</f>
        <v>Móc Khoá Capybara thổi bong bóng</v>
      </c>
      <c r="D2301" s="166">
        <f>VLOOKUP(B2301,'Thống kê'!$C$3:$M$970,4,0)</f>
        <v>0</v>
      </c>
      <c r="E2301" s="167">
        <v>1</v>
      </c>
      <c r="F2301" s="168">
        <f t="shared" si="9"/>
        <v>0</v>
      </c>
      <c r="G2301" s="75"/>
      <c r="H2301" s="403">
        <v>56088</v>
      </c>
    </row>
    <row r="2302" spans="1:8" ht="13.2">
      <c r="A2302" s="49"/>
      <c r="B2302" s="16" t="s">
        <v>1847</v>
      </c>
      <c r="C2302" s="143" t="str">
        <f>VLOOKUP(B2302,'Thống kê'!$C$3:$D$970,2,0)</f>
        <v>Móc Khoá Capybara thổi bong bóng</v>
      </c>
      <c r="D2302" s="166">
        <f>VLOOKUP(B2302,'Thống kê'!$C$3:$M$970,4,0)</f>
        <v>0</v>
      </c>
      <c r="E2302" s="167">
        <v>1</v>
      </c>
      <c r="F2302" s="168">
        <f t="shared" si="9"/>
        <v>0</v>
      </c>
      <c r="G2302" s="75"/>
      <c r="H2302" s="373"/>
    </row>
    <row r="2303" spans="1:8" ht="13.2">
      <c r="A2303" s="49"/>
      <c r="B2303" s="16" t="s">
        <v>133</v>
      </c>
      <c r="C2303" s="143">
        <f>VLOOKUP(B2303,'Thống kê'!$C$3:$D$970,2,0)</f>
        <v>0</v>
      </c>
      <c r="D2303" s="166">
        <f>VLOOKUP(B2303,'Thống kê'!$C$3:$M$970,4,0)</f>
        <v>0</v>
      </c>
      <c r="E2303" s="167">
        <v>1</v>
      </c>
      <c r="F2303" s="168">
        <f t="shared" si="9"/>
        <v>0</v>
      </c>
      <c r="G2303" s="75"/>
      <c r="H2303" s="403">
        <v>124640</v>
      </c>
    </row>
    <row r="2304" spans="1:8" ht="13.2">
      <c r="A2304" s="49"/>
      <c r="B2304" s="16" t="s">
        <v>196</v>
      </c>
      <c r="C2304" s="143">
        <f>VLOOKUP(B2304,'Thống kê'!$C$3:$D$970,2,0)</f>
        <v>0</v>
      </c>
      <c r="D2304" s="166">
        <f>VLOOKUP(B2304,'Thống kê'!$C$3:$M$970,4,0)</f>
        <v>0</v>
      </c>
      <c r="E2304" s="167">
        <v>1</v>
      </c>
      <c r="F2304" s="168">
        <f t="shared" si="9"/>
        <v>0</v>
      </c>
      <c r="G2304" s="75"/>
      <c r="H2304" s="373"/>
    </row>
    <row r="2305" spans="1:8" ht="13.2">
      <c r="A2305" s="49"/>
      <c r="B2305" s="16" t="s">
        <v>264</v>
      </c>
      <c r="C2305" s="143">
        <f>VLOOKUP(B2305,'Thống kê'!$C$3:$D$970,2,0)</f>
        <v>0</v>
      </c>
      <c r="D2305" s="166">
        <f>VLOOKUP(B2305,'Thống kê'!$C$3:$M$970,4,0)</f>
        <v>0</v>
      </c>
      <c r="E2305" s="167">
        <v>1</v>
      </c>
      <c r="F2305" s="168">
        <f t="shared" si="9"/>
        <v>0</v>
      </c>
      <c r="G2305" s="75"/>
      <c r="H2305" s="402">
        <v>127920</v>
      </c>
    </row>
    <row r="2306" spans="1:8" ht="13.2">
      <c r="A2306" s="49"/>
      <c r="B2306" s="16" t="s">
        <v>84</v>
      </c>
      <c r="C2306" s="143">
        <f>VLOOKUP(B2306,'Thống kê'!$C$3:$D$970,2,0)</f>
        <v>0</v>
      </c>
      <c r="D2306" s="166">
        <f>VLOOKUP(B2306,'Thống kê'!$C$3:$M$970,4,0)</f>
        <v>0</v>
      </c>
      <c r="E2306" s="167">
        <v>1</v>
      </c>
      <c r="F2306" s="168">
        <f t="shared" si="9"/>
        <v>0</v>
      </c>
      <c r="G2306" s="75"/>
      <c r="H2306" s="373"/>
    </row>
    <row r="2307" spans="1:8" ht="13.2">
      <c r="A2307" s="49"/>
      <c r="B2307" s="16" t="s">
        <v>80</v>
      </c>
      <c r="C2307" s="143">
        <f>VLOOKUP(B2307,'Thống kê'!$C$3:$D$970,2,0)</f>
        <v>0</v>
      </c>
      <c r="D2307" s="166">
        <f>VLOOKUP(B2307,'Thống kê'!$C$3:$M$970,4,0)</f>
        <v>0</v>
      </c>
      <c r="E2307" s="167">
        <v>1</v>
      </c>
      <c r="F2307" s="168">
        <f t="shared" si="9"/>
        <v>0</v>
      </c>
      <c r="G2307" s="75"/>
      <c r="H2307" s="402">
        <v>438700</v>
      </c>
    </row>
    <row r="2308" spans="1:8" ht="13.2">
      <c r="A2308" s="49"/>
      <c r="B2308" s="16" t="s">
        <v>171</v>
      </c>
      <c r="C2308" s="143">
        <f>VLOOKUP(B2308,'Thống kê'!$C$3:$D$970,2,0)</f>
        <v>0</v>
      </c>
      <c r="D2308" s="166">
        <f>VLOOKUP(B2308,'Thống kê'!$C$3:$M$970,4,0)</f>
        <v>0</v>
      </c>
      <c r="E2308" s="167">
        <v>1</v>
      </c>
      <c r="F2308" s="168">
        <f t="shared" si="9"/>
        <v>0</v>
      </c>
      <c r="G2308" s="75"/>
      <c r="H2308" s="372"/>
    </row>
    <row r="2309" spans="1:8" ht="13.2">
      <c r="A2309" s="49"/>
      <c r="B2309" s="16" t="s">
        <v>142</v>
      </c>
      <c r="C2309" s="143">
        <f>VLOOKUP(B2309,'Thống kê'!$C$3:$D$970,2,0)</f>
        <v>0</v>
      </c>
      <c r="D2309" s="166">
        <f>VLOOKUP(B2309,'Thống kê'!$C$3:$M$970,4,0)</f>
        <v>0</v>
      </c>
      <c r="E2309" s="167">
        <v>1</v>
      </c>
      <c r="F2309" s="168">
        <f t="shared" si="9"/>
        <v>0</v>
      </c>
      <c r="G2309" s="75"/>
      <c r="H2309" s="372"/>
    </row>
    <row r="2310" spans="1:8" ht="13.2">
      <c r="A2310" s="49"/>
      <c r="B2310" s="16" t="s">
        <v>1522</v>
      </c>
      <c r="C2310" s="143">
        <f>VLOOKUP(B2310,'Thống kê'!$C$3:$D$970,2,0)</f>
        <v>0</v>
      </c>
      <c r="D2310" s="166">
        <f>VLOOKUP(B2310,'Thống kê'!$C$3:$M$970,4,0)</f>
        <v>0</v>
      </c>
      <c r="E2310" s="167">
        <v>1</v>
      </c>
      <c r="F2310" s="168">
        <f t="shared" si="9"/>
        <v>0</v>
      </c>
      <c r="G2310" s="75"/>
      <c r="H2310" s="372"/>
    </row>
    <row r="2311" spans="1:8" ht="13.2">
      <c r="A2311" s="49"/>
      <c r="B2311" s="16" t="s">
        <v>279</v>
      </c>
      <c r="C2311" s="143">
        <f>VLOOKUP(B2311,'Thống kê'!$C$3:$D$970,2,0)</f>
        <v>0</v>
      </c>
      <c r="D2311" s="166">
        <f>VLOOKUP(B2311,'Thống kê'!$C$3:$M$970,4,0)</f>
        <v>0</v>
      </c>
      <c r="E2311" s="167">
        <v>1</v>
      </c>
      <c r="F2311" s="168">
        <f t="shared" si="9"/>
        <v>0</v>
      </c>
      <c r="G2311" s="75"/>
      <c r="H2311" s="372"/>
    </row>
    <row r="2312" spans="1:8" ht="13.2">
      <c r="A2312" s="49"/>
      <c r="B2312" s="16" t="s">
        <v>77</v>
      </c>
      <c r="C2312" s="143">
        <f>VLOOKUP(B2312,'Thống kê'!$C$3:$D$970,2,0)</f>
        <v>0</v>
      </c>
      <c r="D2312" s="166">
        <f>VLOOKUP(B2312,'Thống kê'!$C$3:$M$970,4,0)</f>
        <v>0</v>
      </c>
      <c r="E2312" s="167">
        <v>1</v>
      </c>
      <c r="F2312" s="168">
        <f t="shared" si="9"/>
        <v>0</v>
      </c>
      <c r="G2312" s="75"/>
      <c r="H2312" s="372"/>
    </row>
    <row r="2313" spans="1:8" ht="13.2">
      <c r="A2313" s="49"/>
      <c r="B2313" s="16" t="s">
        <v>1524</v>
      </c>
      <c r="C2313" s="143">
        <f>VLOOKUP(B2313,'Thống kê'!$C$3:$D$970,2,0)</f>
        <v>0</v>
      </c>
      <c r="D2313" s="166">
        <f>VLOOKUP(B2313,'Thống kê'!$C$3:$M$970,4,0)</f>
        <v>0</v>
      </c>
      <c r="E2313" s="167">
        <v>1</v>
      </c>
      <c r="F2313" s="168">
        <f t="shared" si="9"/>
        <v>0</v>
      </c>
      <c r="G2313" s="75"/>
      <c r="H2313" s="372"/>
    </row>
    <row r="2314" spans="1:8" ht="13.2">
      <c r="A2314" s="64">
        <v>45756</v>
      </c>
      <c r="B2314" s="16" t="s">
        <v>279</v>
      </c>
      <c r="C2314" s="143">
        <f>VLOOKUP(B2314,'Thống kê'!$C$3:$D$970,2,0)</f>
        <v>0</v>
      </c>
      <c r="D2314" s="166">
        <f>VLOOKUP(B2314,'Thống kê'!$C$3:$M$970,4,0)</f>
        <v>0</v>
      </c>
      <c r="E2314" s="167">
        <v>1</v>
      </c>
      <c r="F2314" s="168">
        <f t="shared" si="9"/>
        <v>0</v>
      </c>
      <c r="G2314" s="75"/>
      <c r="H2314" s="175">
        <v>58102</v>
      </c>
    </row>
    <row r="2315" spans="1:8" ht="13.2">
      <c r="A2315" s="49"/>
      <c r="B2315" s="16" t="s">
        <v>1517</v>
      </c>
      <c r="C2315" s="143">
        <f>VLOOKUP(B2315,'Thống kê'!$C$3:$D$970,2,0)</f>
        <v>0</v>
      </c>
      <c r="D2315" s="166">
        <f>VLOOKUP(B2315,'Thống kê'!$C$3:$M$970,4,0)</f>
        <v>0</v>
      </c>
      <c r="E2315" s="167">
        <v>1</v>
      </c>
      <c r="F2315" s="168">
        <f t="shared" si="9"/>
        <v>0</v>
      </c>
      <c r="G2315" s="75"/>
      <c r="H2315" s="176">
        <v>56180</v>
      </c>
    </row>
    <row r="2316" spans="1:8" ht="13.2">
      <c r="A2316" s="64"/>
      <c r="B2316" s="16" t="s">
        <v>1515</v>
      </c>
      <c r="C2316" s="143">
        <f>VLOOKUP(B2316,'Thống kê'!$C$3:$D$970,2,0)</f>
        <v>0</v>
      </c>
      <c r="D2316" s="166">
        <f>VLOOKUP(B2316,'Thống kê'!$C$3:$M$970,4,0)</f>
        <v>0</v>
      </c>
      <c r="E2316" s="167">
        <v>1</v>
      </c>
      <c r="F2316" s="168">
        <f t="shared" si="9"/>
        <v>0</v>
      </c>
      <c r="G2316" s="75"/>
      <c r="H2316" s="403">
        <v>114800</v>
      </c>
    </row>
    <row r="2317" spans="1:8" ht="13.2">
      <c r="A2317" s="49"/>
      <c r="B2317" s="16" t="s">
        <v>1516</v>
      </c>
      <c r="C2317" s="143">
        <f>VLOOKUP(B2317,'Thống kê'!$C$3:$D$970,2,0)</f>
        <v>0</v>
      </c>
      <c r="D2317" s="166">
        <f>VLOOKUP(B2317,'Thống kê'!$C$3:$M$970,4,0)</f>
        <v>0</v>
      </c>
      <c r="E2317" s="167">
        <v>1</v>
      </c>
      <c r="F2317" s="168">
        <f t="shared" si="9"/>
        <v>0</v>
      </c>
      <c r="G2317" s="75"/>
      <c r="H2317" s="373"/>
    </row>
    <row r="2318" spans="1:8" ht="13.2">
      <c r="A2318" s="49"/>
      <c r="B2318" s="16" t="s">
        <v>150</v>
      </c>
      <c r="C2318" s="143" t="str">
        <f>VLOOKUP(B2318,'Thống kê'!$C$3:$D$970,2,0)</f>
        <v>Móc khóa có chuông</v>
      </c>
      <c r="D2318" s="166">
        <f>VLOOKUP(B2318,'Thống kê'!$C$3:$M$970,4,0)</f>
        <v>59000</v>
      </c>
      <c r="E2318" s="167">
        <v>1</v>
      </c>
      <c r="F2318" s="168">
        <f t="shared" si="9"/>
        <v>59000</v>
      </c>
      <c r="G2318" s="75"/>
      <c r="H2318" s="177">
        <v>53300</v>
      </c>
    </row>
    <row r="2319" spans="1:8" ht="13.2">
      <c r="A2319" s="49"/>
      <c r="B2319" s="16" t="s">
        <v>150</v>
      </c>
      <c r="C2319" s="143" t="str">
        <f>VLOOKUP(B2319,'Thống kê'!$C$3:$D$970,2,0)</f>
        <v>Móc khóa có chuông</v>
      </c>
      <c r="D2319" s="166">
        <f>VLOOKUP(B2319,'Thống kê'!$C$3:$M$970,4,0)</f>
        <v>59000</v>
      </c>
      <c r="E2319" s="167">
        <v>1</v>
      </c>
      <c r="F2319" s="168">
        <f t="shared" si="9"/>
        <v>59000</v>
      </c>
      <c r="G2319" s="75"/>
      <c r="H2319" s="177">
        <v>47980</v>
      </c>
    </row>
    <row r="2320" spans="1:8" ht="13.2">
      <c r="A2320" s="49"/>
      <c r="B2320" s="16" t="s">
        <v>200</v>
      </c>
      <c r="C2320" s="143">
        <f>VLOOKUP(B2320,'Thống kê'!$C$3:$D$970,2,0)</f>
        <v>0</v>
      </c>
      <c r="D2320" s="166">
        <f>VLOOKUP(B2320,'Thống kê'!$C$3:$M$970,4,0)</f>
        <v>0</v>
      </c>
      <c r="E2320" s="167">
        <v>1</v>
      </c>
      <c r="F2320" s="168">
        <f t="shared" si="9"/>
        <v>0</v>
      </c>
      <c r="G2320" s="75"/>
      <c r="H2320" s="403">
        <v>171249</v>
      </c>
    </row>
    <row r="2321" spans="1:8" ht="13.2">
      <c r="A2321" s="49"/>
      <c r="B2321" s="16" t="s">
        <v>1521</v>
      </c>
      <c r="C2321" s="143">
        <f>VLOOKUP(B2321,'Thống kê'!$C$3:$D$970,2,0)</f>
        <v>0</v>
      </c>
      <c r="D2321" s="166">
        <f>VLOOKUP(B2321,'Thống kê'!$C$3:$M$970,4,0)</f>
        <v>0</v>
      </c>
      <c r="E2321" s="167">
        <v>1</v>
      </c>
      <c r="F2321" s="168">
        <f t="shared" si="9"/>
        <v>0</v>
      </c>
      <c r="G2321" s="75"/>
      <c r="H2321" s="372"/>
    </row>
    <row r="2322" spans="1:8" ht="13.2">
      <c r="A2322" s="49"/>
      <c r="B2322" s="16" t="s">
        <v>1522</v>
      </c>
      <c r="C2322" s="143">
        <f>VLOOKUP(B2322,'Thống kê'!$C$3:$D$970,2,0)</f>
        <v>0</v>
      </c>
      <c r="D2322" s="166">
        <f>VLOOKUP(B2322,'Thống kê'!$C$3:$M$970,4,0)</f>
        <v>0</v>
      </c>
      <c r="E2322" s="167">
        <v>1</v>
      </c>
      <c r="F2322" s="168">
        <f t="shared" si="9"/>
        <v>0</v>
      </c>
      <c r="G2322" s="75"/>
      <c r="H2322" s="373"/>
    </row>
    <row r="2323" spans="1:8" ht="13.2">
      <c r="A2323" s="49"/>
      <c r="B2323" s="16" t="s">
        <v>159</v>
      </c>
      <c r="C2323" s="143">
        <f>VLOOKUP(B2323,'Thống kê'!$C$3:$D$970,2,0)</f>
        <v>0</v>
      </c>
      <c r="D2323" s="166">
        <f>VLOOKUP(B2323,'Thống kê'!$C$3:$M$970,4,0)</f>
        <v>0</v>
      </c>
      <c r="E2323" s="167">
        <v>1</v>
      </c>
      <c r="F2323" s="168">
        <f t="shared" si="9"/>
        <v>0</v>
      </c>
      <c r="G2323" s="75"/>
      <c r="H2323" s="177">
        <v>71340</v>
      </c>
    </row>
    <row r="2324" spans="1:8" ht="13.2">
      <c r="A2324" s="49"/>
      <c r="B2324" s="16" t="s">
        <v>1515</v>
      </c>
      <c r="C2324" s="143">
        <f>VLOOKUP(B2324,'Thống kê'!$C$3:$D$970,2,0)</f>
        <v>0</v>
      </c>
      <c r="D2324" s="166">
        <f>VLOOKUP(B2324,'Thống kê'!$C$3:$M$970,4,0)</f>
        <v>0</v>
      </c>
      <c r="E2324" s="167">
        <v>1</v>
      </c>
      <c r="F2324" s="168">
        <f t="shared" si="9"/>
        <v>0</v>
      </c>
      <c r="G2324" s="75"/>
      <c r="H2324" s="177">
        <v>56380</v>
      </c>
    </row>
    <row r="2325" spans="1:8" ht="13.2">
      <c r="A2325" s="49"/>
      <c r="B2325" s="16" t="s">
        <v>191</v>
      </c>
      <c r="C2325" s="143">
        <f>VLOOKUP(B2325,'Thống kê'!$C$3:$D$970,2,0)</f>
        <v>0</v>
      </c>
      <c r="D2325" s="166">
        <f>VLOOKUP(B2325,'Thống kê'!$C$3:$M$970,4,0)</f>
        <v>0</v>
      </c>
      <c r="E2325" s="167">
        <v>1</v>
      </c>
      <c r="F2325" s="168">
        <f t="shared" si="9"/>
        <v>0</v>
      </c>
      <c r="G2325" s="75"/>
      <c r="H2325" s="178">
        <v>65057</v>
      </c>
    </row>
    <row r="2326" spans="1:8" ht="13.2">
      <c r="A2326" s="49"/>
      <c r="B2326" s="16" t="s">
        <v>1529</v>
      </c>
      <c r="C2326" s="143">
        <f>VLOOKUP(B2326,'Thống kê'!$C$3:$D$970,2,0)</f>
        <v>0</v>
      </c>
      <c r="D2326" s="166">
        <f>VLOOKUP(B2326,'Thống kê'!$C$3:$M$970,4,0)</f>
        <v>0</v>
      </c>
      <c r="E2326" s="167">
        <v>1</v>
      </c>
      <c r="F2326" s="168">
        <f t="shared" si="9"/>
        <v>0</v>
      </c>
      <c r="G2326" s="75"/>
      <c r="H2326" s="175">
        <v>66420</v>
      </c>
    </row>
    <row r="2327" spans="1:8" ht="13.2">
      <c r="A2327" s="49"/>
      <c r="B2327" s="16" t="s">
        <v>1765</v>
      </c>
      <c r="C2327" s="143">
        <f>VLOOKUP(B2327,'Thống kê'!$C$3:$D$970,2,0)</f>
        <v>0</v>
      </c>
      <c r="D2327" s="166">
        <f>VLOOKUP(B2327,'Thống kê'!$C$3:$M$970,4,0)</f>
        <v>0</v>
      </c>
      <c r="E2327" s="167">
        <v>1</v>
      </c>
      <c r="F2327" s="168">
        <f t="shared" si="9"/>
        <v>0</v>
      </c>
      <c r="G2327" s="75"/>
      <c r="H2327" s="175">
        <v>87740</v>
      </c>
    </row>
    <row r="2328" spans="1:8" ht="13.2">
      <c r="A2328" s="49"/>
      <c r="B2328" s="16" t="s">
        <v>176</v>
      </c>
      <c r="C2328" s="143">
        <f>VLOOKUP(B2328,'Thống kê'!$C$3:$D$970,2,0)</f>
        <v>0</v>
      </c>
      <c r="D2328" s="166">
        <f>VLOOKUP(B2328,'Thống kê'!$C$3:$M$970,4,0)</f>
        <v>0</v>
      </c>
      <c r="E2328" s="167">
        <v>1</v>
      </c>
      <c r="F2328" s="168">
        <f t="shared" si="9"/>
        <v>0</v>
      </c>
      <c r="G2328" s="75"/>
      <c r="H2328" s="175">
        <v>66420</v>
      </c>
    </row>
    <row r="2329" spans="1:8" ht="13.2">
      <c r="A2329" s="49"/>
      <c r="B2329" s="16" t="s">
        <v>140</v>
      </c>
      <c r="C2329" s="143">
        <f>VLOOKUP(B2329,'Thống kê'!$C$3:$D$970,2,0)</f>
        <v>0</v>
      </c>
      <c r="D2329" s="166">
        <f>VLOOKUP(B2329,'Thống kê'!$C$3:$M$970,4,0)</f>
        <v>0</v>
      </c>
      <c r="E2329" s="167">
        <v>1</v>
      </c>
      <c r="F2329" s="168">
        <f t="shared" si="9"/>
        <v>0</v>
      </c>
      <c r="G2329" s="75"/>
      <c r="H2329" s="176">
        <v>74220</v>
      </c>
    </row>
    <row r="2330" spans="1:8" ht="13.2">
      <c r="A2330" s="49"/>
      <c r="B2330" s="16" t="s">
        <v>262</v>
      </c>
      <c r="C2330" s="143" t="str">
        <f>VLOOKUP(B2330,'Thống kê'!$C$3:$D$970,2,0)</f>
        <v>Pop Bean Baked Bread</v>
      </c>
      <c r="D2330" s="166">
        <f>VLOOKUP(B2330,'Thống kê'!$C$3:$M$970,4,0)</f>
        <v>167000</v>
      </c>
      <c r="E2330" s="167">
        <v>1</v>
      </c>
      <c r="F2330" s="168">
        <f t="shared" si="9"/>
        <v>167000</v>
      </c>
      <c r="G2330" s="75"/>
      <c r="H2330" s="403">
        <v>225625</v>
      </c>
    </row>
    <row r="2331" spans="1:8" ht="13.2">
      <c r="A2331" s="64"/>
      <c r="B2331" s="16" t="s">
        <v>206</v>
      </c>
      <c r="C2331" s="143" t="str">
        <f>VLOOKUP(B2331,'Thống kê'!$C$3:$D$970,2,0)</f>
        <v>Pop Bean Baked Bread</v>
      </c>
      <c r="D2331" s="166">
        <f>VLOOKUP(B2331,'Thống kê'!$C$3:$M$970,4,0)</f>
        <v>167000</v>
      </c>
      <c r="E2331" s="167">
        <v>1</v>
      </c>
      <c r="F2331" s="168">
        <f t="shared" si="9"/>
        <v>167000</v>
      </c>
      <c r="G2331" s="75"/>
      <c r="H2331" s="373"/>
    </row>
    <row r="2332" spans="1:8" ht="13.2">
      <c r="A2332" s="49"/>
      <c r="B2332" s="16" t="s">
        <v>1836</v>
      </c>
      <c r="C2332" s="143" t="str">
        <f>VLOOKUP(B2332,'Thống kê'!$C$3:$D$970,2,0)</f>
        <v>Túi Đựng Mắt Kính Da Pu</v>
      </c>
      <c r="D2332" s="166">
        <f>VLOOKUP(B2332,'Thống kê'!$C$3:$M$970,4,0)</f>
        <v>0</v>
      </c>
      <c r="E2332" s="167">
        <v>-1</v>
      </c>
      <c r="F2332" s="168">
        <f t="shared" si="9"/>
        <v>0</v>
      </c>
      <c r="G2332" s="75"/>
      <c r="H2332" s="403">
        <v>-55350</v>
      </c>
    </row>
    <row r="2333" spans="1:8" ht="13.2">
      <c r="A2333" s="49"/>
      <c r="B2333" s="16" t="s">
        <v>1827</v>
      </c>
      <c r="C2333" s="143" t="str">
        <f>VLOOKUP(B2333,'Thống kê'!$C$3:$D$970,2,0)</f>
        <v>Túi đựng đồ trang điểm nhỏ</v>
      </c>
      <c r="D2333" s="166">
        <f>VLOOKUP(B2333,'Thống kê'!$C$3:$M$970,4,0)</f>
        <v>0</v>
      </c>
      <c r="E2333" s="167">
        <v>-1</v>
      </c>
      <c r="F2333" s="168">
        <f t="shared" si="9"/>
        <v>0</v>
      </c>
      <c r="G2333" s="75"/>
      <c r="H2333" s="373"/>
    </row>
    <row r="2334" spans="1:8" ht="13.2">
      <c r="A2334" s="49"/>
      <c r="B2334" s="16" t="s">
        <v>1525</v>
      </c>
      <c r="C2334" s="143">
        <f>VLOOKUP(B2334,'Thống kê'!$C$3:$D$970,2,0)</f>
        <v>0</v>
      </c>
      <c r="D2334" s="166">
        <f>VLOOKUP(B2334,'Thống kê'!$C$3:$M$970,4,0)</f>
        <v>0</v>
      </c>
      <c r="E2334" s="167">
        <v>-1</v>
      </c>
      <c r="F2334" s="168">
        <f t="shared" si="9"/>
        <v>0</v>
      </c>
      <c r="G2334" s="75"/>
      <c r="H2334" s="403">
        <v>-32700</v>
      </c>
    </row>
    <row r="2335" spans="1:8" ht="13.2">
      <c r="A2335" s="49"/>
      <c r="B2335" s="16" t="s">
        <v>133</v>
      </c>
      <c r="C2335" s="143">
        <f>VLOOKUP(B2335,'Thống kê'!$C$3:$D$970,2,0)</f>
        <v>0</v>
      </c>
      <c r="D2335" s="166">
        <f>VLOOKUP(B2335,'Thống kê'!$C$3:$M$970,4,0)</f>
        <v>0</v>
      </c>
      <c r="E2335" s="167">
        <v>-1</v>
      </c>
      <c r="F2335" s="168">
        <f t="shared" si="9"/>
        <v>0</v>
      </c>
      <c r="G2335" s="75"/>
      <c r="H2335" s="373"/>
    </row>
    <row r="2336" spans="1:8" ht="13.2">
      <c r="A2336" s="49"/>
      <c r="B2336" s="16" t="s">
        <v>1823</v>
      </c>
      <c r="C2336" s="143">
        <f>VLOOKUP(B2336,'Thống kê'!$C$3:$D$970,2,0)</f>
        <v>0</v>
      </c>
      <c r="D2336" s="166">
        <f>VLOOKUP(B2336,'Thống kê'!$C$3:$M$970,4,0)</f>
        <v>0</v>
      </c>
      <c r="E2336" s="167">
        <v>1</v>
      </c>
      <c r="F2336" s="168">
        <f t="shared" si="9"/>
        <v>0</v>
      </c>
      <c r="G2336" s="75"/>
      <c r="H2336" s="178">
        <v>87740</v>
      </c>
    </row>
    <row r="2337" spans="1:8" ht="13.2">
      <c r="A2337" s="49"/>
      <c r="B2337" s="16" t="s">
        <v>238</v>
      </c>
      <c r="C2337" s="143">
        <f>VLOOKUP(B2337,'Thống kê'!$C$3:$D$970,2,0)</f>
        <v>0</v>
      </c>
      <c r="D2337" s="166">
        <f>VLOOKUP(B2337,'Thống kê'!$C$3:$M$970,4,0)</f>
        <v>0</v>
      </c>
      <c r="E2337" s="167">
        <v>1</v>
      </c>
      <c r="F2337" s="168">
        <f t="shared" si="9"/>
        <v>0</v>
      </c>
      <c r="G2337" s="75"/>
      <c r="H2337" s="402">
        <v>132840</v>
      </c>
    </row>
    <row r="2338" spans="1:8" ht="13.2">
      <c r="A2338" s="49"/>
      <c r="B2338" s="16" t="s">
        <v>1517</v>
      </c>
      <c r="C2338" s="143">
        <f>VLOOKUP(B2338,'Thống kê'!$C$3:$D$970,2,0)</f>
        <v>0</v>
      </c>
      <c r="D2338" s="166">
        <f>VLOOKUP(B2338,'Thống kê'!$C$3:$M$970,4,0)</f>
        <v>0</v>
      </c>
      <c r="E2338" s="167">
        <v>1</v>
      </c>
      <c r="F2338" s="168">
        <f t="shared" si="9"/>
        <v>0</v>
      </c>
      <c r="G2338" s="75"/>
      <c r="H2338" s="373"/>
    </row>
    <row r="2339" spans="1:8" ht="13.2">
      <c r="A2339" s="64">
        <v>45757</v>
      </c>
      <c r="B2339" s="16" t="s">
        <v>1525</v>
      </c>
      <c r="C2339" s="143">
        <f>VLOOKUP(B2339,'Thống kê'!$C$3:$D$970,2,0)</f>
        <v>0</v>
      </c>
      <c r="D2339" s="166">
        <f>VLOOKUP(B2339,'Thống kê'!$C$3:$M$970,4,0)</f>
        <v>0</v>
      </c>
      <c r="E2339" s="167">
        <v>1</v>
      </c>
      <c r="F2339" s="168">
        <f t="shared" si="9"/>
        <v>0</v>
      </c>
      <c r="G2339" s="75"/>
      <c r="H2339" s="403">
        <v>169740</v>
      </c>
    </row>
    <row r="2340" spans="1:8" ht="13.2">
      <c r="A2340" s="49"/>
      <c r="B2340" s="16" t="s">
        <v>133</v>
      </c>
      <c r="C2340" s="143">
        <f>VLOOKUP(B2340,'Thống kê'!$C$3:$D$970,2,0)</f>
        <v>0</v>
      </c>
      <c r="D2340" s="166">
        <f>VLOOKUP(B2340,'Thống kê'!$C$3:$M$970,4,0)</f>
        <v>0</v>
      </c>
      <c r="E2340" s="167">
        <v>1</v>
      </c>
      <c r="F2340" s="168">
        <f t="shared" si="9"/>
        <v>0</v>
      </c>
      <c r="G2340" s="75"/>
      <c r="H2340" s="372"/>
    </row>
    <row r="2341" spans="1:8" ht="13.2">
      <c r="A2341" s="49"/>
      <c r="B2341" s="16" t="s">
        <v>1515</v>
      </c>
      <c r="C2341" s="143">
        <f>VLOOKUP(B2341,'Thống kê'!$C$3:$D$970,2,0)</f>
        <v>0</v>
      </c>
      <c r="D2341" s="166">
        <f>VLOOKUP(B2341,'Thống kê'!$C$3:$M$970,4,0)</f>
        <v>0</v>
      </c>
      <c r="E2341" s="167">
        <v>1</v>
      </c>
      <c r="F2341" s="168">
        <f t="shared" si="9"/>
        <v>0</v>
      </c>
      <c r="G2341" s="75"/>
      <c r="H2341" s="372"/>
    </row>
    <row r="2342" spans="1:8" ht="13.2">
      <c r="A2342" s="49"/>
      <c r="B2342" s="16" t="s">
        <v>126</v>
      </c>
      <c r="C2342" s="143">
        <f>VLOOKUP(B2342,'Thống kê'!$C$3:$D$970,2,0)</f>
        <v>0</v>
      </c>
      <c r="D2342" s="166">
        <f>VLOOKUP(B2342,'Thống kê'!$C$3:$M$970,4,0)</f>
        <v>0</v>
      </c>
      <c r="E2342" s="167">
        <v>1</v>
      </c>
      <c r="F2342" s="168">
        <f t="shared" si="9"/>
        <v>0</v>
      </c>
      <c r="G2342" s="75"/>
      <c r="H2342" s="176">
        <v>66220</v>
      </c>
    </row>
    <row r="2343" spans="1:8" ht="13.2">
      <c r="A2343" s="49"/>
      <c r="B2343" s="16" t="s">
        <v>142</v>
      </c>
      <c r="C2343" s="143">
        <f>VLOOKUP(B2343,'Thống kê'!$C$3:$D$970,2,0)</f>
        <v>0</v>
      </c>
      <c r="D2343" s="166">
        <f>VLOOKUP(B2343,'Thống kê'!$C$3:$M$970,4,0)</f>
        <v>0</v>
      </c>
      <c r="E2343" s="167">
        <v>1</v>
      </c>
      <c r="F2343" s="168">
        <f t="shared" si="9"/>
        <v>0</v>
      </c>
      <c r="G2343" s="75"/>
      <c r="H2343" s="178">
        <v>66020</v>
      </c>
    </row>
    <row r="2344" spans="1:8" ht="13.2">
      <c r="A2344" s="49"/>
      <c r="B2344" s="16" t="s">
        <v>150</v>
      </c>
      <c r="C2344" s="143" t="str">
        <f>VLOOKUP(B2344,'Thống kê'!$C$3:$D$970,2,0)</f>
        <v>Móc khóa có chuông</v>
      </c>
      <c r="D2344" s="166">
        <f>VLOOKUP(B2344,'Thống kê'!$C$3:$M$970,4,0)</f>
        <v>59000</v>
      </c>
      <c r="E2344" s="167">
        <v>1</v>
      </c>
      <c r="F2344" s="168">
        <f t="shared" si="9"/>
        <v>59000</v>
      </c>
      <c r="G2344" s="75"/>
      <c r="H2344" s="402">
        <v>400000</v>
      </c>
    </row>
    <row r="2345" spans="1:8" ht="13.2">
      <c r="A2345" s="49"/>
      <c r="B2345" s="16" t="s">
        <v>1848</v>
      </c>
      <c r="C2345" s="143" t="str">
        <f>VLOOKUP(B2345,'Thống kê'!$C$3:$D$970,2,0)</f>
        <v>Trâm cài 02</v>
      </c>
      <c r="D2345" s="166">
        <f>VLOOKUP(B2345,'Thống kê'!$C$3:$M$970,4,0)</f>
        <v>30360</v>
      </c>
      <c r="E2345" s="167">
        <v>1</v>
      </c>
      <c r="F2345" s="168">
        <f t="shared" si="9"/>
        <v>30360</v>
      </c>
      <c r="G2345" s="75"/>
      <c r="H2345" s="372"/>
    </row>
    <row r="2346" spans="1:8" ht="13.2">
      <c r="A2346" s="49"/>
      <c r="B2346" s="16" t="s">
        <v>207</v>
      </c>
      <c r="C2346" s="143" t="str">
        <f>VLOOKUP(B2346,'Thống kê'!$C$3:$D$970,2,0)</f>
        <v>Thiệp</v>
      </c>
      <c r="D2346" s="166">
        <f>VLOOKUP(B2346,'Thống kê'!$C$3:$M$970,4,0)</f>
        <v>0</v>
      </c>
      <c r="E2346" s="167">
        <v>1</v>
      </c>
      <c r="F2346" s="168">
        <f t="shared" si="9"/>
        <v>0</v>
      </c>
      <c r="G2346" s="75"/>
      <c r="H2346" s="372"/>
    </row>
    <row r="2347" spans="1:8" ht="13.2">
      <c r="A2347" s="49"/>
      <c r="B2347" s="16" t="s">
        <v>126</v>
      </c>
      <c r="C2347" s="143">
        <f>VLOOKUP(B2347,'Thống kê'!$C$3:$D$970,2,0)</f>
        <v>0</v>
      </c>
      <c r="D2347" s="166">
        <f>VLOOKUP(B2347,'Thống kê'!$C$3:$M$970,4,0)</f>
        <v>0</v>
      </c>
      <c r="E2347" s="167">
        <v>1</v>
      </c>
      <c r="F2347" s="168">
        <f t="shared" si="9"/>
        <v>0</v>
      </c>
      <c r="G2347" s="75"/>
      <c r="H2347" s="372"/>
    </row>
    <row r="2348" spans="1:8" ht="13.2">
      <c r="A2348" s="49"/>
      <c r="B2348" s="16" t="s">
        <v>142</v>
      </c>
      <c r="C2348" s="143">
        <f>VLOOKUP(B2348,'Thống kê'!$C$3:$D$970,2,0)</f>
        <v>0</v>
      </c>
      <c r="D2348" s="166">
        <f>VLOOKUP(B2348,'Thống kê'!$C$3:$M$970,4,0)</f>
        <v>0</v>
      </c>
      <c r="E2348" s="167">
        <v>1</v>
      </c>
      <c r="F2348" s="168">
        <f t="shared" si="9"/>
        <v>0</v>
      </c>
      <c r="G2348" s="75"/>
      <c r="H2348" s="372"/>
    </row>
    <row r="2349" spans="1:8" ht="13.2">
      <c r="A2349" s="49"/>
      <c r="B2349" s="16" t="s">
        <v>127</v>
      </c>
      <c r="C2349" s="143">
        <f>VLOOKUP(B2349,'Thống kê'!$C$3:$D$970,2,0)</f>
        <v>0</v>
      </c>
      <c r="D2349" s="166">
        <f>VLOOKUP(B2349,'Thống kê'!$C$3:$M$970,4,0)</f>
        <v>0</v>
      </c>
      <c r="E2349" s="167">
        <v>1</v>
      </c>
      <c r="F2349" s="168">
        <f t="shared" si="9"/>
        <v>0</v>
      </c>
      <c r="G2349" s="75"/>
      <c r="H2349" s="372"/>
    </row>
    <row r="2350" spans="1:8" ht="13.2">
      <c r="A2350" s="49"/>
      <c r="B2350" s="16" t="s">
        <v>1567</v>
      </c>
      <c r="C2350" s="143">
        <f>VLOOKUP(B2350,'Thống kê'!$C$3:$D$970,2,0)</f>
        <v>0</v>
      </c>
      <c r="D2350" s="166">
        <f>VLOOKUP(B2350,'Thống kê'!$C$3:$M$970,4,0)</f>
        <v>0</v>
      </c>
      <c r="E2350" s="167">
        <v>1</v>
      </c>
      <c r="F2350" s="168">
        <f t="shared" ref="F2350:F2604" si="10">D2350*E2350</f>
        <v>0</v>
      </c>
      <c r="G2350" s="75"/>
      <c r="H2350" s="372"/>
    </row>
    <row r="2351" spans="1:8" ht="13.2">
      <c r="A2351" s="49"/>
      <c r="B2351" s="16" t="s">
        <v>93</v>
      </c>
      <c r="C2351" s="143">
        <f>VLOOKUP(B2351,'Thống kê'!$C$3:$D$970,2,0)</f>
        <v>0</v>
      </c>
      <c r="D2351" s="166">
        <f>VLOOKUP(B2351,'Thống kê'!$C$3:$M$970,4,0)</f>
        <v>0</v>
      </c>
      <c r="E2351" s="167">
        <v>1</v>
      </c>
      <c r="F2351" s="168">
        <f t="shared" si="10"/>
        <v>0</v>
      </c>
      <c r="G2351" s="75"/>
      <c r="H2351" s="372"/>
    </row>
    <row r="2352" spans="1:8" ht="13.2">
      <c r="A2352" s="49"/>
      <c r="B2352" s="16" t="s">
        <v>1568</v>
      </c>
      <c r="C2352" s="143">
        <f>VLOOKUP(B2352,'Thống kê'!$C$3:$D$970,2,0)</f>
        <v>0</v>
      </c>
      <c r="D2352" s="166">
        <f>VLOOKUP(B2352,'Thống kê'!$C$3:$M$970,4,0)</f>
        <v>0</v>
      </c>
      <c r="E2352" s="167">
        <v>1</v>
      </c>
      <c r="F2352" s="168">
        <f t="shared" si="10"/>
        <v>0</v>
      </c>
      <c r="G2352" s="75"/>
      <c r="H2352" s="372"/>
    </row>
    <row r="2353" spans="1:8" ht="13.2">
      <c r="A2353" s="64"/>
      <c r="B2353" s="16" t="s">
        <v>209</v>
      </c>
      <c r="C2353" s="143">
        <f>VLOOKUP(B2353,'Thống kê'!$C$3:$D$970,2,0)</f>
        <v>0</v>
      </c>
      <c r="D2353" s="166">
        <f>VLOOKUP(B2353,'Thống kê'!$C$3:$M$970,4,0)</f>
        <v>0</v>
      </c>
      <c r="E2353" s="167">
        <v>1</v>
      </c>
      <c r="F2353" s="168">
        <f t="shared" si="10"/>
        <v>0</v>
      </c>
      <c r="G2353" s="75"/>
      <c r="H2353" s="373"/>
    </row>
    <row r="2354" spans="1:8" ht="13.2">
      <c r="A2354" s="49"/>
      <c r="B2354" s="16" t="s">
        <v>201</v>
      </c>
      <c r="C2354" s="143">
        <f>VLOOKUP(B2354,'Thống kê'!$C$3:$D$970,2,0)</f>
        <v>0</v>
      </c>
      <c r="D2354" s="166">
        <f>VLOOKUP(B2354,'Thống kê'!$C$3:$M$970,4,0)</f>
        <v>0</v>
      </c>
      <c r="E2354" s="167">
        <v>1</v>
      </c>
      <c r="F2354" s="168">
        <f t="shared" si="10"/>
        <v>0</v>
      </c>
      <c r="G2354" s="75"/>
      <c r="H2354" s="177">
        <v>150230</v>
      </c>
    </row>
    <row r="2355" spans="1:8" ht="13.2">
      <c r="A2355" s="49"/>
      <c r="B2355" s="16" t="s">
        <v>93</v>
      </c>
      <c r="C2355" s="143">
        <f>VLOOKUP(B2355,'Thống kê'!$C$3:$D$970,2,0)</f>
        <v>0</v>
      </c>
      <c r="D2355" s="166">
        <f>VLOOKUP(B2355,'Thống kê'!$C$3:$M$970,4,0)</f>
        <v>0</v>
      </c>
      <c r="E2355" s="167">
        <v>1</v>
      </c>
      <c r="F2355" s="168">
        <f t="shared" si="10"/>
        <v>0</v>
      </c>
      <c r="G2355" s="75"/>
      <c r="H2355" s="178">
        <v>56405</v>
      </c>
    </row>
    <row r="2356" spans="1:8" ht="13.2">
      <c r="A2356" s="49"/>
      <c r="B2356" s="16" t="s">
        <v>126</v>
      </c>
      <c r="C2356" s="143">
        <f>VLOOKUP(B2356,'Thống kê'!$C$3:$D$970,2,0)</f>
        <v>0</v>
      </c>
      <c r="D2356" s="166">
        <f>VLOOKUP(B2356,'Thống kê'!$C$3:$M$970,4,0)</f>
        <v>0</v>
      </c>
      <c r="E2356" s="167">
        <v>1</v>
      </c>
      <c r="F2356" s="168">
        <f t="shared" si="10"/>
        <v>0</v>
      </c>
      <c r="G2356" s="75"/>
      <c r="H2356" s="176">
        <v>65770</v>
      </c>
    </row>
    <row r="2357" spans="1:8" ht="13.2">
      <c r="A2357" s="49"/>
      <c r="B2357" s="16" t="s">
        <v>126</v>
      </c>
      <c r="C2357" s="143">
        <f>VLOOKUP(B2357,'Thống kê'!$C$3:$D$970,2,0)</f>
        <v>0</v>
      </c>
      <c r="D2357" s="166">
        <f>VLOOKUP(B2357,'Thống kê'!$C$3:$M$970,4,0)</f>
        <v>0</v>
      </c>
      <c r="E2357" s="167">
        <v>1</v>
      </c>
      <c r="F2357" s="168">
        <f t="shared" si="10"/>
        <v>0</v>
      </c>
      <c r="G2357" s="75"/>
      <c r="H2357" s="177">
        <v>78770</v>
      </c>
    </row>
    <row r="2358" spans="1:8" ht="13.2">
      <c r="A2358" s="64"/>
      <c r="B2358" s="16" t="s">
        <v>325</v>
      </c>
      <c r="C2358" s="143" t="str">
        <f>VLOOKUP(B2358,'Thống kê'!$C$3:$D$970,2,0)</f>
        <v>Gấu ú</v>
      </c>
      <c r="D2358" s="166">
        <f>VLOOKUP(B2358,'Thống kê'!$C$3:$M$970,4,0)</f>
        <v>59500</v>
      </c>
      <c r="E2358" s="167">
        <v>1</v>
      </c>
      <c r="F2358" s="168">
        <f t="shared" si="10"/>
        <v>59500</v>
      </c>
      <c r="G2358" s="75"/>
      <c r="H2358" s="403">
        <v>104065</v>
      </c>
    </row>
    <row r="2359" spans="1:8" ht="13.2">
      <c r="A2359" s="49"/>
      <c r="B2359" s="16" t="s">
        <v>116</v>
      </c>
      <c r="C2359" s="143" t="str">
        <f>VLOOKUP(B2359,'Thống kê'!$C$3:$D$970,2,0)</f>
        <v>heo ú cầm hoa</v>
      </c>
      <c r="D2359" s="166">
        <f>VLOOKUP(B2359,'Thống kê'!$C$3:$M$970,4,0)</f>
        <v>64500</v>
      </c>
      <c r="E2359" s="167">
        <v>1</v>
      </c>
      <c r="F2359" s="168">
        <f t="shared" si="10"/>
        <v>64500</v>
      </c>
      <c r="G2359" s="75"/>
      <c r="H2359" s="373"/>
    </row>
    <row r="2360" spans="1:8" ht="13.2">
      <c r="A2360" s="49"/>
      <c r="B2360" s="16" t="s">
        <v>1528</v>
      </c>
      <c r="C2360" s="143">
        <f>VLOOKUP(B2360,'Thống kê'!$C$3:$D$970,2,0)</f>
        <v>0</v>
      </c>
      <c r="D2360" s="166">
        <f>VLOOKUP(B2360,'Thống kê'!$C$3:$M$970,4,0)</f>
        <v>0</v>
      </c>
      <c r="E2360" s="167">
        <v>1</v>
      </c>
      <c r="F2360" s="168">
        <f t="shared" si="10"/>
        <v>0</v>
      </c>
      <c r="G2360" s="75"/>
      <c r="H2360" s="402">
        <v>139400</v>
      </c>
    </row>
    <row r="2361" spans="1:8" ht="13.2">
      <c r="A2361" s="49"/>
      <c r="B2361" s="16" t="s">
        <v>264</v>
      </c>
      <c r="C2361" s="143">
        <f>VLOOKUP(B2361,'Thống kê'!$C$3:$D$970,2,0)</f>
        <v>0</v>
      </c>
      <c r="D2361" s="166">
        <f>VLOOKUP(B2361,'Thống kê'!$C$3:$M$970,4,0)</f>
        <v>0</v>
      </c>
      <c r="E2361" s="167">
        <v>1</v>
      </c>
      <c r="F2361" s="168">
        <f t="shared" si="10"/>
        <v>0</v>
      </c>
      <c r="G2361" s="75"/>
      <c r="H2361" s="373"/>
    </row>
    <row r="2362" spans="1:8" ht="13.2">
      <c r="A2362" s="49"/>
      <c r="B2362" s="16" t="s">
        <v>142</v>
      </c>
      <c r="C2362" s="143">
        <f>VLOOKUP(B2362,'Thống kê'!$C$3:$D$970,2,0)</f>
        <v>0</v>
      </c>
      <c r="D2362" s="166">
        <f>VLOOKUP(B2362,'Thống kê'!$C$3:$M$970,4,0)</f>
        <v>0</v>
      </c>
      <c r="E2362" s="167">
        <v>1</v>
      </c>
      <c r="F2362" s="168">
        <f t="shared" si="10"/>
        <v>0</v>
      </c>
      <c r="G2362" s="75"/>
      <c r="H2362" s="403">
        <v>131200</v>
      </c>
    </row>
    <row r="2363" spans="1:8" ht="13.2">
      <c r="A2363" s="49"/>
      <c r="B2363" s="16" t="s">
        <v>126</v>
      </c>
      <c r="C2363" s="143">
        <f>VLOOKUP(B2363,'Thống kê'!$C$3:$D$970,2,0)</f>
        <v>0</v>
      </c>
      <c r="D2363" s="166">
        <f>VLOOKUP(B2363,'Thống kê'!$C$3:$M$970,4,0)</f>
        <v>0</v>
      </c>
      <c r="E2363" s="167">
        <v>1</v>
      </c>
      <c r="F2363" s="168">
        <f t="shared" si="10"/>
        <v>0</v>
      </c>
      <c r="G2363" s="75"/>
      <c r="H2363" s="373"/>
    </row>
    <row r="2364" spans="1:8" ht="13.2">
      <c r="A2364" s="49"/>
      <c r="B2364" s="16" t="s">
        <v>140</v>
      </c>
      <c r="C2364" s="143">
        <f>VLOOKUP(B2364,'Thống kê'!$C$3:$D$970,2,0)</f>
        <v>0</v>
      </c>
      <c r="D2364" s="166">
        <f>VLOOKUP(B2364,'Thống kê'!$C$3:$M$970,4,0)</f>
        <v>0</v>
      </c>
      <c r="E2364" s="167">
        <v>1</v>
      </c>
      <c r="F2364" s="168">
        <f t="shared" si="10"/>
        <v>0</v>
      </c>
      <c r="G2364" s="75"/>
      <c r="H2364" s="403">
        <v>172758</v>
      </c>
    </row>
    <row r="2365" spans="1:8" ht="13.2">
      <c r="A2365" s="49"/>
      <c r="B2365" s="16" t="s">
        <v>233</v>
      </c>
      <c r="C2365" s="143">
        <f>VLOOKUP(B2365,'Thống kê'!$C$3:$D$970,2,0)</f>
        <v>0</v>
      </c>
      <c r="D2365" s="166">
        <f>VLOOKUP(B2365,'Thống kê'!$C$3:$M$970,4,0)</f>
        <v>0</v>
      </c>
      <c r="E2365" s="167">
        <v>1</v>
      </c>
      <c r="F2365" s="168">
        <f t="shared" si="10"/>
        <v>0</v>
      </c>
      <c r="G2365" s="75"/>
      <c r="H2365" s="373"/>
    </row>
    <row r="2366" spans="1:8" ht="13.2">
      <c r="A2366" s="49"/>
      <c r="B2366" s="16" t="s">
        <v>200</v>
      </c>
      <c r="C2366" s="143">
        <f>VLOOKUP(B2366,'Thống kê'!$C$3:$D$970,2,0)</f>
        <v>0</v>
      </c>
      <c r="D2366" s="166">
        <f>VLOOKUP(B2366,'Thống kê'!$C$3:$M$970,4,0)</f>
        <v>0</v>
      </c>
      <c r="E2366" s="167">
        <v>1</v>
      </c>
      <c r="F2366" s="168">
        <f t="shared" si="10"/>
        <v>0</v>
      </c>
      <c r="G2366" s="75"/>
      <c r="H2366" s="176">
        <v>66220</v>
      </c>
    </row>
    <row r="2367" spans="1:8" ht="13.2">
      <c r="A2367" s="49"/>
      <c r="B2367" s="16" t="s">
        <v>171</v>
      </c>
      <c r="C2367" s="143">
        <f>VLOOKUP(B2367,'Thống kê'!$C$3:$D$970,2,0)</f>
        <v>0</v>
      </c>
      <c r="D2367" s="166">
        <f>VLOOKUP(B2367,'Thống kê'!$C$3:$M$970,4,0)</f>
        <v>0</v>
      </c>
      <c r="E2367" s="167">
        <v>1</v>
      </c>
      <c r="F2367" s="168">
        <f t="shared" si="10"/>
        <v>0</v>
      </c>
      <c r="G2367" s="75"/>
      <c r="H2367" s="403">
        <v>186337</v>
      </c>
    </row>
    <row r="2368" spans="1:8" ht="13.2">
      <c r="A2368" s="49"/>
      <c r="B2368" s="16" t="s">
        <v>171</v>
      </c>
      <c r="C2368" s="143">
        <f>VLOOKUP(B2368,'Thống kê'!$C$3:$D$970,2,0)</f>
        <v>0</v>
      </c>
      <c r="D2368" s="166">
        <f>VLOOKUP(B2368,'Thống kê'!$C$3:$M$970,4,0)</f>
        <v>0</v>
      </c>
      <c r="E2368" s="167">
        <v>1</v>
      </c>
      <c r="F2368" s="168">
        <f t="shared" si="10"/>
        <v>0</v>
      </c>
      <c r="G2368" s="75"/>
      <c r="H2368" s="372"/>
    </row>
    <row r="2369" spans="1:8" ht="13.2">
      <c r="A2369" s="49"/>
      <c r="B2369" s="16" t="s">
        <v>142</v>
      </c>
      <c r="C2369" s="143">
        <f>VLOOKUP(B2369,'Thống kê'!$C$3:$D$970,2,0)</f>
        <v>0</v>
      </c>
      <c r="D2369" s="166">
        <f>VLOOKUP(B2369,'Thống kê'!$C$3:$M$970,4,0)</f>
        <v>0</v>
      </c>
      <c r="E2369" s="167">
        <v>1</v>
      </c>
      <c r="F2369" s="168">
        <f t="shared" si="10"/>
        <v>0</v>
      </c>
      <c r="G2369" s="75"/>
      <c r="H2369" s="373"/>
    </row>
    <row r="2370" spans="1:8" ht="13.2">
      <c r="A2370" s="49"/>
      <c r="B2370" s="16" t="s">
        <v>142</v>
      </c>
      <c r="C2370" s="143">
        <f>VLOOKUP(B2370,'Thống kê'!$C$3:$D$970,2,0)</f>
        <v>0</v>
      </c>
      <c r="D2370" s="166">
        <f>VLOOKUP(B2370,'Thống kê'!$C$3:$M$970,4,0)</f>
        <v>0</v>
      </c>
      <c r="E2370" s="167">
        <v>1</v>
      </c>
      <c r="F2370" s="168">
        <f t="shared" si="10"/>
        <v>0</v>
      </c>
      <c r="G2370" s="75"/>
      <c r="H2370" s="403">
        <v>137760</v>
      </c>
    </row>
    <row r="2371" spans="1:8" ht="13.2">
      <c r="A2371" s="49"/>
      <c r="B2371" s="16" t="s">
        <v>200</v>
      </c>
      <c r="C2371" s="143">
        <f>VLOOKUP(B2371,'Thống kê'!$C$3:$D$970,2,0)</f>
        <v>0</v>
      </c>
      <c r="D2371" s="166">
        <f>VLOOKUP(B2371,'Thống kê'!$C$3:$M$970,4,0)</f>
        <v>0</v>
      </c>
      <c r="E2371" s="167">
        <v>1</v>
      </c>
      <c r="F2371" s="168">
        <f t="shared" si="10"/>
        <v>0</v>
      </c>
      <c r="G2371" s="75"/>
      <c r="H2371" s="373"/>
    </row>
    <row r="2372" spans="1:8" ht="13.2">
      <c r="A2372" s="49"/>
      <c r="B2372" s="16" t="s">
        <v>1517</v>
      </c>
      <c r="C2372" s="143">
        <f>VLOOKUP(B2372,'Thống kê'!$C$3:$D$970,2,0)</f>
        <v>0</v>
      </c>
      <c r="D2372" s="166">
        <f>VLOOKUP(B2372,'Thống kê'!$C$3:$M$970,4,0)</f>
        <v>0</v>
      </c>
      <c r="E2372" s="167">
        <v>1</v>
      </c>
      <c r="F2372" s="168">
        <f t="shared" si="10"/>
        <v>0</v>
      </c>
      <c r="G2372" s="75"/>
      <c r="H2372" s="402">
        <v>116440</v>
      </c>
    </row>
    <row r="2373" spans="1:8" ht="13.2">
      <c r="A2373" s="49"/>
      <c r="B2373" s="16" t="s">
        <v>93</v>
      </c>
      <c r="C2373" s="143">
        <f>VLOOKUP(B2373,'Thống kê'!$C$3:$D$970,2,0)</f>
        <v>0</v>
      </c>
      <c r="D2373" s="166">
        <f>VLOOKUP(B2373,'Thống kê'!$C$3:$M$970,4,0)</f>
        <v>0</v>
      </c>
      <c r="E2373" s="167">
        <v>1</v>
      </c>
      <c r="F2373" s="168">
        <f t="shared" si="10"/>
        <v>0</v>
      </c>
      <c r="G2373" s="75"/>
      <c r="H2373" s="373"/>
    </row>
    <row r="2374" spans="1:8" ht="13.2">
      <c r="A2374" s="64">
        <v>45759</v>
      </c>
      <c r="B2374" s="16" t="s">
        <v>77</v>
      </c>
      <c r="C2374" s="143">
        <f>VLOOKUP(B2374,'Thống kê'!$C$3:$D$970,2,0)</f>
        <v>0</v>
      </c>
      <c r="D2374" s="166">
        <f>VLOOKUP(B2374,'Thống kê'!$C$3:$M$970,4,0)</f>
        <v>0</v>
      </c>
      <c r="E2374" s="167">
        <v>1</v>
      </c>
      <c r="F2374" s="168">
        <f t="shared" si="10"/>
        <v>0</v>
      </c>
      <c r="G2374" s="75"/>
      <c r="H2374" s="177">
        <v>100040</v>
      </c>
    </row>
    <row r="2375" spans="1:8" ht="13.2">
      <c r="A2375" s="64"/>
      <c r="B2375" s="16" t="s">
        <v>1527</v>
      </c>
      <c r="C2375" s="143">
        <f>VLOOKUP(B2375,'Thống kê'!$C$3:$D$970,2,0)</f>
        <v>0</v>
      </c>
      <c r="D2375" s="166">
        <f>VLOOKUP(B2375,'Thống kê'!$C$3:$M$970,4,0)</f>
        <v>0</v>
      </c>
      <c r="E2375" s="167">
        <v>2</v>
      </c>
      <c r="F2375" s="168">
        <f t="shared" si="10"/>
        <v>0</v>
      </c>
      <c r="G2375" s="75"/>
      <c r="H2375" s="178">
        <v>139400</v>
      </c>
    </row>
    <row r="2376" spans="1:8" ht="13.2">
      <c r="A2376" s="49"/>
      <c r="B2376" s="16" t="s">
        <v>171</v>
      </c>
      <c r="C2376" s="143">
        <f>VLOOKUP(B2376,'Thống kê'!$C$3:$D$970,2,0)</f>
        <v>0</v>
      </c>
      <c r="D2376" s="166">
        <f>VLOOKUP(B2376,'Thống kê'!$C$3:$M$970,4,0)</f>
        <v>0</v>
      </c>
      <c r="E2376" s="167">
        <v>1</v>
      </c>
      <c r="F2376" s="168">
        <f t="shared" si="10"/>
        <v>0</v>
      </c>
      <c r="G2376" s="75"/>
      <c r="H2376" s="176">
        <v>66020</v>
      </c>
    </row>
    <row r="2377" spans="1:8" ht="13.2">
      <c r="A2377" s="49"/>
      <c r="B2377" s="16" t="s">
        <v>119</v>
      </c>
      <c r="C2377" s="143" t="str">
        <f>VLOOKUP(B2377,'Thống kê'!$C$3:$D$970,2,0)</f>
        <v>Thỏ chạy xe gắn xe</v>
      </c>
      <c r="D2377" s="166">
        <f>VLOOKUP(B2377,'Thống kê'!$C$3:$M$970,4,0)</f>
        <v>45000</v>
      </c>
      <c r="E2377" s="167">
        <v>1</v>
      </c>
      <c r="F2377" s="168">
        <f t="shared" si="10"/>
        <v>45000</v>
      </c>
      <c r="G2377" s="75"/>
      <c r="H2377" s="403">
        <v>322212</v>
      </c>
    </row>
    <row r="2378" spans="1:8" ht="13.2">
      <c r="A2378" s="49"/>
      <c r="B2378" s="16" t="s">
        <v>232</v>
      </c>
      <c r="C2378" s="143" t="str">
        <f>VLOOKUP(B2378,'Thống kê'!$C$3:$D$970,2,0)</f>
        <v>Cáo gắn xe</v>
      </c>
      <c r="D2378" s="166">
        <f>VLOOKUP(B2378,'Thống kê'!$C$3:$M$970,4,0)</f>
        <v>45000</v>
      </c>
      <c r="E2378" s="167">
        <v>1</v>
      </c>
      <c r="F2378" s="168">
        <f t="shared" si="10"/>
        <v>45000</v>
      </c>
      <c r="G2378" s="75"/>
      <c r="H2378" s="372"/>
    </row>
    <row r="2379" spans="1:8" ht="13.2">
      <c r="A2379" s="49"/>
      <c r="B2379" s="16" t="s">
        <v>1761</v>
      </c>
      <c r="C2379" s="143">
        <f>VLOOKUP(B2379,'Thống kê'!$C$3:$D$970,2,0)</f>
        <v>0</v>
      </c>
      <c r="D2379" s="166">
        <f>VLOOKUP(B2379,'Thống kê'!$C$3:$M$970,4,0)</f>
        <v>0</v>
      </c>
      <c r="E2379" s="167">
        <v>1</v>
      </c>
      <c r="F2379" s="168">
        <f t="shared" si="10"/>
        <v>0</v>
      </c>
      <c r="G2379" s="75"/>
      <c r="H2379" s="372"/>
    </row>
    <row r="2380" spans="1:8" ht="13.2">
      <c r="A2380" s="49"/>
      <c r="B2380" s="16" t="s">
        <v>206</v>
      </c>
      <c r="C2380" s="143" t="str">
        <f>VLOOKUP(B2380,'Thống kê'!$C$3:$D$970,2,0)</f>
        <v>Pop Bean Baked Bread</v>
      </c>
      <c r="D2380" s="166">
        <f>VLOOKUP(B2380,'Thống kê'!$C$3:$M$970,4,0)</f>
        <v>167000</v>
      </c>
      <c r="E2380" s="167">
        <v>1</v>
      </c>
      <c r="F2380" s="168">
        <f t="shared" si="10"/>
        <v>167000</v>
      </c>
      <c r="G2380" s="75"/>
      <c r="H2380" s="372"/>
    </row>
    <row r="2381" spans="1:8" ht="13.2">
      <c r="A2381" s="49"/>
      <c r="B2381" s="16" t="s">
        <v>279</v>
      </c>
      <c r="C2381" s="143">
        <f>VLOOKUP(B2381,'Thống kê'!$C$3:$D$970,2,0)</f>
        <v>0</v>
      </c>
      <c r="D2381" s="166">
        <f>VLOOKUP(B2381,'Thống kê'!$C$3:$M$970,4,0)</f>
        <v>0</v>
      </c>
      <c r="E2381" s="167">
        <v>1</v>
      </c>
      <c r="F2381" s="168">
        <f t="shared" si="10"/>
        <v>0</v>
      </c>
      <c r="G2381" s="75"/>
      <c r="H2381" s="373"/>
    </row>
    <row r="2382" spans="1:8" ht="13.2">
      <c r="A2382" s="49"/>
      <c r="B2382" s="16" t="s">
        <v>262</v>
      </c>
      <c r="C2382" s="143" t="str">
        <f>VLOOKUP(B2382,'Thống kê'!$C$3:$D$970,2,0)</f>
        <v>Pop Bean Baked Bread</v>
      </c>
      <c r="D2382" s="166">
        <f>VLOOKUP(B2382,'Thống kê'!$C$3:$M$970,4,0)</f>
        <v>167000</v>
      </c>
      <c r="E2382" s="167">
        <v>1</v>
      </c>
      <c r="F2382" s="168">
        <f t="shared" si="10"/>
        <v>167000</v>
      </c>
      <c r="G2382" s="75"/>
      <c r="H2382" s="177">
        <v>112050</v>
      </c>
    </row>
    <row r="2383" spans="1:8" ht="13.2">
      <c r="A2383" s="49"/>
      <c r="B2383" s="16" t="s">
        <v>252</v>
      </c>
      <c r="C2383" s="143">
        <f>VLOOKUP(B2383,'Thống kê'!$C$3:$D$970,2,0)</f>
        <v>0</v>
      </c>
      <c r="D2383" s="166">
        <f>VLOOKUP(B2383,'Thống kê'!$C$3:$M$970,4,0)</f>
        <v>0</v>
      </c>
      <c r="E2383" s="167">
        <v>1</v>
      </c>
      <c r="F2383" s="168">
        <f t="shared" si="10"/>
        <v>0</v>
      </c>
      <c r="G2383" s="75"/>
      <c r="H2383" s="177">
        <v>126990</v>
      </c>
    </row>
    <row r="2384" spans="1:8" ht="13.2">
      <c r="A2384" s="64"/>
      <c r="B2384" s="16" t="s">
        <v>112</v>
      </c>
      <c r="C2384" s="143">
        <f>VLOOKUP(B2384,'Thống kê'!$C$3:$D$970,2,0)</f>
        <v>0</v>
      </c>
      <c r="D2384" s="166">
        <f>VLOOKUP(B2384,'Thống kê'!$C$3:$M$970,4,0)</f>
        <v>0</v>
      </c>
      <c r="E2384" s="167">
        <v>1</v>
      </c>
      <c r="F2384" s="168">
        <f t="shared" si="10"/>
        <v>0</v>
      </c>
      <c r="G2384" s="75"/>
      <c r="H2384" s="403">
        <v>139974</v>
      </c>
    </row>
    <row r="2385" spans="1:8" ht="13.2">
      <c r="A2385" s="49"/>
      <c r="B2385" s="16" t="s">
        <v>192</v>
      </c>
      <c r="C2385" s="143">
        <f>VLOOKUP(B2385,'Thống kê'!$C$3:$D$970,2,0)</f>
        <v>0</v>
      </c>
      <c r="D2385" s="166">
        <f>VLOOKUP(B2385,'Thống kê'!$C$3:$M$970,4,0)</f>
        <v>0</v>
      </c>
      <c r="E2385" s="167">
        <v>1</v>
      </c>
      <c r="F2385" s="168">
        <f t="shared" si="10"/>
        <v>0</v>
      </c>
      <c r="G2385" s="75"/>
      <c r="H2385" s="373"/>
    </row>
    <row r="2386" spans="1:8" ht="13.2">
      <c r="A2386" s="49"/>
      <c r="B2386" s="16" t="s">
        <v>244</v>
      </c>
      <c r="C2386" s="143" t="str">
        <f>VLOOKUP(B2386,'Thống kê'!$C$3:$D$970,2,0)</f>
        <v>Móc khóa chuối</v>
      </c>
      <c r="D2386" s="166">
        <f>VLOOKUP(B2386,'Thống kê'!$C$3:$M$970,4,0)</f>
        <v>148000</v>
      </c>
      <c r="E2386" s="167">
        <v>1</v>
      </c>
      <c r="F2386" s="168">
        <f t="shared" si="10"/>
        <v>148000</v>
      </c>
      <c r="G2386" s="75"/>
      <c r="H2386" s="403">
        <v>124640</v>
      </c>
    </row>
    <row r="2387" spans="1:8" ht="13.2">
      <c r="A2387" s="49"/>
      <c r="B2387" s="16" t="s">
        <v>137</v>
      </c>
      <c r="C2387" s="143">
        <f>VLOOKUP(B2387,'Thống kê'!$C$3:$D$970,2,0)</f>
        <v>0</v>
      </c>
      <c r="D2387" s="166">
        <f>VLOOKUP(B2387,'Thống kê'!$C$3:$M$970,4,0)</f>
        <v>0</v>
      </c>
      <c r="E2387" s="167">
        <v>1</v>
      </c>
      <c r="F2387" s="168">
        <f t="shared" si="10"/>
        <v>0</v>
      </c>
      <c r="G2387" s="75"/>
      <c r="H2387" s="373"/>
    </row>
    <row r="2388" spans="1:8" ht="13.2">
      <c r="A2388" s="49"/>
      <c r="B2388" s="16" t="s">
        <v>150</v>
      </c>
      <c r="C2388" s="143" t="str">
        <f>VLOOKUP(B2388,'Thống kê'!$C$3:$D$970,2,0)</f>
        <v>Móc khóa có chuông</v>
      </c>
      <c r="D2388" s="166">
        <f>VLOOKUP(B2388,'Thống kê'!$C$3:$M$970,4,0)</f>
        <v>59000</v>
      </c>
      <c r="E2388" s="167">
        <v>1</v>
      </c>
      <c r="F2388" s="168">
        <f t="shared" si="10"/>
        <v>59000</v>
      </c>
      <c r="G2388" s="75"/>
      <c r="H2388" s="175">
        <v>53300</v>
      </c>
    </row>
    <row r="2389" spans="1:8" ht="13.2">
      <c r="A2389" s="49"/>
      <c r="B2389" s="16" t="s">
        <v>93</v>
      </c>
      <c r="C2389" s="143">
        <f>VLOOKUP(B2389,'Thống kê'!$C$3:$D$970,2,0)</f>
        <v>0</v>
      </c>
      <c r="D2389" s="166">
        <f>VLOOKUP(B2389,'Thống kê'!$C$3:$M$970,4,0)</f>
        <v>0</v>
      </c>
      <c r="E2389" s="167">
        <v>1</v>
      </c>
      <c r="F2389" s="168">
        <f t="shared" si="10"/>
        <v>0</v>
      </c>
      <c r="G2389" s="75"/>
      <c r="H2389" s="176">
        <v>56580</v>
      </c>
    </row>
    <row r="2390" spans="1:8" ht="13.2">
      <c r="A2390" s="49"/>
      <c r="B2390" s="16" t="s">
        <v>233</v>
      </c>
      <c r="C2390" s="143">
        <f>VLOOKUP(B2390,'Thống kê'!$C$3:$D$970,2,0)</f>
        <v>0</v>
      </c>
      <c r="D2390" s="166">
        <f>VLOOKUP(B2390,'Thống kê'!$C$3:$M$970,4,0)</f>
        <v>0</v>
      </c>
      <c r="E2390" s="167">
        <v>1</v>
      </c>
      <c r="F2390" s="168">
        <f t="shared" si="10"/>
        <v>0</v>
      </c>
      <c r="G2390" s="75"/>
      <c r="H2390" s="177">
        <v>100040</v>
      </c>
    </row>
    <row r="2391" spans="1:8" ht="13.2">
      <c r="A2391" s="64"/>
      <c r="B2391" s="16" t="s">
        <v>279</v>
      </c>
      <c r="C2391" s="143">
        <f>VLOOKUP(B2391,'Thống kê'!$C$3:$D$970,2,0)</f>
        <v>0</v>
      </c>
      <c r="D2391" s="166">
        <f>VLOOKUP(B2391,'Thống kê'!$C$3:$M$970,4,0)</f>
        <v>0</v>
      </c>
      <c r="E2391" s="167">
        <v>1</v>
      </c>
      <c r="F2391" s="168">
        <f t="shared" si="10"/>
        <v>0</v>
      </c>
      <c r="G2391" s="75"/>
      <c r="H2391" s="178">
        <v>59298</v>
      </c>
    </row>
    <row r="2392" spans="1:8" ht="13.2">
      <c r="A2392" s="49"/>
      <c r="B2392" s="16" t="s">
        <v>323</v>
      </c>
      <c r="C2392" s="143">
        <f>VLOOKUP(B2392,'Thống kê'!$C$3:$D$970,2,0)</f>
        <v>0</v>
      </c>
      <c r="D2392" s="166">
        <f>VLOOKUP(B2392,'Thống kê'!$C$3:$M$970,4,0)</f>
        <v>0</v>
      </c>
      <c r="E2392" s="167">
        <v>1</v>
      </c>
      <c r="F2392" s="168">
        <f t="shared" si="10"/>
        <v>0</v>
      </c>
      <c r="G2392" s="75"/>
      <c r="H2392" s="176">
        <v>56580</v>
      </c>
    </row>
    <row r="2393" spans="1:8" ht="13.2">
      <c r="A2393" s="49"/>
      <c r="B2393" s="16" t="s">
        <v>126</v>
      </c>
      <c r="C2393" s="143">
        <f>VLOOKUP(B2393,'Thống kê'!$C$3:$D$970,2,0)</f>
        <v>0</v>
      </c>
      <c r="D2393" s="166">
        <f>VLOOKUP(B2393,'Thống kê'!$C$3:$M$970,4,0)</f>
        <v>0</v>
      </c>
      <c r="E2393" s="167">
        <v>1</v>
      </c>
      <c r="F2393" s="168">
        <f t="shared" si="10"/>
        <v>0</v>
      </c>
      <c r="G2393" s="75"/>
      <c r="H2393" s="177">
        <v>66220</v>
      </c>
    </row>
    <row r="2394" spans="1:8" ht="13.2">
      <c r="A2394" s="49"/>
      <c r="B2394" s="16" t="s">
        <v>1524</v>
      </c>
      <c r="C2394" s="143">
        <f>VLOOKUP(B2394,'Thống kê'!$C$3:$D$970,2,0)</f>
        <v>0</v>
      </c>
      <c r="D2394" s="166">
        <f>VLOOKUP(B2394,'Thống kê'!$C$3:$M$970,4,0)</f>
        <v>0</v>
      </c>
      <c r="E2394" s="167">
        <v>1</v>
      </c>
      <c r="F2394" s="168">
        <f t="shared" si="10"/>
        <v>0</v>
      </c>
      <c r="G2394" s="75"/>
      <c r="H2394" s="403">
        <v>116440</v>
      </c>
    </row>
    <row r="2395" spans="1:8" ht="13.2">
      <c r="A2395" s="49"/>
      <c r="B2395" s="16" t="s">
        <v>93</v>
      </c>
      <c r="C2395" s="143">
        <f>VLOOKUP(B2395,'Thống kê'!$C$3:$D$970,2,0)</f>
        <v>0</v>
      </c>
      <c r="D2395" s="166">
        <f>VLOOKUP(B2395,'Thống kê'!$C$3:$M$970,4,0)</f>
        <v>0</v>
      </c>
      <c r="E2395" s="167">
        <v>1</v>
      </c>
      <c r="F2395" s="168">
        <f t="shared" si="10"/>
        <v>0</v>
      </c>
      <c r="G2395" s="75"/>
      <c r="H2395" s="373"/>
    </row>
    <row r="2396" spans="1:8" ht="13.2">
      <c r="A2396" s="49"/>
      <c r="B2396" s="16" t="s">
        <v>137</v>
      </c>
      <c r="C2396" s="143">
        <f>VLOOKUP(B2396,'Thống kê'!$C$3:$D$970,2,0)</f>
        <v>0</v>
      </c>
      <c r="D2396" s="166">
        <f>VLOOKUP(B2396,'Thống kê'!$C$3:$M$970,4,0)</f>
        <v>0</v>
      </c>
      <c r="E2396" s="167">
        <v>1</v>
      </c>
      <c r="F2396" s="168">
        <f t="shared" si="10"/>
        <v>0</v>
      </c>
      <c r="G2396" s="75"/>
      <c r="H2396" s="177">
        <v>56580</v>
      </c>
    </row>
    <row r="2397" spans="1:8" ht="13.2">
      <c r="A2397" s="49"/>
      <c r="B2397" s="16" t="s">
        <v>1760</v>
      </c>
      <c r="C2397" s="143">
        <f>VLOOKUP(B2397,'Thống kê'!$C$3:$D$970,2,0)</f>
        <v>0</v>
      </c>
      <c r="D2397" s="166">
        <f>VLOOKUP(B2397,'Thống kê'!$C$3:$M$970,4,0)</f>
        <v>0</v>
      </c>
      <c r="E2397" s="167">
        <v>1</v>
      </c>
      <c r="F2397" s="168">
        <f t="shared" si="10"/>
        <v>0</v>
      </c>
      <c r="G2397" s="75"/>
      <c r="H2397" s="178">
        <v>71165</v>
      </c>
    </row>
    <row r="2398" spans="1:8" ht="13.2">
      <c r="A2398" s="49"/>
      <c r="B2398" s="16" t="s">
        <v>113</v>
      </c>
      <c r="C2398" s="143" t="str">
        <f>VLOOKUP(B2398,'Thống kê'!$C$3:$D$970,2,0)</f>
        <v>Móc khoá Dimoo size mini (hàng remake)</v>
      </c>
      <c r="D2398" s="166">
        <f>VLOOKUP(B2398,'Thống kê'!$C$3:$M$970,4,0)</f>
        <v>0</v>
      </c>
      <c r="E2398" s="167">
        <v>1</v>
      </c>
      <c r="F2398" s="168">
        <f t="shared" si="10"/>
        <v>0</v>
      </c>
      <c r="G2398" s="75"/>
      <c r="H2398" s="402">
        <v>179751</v>
      </c>
    </row>
    <row r="2399" spans="1:8" ht="13.2">
      <c r="A2399" s="49"/>
      <c r="B2399" s="16" t="s">
        <v>107</v>
      </c>
      <c r="C2399" s="143">
        <f>VLOOKUP(B2399,'Thống kê'!$C$3:$D$970,2,0)</f>
        <v>0</v>
      </c>
      <c r="D2399" s="166">
        <f>VLOOKUP(B2399,'Thống kê'!$C$3:$M$970,4,0)</f>
        <v>0</v>
      </c>
      <c r="E2399" s="167">
        <v>1</v>
      </c>
      <c r="F2399" s="168">
        <f t="shared" si="10"/>
        <v>0</v>
      </c>
      <c r="G2399" s="75"/>
      <c r="H2399" s="372"/>
    </row>
    <row r="2400" spans="1:8" ht="13.2">
      <c r="A2400" s="49"/>
      <c r="B2400" s="16" t="s">
        <v>1481</v>
      </c>
      <c r="C2400" s="143" t="str">
        <f>VLOOKUP(B2400,'Thống kê'!$C$3:$D$970,2,0)</f>
        <v>Móc khoá Dudu nhiều màu sắc treo túi, đeo điện thoại</v>
      </c>
      <c r="D2400" s="166">
        <f>VLOOKUP(B2400,'Thống kê'!$C$3:$M$970,4,0)</f>
        <v>45000</v>
      </c>
      <c r="E2400" s="167">
        <v>1</v>
      </c>
      <c r="F2400" s="168">
        <f t="shared" si="10"/>
        <v>45000</v>
      </c>
      <c r="G2400" s="75"/>
      <c r="H2400" s="373"/>
    </row>
    <row r="2401" spans="1:8" ht="13.2">
      <c r="A2401" s="64"/>
      <c r="B2401" s="16" t="s">
        <v>1849</v>
      </c>
      <c r="C2401" s="143" t="str">
        <f>VLOOKUP(B2401,'Thống kê'!$C$3:$D$970,2,0)</f>
        <v>Móc Khoá Capybara thổi bong bóng</v>
      </c>
      <c r="D2401" s="166">
        <f>VLOOKUP(B2401,'Thống kê'!$C$3:$M$970,4,0)</f>
        <v>0</v>
      </c>
      <c r="E2401" s="167">
        <v>1</v>
      </c>
      <c r="F2401" s="168">
        <f t="shared" si="10"/>
        <v>0</v>
      </c>
      <c r="G2401" s="75"/>
      <c r="H2401" s="177">
        <v>28044</v>
      </c>
    </row>
    <row r="2402" spans="1:8" ht="13.2">
      <c r="A2402" s="49"/>
      <c r="B2402" s="16" t="s">
        <v>93</v>
      </c>
      <c r="C2402" s="143">
        <f>VLOOKUP(B2402,'Thống kê'!$C$3:$D$970,2,0)</f>
        <v>0</v>
      </c>
      <c r="D2402" s="166">
        <f>VLOOKUP(B2402,'Thống kê'!$C$3:$M$970,4,0)</f>
        <v>0</v>
      </c>
      <c r="E2402" s="167">
        <v>1</v>
      </c>
      <c r="F2402" s="168">
        <f t="shared" si="10"/>
        <v>0</v>
      </c>
      <c r="G2402" s="75"/>
      <c r="H2402" s="403">
        <v>115005</v>
      </c>
    </row>
    <row r="2403" spans="1:8" ht="13.2">
      <c r="A2403" s="49"/>
      <c r="B2403" s="16" t="s">
        <v>137</v>
      </c>
      <c r="C2403" s="143">
        <f>VLOOKUP(B2403,'Thống kê'!$C$3:$D$970,2,0)</f>
        <v>0</v>
      </c>
      <c r="D2403" s="166">
        <f>VLOOKUP(B2403,'Thống kê'!$C$3:$M$970,4,0)</f>
        <v>0</v>
      </c>
      <c r="E2403" s="167">
        <v>1</v>
      </c>
      <c r="F2403" s="168">
        <f t="shared" si="10"/>
        <v>0</v>
      </c>
      <c r="G2403" s="75"/>
      <c r="H2403" s="372"/>
    </row>
    <row r="2404" spans="1:8" ht="13.2">
      <c r="A2404" s="49"/>
      <c r="B2404" s="16" t="s">
        <v>1467</v>
      </c>
      <c r="C2404" s="143">
        <f>VLOOKUP(B2404,'Thống kê'!$C$3:$D$970,2,0)</f>
        <v>0</v>
      </c>
      <c r="D2404" s="166">
        <f>VLOOKUP(B2404,'Thống kê'!$C$3:$M$970,4,0)</f>
        <v>0</v>
      </c>
      <c r="E2404" s="167">
        <v>1</v>
      </c>
      <c r="F2404" s="168">
        <f t="shared" si="10"/>
        <v>0</v>
      </c>
      <c r="G2404" s="75"/>
      <c r="H2404" s="402">
        <v>1066000</v>
      </c>
    </row>
    <row r="2405" spans="1:8" ht="13.2">
      <c r="A2405" s="49"/>
      <c r="B2405" s="16" t="s">
        <v>1468</v>
      </c>
      <c r="C2405" s="143">
        <f>VLOOKUP(B2405,'Thống kê'!$C$3:$D$970,2,0)</f>
        <v>0</v>
      </c>
      <c r="D2405" s="166">
        <f>VLOOKUP(B2405,'Thống kê'!$C$3:$M$970,4,0)</f>
        <v>0</v>
      </c>
      <c r="E2405" s="167">
        <v>1</v>
      </c>
      <c r="F2405" s="168">
        <f t="shared" si="10"/>
        <v>0</v>
      </c>
      <c r="G2405" s="75"/>
      <c r="H2405" s="372"/>
    </row>
    <row r="2406" spans="1:8" ht="13.2">
      <c r="A2406" s="49"/>
      <c r="B2406" s="16" t="s">
        <v>77</v>
      </c>
      <c r="C2406" s="143">
        <f>VLOOKUP(B2406,'Thống kê'!$C$3:$D$970,2,0)</f>
        <v>0</v>
      </c>
      <c r="D2406" s="166">
        <f>VLOOKUP(B2406,'Thống kê'!$C$3:$M$970,4,0)</f>
        <v>0</v>
      </c>
      <c r="E2406" s="167">
        <v>1</v>
      </c>
      <c r="F2406" s="168">
        <f t="shared" si="10"/>
        <v>0</v>
      </c>
      <c r="G2406" s="75"/>
      <c r="H2406" s="372"/>
    </row>
    <row r="2407" spans="1:8" ht="13.2">
      <c r="A2407" s="49"/>
      <c r="B2407" s="16" t="s">
        <v>133</v>
      </c>
      <c r="C2407" s="143">
        <f>VLOOKUP(B2407,'Thống kê'!$C$3:$D$970,2,0)</f>
        <v>0</v>
      </c>
      <c r="D2407" s="166">
        <f>VLOOKUP(B2407,'Thống kê'!$C$3:$M$970,4,0)</f>
        <v>0</v>
      </c>
      <c r="E2407" s="167">
        <v>1</v>
      </c>
      <c r="F2407" s="168">
        <f t="shared" si="10"/>
        <v>0</v>
      </c>
      <c r="G2407" s="75"/>
      <c r="H2407" s="372"/>
    </row>
    <row r="2408" spans="1:8" ht="13.2">
      <c r="A2408" s="49"/>
      <c r="B2408" s="16" t="s">
        <v>196</v>
      </c>
      <c r="C2408" s="143">
        <f>VLOOKUP(B2408,'Thống kê'!$C$3:$D$970,2,0)</f>
        <v>0</v>
      </c>
      <c r="D2408" s="166">
        <f>VLOOKUP(B2408,'Thống kê'!$C$3:$M$970,4,0)</f>
        <v>0</v>
      </c>
      <c r="E2408" s="167">
        <v>1</v>
      </c>
      <c r="F2408" s="168">
        <f t="shared" si="10"/>
        <v>0</v>
      </c>
      <c r="G2408" s="75"/>
      <c r="H2408" s="372"/>
    </row>
    <row r="2409" spans="1:8" ht="13.2">
      <c r="A2409" s="49"/>
      <c r="B2409" s="16" t="s">
        <v>140</v>
      </c>
      <c r="C2409" s="143">
        <f>VLOOKUP(B2409,'Thống kê'!$C$3:$D$970,2,0)</f>
        <v>0</v>
      </c>
      <c r="D2409" s="166">
        <f>VLOOKUP(B2409,'Thống kê'!$C$3:$M$970,4,0)</f>
        <v>0</v>
      </c>
      <c r="E2409" s="167">
        <v>1</v>
      </c>
      <c r="F2409" s="168">
        <f t="shared" si="10"/>
        <v>0</v>
      </c>
      <c r="G2409" s="75"/>
      <c r="H2409" s="372"/>
    </row>
    <row r="2410" spans="1:8" ht="13.2">
      <c r="A2410" s="49"/>
      <c r="B2410" s="16" t="s">
        <v>1523</v>
      </c>
      <c r="C2410" s="143">
        <f>VLOOKUP(B2410,'Thống kê'!$C$3:$D$970,2,0)</f>
        <v>0</v>
      </c>
      <c r="D2410" s="166">
        <f>VLOOKUP(B2410,'Thống kê'!$C$3:$M$970,4,0)</f>
        <v>0</v>
      </c>
      <c r="E2410" s="167">
        <v>1</v>
      </c>
      <c r="F2410" s="168">
        <f t="shared" si="10"/>
        <v>0</v>
      </c>
      <c r="G2410" s="75"/>
      <c r="H2410" s="372"/>
    </row>
    <row r="2411" spans="1:8" ht="13.2">
      <c r="A2411" s="49"/>
      <c r="B2411" s="16" t="s">
        <v>1519</v>
      </c>
      <c r="C2411" s="143">
        <f>VLOOKUP(B2411,'Thống kê'!$C$3:$D$970,2,0)</f>
        <v>0</v>
      </c>
      <c r="D2411" s="166">
        <f>VLOOKUP(B2411,'Thống kê'!$C$3:$M$970,4,0)</f>
        <v>0</v>
      </c>
      <c r="E2411" s="167">
        <v>1</v>
      </c>
      <c r="F2411" s="168">
        <f t="shared" si="10"/>
        <v>0</v>
      </c>
      <c r="G2411" s="75"/>
      <c r="H2411" s="372"/>
    </row>
    <row r="2412" spans="1:8" ht="13.2">
      <c r="A2412" s="49"/>
      <c r="B2412" s="16" t="s">
        <v>228</v>
      </c>
      <c r="C2412" s="143">
        <f>VLOOKUP(B2412,'Thống kê'!$C$3:$D$970,2,0)</f>
        <v>0</v>
      </c>
      <c r="D2412" s="166">
        <f>VLOOKUP(B2412,'Thống kê'!$C$3:$M$970,4,0)</f>
        <v>0</v>
      </c>
      <c r="E2412" s="167">
        <v>1</v>
      </c>
      <c r="F2412" s="168">
        <f t="shared" si="10"/>
        <v>0</v>
      </c>
      <c r="G2412" s="75"/>
      <c r="H2412" s="372"/>
    </row>
    <row r="2413" spans="1:8" ht="13.2">
      <c r="A2413" s="49"/>
      <c r="B2413" s="16" t="s">
        <v>229</v>
      </c>
      <c r="C2413" s="143">
        <f>VLOOKUP(B2413,'Thống kê'!$C$3:$D$970,2,0)</f>
        <v>0</v>
      </c>
      <c r="D2413" s="166">
        <f>VLOOKUP(B2413,'Thống kê'!$C$3:$M$970,4,0)</f>
        <v>0</v>
      </c>
      <c r="E2413" s="167">
        <v>1</v>
      </c>
      <c r="F2413" s="168">
        <f t="shared" si="10"/>
        <v>0</v>
      </c>
      <c r="G2413" s="75"/>
      <c r="H2413" s="372"/>
    </row>
    <row r="2414" spans="1:8" ht="13.2">
      <c r="A2414" s="49"/>
      <c r="B2414" s="16" t="s">
        <v>242</v>
      </c>
      <c r="C2414" s="143">
        <f>VLOOKUP(B2414,'Thống kê'!$C$3:$D$970,2,0)</f>
        <v>0</v>
      </c>
      <c r="D2414" s="166">
        <f>VLOOKUP(B2414,'Thống kê'!$C$3:$M$970,4,0)</f>
        <v>0</v>
      </c>
      <c r="E2414" s="167">
        <v>1</v>
      </c>
      <c r="F2414" s="168">
        <f t="shared" si="10"/>
        <v>0</v>
      </c>
      <c r="G2414" s="75"/>
      <c r="H2414" s="372"/>
    </row>
    <row r="2415" spans="1:8" ht="13.2">
      <c r="A2415" s="49"/>
      <c r="B2415" s="16" t="s">
        <v>248</v>
      </c>
      <c r="C2415" s="143">
        <f>VLOOKUP(B2415,'Thống kê'!$C$3:$D$970,2,0)</f>
        <v>0</v>
      </c>
      <c r="D2415" s="166">
        <f>VLOOKUP(B2415,'Thống kê'!$C$3:$M$970,4,0)</f>
        <v>0</v>
      </c>
      <c r="E2415" s="167">
        <v>1</v>
      </c>
      <c r="F2415" s="168">
        <f t="shared" si="10"/>
        <v>0</v>
      </c>
      <c r="G2415" s="75"/>
      <c r="H2415" s="372"/>
    </row>
    <row r="2416" spans="1:8" ht="13.2">
      <c r="A2416" s="49"/>
      <c r="B2416" s="16" t="s">
        <v>1825</v>
      </c>
      <c r="C2416" s="143" t="str">
        <f>VLOOKUP(B2416,'Thống kê'!$C$3:$D$970,2,0)</f>
        <v>Túi Đựng Mắt Kính Da Pu</v>
      </c>
      <c r="D2416" s="166">
        <f>VLOOKUP(B2416,'Thống kê'!$C$3:$M$970,4,0)</f>
        <v>0</v>
      </c>
      <c r="E2416" s="167">
        <v>1</v>
      </c>
      <c r="F2416" s="168">
        <f t="shared" si="10"/>
        <v>0</v>
      </c>
      <c r="G2416" s="75"/>
      <c r="H2416" s="402">
        <v>53750</v>
      </c>
    </row>
    <row r="2417" spans="1:8" ht="13.2">
      <c r="A2417" s="49"/>
      <c r="B2417" s="16" t="s">
        <v>1817</v>
      </c>
      <c r="C2417" s="143" t="str">
        <f>VLOOKUP(B2417,'Thống kê'!$C$3:$D$970,2,0)</f>
        <v>Túi Đựng Mắt Kính Da Pu</v>
      </c>
      <c r="D2417" s="166">
        <f>VLOOKUP(B2417,'Thống kê'!$C$3:$M$970,4,0)</f>
        <v>0</v>
      </c>
      <c r="E2417" s="167">
        <v>1</v>
      </c>
      <c r="F2417" s="168">
        <f t="shared" si="10"/>
        <v>0</v>
      </c>
      <c r="G2417" s="75"/>
      <c r="H2417" s="372"/>
    </row>
    <row r="2418" spans="1:8" ht="13.2">
      <c r="A2418" s="49"/>
      <c r="B2418" s="16" t="s">
        <v>1841</v>
      </c>
      <c r="C2418" s="143" t="str">
        <f>VLOOKUP(B2418,'Thống kê'!$C$3:$D$970,2,0)</f>
        <v>Túi Đựng Mắt Kính Da Pu</v>
      </c>
      <c r="D2418" s="166">
        <f>VLOOKUP(B2418,'Thống kê'!$C$3:$M$970,4,0)</f>
        <v>0</v>
      </c>
      <c r="E2418" s="167">
        <v>1</v>
      </c>
      <c r="F2418" s="168">
        <f t="shared" si="10"/>
        <v>0</v>
      </c>
      <c r="G2418" s="75"/>
      <c r="H2418" s="372"/>
    </row>
    <row r="2419" spans="1:8" ht="13.2">
      <c r="A2419" s="49"/>
      <c r="B2419" s="16" t="s">
        <v>196</v>
      </c>
      <c r="C2419" s="143">
        <f>VLOOKUP(B2419,'Thống kê'!$C$3:$D$970,2,0)</f>
        <v>0</v>
      </c>
      <c r="D2419" s="166">
        <f>VLOOKUP(B2419,'Thống kê'!$C$3:$M$970,4,0)</f>
        <v>0</v>
      </c>
      <c r="E2419" s="167">
        <v>1</v>
      </c>
      <c r="F2419" s="168">
        <f t="shared" si="10"/>
        <v>0</v>
      </c>
      <c r="G2419" s="75"/>
      <c r="H2419" s="176">
        <v>100040</v>
      </c>
    </row>
    <row r="2420" spans="1:8" ht="13.2">
      <c r="A2420" s="49"/>
      <c r="B2420" s="16" t="s">
        <v>1760</v>
      </c>
      <c r="C2420" s="143">
        <f>VLOOKUP(B2420,'Thống kê'!$C$3:$D$970,2,0)</f>
        <v>0</v>
      </c>
      <c r="D2420" s="166">
        <f>VLOOKUP(B2420,'Thống kê'!$C$3:$M$970,4,0)</f>
        <v>0</v>
      </c>
      <c r="E2420" s="167">
        <v>1</v>
      </c>
      <c r="F2420" s="168">
        <f t="shared" si="10"/>
        <v>0</v>
      </c>
      <c r="G2420" s="75"/>
      <c r="H2420" s="177">
        <v>70940</v>
      </c>
    </row>
    <row r="2421" spans="1:8" ht="13.2">
      <c r="A2421" s="49"/>
      <c r="B2421" s="16" t="s">
        <v>329</v>
      </c>
      <c r="C2421" s="143" t="str">
        <f>VLOOKUP(B2421,'Thống kê'!$C$3:$D$970,2,0)</f>
        <v>Pop Bean Baked Bread</v>
      </c>
      <c r="D2421" s="166">
        <f>VLOOKUP(B2421,'Thống kê'!$C$3:$M$970,4,0)</f>
        <v>167000</v>
      </c>
      <c r="E2421" s="167">
        <v>1</v>
      </c>
      <c r="F2421" s="168">
        <f t="shared" si="10"/>
        <v>167000</v>
      </c>
      <c r="G2421" s="75"/>
      <c r="H2421" s="177">
        <v>130310</v>
      </c>
    </row>
    <row r="2422" spans="1:8" ht="13.2">
      <c r="A2422" s="49"/>
      <c r="B2422" s="16" t="s">
        <v>308</v>
      </c>
      <c r="C2422" s="143">
        <f>VLOOKUP(B2422,'Thống kê'!$C$3:$D$970,2,0)</f>
        <v>0</v>
      </c>
      <c r="D2422" s="166">
        <f>VLOOKUP(B2422,'Thống kê'!$C$3:$M$970,4,0)</f>
        <v>0</v>
      </c>
      <c r="E2422" s="167">
        <v>1</v>
      </c>
      <c r="F2422" s="168">
        <f t="shared" si="10"/>
        <v>0</v>
      </c>
      <c r="G2422" s="75"/>
      <c r="H2422" s="403">
        <v>434654</v>
      </c>
    </row>
    <row r="2423" spans="1:8" ht="13.2">
      <c r="A2423" s="49"/>
      <c r="B2423" s="16" t="s">
        <v>1355</v>
      </c>
      <c r="C2423" s="143" t="str">
        <f>VLOOKUP(B2423,'Thống kê'!$C$3:$D$970,2,0)</f>
        <v>Trang trí mô hình Gấu</v>
      </c>
      <c r="D2423" s="166">
        <f>VLOOKUP(B2423,'Thống kê'!$C$3:$M$970,4,0)</f>
        <v>39000</v>
      </c>
      <c r="E2423" s="167">
        <v>1</v>
      </c>
      <c r="F2423" s="168">
        <f t="shared" si="10"/>
        <v>39000</v>
      </c>
      <c r="G2423" s="75"/>
      <c r="H2423" s="372"/>
    </row>
    <row r="2424" spans="1:8" ht="13.2">
      <c r="A2424" s="49"/>
      <c r="B2424" s="16" t="s">
        <v>1359</v>
      </c>
      <c r="C2424" s="143" t="str">
        <f>VLOOKUP(B2424,'Thống kê'!$C$3:$D$970,2,0)</f>
        <v>Trang trí mô hình Cún</v>
      </c>
      <c r="D2424" s="166">
        <f>VLOOKUP(B2424,'Thống kê'!$C$3:$M$970,4,0)</f>
        <v>39000</v>
      </c>
      <c r="E2424" s="167">
        <v>1</v>
      </c>
      <c r="F2424" s="168">
        <f t="shared" si="10"/>
        <v>39000</v>
      </c>
      <c r="G2424" s="75"/>
      <c r="H2424" s="372"/>
    </row>
    <row r="2425" spans="1:8" ht="13.2">
      <c r="A2425" s="64"/>
      <c r="B2425" s="16" t="s">
        <v>1472</v>
      </c>
      <c r="C2425" s="143">
        <f>VLOOKUP(B2425,'Thống kê'!$C$3:$D$970,2,0)</f>
        <v>0</v>
      </c>
      <c r="D2425" s="166">
        <f>VLOOKUP(B2425,'Thống kê'!$C$3:$M$970,4,0)</f>
        <v>0</v>
      </c>
      <c r="E2425" s="167">
        <v>1</v>
      </c>
      <c r="F2425" s="168">
        <f t="shared" si="10"/>
        <v>0</v>
      </c>
      <c r="G2425" s="75"/>
      <c r="H2425" s="372"/>
    </row>
    <row r="2426" spans="1:8" ht="13.2">
      <c r="A2426" s="49"/>
      <c r="B2426" s="16" t="s">
        <v>196</v>
      </c>
      <c r="C2426" s="143">
        <f>VLOOKUP(B2426,'Thống kê'!$C$3:$D$970,2,0)</f>
        <v>0</v>
      </c>
      <c r="D2426" s="166">
        <f>VLOOKUP(B2426,'Thống kê'!$C$3:$M$970,4,0)</f>
        <v>0</v>
      </c>
      <c r="E2426" s="167">
        <v>1</v>
      </c>
      <c r="F2426" s="168">
        <f t="shared" si="10"/>
        <v>0</v>
      </c>
      <c r="G2426" s="75"/>
      <c r="H2426" s="372"/>
    </row>
    <row r="2427" spans="1:8" ht="13.2">
      <c r="A2427" s="49"/>
      <c r="B2427" s="16" t="s">
        <v>84</v>
      </c>
      <c r="C2427" s="143">
        <f>VLOOKUP(B2427,'Thống kê'!$C$3:$D$970,2,0)</f>
        <v>0</v>
      </c>
      <c r="D2427" s="166">
        <f>VLOOKUP(B2427,'Thống kê'!$C$3:$M$970,4,0)</f>
        <v>0</v>
      </c>
      <c r="E2427" s="167">
        <v>1</v>
      </c>
      <c r="F2427" s="168">
        <f t="shared" si="10"/>
        <v>0</v>
      </c>
      <c r="G2427" s="75"/>
      <c r="H2427" s="372"/>
    </row>
    <row r="2428" spans="1:8" ht="13.2">
      <c r="A2428" s="49"/>
      <c r="B2428" s="16" t="s">
        <v>323</v>
      </c>
      <c r="C2428" s="143">
        <f>VLOOKUP(B2428,'Thống kê'!$C$3:$D$970,2,0)</f>
        <v>0</v>
      </c>
      <c r="D2428" s="166">
        <f>VLOOKUP(B2428,'Thống kê'!$C$3:$M$970,4,0)</f>
        <v>0</v>
      </c>
      <c r="E2428" s="167">
        <v>1</v>
      </c>
      <c r="F2428" s="168">
        <f t="shared" si="10"/>
        <v>0</v>
      </c>
      <c r="G2428" s="75"/>
      <c r="H2428" s="373"/>
    </row>
    <row r="2429" spans="1:8" ht="13.2">
      <c r="A2429" s="49"/>
      <c r="B2429" s="16" t="s">
        <v>1845</v>
      </c>
      <c r="C2429" s="143" t="str">
        <f>VLOOKUP(B2429,'Thống kê'!$C$3:$D$970,2,0)</f>
        <v>Túi Đựng Mắt Kính Da Pu</v>
      </c>
      <c r="D2429" s="166">
        <f>VLOOKUP(B2429,'Thống kê'!$C$3:$M$970,4,0)</f>
        <v>0</v>
      </c>
      <c r="E2429" s="167">
        <v>1</v>
      </c>
      <c r="F2429" s="168">
        <f t="shared" si="10"/>
        <v>0</v>
      </c>
      <c r="G2429" s="75"/>
      <c r="H2429" s="178">
        <v>12817</v>
      </c>
    </row>
    <row r="2430" spans="1:8" ht="13.2">
      <c r="A2430" s="49"/>
      <c r="B2430" s="16" t="s">
        <v>228</v>
      </c>
      <c r="C2430" s="143">
        <f>VLOOKUP(B2430,'Thống kê'!$C$3:$D$970,2,0)</f>
        <v>0</v>
      </c>
      <c r="D2430" s="166">
        <f>VLOOKUP(B2430,'Thống kê'!$C$3:$M$970,4,0)</f>
        <v>0</v>
      </c>
      <c r="E2430" s="167">
        <v>1</v>
      </c>
      <c r="F2430" s="168">
        <f t="shared" si="10"/>
        <v>0</v>
      </c>
      <c r="G2430" s="75"/>
      <c r="H2430" s="176">
        <v>59040</v>
      </c>
    </row>
    <row r="2431" spans="1:8" ht="13.2">
      <c r="A2431" s="49"/>
      <c r="B2431" s="16" t="s">
        <v>1826</v>
      </c>
      <c r="C2431" s="143" t="str">
        <f>VLOOKUP(B2431,'Thống kê'!$C$3:$D$970,2,0)</f>
        <v>Túi đựng đồ trang điểm nhỏ</v>
      </c>
      <c r="D2431" s="166">
        <f>VLOOKUP(B2431,'Thống kê'!$C$3:$M$970,4,0)</f>
        <v>0</v>
      </c>
      <c r="E2431" s="167">
        <v>1</v>
      </c>
      <c r="F2431" s="168">
        <f t="shared" si="10"/>
        <v>0</v>
      </c>
      <c r="G2431" s="75"/>
      <c r="H2431" s="177">
        <v>32144</v>
      </c>
    </row>
    <row r="2432" spans="1:8" ht="13.2">
      <c r="A2432" s="49"/>
      <c r="B2432" s="16" t="s">
        <v>170</v>
      </c>
      <c r="C2432" s="143" t="str">
        <f>VLOOKUP(B2432,'Thống kê'!$C$3:$D$970,2,0)</f>
        <v>Móc khóa chuối</v>
      </c>
      <c r="D2432" s="166">
        <f>VLOOKUP(B2432,'Thống kê'!$C$3:$M$970,4,0)</f>
        <v>148000</v>
      </c>
      <c r="E2432" s="167">
        <v>1</v>
      </c>
      <c r="F2432" s="168">
        <f t="shared" si="10"/>
        <v>148000</v>
      </c>
      <c r="G2432" s="75"/>
      <c r="H2432" s="403">
        <v>106558</v>
      </c>
    </row>
    <row r="2433" spans="1:8" ht="13.2">
      <c r="A2433" s="49"/>
      <c r="B2433" s="16" t="s">
        <v>1832</v>
      </c>
      <c r="C2433" s="143" t="str">
        <f>VLOOKUP(B2433,'Thống kê'!$C$3:$D$970,2,0)</f>
        <v>Ống 10 dây cột tóc đen</v>
      </c>
      <c r="D2433" s="166">
        <f>VLOOKUP(B2433,'Thống kê'!$C$3:$M$970,4,0)</f>
        <v>30000</v>
      </c>
      <c r="E2433" s="167">
        <v>1</v>
      </c>
      <c r="F2433" s="168">
        <f t="shared" si="10"/>
        <v>30000</v>
      </c>
      <c r="G2433" s="75"/>
      <c r="H2433" s="372"/>
    </row>
    <row r="2434" spans="1:8" ht="13.2">
      <c r="A2434" s="49"/>
      <c r="B2434" s="16" t="s">
        <v>1832</v>
      </c>
      <c r="C2434" s="143" t="str">
        <f>VLOOKUP(B2434,'Thống kê'!$C$3:$D$970,2,0)</f>
        <v>Ống 10 dây cột tóc đen</v>
      </c>
      <c r="D2434" s="166">
        <f>VLOOKUP(B2434,'Thống kê'!$C$3:$M$970,4,0)</f>
        <v>30000</v>
      </c>
      <c r="E2434" s="167">
        <v>1</v>
      </c>
      <c r="F2434" s="168">
        <f t="shared" si="10"/>
        <v>30000</v>
      </c>
      <c r="G2434" s="75"/>
      <c r="H2434" s="372"/>
    </row>
    <row r="2435" spans="1:8" ht="13.2">
      <c r="A2435" s="49"/>
      <c r="B2435" s="16" t="s">
        <v>1572</v>
      </c>
      <c r="C2435" s="143" t="str">
        <f>VLOOKUP(B2435,'Thống kê'!$C$3:$D$970,2,0)</f>
        <v>Túi Đựng Mắt Kính Da Pu</v>
      </c>
      <c r="D2435" s="166">
        <f>VLOOKUP(B2435,'Thống kê'!$C$3:$M$970,4,0)</f>
        <v>0</v>
      </c>
      <c r="E2435" s="167">
        <v>1</v>
      </c>
      <c r="F2435" s="168">
        <f t="shared" si="10"/>
        <v>0</v>
      </c>
      <c r="G2435" s="75"/>
      <c r="H2435" s="373"/>
    </row>
    <row r="2436" spans="1:8" ht="13.2">
      <c r="A2436" s="49"/>
      <c r="B2436" s="16" t="s">
        <v>126</v>
      </c>
      <c r="C2436" s="143">
        <f>VLOOKUP(B2436,'Thống kê'!$C$3:$D$970,2,0)</f>
        <v>0</v>
      </c>
      <c r="D2436" s="166">
        <f>VLOOKUP(B2436,'Thống kê'!$C$3:$M$970,4,0)</f>
        <v>0</v>
      </c>
      <c r="E2436" s="167">
        <v>1</v>
      </c>
      <c r="F2436" s="168">
        <f t="shared" si="10"/>
        <v>0</v>
      </c>
      <c r="G2436" s="75"/>
      <c r="H2436" s="177">
        <v>66220</v>
      </c>
    </row>
    <row r="2437" spans="1:8" ht="13.2">
      <c r="A2437" s="49"/>
      <c r="B2437" s="16" t="s">
        <v>133</v>
      </c>
      <c r="C2437" s="143">
        <f>VLOOKUP(B2437,'Thống kê'!$C$3:$D$970,2,0)</f>
        <v>0</v>
      </c>
      <c r="D2437" s="166">
        <f>VLOOKUP(B2437,'Thống kê'!$C$3:$M$970,4,0)</f>
        <v>0</v>
      </c>
      <c r="E2437" s="167">
        <v>1</v>
      </c>
      <c r="F2437" s="168">
        <f t="shared" si="10"/>
        <v>0</v>
      </c>
      <c r="G2437" s="75"/>
      <c r="H2437" s="177">
        <v>55755</v>
      </c>
    </row>
    <row r="2438" spans="1:8" ht="13.2">
      <c r="A2438" s="49"/>
      <c r="B2438" s="16" t="s">
        <v>142</v>
      </c>
      <c r="C2438" s="143">
        <f>VLOOKUP(B2438,'Thống kê'!$C$3:$D$970,2,0)</f>
        <v>0</v>
      </c>
      <c r="D2438" s="166">
        <f>VLOOKUP(B2438,'Thống kê'!$C$3:$M$970,4,0)</f>
        <v>0</v>
      </c>
      <c r="E2438" s="167">
        <v>1</v>
      </c>
      <c r="F2438" s="168">
        <f t="shared" si="10"/>
        <v>0</v>
      </c>
      <c r="G2438" s="75"/>
      <c r="H2438" s="177">
        <v>66420</v>
      </c>
    </row>
    <row r="2439" spans="1:8" ht="13.2">
      <c r="A2439" s="49"/>
      <c r="B2439" s="16" t="s">
        <v>133</v>
      </c>
      <c r="C2439" s="143">
        <f>VLOOKUP(B2439,'Thống kê'!$C$3:$D$970,2,0)</f>
        <v>0</v>
      </c>
      <c r="D2439" s="166">
        <f>VLOOKUP(B2439,'Thống kê'!$C$3:$M$970,4,0)</f>
        <v>0</v>
      </c>
      <c r="E2439" s="167">
        <v>1</v>
      </c>
      <c r="F2439" s="168">
        <f t="shared" si="10"/>
        <v>0</v>
      </c>
      <c r="G2439" s="75"/>
      <c r="H2439" s="177">
        <v>56580</v>
      </c>
    </row>
    <row r="2440" spans="1:8" ht="13.2">
      <c r="A2440" s="49"/>
      <c r="B2440" s="16" t="s">
        <v>127</v>
      </c>
      <c r="C2440" s="143">
        <f>VLOOKUP(B2440,'Thống kê'!$C$3:$D$970,2,0)</f>
        <v>0</v>
      </c>
      <c r="D2440" s="166">
        <f>VLOOKUP(B2440,'Thống kê'!$C$3:$M$970,4,0)</f>
        <v>0</v>
      </c>
      <c r="E2440" s="167">
        <v>1</v>
      </c>
      <c r="F2440" s="168">
        <f t="shared" si="10"/>
        <v>0</v>
      </c>
      <c r="G2440" s="75"/>
      <c r="H2440" s="177">
        <v>59523</v>
      </c>
    </row>
    <row r="2441" spans="1:8" ht="13.2">
      <c r="A2441" s="64"/>
      <c r="B2441" s="16" t="s">
        <v>1817</v>
      </c>
      <c r="C2441" s="143" t="str">
        <f>VLOOKUP(B2441,'Thống kê'!$C$3:$D$970,2,0)</f>
        <v>Túi Đựng Mắt Kính Da Pu</v>
      </c>
      <c r="D2441" s="166">
        <f>VLOOKUP(B2441,'Thống kê'!$C$3:$M$970,4,0)</f>
        <v>0</v>
      </c>
      <c r="E2441" s="167">
        <v>1</v>
      </c>
      <c r="F2441" s="168">
        <f t="shared" si="10"/>
        <v>0</v>
      </c>
      <c r="G2441" s="75"/>
      <c r="H2441" s="403">
        <v>38750</v>
      </c>
    </row>
    <row r="2442" spans="1:8" ht="13.2">
      <c r="A2442" s="49"/>
      <c r="B2442" s="16" t="s">
        <v>1841</v>
      </c>
      <c r="C2442" s="143" t="str">
        <f>VLOOKUP(B2442,'Thống kê'!$C$3:$D$970,2,0)</f>
        <v>Túi Đựng Mắt Kính Da Pu</v>
      </c>
      <c r="D2442" s="166">
        <f>VLOOKUP(B2442,'Thống kê'!$C$3:$M$970,4,0)</f>
        <v>0</v>
      </c>
      <c r="E2442" s="167">
        <v>1</v>
      </c>
      <c r="F2442" s="168">
        <f t="shared" si="10"/>
        <v>0</v>
      </c>
      <c r="G2442" s="75"/>
      <c r="H2442" s="373"/>
    </row>
    <row r="2443" spans="1:8" ht="13.2">
      <c r="A2443" s="49"/>
      <c r="B2443" s="16" t="s">
        <v>140</v>
      </c>
      <c r="C2443" s="143">
        <f>VLOOKUP(B2443,'Thống kê'!$C$3:$D$970,2,0)</f>
        <v>0</v>
      </c>
      <c r="D2443" s="166">
        <f>VLOOKUP(B2443,'Thống kê'!$C$3:$M$970,4,0)</f>
        <v>0</v>
      </c>
      <c r="E2443" s="167">
        <v>1</v>
      </c>
      <c r="F2443" s="168">
        <f t="shared" si="10"/>
        <v>0</v>
      </c>
      <c r="G2443" s="75"/>
      <c r="H2443" s="177">
        <v>56580</v>
      </c>
    </row>
    <row r="2444" spans="1:8" ht="13.2">
      <c r="A2444" s="49"/>
      <c r="B2444" s="16" t="s">
        <v>329</v>
      </c>
      <c r="C2444" s="143" t="str">
        <f>VLOOKUP(B2444,'Thống kê'!$C$3:$D$970,2,0)</f>
        <v>Pop Bean Baked Bread</v>
      </c>
      <c r="D2444" s="166">
        <f>VLOOKUP(B2444,'Thống kê'!$C$3:$M$970,4,0)</f>
        <v>167000</v>
      </c>
      <c r="E2444" s="167">
        <v>1</v>
      </c>
      <c r="F2444" s="168">
        <f t="shared" si="10"/>
        <v>167000</v>
      </c>
      <c r="G2444" s="75"/>
      <c r="H2444" s="177">
        <v>129485</v>
      </c>
    </row>
    <row r="2445" spans="1:8" ht="13.2">
      <c r="A2445" s="49"/>
      <c r="B2445" s="16" t="s">
        <v>126</v>
      </c>
      <c r="C2445" s="143">
        <f>VLOOKUP(B2445,'Thống kê'!$C$3:$D$970,2,0)</f>
        <v>0</v>
      </c>
      <c r="D2445" s="166">
        <f>VLOOKUP(B2445,'Thống kê'!$C$3:$M$970,4,0)</f>
        <v>0</v>
      </c>
      <c r="E2445" s="167">
        <v>1</v>
      </c>
      <c r="F2445" s="168">
        <f t="shared" si="10"/>
        <v>0</v>
      </c>
      <c r="G2445" s="75"/>
      <c r="H2445" s="403">
        <v>139400</v>
      </c>
    </row>
    <row r="2446" spans="1:8" ht="13.2">
      <c r="A2446" s="49"/>
      <c r="B2446" s="16" t="s">
        <v>142</v>
      </c>
      <c r="C2446" s="143">
        <f>VLOOKUP(B2446,'Thống kê'!$C$3:$D$970,2,0)</f>
        <v>0</v>
      </c>
      <c r="D2446" s="166">
        <f>VLOOKUP(B2446,'Thống kê'!$C$3:$M$970,4,0)</f>
        <v>0</v>
      </c>
      <c r="E2446" s="167">
        <v>1</v>
      </c>
      <c r="F2446" s="168">
        <f t="shared" si="10"/>
        <v>0</v>
      </c>
      <c r="G2446" s="75"/>
      <c r="H2446" s="372"/>
    </row>
    <row r="2447" spans="1:8" ht="13.2">
      <c r="A2447" s="49"/>
      <c r="B2447" s="16" t="s">
        <v>259</v>
      </c>
      <c r="C2447" s="143" t="str">
        <f>VLOOKUP(B2447,'Thống kê'!$C$3:$D$970,2,0)</f>
        <v>Móc khoá Crybaby mini Popmart</v>
      </c>
      <c r="D2447" s="166">
        <f>VLOOKUP(B2447,'Thống kê'!$C$3:$M$970,4,0)</f>
        <v>0</v>
      </c>
      <c r="E2447" s="167">
        <v>1</v>
      </c>
      <c r="F2447" s="168">
        <f t="shared" si="10"/>
        <v>0</v>
      </c>
      <c r="G2447" s="75"/>
      <c r="H2447" s="175">
        <v>77825</v>
      </c>
    </row>
    <row r="2448" spans="1:8" ht="13.2">
      <c r="A2448" s="49"/>
      <c r="B2448" s="16" t="s">
        <v>325</v>
      </c>
      <c r="C2448" s="143" t="str">
        <f>VLOOKUP(B2448,'Thống kê'!$C$3:$D$970,2,0)</f>
        <v>Gấu ú</v>
      </c>
      <c r="D2448" s="166">
        <f>VLOOKUP(B2448,'Thống kê'!$C$3:$M$970,4,0)</f>
        <v>59500</v>
      </c>
      <c r="E2448" s="167">
        <v>1</v>
      </c>
      <c r="F2448" s="168">
        <f t="shared" si="10"/>
        <v>59500</v>
      </c>
      <c r="G2448" s="75"/>
      <c r="H2448" s="402">
        <v>223415</v>
      </c>
    </row>
    <row r="2449" spans="1:8" ht="13.2">
      <c r="A2449" s="49"/>
      <c r="B2449" s="16" t="s">
        <v>150</v>
      </c>
      <c r="C2449" s="143" t="str">
        <f>VLOOKUP(B2449,'Thống kê'!$C$3:$D$970,2,0)</f>
        <v>Móc khóa có chuông</v>
      </c>
      <c r="D2449" s="166">
        <f>VLOOKUP(B2449,'Thống kê'!$C$3:$M$970,4,0)</f>
        <v>59000</v>
      </c>
      <c r="E2449" s="167">
        <v>1</v>
      </c>
      <c r="F2449" s="168">
        <f t="shared" si="10"/>
        <v>59000</v>
      </c>
      <c r="G2449" s="75"/>
      <c r="H2449" s="372"/>
    </row>
    <row r="2450" spans="1:8" ht="13.2">
      <c r="A2450" s="49"/>
      <c r="B2450" s="16" t="s">
        <v>1834</v>
      </c>
      <c r="C2450" s="143" t="str">
        <f>VLOOKUP(B2450,'Thống kê'!$C$3:$D$970,2,0)</f>
        <v>Túi Đựng Mắt Kính Da Pu</v>
      </c>
      <c r="D2450" s="166">
        <f>VLOOKUP(B2450,'Thống kê'!$C$3:$M$970,4,0)</f>
        <v>0</v>
      </c>
      <c r="E2450" s="167">
        <v>1</v>
      </c>
      <c r="F2450" s="168">
        <f t="shared" si="10"/>
        <v>0</v>
      </c>
      <c r="G2450" s="75"/>
      <c r="H2450" s="372"/>
    </row>
    <row r="2451" spans="1:8" ht="13.2">
      <c r="A2451" s="49"/>
      <c r="B2451" s="16" t="s">
        <v>1525</v>
      </c>
      <c r="C2451" s="143">
        <f>VLOOKUP(B2451,'Thống kê'!$C$3:$D$970,2,0)</f>
        <v>0</v>
      </c>
      <c r="D2451" s="166">
        <f>VLOOKUP(B2451,'Thống kê'!$C$3:$M$970,4,0)</f>
        <v>0</v>
      </c>
      <c r="E2451" s="167">
        <v>1</v>
      </c>
      <c r="F2451" s="168">
        <f t="shared" si="10"/>
        <v>0</v>
      </c>
      <c r="G2451" s="75"/>
      <c r="H2451" s="372"/>
    </row>
    <row r="2452" spans="1:8" ht="13.2">
      <c r="A2452" s="64"/>
      <c r="B2452" s="16" t="s">
        <v>93</v>
      </c>
      <c r="C2452" s="143">
        <f>VLOOKUP(B2452,'Thống kê'!$C$3:$D$970,2,0)</f>
        <v>0</v>
      </c>
      <c r="D2452" s="166">
        <f>VLOOKUP(B2452,'Thống kê'!$C$3:$M$970,4,0)</f>
        <v>0</v>
      </c>
      <c r="E2452" s="167">
        <v>1</v>
      </c>
      <c r="F2452" s="168">
        <f t="shared" si="10"/>
        <v>0</v>
      </c>
      <c r="G2452" s="75"/>
      <c r="H2452" s="373"/>
    </row>
    <row r="2453" spans="1:8" ht="13.2">
      <c r="B2453" s="16" t="s">
        <v>77</v>
      </c>
      <c r="C2453" s="143">
        <f>VLOOKUP(B2453,'Thống kê'!$C$3:$D$970,2,0)</f>
        <v>0</v>
      </c>
      <c r="D2453" s="166">
        <f>VLOOKUP(B2453,'Thống kê'!$C$3:$M$970,4,0)</f>
        <v>0</v>
      </c>
      <c r="E2453" s="167">
        <v>1</v>
      </c>
      <c r="F2453" s="168">
        <f t="shared" si="10"/>
        <v>0</v>
      </c>
      <c r="G2453" s="75"/>
      <c r="H2453" s="403">
        <v>168305</v>
      </c>
    </row>
    <row r="2454" spans="1:8" ht="13.2">
      <c r="B2454" s="16" t="s">
        <v>1518</v>
      </c>
      <c r="C2454" s="143">
        <f>VLOOKUP(B2454,'Thống kê'!$C$3:$D$970,2,0)</f>
        <v>0</v>
      </c>
      <c r="D2454" s="166">
        <f>VLOOKUP(B2454,'Thống kê'!$C$3:$M$970,4,0)</f>
        <v>0</v>
      </c>
      <c r="E2454" s="167">
        <v>1</v>
      </c>
      <c r="F2454" s="168">
        <f t="shared" si="10"/>
        <v>0</v>
      </c>
      <c r="G2454" s="75"/>
      <c r="H2454" s="372"/>
    </row>
    <row r="2455" spans="1:8" ht="13.2">
      <c r="B2455" s="16" t="s">
        <v>93</v>
      </c>
      <c r="C2455" s="143">
        <f>VLOOKUP(B2455,'Thống kê'!$C$3:$D$970,2,0)</f>
        <v>0</v>
      </c>
      <c r="D2455" s="166">
        <f>VLOOKUP(B2455,'Thống kê'!$C$3:$M$970,4,0)</f>
        <v>0</v>
      </c>
      <c r="E2455" s="167">
        <v>1</v>
      </c>
      <c r="F2455" s="168">
        <f t="shared" si="10"/>
        <v>0</v>
      </c>
      <c r="G2455" s="75"/>
      <c r="H2455" s="373"/>
    </row>
    <row r="2456" spans="1:8" ht="13.2">
      <c r="B2456" s="16" t="s">
        <v>1390</v>
      </c>
      <c r="C2456" s="143" t="str">
        <f>VLOOKUP(B2456,'Thống kê'!$C$3:$D$970,2,0)</f>
        <v>Móc khoá Labubu mini Popmart</v>
      </c>
      <c r="D2456" s="166">
        <f>VLOOKUP(B2456,'Thống kê'!$C$3:$M$970,4,0)</f>
        <v>0</v>
      </c>
      <c r="E2456" s="167">
        <v>1</v>
      </c>
      <c r="F2456" s="168">
        <f t="shared" si="10"/>
        <v>0</v>
      </c>
      <c r="G2456" s="75"/>
      <c r="H2456" s="403">
        <v>236502</v>
      </c>
    </row>
    <row r="2457" spans="1:8" ht="13.2">
      <c r="B2457" s="16" t="s">
        <v>242</v>
      </c>
      <c r="C2457" s="143">
        <f>VLOOKUP(B2457,'Thống kê'!$C$3:$D$970,2,0)</f>
        <v>0</v>
      </c>
      <c r="D2457" s="166">
        <f>VLOOKUP(B2457,'Thống kê'!$C$3:$M$970,4,0)</f>
        <v>0</v>
      </c>
      <c r="E2457" s="167">
        <v>1</v>
      </c>
      <c r="F2457" s="168">
        <f t="shared" si="10"/>
        <v>0</v>
      </c>
      <c r="G2457" s="75"/>
      <c r="H2457" s="372"/>
    </row>
    <row r="2458" spans="1:8" ht="13.2">
      <c r="B2458" s="16" t="s">
        <v>138</v>
      </c>
      <c r="C2458" s="143" t="str">
        <f>VLOOKUP(B2458,'Thống kê'!$C$3:$D$970,2,0)</f>
        <v>Móc khoá Crybaby mini Popmart</v>
      </c>
      <c r="D2458" s="166">
        <f>VLOOKUP(B2458,'Thống kê'!$C$3:$M$970,4,0)</f>
        <v>0</v>
      </c>
      <c r="E2458" s="167">
        <v>1</v>
      </c>
      <c r="F2458" s="168">
        <f t="shared" si="10"/>
        <v>0</v>
      </c>
      <c r="G2458" s="75"/>
      <c r="H2458" s="373"/>
    </row>
    <row r="2459" spans="1:8" ht="13.2">
      <c r="B2459" s="16" t="s">
        <v>142</v>
      </c>
      <c r="C2459" s="143">
        <f>VLOOKUP(B2459,'Thống kê'!$C$3:$D$970,2,0)</f>
        <v>0</v>
      </c>
      <c r="D2459" s="166">
        <f>VLOOKUP(B2459,'Thống kê'!$C$3:$M$970,4,0)</f>
        <v>0</v>
      </c>
      <c r="E2459" s="167">
        <v>1</v>
      </c>
      <c r="F2459" s="168">
        <f t="shared" si="10"/>
        <v>0</v>
      </c>
      <c r="G2459" s="75"/>
      <c r="H2459" s="403">
        <v>201250</v>
      </c>
    </row>
    <row r="2460" spans="1:8" ht="13.2">
      <c r="B2460" s="16" t="s">
        <v>200</v>
      </c>
      <c r="C2460" s="143">
        <f>VLOOKUP(B2460,'Thống kê'!$C$3:$D$970,2,0)</f>
        <v>0</v>
      </c>
      <c r="D2460" s="166">
        <f>VLOOKUP(B2460,'Thống kê'!$C$3:$M$970,4,0)</f>
        <v>0</v>
      </c>
      <c r="E2460" s="167">
        <v>1</v>
      </c>
      <c r="F2460" s="168">
        <f t="shared" si="10"/>
        <v>0</v>
      </c>
      <c r="G2460" s="75"/>
      <c r="H2460" s="372"/>
    </row>
    <row r="2461" spans="1:8" ht="13.2">
      <c r="B2461" s="16" t="s">
        <v>191</v>
      </c>
      <c r="C2461" s="143">
        <f>VLOOKUP(B2461,'Thống kê'!$C$3:$D$970,2,0)</f>
        <v>0</v>
      </c>
      <c r="D2461" s="166">
        <f>VLOOKUP(B2461,'Thống kê'!$C$3:$M$970,4,0)</f>
        <v>0</v>
      </c>
      <c r="E2461" s="167">
        <v>1</v>
      </c>
      <c r="F2461" s="168">
        <f t="shared" si="10"/>
        <v>0</v>
      </c>
      <c r="G2461" s="75"/>
      <c r="H2461" s="373"/>
    </row>
    <row r="2462" spans="1:8" ht="13.2">
      <c r="A2462" s="204">
        <v>45762</v>
      </c>
      <c r="B2462" s="16" t="s">
        <v>323</v>
      </c>
      <c r="C2462" s="143">
        <f>VLOOKUP(B2462,'Thống kê'!$C$3:$D$970,2,0)</f>
        <v>0</v>
      </c>
      <c r="D2462" s="166">
        <f>VLOOKUP(B2462,'Thống kê'!$C$3:$M$970,4,0)</f>
        <v>0</v>
      </c>
      <c r="E2462" s="167">
        <v>1</v>
      </c>
      <c r="F2462" s="168">
        <f t="shared" si="10"/>
        <v>0</v>
      </c>
      <c r="G2462" s="75"/>
      <c r="H2462" s="178">
        <v>56180</v>
      </c>
    </row>
    <row r="2463" spans="1:8" ht="13.2">
      <c r="B2463" s="16" t="s">
        <v>142</v>
      </c>
      <c r="C2463" s="143">
        <f>VLOOKUP(B2463,'Thống kê'!$C$3:$D$970,2,0)</f>
        <v>0</v>
      </c>
      <c r="D2463" s="166">
        <f>VLOOKUP(B2463,'Thống kê'!$C$3:$M$970,4,0)</f>
        <v>0</v>
      </c>
      <c r="E2463" s="167">
        <v>1</v>
      </c>
      <c r="F2463" s="168">
        <f t="shared" si="10"/>
        <v>0</v>
      </c>
      <c r="G2463" s="75"/>
      <c r="H2463" s="176">
        <v>66742</v>
      </c>
    </row>
    <row r="2464" spans="1:8" ht="13.2">
      <c r="B2464" s="16" t="s">
        <v>126</v>
      </c>
      <c r="C2464" s="143">
        <f>VLOOKUP(B2464,'Thống kê'!$C$3:$D$970,2,0)</f>
        <v>0</v>
      </c>
      <c r="D2464" s="166">
        <f>VLOOKUP(B2464,'Thống kê'!$C$3:$M$970,4,0)</f>
        <v>0</v>
      </c>
      <c r="E2464" s="167">
        <v>1</v>
      </c>
      <c r="F2464" s="168">
        <f t="shared" si="10"/>
        <v>0</v>
      </c>
      <c r="G2464" s="75"/>
      <c r="H2464" s="403">
        <v>138575</v>
      </c>
    </row>
    <row r="2465" spans="2:8" ht="13.2">
      <c r="B2465" s="16" t="s">
        <v>191</v>
      </c>
      <c r="C2465" s="143">
        <f>VLOOKUP(B2465,'Thống kê'!$C$3:$D$970,2,0)</f>
        <v>0</v>
      </c>
      <c r="D2465" s="166">
        <f>VLOOKUP(B2465,'Thống kê'!$C$3:$M$970,4,0)</f>
        <v>0</v>
      </c>
      <c r="E2465" s="167">
        <v>1</v>
      </c>
      <c r="F2465" s="168">
        <f t="shared" si="10"/>
        <v>0</v>
      </c>
      <c r="G2465" s="75"/>
      <c r="H2465" s="372"/>
    </row>
    <row r="2466" spans="2:8" ht="13.2">
      <c r="B2466" s="16" t="s">
        <v>119</v>
      </c>
      <c r="C2466" s="143" t="str">
        <f>VLOOKUP(B2466,'Thống kê'!$C$3:$D$970,2,0)</f>
        <v>Thỏ chạy xe gắn xe</v>
      </c>
      <c r="D2466" s="166">
        <f>VLOOKUP(B2466,'Thống kê'!$C$3:$M$970,4,0)</f>
        <v>45000</v>
      </c>
      <c r="E2466" s="167">
        <v>2</v>
      </c>
      <c r="F2466" s="168">
        <f t="shared" si="10"/>
        <v>90000</v>
      </c>
      <c r="G2466" s="75"/>
      <c r="H2466" s="175">
        <v>55901</v>
      </c>
    </row>
    <row r="2467" spans="2:8" ht="13.2">
      <c r="B2467" s="16" t="s">
        <v>279</v>
      </c>
      <c r="C2467" s="143">
        <f>VLOOKUP(B2467,'Thống kê'!$C$3:$D$970,2,0)</f>
        <v>0</v>
      </c>
      <c r="D2467" s="166">
        <f>VLOOKUP(B2467,'Thống kê'!$C$3:$M$970,4,0)</f>
        <v>0</v>
      </c>
      <c r="E2467" s="167">
        <v>1</v>
      </c>
      <c r="F2467" s="168">
        <f t="shared" si="10"/>
        <v>0</v>
      </c>
      <c r="G2467" s="75"/>
      <c r="H2467" s="175">
        <v>59598</v>
      </c>
    </row>
    <row r="2468" spans="2:8" ht="13.2">
      <c r="B2468" s="16" t="s">
        <v>127</v>
      </c>
      <c r="C2468" s="143">
        <f>VLOOKUP(B2468,'Thống kê'!$C$3:$D$970,2,0)</f>
        <v>0</v>
      </c>
      <c r="D2468" s="166">
        <f>VLOOKUP(B2468,'Thống kê'!$C$3:$M$970,4,0)</f>
        <v>0</v>
      </c>
      <c r="E2468" s="167">
        <v>1</v>
      </c>
      <c r="F2468" s="168">
        <f t="shared" si="10"/>
        <v>0</v>
      </c>
      <c r="G2468" s="75"/>
      <c r="H2468" s="402">
        <v>123000</v>
      </c>
    </row>
    <row r="2469" spans="2:8" ht="13.2">
      <c r="B2469" s="16" t="s">
        <v>191</v>
      </c>
      <c r="C2469" s="143">
        <f>VLOOKUP(B2469,'Thống kê'!$C$3:$D$970,2,0)</f>
        <v>0</v>
      </c>
      <c r="D2469" s="166">
        <f>VLOOKUP(B2469,'Thống kê'!$C$3:$M$970,4,0)</f>
        <v>0</v>
      </c>
      <c r="E2469" s="167">
        <v>1</v>
      </c>
      <c r="F2469" s="168">
        <f t="shared" si="10"/>
        <v>0</v>
      </c>
      <c r="G2469" s="75"/>
      <c r="H2469" s="373"/>
    </row>
    <row r="2470" spans="2:8" ht="13.2">
      <c r="B2470" s="16" t="s">
        <v>126</v>
      </c>
      <c r="C2470" s="143">
        <f>VLOOKUP(B2470,'Thống kê'!$C$3:$D$970,2,0)</f>
        <v>0</v>
      </c>
      <c r="D2470" s="166">
        <f>VLOOKUP(B2470,'Thống kê'!$C$3:$M$970,4,0)</f>
        <v>0</v>
      </c>
      <c r="E2470" s="167">
        <v>4</v>
      </c>
      <c r="F2470" s="168">
        <f t="shared" si="10"/>
        <v>0</v>
      </c>
      <c r="G2470" s="75"/>
      <c r="H2470" s="177">
        <v>238390</v>
      </c>
    </row>
    <row r="2471" spans="2:8" ht="13.2">
      <c r="B2471" s="16" t="s">
        <v>125</v>
      </c>
      <c r="C2471" s="143">
        <f>VLOOKUP(B2471,'Thống kê'!$C$3:$D$970,2,0)</f>
        <v>0</v>
      </c>
      <c r="D2471" s="166">
        <f>VLOOKUP(B2471,'Thống kê'!$C$3:$M$970,4,0)</f>
        <v>0</v>
      </c>
      <c r="E2471" s="167">
        <v>1</v>
      </c>
      <c r="F2471" s="168">
        <f t="shared" si="10"/>
        <v>0</v>
      </c>
      <c r="G2471" s="75"/>
      <c r="H2471" s="403">
        <v>139400</v>
      </c>
    </row>
    <row r="2472" spans="2:8" ht="13.2">
      <c r="B2472" s="16" t="s">
        <v>191</v>
      </c>
      <c r="C2472" s="143">
        <f>VLOOKUP(B2472,'Thống kê'!$C$3:$D$970,2,0)</f>
        <v>0</v>
      </c>
      <c r="D2472" s="166">
        <f>VLOOKUP(B2472,'Thống kê'!$C$3:$M$970,4,0)</f>
        <v>0</v>
      </c>
      <c r="E2472" s="167">
        <v>1</v>
      </c>
      <c r="F2472" s="168">
        <f t="shared" si="10"/>
        <v>0</v>
      </c>
      <c r="G2472" s="75"/>
      <c r="H2472" s="373"/>
    </row>
    <row r="2473" spans="2:8" ht="13.2">
      <c r="B2473" s="16" t="s">
        <v>103</v>
      </c>
      <c r="C2473" s="143">
        <f>VLOOKUP(B2473,'Thống kê'!$C$3:$D$970,2,0)</f>
        <v>0</v>
      </c>
      <c r="D2473" s="166">
        <f>VLOOKUP(B2473,'Thống kê'!$C$3:$M$970,4,0)</f>
        <v>0</v>
      </c>
      <c r="E2473" s="167">
        <v>1</v>
      </c>
      <c r="F2473" s="168">
        <f t="shared" si="10"/>
        <v>0</v>
      </c>
      <c r="G2473" s="75"/>
      <c r="H2473" s="177">
        <v>56580</v>
      </c>
    </row>
    <row r="2474" spans="2:8" ht="13.2">
      <c r="B2474" s="16" t="s">
        <v>1446</v>
      </c>
      <c r="C2474" s="143" t="str">
        <f>VLOOKUP(B2474,'Thống kê'!$C$3:$D$970,2,0)</f>
        <v>túi mù mô hình</v>
      </c>
      <c r="D2474" s="166">
        <f>VLOOKUP(B2474,'Thống kê'!$C$3:$M$970,4,0)</f>
        <v>0</v>
      </c>
      <c r="E2474" s="167">
        <v>1</v>
      </c>
      <c r="F2474" s="168">
        <f t="shared" si="10"/>
        <v>0</v>
      </c>
      <c r="G2474" s="75"/>
      <c r="H2474" s="177">
        <v>36900</v>
      </c>
    </row>
    <row r="2475" spans="2:8" ht="13.2">
      <c r="B2475" s="16" t="s">
        <v>1641</v>
      </c>
      <c r="C2475" s="143" t="str">
        <f>VLOOKUP(B2475,'Thống kê'!$C$3:$D$970,2,0)</f>
        <v>Túi chườm bụng thỏ và dứa 500ml</v>
      </c>
      <c r="D2475" s="166">
        <f>VLOOKUP(B2475,'Thống kê'!$C$3:$M$970,4,0)</f>
        <v>78200</v>
      </c>
      <c r="E2475" s="167">
        <v>1</v>
      </c>
      <c r="F2475" s="168">
        <f t="shared" si="10"/>
        <v>78200</v>
      </c>
      <c r="G2475" s="75"/>
      <c r="H2475" s="178">
        <v>69828</v>
      </c>
    </row>
    <row r="2476" spans="2:8" ht="13.2">
      <c r="B2476" s="16" t="s">
        <v>138</v>
      </c>
      <c r="C2476" s="143" t="str">
        <f>VLOOKUP(B2476,'Thống kê'!$C$3:$D$970,2,0)</f>
        <v>Móc khoá Crybaby mini Popmart</v>
      </c>
      <c r="D2476" s="166">
        <f>VLOOKUP(B2476,'Thống kê'!$C$3:$M$970,4,0)</f>
        <v>0</v>
      </c>
      <c r="E2476" s="167">
        <v>1</v>
      </c>
      <c r="F2476" s="168">
        <f t="shared" si="10"/>
        <v>0</v>
      </c>
      <c r="G2476" s="75"/>
      <c r="H2476" s="176">
        <v>77825</v>
      </c>
    </row>
    <row r="2477" spans="2:8" ht="13.2">
      <c r="B2477" s="16" t="s">
        <v>200</v>
      </c>
      <c r="C2477" s="143">
        <f>VLOOKUP(B2477,'Thống kê'!$C$3:$D$970,2,0)</f>
        <v>0</v>
      </c>
      <c r="D2477" s="166">
        <f>VLOOKUP(B2477,'Thống kê'!$C$3:$M$970,4,0)</f>
        <v>0</v>
      </c>
      <c r="E2477" s="167">
        <v>1</v>
      </c>
      <c r="F2477" s="168">
        <f t="shared" si="10"/>
        <v>0</v>
      </c>
      <c r="G2477" s="75"/>
      <c r="H2477" s="403">
        <v>137760</v>
      </c>
    </row>
    <row r="2478" spans="2:8" ht="13.2">
      <c r="B2478" s="16" t="s">
        <v>1528</v>
      </c>
      <c r="C2478" s="143">
        <f>VLOOKUP(B2478,'Thống kê'!$C$3:$D$970,2,0)</f>
        <v>0</v>
      </c>
      <c r="D2478" s="166">
        <f>VLOOKUP(B2478,'Thống kê'!$C$3:$M$970,4,0)</f>
        <v>0</v>
      </c>
      <c r="E2478" s="167">
        <v>1</v>
      </c>
      <c r="F2478" s="168">
        <f t="shared" si="10"/>
        <v>0</v>
      </c>
      <c r="G2478" s="75"/>
      <c r="H2478" s="373"/>
    </row>
    <row r="2479" spans="2:8" ht="13.2">
      <c r="B2479" s="16" t="s">
        <v>127</v>
      </c>
      <c r="C2479" s="143">
        <f>VLOOKUP(B2479,'Thống kê'!$C$3:$D$970,2,0)</f>
        <v>0</v>
      </c>
      <c r="D2479" s="166">
        <f>VLOOKUP(B2479,'Thống kê'!$C$3:$M$970,4,0)</f>
        <v>0</v>
      </c>
      <c r="E2479" s="167">
        <v>1</v>
      </c>
      <c r="F2479" s="168">
        <f t="shared" si="10"/>
        <v>0</v>
      </c>
      <c r="G2479" s="75"/>
      <c r="H2479" s="402">
        <v>238390</v>
      </c>
    </row>
    <row r="2480" spans="2:8" ht="13.2">
      <c r="B2480" s="16" t="s">
        <v>191</v>
      </c>
      <c r="C2480" s="143">
        <f>VLOOKUP(B2480,'Thống kê'!$C$3:$D$970,2,0)</f>
        <v>0</v>
      </c>
      <c r="D2480" s="166">
        <f>VLOOKUP(B2480,'Thống kê'!$C$3:$M$970,4,0)</f>
        <v>0</v>
      </c>
      <c r="E2480" s="167">
        <v>3</v>
      </c>
      <c r="F2480" s="168">
        <f t="shared" si="10"/>
        <v>0</v>
      </c>
      <c r="G2480" s="75"/>
      <c r="H2480" s="373"/>
    </row>
    <row r="2481" spans="1:8" ht="13.2">
      <c r="B2481" s="16" t="s">
        <v>77</v>
      </c>
      <c r="C2481" s="143">
        <f>VLOOKUP(B2481,'Thống kê'!$C$3:$D$970,2,0)</f>
        <v>0</v>
      </c>
      <c r="D2481" s="166">
        <f>VLOOKUP(B2481,'Thống kê'!$C$3:$M$970,4,0)</f>
        <v>0</v>
      </c>
      <c r="E2481" s="167">
        <v>1</v>
      </c>
      <c r="F2481" s="168">
        <f t="shared" si="10"/>
        <v>0</v>
      </c>
      <c r="G2481" s="75"/>
      <c r="H2481" s="178">
        <v>56580</v>
      </c>
    </row>
    <row r="2482" spans="1:8" ht="13.2">
      <c r="B2482" s="16" t="s">
        <v>171</v>
      </c>
      <c r="C2482" s="143">
        <f>VLOOKUP(B2482,'Thống kê'!$C$3:$D$970,2,0)</f>
        <v>0</v>
      </c>
      <c r="D2482" s="166">
        <f>VLOOKUP(B2482,'Thống kê'!$C$3:$M$970,4,0)</f>
        <v>0</v>
      </c>
      <c r="E2482" s="167">
        <v>1</v>
      </c>
      <c r="F2482" s="168">
        <f t="shared" si="10"/>
        <v>0</v>
      </c>
      <c r="G2482" s="75"/>
      <c r="H2482" s="402">
        <v>325540</v>
      </c>
    </row>
    <row r="2483" spans="1:8" ht="13.2">
      <c r="A2483" s="204"/>
      <c r="B2483" s="16" t="s">
        <v>200</v>
      </c>
      <c r="C2483" s="143">
        <f>VLOOKUP(B2483,'Thống kê'!$C$3:$D$970,2,0)</f>
        <v>0</v>
      </c>
      <c r="D2483" s="166">
        <f>VLOOKUP(B2483,'Thống kê'!$C$3:$M$970,4,0)</f>
        <v>0</v>
      </c>
      <c r="E2483" s="167">
        <v>1</v>
      </c>
      <c r="F2483" s="168">
        <f t="shared" si="10"/>
        <v>0</v>
      </c>
      <c r="G2483" s="75"/>
      <c r="H2483" s="372"/>
    </row>
    <row r="2484" spans="1:8" ht="13.2">
      <c r="B2484" s="16" t="s">
        <v>221</v>
      </c>
      <c r="C2484" s="143">
        <f>VLOOKUP(B2484,'Thống kê'!$C$3:$D$970,2,0)</f>
        <v>0</v>
      </c>
      <c r="D2484" s="166">
        <f>VLOOKUP(B2484,'Thống kê'!$C$3:$M$970,4,0)</f>
        <v>0</v>
      </c>
      <c r="E2484" s="167">
        <v>1</v>
      </c>
      <c r="F2484" s="168">
        <f t="shared" si="10"/>
        <v>0</v>
      </c>
      <c r="G2484" s="75"/>
      <c r="H2484" s="372"/>
    </row>
    <row r="2485" spans="1:8" ht="13.2">
      <c r="B2485" s="16" t="s">
        <v>77</v>
      </c>
      <c r="C2485" s="143">
        <f>VLOOKUP(B2485,'Thống kê'!$C$3:$D$970,2,0)</f>
        <v>0</v>
      </c>
      <c r="D2485" s="166">
        <f>VLOOKUP(B2485,'Thống kê'!$C$3:$M$970,4,0)</f>
        <v>0</v>
      </c>
      <c r="E2485" s="167">
        <v>1</v>
      </c>
      <c r="F2485" s="168">
        <f t="shared" si="10"/>
        <v>0</v>
      </c>
      <c r="G2485" s="75"/>
      <c r="H2485" s="372"/>
    </row>
    <row r="2486" spans="1:8" ht="13.2">
      <c r="B2486" s="16" t="s">
        <v>196</v>
      </c>
      <c r="C2486" s="143">
        <f>VLOOKUP(B2486,'Thống kê'!$C$3:$D$970,2,0)</f>
        <v>0</v>
      </c>
      <c r="D2486" s="166">
        <f>VLOOKUP(B2486,'Thống kê'!$C$3:$M$970,4,0)</f>
        <v>0</v>
      </c>
      <c r="E2486" s="167">
        <v>1</v>
      </c>
      <c r="F2486" s="168">
        <f t="shared" si="10"/>
        <v>0</v>
      </c>
      <c r="G2486" s="75"/>
      <c r="H2486" s="373"/>
    </row>
    <row r="2487" spans="1:8" ht="13.2">
      <c r="B2487" s="16" t="s">
        <v>279</v>
      </c>
      <c r="C2487" s="143">
        <f>VLOOKUP(B2487,'Thống kê'!$C$3:$D$970,2,0)</f>
        <v>0</v>
      </c>
      <c r="D2487" s="166">
        <f>VLOOKUP(B2487,'Thống kê'!$C$3:$M$970,4,0)</f>
        <v>0</v>
      </c>
      <c r="E2487" s="167">
        <v>-1</v>
      </c>
      <c r="F2487" s="168">
        <f t="shared" si="10"/>
        <v>0</v>
      </c>
      <c r="G2487" s="75"/>
      <c r="H2487" s="176">
        <v>-72680</v>
      </c>
    </row>
    <row r="2488" spans="1:8" ht="13.2">
      <c r="B2488" s="16" t="s">
        <v>93</v>
      </c>
      <c r="C2488" s="143">
        <f>VLOOKUP(B2488,'Thống kê'!$C$3:$D$970,2,0)</f>
        <v>0</v>
      </c>
      <c r="D2488" s="166">
        <f>VLOOKUP(B2488,'Thống kê'!$C$3:$M$970,4,0)</f>
        <v>0</v>
      </c>
      <c r="E2488" s="167">
        <v>-1</v>
      </c>
      <c r="F2488" s="168">
        <f t="shared" si="10"/>
        <v>0</v>
      </c>
      <c r="G2488" s="75"/>
      <c r="H2488" s="178">
        <v>-72680</v>
      </c>
    </row>
    <row r="2489" spans="1:8" ht="13.2">
      <c r="B2489" s="16" t="s">
        <v>1836</v>
      </c>
      <c r="C2489" s="143" t="str">
        <f>VLOOKUP(B2489,'Thống kê'!$C$3:$D$970,2,0)</f>
        <v>Túi Đựng Mắt Kính Da Pu</v>
      </c>
      <c r="D2489" s="166">
        <f>VLOOKUP(B2489,'Thống kê'!$C$3:$M$970,4,0)</f>
        <v>0</v>
      </c>
      <c r="E2489" s="167">
        <v>-1</v>
      </c>
      <c r="F2489" s="168">
        <f t="shared" si="10"/>
        <v>0</v>
      </c>
      <c r="G2489" s="75"/>
      <c r="H2489" s="402">
        <v>-55350</v>
      </c>
    </row>
    <row r="2490" spans="1:8" ht="13.2">
      <c r="B2490" s="16" t="s">
        <v>1827</v>
      </c>
      <c r="C2490" s="143" t="str">
        <f>VLOOKUP(B2490,'Thống kê'!$C$3:$D$970,2,0)</f>
        <v>Túi đựng đồ trang điểm nhỏ</v>
      </c>
      <c r="D2490" s="166">
        <f>VLOOKUP(B2490,'Thống kê'!$C$3:$M$970,4,0)</f>
        <v>0</v>
      </c>
      <c r="E2490" s="167">
        <v>-1</v>
      </c>
      <c r="F2490" s="168">
        <f t="shared" si="10"/>
        <v>0</v>
      </c>
      <c r="G2490" s="75"/>
      <c r="H2490" s="372"/>
    </row>
    <row r="2491" spans="1:8" ht="13.2">
      <c r="B2491" s="16" t="s">
        <v>1850</v>
      </c>
      <c r="C2491" s="143">
        <f>VLOOKUP(B2491,'Thống kê'!$C$3:$D$970,2,0)</f>
        <v>0</v>
      </c>
      <c r="D2491" s="166">
        <f>VLOOKUP(B2491,'Thống kê'!$C$3:$M$970,4,0)</f>
        <v>0</v>
      </c>
      <c r="E2491" s="167">
        <v>-1</v>
      </c>
      <c r="F2491" s="168">
        <f t="shared" si="10"/>
        <v>0</v>
      </c>
      <c r="G2491" s="75"/>
      <c r="H2491" s="175">
        <v>-69000</v>
      </c>
    </row>
    <row r="2492" spans="1:8" ht="13.2">
      <c r="B2492" s="16" t="s">
        <v>1382</v>
      </c>
      <c r="C2492" s="143" t="str">
        <f>VLOOKUP(B2492,'Thống kê'!$C$3:$D$970,2,0)</f>
        <v>miếng dán silicon điện thoại</v>
      </c>
      <c r="D2492" s="166">
        <f>VLOOKUP(B2492,'Thống kê'!$C$3:$M$970,4,0)</f>
        <v>0</v>
      </c>
      <c r="E2492" s="167">
        <v>-4</v>
      </c>
      <c r="F2492" s="168">
        <f t="shared" si="10"/>
        <v>0</v>
      </c>
      <c r="G2492" s="75"/>
      <c r="H2492" s="402">
        <v>-88400</v>
      </c>
    </row>
    <row r="2493" spans="1:8" ht="13.2">
      <c r="B2493" s="16" t="s">
        <v>196</v>
      </c>
      <c r="C2493" s="143">
        <f>VLOOKUP(B2493,'Thống kê'!$C$3:$D$970,2,0)</f>
        <v>0</v>
      </c>
      <c r="D2493" s="166">
        <f>VLOOKUP(B2493,'Thống kê'!$C$3:$M$970,4,0)</f>
        <v>0</v>
      </c>
      <c r="E2493" s="167">
        <v>-1</v>
      </c>
      <c r="F2493" s="168">
        <f t="shared" si="10"/>
        <v>0</v>
      </c>
      <c r="G2493" s="75"/>
      <c r="H2493" s="373"/>
    </row>
    <row r="2494" spans="1:8" ht="13.2">
      <c r="B2494" s="16" t="s">
        <v>1522</v>
      </c>
      <c r="C2494" s="143">
        <f>VLOOKUP(B2494,'Thống kê'!$C$3:$D$970,2,0)</f>
        <v>0</v>
      </c>
      <c r="D2494" s="166">
        <f>VLOOKUP(B2494,'Thống kê'!$C$3:$M$970,4,0)</f>
        <v>0</v>
      </c>
      <c r="E2494" s="167">
        <v>1</v>
      </c>
      <c r="F2494" s="168">
        <f t="shared" si="10"/>
        <v>0</v>
      </c>
      <c r="G2494" s="75"/>
      <c r="H2494" s="178">
        <v>48380</v>
      </c>
    </row>
    <row r="2495" spans="1:8" ht="13.2">
      <c r="B2495" s="16" t="s">
        <v>196</v>
      </c>
      <c r="C2495" s="143">
        <f>VLOOKUP(B2495,'Thống kê'!$C$3:$D$970,2,0)</f>
        <v>0</v>
      </c>
      <c r="D2495" s="166">
        <f>VLOOKUP(B2495,'Thống kê'!$C$3:$M$970,4,0)</f>
        <v>0</v>
      </c>
      <c r="E2495" s="167">
        <v>1</v>
      </c>
      <c r="F2495" s="168">
        <f t="shared" si="10"/>
        <v>0</v>
      </c>
      <c r="G2495" s="75"/>
      <c r="H2495" s="176">
        <v>64124</v>
      </c>
    </row>
    <row r="2496" spans="1:8" ht="13.2">
      <c r="A2496" s="204"/>
      <c r="B2496" s="16" t="s">
        <v>200</v>
      </c>
      <c r="C2496" s="143">
        <f>VLOOKUP(B2496,'Thống kê'!$C$3:$D$970,2,0)</f>
        <v>0</v>
      </c>
      <c r="D2496" s="166">
        <f>VLOOKUP(B2496,'Thống kê'!$C$3:$M$970,4,0)</f>
        <v>0</v>
      </c>
      <c r="E2496" s="167">
        <v>1</v>
      </c>
      <c r="F2496" s="168">
        <f t="shared" si="10"/>
        <v>0</v>
      </c>
      <c r="G2496" s="75"/>
      <c r="H2496" s="177">
        <v>67142</v>
      </c>
    </row>
    <row r="2497" spans="1:8" ht="13.2">
      <c r="B2497" s="16" t="s">
        <v>1836</v>
      </c>
      <c r="C2497" s="143" t="str">
        <f>VLOOKUP(B2497,'Thống kê'!$C$3:$D$970,2,0)</f>
        <v>Túi Đựng Mắt Kính Da Pu</v>
      </c>
      <c r="D2497" s="166">
        <f>VLOOKUP(B2497,'Thống kê'!$C$3:$M$970,4,0)</f>
        <v>0</v>
      </c>
      <c r="E2497" s="167">
        <v>1</v>
      </c>
      <c r="F2497" s="168">
        <f t="shared" si="10"/>
        <v>0</v>
      </c>
      <c r="G2497" s="75"/>
      <c r="H2497" s="177">
        <v>11357</v>
      </c>
    </row>
    <row r="2498" spans="1:8" ht="13.2">
      <c r="B2498" s="16" t="s">
        <v>200</v>
      </c>
      <c r="C2498" s="143">
        <f>VLOOKUP(B2498,'Thống kê'!$C$3:$D$970,2,0)</f>
        <v>0</v>
      </c>
      <c r="D2498" s="166">
        <f>VLOOKUP(B2498,'Thống kê'!$C$3:$M$970,4,0)</f>
        <v>0</v>
      </c>
      <c r="E2498" s="167">
        <v>1</v>
      </c>
      <c r="F2498" s="168">
        <f t="shared" si="10"/>
        <v>0</v>
      </c>
      <c r="G2498" s="75"/>
      <c r="H2498" s="177">
        <v>65682</v>
      </c>
    </row>
    <row r="2499" spans="1:8" ht="13.2">
      <c r="B2499" s="16" t="s">
        <v>77</v>
      </c>
      <c r="C2499" s="143">
        <f>VLOOKUP(B2499,'Thống kê'!$C$3:$D$970,2,0)</f>
        <v>0</v>
      </c>
      <c r="D2499" s="166">
        <f>VLOOKUP(B2499,'Thống kê'!$C$3:$M$970,4,0)</f>
        <v>0</v>
      </c>
      <c r="E2499" s="167">
        <v>1</v>
      </c>
      <c r="F2499" s="168">
        <f t="shared" si="10"/>
        <v>0</v>
      </c>
      <c r="G2499" s="75"/>
      <c r="H2499" s="403">
        <v>116440</v>
      </c>
    </row>
    <row r="2500" spans="1:8" ht="13.2">
      <c r="B2500" s="16" t="s">
        <v>93</v>
      </c>
      <c r="C2500" s="143">
        <f>VLOOKUP(B2500,'Thống kê'!$C$3:$D$970,2,0)</f>
        <v>0</v>
      </c>
      <c r="D2500" s="166">
        <f>VLOOKUP(B2500,'Thống kê'!$C$3:$M$970,4,0)</f>
        <v>0</v>
      </c>
      <c r="E2500" s="167">
        <v>1</v>
      </c>
      <c r="F2500" s="168">
        <f t="shared" si="10"/>
        <v>0</v>
      </c>
      <c r="G2500" s="75"/>
      <c r="H2500" s="373"/>
    </row>
    <row r="2501" spans="1:8" ht="13.2">
      <c r="B2501" s="16" t="s">
        <v>238</v>
      </c>
      <c r="C2501" s="143">
        <f>VLOOKUP(B2501,'Thống kê'!$C$3:$D$970,2,0)</f>
        <v>0</v>
      </c>
      <c r="D2501" s="166">
        <f>VLOOKUP(B2501,'Thống kê'!$C$3:$M$970,4,0)</f>
        <v>0</v>
      </c>
      <c r="E2501" s="167">
        <v>1</v>
      </c>
      <c r="F2501" s="168">
        <f t="shared" si="10"/>
        <v>0</v>
      </c>
      <c r="G2501" s="75"/>
      <c r="H2501" s="178">
        <v>71668</v>
      </c>
    </row>
    <row r="2502" spans="1:8" ht="13.2">
      <c r="B2502" s="16" t="s">
        <v>142</v>
      </c>
      <c r="C2502" s="143">
        <f>VLOOKUP(B2502,'Thống kê'!$C$3:$D$970,2,0)</f>
        <v>0</v>
      </c>
      <c r="D2502" s="166">
        <f>VLOOKUP(B2502,'Thống kê'!$C$3:$M$970,4,0)</f>
        <v>0</v>
      </c>
      <c r="E2502" s="167">
        <v>1</v>
      </c>
      <c r="F2502" s="168">
        <f t="shared" si="10"/>
        <v>0</v>
      </c>
      <c r="G2502" s="75"/>
      <c r="H2502" s="175">
        <v>65682</v>
      </c>
    </row>
    <row r="2503" spans="1:8" ht="13.2">
      <c r="B2503" s="16" t="s">
        <v>279</v>
      </c>
      <c r="C2503" s="143">
        <f>VLOOKUP(B2503,'Thống kê'!$C$3:$D$970,2,0)</f>
        <v>0</v>
      </c>
      <c r="D2503" s="166">
        <f>VLOOKUP(B2503,'Thống kê'!$C$3:$M$970,4,0)</f>
        <v>0</v>
      </c>
      <c r="E2503" s="167">
        <v>1</v>
      </c>
      <c r="F2503" s="168">
        <f t="shared" si="10"/>
        <v>0</v>
      </c>
      <c r="G2503" s="75"/>
      <c r="H2503" s="175">
        <v>59598</v>
      </c>
    </row>
    <row r="2504" spans="1:8" ht="13.2">
      <c r="B2504" s="16" t="s">
        <v>1384</v>
      </c>
      <c r="C2504" s="143" t="str">
        <f>VLOOKUP(B2504,'Thống kê'!$C$3:$D$970,2,0)</f>
        <v>Móc khoá Crybaby mini Popmart</v>
      </c>
      <c r="D2504" s="166">
        <f>VLOOKUP(B2504,'Thống kê'!$C$3:$M$970,4,0)</f>
        <v>0</v>
      </c>
      <c r="E2504" s="167">
        <v>1</v>
      </c>
      <c r="F2504" s="168">
        <f t="shared" si="10"/>
        <v>0</v>
      </c>
      <c r="G2504" s="75"/>
      <c r="H2504" s="402">
        <v>155406</v>
      </c>
    </row>
    <row r="2505" spans="1:8" ht="13.2">
      <c r="A2505" s="204"/>
      <c r="B2505" s="16" t="s">
        <v>259</v>
      </c>
      <c r="C2505" s="143" t="str">
        <f>VLOOKUP(B2505,'Thống kê'!$C$3:$D$970,2,0)</f>
        <v>Móc khoá Crybaby mini Popmart</v>
      </c>
      <c r="D2505" s="166">
        <f>VLOOKUP(B2505,'Thống kê'!$C$3:$M$970,4,0)</f>
        <v>0</v>
      </c>
      <c r="E2505" s="167">
        <v>1</v>
      </c>
      <c r="F2505" s="168">
        <f t="shared" si="10"/>
        <v>0</v>
      </c>
      <c r="G2505" s="75"/>
      <c r="H2505" s="372"/>
    </row>
    <row r="2506" spans="1:8" ht="13.2">
      <c r="B2506" s="16" t="s">
        <v>127</v>
      </c>
      <c r="C2506" s="143">
        <f>VLOOKUP(B2506,'Thống kê'!$C$3:$D$970,2,0)</f>
        <v>0</v>
      </c>
      <c r="D2506" s="166">
        <f>VLOOKUP(B2506,'Thống kê'!$C$3:$M$970,4,0)</f>
        <v>0</v>
      </c>
      <c r="E2506" s="167">
        <v>1</v>
      </c>
      <c r="F2506" s="168">
        <f t="shared" si="10"/>
        <v>0</v>
      </c>
      <c r="G2506" s="75"/>
      <c r="H2506" s="175">
        <v>67067</v>
      </c>
    </row>
    <row r="2507" spans="1:8" ht="13.2">
      <c r="B2507" s="16" t="s">
        <v>1845</v>
      </c>
      <c r="C2507" s="143" t="str">
        <f>VLOOKUP(B2507,'Thống kê'!$C$3:$D$970,2,0)</f>
        <v>Túi Đựng Mắt Kính Da Pu</v>
      </c>
      <c r="D2507" s="166">
        <f>VLOOKUP(B2507,'Thống kê'!$C$3:$M$970,4,0)</f>
        <v>0</v>
      </c>
      <c r="E2507" s="167">
        <v>1</v>
      </c>
      <c r="F2507" s="168">
        <f t="shared" si="10"/>
        <v>0</v>
      </c>
      <c r="G2507" s="75"/>
      <c r="H2507" s="402">
        <v>32568</v>
      </c>
    </row>
    <row r="2508" spans="1:8" ht="13.2">
      <c r="B2508" s="16" t="s">
        <v>1825</v>
      </c>
      <c r="C2508" s="143" t="str">
        <f>VLOOKUP(B2508,'Thống kê'!$C$3:$D$970,2,0)</f>
        <v>Túi Đựng Mắt Kính Da Pu</v>
      </c>
      <c r="D2508" s="166">
        <f>VLOOKUP(B2508,'Thống kê'!$C$3:$M$970,4,0)</f>
        <v>0</v>
      </c>
      <c r="E2508" s="167">
        <v>1</v>
      </c>
      <c r="F2508" s="168">
        <f t="shared" si="10"/>
        <v>0</v>
      </c>
      <c r="G2508" s="75"/>
      <c r="H2508" s="372"/>
    </row>
    <row r="2509" spans="1:8" ht="13.2">
      <c r="B2509" s="16" t="s">
        <v>250</v>
      </c>
      <c r="C2509" s="143">
        <f>VLOOKUP(B2509,'Thống kê'!$C$3:$D$970,2,0)</f>
        <v>0</v>
      </c>
      <c r="D2509" s="166">
        <f>VLOOKUP(B2509,'Thống kê'!$C$3:$M$970,4,0)</f>
        <v>0</v>
      </c>
      <c r="E2509" s="167">
        <v>1</v>
      </c>
      <c r="F2509" s="168">
        <f t="shared" si="10"/>
        <v>0</v>
      </c>
      <c r="G2509" s="75"/>
      <c r="H2509" s="175">
        <v>150155</v>
      </c>
    </row>
    <row r="2510" spans="1:8" ht="13.2">
      <c r="B2510" s="16" t="s">
        <v>1475</v>
      </c>
      <c r="C2510" s="143">
        <f>VLOOKUP(B2510,'Thống kê'!$C$3:$D$970,2,0)</f>
        <v>0</v>
      </c>
      <c r="D2510" s="166">
        <f>VLOOKUP(B2510,'Thống kê'!$C$3:$M$970,4,0)</f>
        <v>0</v>
      </c>
      <c r="E2510" s="167">
        <v>1</v>
      </c>
      <c r="F2510" s="168">
        <f t="shared" si="10"/>
        <v>0</v>
      </c>
      <c r="G2510" s="75"/>
      <c r="H2510" s="402">
        <v>274376</v>
      </c>
    </row>
    <row r="2511" spans="1:8" ht="13.2">
      <c r="B2511" s="16" t="s">
        <v>1516</v>
      </c>
      <c r="C2511" s="143">
        <f>VLOOKUP(B2511,'Thống kê'!$C$3:$D$970,2,0)</f>
        <v>0</v>
      </c>
      <c r="D2511" s="166">
        <f>VLOOKUP(B2511,'Thống kê'!$C$3:$M$970,4,0)</f>
        <v>0</v>
      </c>
      <c r="E2511" s="167">
        <v>1</v>
      </c>
      <c r="F2511" s="168">
        <f t="shared" si="10"/>
        <v>0</v>
      </c>
      <c r="G2511" s="75"/>
      <c r="H2511" s="372"/>
    </row>
    <row r="2512" spans="1:8" ht="13.2">
      <c r="B2512" s="16" t="s">
        <v>140</v>
      </c>
      <c r="C2512" s="143">
        <f>VLOOKUP(B2512,'Thống kê'!$C$3:$D$970,2,0)</f>
        <v>0</v>
      </c>
      <c r="D2512" s="166">
        <f>VLOOKUP(B2512,'Thống kê'!$C$3:$M$970,4,0)</f>
        <v>0</v>
      </c>
      <c r="E2512" s="167">
        <v>1</v>
      </c>
      <c r="F2512" s="168">
        <f t="shared" si="10"/>
        <v>0</v>
      </c>
      <c r="G2512" s="75"/>
      <c r="H2512" s="372"/>
    </row>
    <row r="2513" spans="1:8" ht="13.2">
      <c r="B2513" s="16" t="s">
        <v>93</v>
      </c>
      <c r="C2513" s="143">
        <f>VLOOKUP(B2513,'Thống kê'!$C$3:$D$970,2,0)</f>
        <v>0</v>
      </c>
      <c r="D2513" s="166">
        <f>VLOOKUP(B2513,'Thống kê'!$C$3:$M$970,4,0)</f>
        <v>0</v>
      </c>
      <c r="E2513" s="167">
        <v>2</v>
      </c>
      <c r="F2513" s="168">
        <f t="shared" si="10"/>
        <v>0</v>
      </c>
      <c r="G2513" s="75"/>
      <c r="H2513" s="372"/>
    </row>
    <row r="2514" spans="1:8" ht="13.2">
      <c r="B2514" s="16" t="s">
        <v>248</v>
      </c>
      <c r="C2514" s="143">
        <f>VLOOKUP(B2514,'Thống kê'!$C$3:$D$970,2,0)</f>
        <v>0</v>
      </c>
      <c r="D2514" s="166">
        <f>VLOOKUP(B2514,'Thống kê'!$C$3:$M$970,4,0)</f>
        <v>0</v>
      </c>
      <c r="E2514" s="167">
        <v>1</v>
      </c>
      <c r="F2514" s="168">
        <f t="shared" si="10"/>
        <v>0</v>
      </c>
      <c r="G2514" s="75"/>
      <c r="H2514" s="175">
        <v>91840</v>
      </c>
    </row>
    <row r="2515" spans="1:8" ht="13.2">
      <c r="B2515" s="16" t="s">
        <v>77</v>
      </c>
      <c r="C2515" s="143">
        <f>VLOOKUP(B2515,'Thống kê'!$C$3:$D$970,2,0)</f>
        <v>0</v>
      </c>
      <c r="D2515" s="166">
        <f>VLOOKUP(B2515,'Thống kê'!$C$3:$M$970,4,0)</f>
        <v>0</v>
      </c>
      <c r="E2515" s="167">
        <v>1</v>
      </c>
      <c r="F2515" s="168">
        <f t="shared" si="10"/>
        <v>0</v>
      </c>
      <c r="G2515" s="75"/>
      <c r="H2515" s="402">
        <v>236581</v>
      </c>
    </row>
    <row r="2516" spans="1:8" ht="13.2">
      <c r="B2516" s="16" t="s">
        <v>1519</v>
      </c>
      <c r="C2516" s="143">
        <f>VLOOKUP(B2516,'Thống kê'!$C$3:$D$970,2,0)</f>
        <v>0</v>
      </c>
      <c r="D2516" s="166">
        <f>VLOOKUP(B2516,'Thống kê'!$C$3:$M$970,4,0)</f>
        <v>0</v>
      </c>
      <c r="E2516" s="167">
        <v>1</v>
      </c>
      <c r="F2516" s="168">
        <f t="shared" si="10"/>
        <v>0</v>
      </c>
      <c r="G2516" s="75"/>
      <c r="H2516" s="372"/>
    </row>
    <row r="2517" spans="1:8" ht="13.2">
      <c r="B2517" s="16" t="s">
        <v>1475</v>
      </c>
      <c r="C2517" s="143">
        <f>VLOOKUP(B2517,'Thống kê'!$C$3:$D$970,2,0)</f>
        <v>0</v>
      </c>
      <c r="D2517" s="166">
        <f>VLOOKUP(B2517,'Thống kê'!$C$3:$M$970,4,0)</f>
        <v>0</v>
      </c>
      <c r="E2517" s="167">
        <v>1</v>
      </c>
      <c r="F2517" s="168">
        <f t="shared" si="10"/>
        <v>0</v>
      </c>
      <c r="G2517" s="75"/>
      <c r="H2517" s="372"/>
    </row>
    <row r="2518" spans="1:8" ht="13.2">
      <c r="B2518" s="16" t="s">
        <v>119</v>
      </c>
      <c r="C2518" s="143" t="str">
        <f>VLOOKUP(B2518,'Thống kê'!$C$3:$D$970,2,0)</f>
        <v>Thỏ chạy xe gắn xe</v>
      </c>
      <c r="D2518" s="166">
        <f>VLOOKUP(B2518,'Thống kê'!$C$3:$M$970,4,0)</f>
        <v>45000</v>
      </c>
      <c r="E2518" s="167">
        <v>1</v>
      </c>
      <c r="F2518" s="168">
        <f t="shared" si="10"/>
        <v>45000</v>
      </c>
      <c r="G2518" s="75"/>
      <c r="H2518" s="175">
        <v>30380</v>
      </c>
    </row>
    <row r="2519" spans="1:8" ht="13.2">
      <c r="B2519" s="16" t="s">
        <v>159</v>
      </c>
      <c r="C2519" s="143">
        <f>VLOOKUP(B2519,'Thống kê'!$C$3:$D$970,2,0)</f>
        <v>0</v>
      </c>
      <c r="D2519" s="166">
        <f>VLOOKUP(B2519,'Thống kê'!$C$3:$M$970,4,0)</f>
        <v>0</v>
      </c>
      <c r="E2519" s="167">
        <v>1</v>
      </c>
      <c r="F2519" s="168">
        <f t="shared" si="10"/>
        <v>0</v>
      </c>
      <c r="G2519" s="75"/>
      <c r="H2519" s="402">
        <v>323589</v>
      </c>
    </row>
    <row r="2520" spans="1:8" ht="13.2">
      <c r="B2520" s="16" t="s">
        <v>1468</v>
      </c>
      <c r="C2520" s="143">
        <f>VLOOKUP(B2520,'Thống kê'!$C$3:$D$970,2,0)</f>
        <v>0</v>
      </c>
      <c r="D2520" s="166">
        <f>VLOOKUP(B2520,'Thống kê'!$C$3:$M$970,4,0)</f>
        <v>0</v>
      </c>
      <c r="E2520" s="167">
        <v>1</v>
      </c>
      <c r="F2520" s="168">
        <f t="shared" si="10"/>
        <v>0</v>
      </c>
      <c r="G2520" s="75"/>
      <c r="H2520" s="372"/>
    </row>
    <row r="2521" spans="1:8" ht="13.2">
      <c r="B2521" s="16" t="s">
        <v>1519</v>
      </c>
      <c r="C2521" s="143">
        <f>VLOOKUP(B2521,'Thống kê'!$C$3:$D$970,2,0)</f>
        <v>0</v>
      </c>
      <c r="D2521" s="166">
        <f>VLOOKUP(B2521,'Thống kê'!$C$3:$M$970,4,0)</f>
        <v>0</v>
      </c>
      <c r="E2521" s="167">
        <v>1</v>
      </c>
      <c r="F2521" s="168">
        <f t="shared" si="10"/>
        <v>0</v>
      </c>
      <c r="G2521" s="75"/>
      <c r="H2521" s="372"/>
    </row>
    <row r="2522" spans="1:8" ht="13.2">
      <c r="B2522" s="16" t="s">
        <v>228</v>
      </c>
      <c r="C2522" s="143">
        <f>VLOOKUP(B2522,'Thống kê'!$C$3:$D$970,2,0)</f>
        <v>0</v>
      </c>
      <c r="D2522" s="166">
        <f>VLOOKUP(B2522,'Thống kê'!$C$3:$M$970,4,0)</f>
        <v>0</v>
      </c>
      <c r="E2522" s="167">
        <v>1</v>
      </c>
      <c r="F2522" s="168">
        <f t="shared" si="10"/>
        <v>0</v>
      </c>
      <c r="G2522" s="75"/>
      <c r="H2522" s="372"/>
    </row>
    <row r="2523" spans="1:8" ht="13.2">
      <c r="B2523" s="16" t="s">
        <v>140</v>
      </c>
      <c r="C2523" s="143">
        <f>VLOOKUP(B2523,'Thống kê'!$C$3:$D$970,2,0)</f>
        <v>0</v>
      </c>
      <c r="D2523" s="166">
        <f>VLOOKUP(B2523,'Thống kê'!$C$3:$M$970,4,0)</f>
        <v>0</v>
      </c>
      <c r="E2523" s="167">
        <v>1</v>
      </c>
      <c r="F2523" s="168">
        <f t="shared" si="10"/>
        <v>0</v>
      </c>
      <c r="G2523" s="75"/>
      <c r="H2523" s="175">
        <v>56580</v>
      </c>
    </row>
    <row r="2524" spans="1:8" ht="13.2">
      <c r="A2524" s="204"/>
      <c r="B2524" s="16" t="s">
        <v>119</v>
      </c>
      <c r="C2524" s="143" t="str">
        <f>VLOOKUP(B2524,'Thống kê'!$C$3:$D$970,2,0)</f>
        <v>Thỏ chạy xe gắn xe</v>
      </c>
      <c r="D2524" s="166">
        <f>VLOOKUP(B2524,'Thống kê'!$C$3:$M$970,4,0)</f>
        <v>45000</v>
      </c>
      <c r="E2524" s="167">
        <v>1</v>
      </c>
      <c r="F2524" s="168">
        <f t="shared" si="10"/>
        <v>45000</v>
      </c>
      <c r="G2524" s="75"/>
      <c r="H2524" s="175">
        <v>47480</v>
      </c>
    </row>
    <row r="2525" spans="1:8" ht="13.2">
      <c r="B2525" s="16" t="s">
        <v>196</v>
      </c>
      <c r="C2525" s="143">
        <f>VLOOKUP(B2525,'Thống kê'!$C$3:$D$970,2,0)</f>
        <v>0</v>
      </c>
      <c r="D2525" s="166">
        <f>VLOOKUP(B2525,'Thống kê'!$C$3:$M$970,4,0)</f>
        <v>0</v>
      </c>
      <c r="E2525" s="167">
        <v>1</v>
      </c>
      <c r="F2525" s="168">
        <f t="shared" si="10"/>
        <v>0</v>
      </c>
      <c r="G2525" s="75"/>
      <c r="H2525" s="402">
        <v>124640</v>
      </c>
    </row>
    <row r="2526" spans="1:8" ht="13.2">
      <c r="B2526" s="16" t="s">
        <v>140</v>
      </c>
      <c r="C2526" s="143">
        <f>VLOOKUP(B2526,'Thống kê'!$C$3:$D$970,2,0)</f>
        <v>0</v>
      </c>
      <c r="D2526" s="166">
        <f>VLOOKUP(B2526,'Thống kê'!$C$3:$M$970,4,0)</f>
        <v>0</v>
      </c>
      <c r="E2526" s="167">
        <v>1</v>
      </c>
      <c r="F2526" s="168">
        <f t="shared" si="10"/>
        <v>0</v>
      </c>
      <c r="G2526" s="75"/>
      <c r="H2526" s="372"/>
    </row>
    <row r="2527" spans="1:8" ht="13.2">
      <c r="B2527" s="16" t="s">
        <v>200</v>
      </c>
      <c r="C2527" s="143">
        <f>VLOOKUP(B2527,'Thống kê'!$C$3:$D$970,2,0)</f>
        <v>0</v>
      </c>
      <c r="D2527" s="166">
        <f>VLOOKUP(B2527,'Thống kê'!$C$3:$M$970,4,0)</f>
        <v>0</v>
      </c>
      <c r="E2527" s="167">
        <v>1</v>
      </c>
      <c r="F2527" s="168">
        <f t="shared" si="10"/>
        <v>0</v>
      </c>
      <c r="G2527" s="75"/>
      <c r="H2527" s="175">
        <v>67142</v>
      </c>
    </row>
    <row r="2528" spans="1:8" ht="13.2">
      <c r="B2528" s="16" t="s">
        <v>1446</v>
      </c>
      <c r="C2528" s="143" t="str">
        <f>VLOOKUP(B2528,'Thống kê'!$C$3:$D$970,2,0)</f>
        <v>túi mù mô hình</v>
      </c>
      <c r="D2528" s="166">
        <f>VLOOKUP(B2528,'Thống kê'!$C$3:$M$970,4,0)</f>
        <v>0</v>
      </c>
      <c r="E2528" s="167">
        <v>3</v>
      </c>
      <c r="F2528" s="168">
        <f t="shared" si="10"/>
        <v>0</v>
      </c>
      <c r="G2528" s="75"/>
      <c r="H2528" s="175">
        <v>104065</v>
      </c>
    </row>
    <row r="2529" spans="1:8" ht="13.2">
      <c r="B2529" s="16" t="s">
        <v>1384</v>
      </c>
      <c r="C2529" s="143" t="str">
        <f>VLOOKUP(B2529,'Thống kê'!$C$3:$D$970,2,0)</f>
        <v>Móc khoá Crybaby mini Popmart</v>
      </c>
      <c r="D2529" s="166">
        <f>VLOOKUP(B2529,'Thống kê'!$C$3:$M$970,4,0)</f>
        <v>0</v>
      </c>
      <c r="E2529" s="167">
        <v>1</v>
      </c>
      <c r="F2529" s="168">
        <f t="shared" si="10"/>
        <v>0</v>
      </c>
      <c r="G2529" s="75"/>
      <c r="H2529" s="175">
        <v>84060</v>
      </c>
    </row>
    <row r="2530" spans="1:8" ht="13.2">
      <c r="B2530" s="16" t="s">
        <v>126</v>
      </c>
      <c r="C2530" s="143">
        <f>VLOOKUP(B2530,'Thống kê'!$C$3:$D$970,2,0)</f>
        <v>0</v>
      </c>
      <c r="D2530" s="166">
        <f>VLOOKUP(B2530,'Thống kê'!$C$3:$M$970,4,0)</f>
        <v>0</v>
      </c>
      <c r="E2530" s="167">
        <v>1</v>
      </c>
      <c r="F2530" s="168">
        <f t="shared" si="10"/>
        <v>0</v>
      </c>
      <c r="G2530" s="75"/>
      <c r="H2530" s="402">
        <v>122600</v>
      </c>
    </row>
    <row r="2531" spans="1:8" ht="13.2">
      <c r="B2531" s="16" t="s">
        <v>1522</v>
      </c>
      <c r="C2531" s="143">
        <f>VLOOKUP(B2531,'Thống kê'!$C$3:$D$970,2,0)</f>
        <v>0</v>
      </c>
      <c r="D2531" s="166">
        <f>VLOOKUP(B2531,'Thống kê'!$C$3:$M$970,4,0)</f>
        <v>0</v>
      </c>
      <c r="E2531" s="167">
        <v>1</v>
      </c>
      <c r="F2531" s="168">
        <f t="shared" si="10"/>
        <v>0</v>
      </c>
      <c r="G2531" s="75"/>
      <c r="H2531" s="372"/>
    </row>
    <row r="2532" spans="1:8" ht="13.2">
      <c r="A2532" s="49"/>
      <c r="B2532" s="16" t="s">
        <v>1522</v>
      </c>
      <c r="C2532" s="143">
        <f>VLOOKUP(B2532,'Thống kê'!$C$3:$D$970,2,0)</f>
        <v>0</v>
      </c>
      <c r="D2532" s="166">
        <f>VLOOKUP(B2532,'Thống kê'!$C$3:$M$970,4,0)</f>
        <v>0</v>
      </c>
      <c r="E2532" s="167">
        <v>1</v>
      </c>
      <c r="F2532" s="168">
        <f t="shared" si="10"/>
        <v>0</v>
      </c>
      <c r="G2532" s="75"/>
      <c r="H2532" s="175">
        <v>48305</v>
      </c>
    </row>
    <row r="2533" spans="1:8" ht="13.2">
      <c r="A2533" s="49"/>
      <c r="B2533" s="16" t="s">
        <v>171</v>
      </c>
      <c r="C2533" s="143">
        <f>VLOOKUP(B2533,'Thống kê'!$C$3:$D$970,2,0)</f>
        <v>0</v>
      </c>
      <c r="D2533" s="166">
        <f>VLOOKUP(B2533,'Thống kê'!$C$3:$M$970,4,0)</f>
        <v>0</v>
      </c>
      <c r="E2533" s="167">
        <v>1</v>
      </c>
      <c r="F2533" s="168">
        <f t="shared" si="10"/>
        <v>0</v>
      </c>
      <c r="G2533" s="75"/>
      <c r="H2533" s="402">
        <v>612515</v>
      </c>
    </row>
    <row r="2534" spans="1:8" ht="13.2">
      <c r="A2534" s="49"/>
      <c r="B2534" s="16" t="s">
        <v>262</v>
      </c>
      <c r="C2534" s="143" t="str">
        <f>VLOOKUP(B2534,'Thống kê'!$C$3:$D$970,2,0)</f>
        <v>Pop Bean Baked Bread</v>
      </c>
      <c r="D2534" s="166">
        <f>VLOOKUP(B2534,'Thống kê'!$C$3:$M$970,4,0)</f>
        <v>167000</v>
      </c>
      <c r="E2534" s="167">
        <v>1</v>
      </c>
      <c r="F2534" s="168">
        <f t="shared" si="10"/>
        <v>167000</v>
      </c>
      <c r="G2534" s="75"/>
      <c r="H2534" s="372"/>
    </row>
    <row r="2535" spans="1:8" ht="13.2">
      <c r="A2535" s="49"/>
      <c r="B2535" s="16" t="s">
        <v>206</v>
      </c>
      <c r="C2535" s="143" t="str">
        <f>VLOOKUP(B2535,'Thống kê'!$C$3:$D$970,2,0)</f>
        <v>Pop Bean Baked Bread</v>
      </c>
      <c r="D2535" s="166">
        <f>VLOOKUP(B2535,'Thống kê'!$C$3:$M$970,4,0)</f>
        <v>167000</v>
      </c>
      <c r="E2535" s="167">
        <v>2</v>
      </c>
      <c r="F2535" s="168">
        <f t="shared" si="10"/>
        <v>334000</v>
      </c>
      <c r="G2535" s="75"/>
      <c r="H2535" s="372"/>
    </row>
    <row r="2536" spans="1:8" ht="13.2">
      <c r="A2536" s="49"/>
      <c r="B2536" s="16" t="s">
        <v>1718</v>
      </c>
      <c r="C2536" s="143" t="str">
        <f>VLOOKUP(B2536,'Thống kê'!$C$3:$D$970,2,0)</f>
        <v>Pop Bean Baked Bread</v>
      </c>
      <c r="D2536" s="166">
        <f>VLOOKUP(B2536,'Thống kê'!$C$3:$M$970,4,0)</f>
        <v>167000</v>
      </c>
      <c r="E2536" s="167">
        <v>1</v>
      </c>
      <c r="F2536" s="168">
        <f t="shared" si="10"/>
        <v>167000</v>
      </c>
      <c r="G2536" s="75"/>
      <c r="H2536" s="372"/>
    </row>
    <row r="2537" spans="1:8" ht="13.2">
      <c r="A2537" s="49"/>
      <c r="B2537" s="16" t="s">
        <v>93</v>
      </c>
      <c r="C2537" s="143">
        <f>VLOOKUP(B2537,'Thống kê'!$C$3:$D$970,2,0)</f>
        <v>0</v>
      </c>
      <c r="D2537" s="166">
        <f>VLOOKUP(B2537,'Thống kê'!$C$3:$M$970,4,0)</f>
        <v>0</v>
      </c>
      <c r="E2537" s="167">
        <v>1</v>
      </c>
      <c r="F2537" s="168">
        <f t="shared" si="10"/>
        <v>0</v>
      </c>
      <c r="G2537" s="75"/>
      <c r="H2537" s="175">
        <v>52675</v>
      </c>
    </row>
    <row r="2538" spans="1:8" ht="13.2">
      <c r="A2538" s="49"/>
      <c r="B2538" s="16" t="s">
        <v>142</v>
      </c>
      <c r="C2538" s="143">
        <f>VLOOKUP(B2538,'Thống kê'!$C$3:$D$970,2,0)</f>
        <v>0</v>
      </c>
      <c r="D2538" s="166">
        <f>VLOOKUP(B2538,'Thống kê'!$C$3:$M$970,4,0)</f>
        <v>0</v>
      </c>
      <c r="E2538" s="167">
        <v>1</v>
      </c>
      <c r="F2538" s="168">
        <f t="shared" si="10"/>
        <v>0</v>
      </c>
      <c r="G2538" s="75"/>
      <c r="H2538" s="402">
        <v>412460</v>
      </c>
    </row>
    <row r="2539" spans="1:8" ht="13.2">
      <c r="A2539" s="49"/>
      <c r="B2539" s="16" t="s">
        <v>200</v>
      </c>
      <c r="C2539" s="143">
        <f>VLOOKUP(B2539,'Thống kê'!$C$3:$D$970,2,0)</f>
        <v>0</v>
      </c>
      <c r="D2539" s="166">
        <f>VLOOKUP(B2539,'Thống kê'!$C$3:$M$970,4,0)</f>
        <v>0</v>
      </c>
      <c r="E2539" s="167">
        <v>2</v>
      </c>
      <c r="F2539" s="168">
        <f t="shared" si="10"/>
        <v>0</v>
      </c>
      <c r="G2539" s="75"/>
      <c r="H2539" s="372"/>
    </row>
    <row r="2540" spans="1:8" ht="13.2">
      <c r="A2540" s="49"/>
      <c r="B2540" s="16" t="s">
        <v>191</v>
      </c>
      <c r="C2540" s="143">
        <f>VLOOKUP(B2540,'Thống kê'!$C$3:$D$970,2,0)</f>
        <v>0</v>
      </c>
      <c r="D2540" s="166">
        <f>VLOOKUP(B2540,'Thống kê'!$C$3:$M$970,4,0)</f>
        <v>0</v>
      </c>
      <c r="E2540" s="167">
        <v>1</v>
      </c>
      <c r="F2540" s="168">
        <f t="shared" si="10"/>
        <v>0</v>
      </c>
      <c r="G2540" s="75"/>
      <c r="H2540" s="372"/>
    </row>
    <row r="2541" spans="1:8" ht="13.2">
      <c r="A2541" s="49"/>
      <c r="B2541" s="16" t="s">
        <v>125</v>
      </c>
      <c r="C2541" s="143">
        <f>VLOOKUP(B2541,'Thống kê'!$C$3:$D$970,2,0)</f>
        <v>0</v>
      </c>
      <c r="D2541" s="166">
        <f>VLOOKUP(B2541,'Thống kê'!$C$3:$M$970,4,0)</f>
        <v>0</v>
      </c>
      <c r="E2541" s="167">
        <v>1</v>
      </c>
      <c r="F2541" s="168">
        <f t="shared" si="10"/>
        <v>0</v>
      </c>
      <c r="G2541" s="75"/>
      <c r="H2541" s="372"/>
    </row>
    <row r="2542" spans="1:8" ht="13.2">
      <c r="A2542" s="49"/>
      <c r="B2542" s="16" t="s">
        <v>279</v>
      </c>
      <c r="C2542" s="143">
        <f>VLOOKUP(B2542,'Thống kê'!$C$3:$D$970,2,0)</f>
        <v>0</v>
      </c>
      <c r="D2542" s="166">
        <f>VLOOKUP(B2542,'Thống kê'!$C$3:$M$970,4,0)</f>
        <v>0</v>
      </c>
      <c r="E2542" s="167">
        <v>2</v>
      </c>
      <c r="F2542" s="168">
        <f t="shared" si="10"/>
        <v>0</v>
      </c>
      <c r="G2542" s="75"/>
      <c r="H2542" s="372"/>
    </row>
    <row r="2543" spans="1:8" ht="13.2">
      <c r="A2543" s="49"/>
      <c r="B2543" s="16" t="s">
        <v>171</v>
      </c>
      <c r="C2543" s="143">
        <f>VLOOKUP(B2543,'Thống kê'!$C$3:$D$970,2,0)</f>
        <v>0</v>
      </c>
      <c r="D2543" s="166">
        <f>VLOOKUP(B2543,'Thống kê'!$C$3:$M$970,4,0)</f>
        <v>0</v>
      </c>
      <c r="E2543" s="167">
        <v>1</v>
      </c>
      <c r="F2543" s="168">
        <f t="shared" si="10"/>
        <v>0</v>
      </c>
      <c r="G2543" s="75"/>
      <c r="H2543" s="175">
        <v>66742</v>
      </c>
    </row>
    <row r="2544" spans="1:8" ht="13.2">
      <c r="A2544" s="49"/>
      <c r="B2544" s="16" t="s">
        <v>119</v>
      </c>
      <c r="C2544" s="143" t="str">
        <f>VLOOKUP(B2544,'Thống kê'!$C$3:$D$970,2,0)</f>
        <v>Thỏ chạy xe gắn xe</v>
      </c>
      <c r="D2544" s="166">
        <f>VLOOKUP(B2544,'Thống kê'!$C$3:$M$970,4,0)</f>
        <v>45000</v>
      </c>
      <c r="E2544" s="167">
        <v>1</v>
      </c>
      <c r="F2544" s="168">
        <f t="shared" si="10"/>
        <v>45000</v>
      </c>
      <c r="G2544" s="75"/>
      <c r="H2544" s="175">
        <v>47480</v>
      </c>
    </row>
    <row r="2545" spans="1:8" ht="13.2">
      <c r="A2545" s="49"/>
      <c r="B2545" s="16" t="s">
        <v>323</v>
      </c>
      <c r="C2545" s="143">
        <f>VLOOKUP(B2545,'Thống kê'!$C$3:$D$970,2,0)</f>
        <v>0</v>
      </c>
      <c r="D2545" s="166">
        <f>VLOOKUP(B2545,'Thống kê'!$C$3:$M$970,4,0)</f>
        <v>0</v>
      </c>
      <c r="E2545" s="167">
        <v>1</v>
      </c>
      <c r="F2545" s="168">
        <f t="shared" si="10"/>
        <v>0</v>
      </c>
      <c r="G2545" s="75"/>
      <c r="H2545" s="175">
        <v>55930</v>
      </c>
    </row>
    <row r="2546" spans="1:8" ht="13.2">
      <c r="A2546" s="49"/>
      <c r="B2546" s="16" t="s">
        <v>191</v>
      </c>
      <c r="C2546" s="143">
        <f>VLOOKUP(B2546,'Thống kê'!$C$3:$D$970,2,0)</f>
        <v>0</v>
      </c>
      <c r="D2546" s="166">
        <f>VLOOKUP(B2546,'Thống kê'!$C$3:$M$970,4,0)</f>
        <v>0</v>
      </c>
      <c r="E2546" s="167">
        <v>1</v>
      </c>
      <c r="F2546" s="168">
        <f t="shared" si="10"/>
        <v>0</v>
      </c>
      <c r="G2546" s="75"/>
      <c r="H2546" s="175">
        <v>73006</v>
      </c>
    </row>
    <row r="2547" spans="1:8" ht="13.2">
      <c r="A2547" s="49"/>
      <c r="B2547" s="16" t="s">
        <v>119</v>
      </c>
      <c r="C2547" s="143" t="str">
        <f>VLOOKUP(B2547,'Thống kê'!$C$3:$D$970,2,0)</f>
        <v>Thỏ chạy xe gắn xe</v>
      </c>
      <c r="D2547" s="166">
        <f>VLOOKUP(B2547,'Thống kê'!$C$3:$M$970,4,0)</f>
        <v>45000</v>
      </c>
      <c r="E2547" s="167">
        <v>1</v>
      </c>
      <c r="F2547" s="168">
        <f t="shared" si="10"/>
        <v>45000</v>
      </c>
      <c r="G2547" s="75"/>
      <c r="H2547" s="402">
        <v>103032</v>
      </c>
    </row>
    <row r="2548" spans="1:8" ht="13.2">
      <c r="A2548" s="49"/>
      <c r="B2548" s="16" t="s">
        <v>1701</v>
      </c>
      <c r="C2548" s="143" t="str">
        <f>VLOOKUP(B2548,'Thống kê'!$C$3:$D$970,2,0)</f>
        <v>Đôi cún</v>
      </c>
      <c r="D2548" s="166">
        <f>VLOOKUP(B2548,'Thống kê'!$C$3:$M$970,4,0)</f>
        <v>62000</v>
      </c>
      <c r="E2548" s="167">
        <v>1</v>
      </c>
      <c r="F2548" s="168">
        <f t="shared" si="10"/>
        <v>62000</v>
      </c>
      <c r="G2548" s="75"/>
      <c r="H2548" s="372"/>
    </row>
    <row r="2549" spans="1:8" ht="13.2">
      <c r="A2549" s="49"/>
      <c r="B2549" s="16" t="s">
        <v>1696</v>
      </c>
      <c r="C2549" s="143" t="str">
        <f>VLOOKUP(B2549,'Thống kê'!$C$3:$D$970,2,0)</f>
        <v>gấu</v>
      </c>
      <c r="D2549" s="166">
        <f>VLOOKUP(B2549,'Thống kê'!$C$3:$M$970,4,0)</f>
        <v>35000</v>
      </c>
      <c r="E2549" s="167">
        <v>1</v>
      </c>
      <c r="F2549" s="168">
        <f t="shared" si="10"/>
        <v>35000</v>
      </c>
      <c r="G2549" s="75"/>
      <c r="H2549" s="372"/>
    </row>
    <row r="2550" spans="1:8" ht="13.2">
      <c r="A2550" s="49"/>
      <c r="B2550" s="16" t="s">
        <v>1851</v>
      </c>
      <c r="C2550" s="143" t="str">
        <f>VLOOKUP(B2550,'Thống kê'!$C$3:$D$970,2,0)</f>
        <v>Hộp thuốc cô bé tóc nâu</v>
      </c>
      <c r="D2550" s="166">
        <f>VLOOKUP(B2550,'Thống kê'!$C$3:$M$970,4,0)</f>
        <v>11000</v>
      </c>
      <c r="E2550" s="167">
        <v>1</v>
      </c>
      <c r="F2550" s="168">
        <f t="shared" si="10"/>
        <v>11000</v>
      </c>
      <c r="G2550" s="75"/>
      <c r="H2550" s="402">
        <v>183101</v>
      </c>
    </row>
    <row r="2551" spans="1:8" ht="13.2">
      <c r="A2551" s="49"/>
      <c r="B2551" s="16" t="s">
        <v>1815</v>
      </c>
      <c r="C2551" s="143" t="str">
        <f>VLOOKUP(B2551,'Thống kê'!$C$3:$D$970,2,0)</f>
        <v>Hộp thuốc nơ tím</v>
      </c>
      <c r="D2551" s="166">
        <f>VLOOKUP(B2551,'Thống kê'!$C$3:$M$970,4,0)</f>
        <v>11000</v>
      </c>
      <c r="E2551" s="167">
        <v>1</v>
      </c>
      <c r="F2551" s="168">
        <f t="shared" si="10"/>
        <v>11000</v>
      </c>
      <c r="G2551" s="75"/>
      <c r="H2551" s="372"/>
    </row>
    <row r="2552" spans="1:8" ht="13.2">
      <c r="A2552" s="49"/>
      <c r="B2552" s="16" t="s">
        <v>1844</v>
      </c>
      <c r="C2552" s="143" t="str">
        <f>VLOOKUP(B2552,'Thống kê'!$C$3:$D$970,2,0)</f>
        <v>Hộp thuốc ngôi sao xanh</v>
      </c>
      <c r="D2552" s="166">
        <f>VLOOKUP(B2552,'Thống kê'!$C$3:$M$970,4,0)</f>
        <v>11000</v>
      </c>
      <c r="E2552" s="167">
        <v>1</v>
      </c>
      <c r="F2552" s="168">
        <f t="shared" si="10"/>
        <v>11000</v>
      </c>
      <c r="G2552" s="75"/>
      <c r="H2552" s="372"/>
    </row>
    <row r="2553" spans="1:8" ht="13.2">
      <c r="A2553" s="49"/>
      <c r="B2553" s="16" t="s">
        <v>186</v>
      </c>
      <c r="C2553" s="143" t="str">
        <f>VLOOKUP(B2553,'Thống kê'!$C$3:$D$970,2,0)</f>
        <v>Thỏ ú bay</v>
      </c>
      <c r="D2553" s="166">
        <f>VLOOKUP(B2553,'Thống kê'!$C$3:$M$970,4,0)</f>
        <v>64500</v>
      </c>
      <c r="E2553" s="167">
        <v>1</v>
      </c>
      <c r="F2553" s="168">
        <f t="shared" si="10"/>
        <v>64500</v>
      </c>
      <c r="G2553" s="75"/>
      <c r="H2553" s="372"/>
    </row>
    <row r="2554" spans="1:8" ht="13.2">
      <c r="A2554" s="49"/>
      <c r="B2554" s="16" t="s">
        <v>1384</v>
      </c>
      <c r="C2554" s="143" t="str">
        <f>VLOOKUP(B2554,'Thống kê'!$C$3:$D$970,2,0)</f>
        <v>Móc khoá Crybaby mini Popmart</v>
      </c>
      <c r="D2554" s="166">
        <f>VLOOKUP(B2554,'Thống kê'!$C$3:$M$970,4,0)</f>
        <v>0</v>
      </c>
      <c r="E2554" s="167">
        <v>1</v>
      </c>
      <c r="F2554" s="168">
        <f t="shared" si="10"/>
        <v>0</v>
      </c>
      <c r="G2554" s="75"/>
      <c r="H2554" s="372"/>
    </row>
    <row r="2555" spans="1:8" ht="13.2">
      <c r="A2555" s="64"/>
      <c r="B2555" s="16" t="s">
        <v>1826</v>
      </c>
      <c r="C2555" s="143" t="str">
        <f>VLOOKUP(B2555,'Thống kê'!$C$3:$D$970,2,0)</f>
        <v>Túi đựng đồ trang điểm nhỏ</v>
      </c>
      <c r="D2555" s="166">
        <f>VLOOKUP(B2555,'Thống kê'!$C$3:$M$970,4,0)</f>
        <v>0</v>
      </c>
      <c r="E2555" s="167">
        <v>1</v>
      </c>
      <c r="F2555" s="168">
        <f t="shared" si="10"/>
        <v>0</v>
      </c>
      <c r="G2555" s="75"/>
      <c r="H2555" s="372"/>
    </row>
    <row r="2556" spans="1:8" ht="13.2">
      <c r="A2556" s="49"/>
      <c r="B2556" s="16" t="s">
        <v>1515</v>
      </c>
      <c r="C2556" s="143">
        <f>VLOOKUP(B2556,'Thống kê'!$C$3:$D$970,2,0)</f>
        <v>0</v>
      </c>
      <c r="D2556" s="166">
        <f>VLOOKUP(B2556,'Thống kê'!$C$3:$M$970,4,0)</f>
        <v>0</v>
      </c>
      <c r="E2556" s="167">
        <v>1</v>
      </c>
      <c r="F2556" s="168">
        <f t="shared" si="10"/>
        <v>0</v>
      </c>
      <c r="G2556" s="75"/>
      <c r="H2556" s="402">
        <v>116440</v>
      </c>
    </row>
    <row r="2557" spans="1:8" ht="13.2">
      <c r="A2557" s="49"/>
      <c r="B2557" s="16" t="s">
        <v>93</v>
      </c>
      <c r="C2557" s="143">
        <f>VLOOKUP(B2557,'Thống kê'!$C$3:$D$970,2,0)</f>
        <v>0</v>
      </c>
      <c r="D2557" s="166">
        <f>VLOOKUP(B2557,'Thống kê'!$C$3:$M$970,4,0)</f>
        <v>0</v>
      </c>
      <c r="E2557" s="167">
        <v>1</v>
      </c>
      <c r="F2557" s="168">
        <f t="shared" si="10"/>
        <v>0</v>
      </c>
      <c r="G2557" s="75"/>
      <c r="H2557" s="372"/>
    </row>
    <row r="2558" spans="1:8" ht="13.2">
      <c r="A2558" s="49"/>
      <c r="B2558" s="16" t="s">
        <v>1852</v>
      </c>
      <c r="C2558" s="143" t="str">
        <f>VLOOKUP(B2558,'Thống kê'!$C$3:$D$970,2,0)</f>
        <v>Ống 100 dây cột tóc đen</v>
      </c>
      <c r="D2558" s="166">
        <f>VLOOKUP(B2558,'Thống kê'!$C$3:$M$970,4,0)</f>
        <v>30000</v>
      </c>
      <c r="E2558" s="167">
        <v>2</v>
      </c>
      <c r="F2558" s="168">
        <f t="shared" si="10"/>
        <v>60000</v>
      </c>
      <c r="G2558" s="75"/>
      <c r="H2558" s="402">
        <v>70108</v>
      </c>
    </row>
    <row r="2559" spans="1:8" ht="13.2">
      <c r="A2559" s="49"/>
      <c r="B2559" s="16" t="s">
        <v>1825</v>
      </c>
      <c r="C2559" s="143" t="str">
        <f>VLOOKUP(B2559,'Thống kê'!$C$3:$D$970,2,0)</f>
        <v>Túi Đựng Mắt Kính Da Pu</v>
      </c>
      <c r="D2559" s="166">
        <f>VLOOKUP(B2559,'Thống kê'!$C$3:$M$970,4,0)</f>
        <v>0</v>
      </c>
      <c r="E2559" s="167">
        <v>1</v>
      </c>
      <c r="F2559" s="168">
        <f t="shared" si="10"/>
        <v>0</v>
      </c>
      <c r="G2559" s="75"/>
      <c r="H2559" s="372"/>
    </row>
    <row r="2560" spans="1:8" ht="13.2">
      <c r="A2560" s="49"/>
      <c r="B2560" s="16" t="s">
        <v>1834</v>
      </c>
      <c r="C2560" s="143" t="str">
        <f>VLOOKUP(B2560,'Thống kê'!$C$3:$D$970,2,0)</f>
        <v>Túi Đựng Mắt Kính Da Pu</v>
      </c>
      <c r="D2560" s="166">
        <f>VLOOKUP(B2560,'Thống kê'!$C$3:$M$970,4,0)</f>
        <v>0</v>
      </c>
      <c r="E2560" s="167">
        <v>1</v>
      </c>
      <c r="F2560" s="168">
        <f t="shared" si="10"/>
        <v>0</v>
      </c>
      <c r="G2560" s="75"/>
      <c r="H2560" s="372"/>
    </row>
    <row r="2561" spans="1:8" ht="13.2">
      <c r="A2561" s="49"/>
      <c r="B2561" s="16" t="s">
        <v>1635</v>
      </c>
      <c r="C2561" s="143" t="str">
        <f>VLOOKUP(B2561,'Thống kê'!$C$3:$D$970,2,0)</f>
        <v>Mô hình mèo 4</v>
      </c>
      <c r="D2561" s="166">
        <f>VLOOKUP(B2561,'Thống kê'!$C$3:$M$970,4,0)</f>
        <v>37800</v>
      </c>
      <c r="E2561" s="167">
        <v>1</v>
      </c>
      <c r="F2561" s="168">
        <f t="shared" si="10"/>
        <v>37800</v>
      </c>
      <c r="G2561" s="75"/>
      <c r="H2561" s="175">
        <v>32293</v>
      </c>
    </row>
    <row r="2562" spans="1:8" ht="13.2">
      <c r="A2562" s="49"/>
      <c r="B2562" s="16" t="s">
        <v>183</v>
      </c>
      <c r="C2562" s="143" t="str">
        <f>VLOOKUP(B2562,'Thống kê'!$C$3:$D$970,2,0)</f>
        <v>Thỏ máy bay gắn xe</v>
      </c>
      <c r="D2562" s="166">
        <f>VLOOKUP(B2562,'Thống kê'!$C$3:$M$970,4,0)</f>
        <v>45000</v>
      </c>
      <c r="E2562" s="167">
        <v>1</v>
      </c>
      <c r="F2562" s="168">
        <f t="shared" si="10"/>
        <v>45000</v>
      </c>
      <c r="G2562" s="75"/>
      <c r="H2562" s="175">
        <v>29955</v>
      </c>
    </row>
    <row r="2563" spans="1:8" ht="13.2">
      <c r="A2563" s="49"/>
      <c r="B2563" s="16" t="s">
        <v>133</v>
      </c>
      <c r="C2563" s="143">
        <f>VLOOKUP(B2563,'Thống kê'!$C$3:$D$970,2,0)</f>
        <v>0</v>
      </c>
      <c r="D2563" s="166">
        <f>VLOOKUP(B2563,'Thống kê'!$C$3:$M$970,4,0)</f>
        <v>0</v>
      </c>
      <c r="E2563" s="167">
        <v>1</v>
      </c>
      <c r="F2563" s="168">
        <f t="shared" si="10"/>
        <v>0</v>
      </c>
      <c r="G2563" s="75"/>
      <c r="H2563" s="175">
        <v>100040</v>
      </c>
    </row>
    <row r="2564" spans="1:8" ht="13.2">
      <c r="A2564" s="49"/>
      <c r="B2564" s="16" t="s">
        <v>258</v>
      </c>
      <c r="C2564" s="143" t="str">
        <f>VLOOKUP(B2564,'Thống kê'!$C$3:$D$970,2,0)</f>
        <v>Móc khoá Crybaby mini Popmart</v>
      </c>
      <c r="D2564" s="166">
        <f>VLOOKUP(B2564,'Thống kê'!$C$3:$M$970,4,0)</f>
        <v>0</v>
      </c>
      <c r="E2564" s="167">
        <v>1</v>
      </c>
      <c r="F2564" s="168">
        <f t="shared" si="10"/>
        <v>0</v>
      </c>
      <c r="G2564" s="75"/>
      <c r="H2564" s="402">
        <v>147600</v>
      </c>
    </row>
    <row r="2565" spans="1:8" ht="13.2">
      <c r="A2565" s="49"/>
      <c r="B2565" s="16" t="s">
        <v>196</v>
      </c>
      <c r="C2565" s="143">
        <f>VLOOKUP(B2565,'Thống kê'!$C$3:$D$970,2,0)</f>
        <v>0</v>
      </c>
      <c r="D2565" s="166">
        <f>VLOOKUP(B2565,'Thống kê'!$C$3:$M$970,4,0)</f>
        <v>0</v>
      </c>
      <c r="E2565" s="167">
        <v>1</v>
      </c>
      <c r="F2565" s="168">
        <f t="shared" si="10"/>
        <v>0</v>
      </c>
      <c r="G2565" s="75"/>
      <c r="H2565" s="372"/>
    </row>
    <row r="2566" spans="1:8" ht="13.2">
      <c r="A2566" s="49"/>
      <c r="B2566" s="16" t="s">
        <v>234</v>
      </c>
      <c r="C2566" s="143" t="str">
        <f>VLOOKUP(B2566,'Thống kê'!$C$3:$D$970,2,0)</f>
        <v>Móc khoá skullpanda phiên bản mini</v>
      </c>
      <c r="D2566" s="166">
        <f>VLOOKUP(B2566,'Thống kê'!$C$3:$M$970,4,0)</f>
        <v>98000</v>
      </c>
      <c r="E2566" s="167">
        <v>1</v>
      </c>
      <c r="F2566" s="168">
        <f t="shared" si="10"/>
        <v>98000</v>
      </c>
      <c r="G2566" s="75"/>
      <c r="H2566" s="402">
        <v>108841</v>
      </c>
    </row>
    <row r="2567" spans="1:8" ht="13.2">
      <c r="A2567" s="49"/>
      <c r="B2567" s="16" t="s">
        <v>1486</v>
      </c>
      <c r="C2567" s="143" t="str">
        <f>VLOOKUP(B2567,'Thống kê'!$C$3:$D$970,2,0)</f>
        <v>Móc khoá Dudu nhiều màu sắc treo túi, đeo điện thoại</v>
      </c>
      <c r="D2567" s="166">
        <f>VLOOKUP(B2567,'Thống kê'!$C$3:$M$970,4,0)</f>
        <v>45000</v>
      </c>
      <c r="E2567" s="167">
        <v>1</v>
      </c>
      <c r="F2567" s="168">
        <f t="shared" si="10"/>
        <v>45000</v>
      </c>
      <c r="G2567" s="75"/>
      <c r="H2567" s="372"/>
    </row>
    <row r="2568" spans="1:8" ht="13.2">
      <c r="A2568" s="49"/>
      <c r="B2568" s="16" t="s">
        <v>234</v>
      </c>
      <c r="C2568" s="143" t="str">
        <f>VLOOKUP(B2568,'Thống kê'!$C$3:$D$970,2,0)</f>
        <v>Móc khoá skullpanda phiên bản mini</v>
      </c>
      <c r="D2568" s="166">
        <f>VLOOKUP(B2568,'Thống kê'!$C$3:$M$970,4,0)</f>
        <v>98000</v>
      </c>
      <c r="E2568" s="167">
        <v>1</v>
      </c>
      <c r="F2568" s="168">
        <f t="shared" si="10"/>
        <v>98000</v>
      </c>
      <c r="G2568" s="75"/>
      <c r="H2568" s="402">
        <v>156330</v>
      </c>
    </row>
    <row r="2569" spans="1:8" ht="13.2">
      <c r="A2569" s="49"/>
      <c r="B2569" s="16" t="s">
        <v>1522</v>
      </c>
      <c r="C2569" s="143">
        <f>VLOOKUP(B2569,'Thống kê'!$C$3:$D$970,2,0)</f>
        <v>0</v>
      </c>
      <c r="D2569" s="166">
        <f>VLOOKUP(B2569,'Thống kê'!$C$3:$M$970,4,0)</f>
        <v>0</v>
      </c>
      <c r="E2569" s="167">
        <v>1</v>
      </c>
      <c r="F2569" s="168">
        <f t="shared" si="10"/>
        <v>0</v>
      </c>
      <c r="G2569" s="75"/>
      <c r="H2569" s="372"/>
    </row>
    <row r="2570" spans="1:8" ht="13.2">
      <c r="A2570" s="49"/>
      <c r="B2570" s="16" t="s">
        <v>1523</v>
      </c>
      <c r="C2570" s="143">
        <f>VLOOKUP(B2570,'Thống kê'!$C$3:$D$970,2,0)</f>
        <v>0</v>
      </c>
      <c r="D2570" s="166">
        <f>VLOOKUP(B2570,'Thống kê'!$C$3:$M$970,4,0)</f>
        <v>0</v>
      </c>
      <c r="E2570" s="167">
        <v>1</v>
      </c>
      <c r="F2570" s="168">
        <f t="shared" si="10"/>
        <v>0</v>
      </c>
      <c r="G2570" s="75"/>
      <c r="H2570" s="402">
        <v>175775</v>
      </c>
    </row>
    <row r="2571" spans="1:8" ht="13.2">
      <c r="A2571" s="49"/>
      <c r="B2571" s="16" t="s">
        <v>1387</v>
      </c>
      <c r="C2571" s="143" t="str">
        <f>VLOOKUP(B2571,'Thống kê'!$C$3:$D$970,2,0)</f>
        <v>Móc khoá Crybaby mini Popmart</v>
      </c>
      <c r="D2571" s="166">
        <f>VLOOKUP(B2571,'Thống kê'!$C$3:$M$970,4,0)</f>
        <v>0</v>
      </c>
      <c r="E2571" s="167">
        <v>1</v>
      </c>
      <c r="F2571" s="168">
        <f t="shared" si="10"/>
        <v>0</v>
      </c>
      <c r="G2571" s="75"/>
      <c r="H2571" s="372"/>
    </row>
    <row r="2572" spans="1:8" ht="13.2">
      <c r="A2572" s="64"/>
      <c r="B2572" s="16" t="s">
        <v>1472</v>
      </c>
      <c r="C2572" s="143">
        <f>VLOOKUP(B2572,'Thống kê'!$C$3:$D$970,2,0)</f>
        <v>0</v>
      </c>
      <c r="D2572" s="166">
        <f>VLOOKUP(B2572,'Thống kê'!$C$3:$M$970,4,0)</f>
        <v>0</v>
      </c>
      <c r="E2572" s="167">
        <v>1</v>
      </c>
      <c r="F2572" s="168">
        <f t="shared" si="10"/>
        <v>0</v>
      </c>
      <c r="G2572" s="75"/>
      <c r="H2572" s="175">
        <v>140495</v>
      </c>
    </row>
    <row r="2573" spans="1:8" ht="13.2">
      <c r="A2573" s="49"/>
      <c r="B2573" s="16" t="s">
        <v>1522</v>
      </c>
      <c r="C2573" s="143">
        <f>VLOOKUP(B2573,'Thống kê'!$C$3:$D$970,2,0)</f>
        <v>0</v>
      </c>
      <c r="D2573" s="166">
        <f>VLOOKUP(B2573,'Thống kê'!$C$3:$M$970,4,0)</f>
        <v>0</v>
      </c>
      <c r="E2573" s="167">
        <v>-1</v>
      </c>
      <c r="F2573" s="168">
        <f t="shared" si="10"/>
        <v>0</v>
      </c>
      <c r="G2573" s="75"/>
      <c r="H2573" s="175">
        <v>-50150</v>
      </c>
    </row>
    <row r="2574" spans="1:8" ht="13.2">
      <c r="A2574" s="49"/>
      <c r="B2574" s="16" t="s">
        <v>1446</v>
      </c>
      <c r="C2574" s="143" t="str">
        <f>VLOOKUP(B2574,'Thống kê'!$C$3:$D$970,2,0)</f>
        <v>túi mù mô hình</v>
      </c>
      <c r="D2574" s="166">
        <f>VLOOKUP(B2574,'Thống kê'!$C$3:$M$970,4,0)</f>
        <v>0</v>
      </c>
      <c r="E2574" s="167">
        <v>-3</v>
      </c>
      <c r="F2574" s="168">
        <f t="shared" si="10"/>
        <v>0</v>
      </c>
      <c r="G2574" s="75"/>
      <c r="H2574" s="175">
        <v>-116840</v>
      </c>
    </row>
    <row r="2575" spans="1:8" ht="13.2">
      <c r="A2575" s="49"/>
      <c r="B2575" s="16" t="s">
        <v>189</v>
      </c>
      <c r="C2575" s="143" t="str">
        <f>VLOOKUP(B2575,'Thống kê'!$C$3:$D$970,2,0)</f>
        <v>Gấu nâu gắn xe</v>
      </c>
      <c r="D2575" s="166">
        <f>VLOOKUP(B2575,'Thống kê'!$C$3:$M$970,4,0)</f>
        <v>45000</v>
      </c>
      <c r="E2575" s="167">
        <v>1</v>
      </c>
      <c r="F2575" s="168">
        <f t="shared" si="10"/>
        <v>45000</v>
      </c>
      <c r="G2575" s="75"/>
      <c r="H2575" s="175">
        <v>30380</v>
      </c>
    </row>
    <row r="2576" spans="1:8" ht="13.2">
      <c r="A2576" s="49"/>
      <c r="B2576" s="16" t="s">
        <v>206</v>
      </c>
      <c r="C2576" s="143" t="str">
        <f>VLOOKUP(B2576,'Thống kê'!$C$3:$D$970,2,0)</f>
        <v>Pop Bean Baked Bread</v>
      </c>
      <c r="D2576" s="166">
        <f>VLOOKUP(B2576,'Thống kê'!$C$3:$M$970,4,0)</f>
        <v>167000</v>
      </c>
      <c r="E2576" s="167">
        <v>1</v>
      </c>
      <c r="F2576" s="168">
        <f t="shared" si="10"/>
        <v>167000</v>
      </c>
      <c r="G2576" s="75"/>
      <c r="H2576" s="175">
        <v>128675</v>
      </c>
    </row>
    <row r="2577" spans="1:8" ht="13.2">
      <c r="A2577" s="49"/>
      <c r="B2577" s="16" t="s">
        <v>1571</v>
      </c>
      <c r="C2577" s="143">
        <f>VLOOKUP(B2577,'Thống kê'!$C$3:$D$970,2,0)</f>
        <v>0</v>
      </c>
      <c r="D2577" s="166">
        <f>VLOOKUP(B2577,'Thống kê'!$C$3:$M$970,4,0)</f>
        <v>0</v>
      </c>
      <c r="E2577" s="167">
        <v>1</v>
      </c>
      <c r="F2577" s="168">
        <f t="shared" si="10"/>
        <v>0</v>
      </c>
      <c r="G2577" s="75"/>
      <c r="H2577" s="175">
        <v>80830</v>
      </c>
    </row>
    <row r="2578" spans="1:8" ht="13.2">
      <c r="A2578" s="49"/>
      <c r="B2578" s="16" t="s">
        <v>264</v>
      </c>
      <c r="C2578" s="143">
        <f>VLOOKUP(B2578,'Thống kê'!$C$3:$D$970,2,0)</f>
        <v>0</v>
      </c>
      <c r="D2578" s="166">
        <f>VLOOKUP(B2578,'Thống kê'!$C$3:$M$970,4,0)</f>
        <v>0</v>
      </c>
      <c r="E2578" s="167">
        <v>1</v>
      </c>
      <c r="F2578" s="168">
        <f t="shared" si="10"/>
        <v>0</v>
      </c>
      <c r="G2578" s="75"/>
      <c r="H2578" s="175">
        <v>66742</v>
      </c>
    </row>
    <row r="2579" spans="1:8" ht="13.2">
      <c r="A2579" s="49"/>
      <c r="B2579" s="16" t="s">
        <v>1353</v>
      </c>
      <c r="C2579" s="143" t="str">
        <f>VLOOKUP(B2579,'Thống kê'!$C$3:$D$970,2,0)</f>
        <v>Trang trí mô hình Vịt</v>
      </c>
      <c r="D2579" s="166">
        <f>VLOOKUP(B2579,'Thống kê'!$C$3:$M$970,4,0)</f>
        <v>39000</v>
      </c>
      <c r="E2579" s="167">
        <v>1</v>
      </c>
      <c r="F2579" s="168">
        <f t="shared" si="10"/>
        <v>39000</v>
      </c>
      <c r="G2579" s="75"/>
      <c r="H2579" s="402">
        <v>463166</v>
      </c>
    </row>
    <row r="2580" spans="1:8" ht="13.2">
      <c r="A2580" s="49"/>
      <c r="B2580" s="16" t="s">
        <v>201</v>
      </c>
      <c r="C2580" s="143">
        <f>VLOOKUP(B2580,'Thống kê'!$C$3:$D$970,2,0)</f>
        <v>0</v>
      </c>
      <c r="D2580" s="166">
        <f>VLOOKUP(B2580,'Thống kê'!$C$3:$M$970,4,0)</f>
        <v>0</v>
      </c>
      <c r="E2580" s="167">
        <v>1</v>
      </c>
      <c r="F2580" s="168">
        <f t="shared" si="10"/>
        <v>0</v>
      </c>
      <c r="G2580" s="75"/>
      <c r="H2580" s="372"/>
    </row>
    <row r="2581" spans="1:8" ht="13.2">
      <c r="A2581" s="49"/>
      <c r="B2581" s="16" t="s">
        <v>234</v>
      </c>
      <c r="C2581" s="143" t="str">
        <f>VLOOKUP(B2581,'Thống kê'!$C$3:$D$970,2,0)</f>
        <v>Móc khoá skullpanda phiên bản mini</v>
      </c>
      <c r="D2581" s="166">
        <f>VLOOKUP(B2581,'Thống kê'!$C$3:$M$970,4,0)</f>
        <v>98000</v>
      </c>
      <c r="E2581" s="167">
        <v>1</v>
      </c>
      <c r="F2581" s="168">
        <f t="shared" si="10"/>
        <v>98000</v>
      </c>
      <c r="G2581" s="75"/>
      <c r="H2581" s="372"/>
    </row>
    <row r="2582" spans="1:8" ht="13.2">
      <c r="A2582" s="49"/>
      <c r="B2582" s="16" t="s">
        <v>126</v>
      </c>
      <c r="C2582" s="143">
        <f>VLOOKUP(B2582,'Thống kê'!$C$3:$D$970,2,0)</f>
        <v>0</v>
      </c>
      <c r="D2582" s="166">
        <f>VLOOKUP(B2582,'Thống kê'!$C$3:$M$970,4,0)</f>
        <v>0</v>
      </c>
      <c r="E2582" s="167">
        <v>2</v>
      </c>
      <c r="F2582" s="168">
        <f t="shared" si="10"/>
        <v>0</v>
      </c>
      <c r="G2582" s="75"/>
      <c r="H2582" s="372"/>
    </row>
    <row r="2583" spans="1:8" ht="13.2">
      <c r="A2583" s="49"/>
      <c r="B2583" s="16" t="s">
        <v>1853</v>
      </c>
      <c r="C2583" s="143" t="str">
        <f>VLOOKUP(B2583,'Thống kê'!$C$3:$D$970,2,0)</f>
        <v>Túi Đựng Mắt Kính Da Pu</v>
      </c>
      <c r="D2583" s="166">
        <f>VLOOKUP(B2583,'Thống kê'!$C$3:$M$970,4,0)</f>
        <v>0</v>
      </c>
      <c r="E2583" s="167">
        <v>1</v>
      </c>
      <c r="F2583" s="168">
        <f t="shared" si="10"/>
        <v>0</v>
      </c>
      <c r="G2583" s="75"/>
      <c r="H2583" s="372"/>
    </row>
    <row r="2584" spans="1:8" ht="13.2">
      <c r="A2584" s="49"/>
      <c r="B2584" s="16" t="s">
        <v>1526</v>
      </c>
      <c r="C2584" s="143">
        <f>VLOOKUP(B2584,'Thống kê'!$C$3:$D$970,2,0)</f>
        <v>0</v>
      </c>
      <c r="D2584" s="166">
        <f>VLOOKUP(B2584,'Thống kê'!$C$3:$M$970,4,0)</f>
        <v>0</v>
      </c>
      <c r="E2584" s="167">
        <v>1</v>
      </c>
      <c r="F2584" s="168">
        <f t="shared" si="10"/>
        <v>0</v>
      </c>
      <c r="G2584" s="75"/>
      <c r="H2584" s="372"/>
    </row>
    <row r="2585" spans="1:8" ht="13.2">
      <c r="A2585" s="49"/>
      <c r="B2585" s="16" t="s">
        <v>126</v>
      </c>
      <c r="C2585" s="143">
        <f>VLOOKUP(B2585,'Thống kê'!$C$3:$D$970,2,0)</f>
        <v>0</v>
      </c>
      <c r="D2585" s="166">
        <f>VLOOKUP(B2585,'Thống kê'!$C$3:$M$970,4,0)</f>
        <v>0</v>
      </c>
      <c r="E2585" s="167">
        <v>1</v>
      </c>
      <c r="F2585" s="168">
        <f t="shared" si="10"/>
        <v>0</v>
      </c>
      <c r="G2585" s="75"/>
      <c r="H2585" s="175">
        <v>67142</v>
      </c>
    </row>
    <row r="2586" spans="1:8" ht="13.2">
      <c r="A2586" s="49"/>
      <c r="B2586" s="16" t="s">
        <v>252</v>
      </c>
      <c r="C2586" s="143">
        <f>VLOOKUP(B2586,'Thống kê'!$C$3:$D$970,2,0)</f>
        <v>0</v>
      </c>
      <c r="D2586" s="166">
        <f>VLOOKUP(B2586,'Thống kê'!$C$3:$M$970,4,0)</f>
        <v>0</v>
      </c>
      <c r="E2586" s="167">
        <v>1</v>
      </c>
      <c r="F2586" s="168">
        <f t="shared" si="10"/>
        <v>0</v>
      </c>
      <c r="G2586" s="75"/>
      <c r="H2586" s="175">
        <v>118690</v>
      </c>
    </row>
    <row r="2587" spans="1:8" ht="13.2">
      <c r="A2587" s="49"/>
      <c r="B2587" s="16" t="s">
        <v>150</v>
      </c>
      <c r="C2587" s="143" t="str">
        <f>VLOOKUP(B2587,'Thống kê'!$C$3:$D$970,2,0)</f>
        <v>Móc khóa có chuông</v>
      </c>
      <c r="D2587" s="166">
        <f>VLOOKUP(B2587,'Thống kê'!$C$3:$M$970,4,0)</f>
        <v>59000</v>
      </c>
      <c r="E2587" s="167">
        <v>1</v>
      </c>
      <c r="F2587" s="168">
        <f t="shared" si="10"/>
        <v>59000</v>
      </c>
      <c r="G2587" s="75"/>
      <c r="H2587" s="175">
        <v>55980</v>
      </c>
    </row>
    <row r="2588" spans="1:8" ht="13.2">
      <c r="A2588" s="49"/>
      <c r="B2588" s="16" t="s">
        <v>1387</v>
      </c>
      <c r="C2588" s="143" t="str">
        <f>VLOOKUP(B2588,'Thống kê'!$C$3:$D$970,2,0)</f>
        <v>Móc khoá Crybaby mini Popmart</v>
      </c>
      <c r="D2588" s="166">
        <f>VLOOKUP(B2588,'Thống kê'!$C$3:$M$970,4,0)</f>
        <v>0</v>
      </c>
      <c r="E2588" s="167">
        <v>1</v>
      </c>
      <c r="F2588" s="168">
        <f t="shared" si="10"/>
        <v>0</v>
      </c>
      <c r="G2588" s="75"/>
      <c r="H2588" s="402">
        <v>155406</v>
      </c>
    </row>
    <row r="2589" spans="1:8" ht="13.2">
      <c r="A2589" s="49"/>
      <c r="B2589" s="16" t="s">
        <v>1384</v>
      </c>
      <c r="C2589" s="143" t="str">
        <f>VLOOKUP(B2589,'Thống kê'!$C$3:$D$970,2,0)</f>
        <v>Móc khoá Crybaby mini Popmart</v>
      </c>
      <c r="D2589" s="166">
        <f>VLOOKUP(B2589,'Thống kê'!$C$3:$M$970,4,0)</f>
        <v>0</v>
      </c>
      <c r="E2589" s="167">
        <v>1</v>
      </c>
      <c r="F2589" s="168">
        <f t="shared" si="10"/>
        <v>0</v>
      </c>
      <c r="G2589" s="75"/>
      <c r="H2589" s="372"/>
    </row>
    <row r="2590" spans="1:8" ht="13.2">
      <c r="A2590" s="49"/>
      <c r="B2590" s="16" t="s">
        <v>159</v>
      </c>
      <c r="C2590" s="143">
        <f>VLOOKUP(B2590,'Thống kê'!$C$3:$D$970,2,0)</f>
        <v>0</v>
      </c>
      <c r="D2590" s="166">
        <f>VLOOKUP(B2590,'Thống kê'!$C$3:$M$970,4,0)</f>
        <v>0</v>
      </c>
      <c r="E2590" s="167">
        <v>1</v>
      </c>
      <c r="F2590" s="168">
        <f t="shared" si="10"/>
        <v>0</v>
      </c>
      <c r="G2590" s="75"/>
      <c r="H2590" s="176">
        <v>71668</v>
      </c>
    </row>
    <row r="2591" spans="1:8" ht="13.2">
      <c r="A2591" s="49"/>
      <c r="B2591" s="16" t="s">
        <v>242</v>
      </c>
      <c r="C2591" s="143">
        <f>VLOOKUP(B2591,'Thống kê'!$C$3:$D$970,2,0)</f>
        <v>0</v>
      </c>
      <c r="D2591" s="166">
        <f>VLOOKUP(B2591,'Thống kê'!$C$3:$M$970,4,0)</f>
        <v>0</v>
      </c>
      <c r="E2591" s="167">
        <v>1</v>
      </c>
      <c r="F2591" s="168">
        <f t="shared" si="10"/>
        <v>0</v>
      </c>
      <c r="G2591" s="75"/>
      <c r="H2591" s="177">
        <v>408059</v>
      </c>
    </row>
    <row r="2592" spans="1:8" ht="13.2">
      <c r="A2592" s="64"/>
      <c r="B2592" s="16" t="s">
        <v>248</v>
      </c>
      <c r="C2592" s="143">
        <f>VLOOKUP(B2592,'Thống kê'!$C$3:$D$970,2,0)</f>
        <v>0</v>
      </c>
      <c r="D2592" s="166">
        <f>VLOOKUP(B2592,'Thống kê'!$C$3:$M$970,4,0)</f>
        <v>0</v>
      </c>
      <c r="E2592" s="167">
        <v>1</v>
      </c>
      <c r="F2592" s="168">
        <f t="shared" si="10"/>
        <v>0</v>
      </c>
      <c r="G2592" s="75"/>
      <c r="H2592" s="403"/>
    </row>
    <row r="2593" spans="1:8" ht="13.2">
      <c r="A2593" s="49"/>
      <c r="B2593" s="16" t="s">
        <v>252</v>
      </c>
      <c r="C2593" s="143">
        <f>VLOOKUP(B2593,'Thống kê'!$C$3:$D$970,2,0)</f>
        <v>0</v>
      </c>
      <c r="D2593" s="166">
        <f>VLOOKUP(B2593,'Thống kê'!$C$3:$M$970,4,0)</f>
        <v>0</v>
      </c>
      <c r="E2593" s="167">
        <v>1</v>
      </c>
      <c r="F2593" s="168">
        <f t="shared" si="10"/>
        <v>0</v>
      </c>
      <c r="G2593" s="75"/>
      <c r="H2593" s="372"/>
    </row>
    <row r="2594" spans="1:8" ht="13.2">
      <c r="A2594" s="64">
        <v>45766</v>
      </c>
      <c r="B2594" s="16" t="s">
        <v>242</v>
      </c>
      <c r="C2594" s="143">
        <f>VLOOKUP(B2594,'Thống kê'!$C$3:$D$970,2,0)</f>
        <v>0</v>
      </c>
      <c r="D2594" s="166">
        <f>VLOOKUP(B2594,'Thống kê'!$C$3:$M$970,4,0)</f>
        <v>0</v>
      </c>
      <c r="E2594" s="167">
        <v>1</v>
      </c>
      <c r="F2594" s="168">
        <f t="shared" si="10"/>
        <v>0</v>
      </c>
      <c r="G2594" s="75"/>
      <c r="H2594" s="373"/>
    </row>
    <row r="2595" spans="1:8" ht="13.2">
      <c r="A2595" s="49"/>
      <c r="B2595" s="16" t="s">
        <v>126</v>
      </c>
      <c r="C2595" s="143">
        <f>VLOOKUP(B2595,'Thống kê'!$C$3:$D$970,2,0)</f>
        <v>0</v>
      </c>
      <c r="D2595" s="166">
        <f>VLOOKUP(B2595,'Thống kê'!$C$3:$M$970,4,0)</f>
        <v>0</v>
      </c>
      <c r="E2595" s="167">
        <v>1</v>
      </c>
      <c r="F2595" s="168">
        <f t="shared" si="10"/>
        <v>0</v>
      </c>
      <c r="G2595" s="75"/>
      <c r="H2595" s="178">
        <v>67142</v>
      </c>
    </row>
    <row r="2596" spans="1:8" ht="13.2">
      <c r="A2596" s="49"/>
      <c r="B2596" s="16" t="s">
        <v>159</v>
      </c>
      <c r="C2596" s="143">
        <f>VLOOKUP(B2596,'Thống kê'!$C$3:$D$970,2,0)</f>
        <v>0</v>
      </c>
      <c r="D2596" s="166">
        <f>VLOOKUP(B2596,'Thống kê'!$C$3:$M$970,4,0)</f>
        <v>0</v>
      </c>
      <c r="E2596" s="167">
        <v>1</v>
      </c>
      <c r="F2596" s="168">
        <f t="shared" si="10"/>
        <v>0</v>
      </c>
      <c r="G2596" s="75"/>
      <c r="H2596" s="176">
        <v>112050</v>
      </c>
    </row>
    <row r="2597" spans="1:8" ht="13.2">
      <c r="A2597" s="49"/>
      <c r="B2597" s="16" t="s">
        <v>171</v>
      </c>
      <c r="C2597" s="143">
        <f>VLOOKUP(B2597,'Thống kê'!$C$3:$D$970,2,0)</f>
        <v>0</v>
      </c>
      <c r="D2597" s="166">
        <f>VLOOKUP(B2597,'Thống kê'!$C$3:$M$970,4,0)</f>
        <v>0</v>
      </c>
      <c r="E2597" s="167">
        <v>-1</v>
      </c>
      <c r="F2597" s="168">
        <f t="shared" si="10"/>
        <v>0</v>
      </c>
      <c r="G2597" s="75"/>
      <c r="H2597" s="177">
        <v>-32700</v>
      </c>
    </row>
    <row r="2598" spans="1:8" ht="13.2">
      <c r="A2598" s="49"/>
      <c r="B2598" s="16" t="s">
        <v>1387</v>
      </c>
      <c r="C2598" s="143" t="str">
        <f>VLOOKUP(B2598,'Thống kê'!$C$3:$D$970,2,0)</f>
        <v>Móc khoá Crybaby mini Popmart</v>
      </c>
      <c r="D2598" s="166">
        <f>VLOOKUP(B2598,'Thống kê'!$C$3:$M$970,4,0)</f>
        <v>0</v>
      </c>
      <c r="E2598" s="167">
        <v>-1</v>
      </c>
      <c r="F2598" s="168">
        <f t="shared" si="10"/>
        <v>0</v>
      </c>
      <c r="G2598" s="75"/>
      <c r="H2598" s="403">
        <v>-177520</v>
      </c>
    </row>
    <row r="2599" spans="1:8" ht="13.2">
      <c r="A2599" s="49"/>
      <c r="B2599" s="16" t="s">
        <v>1384</v>
      </c>
      <c r="C2599" s="143" t="str">
        <f>VLOOKUP(B2599,'Thống kê'!$C$3:$D$970,2,0)</f>
        <v>Móc khoá Crybaby mini Popmart</v>
      </c>
      <c r="D2599" s="166">
        <f>VLOOKUP(B2599,'Thống kê'!$C$3:$M$970,4,0)</f>
        <v>0</v>
      </c>
      <c r="E2599" s="167">
        <v>-1</v>
      </c>
      <c r="F2599" s="168">
        <f t="shared" si="10"/>
        <v>0</v>
      </c>
      <c r="G2599" s="75"/>
      <c r="H2599" s="373"/>
    </row>
    <row r="2600" spans="1:8" ht="13.2">
      <c r="A2600" s="49"/>
      <c r="B2600" s="16" t="s">
        <v>77</v>
      </c>
      <c r="C2600" s="143">
        <f>VLOOKUP(B2600,'Thống kê'!$C$3:$D$970,2,0)</f>
        <v>0</v>
      </c>
      <c r="D2600" s="166">
        <f>VLOOKUP(B2600,'Thống kê'!$C$3:$M$970,4,0)</f>
        <v>0</v>
      </c>
      <c r="E2600" s="167">
        <v>1</v>
      </c>
      <c r="F2600" s="168">
        <f t="shared" si="10"/>
        <v>0</v>
      </c>
      <c r="G2600" s="75"/>
      <c r="H2600" s="403">
        <v>252724</v>
      </c>
    </row>
    <row r="2601" spans="1:8" ht="13.2">
      <c r="A2601" s="49"/>
      <c r="B2601" s="16" t="s">
        <v>196</v>
      </c>
      <c r="C2601" s="143">
        <f>VLOOKUP(B2601,'Thống kê'!$C$3:$D$970,2,0)</f>
        <v>0</v>
      </c>
      <c r="D2601" s="166">
        <f>VLOOKUP(B2601,'Thống kê'!$C$3:$M$970,4,0)</f>
        <v>0</v>
      </c>
      <c r="E2601" s="167">
        <v>1</v>
      </c>
      <c r="F2601" s="168">
        <f t="shared" si="10"/>
        <v>0</v>
      </c>
      <c r="G2601" s="75"/>
      <c r="H2601" s="372"/>
    </row>
    <row r="2602" spans="1:8" ht="13.2">
      <c r="A2602" s="49"/>
      <c r="B2602" s="16" t="s">
        <v>133</v>
      </c>
      <c r="C2602" s="143">
        <f>VLOOKUP(B2602,'Thống kê'!$C$3:$D$970,2,0)</f>
        <v>0</v>
      </c>
      <c r="D2602" s="166">
        <f>VLOOKUP(B2602,'Thống kê'!$C$3:$M$970,4,0)</f>
        <v>0</v>
      </c>
      <c r="E2602" s="167">
        <v>1</v>
      </c>
      <c r="F2602" s="168">
        <f t="shared" si="10"/>
        <v>0</v>
      </c>
      <c r="G2602" s="75"/>
      <c r="H2602" s="372"/>
    </row>
    <row r="2603" spans="1:8" ht="13.2">
      <c r="A2603" s="49"/>
      <c r="B2603" s="16" t="s">
        <v>84</v>
      </c>
      <c r="C2603" s="143">
        <f>VLOOKUP(B2603,'Thống kê'!$C$3:$D$970,2,0)</f>
        <v>0</v>
      </c>
      <c r="D2603" s="166">
        <f>VLOOKUP(B2603,'Thống kê'!$C$3:$M$970,4,0)</f>
        <v>0</v>
      </c>
      <c r="E2603" s="167">
        <v>1</v>
      </c>
      <c r="F2603" s="168">
        <f t="shared" si="10"/>
        <v>0</v>
      </c>
      <c r="G2603" s="75"/>
      <c r="H2603" s="372"/>
    </row>
    <row r="2604" spans="1:8" ht="13.2">
      <c r="A2604" s="49"/>
      <c r="B2604" s="16" t="s">
        <v>323</v>
      </c>
      <c r="C2604" s="143">
        <f>VLOOKUP(B2604,'Thống kê'!$C$3:$D$970,2,0)</f>
        <v>0</v>
      </c>
      <c r="D2604" s="166">
        <f>VLOOKUP(B2604,'Thống kê'!$C$3:$M$970,4,0)</f>
        <v>0</v>
      </c>
      <c r="E2604" s="167">
        <v>1</v>
      </c>
      <c r="F2604" s="168">
        <f t="shared" si="10"/>
        <v>0</v>
      </c>
      <c r="G2604" s="75"/>
      <c r="H2604" s="373"/>
    </row>
    <row r="2605" spans="1:8" ht="13.2">
      <c r="A2605" s="49"/>
      <c r="B2605" s="16" t="s">
        <v>200</v>
      </c>
      <c r="C2605" s="143">
        <f>VLOOKUP(B2605,'Thống kê'!$C$3:$D$970,2,0)</f>
        <v>0</v>
      </c>
      <c r="D2605" s="166">
        <f>VLOOKUP(B2605,'Thống kê'!$C$3:$M$970,4,0)</f>
        <v>0</v>
      </c>
      <c r="E2605" s="167">
        <v>1</v>
      </c>
      <c r="F2605" s="168">
        <f t="shared" ref="F2605:F2859" si="11">D2605*E2605</f>
        <v>0</v>
      </c>
      <c r="G2605" s="75"/>
      <c r="H2605" s="402">
        <v>139400</v>
      </c>
    </row>
    <row r="2606" spans="1:8" ht="13.2">
      <c r="A2606" s="49"/>
      <c r="B2606" s="16" t="s">
        <v>191</v>
      </c>
      <c r="C2606" s="143">
        <f>VLOOKUP(B2606,'Thống kê'!$C$3:$D$970,2,0)</f>
        <v>0</v>
      </c>
      <c r="D2606" s="166">
        <f>VLOOKUP(B2606,'Thống kê'!$C$3:$M$970,4,0)</f>
        <v>0</v>
      </c>
      <c r="E2606" s="167">
        <v>1</v>
      </c>
      <c r="F2606" s="168">
        <f t="shared" si="11"/>
        <v>0</v>
      </c>
      <c r="G2606" s="75"/>
      <c r="H2606" s="373"/>
    </row>
    <row r="2607" spans="1:8" ht="13.2">
      <c r="A2607" s="49"/>
      <c r="B2607" s="16" t="s">
        <v>1384</v>
      </c>
      <c r="C2607" s="143" t="str">
        <f>VLOOKUP(B2607,'Thống kê'!$C$3:$D$970,2,0)</f>
        <v>Móc khoá Crybaby mini Popmart</v>
      </c>
      <c r="D2607" s="166">
        <f>VLOOKUP(B2607,'Thống kê'!$C$3:$M$970,4,0)</f>
        <v>0</v>
      </c>
      <c r="E2607" s="167">
        <v>1</v>
      </c>
      <c r="F2607" s="168">
        <f t="shared" si="11"/>
        <v>0</v>
      </c>
      <c r="G2607" s="75"/>
      <c r="H2607" s="177">
        <v>77250</v>
      </c>
    </row>
    <row r="2608" spans="1:8" ht="13.2">
      <c r="A2608" s="49"/>
      <c r="B2608" s="16" t="s">
        <v>180</v>
      </c>
      <c r="C2608" s="143">
        <f>VLOOKUP(B2608,'Thống kê'!$C$3:$D$970,2,0)</f>
        <v>0</v>
      </c>
      <c r="D2608" s="166">
        <f>VLOOKUP(B2608,'Thống kê'!$C$3:$M$970,4,0)</f>
        <v>0</v>
      </c>
      <c r="E2608" s="167">
        <v>1</v>
      </c>
      <c r="F2608" s="168">
        <f t="shared" si="11"/>
        <v>0</v>
      </c>
      <c r="G2608" s="75"/>
      <c r="H2608" s="403">
        <v>176884</v>
      </c>
    </row>
    <row r="2609" spans="1:8" ht="13.2">
      <c r="A2609" s="49"/>
      <c r="B2609" s="16" t="s">
        <v>196</v>
      </c>
      <c r="C2609" s="143">
        <f>VLOOKUP(B2609,'Thống kê'!$C$3:$D$970,2,0)</f>
        <v>0</v>
      </c>
      <c r="D2609" s="166">
        <f>VLOOKUP(B2609,'Thống kê'!$C$3:$M$970,4,0)</f>
        <v>0</v>
      </c>
      <c r="E2609" s="167">
        <v>1</v>
      </c>
      <c r="F2609" s="168">
        <f t="shared" si="11"/>
        <v>0</v>
      </c>
      <c r="G2609" s="75"/>
      <c r="H2609" s="372"/>
    </row>
    <row r="2610" spans="1:8" ht="13.2">
      <c r="A2610" s="49"/>
      <c r="B2610" s="16" t="s">
        <v>93</v>
      </c>
      <c r="C2610" s="143">
        <f>VLOOKUP(B2610,'Thống kê'!$C$3:$D$970,2,0)</f>
        <v>0</v>
      </c>
      <c r="D2610" s="166">
        <f>VLOOKUP(B2610,'Thống kê'!$C$3:$M$970,4,0)</f>
        <v>0</v>
      </c>
      <c r="E2610" s="167">
        <v>1</v>
      </c>
      <c r="F2610" s="168">
        <f t="shared" si="11"/>
        <v>0</v>
      </c>
      <c r="G2610" s="75"/>
      <c r="H2610" s="373"/>
    </row>
    <row r="2611" spans="1:8" ht="13.2">
      <c r="A2611" s="49"/>
      <c r="B2611" s="16" t="s">
        <v>1817</v>
      </c>
      <c r="C2611" s="143" t="str">
        <f>VLOOKUP(B2611,'Thống kê'!$C$3:$D$970,2,0)</f>
        <v>Túi Đựng Mắt Kính Da Pu</v>
      </c>
      <c r="D2611" s="166">
        <f>VLOOKUP(B2611,'Thống kê'!$C$3:$M$970,4,0)</f>
        <v>0</v>
      </c>
      <c r="E2611" s="167">
        <v>1</v>
      </c>
      <c r="F2611" s="168">
        <f t="shared" si="11"/>
        <v>0</v>
      </c>
      <c r="G2611" s="75"/>
      <c r="H2611" s="403">
        <v>31768</v>
      </c>
    </row>
    <row r="2612" spans="1:8" ht="13.2">
      <c r="A2612" s="49"/>
      <c r="B2612" s="16" t="s">
        <v>1834</v>
      </c>
      <c r="C2612" s="143" t="str">
        <f>VLOOKUP(B2612,'Thống kê'!$C$3:$D$970,2,0)</f>
        <v>Túi Đựng Mắt Kính Da Pu</v>
      </c>
      <c r="D2612" s="166">
        <f>VLOOKUP(B2612,'Thống kê'!$C$3:$M$970,4,0)</f>
        <v>0</v>
      </c>
      <c r="E2612" s="167">
        <v>1</v>
      </c>
      <c r="F2612" s="168">
        <f t="shared" si="11"/>
        <v>0</v>
      </c>
      <c r="G2612" s="75"/>
      <c r="H2612" s="373"/>
    </row>
    <row r="2613" spans="1:8" ht="13.2">
      <c r="A2613" s="49"/>
      <c r="B2613" s="16" t="s">
        <v>264</v>
      </c>
      <c r="C2613" s="143">
        <f>VLOOKUP(B2613,'Thống kê'!$C$3:$D$970,2,0)</f>
        <v>0</v>
      </c>
      <c r="D2613" s="166">
        <f>VLOOKUP(B2613,'Thống kê'!$C$3:$M$970,4,0)</f>
        <v>0</v>
      </c>
      <c r="E2613" s="167">
        <v>1</v>
      </c>
      <c r="F2613" s="168">
        <f t="shared" si="11"/>
        <v>0</v>
      </c>
      <c r="G2613" s="75"/>
      <c r="H2613" s="178">
        <v>59448</v>
      </c>
    </row>
    <row r="2614" spans="1:8" ht="13.2">
      <c r="A2614" s="49"/>
      <c r="B2614" s="16" t="s">
        <v>200</v>
      </c>
      <c r="C2614" s="143">
        <f>VLOOKUP(B2614,'Thống kê'!$C$3:$D$970,2,0)</f>
        <v>0</v>
      </c>
      <c r="D2614" s="166">
        <f>VLOOKUP(B2614,'Thống kê'!$C$3:$M$970,4,0)</f>
        <v>0</v>
      </c>
      <c r="E2614" s="167">
        <v>1</v>
      </c>
      <c r="F2614" s="168">
        <f t="shared" si="11"/>
        <v>0</v>
      </c>
      <c r="G2614" s="75"/>
      <c r="H2614" s="176">
        <v>59223</v>
      </c>
    </row>
    <row r="2615" spans="1:8" ht="13.2">
      <c r="A2615" s="49"/>
      <c r="B2615" s="16" t="s">
        <v>228</v>
      </c>
      <c r="C2615" s="143">
        <f>VLOOKUP(B2615,'Thống kê'!$C$3:$D$970,2,0)</f>
        <v>0</v>
      </c>
      <c r="D2615" s="166">
        <f>VLOOKUP(B2615,'Thống kê'!$C$3:$M$970,4,0)</f>
        <v>0</v>
      </c>
      <c r="E2615" s="167">
        <v>1</v>
      </c>
      <c r="F2615" s="168">
        <f t="shared" si="11"/>
        <v>0</v>
      </c>
      <c r="G2615" s="75"/>
      <c r="H2615" s="177">
        <v>59702</v>
      </c>
    </row>
    <row r="2616" spans="1:8" ht="13.2">
      <c r="A2616" s="49"/>
      <c r="B2616" s="16" t="s">
        <v>329</v>
      </c>
      <c r="C2616" s="143" t="str">
        <f>VLOOKUP(B2616,'Thống kê'!$C$3:$D$970,2,0)</f>
        <v>Pop Bean Baked Bread</v>
      </c>
      <c r="D2616" s="166">
        <f>VLOOKUP(B2616,'Thống kê'!$C$3:$M$970,4,0)</f>
        <v>167000</v>
      </c>
      <c r="E2616" s="167">
        <v>1</v>
      </c>
      <c r="F2616" s="168">
        <f t="shared" si="11"/>
        <v>167000</v>
      </c>
      <c r="G2616" s="75"/>
      <c r="H2616" s="177">
        <v>130310</v>
      </c>
    </row>
    <row r="2617" spans="1:8" ht="13.2">
      <c r="A2617" s="64"/>
      <c r="B2617" s="16" t="s">
        <v>142</v>
      </c>
      <c r="C2617" s="143">
        <f>VLOOKUP(B2617,'Thống kê'!$C$3:$D$970,2,0)</f>
        <v>0</v>
      </c>
      <c r="D2617" s="166">
        <f>VLOOKUP(B2617,'Thống kê'!$C$3:$M$970,4,0)</f>
        <v>0</v>
      </c>
      <c r="E2617" s="167">
        <v>1</v>
      </c>
      <c r="F2617" s="168">
        <f t="shared" si="11"/>
        <v>0</v>
      </c>
      <c r="G2617" s="75"/>
      <c r="H2617" s="177">
        <v>59523</v>
      </c>
    </row>
    <row r="2618" spans="1:8" ht="13.2">
      <c r="A2618" s="49"/>
      <c r="B2618" s="16" t="s">
        <v>119</v>
      </c>
      <c r="C2618" s="143" t="str">
        <f>VLOOKUP(B2618,'Thống kê'!$C$3:$D$970,2,0)</f>
        <v>Thỏ chạy xe gắn xe</v>
      </c>
      <c r="D2618" s="166">
        <f>VLOOKUP(B2618,'Thống kê'!$C$3:$M$970,4,0)</f>
        <v>45000</v>
      </c>
      <c r="E2618" s="167">
        <v>1</v>
      </c>
      <c r="F2618" s="168">
        <f t="shared" si="11"/>
        <v>45000</v>
      </c>
      <c r="G2618" s="75"/>
      <c r="H2618" s="177">
        <v>29555</v>
      </c>
    </row>
    <row r="2619" spans="1:8" ht="13.2">
      <c r="A2619" s="49"/>
      <c r="B2619" s="16" t="s">
        <v>142</v>
      </c>
      <c r="C2619" s="143">
        <f>VLOOKUP(B2619,'Thống kê'!$C$3:$D$970,2,0)</f>
        <v>0</v>
      </c>
      <c r="D2619" s="166">
        <f>VLOOKUP(B2619,'Thống kê'!$C$3:$M$970,4,0)</f>
        <v>0</v>
      </c>
      <c r="E2619" s="167">
        <v>1</v>
      </c>
      <c r="F2619" s="168">
        <f t="shared" si="11"/>
        <v>0</v>
      </c>
      <c r="G2619" s="75"/>
      <c r="H2619" s="403">
        <v>139400</v>
      </c>
    </row>
    <row r="2620" spans="1:8" ht="13.2">
      <c r="A2620" s="49"/>
      <c r="B2620" s="16" t="s">
        <v>127</v>
      </c>
      <c r="C2620" s="143">
        <f>VLOOKUP(B2620,'Thống kê'!$C$3:$D$970,2,0)</f>
        <v>0</v>
      </c>
      <c r="D2620" s="166">
        <f>VLOOKUP(B2620,'Thống kê'!$C$3:$M$970,4,0)</f>
        <v>0</v>
      </c>
      <c r="E2620" s="167">
        <v>1</v>
      </c>
      <c r="F2620" s="168">
        <f t="shared" si="11"/>
        <v>0</v>
      </c>
      <c r="G2620" s="75"/>
      <c r="H2620" s="373"/>
    </row>
    <row r="2621" spans="1:8" ht="13.2">
      <c r="A2621" s="49"/>
      <c r="B2621" s="16" t="s">
        <v>126</v>
      </c>
      <c r="C2621" s="143">
        <f>VLOOKUP(B2621,'Thống kê'!$C$3:$D$970,2,0)</f>
        <v>0</v>
      </c>
      <c r="D2621" s="166">
        <f>VLOOKUP(B2621,'Thống kê'!$C$3:$M$970,4,0)</f>
        <v>0</v>
      </c>
      <c r="E2621" s="167">
        <v>1</v>
      </c>
      <c r="F2621" s="168">
        <f t="shared" si="11"/>
        <v>0</v>
      </c>
      <c r="G2621" s="75"/>
      <c r="H2621" s="403">
        <v>139400</v>
      </c>
    </row>
    <row r="2622" spans="1:8" ht="13.2">
      <c r="A2622" s="49"/>
      <c r="B2622" s="16" t="s">
        <v>125</v>
      </c>
      <c r="C2622" s="143">
        <f>VLOOKUP(B2622,'Thống kê'!$C$3:$D$970,2,0)</f>
        <v>0</v>
      </c>
      <c r="D2622" s="166">
        <f>VLOOKUP(B2622,'Thống kê'!$C$3:$M$970,4,0)</f>
        <v>0</v>
      </c>
      <c r="E2622" s="167">
        <v>1</v>
      </c>
      <c r="F2622" s="168">
        <f t="shared" si="11"/>
        <v>0</v>
      </c>
      <c r="G2622" s="75"/>
      <c r="H2622" s="373"/>
    </row>
    <row r="2623" spans="1:8" ht="13.2">
      <c r="A2623" s="49"/>
      <c r="B2623" s="16" t="s">
        <v>181</v>
      </c>
      <c r="C2623" s="143" t="str">
        <f>VLOOKUP(B2623,'Thống kê'!$C$3:$D$970,2,0)</f>
        <v>Thỏ mặt trăng gắn xe</v>
      </c>
      <c r="D2623" s="166">
        <f>VLOOKUP(B2623,'Thống kê'!$C$3:$M$970,4,0)</f>
        <v>45000</v>
      </c>
      <c r="E2623" s="167">
        <v>1</v>
      </c>
      <c r="F2623" s="168">
        <f t="shared" si="11"/>
        <v>45000</v>
      </c>
      <c r="G2623" s="75"/>
      <c r="H2623" s="403">
        <v>55826</v>
      </c>
    </row>
    <row r="2624" spans="1:8" ht="13.2">
      <c r="A2624" s="49"/>
      <c r="B2624" s="16" t="s">
        <v>145</v>
      </c>
      <c r="C2624" s="143" t="str">
        <f>VLOOKUP(B2624,'Thống kê'!$C$3:$D$970,2,0)</f>
        <v>Thỏ đi vịt gắn xe</v>
      </c>
      <c r="D2624" s="166">
        <f>VLOOKUP(B2624,'Thống kê'!$C$3:$M$970,4,0)</f>
        <v>45000</v>
      </c>
      <c r="E2624" s="167">
        <v>1</v>
      </c>
      <c r="F2624" s="168">
        <f t="shared" si="11"/>
        <v>45000</v>
      </c>
      <c r="G2624" s="75"/>
      <c r="H2624" s="373"/>
    </row>
    <row r="2625" spans="1:8" ht="13.2">
      <c r="A2625" s="49"/>
      <c r="B2625" s="16" t="s">
        <v>142</v>
      </c>
      <c r="C2625" s="143">
        <f>VLOOKUP(B2625,'Thống kê'!$C$3:$D$970,2,0)</f>
        <v>0</v>
      </c>
      <c r="D2625" s="166">
        <f>VLOOKUP(B2625,'Thống kê'!$C$3:$M$970,4,0)</f>
        <v>0</v>
      </c>
      <c r="E2625" s="167">
        <v>1</v>
      </c>
      <c r="F2625" s="168">
        <f t="shared" si="11"/>
        <v>0</v>
      </c>
      <c r="G2625" s="75"/>
      <c r="H2625" s="403">
        <v>341120</v>
      </c>
    </row>
    <row r="2626" spans="1:8" ht="13.2">
      <c r="A2626" s="49"/>
      <c r="B2626" s="16" t="s">
        <v>200</v>
      </c>
      <c r="C2626" s="143">
        <f>VLOOKUP(B2626,'Thống kê'!$C$3:$D$970,2,0)</f>
        <v>0</v>
      </c>
      <c r="D2626" s="166">
        <f>VLOOKUP(B2626,'Thống kê'!$C$3:$M$970,4,0)</f>
        <v>0</v>
      </c>
      <c r="E2626" s="167">
        <v>1</v>
      </c>
      <c r="F2626" s="168">
        <f t="shared" si="11"/>
        <v>0</v>
      </c>
      <c r="G2626" s="75"/>
      <c r="H2626" s="372"/>
    </row>
    <row r="2627" spans="1:8" ht="13.2">
      <c r="A2627" s="49"/>
      <c r="B2627" s="16" t="s">
        <v>125</v>
      </c>
      <c r="C2627" s="143">
        <f>VLOOKUP(B2627,'Thống kê'!$C$3:$D$970,2,0)</f>
        <v>0</v>
      </c>
      <c r="D2627" s="166">
        <f>VLOOKUP(B2627,'Thống kê'!$C$3:$M$970,4,0)</f>
        <v>0</v>
      </c>
      <c r="E2627" s="167">
        <v>1</v>
      </c>
      <c r="F2627" s="168">
        <f t="shared" si="11"/>
        <v>0</v>
      </c>
      <c r="G2627" s="75"/>
      <c r="H2627" s="372"/>
    </row>
    <row r="2628" spans="1:8" ht="13.2">
      <c r="A2628" s="49"/>
      <c r="B2628" s="16" t="s">
        <v>191</v>
      </c>
      <c r="C2628" s="143">
        <f>VLOOKUP(B2628,'Thống kê'!$C$3:$D$970,2,0)</f>
        <v>0</v>
      </c>
      <c r="D2628" s="166">
        <f>VLOOKUP(B2628,'Thống kê'!$C$3:$M$970,4,0)</f>
        <v>0</v>
      </c>
      <c r="E2628" s="167">
        <v>1</v>
      </c>
      <c r="F2628" s="168">
        <f t="shared" si="11"/>
        <v>0</v>
      </c>
      <c r="G2628" s="75"/>
      <c r="H2628" s="372"/>
    </row>
    <row r="2629" spans="1:8" ht="13.2">
      <c r="A2629" s="49"/>
      <c r="B2629" s="16" t="s">
        <v>1462</v>
      </c>
      <c r="C2629" s="143">
        <f>VLOOKUP(B2629,'Thống kê'!$C$3:$D$970,2,0)</f>
        <v>0</v>
      </c>
      <c r="D2629" s="166">
        <f>VLOOKUP(B2629,'Thống kê'!$C$3:$M$970,4,0)</f>
        <v>0</v>
      </c>
      <c r="E2629" s="167">
        <v>1</v>
      </c>
      <c r="F2629" s="168">
        <f t="shared" si="11"/>
        <v>0</v>
      </c>
      <c r="G2629" s="75"/>
      <c r="H2629" s="373"/>
    </row>
    <row r="2630" spans="1:8" ht="13.2">
      <c r="A2630" s="49"/>
      <c r="B2630" s="16" t="s">
        <v>196</v>
      </c>
      <c r="C2630" s="143">
        <f>VLOOKUP(B2630,'Thống kê'!$C$3:$D$970,2,0)</f>
        <v>0</v>
      </c>
      <c r="D2630" s="166">
        <f>VLOOKUP(B2630,'Thống kê'!$C$3:$M$970,4,0)</f>
        <v>0</v>
      </c>
      <c r="E2630" s="167">
        <v>2</v>
      </c>
      <c r="F2630" s="168">
        <f t="shared" si="11"/>
        <v>0</v>
      </c>
      <c r="G2630" s="75"/>
      <c r="H2630" s="175">
        <v>132840</v>
      </c>
    </row>
    <row r="2631" spans="1:8" ht="13.2">
      <c r="A2631" s="49"/>
      <c r="B2631" s="16" t="s">
        <v>1340</v>
      </c>
      <c r="C2631" s="143" t="str">
        <f>VLOOKUP(B2631,'Thống kê'!$C$3:$D$970,2,0)</f>
        <v>Móc khóa chuối</v>
      </c>
      <c r="D2631" s="166">
        <f>VLOOKUP(B2631,'Thống kê'!$C$3:$M$970,4,0)</f>
        <v>148000</v>
      </c>
      <c r="E2631" s="167">
        <v>1</v>
      </c>
      <c r="F2631" s="168">
        <f t="shared" si="11"/>
        <v>148000</v>
      </c>
      <c r="G2631" s="75"/>
      <c r="H2631" s="175">
        <v>64049</v>
      </c>
    </row>
    <row r="2632" spans="1:8" ht="13.2">
      <c r="A2632" s="49"/>
      <c r="B2632" s="16" t="s">
        <v>1825</v>
      </c>
      <c r="C2632" s="143" t="str">
        <f>VLOOKUP(B2632,'Thống kê'!$C$3:$D$970,2,0)</f>
        <v>Túi Đựng Mắt Kính Da Pu</v>
      </c>
      <c r="D2632" s="166">
        <f>VLOOKUP(B2632,'Thống kê'!$C$3:$M$970,4,0)</f>
        <v>0</v>
      </c>
      <c r="E2632" s="167">
        <v>1</v>
      </c>
      <c r="F2632" s="168">
        <f t="shared" si="11"/>
        <v>0</v>
      </c>
      <c r="G2632" s="75"/>
      <c r="H2632" s="175">
        <v>19049</v>
      </c>
    </row>
    <row r="2633" spans="1:8" ht="13.2">
      <c r="A2633" s="49"/>
      <c r="B2633" s="16" t="s">
        <v>1841</v>
      </c>
      <c r="C2633" s="143" t="str">
        <f>VLOOKUP(B2633,'Thống kê'!$C$3:$D$970,2,0)</f>
        <v>Túi Đựng Mắt Kính Da Pu</v>
      </c>
      <c r="D2633" s="166">
        <f>VLOOKUP(B2633,'Thống kê'!$C$3:$M$970,4,0)</f>
        <v>0</v>
      </c>
      <c r="E2633" s="167">
        <v>1</v>
      </c>
      <c r="F2633" s="168">
        <f t="shared" si="11"/>
        <v>0</v>
      </c>
      <c r="G2633" s="75"/>
      <c r="H2633" s="176">
        <v>19049</v>
      </c>
    </row>
    <row r="2634" spans="1:8" ht="13.2">
      <c r="A2634" s="49"/>
      <c r="B2634" s="16" t="s">
        <v>1586</v>
      </c>
      <c r="C2634" s="143" t="str">
        <f>VLOOKUP(B2634,'Thống kê'!$C$3:$D$970,2,0)</f>
        <v>Thỏ ú hoa</v>
      </c>
      <c r="D2634" s="166">
        <f>VLOOKUP(B2634,'Thống kê'!$C$3:$M$970,4,0)</f>
        <v>64500</v>
      </c>
      <c r="E2634" s="167">
        <v>1</v>
      </c>
      <c r="F2634" s="168">
        <f t="shared" si="11"/>
        <v>64500</v>
      </c>
      <c r="G2634" s="75"/>
      <c r="H2634" s="177">
        <v>52808</v>
      </c>
    </row>
    <row r="2635" spans="1:8" ht="13.2">
      <c r="A2635" s="49"/>
      <c r="B2635" s="16" t="s">
        <v>150</v>
      </c>
      <c r="C2635" s="143" t="str">
        <f>VLOOKUP(B2635,'Thống kê'!$C$3:$D$970,2,0)</f>
        <v>Móc khóa có chuông</v>
      </c>
      <c r="D2635" s="166">
        <f>VLOOKUP(B2635,'Thống kê'!$C$3:$M$970,4,0)</f>
        <v>59000</v>
      </c>
      <c r="E2635" s="167">
        <v>1</v>
      </c>
      <c r="F2635" s="168">
        <f t="shared" si="11"/>
        <v>59000</v>
      </c>
      <c r="G2635" s="75"/>
      <c r="H2635" s="178">
        <v>53550</v>
      </c>
    </row>
    <row r="2636" spans="1:8" ht="13.2">
      <c r="A2636" s="49"/>
      <c r="B2636" s="16" t="s">
        <v>242</v>
      </c>
      <c r="C2636" s="143">
        <f>VLOOKUP(B2636,'Thống kê'!$C$3:$D$970,2,0)</f>
        <v>0</v>
      </c>
      <c r="D2636" s="166">
        <f>VLOOKUP(B2636,'Thống kê'!$C$3:$M$970,4,0)</f>
        <v>0</v>
      </c>
      <c r="E2636" s="167">
        <v>1</v>
      </c>
      <c r="F2636" s="168">
        <f t="shared" si="11"/>
        <v>0</v>
      </c>
      <c r="G2636" s="75"/>
      <c r="H2636" s="402">
        <v>286350</v>
      </c>
    </row>
    <row r="2637" spans="1:8" ht="13.2">
      <c r="A2637" s="49"/>
      <c r="B2637" s="16" t="s">
        <v>248</v>
      </c>
      <c r="C2637" s="143">
        <f>VLOOKUP(B2637,'Thống kê'!$C$3:$D$970,2,0)</f>
        <v>0</v>
      </c>
      <c r="D2637" s="166">
        <f>VLOOKUP(B2637,'Thống kê'!$C$3:$M$970,4,0)</f>
        <v>0</v>
      </c>
      <c r="E2637" s="167">
        <v>2</v>
      </c>
      <c r="F2637" s="168">
        <f t="shared" si="11"/>
        <v>0</v>
      </c>
      <c r="G2637" s="75"/>
      <c r="H2637" s="372"/>
    </row>
    <row r="2638" spans="1:8" ht="13.2">
      <c r="A2638" s="49"/>
      <c r="B2638" s="16" t="s">
        <v>259</v>
      </c>
      <c r="C2638" s="143" t="str">
        <f>VLOOKUP(B2638,'Thống kê'!$C$3:$D$970,2,0)</f>
        <v>Móc khoá Crybaby mini Popmart</v>
      </c>
      <c r="D2638" s="166">
        <f>VLOOKUP(B2638,'Thống kê'!$C$3:$M$970,4,0)</f>
        <v>0</v>
      </c>
      <c r="E2638" s="167">
        <v>1</v>
      </c>
      <c r="F2638" s="168">
        <f t="shared" si="11"/>
        <v>0</v>
      </c>
      <c r="G2638" s="75"/>
      <c r="H2638" s="175">
        <v>77450</v>
      </c>
    </row>
    <row r="2639" spans="1:8" ht="13.2">
      <c r="A2639" s="64"/>
      <c r="B2639" s="16" t="s">
        <v>93</v>
      </c>
      <c r="C2639" s="143">
        <f>VLOOKUP(B2639,'Thống kê'!$C$3:$D$970,2,0)</f>
        <v>0</v>
      </c>
      <c r="D2639" s="166">
        <f>VLOOKUP(B2639,'Thống kê'!$C$3:$M$970,4,0)</f>
        <v>0</v>
      </c>
      <c r="E2639" s="167">
        <v>1</v>
      </c>
      <c r="F2639" s="168">
        <f t="shared" si="11"/>
        <v>0</v>
      </c>
      <c r="G2639" s="75"/>
      <c r="H2639" s="175">
        <v>56380</v>
      </c>
    </row>
    <row r="2640" spans="1:8" ht="13.2">
      <c r="A2640" s="49"/>
      <c r="B2640" s="16" t="s">
        <v>119</v>
      </c>
      <c r="C2640" s="143" t="str">
        <f>VLOOKUP(B2640,'Thống kê'!$C$3:$D$970,2,0)</f>
        <v>Thỏ chạy xe gắn xe</v>
      </c>
      <c r="D2640" s="166">
        <f>VLOOKUP(B2640,'Thống kê'!$C$3:$M$970,4,0)</f>
        <v>45000</v>
      </c>
      <c r="E2640" s="167">
        <v>2</v>
      </c>
      <c r="F2640" s="168">
        <f t="shared" si="11"/>
        <v>90000</v>
      </c>
      <c r="G2640" s="75"/>
      <c r="H2640" s="402">
        <v>135792</v>
      </c>
    </row>
    <row r="2641" spans="1:8" ht="13.2">
      <c r="A2641" s="49"/>
      <c r="B2641" s="16" t="s">
        <v>234</v>
      </c>
      <c r="C2641" s="143" t="str">
        <f>VLOOKUP(B2641,'Thống kê'!$C$3:$D$970,2,0)</f>
        <v>Móc khoá skullpanda phiên bản mini</v>
      </c>
      <c r="D2641" s="166">
        <f>VLOOKUP(B2641,'Thống kê'!$C$3:$M$970,4,0)</f>
        <v>98000</v>
      </c>
      <c r="E2641" s="167">
        <v>1</v>
      </c>
      <c r="F2641" s="168">
        <f t="shared" si="11"/>
        <v>98000</v>
      </c>
      <c r="G2641" s="75"/>
      <c r="H2641" s="372"/>
    </row>
    <row r="2642" spans="1:8" ht="13.2">
      <c r="A2642" s="49"/>
      <c r="B2642" s="16" t="s">
        <v>1854</v>
      </c>
      <c r="C2642" s="143" t="str">
        <f>VLOOKUP(B2642,'Thống kê'!$C$3:$D$970,2,0)</f>
        <v>Mèo vàng treo gương</v>
      </c>
      <c r="D2642" s="166">
        <f>VLOOKUP(B2642,'Thống kê'!$C$3:$M$970,4,0)</f>
        <v>71500</v>
      </c>
      <c r="E2642" s="167">
        <v>1</v>
      </c>
      <c r="F2642" s="168">
        <f t="shared" si="11"/>
        <v>71500</v>
      </c>
      <c r="G2642" s="75"/>
      <c r="H2642" s="175">
        <v>53040</v>
      </c>
    </row>
    <row r="2643" spans="1:8" ht="13.2">
      <c r="A2643" s="49"/>
      <c r="B2643" s="16" t="s">
        <v>119</v>
      </c>
      <c r="C2643" s="143" t="str">
        <f>VLOOKUP(B2643,'Thống kê'!$C$3:$D$970,2,0)</f>
        <v>Thỏ chạy xe gắn xe</v>
      </c>
      <c r="D2643" s="166">
        <f>VLOOKUP(B2643,'Thống kê'!$C$3:$M$970,4,0)</f>
        <v>45000</v>
      </c>
      <c r="E2643" s="167">
        <v>1</v>
      </c>
      <c r="F2643" s="168">
        <f t="shared" si="11"/>
        <v>45000</v>
      </c>
      <c r="G2643" s="75"/>
      <c r="H2643" s="175">
        <v>29955</v>
      </c>
    </row>
    <row r="2644" spans="1:8" ht="13.2">
      <c r="A2644" s="49"/>
      <c r="B2644" s="16" t="s">
        <v>1828</v>
      </c>
      <c r="C2644" s="143" t="str">
        <f>VLOOKUP(B2644,'Thống kê'!$C$3:$D$970,2,0)</f>
        <v>Túi đựng đồ trang điểm nơ</v>
      </c>
      <c r="D2644" s="166">
        <f>VLOOKUP(B2644,'Thống kê'!$C$3:$M$970,4,0)</f>
        <v>0</v>
      </c>
      <c r="E2644" s="167">
        <v>1</v>
      </c>
      <c r="F2644" s="168">
        <f t="shared" si="11"/>
        <v>0</v>
      </c>
      <c r="G2644" s="75"/>
      <c r="H2644" s="402">
        <v>92004</v>
      </c>
    </row>
    <row r="2645" spans="1:8" ht="13.2">
      <c r="A2645" s="49"/>
      <c r="B2645" s="16" t="s">
        <v>1855</v>
      </c>
      <c r="C2645" s="143" t="str">
        <f>VLOOKUP(B2645,'Thống kê'!$C$3:$D$970,2,0)</f>
        <v>Túi đựng mỹ phẩm cầm tay</v>
      </c>
      <c r="D2645" s="166">
        <f>VLOOKUP(B2645,'Thống kê'!$C$3:$M$970,4,0)</f>
        <v>0</v>
      </c>
      <c r="E2645" s="167">
        <v>1</v>
      </c>
      <c r="F2645" s="168">
        <f t="shared" si="11"/>
        <v>0</v>
      </c>
      <c r="G2645" s="75"/>
      <c r="H2645" s="372"/>
    </row>
    <row r="2646" spans="1:8" ht="13.2">
      <c r="A2646" s="49"/>
      <c r="B2646" s="16" t="s">
        <v>181</v>
      </c>
      <c r="C2646" s="143" t="str">
        <f>VLOOKUP(B2646,'Thống kê'!$C$3:$D$970,2,0)</f>
        <v>Thỏ mặt trăng gắn xe</v>
      </c>
      <c r="D2646" s="166">
        <f>VLOOKUP(B2646,'Thống kê'!$C$3:$M$970,4,0)</f>
        <v>45000</v>
      </c>
      <c r="E2646" s="167">
        <v>1</v>
      </c>
      <c r="F2646" s="168">
        <f t="shared" si="11"/>
        <v>45000</v>
      </c>
      <c r="G2646" s="75"/>
      <c r="H2646" s="402">
        <v>114964</v>
      </c>
    </row>
    <row r="2647" spans="1:8" ht="13.2">
      <c r="A2647" s="49"/>
      <c r="B2647" s="16" t="s">
        <v>183</v>
      </c>
      <c r="C2647" s="143" t="str">
        <f>VLOOKUP(B2647,'Thống kê'!$C$3:$D$970,2,0)</f>
        <v>Thỏ máy bay gắn xe</v>
      </c>
      <c r="D2647" s="166">
        <f>VLOOKUP(B2647,'Thống kê'!$C$3:$M$970,4,0)</f>
        <v>45000</v>
      </c>
      <c r="E2647" s="167">
        <v>1</v>
      </c>
      <c r="F2647" s="168">
        <f t="shared" si="11"/>
        <v>45000</v>
      </c>
      <c r="G2647" s="75"/>
      <c r="H2647" s="372"/>
    </row>
    <row r="2648" spans="1:8" ht="13.2">
      <c r="A2648" s="49"/>
      <c r="B2648" s="16" t="s">
        <v>145</v>
      </c>
      <c r="C2648" s="143" t="str">
        <f>VLOOKUP(B2648,'Thống kê'!$C$3:$D$970,2,0)</f>
        <v>Thỏ đi vịt gắn xe</v>
      </c>
      <c r="D2648" s="166">
        <f>VLOOKUP(B2648,'Thống kê'!$C$3:$M$970,4,0)</f>
        <v>45000</v>
      </c>
      <c r="E2648" s="167">
        <v>1</v>
      </c>
      <c r="F2648" s="168">
        <f t="shared" si="11"/>
        <v>45000</v>
      </c>
      <c r="G2648" s="75"/>
      <c r="H2648" s="372"/>
    </row>
    <row r="2649" spans="1:8" ht="13.2">
      <c r="A2649" s="49"/>
      <c r="B2649" s="16" t="s">
        <v>119</v>
      </c>
      <c r="C2649" s="143" t="str">
        <f>VLOOKUP(B2649,'Thống kê'!$C$3:$D$970,2,0)</f>
        <v>Thỏ chạy xe gắn xe</v>
      </c>
      <c r="D2649" s="166">
        <f>VLOOKUP(B2649,'Thống kê'!$C$3:$M$970,4,0)</f>
        <v>45000</v>
      </c>
      <c r="E2649" s="167">
        <v>1</v>
      </c>
      <c r="F2649" s="168">
        <f t="shared" si="11"/>
        <v>45000</v>
      </c>
      <c r="G2649" s="75"/>
      <c r="H2649" s="372"/>
    </row>
    <row r="2650" spans="1:8" ht="13.2">
      <c r="A2650" s="49"/>
      <c r="B2650" s="16" t="s">
        <v>103</v>
      </c>
      <c r="C2650" s="143">
        <f>VLOOKUP(B2650,'Thống kê'!$C$3:$D$970,2,0)</f>
        <v>0</v>
      </c>
      <c r="D2650" s="166">
        <f>VLOOKUP(B2650,'Thống kê'!$C$3:$M$970,4,0)</f>
        <v>0</v>
      </c>
      <c r="E2650" s="167">
        <v>1</v>
      </c>
      <c r="F2650" s="168">
        <f t="shared" si="11"/>
        <v>0</v>
      </c>
      <c r="G2650" s="75"/>
      <c r="H2650" s="402">
        <v>154652</v>
      </c>
    </row>
    <row r="2651" spans="1:8" ht="13.2">
      <c r="A2651" s="49"/>
      <c r="B2651" s="16" t="s">
        <v>137</v>
      </c>
      <c r="C2651" s="143">
        <f>VLOOKUP(B2651,'Thống kê'!$C$3:$D$970,2,0)</f>
        <v>0</v>
      </c>
      <c r="D2651" s="166">
        <f>VLOOKUP(B2651,'Thống kê'!$C$3:$M$970,4,0)</f>
        <v>0</v>
      </c>
      <c r="E2651" s="167">
        <v>1</v>
      </c>
      <c r="F2651" s="168">
        <f t="shared" si="11"/>
        <v>0</v>
      </c>
      <c r="G2651" s="75"/>
      <c r="H2651" s="372"/>
    </row>
    <row r="2652" spans="1:8" ht="13.2">
      <c r="A2652" s="49"/>
      <c r="B2652" s="16" t="s">
        <v>103</v>
      </c>
      <c r="C2652" s="143">
        <f>VLOOKUP(B2652,'Thống kê'!$C$3:$D$970,2,0)</f>
        <v>0</v>
      </c>
      <c r="D2652" s="166">
        <f>VLOOKUP(B2652,'Thống kê'!$C$3:$M$970,4,0)</f>
        <v>0</v>
      </c>
      <c r="E2652" s="167">
        <v>1</v>
      </c>
      <c r="F2652" s="168">
        <f t="shared" si="11"/>
        <v>0</v>
      </c>
      <c r="G2652" s="75"/>
      <c r="H2652" s="372"/>
    </row>
    <row r="2653" spans="1:8" ht="13.2">
      <c r="A2653" s="49"/>
      <c r="B2653" s="16" t="s">
        <v>80</v>
      </c>
      <c r="C2653" s="143">
        <f>VLOOKUP(B2653,'Thống kê'!$C$3:$D$970,2,0)</f>
        <v>0</v>
      </c>
      <c r="D2653" s="166">
        <f>VLOOKUP(B2653,'Thống kê'!$C$3:$M$970,4,0)</f>
        <v>0</v>
      </c>
      <c r="E2653" s="167">
        <v>1</v>
      </c>
      <c r="F2653" s="168">
        <f t="shared" si="11"/>
        <v>0</v>
      </c>
      <c r="G2653" s="75"/>
      <c r="H2653" s="402">
        <v>165214</v>
      </c>
    </row>
    <row r="2654" spans="1:8" ht="13.2">
      <c r="A2654" s="49"/>
      <c r="B2654" s="16" t="s">
        <v>196</v>
      </c>
      <c r="C2654" s="143">
        <f>VLOOKUP(B2654,'Thống kê'!$C$3:$D$970,2,0)</f>
        <v>0</v>
      </c>
      <c r="D2654" s="166">
        <f>VLOOKUP(B2654,'Thống kê'!$C$3:$M$970,4,0)</f>
        <v>0</v>
      </c>
      <c r="E2654" s="167">
        <v>1</v>
      </c>
      <c r="F2654" s="168">
        <f t="shared" si="11"/>
        <v>0</v>
      </c>
      <c r="G2654" s="75"/>
      <c r="H2654" s="372"/>
    </row>
    <row r="2655" spans="1:8" ht="13.2">
      <c r="A2655" s="49"/>
      <c r="B2655" s="16" t="s">
        <v>238</v>
      </c>
      <c r="C2655" s="143">
        <f>VLOOKUP(B2655,'Thống kê'!$C$3:$D$970,2,0)</f>
        <v>0</v>
      </c>
      <c r="D2655" s="166">
        <f>VLOOKUP(B2655,'Thống kê'!$C$3:$M$970,4,0)</f>
        <v>0</v>
      </c>
      <c r="E2655" s="167">
        <v>1</v>
      </c>
      <c r="F2655" s="168">
        <f t="shared" si="11"/>
        <v>0</v>
      </c>
      <c r="G2655" s="75"/>
      <c r="H2655" s="175">
        <v>71668</v>
      </c>
    </row>
    <row r="2656" spans="1:8" ht="13.2">
      <c r="A2656" s="49"/>
      <c r="B2656" s="16" t="s">
        <v>1522</v>
      </c>
      <c r="C2656" s="143">
        <f>VLOOKUP(B2656,'Thống kê'!$C$3:$D$970,2,0)</f>
        <v>0</v>
      </c>
      <c r="D2656" s="166">
        <f>VLOOKUP(B2656,'Thống kê'!$C$3:$M$970,4,0)</f>
        <v>0</v>
      </c>
      <c r="E2656" s="167">
        <v>1</v>
      </c>
      <c r="F2656" s="168">
        <f t="shared" si="11"/>
        <v>0</v>
      </c>
      <c r="G2656" s="75"/>
      <c r="H2656" s="402">
        <v>114800</v>
      </c>
    </row>
    <row r="2657" spans="1:8" ht="13.2">
      <c r="A2657" s="49"/>
      <c r="B2657" s="16" t="s">
        <v>279</v>
      </c>
      <c r="C2657" s="143">
        <f>VLOOKUP(B2657,'Thống kê'!$C$3:$D$970,2,0)</f>
        <v>0</v>
      </c>
      <c r="D2657" s="166">
        <f>VLOOKUP(B2657,'Thống kê'!$C$3:$M$970,4,0)</f>
        <v>0</v>
      </c>
      <c r="E2657" s="167">
        <v>1</v>
      </c>
      <c r="F2657" s="168">
        <f t="shared" si="11"/>
        <v>0</v>
      </c>
      <c r="G2657" s="75"/>
      <c r="H2657" s="372"/>
    </row>
    <row r="2658" spans="1:8" ht="13.2">
      <c r="A2658" s="49"/>
      <c r="B2658" s="16" t="s">
        <v>77</v>
      </c>
      <c r="C2658" s="143">
        <f>VLOOKUP(B2658,'Thống kê'!$C$3:$D$970,2,0)</f>
        <v>0</v>
      </c>
      <c r="D2658" s="166">
        <f>VLOOKUP(B2658,'Thống kê'!$C$3:$M$970,4,0)</f>
        <v>0</v>
      </c>
      <c r="E2658" s="167">
        <v>1</v>
      </c>
      <c r="F2658" s="168">
        <f t="shared" si="11"/>
        <v>0</v>
      </c>
      <c r="G2658" s="75"/>
      <c r="H2658" s="402">
        <v>196394</v>
      </c>
    </row>
    <row r="2659" spans="1:8" ht="13.2">
      <c r="A2659" s="49"/>
      <c r="B2659" s="16" t="s">
        <v>1523</v>
      </c>
      <c r="C2659" s="143">
        <f>VLOOKUP(B2659,'Thống kê'!$C$3:$D$970,2,0)</f>
        <v>0</v>
      </c>
      <c r="D2659" s="166">
        <f>VLOOKUP(B2659,'Thống kê'!$C$3:$M$970,4,0)</f>
        <v>0</v>
      </c>
      <c r="E2659" s="167">
        <v>1</v>
      </c>
      <c r="F2659" s="168">
        <f t="shared" si="11"/>
        <v>0</v>
      </c>
      <c r="G2659" s="75"/>
      <c r="H2659" s="372"/>
    </row>
    <row r="2660" spans="1:8" ht="13.2">
      <c r="A2660" s="49"/>
      <c r="B2660" s="16" t="s">
        <v>137</v>
      </c>
      <c r="C2660" s="143">
        <f>VLOOKUP(B2660,'Thống kê'!$C$3:$D$970,2,0)</f>
        <v>0</v>
      </c>
      <c r="D2660" s="166">
        <f>VLOOKUP(B2660,'Thống kê'!$C$3:$M$970,4,0)</f>
        <v>0</v>
      </c>
      <c r="E2660" s="167">
        <v>1</v>
      </c>
      <c r="F2660" s="168">
        <f t="shared" si="11"/>
        <v>0</v>
      </c>
      <c r="G2660" s="75"/>
      <c r="H2660" s="372"/>
    </row>
    <row r="2661" spans="1:8" ht="13.2">
      <c r="A2661" s="49"/>
      <c r="B2661" s="16" t="s">
        <v>93</v>
      </c>
      <c r="C2661" s="143">
        <f>VLOOKUP(B2661,'Thống kê'!$C$3:$D$970,2,0)</f>
        <v>0</v>
      </c>
      <c r="D2661" s="166">
        <f>VLOOKUP(B2661,'Thống kê'!$C$3:$M$970,4,0)</f>
        <v>0</v>
      </c>
      <c r="E2661" s="167">
        <v>1</v>
      </c>
      <c r="F2661" s="168">
        <f t="shared" si="11"/>
        <v>0</v>
      </c>
      <c r="G2661" s="75"/>
      <c r="H2661" s="372"/>
    </row>
    <row r="2662" spans="1:8" ht="13.2">
      <c r="A2662" s="49"/>
      <c r="B2662" s="16" t="s">
        <v>93</v>
      </c>
      <c r="C2662" s="143">
        <f>VLOOKUP(B2662,'Thống kê'!$C$3:$D$970,2,0)</f>
        <v>0</v>
      </c>
      <c r="D2662" s="166">
        <f>VLOOKUP(B2662,'Thống kê'!$C$3:$M$970,4,0)</f>
        <v>0</v>
      </c>
      <c r="E2662" s="167">
        <v>1</v>
      </c>
      <c r="F2662" s="168">
        <f t="shared" si="11"/>
        <v>0</v>
      </c>
      <c r="G2662" s="75"/>
      <c r="H2662" s="175">
        <v>56580</v>
      </c>
    </row>
    <row r="2663" spans="1:8" ht="13.2">
      <c r="A2663" s="49"/>
      <c r="B2663" s="16" t="s">
        <v>1516</v>
      </c>
      <c r="C2663" s="143">
        <f>VLOOKUP(B2663,'Thống kê'!$C$3:$D$970,2,0)</f>
        <v>0</v>
      </c>
      <c r="D2663" s="166">
        <f>VLOOKUP(B2663,'Thống kê'!$C$3:$M$970,4,0)</f>
        <v>0</v>
      </c>
      <c r="E2663" s="167">
        <v>1</v>
      </c>
      <c r="F2663" s="168">
        <f t="shared" si="11"/>
        <v>0</v>
      </c>
      <c r="G2663" s="75"/>
      <c r="H2663" s="175">
        <v>91840</v>
      </c>
    </row>
    <row r="2664" spans="1:8" ht="13.2">
      <c r="A2664" s="49"/>
      <c r="B2664" s="16" t="s">
        <v>142</v>
      </c>
      <c r="C2664" s="143">
        <f>VLOOKUP(B2664,'Thống kê'!$C$3:$D$970,2,0)</f>
        <v>0</v>
      </c>
      <c r="D2664" s="166">
        <f>VLOOKUP(B2664,'Thống kê'!$C$3:$M$970,4,0)</f>
        <v>0</v>
      </c>
      <c r="E2664" s="167">
        <v>1</v>
      </c>
      <c r="F2664" s="168">
        <f t="shared" si="11"/>
        <v>0</v>
      </c>
      <c r="G2664" s="75"/>
      <c r="H2664" s="175">
        <v>66742</v>
      </c>
    </row>
    <row r="2665" spans="1:8" ht="13.2">
      <c r="A2665" s="49"/>
      <c r="B2665" s="16" t="s">
        <v>119</v>
      </c>
      <c r="C2665" s="143" t="str">
        <f>VLOOKUP(B2665,'Thống kê'!$C$3:$D$970,2,0)</f>
        <v>Thỏ chạy xe gắn xe</v>
      </c>
      <c r="D2665" s="166">
        <f>VLOOKUP(B2665,'Thống kê'!$C$3:$M$970,4,0)</f>
        <v>45000</v>
      </c>
      <c r="E2665" s="167">
        <v>1</v>
      </c>
      <c r="F2665" s="168">
        <f t="shared" si="11"/>
        <v>45000</v>
      </c>
      <c r="G2665" s="75"/>
      <c r="H2665" s="402">
        <v>54354</v>
      </c>
    </row>
    <row r="2666" spans="1:8" ht="13.2">
      <c r="A2666" s="49"/>
      <c r="B2666" s="16" t="s">
        <v>1359</v>
      </c>
      <c r="C2666" s="143" t="str">
        <f>VLOOKUP(B2666,'Thống kê'!$C$3:$D$970,2,0)</f>
        <v>Trang trí mô hình Cún</v>
      </c>
      <c r="D2666" s="166">
        <f>VLOOKUP(B2666,'Thống kê'!$C$3:$M$970,4,0)</f>
        <v>39000</v>
      </c>
      <c r="E2666" s="167">
        <v>1</v>
      </c>
      <c r="F2666" s="168">
        <f t="shared" si="11"/>
        <v>39000</v>
      </c>
      <c r="G2666" s="75"/>
      <c r="H2666" s="372"/>
    </row>
    <row r="2667" spans="1:8" ht="13.2">
      <c r="A2667" s="49"/>
      <c r="B2667" s="16" t="s">
        <v>1519</v>
      </c>
      <c r="C2667" s="143">
        <f>VLOOKUP(B2667,'Thống kê'!$C$3:$D$970,2,0)</f>
        <v>0</v>
      </c>
      <c r="D2667" s="166">
        <f>VLOOKUP(B2667,'Thống kê'!$C$3:$M$970,4,0)</f>
        <v>0</v>
      </c>
      <c r="E2667" s="167">
        <v>1</v>
      </c>
      <c r="F2667" s="168">
        <f t="shared" si="11"/>
        <v>0</v>
      </c>
      <c r="G2667" s="75"/>
      <c r="H2667" s="175">
        <v>91765</v>
      </c>
    </row>
    <row r="2668" spans="1:8" ht="13.2">
      <c r="A2668" s="49"/>
      <c r="B2668" s="16" t="s">
        <v>142</v>
      </c>
      <c r="C2668" s="143">
        <f>VLOOKUP(B2668,'Thống kê'!$C$3:$D$970,2,0)</f>
        <v>0</v>
      </c>
      <c r="D2668" s="166">
        <f>VLOOKUP(B2668,'Thống kê'!$C$3:$M$970,4,0)</f>
        <v>0</v>
      </c>
      <c r="E2668" s="167">
        <v>1</v>
      </c>
      <c r="F2668" s="168">
        <f t="shared" si="11"/>
        <v>0</v>
      </c>
      <c r="G2668" s="75"/>
      <c r="H2668" s="175">
        <v>59523</v>
      </c>
    </row>
    <row r="2669" spans="1:8" ht="13.2">
      <c r="A2669" s="49"/>
      <c r="B2669" s="16" t="s">
        <v>191</v>
      </c>
      <c r="C2669" s="143">
        <f>VLOOKUP(B2669,'Thống kê'!$C$3:$D$970,2,0)</f>
        <v>0</v>
      </c>
      <c r="D2669" s="166">
        <f>VLOOKUP(B2669,'Thống kê'!$C$3:$M$970,4,0)</f>
        <v>0</v>
      </c>
      <c r="E2669" s="167">
        <v>1</v>
      </c>
      <c r="F2669" s="168">
        <f t="shared" si="11"/>
        <v>0</v>
      </c>
      <c r="G2669" s="75"/>
      <c r="H2669" s="175">
        <v>66992</v>
      </c>
    </row>
    <row r="2670" spans="1:8" ht="13.2">
      <c r="A2670" s="49"/>
      <c r="B2670" s="16" t="s">
        <v>191</v>
      </c>
      <c r="C2670" s="143">
        <f>VLOOKUP(B2670,'Thống kê'!$C$3:$D$970,2,0)</f>
        <v>0</v>
      </c>
      <c r="D2670" s="166">
        <f>VLOOKUP(B2670,'Thống kê'!$C$3:$M$970,4,0)</f>
        <v>0</v>
      </c>
      <c r="E2670" s="167">
        <v>7</v>
      </c>
      <c r="F2670" s="168">
        <f t="shared" si="11"/>
        <v>0</v>
      </c>
      <c r="G2670" s="75"/>
      <c r="H2670" s="402">
        <v>1223000</v>
      </c>
    </row>
    <row r="2671" spans="1:8" ht="13.2">
      <c r="A2671" s="49"/>
      <c r="B2671" s="16" t="s">
        <v>126</v>
      </c>
      <c r="C2671" s="143">
        <f>VLOOKUP(B2671,'Thống kê'!$C$3:$D$970,2,0)</f>
        <v>0</v>
      </c>
      <c r="D2671" s="166">
        <f>VLOOKUP(B2671,'Thống kê'!$C$3:$M$970,4,0)</f>
        <v>0</v>
      </c>
      <c r="E2671" s="167">
        <v>15</v>
      </c>
      <c r="F2671" s="168">
        <f t="shared" si="11"/>
        <v>0</v>
      </c>
      <c r="G2671" s="75"/>
      <c r="H2671" s="372"/>
    </row>
    <row r="2672" spans="1:8" ht="13.2">
      <c r="A2672" s="64"/>
      <c r="B2672" s="16" t="s">
        <v>80</v>
      </c>
      <c r="C2672" s="143">
        <f>VLOOKUP(B2672,'Thống kê'!$C$3:$D$970,2,0)</f>
        <v>0</v>
      </c>
      <c r="D2672" s="166">
        <f>VLOOKUP(B2672,'Thống kê'!$C$3:$M$970,4,0)</f>
        <v>0</v>
      </c>
      <c r="E2672" s="167">
        <v>1</v>
      </c>
      <c r="F2672" s="168">
        <f t="shared" si="11"/>
        <v>0</v>
      </c>
      <c r="G2672" s="75"/>
      <c r="H2672" s="372"/>
    </row>
    <row r="2673" spans="1:8" ht="13.2">
      <c r="A2673" s="49"/>
      <c r="B2673" s="16" t="s">
        <v>142</v>
      </c>
      <c r="C2673" s="143">
        <f>VLOOKUP(B2673,'Thống kê'!$C$3:$D$970,2,0)</f>
        <v>0</v>
      </c>
      <c r="D2673" s="166">
        <f>VLOOKUP(B2673,'Thống kê'!$C$3:$M$970,4,0)</f>
        <v>0</v>
      </c>
      <c r="E2673" s="167">
        <v>1</v>
      </c>
      <c r="F2673" s="168">
        <f t="shared" si="11"/>
        <v>0</v>
      </c>
      <c r="G2673" s="75"/>
      <c r="H2673" s="372"/>
    </row>
    <row r="2674" spans="1:8" ht="13.2">
      <c r="A2674" s="49"/>
      <c r="B2674" s="16" t="s">
        <v>200</v>
      </c>
      <c r="C2674" s="143">
        <f>VLOOKUP(B2674,'Thống kê'!$C$3:$D$970,2,0)</f>
        <v>0</v>
      </c>
      <c r="D2674" s="166">
        <f>VLOOKUP(B2674,'Thống kê'!$C$3:$M$970,4,0)</f>
        <v>0</v>
      </c>
      <c r="E2674" s="167">
        <v>1</v>
      </c>
      <c r="F2674" s="168">
        <f t="shared" si="11"/>
        <v>0</v>
      </c>
      <c r="G2674" s="75"/>
      <c r="H2674" s="372"/>
    </row>
    <row r="2675" spans="1:8" ht="13.2">
      <c r="A2675" s="64"/>
      <c r="B2675" s="16" t="s">
        <v>1529</v>
      </c>
      <c r="C2675" s="143">
        <f>VLOOKUP(B2675,'Thống kê'!$C$3:$D$970,2,0)</f>
        <v>0</v>
      </c>
      <c r="D2675" s="166">
        <f>VLOOKUP(B2675,'Thống kê'!$C$3:$M$970,4,0)</f>
        <v>0</v>
      </c>
      <c r="E2675" s="167">
        <v>1</v>
      </c>
      <c r="F2675" s="168">
        <f t="shared" si="11"/>
        <v>0</v>
      </c>
      <c r="G2675" s="75"/>
      <c r="H2675" s="372"/>
    </row>
    <row r="2676" spans="1:8" ht="13.2">
      <c r="A2676" s="49"/>
      <c r="B2676" s="16" t="s">
        <v>1530</v>
      </c>
      <c r="C2676" s="143">
        <f>VLOOKUP(B2676,'Thống kê'!$C$3:$D$970,2,0)</f>
        <v>0</v>
      </c>
      <c r="D2676" s="166">
        <f>VLOOKUP(B2676,'Thống kê'!$C$3:$M$970,4,0)</f>
        <v>0</v>
      </c>
      <c r="E2676" s="167">
        <v>1</v>
      </c>
      <c r="F2676" s="168">
        <f t="shared" si="11"/>
        <v>0</v>
      </c>
      <c r="G2676" s="75"/>
      <c r="H2676" s="372"/>
    </row>
    <row r="2677" spans="1:8" ht="13.2">
      <c r="A2677" s="49"/>
      <c r="B2677" s="16" t="s">
        <v>252</v>
      </c>
      <c r="C2677" s="143">
        <f>VLOOKUP(B2677,'Thống kê'!$C$3:$D$970,2,0)</f>
        <v>0</v>
      </c>
      <c r="D2677" s="166">
        <f>VLOOKUP(B2677,'Thống kê'!$C$3:$M$970,4,0)</f>
        <v>0</v>
      </c>
      <c r="E2677" s="167">
        <v>1</v>
      </c>
      <c r="F2677" s="168">
        <f t="shared" si="11"/>
        <v>0</v>
      </c>
      <c r="G2677" s="75"/>
      <c r="H2677" s="402">
        <v>1067824</v>
      </c>
    </row>
    <row r="2678" spans="1:8" ht="13.2">
      <c r="A2678" s="49"/>
      <c r="B2678" s="16" t="s">
        <v>1524</v>
      </c>
      <c r="C2678" s="143">
        <f>VLOOKUP(B2678,'Thống kê'!$C$3:$D$970,2,0)</f>
        <v>0</v>
      </c>
      <c r="D2678" s="166">
        <f>VLOOKUP(B2678,'Thống kê'!$C$3:$M$970,4,0)</f>
        <v>0</v>
      </c>
      <c r="E2678" s="167">
        <v>2</v>
      </c>
      <c r="F2678" s="168">
        <f t="shared" si="11"/>
        <v>0</v>
      </c>
      <c r="G2678" s="75"/>
      <c r="H2678" s="372"/>
    </row>
    <row r="2679" spans="1:8" ht="13.2">
      <c r="A2679" s="49"/>
      <c r="B2679" s="16" t="s">
        <v>196</v>
      </c>
      <c r="C2679" s="143">
        <f>VLOOKUP(B2679,'Thống kê'!$C$3:$D$970,2,0)</f>
        <v>0</v>
      </c>
      <c r="D2679" s="166">
        <f>VLOOKUP(B2679,'Thống kê'!$C$3:$M$970,4,0)</f>
        <v>0</v>
      </c>
      <c r="E2679" s="167">
        <v>1</v>
      </c>
      <c r="F2679" s="168">
        <f t="shared" si="11"/>
        <v>0</v>
      </c>
      <c r="G2679" s="75"/>
      <c r="H2679" s="372"/>
    </row>
    <row r="2680" spans="1:8" ht="13.2">
      <c r="A2680" s="49"/>
      <c r="B2680" s="16" t="s">
        <v>140</v>
      </c>
      <c r="C2680" s="143">
        <f>VLOOKUP(B2680,'Thống kê'!$C$3:$D$970,2,0)</f>
        <v>0</v>
      </c>
      <c r="D2680" s="166">
        <f>VLOOKUP(B2680,'Thống kê'!$C$3:$M$970,4,0)</f>
        <v>0</v>
      </c>
      <c r="E2680" s="167">
        <v>1</v>
      </c>
      <c r="F2680" s="168">
        <f t="shared" si="11"/>
        <v>0</v>
      </c>
      <c r="G2680" s="75"/>
      <c r="H2680" s="372"/>
    </row>
    <row r="2681" spans="1:8" ht="13.2">
      <c r="A2681" s="49"/>
      <c r="B2681" s="16" t="s">
        <v>1523</v>
      </c>
      <c r="C2681" s="143">
        <f>VLOOKUP(B2681,'Thống kê'!$C$3:$D$970,2,0)</f>
        <v>0</v>
      </c>
      <c r="D2681" s="166">
        <f>VLOOKUP(B2681,'Thống kê'!$C$3:$M$970,4,0)</f>
        <v>0</v>
      </c>
      <c r="E2681" s="167">
        <v>1</v>
      </c>
      <c r="F2681" s="168">
        <f t="shared" si="11"/>
        <v>0</v>
      </c>
      <c r="G2681" s="75"/>
      <c r="H2681" s="372"/>
    </row>
    <row r="2682" spans="1:8" ht="13.2">
      <c r="A2682" s="49"/>
      <c r="B2682" s="16" t="s">
        <v>192</v>
      </c>
      <c r="C2682" s="143">
        <f>VLOOKUP(B2682,'Thống kê'!$C$3:$D$970,2,0)</f>
        <v>0</v>
      </c>
      <c r="D2682" s="166">
        <f>VLOOKUP(B2682,'Thống kê'!$C$3:$M$970,4,0)</f>
        <v>0</v>
      </c>
      <c r="E2682" s="167">
        <v>1</v>
      </c>
      <c r="F2682" s="168">
        <f t="shared" si="11"/>
        <v>0</v>
      </c>
      <c r="G2682" s="75"/>
      <c r="H2682" s="372"/>
    </row>
    <row r="2683" spans="1:8" ht="13.2">
      <c r="A2683" s="49"/>
      <c r="B2683" s="16" t="s">
        <v>1474</v>
      </c>
      <c r="C2683" s="143">
        <f>VLOOKUP(B2683,'Thống kê'!$C$3:$D$970,2,0)</f>
        <v>0</v>
      </c>
      <c r="D2683" s="166">
        <f>VLOOKUP(B2683,'Thống kê'!$C$3:$M$970,4,0)</f>
        <v>0</v>
      </c>
      <c r="E2683" s="167">
        <v>1</v>
      </c>
      <c r="F2683" s="168">
        <f t="shared" si="11"/>
        <v>0</v>
      </c>
      <c r="G2683" s="75"/>
      <c r="H2683" s="372"/>
    </row>
    <row r="2684" spans="1:8" ht="13.2">
      <c r="A2684" s="64"/>
      <c r="B2684" s="16" t="s">
        <v>1475</v>
      </c>
      <c r="C2684" s="143">
        <f>VLOOKUP(B2684,'Thống kê'!$C$3:$D$970,2,0)</f>
        <v>0</v>
      </c>
      <c r="D2684" s="166">
        <f>VLOOKUP(B2684,'Thống kê'!$C$3:$M$970,4,0)</f>
        <v>0</v>
      </c>
      <c r="E2684" s="167">
        <v>1</v>
      </c>
      <c r="F2684" s="168">
        <f t="shared" si="11"/>
        <v>0</v>
      </c>
      <c r="G2684" s="75"/>
      <c r="H2684" s="372"/>
    </row>
    <row r="2685" spans="1:8" ht="13.2">
      <c r="A2685" s="49"/>
      <c r="B2685" s="16" t="s">
        <v>1476</v>
      </c>
      <c r="C2685" s="143">
        <f>VLOOKUP(B2685,'Thống kê'!$C$3:$D$970,2,0)</f>
        <v>0</v>
      </c>
      <c r="D2685" s="166">
        <f>VLOOKUP(B2685,'Thống kê'!$C$3:$M$970,4,0)</f>
        <v>0</v>
      </c>
      <c r="E2685" s="167">
        <v>1</v>
      </c>
      <c r="F2685" s="168">
        <f t="shared" si="11"/>
        <v>0</v>
      </c>
      <c r="G2685" s="75"/>
      <c r="H2685" s="372"/>
    </row>
    <row r="2686" spans="1:8" ht="13.2">
      <c r="A2686" s="49"/>
      <c r="B2686" s="16" t="s">
        <v>1477</v>
      </c>
      <c r="C2686" s="143">
        <f>VLOOKUP(B2686,'Thống kê'!$C$3:$D$970,2,0)</f>
        <v>0</v>
      </c>
      <c r="D2686" s="166">
        <f>VLOOKUP(B2686,'Thống kê'!$C$3:$M$970,4,0)</f>
        <v>0</v>
      </c>
      <c r="E2686" s="167">
        <v>1</v>
      </c>
      <c r="F2686" s="168">
        <f t="shared" si="11"/>
        <v>0</v>
      </c>
      <c r="G2686" s="75"/>
      <c r="H2686" s="372"/>
    </row>
    <row r="2687" spans="1:8" ht="13.2">
      <c r="A2687" s="49"/>
      <c r="B2687" s="16" t="s">
        <v>1478</v>
      </c>
      <c r="C2687" s="143">
        <f>VLOOKUP(B2687,'Thống kê'!$C$3:$D$970,2,0)</f>
        <v>0</v>
      </c>
      <c r="D2687" s="166">
        <f>VLOOKUP(B2687,'Thống kê'!$C$3:$M$970,4,0)</f>
        <v>0</v>
      </c>
      <c r="E2687" s="167">
        <v>1</v>
      </c>
      <c r="F2687" s="168">
        <f t="shared" si="11"/>
        <v>0</v>
      </c>
      <c r="G2687" s="75"/>
      <c r="H2687" s="372"/>
    </row>
    <row r="2688" spans="1:8" ht="13.2">
      <c r="A2688" s="49"/>
      <c r="B2688" s="16" t="s">
        <v>1479</v>
      </c>
      <c r="C2688" s="143">
        <f>VLOOKUP(B2688,'Thống kê'!$C$3:$D$970,2,0)</f>
        <v>0</v>
      </c>
      <c r="D2688" s="166">
        <f>VLOOKUP(B2688,'Thống kê'!$C$3:$M$970,4,0)</f>
        <v>0</v>
      </c>
      <c r="E2688" s="167">
        <v>1</v>
      </c>
      <c r="F2688" s="168">
        <f t="shared" si="11"/>
        <v>0</v>
      </c>
      <c r="G2688" s="75"/>
      <c r="H2688" s="372"/>
    </row>
    <row r="2689" spans="1:8" ht="13.2">
      <c r="A2689" s="49"/>
      <c r="B2689" s="16" t="s">
        <v>159</v>
      </c>
      <c r="C2689" s="143">
        <f>VLOOKUP(B2689,'Thống kê'!$C$3:$D$970,2,0)</f>
        <v>0</v>
      </c>
      <c r="D2689" s="166">
        <f>VLOOKUP(B2689,'Thống kê'!$C$3:$M$970,4,0)</f>
        <v>0</v>
      </c>
      <c r="E2689" s="167">
        <v>1</v>
      </c>
      <c r="F2689" s="168">
        <f t="shared" si="11"/>
        <v>0</v>
      </c>
      <c r="G2689" s="75"/>
      <c r="H2689" s="175">
        <v>71268</v>
      </c>
    </row>
    <row r="2690" spans="1:8" ht="13.2">
      <c r="A2690" s="49"/>
      <c r="B2690" s="16" t="s">
        <v>119</v>
      </c>
      <c r="C2690" s="143" t="str">
        <f>VLOOKUP(B2690,'Thống kê'!$C$3:$D$970,2,0)</f>
        <v>Thỏ chạy xe gắn xe</v>
      </c>
      <c r="D2690" s="166">
        <f>VLOOKUP(B2690,'Thống kê'!$C$3:$M$970,4,0)</f>
        <v>45000</v>
      </c>
      <c r="E2690" s="167">
        <v>1</v>
      </c>
      <c r="F2690" s="168">
        <f t="shared" si="11"/>
        <v>45000</v>
      </c>
      <c r="G2690" s="75"/>
      <c r="H2690" s="175">
        <v>30380</v>
      </c>
    </row>
    <row r="2691" spans="1:8" ht="13.2">
      <c r="A2691" s="49"/>
      <c r="B2691" s="16" t="s">
        <v>150</v>
      </c>
      <c r="C2691" s="143" t="str">
        <f>VLOOKUP(B2691,'Thống kê'!$C$3:$D$970,2,0)</f>
        <v>Móc khóa có chuông</v>
      </c>
      <c r="D2691" s="166">
        <f>VLOOKUP(B2691,'Thống kê'!$C$3:$M$970,4,0)</f>
        <v>59000</v>
      </c>
      <c r="E2691" s="167">
        <v>1</v>
      </c>
      <c r="F2691" s="168">
        <f t="shared" si="11"/>
        <v>59000</v>
      </c>
      <c r="G2691" s="75"/>
      <c r="H2691" s="175">
        <v>48380</v>
      </c>
    </row>
    <row r="2692" spans="1:8" ht="13.2">
      <c r="A2692" s="49"/>
      <c r="B2692" s="16" t="s">
        <v>191</v>
      </c>
      <c r="C2692" s="143">
        <f>VLOOKUP(B2692,'Thống kê'!$C$3:$D$970,2,0)</f>
        <v>0</v>
      </c>
      <c r="D2692" s="166">
        <f>VLOOKUP(B2692,'Thống kê'!$C$3:$M$970,4,0)</f>
        <v>0</v>
      </c>
      <c r="E2692" s="167">
        <v>1</v>
      </c>
      <c r="F2692" s="168">
        <f t="shared" si="11"/>
        <v>0</v>
      </c>
      <c r="G2692" s="75"/>
      <c r="H2692" s="175">
        <v>67067</v>
      </c>
    </row>
    <row r="2693" spans="1:8" ht="13.2">
      <c r="A2693" s="49"/>
      <c r="B2693" s="16" t="s">
        <v>1384</v>
      </c>
      <c r="C2693" s="143" t="str">
        <f>VLOOKUP(B2693,'Thống kê'!$C$3:$D$970,2,0)</f>
        <v>Móc khoá Crybaby mini Popmart</v>
      </c>
      <c r="D2693" s="166">
        <f>VLOOKUP(B2693,'Thống kê'!$C$3:$M$970,4,0)</f>
        <v>0</v>
      </c>
      <c r="E2693" s="167">
        <v>1</v>
      </c>
      <c r="F2693" s="168">
        <f t="shared" si="11"/>
        <v>0</v>
      </c>
      <c r="G2693" s="75"/>
      <c r="H2693" s="175">
        <v>77500</v>
      </c>
    </row>
    <row r="2694" spans="1:8" ht="13.2">
      <c r="A2694" s="49"/>
      <c r="B2694" s="16" t="s">
        <v>1825</v>
      </c>
      <c r="C2694" s="143" t="str">
        <f>VLOOKUP(B2694,'Thống kê'!$C$3:$D$970,2,0)</f>
        <v>Túi Đựng Mắt Kính Da Pu</v>
      </c>
      <c r="D2694" s="166">
        <f>VLOOKUP(B2694,'Thống kê'!$C$3:$M$970,4,0)</f>
        <v>0</v>
      </c>
      <c r="E2694" s="167">
        <v>1</v>
      </c>
      <c r="F2694" s="168">
        <f t="shared" si="11"/>
        <v>0</v>
      </c>
      <c r="G2694" s="75"/>
      <c r="H2694" s="175">
        <v>19399</v>
      </c>
    </row>
    <row r="2695" spans="1:8" ht="13.2">
      <c r="A2695" s="49"/>
      <c r="B2695" s="16" t="s">
        <v>176</v>
      </c>
      <c r="C2695" s="143">
        <f>VLOOKUP(B2695,'Thống kê'!$C$3:$D$970,2,0)</f>
        <v>0</v>
      </c>
      <c r="D2695" s="166">
        <f>VLOOKUP(B2695,'Thống kê'!$C$3:$M$970,4,0)</f>
        <v>0</v>
      </c>
      <c r="E2695" s="167">
        <v>1</v>
      </c>
      <c r="F2695" s="168">
        <f t="shared" si="11"/>
        <v>0</v>
      </c>
      <c r="G2695" s="75"/>
      <c r="H2695" s="175">
        <v>65507</v>
      </c>
    </row>
    <row r="2696" spans="1:8" ht="13.2">
      <c r="A2696" s="49"/>
      <c r="B2696" s="16" t="s">
        <v>279</v>
      </c>
      <c r="C2696" s="143">
        <f>VLOOKUP(B2696,'Thống kê'!$C$3:$D$970,2,0)</f>
        <v>0</v>
      </c>
      <c r="D2696" s="166">
        <f>VLOOKUP(B2696,'Thống kê'!$C$3:$M$970,4,0)</f>
        <v>0</v>
      </c>
      <c r="E2696" s="167">
        <v>1</v>
      </c>
      <c r="F2696" s="168">
        <f t="shared" si="11"/>
        <v>0</v>
      </c>
      <c r="G2696" s="75"/>
      <c r="H2696" s="175">
        <v>58948</v>
      </c>
    </row>
    <row r="2697" spans="1:8" ht="13.2">
      <c r="A2697" s="49"/>
      <c r="B2697" s="16" t="s">
        <v>192</v>
      </c>
      <c r="C2697" s="143">
        <f>VLOOKUP(B2697,'Thống kê'!$C$3:$D$970,2,0)</f>
        <v>0</v>
      </c>
      <c r="D2697" s="166">
        <f>VLOOKUP(B2697,'Thống kê'!$C$3:$M$970,4,0)</f>
        <v>0</v>
      </c>
      <c r="E2697" s="167">
        <v>1</v>
      </c>
      <c r="F2697" s="168">
        <f t="shared" si="11"/>
        <v>0</v>
      </c>
      <c r="G2697" s="75"/>
      <c r="H2697" s="175">
        <v>60352</v>
      </c>
    </row>
    <row r="2698" spans="1:8" ht="13.2">
      <c r="A2698" s="49"/>
      <c r="B2698" s="16" t="s">
        <v>1817</v>
      </c>
      <c r="C2698" s="143" t="str">
        <f>VLOOKUP(B2698,'Thống kê'!$C$3:$D$970,2,0)</f>
        <v>Túi Đựng Mắt Kính Da Pu</v>
      </c>
      <c r="D2698" s="166">
        <f>VLOOKUP(B2698,'Thống kê'!$C$3:$M$970,4,0)</f>
        <v>0</v>
      </c>
      <c r="E2698" s="167">
        <v>1</v>
      </c>
      <c r="F2698" s="168">
        <f t="shared" si="11"/>
        <v>0</v>
      </c>
      <c r="G2698" s="75"/>
      <c r="H2698" s="175">
        <v>19399</v>
      </c>
    </row>
    <row r="2699" spans="1:8" ht="13.2">
      <c r="A2699" s="49"/>
      <c r="B2699" s="16" t="s">
        <v>133</v>
      </c>
      <c r="C2699" s="143">
        <f>VLOOKUP(B2699,'Thống kê'!$C$3:$D$970,2,0)</f>
        <v>0</v>
      </c>
      <c r="D2699" s="166">
        <f>VLOOKUP(B2699,'Thống kê'!$C$3:$M$970,4,0)</f>
        <v>0</v>
      </c>
      <c r="E2699" s="167">
        <v>1</v>
      </c>
      <c r="F2699" s="168">
        <f t="shared" si="11"/>
        <v>0</v>
      </c>
      <c r="G2699" s="75"/>
      <c r="H2699" s="402">
        <v>116240</v>
      </c>
    </row>
    <row r="2700" spans="1:8" ht="13.2">
      <c r="A2700" s="49"/>
      <c r="B2700" s="16" t="s">
        <v>103</v>
      </c>
      <c r="C2700" s="143">
        <f>VLOOKUP(B2700,'Thống kê'!$C$3:$D$970,2,0)</f>
        <v>0</v>
      </c>
      <c r="D2700" s="166">
        <f>VLOOKUP(B2700,'Thống kê'!$C$3:$M$970,4,0)</f>
        <v>0</v>
      </c>
      <c r="E2700" s="167">
        <v>1</v>
      </c>
      <c r="F2700" s="168">
        <f t="shared" si="11"/>
        <v>0</v>
      </c>
      <c r="G2700" s="75"/>
      <c r="H2700" s="372"/>
    </row>
    <row r="2701" spans="1:8" ht="13.2">
      <c r="A2701" s="49"/>
      <c r="B2701" s="16" t="s">
        <v>1836</v>
      </c>
      <c r="C2701" s="143" t="str">
        <f>VLOOKUP(B2701,'Thống kê'!$C$3:$D$970,2,0)</f>
        <v>Túi Đựng Mắt Kính Da Pu</v>
      </c>
      <c r="D2701" s="166">
        <f>VLOOKUP(B2701,'Thống kê'!$C$3:$M$970,4,0)</f>
        <v>0</v>
      </c>
      <c r="E2701" s="167">
        <v>1</v>
      </c>
      <c r="F2701" s="168">
        <f t="shared" si="11"/>
        <v>0</v>
      </c>
      <c r="G2701" s="75"/>
      <c r="H2701" s="402">
        <v>45785</v>
      </c>
    </row>
    <row r="2702" spans="1:8" ht="13.2">
      <c r="A2702" s="49"/>
      <c r="B2702" s="16" t="s">
        <v>1834</v>
      </c>
      <c r="C2702" s="143" t="str">
        <f>VLOOKUP(B2702,'Thống kê'!$C$3:$D$970,2,0)</f>
        <v>Túi Đựng Mắt Kính Da Pu</v>
      </c>
      <c r="D2702" s="166">
        <f>VLOOKUP(B2702,'Thống kê'!$C$3:$M$970,4,0)</f>
        <v>0</v>
      </c>
      <c r="E2702" s="167">
        <v>1</v>
      </c>
      <c r="F2702" s="168">
        <f t="shared" si="11"/>
        <v>0</v>
      </c>
      <c r="G2702" s="75"/>
      <c r="H2702" s="372"/>
    </row>
    <row r="2703" spans="1:8" ht="13.2">
      <c r="A2703" s="49"/>
      <c r="B2703" s="16" t="s">
        <v>1841</v>
      </c>
      <c r="C2703" s="143" t="str">
        <f>VLOOKUP(B2703,'Thống kê'!$C$3:$D$970,2,0)</f>
        <v>Túi Đựng Mắt Kính Da Pu</v>
      </c>
      <c r="D2703" s="166">
        <f>VLOOKUP(B2703,'Thống kê'!$C$3:$M$970,4,0)</f>
        <v>0</v>
      </c>
      <c r="E2703" s="167">
        <v>1</v>
      </c>
      <c r="F2703" s="168">
        <f t="shared" si="11"/>
        <v>0</v>
      </c>
      <c r="G2703" s="75"/>
      <c r="H2703" s="372"/>
    </row>
    <row r="2704" spans="1:8" ht="13.2">
      <c r="A2704" s="49"/>
      <c r="B2704" s="16" t="s">
        <v>1446</v>
      </c>
      <c r="C2704" s="143" t="str">
        <f>VLOOKUP(B2704,'Thống kê'!$C$3:$D$970,2,0)</f>
        <v>túi mù mô hình</v>
      </c>
      <c r="D2704" s="166">
        <f>VLOOKUP(B2704,'Thống kê'!$C$3:$M$970,4,0)</f>
        <v>0</v>
      </c>
      <c r="E2704" s="167">
        <v>2</v>
      </c>
      <c r="F2704" s="168">
        <f t="shared" si="11"/>
        <v>0</v>
      </c>
      <c r="G2704" s="75"/>
      <c r="H2704" s="402">
        <v>161418</v>
      </c>
    </row>
    <row r="2705" spans="1:8" ht="13.2">
      <c r="A2705" s="49"/>
      <c r="B2705" s="16" t="s">
        <v>170</v>
      </c>
      <c r="C2705" s="143" t="str">
        <f>VLOOKUP(B2705,'Thống kê'!$C$3:$D$970,2,0)</f>
        <v>Móc khóa chuối</v>
      </c>
      <c r="D2705" s="166">
        <f>VLOOKUP(B2705,'Thống kê'!$C$3:$M$970,4,0)</f>
        <v>148000</v>
      </c>
      <c r="E2705" s="167">
        <v>1</v>
      </c>
      <c r="F2705" s="168">
        <f t="shared" si="11"/>
        <v>148000</v>
      </c>
      <c r="G2705" s="75"/>
      <c r="H2705" s="372"/>
    </row>
    <row r="2706" spans="1:8" ht="13.2">
      <c r="A2706" s="49"/>
      <c r="B2706" s="16" t="s">
        <v>1830</v>
      </c>
      <c r="C2706" s="143" t="str">
        <f>VLOOKUP(B2706,'Thống kê'!$C$3:$D$970,2,0)</f>
        <v>Túi đựng đồ trang điểm nhỏ</v>
      </c>
      <c r="D2706" s="166">
        <f>VLOOKUP(B2706,'Thống kê'!$C$3:$M$970,4,0)</f>
        <v>0</v>
      </c>
      <c r="E2706" s="167">
        <v>1</v>
      </c>
      <c r="F2706" s="168">
        <f t="shared" si="11"/>
        <v>0</v>
      </c>
      <c r="G2706" s="75"/>
      <c r="H2706" s="372"/>
    </row>
    <row r="2707" spans="1:8" ht="13.2">
      <c r="A2707" s="49"/>
      <c r="B2707" s="16" t="s">
        <v>85</v>
      </c>
      <c r="C2707" s="143">
        <f>VLOOKUP(B2707,'Thống kê'!$C$3:$D$970,2,0)</f>
        <v>0</v>
      </c>
      <c r="D2707" s="166">
        <f>VLOOKUP(B2707,'Thống kê'!$C$3:$M$970,4,0)</f>
        <v>0</v>
      </c>
      <c r="E2707" s="167">
        <v>1</v>
      </c>
      <c r="F2707" s="168">
        <f t="shared" si="11"/>
        <v>0</v>
      </c>
      <c r="G2707" s="75"/>
      <c r="H2707" s="175">
        <v>59523</v>
      </c>
    </row>
    <row r="2708" spans="1:8" ht="13.2">
      <c r="A2708" s="49"/>
      <c r="B2708" s="16" t="s">
        <v>93</v>
      </c>
      <c r="C2708" s="143">
        <f>VLOOKUP(B2708,'Thống kê'!$C$3:$D$970,2,0)</f>
        <v>0</v>
      </c>
      <c r="D2708" s="166">
        <f>VLOOKUP(B2708,'Thống kê'!$C$3:$M$970,4,0)</f>
        <v>0</v>
      </c>
      <c r="E2708" s="167">
        <v>1</v>
      </c>
      <c r="F2708" s="168">
        <f t="shared" si="11"/>
        <v>0</v>
      </c>
      <c r="G2708" s="75"/>
      <c r="H2708" s="175">
        <v>58530</v>
      </c>
    </row>
    <row r="2709" spans="1:8" ht="13.2">
      <c r="A2709" s="49"/>
      <c r="B2709" s="16" t="s">
        <v>1528</v>
      </c>
      <c r="C2709" s="143">
        <f>VLOOKUP(B2709,'Thống kê'!$C$3:$D$970,2,0)</f>
        <v>0</v>
      </c>
      <c r="D2709" s="166">
        <f>VLOOKUP(B2709,'Thống kê'!$C$3:$M$970,4,0)</f>
        <v>0</v>
      </c>
      <c r="E2709" s="167">
        <v>1</v>
      </c>
      <c r="F2709" s="168">
        <f t="shared" si="11"/>
        <v>0</v>
      </c>
      <c r="G2709" s="75"/>
      <c r="H2709" s="175">
        <v>71493</v>
      </c>
    </row>
    <row r="2710" spans="1:8" ht="13.2">
      <c r="A2710" s="49"/>
      <c r="B2710" s="16" t="s">
        <v>176</v>
      </c>
      <c r="C2710" s="143">
        <f>VLOOKUP(B2710,'Thống kê'!$C$3:$D$970,2,0)</f>
        <v>0</v>
      </c>
      <c r="D2710" s="166">
        <f>VLOOKUP(B2710,'Thống kê'!$C$3:$M$970,4,0)</f>
        <v>0</v>
      </c>
      <c r="E2710" s="167">
        <v>1</v>
      </c>
      <c r="F2710" s="168">
        <f t="shared" si="11"/>
        <v>0</v>
      </c>
      <c r="G2710" s="75"/>
      <c r="H2710" s="175">
        <v>71668</v>
      </c>
    </row>
    <row r="2711" spans="1:8" ht="13.2">
      <c r="A2711" s="49"/>
      <c r="B2711" s="16" t="s">
        <v>103</v>
      </c>
      <c r="C2711" s="143">
        <f>VLOOKUP(B2711,'Thống kê'!$C$3:$D$970,2,0)</f>
        <v>0</v>
      </c>
      <c r="D2711" s="166">
        <f>VLOOKUP(B2711,'Thống kê'!$C$3:$M$970,4,0)</f>
        <v>0</v>
      </c>
      <c r="E2711" s="167">
        <v>1</v>
      </c>
      <c r="F2711" s="168">
        <f t="shared" si="11"/>
        <v>0</v>
      </c>
      <c r="G2711" s="75"/>
      <c r="H2711" s="175">
        <v>56380</v>
      </c>
    </row>
    <row r="2712" spans="1:8" ht="13.2">
      <c r="A2712" s="49"/>
      <c r="B2712" s="16" t="s">
        <v>133</v>
      </c>
      <c r="C2712" s="143">
        <f>VLOOKUP(B2712,'Thống kê'!$C$3:$D$970,2,0)</f>
        <v>0</v>
      </c>
      <c r="D2712" s="166">
        <f>VLOOKUP(B2712,'Thống kê'!$C$3:$M$970,4,0)</f>
        <v>0</v>
      </c>
      <c r="E2712" s="167">
        <v>1</v>
      </c>
      <c r="F2712" s="168">
        <f t="shared" si="11"/>
        <v>0</v>
      </c>
      <c r="G2712" s="75"/>
      <c r="H2712" s="175">
        <v>104140</v>
      </c>
    </row>
    <row r="2713" spans="1:8" ht="13.2">
      <c r="A2713" s="49"/>
      <c r="B2713" s="16" t="s">
        <v>1779</v>
      </c>
      <c r="C2713" s="143">
        <f>VLOOKUP(B2713,'Thống kê'!$C$3:$D$970,2,0)</f>
        <v>0</v>
      </c>
      <c r="D2713" s="166">
        <f>VLOOKUP(B2713,'Thống kê'!$C$3:$M$970,4,0)</f>
        <v>0</v>
      </c>
      <c r="E2713" s="167">
        <v>1</v>
      </c>
      <c r="F2713" s="168">
        <f t="shared" si="11"/>
        <v>0</v>
      </c>
      <c r="G2713" s="75"/>
      <c r="H2713" s="175">
        <v>91840</v>
      </c>
    </row>
    <row r="2714" spans="1:8" ht="13.2">
      <c r="A2714" s="49"/>
      <c r="B2714" s="16" t="s">
        <v>142</v>
      </c>
      <c r="C2714" s="143">
        <f>VLOOKUP(B2714,'Thống kê'!$C$3:$D$970,2,0)</f>
        <v>0</v>
      </c>
      <c r="D2714" s="166">
        <f>VLOOKUP(B2714,'Thống kê'!$C$3:$M$970,4,0)</f>
        <v>0</v>
      </c>
      <c r="E2714" s="167">
        <v>1</v>
      </c>
      <c r="F2714" s="168">
        <f t="shared" si="11"/>
        <v>0</v>
      </c>
      <c r="G2714" s="75"/>
      <c r="H2714" s="175">
        <v>64124</v>
      </c>
    </row>
    <row r="2715" spans="1:8" ht="13.2">
      <c r="A2715" s="49"/>
      <c r="B2715" s="16" t="s">
        <v>1382</v>
      </c>
      <c r="C2715" s="143" t="str">
        <f>VLOOKUP(B2715,'Thống kê'!$C$3:$D$970,2,0)</f>
        <v>miếng dán silicon điện thoại</v>
      </c>
      <c r="D2715" s="166">
        <f>VLOOKUP(B2715,'Thống kê'!$C$3:$M$970,4,0)</f>
        <v>0</v>
      </c>
      <c r="E2715" s="167">
        <v>2</v>
      </c>
      <c r="F2715" s="168">
        <f t="shared" si="11"/>
        <v>0</v>
      </c>
      <c r="G2715" s="75"/>
      <c r="H2715" s="402">
        <v>66480</v>
      </c>
    </row>
    <row r="2716" spans="1:8" ht="13.2">
      <c r="A2716" s="49"/>
      <c r="B2716" s="16" t="s">
        <v>77</v>
      </c>
      <c r="C2716" s="143">
        <f>VLOOKUP(B2716,'Thống kê'!$C$3:$D$970,2,0)</f>
        <v>0</v>
      </c>
      <c r="D2716" s="166">
        <f>VLOOKUP(B2716,'Thống kê'!$C$3:$M$970,4,0)</f>
        <v>0</v>
      </c>
      <c r="E2716" s="167">
        <v>1</v>
      </c>
      <c r="F2716" s="168">
        <f t="shared" si="11"/>
        <v>0</v>
      </c>
      <c r="G2716" s="75"/>
      <c r="H2716" s="372"/>
    </row>
    <row r="2717" spans="1:8" ht="13.2">
      <c r="A2717" s="64"/>
      <c r="B2717" s="16" t="s">
        <v>325</v>
      </c>
      <c r="C2717" s="143" t="str">
        <f>VLOOKUP(B2717,'Thống kê'!$C$3:$D$970,2,0)</f>
        <v>Gấu ú</v>
      </c>
      <c r="D2717" s="166">
        <f>VLOOKUP(B2717,'Thống kê'!$C$3:$M$970,4,0)</f>
        <v>59500</v>
      </c>
      <c r="E2717" s="167">
        <v>1</v>
      </c>
      <c r="F2717" s="168">
        <f t="shared" si="11"/>
        <v>59500</v>
      </c>
      <c r="G2717" s="75"/>
      <c r="H2717" s="402">
        <v>82820</v>
      </c>
    </row>
    <row r="2718" spans="1:8" ht="13.2">
      <c r="A2718" s="49"/>
      <c r="B2718" s="16" t="s">
        <v>119</v>
      </c>
      <c r="C2718" s="143" t="str">
        <f>VLOOKUP(B2718,'Thống kê'!$C$3:$D$970,2,0)</f>
        <v>Thỏ chạy xe gắn xe</v>
      </c>
      <c r="D2718" s="166">
        <f>VLOOKUP(B2718,'Thống kê'!$C$3:$M$970,4,0)</f>
        <v>45000</v>
      </c>
      <c r="E2718" s="167">
        <v>1</v>
      </c>
      <c r="F2718" s="168">
        <f t="shared" si="11"/>
        <v>45000</v>
      </c>
      <c r="G2718" s="75"/>
      <c r="H2718" s="372"/>
    </row>
    <row r="2719" spans="1:8" ht="13.2">
      <c r="A2719" s="49"/>
      <c r="B2719" s="16" t="s">
        <v>234</v>
      </c>
      <c r="C2719" s="143" t="str">
        <f>VLOOKUP(B2719,'Thống kê'!$C$3:$D$970,2,0)</f>
        <v>Móc khoá skullpanda phiên bản mini</v>
      </c>
      <c r="D2719" s="166">
        <f>VLOOKUP(B2719,'Thống kê'!$C$3:$M$970,4,0)</f>
        <v>98000</v>
      </c>
      <c r="E2719" s="167">
        <v>1</v>
      </c>
      <c r="F2719" s="168">
        <f t="shared" si="11"/>
        <v>98000</v>
      </c>
      <c r="G2719" s="75"/>
      <c r="H2719" s="175">
        <v>74888</v>
      </c>
    </row>
    <row r="2720" spans="1:8" ht="13.2">
      <c r="A2720" s="49"/>
      <c r="B2720" s="16" t="s">
        <v>234</v>
      </c>
      <c r="C2720" s="143" t="str">
        <f>VLOOKUP(B2720,'Thống kê'!$C$3:$D$970,2,0)</f>
        <v>Móc khoá skullpanda phiên bản mini</v>
      </c>
      <c r="D2720" s="166">
        <f>VLOOKUP(B2720,'Thống kê'!$C$3:$M$970,4,0)</f>
        <v>98000</v>
      </c>
      <c r="E2720" s="167">
        <v>1</v>
      </c>
      <c r="F2720" s="168">
        <f t="shared" si="11"/>
        <v>98000</v>
      </c>
      <c r="G2720" s="75"/>
      <c r="H2720" s="175">
        <v>75063</v>
      </c>
    </row>
    <row r="2721" spans="1:8" ht="13.2">
      <c r="A2721" s="64"/>
      <c r="B2721" s="16" t="s">
        <v>1836</v>
      </c>
      <c r="C2721" s="143" t="str">
        <f>VLOOKUP(B2721,'Thống kê'!$C$3:$D$970,2,0)</f>
        <v>Túi Đựng Mắt Kính Da Pu</v>
      </c>
      <c r="D2721" s="166">
        <f>VLOOKUP(B2721,'Thống kê'!$C$3:$M$970,4,0)</f>
        <v>0</v>
      </c>
      <c r="E2721" s="167">
        <v>1</v>
      </c>
      <c r="F2721" s="168">
        <f t="shared" si="11"/>
        <v>0</v>
      </c>
      <c r="G2721" s="75"/>
      <c r="H2721" s="175">
        <v>12817</v>
      </c>
    </row>
    <row r="2722" spans="1:8" ht="13.2">
      <c r="A2722" s="49"/>
      <c r="B2722" s="16" t="s">
        <v>133</v>
      </c>
      <c r="C2722" s="143">
        <f>VLOOKUP(B2722,'Thống kê'!$C$3:$D$970,2,0)</f>
        <v>0</v>
      </c>
      <c r="D2722" s="166">
        <f>VLOOKUP(B2722,'Thống kê'!$C$3:$M$970,4,0)</f>
        <v>0</v>
      </c>
      <c r="E2722" s="167">
        <v>1</v>
      </c>
      <c r="F2722" s="168">
        <f t="shared" si="11"/>
        <v>0</v>
      </c>
      <c r="G2722" s="75"/>
      <c r="H2722" s="175">
        <v>99965</v>
      </c>
    </row>
    <row r="2723" spans="1:8" ht="13.2">
      <c r="A2723" s="49"/>
      <c r="B2723" s="16" t="s">
        <v>133</v>
      </c>
      <c r="C2723" s="143">
        <f>VLOOKUP(B2723,'Thống kê'!$C$3:$D$970,2,0)</f>
        <v>0</v>
      </c>
      <c r="D2723" s="166">
        <f>VLOOKUP(B2723,'Thống kê'!$C$3:$M$970,4,0)</f>
        <v>0</v>
      </c>
      <c r="E2723" s="167">
        <v>1</v>
      </c>
      <c r="F2723" s="168">
        <f t="shared" si="11"/>
        <v>0</v>
      </c>
      <c r="G2723" s="75"/>
      <c r="H2723" s="175">
        <v>99965</v>
      </c>
    </row>
    <row r="2724" spans="1:8" ht="13.2">
      <c r="A2724" s="49"/>
      <c r="B2724" s="16" t="s">
        <v>234</v>
      </c>
      <c r="C2724" s="143" t="str">
        <f>VLOOKUP(B2724,'Thống kê'!$C$3:$D$970,2,0)</f>
        <v>Móc khoá skullpanda phiên bản mini</v>
      </c>
      <c r="D2724" s="166">
        <f>VLOOKUP(B2724,'Thống kê'!$C$3:$M$970,4,0)</f>
        <v>98000</v>
      </c>
      <c r="E2724" s="167">
        <v>1</v>
      </c>
      <c r="F2724" s="168">
        <f t="shared" si="11"/>
        <v>98000</v>
      </c>
      <c r="G2724" s="75"/>
      <c r="H2724" s="175">
        <v>74663</v>
      </c>
    </row>
    <row r="2725" spans="1:8" ht="13.2">
      <c r="A2725" s="49"/>
      <c r="B2725" s="16" t="s">
        <v>1384</v>
      </c>
      <c r="C2725" s="143" t="str">
        <f>VLOOKUP(B2725,'Thống kê'!$C$3:$D$970,2,0)</f>
        <v>Móc khoá Crybaby mini Popmart</v>
      </c>
      <c r="D2725" s="166">
        <f>VLOOKUP(B2725,'Thống kê'!$C$3:$M$970,4,0)</f>
        <v>0</v>
      </c>
      <c r="E2725" s="167">
        <v>1</v>
      </c>
      <c r="F2725" s="168">
        <f t="shared" si="11"/>
        <v>0</v>
      </c>
      <c r="G2725" s="75"/>
      <c r="H2725" s="175">
        <v>91840</v>
      </c>
    </row>
    <row r="2726" spans="1:8" ht="13.2">
      <c r="A2726" s="49"/>
      <c r="B2726" s="16" t="s">
        <v>234</v>
      </c>
      <c r="C2726" s="143" t="str">
        <f>VLOOKUP(B2726,'Thống kê'!$C$3:$D$970,2,0)</f>
        <v>Móc khoá skullpanda phiên bản mini</v>
      </c>
      <c r="D2726" s="166">
        <f>VLOOKUP(B2726,'Thống kê'!$C$3:$M$970,4,0)</f>
        <v>98000</v>
      </c>
      <c r="E2726" s="167">
        <v>1</v>
      </c>
      <c r="F2726" s="168">
        <f t="shared" si="11"/>
        <v>98000</v>
      </c>
      <c r="G2726" s="75"/>
      <c r="H2726" s="175">
        <v>74238</v>
      </c>
    </row>
    <row r="2727" spans="1:8" ht="13.2">
      <c r="A2727" s="49"/>
      <c r="B2727" s="16" t="s">
        <v>1370</v>
      </c>
      <c r="C2727" s="143" t="str">
        <f>VLOOKUP(B2727,'Thống kê'!$C$3:$D$970,2,0)</f>
        <v>Móc khóa Popbean</v>
      </c>
      <c r="D2727" s="166">
        <f>VLOOKUP(B2727,'Thống kê'!$C$3:$M$970,4,0)</f>
        <v>148000</v>
      </c>
      <c r="E2727" s="167">
        <v>1</v>
      </c>
      <c r="F2727" s="168">
        <f t="shared" si="11"/>
        <v>148000</v>
      </c>
      <c r="G2727" s="75"/>
      <c r="H2727" s="402">
        <v>165968</v>
      </c>
    </row>
    <row r="2728" spans="1:8" ht="13.2">
      <c r="A2728" s="49"/>
      <c r="B2728" s="16" t="s">
        <v>107</v>
      </c>
      <c r="C2728" s="143">
        <f>VLOOKUP(B2728,'Thống kê'!$C$3:$D$970,2,0)</f>
        <v>0</v>
      </c>
      <c r="D2728" s="166">
        <f>VLOOKUP(B2728,'Thống kê'!$C$3:$M$970,4,0)</f>
        <v>0</v>
      </c>
      <c r="E2728" s="167">
        <v>1</v>
      </c>
      <c r="F2728" s="168">
        <f t="shared" si="11"/>
        <v>0</v>
      </c>
      <c r="G2728" s="75"/>
      <c r="H2728" s="372"/>
    </row>
    <row r="2729" spans="1:8" ht="13.2">
      <c r="A2729" s="49"/>
      <c r="B2729" s="16" t="s">
        <v>1516</v>
      </c>
      <c r="C2729" s="143">
        <f>VLOOKUP(B2729,'Thống kê'!$C$3:$D$970,2,0)</f>
        <v>0</v>
      </c>
      <c r="D2729" s="166">
        <f>VLOOKUP(B2729,'Thống kê'!$C$3:$M$970,4,0)</f>
        <v>0</v>
      </c>
      <c r="E2729" s="167">
        <v>1</v>
      </c>
      <c r="F2729" s="168">
        <f t="shared" si="11"/>
        <v>0</v>
      </c>
      <c r="G2729" s="75"/>
      <c r="H2729" s="402">
        <v>116440</v>
      </c>
    </row>
    <row r="2730" spans="1:8" ht="13.2">
      <c r="A2730" s="64"/>
      <c r="B2730" s="16" t="s">
        <v>1518</v>
      </c>
      <c r="C2730" s="143">
        <f>VLOOKUP(B2730,'Thống kê'!$C$3:$D$970,2,0)</f>
        <v>0</v>
      </c>
      <c r="D2730" s="166">
        <f>VLOOKUP(B2730,'Thống kê'!$C$3:$M$970,4,0)</f>
        <v>0</v>
      </c>
      <c r="E2730" s="167">
        <v>1</v>
      </c>
      <c r="F2730" s="168">
        <f t="shared" si="11"/>
        <v>0</v>
      </c>
      <c r="G2730" s="75"/>
      <c r="H2730" s="372"/>
    </row>
    <row r="2731" spans="1:8" ht="13.2">
      <c r="A2731" s="49"/>
      <c r="B2731" s="16" t="s">
        <v>1382</v>
      </c>
      <c r="C2731" s="143" t="str">
        <f>VLOOKUP(B2731,'Thống kê'!$C$3:$D$970,2,0)</f>
        <v>miếng dán silicon điện thoại</v>
      </c>
      <c r="D2731" s="166">
        <f>VLOOKUP(B2731,'Thống kê'!$C$3:$M$970,4,0)</f>
        <v>0</v>
      </c>
      <c r="E2731" s="167">
        <v>1</v>
      </c>
      <c r="F2731" s="168">
        <f t="shared" si="11"/>
        <v>0</v>
      </c>
      <c r="G2731" s="75"/>
      <c r="H2731" s="372"/>
    </row>
    <row r="2732" spans="1:8" ht="13.2">
      <c r="A2732" s="49"/>
      <c r="B2732" s="16" t="s">
        <v>1522</v>
      </c>
      <c r="C2732" s="143">
        <f>VLOOKUP(B2732,'Thống kê'!$C$3:$D$970,2,0)</f>
        <v>0</v>
      </c>
      <c r="D2732" s="166">
        <f>VLOOKUP(B2732,'Thống kê'!$C$3:$M$970,4,0)</f>
        <v>0</v>
      </c>
      <c r="E2732" s="167">
        <v>1</v>
      </c>
      <c r="F2732" s="168">
        <f t="shared" si="11"/>
        <v>0</v>
      </c>
      <c r="G2732" s="75"/>
      <c r="H2732" s="402">
        <v>56580</v>
      </c>
    </row>
    <row r="2733" spans="1:8" ht="13.2">
      <c r="A2733" s="49"/>
      <c r="B2733" s="16" t="s">
        <v>1382</v>
      </c>
      <c r="C2733" s="143" t="str">
        <f>VLOOKUP(B2733,'Thống kê'!$C$3:$D$970,2,0)</f>
        <v>miếng dán silicon điện thoại</v>
      </c>
      <c r="D2733" s="166">
        <f>VLOOKUP(B2733,'Thống kê'!$C$3:$M$970,4,0)</f>
        <v>0</v>
      </c>
      <c r="E2733" s="167">
        <v>1</v>
      </c>
      <c r="F2733" s="168">
        <f t="shared" si="11"/>
        <v>0</v>
      </c>
      <c r="G2733" s="75"/>
      <c r="H2733" s="372"/>
    </row>
    <row r="2734" spans="1:8" ht="13.2">
      <c r="A2734" s="49"/>
      <c r="B2734" s="16" t="s">
        <v>1529</v>
      </c>
      <c r="C2734" s="143">
        <f>VLOOKUP(B2734,'Thống kê'!$C$3:$D$970,2,0)</f>
        <v>0</v>
      </c>
      <c r="D2734" s="166">
        <f>VLOOKUP(B2734,'Thống kê'!$C$3:$M$970,4,0)</f>
        <v>0</v>
      </c>
      <c r="E2734" s="167">
        <v>1</v>
      </c>
      <c r="F2734" s="168">
        <f t="shared" si="11"/>
        <v>0</v>
      </c>
      <c r="G2734" s="75"/>
      <c r="H2734" s="402">
        <v>173840</v>
      </c>
    </row>
    <row r="2735" spans="1:8" ht="13.2">
      <c r="A2735" s="49"/>
      <c r="B2735" s="16" t="s">
        <v>191</v>
      </c>
      <c r="C2735" s="143">
        <f>VLOOKUP(B2735,'Thống kê'!$C$3:$D$970,2,0)</f>
        <v>0</v>
      </c>
      <c r="D2735" s="166">
        <f>VLOOKUP(B2735,'Thống kê'!$C$3:$M$970,4,0)</f>
        <v>0</v>
      </c>
      <c r="E2735" s="167">
        <v>1</v>
      </c>
      <c r="F2735" s="168">
        <f t="shared" si="11"/>
        <v>0</v>
      </c>
      <c r="G2735" s="75"/>
      <c r="H2735" s="372"/>
    </row>
    <row r="2736" spans="1:8" ht="13.2">
      <c r="A2736" s="64"/>
      <c r="B2736" s="16" t="s">
        <v>279</v>
      </c>
      <c r="C2736" s="143">
        <f>VLOOKUP(B2736,'Thống kê'!$C$3:$D$970,2,0)</f>
        <v>0</v>
      </c>
      <c r="D2736" s="166">
        <f>VLOOKUP(B2736,'Thống kê'!$C$3:$M$970,4,0)</f>
        <v>0</v>
      </c>
      <c r="E2736" s="167">
        <v>1</v>
      </c>
      <c r="F2736" s="168">
        <f t="shared" si="11"/>
        <v>0</v>
      </c>
      <c r="G2736" s="75"/>
      <c r="H2736" s="372"/>
    </row>
    <row r="2737" spans="1:8" ht="13.2">
      <c r="A2737" s="49"/>
      <c r="B2737" s="16" t="s">
        <v>1382</v>
      </c>
      <c r="C2737" s="143" t="str">
        <f>VLOOKUP(B2737,'Thống kê'!$C$3:$D$970,2,0)</f>
        <v>miếng dán silicon điện thoại</v>
      </c>
      <c r="D2737" s="166">
        <f>VLOOKUP(B2737,'Thống kê'!$C$3:$M$970,4,0)</f>
        <v>0</v>
      </c>
      <c r="E2737" s="167">
        <v>1</v>
      </c>
      <c r="F2737" s="168">
        <f t="shared" si="11"/>
        <v>0</v>
      </c>
      <c r="G2737" s="75"/>
      <c r="H2737" s="372"/>
    </row>
    <row r="2738" spans="1:8" ht="13.2">
      <c r="A2738" s="49"/>
      <c r="B2738" s="16" t="s">
        <v>1384</v>
      </c>
      <c r="C2738" s="143" t="str">
        <f>VLOOKUP(B2738,'Thống kê'!$C$3:$D$970,2,0)</f>
        <v>Móc khoá Crybaby mini Popmart</v>
      </c>
      <c r="D2738" s="166">
        <f>VLOOKUP(B2738,'Thống kê'!$C$3:$M$970,4,0)</f>
        <v>0</v>
      </c>
      <c r="E2738" s="167">
        <v>1</v>
      </c>
      <c r="F2738" s="168">
        <f t="shared" si="11"/>
        <v>0</v>
      </c>
      <c r="G2738" s="75"/>
      <c r="H2738" s="175">
        <v>91840</v>
      </c>
    </row>
    <row r="2739" spans="1:8" ht="13.2">
      <c r="A2739" s="49"/>
      <c r="B2739" s="16" t="s">
        <v>1525</v>
      </c>
      <c r="C2739" s="143">
        <f>VLOOKUP(B2739,'Thống kê'!$C$3:$D$970,2,0)</f>
        <v>0</v>
      </c>
      <c r="D2739" s="166">
        <f>VLOOKUP(B2739,'Thống kê'!$C$3:$M$970,4,0)</f>
        <v>0</v>
      </c>
      <c r="E2739" s="167">
        <v>1</v>
      </c>
      <c r="F2739" s="168">
        <f t="shared" si="11"/>
        <v>0</v>
      </c>
      <c r="G2739" s="75"/>
      <c r="H2739" s="402">
        <v>55675</v>
      </c>
    </row>
    <row r="2740" spans="1:8" ht="13.2">
      <c r="A2740" s="49"/>
      <c r="B2740" s="16" t="s">
        <v>1382</v>
      </c>
      <c r="C2740" s="143" t="str">
        <f>VLOOKUP(B2740,'Thống kê'!$C$3:$D$970,2,0)</f>
        <v>miếng dán silicon điện thoại</v>
      </c>
      <c r="D2740" s="166">
        <f>VLOOKUP(B2740,'Thống kê'!$C$3:$M$970,4,0)</f>
        <v>0</v>
      </c>
      <c r="E2740" s="167">
        <v>1</v>
      </c>
      <c r="F2740" s="168">
        <f t="shared" si="11"/>
        <v>0</v>
      </c>
      <c r="G2740" s="75"/>
      <c r="H2740" s="372"/>
    </row>
    <row r="2741" spans="1:8" ht="13.2">
      <c r="A2741" s="49"/>
      <c r="B2741" s="16" t="s">
        <v>135</v>
      </c>
      <c r="C2741" s="143">
        <f>VLOOKUP(B2741,'Thống kê'!$C$3:$D$970,2,0)</f>
        <v>0</v>
      </c>
      <c r="D2741" s="166">
        <f>VLOOKUP(B2741,'Thống kê'!$C$3:$M$970,4,0)</f>
        <v>0</v>
      </c>
      <c r="E2741" s="167">
        <v>1</v>
      </c>
      <c r="F2741" s="168">
        <f t="shared" si="11"/>
        <v>0</v>
      </c>
      <c r="G2741" s="75"/>
      <c r="H2741" s="402">
        <v>52180</v>
      </c>
    </row>
    <row r="2742" spans="1:8" ht="13.2">
      <c r="A2742" s="49"/>
      <c r="B2742" s="16" t="s">
        <v>1382</v>
      </c>
      <c r="C2742" s="143" t="str">
        <f>VLOOKUP(B2742,'Thống kê'!$C$3:$D$970,2,0)</f>
        <v>miếng dán silicon điện thoại</v>
      </c>
      <c r="D2742" s="166">
        <f>VLOOKUP(B2742,'Thống kê'!$C$3:$M$970,4,0)</f>
        <v>0</v>
      </c>
      <c r="E2742" s="167">
        <v>1</v>
      </c>
      <c r="F2742" s="168">
        <f t="shared" si="11"/>
        <v>0</v>
      </c>
      <c r="G2742" s="75"/>
      <c r="H2742" s="372"/>
    </row>
    <row r="2743" spans="1:8" ht="13.2">
      <c r="A2743" s="49"/>
      <c r="B2743" s="16" t="s">
        <v>191</v>
      </c>
      <c r="C2743" s="143">
        <f>VLOOKUP(B2743,'Thống kê'!$C$3:$D$970,2,0)</f>
        <v>0</v>
      </c>
      <c r="D2743" s="166">
        <f>VLOOKUP(B2743,'Thống kê'!$C$3:$M$970,4,0)</f>
        <v>0</v>
      </c>
      <c r="E2743" s="167">
        <v>1</v>
      </c>
      <c r="F2743" s="168">
        <f t="shared" si="11"/>
        <v>0</v>
      </c>
      <c r="G2743" s="75"/>
      <c r="H2743" s="402">
        <v>70942</v>
      </c>
    </row>
    <row r="2744" spans="1:8" ht="13.2">
      <c r="A2744" s="49"/>
      <c r="B2744" s="16" t="s">
        <v>1382</v>
      </c>
      <c r="C2744" s="143" t="str">
        <f>VLOOKUP(B2744,'Thống kê'!$C$3:$D$970,2,0)</f>
        <v>miếng dán silicon điện thoại</v>
      </c>
      <c r="D2744" s="166">
        <f>VLOOKUP(B2744,'Thống kê'!$C$3:$M$970,4,0)</f>
        <v>0</v>
      </c>
      <c r="E2744" s="167">
        <v>1</v>
      </c>
      <c r="F2744" s="168">
        <f t="shared" si="11"/>
        <v>0</v>
      </c>
      <c r="G2744" s="75"/>
      <c r="H2744" s="372"/>
    </row>
    <row r="2745" spans="1:8" ht="13.2">
      <c r="A2745" s="49"/>
      <c r="B2745" s="16" t="s">
        <v>1856</v>
      </c>
      <c r="C2745" s="143" t="str">
        <f>VLOOKUP(B2745,'Thống kê'!$C$3:$D$970,2,0)</f>
        <v>Trâm cài 03</v>
      </c>
      <c r="D2745" s="166">
        <f>VLOOKUP(B2745,'Thống kê'!$C$3:$M$970,4,0)</f>
        <v>32200</v>
      </c>
      <c r="E2745" s="167">
        <v>1</v>
      </c>
      <c r="F2745" s="168">
        <f t="shared" si="11"/>
        <v>32200</v>
      </c>
      <c r="G2745" s="75"/>
      <c r="H2745" s="402">
        <v>61635</v>
      </c>
    </row>
    <row r="2746" spans="1:8" ht="13.2">
      <c r="A2746" s="49"/>
      <c r="B2746" s="16" t="s">
        <v>1836</v>
      </c>
      <c r="C2746" s="143" t="str">
        <f>VLOOKUP(B2746,'Thống kê'!$C$3:$D$970,2,0)</f>
        <v>Túi Đựng Mắt Kính Da Pu</v>
      </c>
      <c r="D2746" s="166">
        <f>VLOOKUP(B2746,'Thống kê'!$C$3:$M$970,4,0)</f>
        <v>0</v>
      </c>
      <c r="E2746" s="167">
        <v>3</v>
      </c>
      <c r="F2746" s="168">
        <f t="shared" si="11"/>
        <v>0</v>
      </c>
      <c r="G2746" s="75"/>
      <c r="H2746" s="372"/>
    </row>
    <row r="2747" spans="1:8" ht="13.2">
      <c r="A2747" s="49"/>
      <c r="B2747" s="16" t="s">
        <v>1473</v>
      </c>
      <c r="C2747" s="143">
        <f>VLOOKUP(B2747,'Thống kê'!$C$3:$D$970,2,0)</f>
        <v>0</v>
      </c>
      <c r="D2747" s="166">
        <f>VLOOKUP(B2747,'Thống kê'!$C$3:$M$970,4,0)</f>
        <v>0</v>
      </c>
      <c r="E2747" s="167">
        <v>1</v>
      </c>
      <c r="F2747" s="168">
        <f t="shared" si="11"/>
        <v>0</v>
      </c>
      <c r="G2747" s="75"/>
      <c r="H2747" s="402">
        <v>127420</v>
      </c>
    </row>
    <row r="2748" spans="1:8" ht="13.2">
      <c r="A2748" s="49"/>
      <c r="B2748" s="16" t="s">
        <v>1382</v>
      </c>
      <c r="C2748" s="143" t="str">
        <f>VLOOKUP(B2748,'Thống kê'!$C$3:$D$970,2,0)</f>
        <v>miếng dán silicon điện thoại</v>
      </c>
      <c r="D2748" s="166">
        <f>VLOOKUP(B2748,'Thống kê'!$C$3:$M$970,4,0)</f>
        <v>0</v>
      </c>
      <c r="E2748" s="167">
        <v>1</v>
      </c>
      <c r="F2748" s="168">
        <f t="shared" si="11"/>
        <v>0</v>
      </c>
      <c r="G2748" s="75"/>
      <c r="H2748" s="372"/>
    </row>
    <row r="2749" spans="1:8" ht="13.2">
      <c r="A2749" s="64">
        <v>45782</v>
      </c>
      <c r="B2749" s="16" t="s">
        <v>196</v>
      </c>
      <c r="C2749" s="143">
        <f>VLOOKUP(B2749,'Thống kê'!$C$3:$D$970,2,0)</f>
        <v>0</v>
      </c>
      <c r="D2749" s="166">
        <f>VLOOKUP(B2749,'Thống kê'!$C$3:$M$970,4,0)</f>
        <v>0</v>
      </c>
      <c r="E2749" s="167">
        <v>1</v>
      </c>
      <c r="F2749" s="168">
        <f t="shared" si="11"/>
        <v>0</v>
      </c>
      <c r="G2749" s="75"/>
      <c r="H2749" s="402">
        <v>64124</v>
      </c>
    </row>
    <row r="2750" spans="1:8" ht="13.2">
      <c r="A2750" s="49"/>
      <c r="B2750" s="16" t="s">
        <v>1382</v>
      </c>
      <c r="C2750" s="143" t="str">
        <f>VLOOKUP(B2750,'Thống kê'!$C$3:$D$970,2,0)</f>
        <v>miếng dán silicon điện thoại</v>
      </c>
      <c r="D2750" s="166">
        <f>VLOOKUP(B2750,'Thống kê'!$C$3:$M$970,4,0)</f>
        <v>0</v>
      </c>
      <c r="E2750" s="167">
        <v>1</v>
      </c>
      <c r="F2750" s="168">
        <f t="shared" si="11"/>
        <v>0</v>
      </c>
      <c r="G2750" s="75"/>
      <c r="H2750" s="372"/>
    </row>
    <row r="2751" spans="1:8" ht="13.2">
      <c r="A2751" s="64"/>
      <c r="B2751" s="16" t="s">
        <v>228</v>
      </c>
      <c r="C2751" s="143">
        <f>VLOOKUP(B2751,'Thống kê'!$C$3:$D$970,2,0)</f>
        <v>0</v>
      </c>
      <c r="D2751" s="166">
        <f>VLOOKUP(B2751,'Thống kê'!$C$3:$M$970,4,0)</f>
        <v>0</v>
      </c>
      <c r="E2751" s="167">
        <v>1</v>
      </c>
      <c r="F2751" s="168">
        <f t="shared" si="11"/>
        <v>0</v>
      </c>
      <c r="G2751" s="75"/>
      <c r="H2751" s="175">
        <v>60277</v>
      </c>
    </row>
    <row r="2752" spans="1:8" ht="13.2">
      <c r="A2752" s="64"/>
      <c r="B2752" s="16" t="s">
        <v>1384</v>
      </c>
      <c r="C2752" s="143" t="str">
        <f>VLOOKUP(B2752,'Thống kê'!$C$3:$D$970,2,0)</f>
        <v>Móc khoá Crybaby mini Popmart</v>
      </c>
      <c r="D2752" s="166">
        <f>VLOOKUP(B2752,'Thống kê'!$C$3:$M$970,4,0)</f>
        <v>0</v>
      </c>
      <c r="E2752" s="167">
        <v>1</v>
      </c>
      <c r="F2752" s="168">
        <f t="shared" si="11"/>
        <v>0</v>
      </c>
      <c r="G2752" s="75"/>
      <c r="H2752" s="175">
        <v>91690</v>
      </c>
    </row>
    <row r="2753" spans="1:8" ht="13.2">
      <c r="A2753" s="49"/>
      <c r="B2753" s="16" t="s">
        <v>1365</v>
      </c>
      <c r="C2753" s="143" t="str">
        <f>VLOOKUP(B2753,'Thống kê'!$C$3:$D$970,2,0)</f>
        <v>Móc khóa Popbean</v>
      </c>
      <c r="D2753" s="166">
        <f>VLOOKUP(B2753,'Thống kê'!$C$3:$M$970,4,0)</f>
        <v>148000</v>
      </c>
      <c r="E2753" s="167">
        <v>1</v>
      </c>
      <c r="F2753" s="168">
        <f t="shared" si="11"/>
        <v>148000</v>
      </c>
      <c r="G2753" s="75"/>
      <c r="H2753" s="175">
        <v>112340</v>
      </c>
    </row>
    <row r="2754" spans="1:8" ht="13.2">
      <c r="A2754" s="49"/>
      <c r="B2754" s="16" t="s">
        <v>1717</v>
      </c>
      <c r="C2754" s="143" t="str">
        <f>VLOOKUP(B2754,'Thống kê'!$C$3:$D$970,2,0)</f>
        <v>Pop Bean Baked Bread</v>
      </c>
      <c r="D2754" s="166">
        <f>VLOOKUP(B2754,'Thống kê'!$C$3:$M$970,4,0)</f>
        <v>167000</v>
      </c>
      <c r="E2754" s="167">
        <v>1</v>
      </c>
      <c r="F2754" s="168">
        <f t="shared" si="11"/>
        <v>167000</v>
      </c>
      <c r="G2754" s="75"/>
      <c r="H2754" s="402">
        <v>130310</v>
      </c>
    </row>
    <row r="2755" spans="1:8" ht="13.2">
      <c r="A2755" s="49"/>
      <c r="B2755" s="16" t="s">
        <v>1382</v>
      </c>
      <c r="C2755" s="143" t="str">
        <f>VLOOKUP(B2755,'Thống kê'!$C$3:$D$970,2,0)</f>
        <v>miếng dán silicon điện thoại</v>
      </c>
      <c r="D2755" s="166">
        <f>VLOOKUP(B2755,'Thống kê'!$C$3:$M$970,4,0)</f>
        <v>0</v>
      </c>
      <c r="E2755" s="167">
        <v>1</v>
      </c>
      <c r="F2755" s="168">
        <f t="shared" si="11"/>
        <v>0</v>
      </c>
      <c r="G2755" s="75"/>
      <c r="H2755" s="372"/>
    </row>
    <row r="2756" spans="1:8" ht="13.2">
      <c r="A2756" s="49"/>
      <c r="B2756" s="16" t="s">
        <v>84</v>
      </c>
      <c r="C2756" s="143">
        <f>VLOOKUP(B2756,'Thống kê'!$C$3:$D$970,2,0)</f>
        <v>0</v>
      </c>
      <c r="D2756" s="166">
        <f>VLOOKUP(B2756,'Thống kê'!$C$3:$M$970,4,0)</f>
        <v>0</v>
      </c>
      <c r="E2756" s="167">
        <v>1</v>
      </c>
      <c r="F2756" s="168">
        <f t="shared" si="11"/>
        <v>0</v>
      </c>
      <c r="G2756" s="75"/>
      <c r="H2756" s="402">
        <v>110700</v>
      </c>
    </row>
    <row r="2757" spans="1:8" ht="13.2">
      <c r="A2757" s="49"/>
      <c r="B2757" s="16" t="s">
        <v>103</v>
      </c>
      <c r="C2757" s="143">
        <f>VLOOKUP(B2757,'Thống kê'!$C$3:$D$970,2,0)</f>
        <v>0</v>
      </c>
      <c r="D2757" s="166">
        <f>VLOOKUP(B2757,'Thống kê'!$C$3:$M$970,4,0)</f>
        <v>0</v>
      </c>
      <c r="E2757" s="167">
        <v>1</v>
      </c>
      <c r="F2757" s="168">
        <f t="shared" si="11"/>
        <v>0</v>
      </c>
      <c r="G2757" s="75"/>
      <c r="H2757" s="372"/>
    </row>
    <row r="2758" spans="1:8" ht="13.2">
      <c r="A2758" s="49"/>
      <c r="B2758" s="16" t="s">
        <v>1382</v>
      </c>
      <c r="C2758" s="143" t="str">
        <f>VLOOKUP(B2758,'Thống kê'!$C$3:$D$970,2,0)</f>
        <v>miếng dán silicon điện thoại</v>
      </c>
      <c r="D2758" s="166">
        <f>VLOOKUP(B2758,'Thống kê'!$C$3:$M$970,4,0)</f>
        <v>0</v>
      </c>
      <c r="E2758" s="167">
        <v>1</v>
      </c>
      <c r="F2758" s="168">
        <f t="shared" si="11"/>
        <v>0</v>
      </c>
      <c r="G2758" s="75"/>
      <c r="H2758" s="372"/>
    </row>
    <row r="2759" spans="1:8" ht="13.2">
      <c r="A2759" s="49"/>
      <c r="B2759" s="16" t="s">
        <v>196</v>
      </c>
      <c r="C2759" s="143">
        <f>VLOOKUP(B2759,'Thống kê'!$C$3:$D$970,2,0)</f>
        <v>0</v>
      </c>
      <c r="D2759" s="166">
        <f>VLOOKUP(B2759,'Thống kê'!$C$3:$M$970,4,0)</f>
        <v>0</v>
      </c>
      <c r="E2759" s="167">
        <v>1</v>
      </c>
      <c r="F2759" s="168">
        <f t="shared" si="11"/>
        <v>0</v>
      </c>
      <c r="G2759" s="75"/>
      <c r="H2759" s="175">
        <v>100040</v>
      </c>
    </row>
    <row r="2760" spans="1:8" ht="13.2">
      <c r="A2760" s="49"/>
      <c r="B2760" s="16" t="s">
        <v>1825</v>
      </c>
      <c r="C2760" s="143" t="str">
        <f>VLOOKUP(B2760,'Thống kê'!$C$3:$D$970,2,0)</f>
        <v>Túi Đựng Mắt Kính Da Pu</v>
      </c>
      <c r="D2760" s="166">
        <f>VLOOKUP(B2760,'Thống kê'!$C$3:$M$970,4,0)</f>
        <v>0</v>
      </c>
      <c r="E2760" s="167">
        <v>1</v>
      </c>
      <c r="F2760" s="168">
        <f t="shared" si="11"/>
        <v>0</v>
      </c>
      <c r="G2760" s="75"/>
      <c r="H2760" s="175">
        <v>19474</v>
      </c>
    </row>
    <row r="2761" spans="1:8" ht="13.2">
      <c r="A2761" s="49"/>
      <c r="B2761" s="16" t="s">
        <v>135</v>
      </c>
      <c r="C2761" s="143">
        <f>VLOOKUP(B2761,'Thống kê'!$C$3:$D$970,2,0)</f>
        <v>0</v>
      </c>
      <c r="D2761" s="166">
        <f>VLOOKUP(B2761,'Thống kê'!$C$3:$M$970,4,0)</f>
        <v>0</v>
      </c>
      <c r="E2761" s="167">
        <v>1</v>
      </c>
      <c r="F2761" s="168">
        <f t="shared" si="11"/>
        <v>0</v>
      </c>
      <c r="G2761" s="75"/>
      <c r="H2761" s="402">
        <v>51654</v>
      </c>
    </row>
    <row r="2762" spans="1:8" ht="13.2">
      <c r="A2762" s="49"/>
      <c r="B2762" s="16" t="s">
        <v>1382</v>
      </c>
      <c r="C2762" s="143" t="str">
        <f>VLOOKUP(B2762,'Thống kê'!$C$3:$D$970,2,0)</f>
        <v>miếng dán silicon điện thoại</v>
      </c>
      <c r="D2762" s="166">
        <f>VLOOKUP(B2762,'Thống kê'!$C$3:$M$970,4,0)</f>
        <v>0</v>
      </c>
      <c r="E2762" s="167">
        <v>1</v>
      </c>
      <c r="F2762" s="168">
        <f t="shared" si="11"/>
        <v>0</v>
      </c>
      <c r="G2762" s="75"/>
      <c r="H2762" s="372"/>
    </row>
    <row r="2763" spans="1:8" ht="13.2">
      <c r="A2763" s="49"/>
      <c r="B2763" s="16" t="s">
        <v>150</v>
      </c>
      <c r="C2763" s="143" t="str">
        <f>VLOOKUP(B2763,'Thống kê'!$C$3:$D$970,2,0)</f>
        <v>Móc khóa có chuông</v>
      </c>
      <c r="D2763" s="166">
        <f>VLOOKUP(B2763,'Thống kê'!$C$3:$M$970,4,0)</f>
        <v>59000</v>
      </c>
      <c r="E2763" s="167">
        <v>1</v>
      </c>
      <c r="F2763" s="168">
        <f t="shared" si="11"/>
        <v>59000</v>
      </c>
      <c r="G2763" s="75"/>
      <c r="H2763" s="175">
        <v>49036</v>
      </c>
    </row>
    <row r="2764" spans="1:8" ht="13.2">
      <c r="A2764" s="49"/>
      <c r="B2764" s="16" t="s">
        <v>1589</v>
      </c>
      <c r="C2764" s="143" t="str">
        <f>VLOOKUP(B2764,'Thống kê'!$C$3:$D$970,2,0)</f>
        <v>Heo ú bay</v>
      </c>
      <c r="D2764" s="166">
        <f>VLOOKUP(B2764,'Thống kê'!$C$3:$M$970,4,0)</f>
        <v>64500</v>
      </c>
      <c r="E2764" s="167">
        <v>1</v>
      </c>
      <c r="F2764" s="168">
        <f t="shared" si="11"/>
        <v>64500</v>
      </c>
      <c r="G2764" s="75"/>
      <c r="H2764" s="402">
        <v>108240</v>
      </c>
    </row>
    <row r="2765" spans="1:8" ht="13.2">
      <c r="A2765" s="49"/>
      <c r="B2765" s="16" t="s">
        <v>186</v>
      </c>
      <c r="C2765" s="143" t="str">
        <f>VLOOKUP(B2765,'Thống kê'!$C$3:$D$970,2,0)</f>
        <v>Thỏ ú bay</v>
      </c>
      <c r="D2765" s="166">
        <f>VLOOKUP(B2765,'Thống kê'!$C$3:$M$970,4,0)</f>
        <v>64500</v>
      </c>
      <c r="E2765" s="167">
        <v>1</v>
      </c>
      <c r="F2765" s="168">
        <f t="shared" si="11"/>
        <v>64500</v>
      </c>
      <c r="G2765" s="75"/>
      <c r="H2765" s="372"/>
    </row>
    <row r="2766" spans="1:8" ht="13.2">
      <c r="A2766" s="49"/>
      <c r="B2766" s="16" t="s">
        <v>1817</v>
      </c>
      <c r="C2766" s="143" t="str">
        <f>VLOOKUP(B2766,'Thống kê'!$C$3:$D$970,2,0)</f>
        <v>Túi Đựng Mắt Kính Da Pu</v>
      </c>
      <c r="D2766" s="166">
        <f>VLOOKUP(B2766,'Thống kê'!$C$3:$M$970,4,0)</f>
        <v>0</v>
      </c>
      <c r="E2766" s="167">
        <v>1</v>
      </c>
      <c r="F2766" s="168">
        <f t="shared" si="11"/>
        <v>0</v>
      </c>
      <c r="G2766" s="75"/>
      <c r="H2766" s="402">
        <v>38950</v>
      </c>
    </row>
    <row r="2767" spans="1:8" ht="13.2">
      <c r="A2767" s="49"/>
      <c r="B2767" s="16" t="s">
        <v>1841</v>
      </c>
      <c r="C2767" s="143" t="str">
        <f>VLOOKUP(B2767,'Thống kê'!$C$3:$D$970,2,0)</f>
        <v>Túi Đựng Mắt Kính Da Pu</v>
      </c>
      <c r="D2767" s="166">
        <f>VLOOKUP(B2767,'Thống kê'!$C$3:$M$970,4,0)</f>
        <v>0</v>
      </c>
      <c r="E2767" s="167">
        <v>1</v>
      </c>
      <c r="F2767" s="168">
        <f t="shared" si="11"/>
        <v>0</v>
      </c>
      <c r="G2767" s="75"/>
      <c r="H2767" s="372"/>
    </row>
    <row r="2768" spans="1:8" ht="13.2">
      <c r="A2768" s="49"/>
      <c r="B2768" s="16" t="s">
        <v>1518</v>
      </c>
      <c r="C2768" s="143">
        <f>VLOOKUP(B2768,'Thống kê'!$C$3:$D$970,2,0)</f>
        <v>0</v>
      </c>
      <c r="D2768" s="166">
        <f>VLOOKUP(B2768,'Thống kê'!$C$3:$M$970,4,0)</f>
        <v>0</v>
      </c>
      <c r="E2768" s="167">
        <v>1</v>
      </c>
      <c r="F2768" s="168">
        <f t="shared" si="11"/>
        <v>0</v>
      </c>
      <c r="G2768" s="75"/>
      <c r="H2768" s="402">
        <v>56180</v>
      </c>
    </row>
    <row r="2769" spans="1:8" ht="13.2">
      <c r="A2769" s="49"/>
      <c r="B2769" s="16" t="s">
        <v>1382</v>
      </c>
      <c r="C2769" s="143" t="str">
        <f>VLOOKUP(B2769,'Thống kê'!$C$3:$D$970,2,0)</f>
        <v>miếng dán silicon điện thoại</v>
      </c>
      <c r="D2769" s="166">
        <f>VLOOKUP(B2769,'Thống kê'!$C$3:$M$970,4,0)</f>
        <v>0</v>
      </c>
      <c r="E2769" s="167">
        <v>1</v>
      </c>
      <c r="F2769" s="168">
        <f t="shared" si="11"/>
        <v>0</v>
      </c>
      <c r="G2769" s="75"/>
      <c r="H2769" s="372"/>
    </row>
    <row r="2770" spans="1:8" ht="13.2">
      <c r="A2770" s="49"/>
      <c r="B2770" s="16" t="s">
        <v>171</v>
      </c>
      <c r="C2770" s="143">
        <f>VLOOKUP(B2770,'Thống kê'!$C$3:$D$970,2,0)</f>
        <v>0</v>
      </c>
      <c r="D2770" s="166">
        <f>VLOOKUP(B2770,'Thống kê'!$C$3:$M$970,4,0)</f>
        <v>0</v>
      </c>
      <c r="E2770" s="167">
        <v>1</v>
      </c>
      <c r="F2770" s="168">
        <f t="shared" si="11"/>
        <v>0</v>
      </c>
      <c r="G2770" s="75"/>
      <c r="H2770" s="402">
        <v>245934</v>
      </c>
    </row>
    <row r="2771" spans="1:8" ht="13.2">
      <c r="A2771" s="49"/>
      <c r="B2771" s="16" t="s">
        <v>127</v>
      </c>
      <c r="C2771" s="143">
        <f>VLOOKUP(B2771,'Thống kê'!$C$3:$D$970,2,0)</f>
        <v>0</v>
      </c>
      <c r="D2771" s="166">
        <f>VLOOKUP(B2771,'Thống kê'!$C$3:$M$970,4,0)</f>
        <v>0</v>
      </c>
      <c r="E2771" s="167">
        <v>1</v>
      </c>
      <c r="F2771" s="168">
        <f t="shared" si="11"/>
        <v>0</v>
      </c>
      <c r="G2771" s="75"/>
      <c r="H2771" s="372"/>
    </row>
    <row r="2772" spans="1:8" ht="13.2">
      <c r="A2772" s="49"/>
      <c r="B2772" s="16" t="s">
        <v>279</v>
      </c>
      <c r="C2772" s="143">
        <f>VLOOKUP(B2772,'Thống kê'!$C$3:$D$970,2,0)</f>
        <v>0</v>
      </c>
      <c r="D2772" s="166">
        <f>VLOOKUP(B2772,'Thống kê'!$C$3:$M$970,4,0)</f>
        <v>0</v>
      </c>
      <c r="E2772" s="167">
        <v>1</v>
      </c>
      <c r="F2772" s="168">
        <f t="shared" si="11"/>
        <v>0</v>
      </c>
      <c r="G2772" s="75"/>
      <c r="H2772" s="372"/>
    </row>
    <row r="2773" spans="1:8" ht="13.2">
      <c r="A2773" s="49"/>
      <c r="B2773" s="16" t="s">
        <v>135</v>
      </c>
      <c r="C2773" s="143">
        <f>VLOOKUP(B2773,'Thống kê'!$C$3:$D$970,2,0)</f>
        <v>0</v>
      </c>
      <c r="D2773" s="166">
        <f>VLOOKUP(B2773,'Thống kê'!$C$3:$M$970,4,0)</f>
        <v>0</v>
      </c>
      <c r="E2773" s="167">
        <v>1</v>
      </c>
      <c r="F2773" s="168">
        <f t="shared" si="11"/>
        <v>0</v>
      </c>
      <c r="G2773" s="75"/>
      <c r="H2773" s="372"/>
    </row>
    <row r="2774" spans="1:8" ht="13.2">
      <c r="A2774" s="49"/>
      <c r="B2774" s="16" t="s">
        <v>1382</v>
      </c>
      <c r="C2774" s="143" t="str">
        <f>VLOOKUP(B2774,'Thống kê'!$C$3:$D$970,2,0)</f>
        <v>miếng dán silicon điện thoại</v>
      </c>
      <c r="D2774" s="166">
        <f>VLOOKUP(B2774,'Thống kê'!$C$3:$M$970,4,0)</f>
        <v>0</v>
      </c>
      <c r="E2774" s="167">
        <v>1</v>
      </c>
      <c r="F2774" s="168">
        <f t="shared" si="11"/>
        <v>0</v>
      </c>
      <c r="G2774" s="75"/>
      <c r="H2774" s="372"/>
    </row>
    <row r="2775" spans="1:8" ht="13.2">
      <c r="A2775" s="49"/>
      <c r="B2775" s="16" t="s">
        <v>196</v>
      </c>
      <c r="C2775" s="143">
        <f>VLOOKUP(B2775,'Thống kê'!$C$3:$D$970,2,0)</f>
        <v>0</v>
      </c>
      <c r="D2775" s="166">
        <f>VLOOKUP(B2775,'Thống kê'!$C$3:$M$970,4,0)</f>
        <v>0</v>
      </c>
      <c r="E2775" s="167">
        <v>1</v>
      </c>
      <c r="F2775" s="168">
        <f t="shared" si="11"/>
        <v>0</v>
      </c>
      <c r="G2775" s="75"/>
      <c r="H2775" s="175">
        <v>100040</v>
      </c>
    </row>
    <row r="2776" spans="1:8" ht="13.2">
      <c r="A2776" s="49"/>
      <c r="B2776" s="16" t="s">
        <v>196</v>
      </c>
      <c r="C2776" s="143">
        <f>VLOOKUP(B2776,'Thống kê'!$C$3:$D$970,2,0)</f>
        <v>0</v>
      </c>
      <c r="D2776" s="166">
        <f>VLOOKUP(B2776,'Thống kê'!$C$3:$M$970,4,0)</f>
        <v>0</v>
      </c>
      <c r="E2776" s="167">
        <v>1</v>
      </c>
      <c r="F2776" s="168">
        <f t="shared" si="11"/>
        <v>0</v>
      </c>
      <c r="G2776" s="75"/>
      <c r="H2776" s="175">
        <v>100040</v>
      </c>
    </row>
    <row r="2777" spans="1:8" ht="13.2">
      <c r="A2777" s="49"/>
      <c r="B2777" s="16" t="s">
        <v>1825</v>
      </c>
      <c r="C2777" s="143" t="str">
        <f>VLOOKUP(B2777,'Thống kê'!$C$3:$D$970,2,0)</f>
        <v>Túi Đựng Mắt Kính Da Pu</v>
      </c>
      <c r="D2777" s="166">
        <f>VLOOKUP(B2777,'Thống kê'!$C$3:$M$970,4,0)</f>
        <v>0</v>
      </c>
      <c r="E2777" s="167">
        <v>2</v>
      </c>
      <c r="F2777" s="168">
        <f t="shared" si="11"/>
        <v>0</v>
      </c>
      <c r="G2777" s="75"/>
      <c r="H2777" s="175">
        <v>38125</v>
      </c>
    </row>
    <row r="2778" spans="1:8" ht="13.2">
      <c r="A2778" s="49"/>
      <c r="B2778" s="16" t="s">
        <v>118</v>
      </c>
      <c r="C2778" s="143">
        <f>VLOOKUP(B2778,'Thống kê'!$C$3:$D$970,2,0)</f>
        <v>0</v>
      </c>
      <c r="D2778" s="166">
        <f>VLOOKUP(B2778,'Thống kê'!$C$3:$M$970,4,0)</f>
        <v>0</v>
      </c>
      <c r="E2778" s="167">
        <v>1</v>
      </c>
      <c r="F2778" s="168">
        <f t="shared" si="11"/>
        <v>0</v>
      </c>
      <c r="G2778" s="75"/>
      <c r="H2778" s="402">
        <v>52054</v>
      </c>
    </row>
    <row r="2779" spans="1:8" ht="13.2">
      <c r="A2779" s="49"/>
      <c r="B2779" s="16" t="s">
        <v>1382</v>
      </c>
      <c r="C2779" s="143" t="str">
        <f>VLOOKUP(B2779,'Thống kê'!$C$3:$D$970,2,0)</f>
        <v>miếng dán silicon điện thoại</v>
      </c>
      <c r="D2779" s="166">
        <f>VLOOKUP(B2779,'Thống kê'!$C$3:$M$970,4,0)</f>
        <v>0</v>
      </c>
      <c r="E2779" s="167">
        <v>1</v>
      </c>
      <c r="F2779" s="168">
        <f t="shared" si="11"/>
        <v>0</v>
      </c>
      <c r="G2779" s="75"/>
      <c r="H2779" s="372"/>
    </row>
    <row r="2780" spans="1:8" ht="13.2">
      <c r="A2780" s="49"/>
      <c r="B2780" s="16" t="s">
        <v>1605</v>
      </c>
      <c r="C2780" s="143" t="str">
        <f>VLOOKUP(B2780,'Thống kê'!$C$3:$D$970,2,0)</f>
        <v>Thước dây xanh</v>
      </c>
      <c r="D2780" s="166">
        <f>VLOOKUP(B2780,'Thống kê'!$C$3:$M$970,4,0)</f>
        <v>9000</v>
      </c>
      <c r="E2780" s="167">
        <v>1</v>
      </c>
      <c r="F2780" s="168">
        <f t="shared" si="11"/>
        <v>9000</v>
      </c>
      <c r="G2780" s="75"/>
      <c r="H2780" s="402">
        <v>141942</v>
      </c>
    </row>
    <row r="2781" spans="1:8" ht="13.2">
      <c r="A2781" s="49"/>
      <c r="B2781" s="16" t="s">
        <v>159</v>
      </c>
      <c r="C2781" s="143">
        <f>VLOOKUP(B2781,'Thống kê'!$C$3:$D$970,2,0)</f>
        <v>0</v>
      </c>
      <c r="D2781" s="166">
        <f>VLOOKUP(B2781,'Thống kê'!$C$3:$M$970,4,0)</f>
        <v>0</v>
      </c>
      <c r="E2781" s="167">
        <v>1</v>
      </c>
      <c r="F2781" s="168">
        <f t="shared" si="11"/>
        <v>0</v>
      </c>
      <c r="G2781" s="75"/>
      <c r="H2781" s="372"/>
    </row>
    <row r="2782" spans="1:8" ht="13.2">
      <c r="A2782" s="49"/>
      <c r="B2782" s="16" t="s">
        <v>137</v>
      </c>
      <c r="C2782" s="143">
        <f>VLOOKUP(B2782,'Thống kê'!$C$3:$D$970,2,0)</f>
        <v>0</v>
      </c>
      <c r="D2782" s="166">
        <f>VLOOKUP(B2782,'Thống kê'!$C$3:$M$970,4,0)</f>
        <v>0</v>
      </c>
      <c r="E2782" s="167">
        <v>1</v>
      </c>
      <c r="F2782" s="168">
        <f t="shared" si="11"/>
        <v>0</v>
      </c>
      <c r="G2782" s="75"/>
      <c r="H2782" s="372"/>
    </row>
    <row r="2783" spans="1:8" ht="13.2">
      <c r="A2783" s="49"/>
      <c r="B2783" s="16" t="s">
        <v>1382</v>
      </c>
      <c r="C2783" s="143" t="str">
        <f>VLOOKUP(B2783,'Thống kê'!$C$3:$D$970,2,0)</f>
        <v>miếng dán silicon điện thoại</v>
      </c>
      <c r="D2783" s="166">
        <f>VLOOKUP(B2783,'Thống kê'!$C$3:$M$970,4,0)</f>
        <v>0</v>
      </c>
      <c r="E2783" s="167">
        <v>1</v>
      </c>
      <c r="F2783" s="168">
        <f t="shared" si="11"/>
        <v>0</v>
      </c>
      <c r="G2783" s="75"/>
      <c r="H2783" s="372"/>
    </row>
    <row r="2784" spans="1:8" ht="13.2">
      <c r="A2784" s="49"/>
      <c r="B2784" s="16" t="s">
        <v>200</v>
      </c>
      <c r="C2784" s="143">
        <f>VLOOKUP(B2784,'Thống kê'!$C$3:$D$970,2,0)</f>
        <v>0</v>
      </c>
      <c r="D2784" s="166">
        <f>VLOOKUP(B2784,'Thống kê'!$C$3:$M$970,4,0)</f>
        <v>0</v>
      </c>
      <c r="E2784" s="167">
        <v>1</v>
      </c>
      <c r="F2784" s="168">
        <f t="shared" si="11"/>
        <v>0</v>
      </c>
      <c r="G2784" s="75"/>
      <c r="H2784" s="402">
        <v>171249</v>
      </c>
    </row>
    <row r="2785" spans="1:8" ht="13.2">
      <c r="A2785" s="49"/>
      <c r="B2785" s="16" t="s">
        <v>118</v>
      </c>
      <c r="C2785" s="143">
        <f>VLOOKUP(B2785,'Thống kê'!$C$3:$D$970,2,0)</f>
        <v>0</v>
      </c>
      <c r="D2785" s="166">
        <f>VLOOKUP(B2785,'Thống kê'!$C$3:$M$970,4,0)</f>
        <v>0</v>
      </c>
      <c r="E2785" s="167">
        <v>2</v>
      </c>
      <c r="F2785" s="168">
        <f t="shared" si="11"/>
        <v>0</v>
      </c>
      <c r="G2785" s="75"/>
      <c r="H2785" s="372"/>
    </row>
    <row r="2786" spans="1:8" ht="13.2">
      <c r="A2786" s="49"/>
      <c r="B2786" s="16" t="s">
        <v>1382</v>
      </c>
      <c r="C2786" s="143" t="str">
        <f>VLOOKUP(B2786,'Thống kê'!$C$3:$D$970,2,0)</f>
        <v>miếng dán silicon điện thoại</v>
      </c>
      <c r="D2786" s="166">
        <f>VLOOKUP(B2786,'Thống kê'!$C$3:$M$970,4,0)</f>
        <v>0</v>
      </c>
      <c r="E2786" s="167">
        <v>1</v>
      </c>
      <c r="F2786" s="168">
        <f t="shared" si="11"/>
        <v>0</v>
      </c>
      <c r="G2786" s="75"/>
      <c r="H2786" s="372"/>
    </row>
    <row r="2787" spans="1:8" ht="13.2">
      <c r="A2787" s="49"/>
      <c r="B2787" s="16" t="s">
        <v>1817</v>
      </c>
      <c r="C2787" s="143" t="str">
        <f>VLOOKUP(B2787,'Thống kê'!$C$3:$D$970,2,0)</f>
        <v>Túi Đựng Mắt Kính Da Pu</v>
      </c>
      <c r="D2787" s="166">
        <f>VLOOKUP(B2787,'Thống kê'!$C$3:$M$970,4,0)</f>
        <v>0</v>
      </c>
      <c r="E2787" s="167">
        <v>1</v>
      </c>
      <c r="F2787" s="168">
        <f t="shared" si="11"/>
        <v>0</v>
      </c>
      <c r="G2787" s="75"/>
      <c r="H2787" s="175">
        <v>19399</v>
      </c>
    </row>
    <row r="2788" spans="1:8" ht="13.2">
      <c r="A2788" s="49"/>
      <c r="B2788" s="16" t="s">
        <v>1524</v>
      </c>
      <c r="C2788" s="143">
        <f>VLOOKUP(B2788,'Thống kê'!$C$3:$D$970,2,0)</f>
        <v>0</v>
      </c>
      <c r="D2788" s="166">
        <f>VLOOKUP(B2788,'Thống kê'!$C$3:$M$970,4,0)</f>
        <v>0</v>
      </c>
      <c r="E2788" s="167">
        <v>1</v>
      </c>
      <c r="F2788" s="168">
        <f t="shared" si="11"/>
        <v>0</v>
      </c>
      <c r="G2788" s="75"/>
      <c r="H2788" s="402">
        <v>55350</v>
      </c>
    </row>
    <row r="2789" spans="1:8" ht="13.2">
      <c r="A2789" s="49"/>
      <c r="B2789" s="16" t="s">
        <v>1382</v>
      </c>
      <c r="C2789" s="143" t="str">
        <f>VLOOKUP(B2789,'Thống kê'!$C$3:$D$970,2,0)</f>
        <v>miếng dán silicon điện thoại</v>
      </c>
      <c r="D2789" s="166">
        <f>VLOOKUP(B2789,'Thống kê'!$C$3:$M$970,4,0)</f>
        <v>0</v>
      </c>
      <c r="E2789" s="167">
        <v>1</v>
      </c>
      <c r="F2789" s="168">
        <f t="shared" si="11"/>
        <v>0</v>
      </c>
      <c r="G2789" s="75"/>
      <c r="H2789" s="372"/>
    </row>
    <row r="2790" spans="1:8" ht="13.2">
      <c r="A2790" s="49"/>
      <c r="B2790" s="16" t="s">
        <v>1836</v>
      </c>
      <c r="C2790" s="143" t="str">
        <f>VLOOKUP(B2790,'Thống kê'!$C$3:$D$970,2,0)</f>
        <v>Túi Đựng Mắt Kính Da Pu</v>
      </c>
      <c r="D2790" s="166">
        <f>VLOOKUP(B2790,'Thống kê'!$C$3:$M$970,4,0)</f>
        <v>0</v>
      </c>
      <c r="E2790" s="167">
        <v>-1</v>
      </c>
      <c r="F2790" s="168">
        <f t="shared" si="11"/>
        <v>0</v>
      </c>
      <c r="G2790" s="75"/>
      <c r="H2790" s="402">
        <v>-18300</v>
      </c>
    </row>
    <row r="2791" spans="1:8" ht="13.2">
      <c r="A2791" s="49"/>
      <c r="B2791" s="16" t="s">
        <v>1834</v>
      </c>
      <c r="C2791" s="143" t="str">
        <f>VLOOKUP(B2791,'Thống kê'!$C$3:$D$970,2,0)</f>
        <v>Túi Đựng Mắt Kính Da Pu</v>
      </c>
      <c r="D2791" s="166">
        <f>VLOOKUP(B2791,'Thống kê'!$C$3:$M$970,4,0)</f>
        <v>0</v>
      </c>
      <c r="E2791" s="167">
        <v>-1</v>
      </c>
      <c r="F2791" s="168">
        <f t="shared" si="11"/>
        <v>0</v>
      </c>
      <c r="G2791" s="75"/>
      <c r="H2791" s="372"/>
    </row>
    <row r="2792" spans="1:8" ht="13.2">
      <c r="A2792" s="64"/>
      <c r="B2792" s="16" t="s">
        <v>1841</v>
      </c>
      <c r="C2792" s="143" t="str">
        <f>VLOOKUP(B2792,'Thống kê'!$C$3:$D$970,2,0)</f>
        <v>Túi Đựng Mắt Kính Da Pu</v>
      </c>
      <c r="D2792" s="166">
        <f>VLOOKUP(B2792,'Thống kê'!$C$3:$M$970,4,0)</f>
        <v>0</v>
      </c>
      <c r="E2792" s="167">
        <v>-1</v>
      </c>
      <c r="F2792" s="168">
        <f t="shared" si="11"/>
        <v>0</v>
      </c>
      <c r="G2792" s="75"/>
      <c r="H2792" s="372"/>
    </row>
    <row r="2793" spans="1:8" ht="13.2">
      <c r="A2793" s="49"/>
      <c r="B2793" s="16" t="s">
        <v>238</v>
      </c>
      <c r="C2793" s="143">
        <f>VLOOKUP(B2793,'Thống kê'!$C$3:$D$970,2,0)</f>
        <v>0</v>
      </c>
      <c r="D2793" s="166">
        <f>VLOOKUP(B2793,'Thống kê'!$C$3:$M$970,4,0)</f>
        <v>0</v>
      </c>
      <c r="E2793" s="167">
        <v>-1</v>
      </c>
      <c r="F2793" s="168">
        <f t="shared" si="11"/>
        <v>0</v>
      </c>
      <c r="G2793" s="75"/>
      <c r="H2793" s="175">
        <v>-16500</v>
      </c>
    </row>
    <row r="2794" spans="1:8" ht="13.2">
      <c r="A2794" s="49"/>
      <c r="B2794" s="16" t="s">
        <v>196</v>
      </c>
      <c r="C2794" s="143">
        <f>VLOOKUP(B2794,'Thống kê'!$C$3:$D$970,2,0)</f>
        <v>0</v>
      </c>
      <c r="D2794" s="166">
        <f>VLOOKUP(B2794,'Thống kê'!$C$3:$M$970,4,0)</f>
        <v>0</v>
      </c>
      <c r="E2794" s="167">
        <v>-2</v>
      </c>
      <c r="F2794" s="168">
        <f t="shared" si="11"/>
        <v>0</v>
      </c>
      <c r="G2794" s="75"/>
      <c r="H2794" s="175">
        <v>-32800</v>
      </c>
    </row>
    <row r="2795" spans="1:8" ht="13.2">
      <c r="A2795" s="49"/>
      <c r="B2795" s="16" t="s">
        <v>142</v>
      </c>
      <c r="C2795" s="143">
        <f>VLOOKUP(B2795,'Thống kê'!$C$3:$D$970,2,0)</f>
        <v>0</v>
      </c>
      <c r="D2795" s="166">
        <f>VLOOKUP(B2795,'Thống kê'!$C$3:$M$970,4,0)</f>
        <v>0</v>
      </c>
      <c r="E2795" s="167">
        <v>-1</v>
      </c>
      <c r="F2795" s="168">
        <f t="shared" si="11"/>
        <v>0</v>
      </c>
      <c r="G2795" s="75"/>
      <c r="H2795" s="402">
        <v>-43400</v>
      </c>
    </row>
    <row r="2796" spans="1:8" ht="13.2">
      <c r="A2796" s="49"/>
      <c r="B2796" s="16" t="s">
        <v>200</v>
      </c>
      <c r="C2796" s="143">
        <f>VLOOKUP(B2796,'Thống kê'!$C$3:$D$970,2,0)</f>
        <v>0</v>
      </c>
      <c r="D2796" s="166">
        <f>VLOOKUP(B2796,'Thống kê'!$C$3:$M$970,4,0)</f>
        <v>0</v>
      </c>
      <c r="E2796" s="167">
        <v>-1</v>
      </c>
      <c r="F2796" s="168">
        <f t="shared" si="11"/>
        <v>0</v>
      </c>
      <c r="G2796" s="75"/>
      <c r="H2796" s="372"/>
    </row>
    <row r="2797" spans="1:8" ht="13.2">
      <c r="A2797" s="49"/>
      <c r="B2797" s="16" t="s">
        <v>125</v>
      </c>
      <c r="C2797" s="143">
        <f>VLOOKUP(B2797,'Thống kê'!$C$3:$D$970,2,0)</f>
        <v>0</v>
      </c>
      <c r="D2797" s="166">
        <f>VLOOKUP(B2797,'Thống kê'!$C$3:$M$970,4,0)</f>
        <v>0</v>
      </c>
      <c r="E2797" s="167">
        <v>-1</v>
      </c>
      <c r="F2797" s="168">
        <f t="shared" si="11"/>
        <v>0</v>
      </c>
      <c r="G2797" s="75"/>
      <c r="H2797" s="372"/>
    </row>
    <row r="2798" spans="1:8" ht="13.2">
      <c r="A2798" s="49"/>
      <c r="B2798" s="16" t="s">
        <v>191</v>
      </c>
      <c r="C2798" s="143">
        <f>VLOOKUP(B2798,'Thống kê'!$C$3:$D$970,2,0)</f>
        <v>0</v>
      </c>
      <c r="D2798" s="166">
        <f>VLOOKUP(B2798,'Thống kê'!$C$3:$M$970,4,0)</f>
        <v>0</v>
      </c>
      <c r="E2798" s="167">
        <v>-1</v>
      </c>
      <c r="F2798" s="168">
        <f t="shared" si="11"/>
        <v>0</v>
      </c>
      <c r="G2798" s="75"/>
      <c r="H2798" s="372"/>
    </row>
    <row r="2799" spans="1:8" ht="13.2">
      <c r="A2799" s="49"/>
      <c r="B2799" s="16" t="s">
        <v>1462</v>
      </c>
      <c r="C2799" s="143">
        <f>VLOOKUP(B2799,'Thống kê'!$C$3:$D$970,2,0)</f>
        <v>0</v>
      </c>
      <c r="D2799" s="166">
        <f>VLOOKUP(B2799,'Thống kê'!$C$3:$M$970,4,0)</f>
        <v>0</v>
      </c>
      <c r="E2799" s="167">
        <v>-1</v>
      </c>
      <c r="F2799" s="168">
        <f t="shared" si="11"/>
        <v>0</v>
      </c>
      <c r="G2799" s="75"/>
      <c r="H2799" s="372"/>
    </row>
    <row r="2800" spans="1:8" ht="13.2">
      <c r="A2800" s="49"/>
      <c r="B2800" s="16" t="s">
        <v>93</v>
      </c>
      <c r="C2800" s="143">
        <f>VLOOKUP(B2800,'Thống kê'!$C$3:$D$970,2,0)</f>
        <v>0</v>
      </c>
      <c r="D2800" s="166">
        <f>VLOOKUP(B2800,'Thống kê'!$C$3:$M$970,4,0)</f>
        <v>0</v>
      </c>
      <c r="E2800" s="167">
        <v>-1</v>
      </c>
      <c r="F2800" s="168">
        <f t="shared" si="11"/>
        <v>0</v>
      </c>
      <c r="G2800" s="75"/>
      <c r="H2800" s="175">
        <v>-37300</v>
      </c>
    </row>
    <row r="2801" spans="1:8" ht="13.2">
      <c r="A2801" s="49"/>
      <c r="B2801" s="16" t="s">
        <v>93</v>
      </c>
      <c r="C2801" s="143">
        <f>VLOOKUP(B2801,'Thống kê'!$C$3:$D$970,2,0)</f>
        <v>0</v>
      </c>
      <c r="D2801" s="166">
        <f>VLOOKUP(B2801,'Thống kê'!$C$3:$M$970,4,0)</f>
        <v>0</v>
      </c>
      <c r="E2801" s="167">
        <v>-1</v>
      </c>
      <c r="F2801" s="168">
        <f t="shared" si="11"/>
        <v>0</v>
      </c>
      <c r="G2801" s="75"/>
      <c r="H2801" s="175">
        <v>-32700</v>
      </c>
    </row>
    <row r="2802" spans="1:8" ht="13.2">
      <c r="A2802" s="49"/>
      <c r="B2802" s="16" t="s">
        <v>238</v>
      </c>
      <c r="C2802" s="143">
        <f>VLOOKUP(B2802,'Thống kê'!$C$3:$D$970,2,0)</f>
        <v>0</v>
      </c>
      <c r="D2802" s="166">
        <f>VLOOKUP(B2802,'Thống kê'!$C$3:$M$970,4,0)</f>
        <v>0</v>
      </c>
      <c r="E2802" s="167">
        <v>-1</v>
      </c>
      <c r="F2802" s="168">
        <f t="shared" si="11"/>
        <v>0</v>
      </c>
      <c r="G2802" s="75"/>
      <c r="H2802" s="175">
        <v>-80408</v>
      </c>
    </row>
    <row r="2803" spans="1:8" ht="13.2">
      <c r="A2803" s="49"/>
      <c r="B2803" s="16" t="s">
        <v>228</v>
      </c>
      <c r="C2803" s="143">
        <f>VLOOKUP(B2803,'Thống kê'!$C$3:$D$970,2,0)</f>
        <v>0</v>
      </c>
      <c r="D2803" s="166">
        <f>VLOOKUP(B2803,'Thống kê'!$C$3:$M$970,4,0)</f>
        <v>0</v>
      </c>
      <c r="E2803" s="167">
        <v>-1</v>
      </c>
      <c r="F2803" s="168">
        <f t="shared" si="11"/>
        <v>0</v>
      </c>
      <c r="G2803" s="75"/>
      <c r="H2803" s="175">
        <v>-73600</v>
      </c>
    </row>
    <row r="2804" spans="1:8" ht="13.2">
      <c r="A2804" s="49"/>
      <c r="B2804" s="16" t="s">
        <v>93</v>
      </c>
      <c r="C2804" s="143">
        <f>VLOOKUP(B2804,'Thống kê'!$C$3:$D$970,2,0)</f>
        <v>0</v>
      </c>
      <c r="D2804" s="166">
        <f>VLOOKUP(B2804,'Thống kê'!$C$3:$M$970,4,0)</f>
        <v>0</v>
      </c>
      <c r="E2804" s="167">
        <v>-1</v>
      </c>
      <c r="F2804" s="168">
        <f t="shared" si="11"/>
        <v>0</v>
      </c>
      <c r="G2804" s="75"/>
      <c r="H2804" s="175">
        <v>0</v>
      </c>
    </row>
    <row r="2805" spans="1:8" ht="13.2">
      <c r="A2805" s="49"/>
      <c r="B2805" s="16" t="s">
        <v>142</v>
      </c>
      <c r="C2805" s="143">
        <f>VLOOKUP(B2805,'Thống kê'!$C$3:$D$970,2,0)</f>
        <v>0</v>
      </c>
      <c r="D2805" s="166">
        <f>VLOOKUP(B2805,'Thống kê'!$C$3:$M$970,4,0)</f>
        <v>0</v>
      </c>
      <c r="E2805" s="167">
        <v>-1</v>
      </c>
      <c r="F2805" s="168">
        <f t="shared" si="11"/>
        <v>0</v>
      </c>
      <c r="G2805" s="75"/>
      <c r="H2805" s="175">
        <v>0</v>
      </c>
    </row>
    <row r="2806" spans="1:8" ht="13.2">
      <c r="A2806" s="49"/>
      <c r="B2806" s="16" t="s">
        <v>77</v>
      </c>
      <c r="C2806" s="143">
        <f>VLOOKUP(B2806,'Thống kê'!$C$3:$D$970,2,0)</f>
        <v>0</v>
      </c>
      <c r="D2806" s="166">
        <f>VLOOKUP(B2806,'Thống kê'!$C$3:$M$970,4,0)</f>
        <v>0</v>
      </c>
      <c r="E2806" s="167">
        <v>1</v>
      </c>
      <c r="F2806" s="168">
        <f t="shared" si="11"/>
        <v>0</v>
      </c>
      <c r="G2806" s="75"/>
      <c r="H2806" s="175">
        <v>100040</v>
      </c>
    </row>
    <row r="2807" spans="1:8" ht="13.2">
      <c r="A2807" s="49"/>
      <c r="B2807" s="16" t="s">
        <v>233</v>
      </c>
      <c r="C2807" s="143">
        <f>VLOOKUP(B2807,'Thống kê'!$C$3:$D$970,2,0)</f>
        <v>0</v>
      </c>
      <c r="D2807" s="166">
        <f>VLOOKUP(B2807,'Thống kê'!$C$3:$M$970,4,0)</f>
        <v>0</v>
      </c>
      <c r="E2807" s="167">
        <v>1</v>
      </c>
      <c r="F2807" s="168">
        <f t="shared" si="11"/>
        <v>0</v>
      </c>
      <c r="G2807" s="75"/>
      <c r="H2807" s="402">
        <v>56580</v>
      </c>
    </row>
    <row r="2808" spans="1:8" ht="13.2">
      <c r="A2808" s="49"/>
      <c r="B2808" s="16" t="s">
        <v>1382</v>
      </c>
      <c r="C2808" s="143" t="str">
        <f>VLOOKUP(B2808,'Thống kê'!$C$3:$D$970,2,0)</f>
        <v>miếng dán silicon điện thoại</v>
      </c>
      <c r="D2808" s="166">
        <f>VLOOKUP(B2808,'Thống kê'!$C$3:$M$970,4,0)</f>
        <v>0</v>
      </c>
      <c r="E2808" s="167">
        <v>1</v>
      </c>
      <c r="F2808" s="168">
        <f t="shared" si="11"/>
        <v>0</v>
      </c>
      <c r="G2808" s="75"/>
      <c r="H2808" s="372"/>
    </row>
    <row r="2809" spans="1:8" ht="13.2">
      <c r="A2809" s="49"/>
      <c r="B2809" s="16" t="s">
        <v>1521</v>
      </c>
      <c r="C2809" s="143">
        <f>VLOOKUP(B2809,'Thống kê'!$C$3:$D$970,2,0)</f>
        <v>0</v>
      </c>
      <c r="D2809" s="166">
        <f>VLOOKUP(B2809,'Thống kê'!$C$3:$M$970,4,0)</f>
        <v>0</v>
      </c>
      <c r="E2809" s="167">
        <v>1</v>
      </c>
      <c r="F2809" s="168">
        <f t="shared" si="11"/>
        <v>0</v>
      </c>
      <c r="G2809" s="75"/>
      <c r="H2809" s="175">
        <v>56580</v>
      </c>
    </row>
    <row r="2810" spans="1:8" ht="13.2">
      <c r="A2810" s="49"/>
      <c r="B2810" s="16" t="s">
        <v>133</v>
      </c>
      <c r="C2810" s="143">
        <f>VLOOKUP(B2810,'Thống kê'!$C$3:$D$970,2,0)</f>
        <v>0</v>
      </c>
      <c r="D2810" s="166">
        <f>VLOOKUP(B2810,'Thống kê'!$C$3:$M$970,4,0)</f>
        <v>0</v>
      </c>
      <c r="E2810" s="167">
        <v>1</v>
      </c>
      <c r="F2810" s="168">
        <f t="shared" si="11"/>
        <v>0</v>
      </c>
      <c r="G2810" s="75"/>
      <c r="H2810" s="402">
        <v>100040</v>
      </c>
    </row>
    <row r="2811" spans="1:8" ht="13.2">
      <c r="A2811" s="49"/>
      <c r="B2811" s="16" t="s">
        <v>1524</v>
      </c>
      <c r="C2811" s="143">
        <f>VLOOKUP(B2811,'Thống kê'!$C$3:$D$970,2,0)</f>
        <v>0</v>
      </c>
      <c r="D2811" s="166">
        <f>VLOOKUP(B2811,'Thống kê'!$C$3:$M$970,4,0)</f>
        <v>0</v>
      </c>
      <c r="E2811" s="167">
        <v>1</v>
      </c>
      <c r="F2811" s="168">
        <f t="shared" si="11"/>
        <v>0</v>
      </c>
      <c r="G2811" s="75"/>
      <c r="H2811" s="372"/>
    </row>
    <row r="2812" spans="1:8" ht="13.2">
      <c r="A2812" s="49"/>
      <c r="B2812" s="16" t="s">
        <v>1382</v>
      </c>
      <c r="C2812" s="143" t="str">
        <f>VLOOKUP(B2812,'Thống kê'!$C$3:$D$970,2,0)</f>
        <v>miếng dán silicon điện thoại</v>
      </c>
      <c r="D2812" s="166">
        <f>VLOOKUP(B2812,'Thống kê'!$C$3:$M$970,4,0)</f>
        <v>0</v>
      </c>
      <c r="E2812" s="167">
        <v>1</v>
      </c>
      <c r="F2812" s="168">
        <f t="shared" si="11"/>
        <v>0</v>
      </c>
      <c r="G2812" s="75"/>
      <c r="H2812" s="372"/>
    </row>
    <row r="2813" spans="1:8" ht="13.2">
      <c r="A2813" s="49"/>
      <c r="B2813" s="16" t="s">
        <v>116</v>
      </c>
      <c r="C2813" s="143" t="str">
        <f>VLOOKUP(B2813,'Thống kê'!$C$3:$D$970,2,0)</f>
        <v>heo ú cầm hoa</v>
      </c>
      <c r="D2813" s="166">
        <f>VLOOKUP(B2813,'Thống kê'!$C$3:$M$970,4,0)</f>
        <v>64500</v>
      </c>
      <c r="E2813" s="167">
        <v>1</v>
      </c>
      <c r="F2813" s="168">
        <f t="shared" si="11"/>
        <v>64500</v>
      </c>
      <c r="G2813" s="75"/>
      <c r="H2813" s="175">
        <v>63924</v>
      </c>
    </row>
    <row r="2814" spans="1:8" ht="13.2">
      <c r="A2814" s="49"/>
      <c r="B2814" s="16" t="s">
        <v>1387</v>
      </c>
      <c r="C2814" s="143" t="str">
        <f>VLOOKUP(B2814,'Thống kê'!$C$3:$D$970,2,0)</f>
        <v>Móc khoá Crybaby mini Popmart</v>
      </c>
      <c r="D2814" s="166">
        <f>VLOOKUP(B2814,'Thống kê'!$C$3:$M$970,4,0)</f>
        <v>0</v>
      </c>
      <c r="E2814" s="167">
        <v>1</v>
      </c>
      <c r="F2814" s="168">
        <f t="shared" si="11"/>
        <v>0</v>
      </c>
      <c r="G2814" s="75"/>
      <c r="H2814" s="175">
        <v>91015</v>
      </c>
    </row>
    <row r="2815" spans="1:8" ht="13.2">
      <c r="A2815" s="64"/>
      <c r="B2815" s="16" t="s">
        <v>171</v>
      </c>
      <c r="C2815" s="143">
        <f>VLOOKUP(B2815,'Thống kê'!$C$3:$D$970,2,0)</f>
        <v>0</v>
      </c>
      <c r="D2815" s="166">
        <f>VLOOKUP(B2815,'Thống kê'!$C$3:$M$970,4,0)</f>
        <v>0</v>
      </c>
      <c r="E2815" s="167">
        <v>1</v>
      </c>
      <c r="F2815" s="168">
        <f t="shared" si="11"/>
        <v>0</v>
      </c>
      <c r="G2815" s="75"/>
      <c r="H2815" s="402">
        <v>106600</v>
      </c>
    </row>
    <row r="2816" spans="1:8" ht="13.2">
      <c r="A2816" s="49"/>
      <c r="B2816" s="16" t="s">
        <v>1522</v>
      </c>
      <c r="C2816" s="143">
        <f>VLOOKUP(B2816,'Thống kê'!$C$3:$D$970,2,0)</f>
        <v>0</v>
      </c>
      <c r="D2816" s="166">
        <f>VLOOKUP(B2816,'Thống kê'!$C$3:$M$970,4,0)</f>
        <v>0</v>
      </c>
      <c r="E2816" s="167">
        <v>1</v>
      </c>
      <c r="F2816" s="168">
        <f t="shared" si="11"/>
        <v>0</v>
      </c>
      <c r="G2816" s="75"/>
      <c r="H2816" s="372"/>
    </row>
    <row r="2817" spans="1:8" ht="13.2">
      <c r="A2817" s="49"/>
      <c r="B2817" s="16" t="s">
        <v>1382</v>
      </c>
      <c r="C2817" s="143" t="str">
        <f>VLOOKUP(B2817,'Thống kê'!$C$3:$D$970,2,0)</f>
        <v>miếng dán silicon điện thoại</v>
      </c>
      <c r="D2817" s="166">
        <f>VLOOKUP(B2817,'Thống kê'!$C$3:$M$970,4,0)</f>
        <v>0</v>
      </c>
      <c r="E2817" s="167">
        <v>1</v>
      </c>
      <c r="F2817" s="168">
        <f t="shared" si="11"/>
        <v>0</v>
      </c>
      <c r="G2817" s="75"/>
      <c r="H2817" s="372"/>
    </row>
    <row r="2818" spans="1:8" ht="13.2">
      <c r="A2818" s="49"/>
      <c r="B2818" s="16" t="s">
        <v>1717</v>
      </c>
      <c r="C2818" s="143" t="str">
        <f>VLOOKUP(B2818,'Thống kê'!$C$3:$D$970,2,0)</f>
        <v>Pop Bean Baked Bread</v>
      </c>
      <c r="D2818" s="166">
        <f>VLOOKUP(B2818,'Thống kê'!$C$3:$M$970,4,0)</f>
        <v>167000</v>
      </c>
      <c r="E2818" s="167">
        <v>1</v>
      </c>
      <c r="F2818" s="168">
        <f t="shared" si="11"/>
        <v>167000</v>
      </c>
      <c r="G2818" s="75"/>
      <c r="H2818" s="402">
        <v>124500</v>
      </c>
    </row>
    <row r="2819" spans="1:8" ht="13.2">
      <c r="A2819" s="49"/>
      <c r="B2819" s="16" t="s">
        <v>1382</v>
      </c>
      <c r="C2819" s="143" t="str">
        <f>VLOOKUP(B2819,'Thống kê'!$C$3:$D$970,2,0)</f>
        <v>miếng dán silicon điện thoại</v>
      </c>
      <c r="D2819" s="166">
        <f>VLOOKUP(B2819,'Thống kê'!$C$3:$M$970,4,0)</f>
        <v>0</v>
      </c>
      <c r="E2819" s="167">
        <v>1</v>
      </c>
      <c r="F2819" s="168">
        <f t="shared" si="11"/>
        <v>0</v>
      </c>
      <c r="G2819" s="75"/>
      <c r="H2819" s="372"/>
    </row>
    <row r="2820" spans="1:8" ht="13.2">
      <c r="A2820" s="49"/>
      <c r="B2820" s="16" t="s">
        <v>142</v>
      </c>
      <c r="C2820" s="143">
        <f>VLOOKUP(B2820,'Thống kê'!$C$3:$D$970,2,0)</f>
        <v>0</v>
      </c>
      <c r="D2820" s="166">
        <f>VLOOKUP(B2820,'Thống kê'!$C$3:$M$970,4,0)</f>
        <v>0</v>
      </c>
      <c r="E2820" s="167">
        <v>1</v>
      </c>
      <c r="F2820" s="168">
        <f t="shared" si="11"/>
        <v>0</v>
      </c>
      <c r="G2820" s="75"/>
      <c r="H2820" s="402">
        <v>67142</v>
      </c>
    </row>
    <row r="2821" spans="1:8" ht="13.2">
      <c r="A2821" s="49"/>
      <c r="B2821" s="16" t="s">
        <v>1382</v>
      </c>
      <c r="C2821" s="143" t="str">
        <f>VLOOKUP(B2821,'Thống kê'!$C$3:$D$970,2,0)</f>
        <v>miếng dán silicon điện thoại</v>
      </c>
      <c r="D2821" s="166">
        <f>VLOOKUP(B2821,'Thống kê'!$C$3:$M$970,4,0)</f>
        <v>0</v>
      </c>
      <c r="E2821" s="167">
        <v>1</v>
      </c>
      <c r="F2821" s="168">
        <f t="shared" si="11"/>
        <v>0</v>
      </c>
      <c r="G2821" s="75"/>
      <c r="H2821" s="372"/>
    </row>
    <row r="2822" spans="1:8" ht="13.2">
      <c r="A2822" s="49"/>
      <c r="B2822" s="28" t="s">
        <v>1836</v>
      </c>
      <c r="C2822" s="143" t="str">
        <f>VLOOKUP(B2822,'Thống kê'!$C$3:$D$970,2,0)</f>
        <v>Túi Đựng Mắt Kính Da Pu</v>
      </c>
      <c r="D2822" s="166">
        <f>VLOOKUP(B2822,'Thống kê'!$C$3:$M$970,4,0)</f>
        <v>0</v>
      </c>
      <c r="E2822" s="167">
        <v>1</v>
      </c>
      <c r="F2822" s="168">
        <f t="shared" si="11"/>
        <v>0</v>
      </c>
      <c r="G2822" s="75"/>
      <c r="H2822" s="402">
        <v>45960</v>
      </c>
    </row>
    <row r="2823" spans="1:8" ht="13.2">
      <c r="A2823" s="49"/>
      <c r="B2823" s="16" t="s">
        <v>1845</v>
      </c>
      <c r="C2823" s="143" t="str">
        <f>VLOOKUP(B2823,'Thống kê'!$C$3:$D$970,2,0)</f>
        <v>Túi Đựng Mắt Kính Da Pu</v>
      </c>
      <c r="D2823" s="166">
        <f>VLOOKUP(B2823,'Thống kê'!$C$3:$M$970,4,0)</f>
        <v>0</v>
      </c>
      <c r="E2823" s="167">
        <v>1</v>
      </c>
      <c r="F2823" s="168">
        <f t="shared" si="11"/>
        <v>0</v>
      </c>
      <c r="G2823" s="75"/>
      <c r="H2823" s="372"/>
    </row>
    <row r="2824" spans="1:8" ht="13.2">
      <c r="A2824" s="49"/>
      <c r="B2824" s="16" t="s">
        <v>1825</v>
      </c>
      <c r="C2824" s="143" t="str">
        <f>VLOOKUP(B2824,'Thống kê'!$C$3:$D$970,2,0)</f>
        <v>Túi Đựng Mắt Kính Da Pu</v>
      </c>
      <c r="D2824" s="166">
        <f>VLOOKUP(B2824,'Thống kê'!$C$3:$M$970,4,0)</f>
        <v>0</v>
      </c>
      <c r="E2824" s="167">
        <v>1</v>
      </c>
      <c r="F2824" s="168">
        <f t="shared" si="11"/>
        <v>0</v>
      </c>
      <c r="G2824" s="75"/>
      <c r="H2824" s="372"/>
    </row>
    <row r="2825" spans="1:8" ht="13.2">
      <c r="A2825" s="49"/>
      <c r="B2825" s="16" t="s">
        <v>125</v>
      </c>
      <c r="C2825" s="143">
        <f>VLOOKUP(B2825,'Thống kê'!$C$3:$D$970,2,0)</f>
        <v>0</v>
      </c>
      <c r="D2825" s="166">
        <f>VLOOKUP(B2825,'Thống kê'!$C$3:$M$970,4,0)</f>
        <v>0</v>
      </c>
      <c r="E2825" s="167">
        <v>1</v>
      </c>
      <c r="F2825" s="168">
        <f t="shared" si="11"/>
        <v>0</v>
      </c>
      <c r="G2825" s="75"/>
      <c r="H2825" s="402">
        <v>66742</v>
      </c>
    </row>
    <row r="2826" spans="1:8" ht="13.2">
      <c r="A2826" s="49"/>
      <c r="B2826" s="16" t="s">
        <v>1382</v>
      </c>
      <c r="C2826" s="143" t="str">
        <f>VLOOKUP(B2826,'Thống kê'!$C$3:$D$970,2,0)</f>
        <v>miếng dán silicon điện thoại</v>
      </c>
      <c r="D2826" s="166">
        <f>VLOOKUP(B2826,'Thống kê'!$C$3:$M$970,4,0)</f>
        <v>0</v>
      </c>
      <c r="E2826" s="167">
        <v>1</v>
      </c>
      <c r="F2826" s="168">
        <f t="shared" si="11"/>
        <v>0</v>
      </c>
      <c r="G2826" s="75"/>
      <c r="H2826" s="372"/>
    </row>
    <row r="2827" spans="1:8" ht="13.2">
      <c r="A2827" s="49"/>
      <c r="B2827" s="16" t="s">
        <v>133</v>
      </c>
      <c r="C2827" s="143">
        <f>VLOOKUP(B2827,'Thống kê'!$C$3:$D$970,2,0)</f>
        <v>0</v>
      </c>
      <c r="D2827" s="166">
        <f>VLOOKUP(B2827,'Thống kê'!$C$3:$M$970,4,0)</f>
        <v>0</v>
      </c>
      <c r="E2827" s="167">
        <v>1</v>
      </c>
      <c r="F2827" s="168">
        <f t="shared" si="11"/>
        <v>0</v>
      </c>
      <c r="G2827" s="75"/>
      <c r="H2827" s="175">
        <v>405900</v>
      </c>
    </row>
    <row r="2828" spans="1:8" ht="13.2">
      <c r="A2828" s="49"/>
      <c r="B2828" s="16" t="s">
        <v>77</v>
      </c>
      <c r="C2828" s="143">
        <f>VLOOKUP(B2828,'Thống kê'!$C$3:$D$970,2,0)</f>
        <v>0</v>
      </c>
      <c r="D2828" s="166">
        <f>VLOOKUP(B2828,'Thống kê'!$C$3:$M$970,4,0)</f>
        <v>0</v>
      </c>
      <c r="E2828" s="167">
        <v>1</v>
      </c>
      <c r="F2828" s="168">
        <f t="shared" si="11"/>
        <v>0</v>
      </c>
      <c r="G2828" s="75"/>
      <c r="H2828" s="175"/>
    </row>
    <row r="2829" spans="1:8" ht="13.2">
      <c r="A2829" s="49"/>
      <c r="B2829" s="16" t="s">
        <v>1516</v>
      </c>
      <c r="C2829" s="143">
        <f>VLOOKUP(B2829,'Thống kê'!$C$3:$D$970,2,0)</f>
        <v>0</v>
      </c>
      <c r="D2829" s="166">
        <f>VLOOKUP(B2829,'Thống kê'!$C$3:$M$970,4,0)</f>
        <v>0</v>
      </c>
      <c r="E2829" s="167">
        <v>1</v>
      </c>
      <c r="F2829" s="168">
        <f t="shared" si="11"/>
        <v>0</v>
      </c>
      <c r="G2829" s="75"/>
      <c r="H2829" s="175"/>
    </row>
    <row r="2830" spans="1:8" ht="13.2">
      <c r="A2830" s="49"/>
      <c r="B2830" s="16" t="s">
        <v>1524</v>
      </c>
      <c r="C2830" s="143">
        <f>VLOOKUP(B2830,'Thống kê'!$C$3:$D$970,2,0)</f>
        <v>0</v>
      </c>
      <c r="D2830" s="166">
        <f>VLOOKUP(B2830,'Thống kê'!$C$3:$M$970,4,0)</f>
        <v>0</v>
      </c>
      <c r="E2830" s="167">
        <v>1</v>
      </c>
      <c r="F2830" s="168">
        <f t="shared" si="11"/>
        <v>0</v>
      </c>
      <c r="G2830" s="75"/>
      <c r="H2830" s="175"/>
    </row>
    <row r="2831" spans="1:8" ht="13.2">
      <c r="A2831" s="49"/>
      <c r="B2831" s="16" t="s">
        <v>140</v>
      </c>
      <c r="C2831" s="143">
        <f>VLOOKUP(B2831,'Thống kê'!$C$3:$D$970,2,0)</f>
        <v>0</v>
      </c>
      <c r="D2831" s="166">
        <f>VLOOKUP(B2831,'Thống kê'!$C$3:$M$970,4,0)</f>
        <v>0</v>
      </c>
      <c r="E2831" s="167">
        <v>1</v>
      </c>
      <c r="F2831" s="168">
        <f t="shared" si="11"/>
        <v>0</v>
      </c>
      <c r="G2831" s="75"/>
      <c r="H2831" s="175"/>
    </row>
    <row r="2832" spans="1:8" ht="13.2">
      <c r="A2832" s="64"/>
      <c r="B2832" s="16" t="s">
        <v>137</v>
      </c>
      <c r="C2832" s="143">
        <f>VLOOKUP(B2832,'Thống kê'!$C$3:$D$970,2,0)</f>
        <v>0</v>
      </c>
      <c r="D2832" s="166">
        <f>VLOOKUP(B2832,'Thống kê'!$C$3:$M$970,4,0)</f>
        <v>0</v>
      </c>
      <c r="E2832" s="167">
        <v>1</v>
      </c>
      <c r="F2832" s="168">
        <f t="shared" si="11"/>
        <v>0</v>
      </c>
      <c r="G2832" s="75"/>
      <c r="H2832" s="175"/>
    </row>
    <row r="2833" spans="1:8" ht="13.2">
      <c r="A2833" s="49"/>
      <c r="B2833" s="16" t="s">
        <v>323</v>
      </c>
      <c r="C2833" s="143">
        <f>VLOOKUP(B2833,'Thống kê'!$C$3:$D$970,2,0)</f>
        <v>0</v>
      </c>
      <c r="D2833" s="166">
        <f>VLOOKUP(B2833,'Thống kê'!$C$3:$M$970,4,0)</f>
        <v>0</v>
      </c>
      <c r="E2833" s="167">
        <v>1</v>
      </c>
      <c r="F2833" s="168">
        <f t="shared" si="11"/>
        <v>0</v>
      </c>
      <c r="G2833" s="75"/>
      <c r="H2833" s="175"/>
    </row>
    <row r="2834" spans="1:8" ht="13.2">
      <c r="A2834" s="49"/>
      <c r="B2834" s="16" t="s">
        <v>1382</v>
      </c>
      <c r="C2834" s="143" t="str">
        <f>VLOOKUP(B2834,'Thống kê'!$C$3:$D$970,2,0)</f>
        <v>miếng dán silicon điện thoại</v>
      </c>
      <c r="D2834" s="166">
        <f>VLOOKUP(B2834,'Thống kê'!$C$3:$M$970,4,0)</f>
        <v>0</v>
      </c>
      <c r="E2834" s="167">
        <v>1</v>
      </c>
      <c r="F2834" s="168">
        <f t="shared" si="11"/>
        <v>0</v>
      </c>
      <c r="G2834" s="75"/>
      <c r="H2834" s="175"/>
    </row>
    <row r="2835" spans="1:8" ht="13.2">
      <c r="A2835" s="49"/>
      <c r="B2835" s="16" t="s">
        <v>96</v>
      </c>
      <c r="C2835" s="143">
        <f>VLOOKUP(B2835,'Thống kê'!$C$3:$D$970,2,0)</f>
        <v>0</v>
      </c>
      <c r="D2835" s="166">
        <f>VLOOKUP(B2835,'Thống kê'!$C$3:$M$970,4,0)</f>
        <v>0</v>
      </c>
      <c r="E2835" s="167">
        <v>1</v>
      </c>
      <c r="F2835" s="168">
        <f t="shared" si="11"/>
        <v>0</v>
      </c>
      <c r="G2835" s="75"/>
      <c r="H2835" s="402">
        <v>116604</v>
      </c>
    </row>
    <row r="2836" spans="1:8" ht="13.2">
      <c r="A2836" s="49"/>
      <c r="B2836" s="16" t="s">
        <v>176</v>
      </c>
      <c r="C2836" s="143">
        <f>VLOOKUP(B2836,'Thống kê'!$C$3:$D$970,2,0)</f>
        <v>0</v>
      </c>
      <c r="D2836" s="166">
        <f>VLOOKUP(B2836,'Thống kê'!$C$3:$M$970,4,0)</f>
        <v>0</v>
      </c>
      <c r="E2836" s="167">
        <v>1</v>
      </c>
      <c r="F2836" s="168">
        <f t="shared" si="11"/>
        <v>0</v>
      </c>
      <c r="G2836" s="75"/>
      <c r="H2836" s="372"/>
    </row>
    <row r="2837" spans="1:8" ht="13.2">
      <c r="A2837" s="49"/>
      <c r="B2837" s="16" t="s">
        <v>1382</v>
      </c>
      <c r="C2837" s="143" t="str">
        <f>VLOOKUP(B2837,'Thống kê'!$C$3:$D$970,2,0)</f>
        <v>miếng dán silicon điện thoại</v>
      </c>
      <c r="D2837" s="166">
        <f>VLOOKUP(B2837,'Thống kê'!$C$3:$M$970,4,0)</f>
        <v>0</v>
      </c>
      <c r="E2837" s="167">
        <v>1</v>
      </c>
      <c r="F2837" s="168">
        <f t="shared" si="11"/>
        <v>0</v>
      </c>
      <c r="G2837" s="75"/>
      <c r="H2837" s="372"/>
    </row>
    <row r="2838" spans="1:8" ht="13.2">
      <c r="A2838" s="49"/>
      <c r="B2838" s="16" t="s">
        <v>1857</v>
      </c>
      <c r="C2838" s="143" t="e">
        <f>IFERROR(VLOOKUP(B2838,'Thống kê'!$C$3:$D$970,2, FALSE),VLOOKUP(B2838,'Thống kê v2 CC'!$A$3:$D$1005,3, FALSE))</f>
        <v>#N/A</v>
      </c>
      <c r="D2838" s="166" t="e">
        <f>VLOOKUP(B2838,'Thống kê'!$C$3:$M$970,4,0)</f>
        <v>#N/A</v>
      </c>
      <c r="E2838" s="167">
        <v>1</v>
      </c>
      <c r="F2838" s="168" t="e">
        <f t="shared" si="11"/>
        <v>#N/A</v>
      </c>
      <c r="G2838" s="75"/>
      <c r="H2838" s="175">
        <v>238603</v>
      </c>
    </row>
    <row r="2839" spans="1:8" ht="13.2">
      <c r="A2839" s="49"/>
      <c r="B2839" s="16" t="s">
        <v>1481</v>
      </c>
      <c r="C2839" s="143" t="str">
        <f>IFERROR(VLOOKUP(B2839,'Thống kê'!$C$3:$D$970,2, FALSE),VLOOKUP(B2839,'Thống kê v2 CC'!$A$3:$D$1005,3, FALSE))</f>
        <v>Móc khoá Dudu nhiều màu sắc treo túi, đeo điện thoại</v>
      </c>
      <c r="D2839" s="166">
        <f>VLOOKUP(B2839,'Thống kê'!$C$3:$M$970,4,0)</f>
        <v>45000</v>
      </c>
      <c r="E2839" s="167">
        <v>1</v>
      </c>
      <c r="F2839" s="168">
        <f t="shared" si="11"/>
        <v>45000</v>
      </c>
      <c r="G2839" s="75"/>
      <c r="H2839" s="175"/>
    </row>
    <row r="2840" spans="1:8" ht="13.2">
      <c r="A2840" s="49"/>
      <c r="B2840" s="16" t="s">
        <v>329</v>
      </c>
      <c r="C2840" s="143" t="str">
        <f>IFERROR(VLOOKUP(B2840,'Thống kê'!$C$3:$D$970,2, FALSE),VLOOKUP(B2840,'Thống kê v2 CC'!$A$3:$D$1005,3, FALSE))</f>
        <v>Pop Bean Baked Bread</v>
      </c>
      <c r="D2840" s="166">
        <f>VLOOKUP(B2840,'Thống kê'!$C$3:$M$970,4,0)</f>
        <v>167000</v>
      </c>
      <c r="E2840" s="167">
        <v>1</v>
      </c>
      <c r="F2840" s="168">
        <f t="shared" si="11"/>
        <v>167000</v>
      </c>
      <c r="G2840" s="75"/>
      <c r="H2840" s="175"/>
    </row>
    <row r="2841" spans="1:8" ht="13.2">
      <c r="A2841" s="49"/>
      <c r="B2841" s="16" t="s">
        <v>1382</v>
      </c>
      <c r="C2841" s="143" t="str">
        <f>IFERROR(VLOOKUP(B2841,'Thống kê'!$C$3:$D$970,2, FALSE),VLOOKUP(B2841,'Thống kê v2 CC'!$A$3:$D$1005,3, FALSE))</f>
        <v>miếng dán silicon điện thoại</v>
      </c>
      <c r="D2841" s="166">
        <f>VLOOKUP(B2841,'Thống kê'!$C$3:$M$970,4,0)</f>
        <v>0</v>
      </c>
      <c r="E2841" s="167">
        <v>1</v>
      </c>
      <c r="F2841" s="168">
        <f t="shared" si="11"/>
        <v>0</v>
      </c>
      <c r="G2841" s="75"/>
      <c r="H2841" s="175"/>
    </row>
    <row r="2842" spans="1:8" ht="13.2">
      <c r="A2842" s="49"/>
      <c r="B2842" s="16" t="s">
        <v>1523</v>
      </c>
      <c r="C2842" s="143">
        <f>IFERROR(VLOOKUP(B2842,'Thống kê'!$C$3:$D$970,2, FALSE),VLOOKUP(B2842,'Thống kê v2 CC'!$A$3:$D$1005,3, FALSE))</f>
        <v>0</v>
      </c>
      <c r="D2842" s="166">
        <f>VLOOKUP(B2842,'Thống kê'!$C$3:$M$970,4,0)</f>
        <v>0</v>
      </c>
      <c r="E2842" s="167">
        <v>1</v>
      </c>
      <c r="F2842" s="168">
        <f t="shared" si="11"/>
        <v>0</v>
      </c>
      <c r="G2842" s="75"/>
      <c r="H2842" s="402">
        <v>110700</v>
      </c>
    </row>
    <row r="2843" spans="1:8" ht="13.2">
      <c r="A2843" s="49"/>
      <c r="B2843" s="16" t="s">
        <v>93</v>
      </c>
      <c r="C2843" s="143">
        <f>IFERROR(VLOOKUP(B2843,'Thống kê'!$C$3:$D$970,2, FALSE),VLOOKUP(B2843,'Thống kê v2 CC'!$A$3:$D$1005,3, FALSE))</f>
        <v>0</v>
      </c>
      <c r="D2843" s="166">
        <f>VLOOKUP(B2843,'Thống kê'!$C$3:$M$970,4,0)</f>
        <v>0</v>
      </c>
      <c r="E2843" s="167">
        <v>1</v>
      </c>
      <c r="F2843" s="168">
        <f t="shared" si="11"/>
        <v>0</v>
      </c>
      <c r="G2843" s="75"/>
      <c r="H2843" s="372"/>
    </row>
    <row r="2844" spans="1:8" ht="13.2">
      <c r="A2844" s="49"/>
      <c r="B2844" s="16" t="s">
        <v>1382</v>
      </c>
      <c r="C2844" s="143" t="str">
        <f>IFERROR(VLOOKUP(B2844,'Thống kê'!$C$3:$D$970,2, FALSE),VLOOKUP(B2844,'Thống kê v2 CC'!$A$3:$D$1005,3, FALSE))</f>
        <v>miếng dán silicon điện thoại</v>
      </c>
      <c r="D2844" s="166">
        <f>VLOOKUP(B2844,'Thống kê'!$C$3:$M$970,4,0)</f>
        <v>0</v>
      </c>
      <c r="E2844" s="167">
        <v>1</v>
      </c>
      <c r="F2844" s="168">
        <f t="shared" si="11"/>
        <v>0</v>
      </c>
      <c r="G2844" s="75"/>
      <c r="H2844" s="372"/>
    </row>
    <row r="2845" spans="1:8" ht="13.2">
      <c r="A2845" s="64"/>
      <c r="B2845" s="16" t="s">
        <v>199</v>
      </c>
      <c r="C2845" s="143">
        <f>IFERROR(VLOOKUP(B2845,'Thống kê'!$C$3:$D$970,2, FALSE),VLOOKUP(B2845,'Thống kê v2 CC'!$A$3:$D$1005,3, FALSE))</f>
        <v>0</v>
      </c>
      <c r="D2845" s="166">
        <f>VLOOKUP(B2845,'Thống kê'!$C$3:$M$970,4,0)</f>
        <v>0</v>
      </c>
      <c r="E2845" s="167">
        <v>1</v>
      </c>
      <c r="F2845" s="168">
        <f t="shared" si="11"/>
        <v>0</v>
      </c>
      <c r="G2845" s="75"/>
      <c r="H2845" s="175">
        <v>59598</v>
      </c>
    </row>
    <row r="2846" spans="1:8" ht="13.2">
      <c r="A2846" s="49"/>
      <c r="B2846" s="16" t="s">
        <v>138</v>
      </c>
      <c r="C2846" s="143" t="str">
        <f>IFERROR(VLOOKUP(B2846,'Thống kê'!$C$3:$D$970,2, FALSE),VLOOKUP(B2846,'Thống kê v2 CC'!$A$3:$D$1005,3, FALSE))</f>
        <v>Móc khoá Crybaby mini Popmart</v>
      </c>
      <c r="D2846" s="166">
        <f>VLOOKUP(B2846,'Thống kê'!$C$3:$M$970,4,0)</f>
        <v>0</v>
      </c>
      <c r="E2846" s="167">
        <v>1</v>
      </c>
      <c r="F2846" s="168">
        <f t="shared" si="11"/>
        <v>0</v>
      </c>
      <c r="G2846" s="75"/>
      <c r="H2846" s="402">
        <v>184500</v>
      </c>
    </row>
    <row r="2847" spans="1:8" ht="13.2">
      <c r="A2847" s="49"/>
      <c r="B2847" s="16" t="s">
        <v>1389</v>
      </c>
      <c r="C2847" s="143" t="str">
        <f>IFERROR(VLOOKUP(B2847,'Thống kê'!$C$3:$D$970,2, FALSE),VLOOKUP(B2847,'Thống kê v2 CC'!$A$3:$D$1005,3, FALSE))</f>
        <v>Móc khoá Crybaby mini Popmart</v>
      </c>
      <c r="D2847" s="166">
        <f>VLOOKUP(B2847,'Thống kê'!$C$3:$M$970,4,0)</f>
        <v>0</v>
      </c>
      <c r="E2847" s="167">
        <v>1</v>
      </c>
      <c r="F2847" s="168">
        <f t="shared" si="11"/>
        <v>0</v>
      </c>
      <c r="G2847" s="75"/>
      <c r="H2847" s="372"/>
    </row>
    <row r="2848" spans="1:8" ht="13.2">
      <c r="A2848" s="49"/>
      <c r="B2848" s="16" t="s">
        <v>1858</v>
      </c>
      <c r="C2848" s="143" t="e">
        <f>IFERROR(VLOOKUP(B2848,'Thống kê'!$C$3:$D$970,2, FALSE),VLOOKUP(B2848,'Thống kê v2 CC'!$A$3:$D$1005,3, FALSE))</f>
        <v>#N/A</v>
      </c>
      <c r="D2848" s="166" t="e">
        <f>VLOOKUP(B2848,'Thống kê'!$C$3:$M$970,4,0)</f>
        <v>#N/A</v>
      </c>
      <c r="E2848" s="167">
        <v>1</v>
      </c>
      <c r="F2848" s="168" t="e">
        <f t="shared" si="11"/>
        <v>#N/A</v>
      </c>
      <c r="G2848" s="75"/>
      <c r="H2848" s="175">
        <v>226320</v>
      </c>
    </row>
    <row r="2849" spans="1:8" ht="13.2">
      <c r="A2849" s="49"/>
      <c r="B2849" s="16" t="s">
        <v>1859</v>
      </c>
      <c r="C2849" s="143" t="e">
        <f>IFERROR(VLOOKUP(B2849,'Thống kê'!$C$3:$D$970,2, FALSE),VLOOKUP(B2849,'Thống kê v2 CC'!$A$3:$D$1005,3, FALSE))</f>
        <v>#N/A</v>
      </c>
      <c r="D2849" s="166" t="e">
        <f>VLOOKUP(B2849,'Thống kê'!$C$3:$M$970,4,0)</f>
        <v>#N/A</v>
      </c>
      <c r="E2849" s="167">
        <v>1</v>
      </c>
      <c r="F2849" s="168" t="e">
        <f t="shared" si="11"/>
        <v>#N/A</v>
      </c>
      <c r="G2849" s="75"/>
      <c r="H2849" s="175"/>
    </row>
    <row r="2850" spans="1:8" ht="13.2">
      <c r="A2850" s="49"/>
      <c r="B2850" s="16" t="s">
        <v>299</v>
      </c>
      <c r="C2850" s="143">
        <f>IFERROR(VLOOKUP(B2850,'Thống kê'!$C$3:$D$970,2, FALSE),VLOOKUP(B2850,'Thống kê v2 CC'!$A$3:$D$1005,3, FALSE))</f>
        <v>0</v>
      </c>
      <c r="D2850" s="166">
        <f>VLOOKUP(B2850,'Thống kê'!$C$3:$M$970,4,0)</f>
        <v>0</v>
      </c>
      <c r="E2850" s="167">
        <v>1</v>
      </c>
      <c r="F2850" s="168">
        <f t="shared" si="11"/>
        <v>0</v>
      </c>
      <c r="G2850" s="75"/>
      <c r="H2850" s="175"/>
    </row>
    <row r="2851" spans="1:8" ht="13.2">
      <c r="A2851" s="49"/>
      <c r="B2851" s="16" t="s">
        <v>1382</v>
      </c>
      <c r="C2851" s="143" t="str">
        <f>IFERROR(VLOOKUP(B2851,'Thống kê'!$C$3:$D$970,2, FALSE),VLOOKUP(B2851,'Thống kê v2 CC'!$A$3:$D$1005,3, FALSE))</f>
        <v>miếng dán silicon điện thoại</v>
      </c>
      <c r="D2851" s="166">
        <f>VLOOKUP(B2851,'Thống kê'!$C$3:$M$970,4,0)</f>
        <v>0</v>
      </c>
      <c r="E2851" s="167">
        <v>1</v>
      </c>
      <c r="F2851" s="168">
        <f t="shared" si="11"/>
        <v>0</v>
      </c>
      <c r="G2851" s="75"/>
      <c r="H2851" s="175"/>
    </row>
    <row r="2852" spans="1:8" ht="13.2">
      <c r="A2852" s="49"/>
      <c r="B2852" s="16" t="s">
        <v>1817</v>
      </c>
      <c r="C2852" s="143" t="str">
        <f>IFERROR(VLOOKUP(B2852,'Thống kê'!$C$3:$D$970,2, FALSE),VLOOKUP(B2852,'Thống kê v2 CC'!$A$3:$D$1005,3, FALSE))</f>
        <v>Túi Đựng Mắt Kính Da Pu</v>
      </c>
      <c r="D2852" s="166">
        <f>VLOOKUP(B2852,'Thống kê'!$C$3:$M$970,4,0)</f>
        <v>0</v>
      </c>
      <c r="E2852" s="167">
        <v>1</v>
      </c>
      <c r="F2852" s="168">
        <f t="shared" si="11"/>
        <v>0</v>
      </c>
      <c r="G2852" s="75"/>
      <c r="H2852" s="402">
        <v>47367</v>
      </c>
    </row>
    <row r="2853" spans="1:8" ht="13.2">
      <c r="A2853" s="49"/>
      <c r="B2853" s="16" t="s">
        <v>1573</v>
      </c>
      <c r="C2853" s="143">
        <f>IFERROR(VLOOKUP(B2853,'Thống kê'!$C$3:$D$970,2, FALSE),VLOOKUP(B2853,'Thống kê v2 CC'!$A$3:$D$1005,3, FALSE))</f>
        <v>0</v>
      </c>
      <c r="D2853" s="166">
        <f>VLOOKUP(B2853,'Thống kê'!$C$3:$M$970,4,0)</f>
        <v>0</v>
      </c>
      <c r="E2853" s="167">
        <v>1</v>
      </c>
      <c r="F2853" s="168">
        <f t="shared" si="11"/>
        <v>0</v>
      </c>
      <c r="G2853" s="75"/>
      <c r="H2853" s="372"/>
    </row>
    <row r="2854" spans="1:8" ht="13.2">
      <c r="A2854" s="49"/>
      <c r="B2854" s="16" t="s">
        <v>1841</v>
      </c>
      <c r="C2854" s="143" t="str">
        <f>IFERROR(VLOOKUP(B2854,'Thống kê'!$C$3:$D$970,2, FALSE),VLOOKUP(B2854,'Thống kê v2 CC'!$A$3:$D$1005,3, FALSE))</f>
        <v>Túi Đựng Mắt Kính Da Pu</v>
      </c>
      <c r="D2854" s="166">
        <f>VLOOKUP(B2854,'Thống kê'!$C$3:$M$970,4,0)</f>
        <v>0</v>
      </c>
      <c r="E2854" s="167">
        <v>1</v>
      </c>
      <c r="F2854" s="168">
        <f t="shared" si="11"/>
        <v>0</v>
      </c>
      <c r="G2854" s="75"/>
      <c r="H2854" s="372"/>
    </row>
    <row r="2855" spans="1:8" ht="13.2">
      <c r="A2855" s="49"/>
      <c r="B2855" s="16" t="s">
        <v>1529</v>
      </c>
      <c r="C2855" s="143">
        <f>IFERROR(VLOOKUP(B2855,'Thống kê'!$C$3:$D$970,2, FALSE),VLOOKUP(B2855,'Thống kê v2 CC'!$A$3:$D$1005,3, FALSE))</f>
        <v>0</v>
      </c>
      <c r="D2855" s="166">
        <f>VLOOKUP(B2855,'Thống kê'!$C$3:$M$970,4,0)</f>
        <v>0</v>
      </c>
      <c r="E2855" s="167">
        <v>1</v>
      </c>
      <c r="F2855" s="168">
        <f t="shared" si="11"/>
        <v>0</v>
      </c>
      <c r="G2855" s="75"/>
      <c r="H2855" s="402">
        <v>200900</v>
      </c>
    </row>
    <row r="2856" spans="1:8" ht="13.2">
      <c r="A2856" s="49"/>
      <c r="B2856" s="16" t="s">
        <v>84</v>
      </c>
      <c r="C2856" s="143">
        <f>IFERROR(VLOOKUP(B2856,'Thống kê'!$C$3:$D$970,2, FALSE),VLOOKUP(B2856,'Thống kê v2 CC'!$A$3:$D$1005,3, FALSE))</f>
        <v>0</v>
      </c>
      <c r="D2856" s="166">
        <f>VLOOKUP(B2856,'Thống kê'!$C$3:$M$970,4,0)</f>
        <v>0</v>
      </c>
      <c r="E2856" s="167">
        <v>1</v>
      </c>
      <c r="F2856" s="168">
        <f t="shared" si="11"/>
        <v>0</v>
      </c>
      <c r="G2856" s="75"/>
      <c r="H2856" s="372"/>
    </row>
    <row r="2857" spans="1:8" ht="13.2">
      <c r="A2857" s="49"/>
      <c r="B2857" s="16" t="s">
        <v>1382</v>
      </c>
      <c r="C2857" s="143" t="str">
        <f>IFERROR(VLOOKUP(B2857,'Thống kê'!$C$3:$D$970,2, FALSE),VLOOKUP(B2857,'Thống kê v2 CC'!$A$3:$D$1005,3, FALSE))</f>
        <v>miếng dán silicon điện thoại</v>
      </c>
      <c r="D2857" s="166">
        <f>VLOOKUP(B2857,'Thống kê'!$C$3:$M$970,4,0)</f>
        <v>0</v>
      </c>
      <c r="E2857" s="167">
        <v>1</v>
      </c>
      <c r="F2857" s="168">
        <f t="shared" si="11"/>
        <v>0</v>
      </c>
      <c r="G2857" s="75"/>
      <c r="H2857" s="372"/>
    </row>
    <row r="2858" spans="1:8" ht="13.2">
      <c r="A2858" s="49"/>
      <c r="B2858" s="16" t="s">
        <v>1860</v>
      </c>
      <c r="C2858" s="143" t="e">
        <f>IFERROR(VLOOKUP(B2858,'Thống kê'!$C$3:$D$970,2, FALSE),VLOOKUP(B2858,'Thống kê v2 CC'!$A$3:$D$1005,3, FALSE))</f>
        <v>#N/A</v>
      </c>
      <c r="D2858" s="166" t="e">
        <f>VLOOKUP(B2858,'Thống kê'!$C$3:$M$970,4,0)</f>
        <v>#N/A</v>
      </c>
      <c r="E2858" s="167">
        <v>1</v>
      </c>
      <c r="F2858" s="168" t="e">
        <f t="shared" si="11"/>
        <v>#N/A</v>
      </c>
      <c r="G2858" s="75"/>
      <c r="H2858" s="372"/>
    </row>
    <row r="2859" spans="1:8" ht="13.2">
      <c r="A2859" s="64"/>
      <c r="B2859" s="16" t="s">
        <v>1327</v>
      </c>
      <c r="C2859" s="143" t="str">
        <f>IFERROR(VLOOKUP(B2859,'Thống kê'!$C$3:$D$970,2, FALSE),VLOOKUP(B2859,'Thống kê v2 CC'!$A$3:$D$1005,3, FALSE))</f>
        <v>Móc khóa Popbean</v>
      </c>
      <c r="D2859" s="166">
        <f>VLOOKUP(B2859,'Thống kê'!$C$3:$M$970,4,0)</f>
        <v>148000</v>
      </c>
      <c r="E2859" s="167">
        <v>1</v>
      </c>
      <c r="F2859" s="168">
        <f t="shared" si="11"/>
        <v>148000</v>
      </c>
      <c r="G2859" s="75"/>
      <c r="H2859" s="175">
        <v>100040</v>
      </c>
    </row>
    <row r="2860" spans="1:8" ht="13.2">
      <c r="A2860" s="49"/>
      <c r="B2860" s="16" t="s">
        <v>133</v>
      </c>
      <c r="C2860" s="143">
        <f>IFERROR(VLOOKUP(B2860,'Thống kê'!$C$3:$D$970,2, FALSE),VLOOKUP(B2860,'Thống kê v2 CC'!$A$3:$D$1005,3, FALSE))</f>
        <v>0</v>
      </c>
      <c r="D2860" s="166">
        <f>VLOOKUP(B2860,'Thống kê'!$C$3:$M$970,4,0)</f>
        <v>0</v>
      </c>
      <c r="E2860" s="167">
        <v>1</v>
      </c>
      <c r="F2860" s="168">
        <f t="shared" ref="F2860:F3114" si="12">D2860*E2860</f>
        <v>0</v>
      </c>
      <c r="G2860" s="75"/>
      <c r="H2860" s="402">
        <v>56406</v>
      </c>
    </row>
    <row r="2861" spans="1:8" ht="13.2">
      <c r="A2861" s="49"/>
      <c r="B2861" s="16" t="s">
        <v>1382</v>
      </c>
      <c r="C2861" s="143" t="str">
        <f>IFERROR(VLOOKUP(B2861,'Thống kê'!$C$3:$D$970,2, FALSE),VLOOKUP(B2861,'Thống kê v2 CC'!$A$3:$D$1005,3, FALSE))</f>
        <v>miếng dán silicon điện thoại</v>
      </c>
      <c r="D2861" s="166">
        <f>VLOOKUP(B2861,'Thống kê'!$C$3:$M$970,4,0)</f>
        <v>0</v>
      </c>
      <c r="E2861" s="167">
        <v>1</v>
      </c>
      <c r="F2861" s="168">
        <f t="shared" si="12"/>
        <v>0</v>
      </c>
      <c r="G2861" s="75"/>
      <c r="H2861" s="372"/>
    </row>
    <row r="2862" spans="1:8" ht="13.2">
      <c r="A2862" s="49"/>
      <c r="B2862" s="16" t="s">
        <v>1472</v>
      </c>
      <c r="C2862" s="143">
        <f>IFERROR(VLOOKUP(B2862,'Thống kê'!$C$3:$D$970,2, FALSE),VLOOKUP(B2862,'Thống kê v2 CC'!$A$3:$D$1005,3, FALSE))</f>
        <v>0</v>
      </c>
      <c r="D2862" s="166">
        <f>VLOOKUP(B2862,'Thống kê'!$C$3:$M$970,4,0)</f>
        <v>0</v>
      </c>
      <c r="E2862" s="167">
        <v>1</v>
      </c>
      <c r="F2862" s="168">
        <f t="shared" si="12"/>
        <v>0</v>
      </c>
      <c r="G2862" s="75"/>
      <c r="H2862" s="402">
        <v>136120</v>
      </c>
    </row>
    <row r="2863" spans="1:8" ht="13.2">
      <c r="A2863" s="49"/>
      <c r="B2863" s="16" t="s">
        <v>1382</v>
      </c>
      <c r="C2863" s="143" t="str">
        <f>IFERROR(VLOOKUP(B2863,'Thống kê'!$C$3:$D$970,2, FALSE),VLOOKUP(B2863,'Thống kê v2 CC'!$A$3:$D$1005,3, FALSE))</f>
        <v>miếng dán silicon điện thoại</v>
      </c>
      <c r="D2863" s="166">
        <f>VLOOKUP(B2863,'Thống kê'!$C$3:$M$970,4,0)</f>
        <v>0</v>
      </c>
      <c r="E2863" s="167">
        <v>1</v>
      </c>
      <c r="F2863" s="168">
        <f t="shared" si="12"/>
        <v>0</v>
      </c>
      <c r="G2863" s="75"/>
      <c r="H2863" s="372"/>
    </row>
    <row r="2864" spans="1:8" ht="13.2">
      <c r="A2864" s="49"/>
      <c r="B2864" s="16" t="s">
        <v>84</v>
      </c>
      <c r="C2864" s="143">
        <f>IFERROR(VLOOKUP(B2864,'Thống kê'!$C$3:$D$970,2, FALSE),VLOOKUP(B2864,'Thống kê v2 CC'!$A$3:$D$1005,3, FALSE))</f>
        <v>0</v>
      </c>
      <c r="D2864" s="166">
        <f>VLOOKUP(B2864,'Thống kê'!$C$3:$M$970,4,0)</f>
        <v>0</v>
      </c>
      <c r="E2864" s="167">
        <v>1</v>
      </c>
      <c r="F2864" s="168">
        <f t="shared" si="12"/>
        <v>0</v>
      </c>
      <c r="G2864" s="75"/>
      <c r="H2864" s="402">
        <v>186047</v>
      </c>
    </row>
    <row r="2865" spans="1:8" ht="13.2">
      <c r="A2865" s="49"/>
      <c r="B2865" s="16" t="s">
        <v>206</v>
      </c>
      <c r="C2865" s="143" t="str">
        <f>IFERROR(VLOOKUP(B2865,'Thống kê'!$C$3:$D$970,2, FALSE),VLOOKUP(B2865,'Thống kê v2 CC'!$A$3:$D$1005,3, FALSE))</f>
        <v>Pop Bean Baked Bread</v>
      </c>
      <c r="D2865" s="166">
        <f>VLOOKUP(B2865,'Thống kê'!$C$3:$M$970,4,0)</f>
        <v>167000</v>
      </c>
      <c r="E2865" s="167">
        <v>1</v>
      </c>
      <c r="F2865" s="168">
        <f t="shared" si="12"/>
        <v>167000</v>
      </c>
      <c r="G2865" s="75"/>
      <c r="H2865" s="372"/>
    </row>
    <row r="2866" spans="1:8" ht="13.2">
      <c r="A2866" s="49"/>
      <c r="B2866" s="16" t="s">
        <v>1382</v>
      </c>
      <c r="C2866" s="143" t="str">
        <f>IFERROR(VLOOKUP(B2866,'Thống kê'!$C$3:$D$970,2, FALSE),VLOOKUP(B2866,'Thống kê v2 CC'!$A$3:$D$1005,3, FALSE))</f>
        <v>miếng dán silicon điện thoại</v>
      </c>
      <c r="D2866" s="166">
        <f>VLOOKUP(B2866,'Thống kê'!$C$3:$M$970,4,0)</f>
        <v>0</v>
      </c>
      <c r="E2866" s="167">
        <v>1</v>
      </c>
      <c r="F2866" s="168">
        <f t="shared" si="12"/>
        <v>0</v>
      </c>
      <c r="G2866" s="75"/>
      <c r="H2866" s="372"/>
    </row>
    <row r="2867" spans="1:8" ht="13.2">
      <c r="A2867" s="49"/>
      <c r="B2867" s="16" t="s">
        <v>1384</v>
      </c>
      <c r="C2867" s="143" t="str">
        <f>IFERROR(VLOOKUP(B2867,'Thống kê'!$C$3:$D$970,2, FALSE),VLOOKUP(B2867,'Thống kê v2 CC'!$A$3:$D$1005,3, FALSE))</f>
        <v>Móc khoá Crybaby mini Popmart</v>
      </c>
      <c r="D2867" s="166">
        <f>VLOOKUP(B2867,'Thống kê'!$C$3:$M$970,4,0)</f>
        <v>0</v>
      </c>
      <c r="E2867" s="167">
        <v>1</v>
      </c>
      <c r="F2867" s="168">
        <f t="shared" si="12"/>
        <v>0</v>
      </c>
      <c r="G2867" s="75"/>
      <c r="H2867" s="175">
        <v>91840</v>
      </c>
    </row>
    <row r="2868" spans="1:8" ht="13.2">
      <c r="A2868" s="49"/>
      <c r="B2868" s="16" t="s">
        <v>133</v>
      </c>
      <c r="C2868" s="143">
        <f>IFERROR(VLOOKUP(B2868,'Thống kê'!$C$3:$D$970,2, FALSE),VLOOKUP(B2868,'Thống kê v2 CC'!$A$3:$D$1005,3, FALSE))</f>
        <v>0</v>
      </c>
      <c r="D2868" s="166">
        <f>VLOOKUP(B2868,'Thống kê'!$C$3:$M$970,4,0)</f>
        <v>0</v>
      </c>
      <c r="E2868" s="167">
        <v>2</v>
      </c>
      <c r="F2868" s="168">
        <f t="shared" si="12"/>
        <v>0</v>
      </c>
      <c r="G2868" s="75"/>
      <c r="H2868" s="402">
        <v>172200</v>
      </c>
    </row>
    <row r="2869" spans="1:8" ht="13.2">
      <c r="A2869" s="49"/>
      <c r="B2869" s="16" t="s">
        <v>1516</v>
      </c>
      <c r="C2869" s="143">
        <f>IFERROR(VLOOKUP(B2869,'Thống kê'!$C$3:$D$970,2, FALSE),VLOOKUP(B2869,'Thống kê v2 CC'!$A$3:$D$1005,3, FALSE))</f>
        <v>0</v>
      </c>
      <c r="D2869" s="166">
        <f>VLOOKUP(B2869,'Thống kê'!$C$3:$M$970,4,0)</f>
        <v>0</v>
      </c>
      <c r="E2869" s="167">
        <v>1</v>
      </c>
      <c r="F2869" s="168">
        <f t="shared" si="12"/>
        <v>0</v>
      </c>
      <c r="G2869" s="75"/>
      <c r="H2869" s="372"/>
    </row>
    <row r="2870" spans="1:8" ht="13.2">
      <c r="A2870" s="49"/>
      <c r="B2870" s="16" t="s">
        <v>1382</v>
      </c>
      <c r="C2870" s="143" t="str">
        <f>IFERROR(VLOOKUP(B2870,'Thống kê'!$C$3:$D$970,2, FALSE),VLOOKUP(B2870,'Thống kê v2 CC'!$A$3:$D$1005,3, FALSE))</f>
        <v>miếng dán silicon điện thoại</v>
      </c>
      <c r="D2870" s="166">
        <f>VLOOKUP(B2870,'Thống kê'!$C$3:$M$970,4,0)</f>
        <v>0</v>
      </c>
      <c r="E2870" s="167">
        <v>1</v>
      </c>
      <c r="F2870" s="168">
        <f t="shared" si="12"/>
        <v>0</v>
      </c>
      <c r="G2870" s="75"/>
      <c r="H2870" s="372"/>
    </row>
    <row r="2871" spans="1:8" ht="13.2">
      <c r="A2871" s="49"/>
      <c r="B2871" s="16" t="s">
        <v>207</v>
      </c>
      <c r="C2871" s="143" t="str">
        <f>IFERROR(VLOOKUP(B2871,'Thống kê'!$C$3:$D$970,2, FALSE),VLOOKUP(B2871,'Thống kê v2 CC'!$A$3:$D$1005,3, FALSE))</f>
        <v>Thiệp</v>
      </c>
      <c r="D2871" s="166">
        <f>VLOOKUP(B2871,'Thống kê'!$C$3:$M$970,4,0)</f>
        <v>0</v>
      </c>
      <c r="E2871" s="167">
        <v>1</v>
      </c>
      <c r="F2871" s="168">
        <f t="shared" si="12"/>
        <v>0</v>
      </c>
      <c r="G2871" s="75"/>
      <c r="H2871" s="402">
        <v>81466</v>
      </c>
    </row>
    <row r="2872" spans="1:8" ht="13.2">
      <c r="A2872" s="49"/>
      <c r="B2872" s="16" t="s">
        <v>208</v>
      </c>
      <c r="C2872" s="143" t="e">
        <f>IFERROR(VLOOKUP(B2872,'Thống kê'!$C$3:$D$970,2, FALSE),VLOOKUP(B2872,'Thống kê v2 CC'!$A$3:$D$1005,3, FALSE))</f>
        <v>#N/A</v>
      </c>
      <c r="D2872" s="166" t="e">
        <f>VLOOKUP(B2872,'Thống kê'!$C$3:$M$970,4,0)</f>
        <v>#N/A</v>
      </c>
      <c r="E2872" s="167">
        <v>1</v>
      </c>
      <c r="F2872" s="168" t="e">
        <f t="shared" si="12"/>
        <v>#N/A</v>
      </c>
      <c r="G2872" s="75"/>
      <c r="H2872" s="372"/>
    </row>
    <row r="2873" spans="1:8" ht="13.2">
      <c r="A2873" s="49"/>
      <c r="B2873" s="16" t="s">
        <v>1567</v>
      </c>
      <c r="C2873" s="143">
        <f>IFERROR(VLOOKUP(B2873,'Thống kê'!$C$3:$D$970,2, FALSE),VLOOKUP(B2873,'Thống kê v2 CC'!$A$3:$D$1005,3, FALSE))</f>
        <v>0</v>
      </c>
      <c r="D2873" s="166">
        <f>VLOOKUP(B2873,'Thống kê'!$C$3:$M$970,4,0)</f>
        <v>0</v>
      </c>
      <c r="E2873" s="167">
        <v>1</v>
      </c>
      <c r="F2873" s="168">
        <f t="shared" si="12"/>
        <v>0</v>
      </c>
      <c r="G2873" s="75"/>
      <c r="H2873" s="372"/>
    </row>
    <row r="2874" spans="1:8" ht="13.2">
      <c r="A2874" s="49"/>
      <c r="B2874" s="16" t="s">
        <v>210</v>
      </c>
      <c r="C2874" s="143">
        <f>IFERROR(VLOOKUP(B2874,'Thống kê'!$C$3:$D$970,2, FALSE),VLOOKUP(B2874,'Thống kê v2 CC'!$A$3:$D$1005,3, FALSE))</f>
        <v>0</v>
      </c>
      <c r="D2874" s="166">
        <f>VLOOKUP(B2874,'Thống kê'!$C$3:$M$970,4,0)</f>
        <v>0</v>
      </c>
      <c r="E2874" s="167">
        <v>1</v>
      </c>
      <c r="F2874" s="168">
        <f t="shared" si="12"/>
        <v>0</v>
      </c>
      <c r="G2874" s="75"/>
      <c r="H2874" s="372"/>
    </row>
    <row r="2875" spans="1:8" ht="13.2">
      <c r="A2875" s="49"/>
      <c r="B2875" s="16" t="s">
        <v>159</v>
      </c>
      <c r="C2875" s="143">
        <f>IFERROR(VLOOKUP(B2875,'Thống kê'!$C$3:$D$970,2, FALSE),VLOOKUP(B2875,'Thống kê v2 CC'!$A$3:$D$1005,3, FALSE))</f>
        <v>0</v>
      </c>
      <c r="D2875" s="166">
        <f>VLOOKUP(B2875,'Thống kê'!$C$3:$M$970,4,0)</f>
        <v>0</v>
      </c>
      <c r="E2875" s="167">
        <v>1</v>
      </c>
      <c r="F2875" s="168">
        <f t="shared" si="12"/>
        <v>0</v>
      </c>
      <c r="G2875" s="75"/>
      <c r="H2875" s="372"/>
    </row>
    <row r="2876" spans="1:8" ht="13.2">
      <c r="A2876" s="49"/>
      <c r="B2876" s="16" t="s">
        <v>1382</v>
      </c>
      <c r="C2876" s="143" t="str">
        <f>IFERROR(VLOOKUP(B2876,'Thống kê'!$C$3:$D$970,2, FALSE),VLOOKUP(B2876,'Thống kê v2 CC'!$A$3:$D$1005,3, FALSE))</f>
        <v>miếng dán silicon điện thoại</v>
      </c>
      <c r="D2876" s="166">
        <f>VLOOKUP(B2876,'Thống kê'!$C$3:$M$970,4,0)</f>
        <v>0</v>
      </c>
      <c r="E2876" s="167">
        <v>1</v>
      </c>
      <c r="F2876" s="168">
        <f t="shared" si="12"/>
        <v>0</v>
      </c>
      <c r="G2876" s="75"/>
      <c r="H2876" s="175">
        <v>21665</v>
      </c>
    </row>
    <row r="2877" spans="1:8" ht="13.2">
      <c r="A2877" s="49"/>
      <c r="B2877" s="16" t="s">
        <v>1825</v>
      </c>
      <c r="C2877" s="143" t="str">
        <f>IFERROR(VLOOKUP(B2877,'Thống kê'!$C$3:$D$970,2, FALSE),VLOOKUP(B2877,'Thống kê v2 CC'!$A$3:$D$1005,3, FALSE))</f>
        <v>Túi Đựng Mắt Kính Da Pu</v>
      </c>
      <c r="D2877" s="166">
        <f>VLOOKUP(B2877,'Thống kê'!$C$3:$M$970,4,0)</f>
        <v>0</v>
      </c>
      <c r="E2877" s="167">
        <v>1</v>
      </c>
      <c r="F2877" s="168">
        <f t="shared" si="12"/>
        <v>0</v>
      </c>
      <c r="G2877" s="75"/>
      <c r="H2877" s="175"/>
    </row>
    <row r="2878" spans="1:8" ht="13.2">
      <c r="A2878" s="64"/>
      <c r="B2878" s="16" t="s">
        <v>199</v>
      </c>
      <c r="C2878" s="143">
        <f>IFERROR(VLOOKUP(B2878,'Thống kê'!$C$3:$D$970,2, FALSE),VLOOKUP(B2878,'Thống kê v2 CC'!$A$3:$D$1005,3, FALSE))</f>
        <v>0</v>
      </c>
      <c r="D2878" s="166">
        <f>VLOOKUP(B2878,'Thống kê'!$C$3:$M$970,4,0)</f>
        <v>0</v>
      </c>
      <c r="E2878" s="167">
        <v>1</v>
      </c>
      <c r="F2878" s="168">
        <f t="shared" si="12"/>
        <v>0</v>
      </c>
      <c r="G2878" s="75"/>
      <c r="H2878" s="402">
        <v>59598</v>
      </c>
    </row>
    <row r="2879" spans="1:8" ht="13.2">
      <c r="A2879" s="49"/>
      <c r="B2879" s="16" t="s">
        <v>1382</v>
      </c>
      <c r="C2879" s="143" t="str">
        <f>IFERROR(VLOOKUP(B2879,'Thống kê'!$C$3:$D$970,2, FALSE),VLOOKUP(B2879,'Thống kê v2 CC'!$A$3:$D$1005,3, FALSE))</f>
        <v>miếng dán silicon điện thoại</v>
      </c>
      <c r="D2879" s="166">
        <f>VLOOKUP(B2879,'Thống kê'!$C$3:$M$970,4,0)</f>
        <v>0</v>
      </c>
      <c r="E2879" s="167">
        <v>1</v>
      </c>
      <c r="F2879" s="168">
        <f t="shared" si="12"/>
        <v>0</v>
      </c>
      <c r="G2879" s="75"/>
      <c r="H2879" s="372"/>
    </row>
    <row r="2880" spans="1:8" ht="13.2">
      <c r="A2880" s="49"/>
      <c r="B2880" s="16" t="s">
        <v>77</v>
      </c>
      <c r="C2880" s="143">
        <f>IFERROR(VLOOKUP(B2880,'Thống kê'!$C$3:$D$970,2, FALSE),VLOOKUP(B2880,'Thống kê v2 CC'!$A$3:$D$1005,3, FALSE))</f>
        <v>0</v>
      </c>
      <c r="D2880" s="166">
        <f>VLOOKUP(B2880,'Thống kê'!$C$3:$M$970,4,0)</f>
        <v>0</v>
      </c>
      <c r="E2880" s="167">
        <v>1</v>
      </c>
      <c r="F2880" s="168">
        <f t="shared" si="12"/>
        <v>0</v>
      </c>
      <c r="G2880" s="75"/>
      <c r="H2880" s="402">
        <v>55755</v>
      </c>
    </row>
    <row r="2881" spans="1:8" ht="13.2">
      <c r="A2881" s="49"/>
      <c r="B2881" s="16" t="s">
        <v>1382</v>
      </c>
      <c r="C2881" s="143" t="str">
        <f>IFERROR(VLOOKUP(B2881,'Thống kê'!$C$3:$D$970,2, FALSE),VLOOKUP(B2881,'Thống kê v2 CC'!$A$3:$D$1005,3, FALSE))</f>
        <v>miếng dán silicon điện thoại</v>
      </c>
      <c r="D2881" s="166">
        <f>VLOOKUP(B2881,'Thống kê'!$C$3:$M$970,4,0)</f>
        <v>0</v>
      </c>
      <c r="E2881" s="167">
        <v>1</v>
      </c>
      <c r="F2881" s="168">
        <f t="shared" si="12"/>
        <v>0</v>
      </c>
      <c r="G2881" s="75"/>
      <c r="H2881" s="372"/>
    </row>
    <row r="2882" spans="1:8" ht="13.2">
      <c r="A2882" s="49"/>
      <c r="B2882" s="16" t="s">
        <v>142</v>
      </c>
      <c r="C2882" s="143">
        <f>IFERROR(VLOOKUP(B2882,'Thống kê'!$C$3:$D$970,2, FALSE),VLOOKUP(B2882,'Thống kê v2 CC'!$A$3:$D$1005,3, FALSE))</f>
        <v>0</v>
      </c>
      <c r="D2882" s="166">
        <f>VLOOKUP(B2882,'Thống kê'!$C$3:$M$970,4,0)</f>
        <v>0</v>
      </c>
      <c r="E2882" s="167">
        <v>1</v>
      </c>
      <c r="F2882" s="168">
        <f t="shared" si="12"/>
        <v>0</v>
      </c>
      <c r="G2882" s="75"/>
      <c r="H2882" s="402">
        <v>245508</v>
      </c>
    </row>
    <row r="2883" spans="1:8" ht="13.2">
      <c r="A2883" s="49"/>
      <c r="B2883" s="16" t="s">
        <v>155</v>
      </c>
      <c r="C2883" s="143">
        <f>IFERROR(VLOOKUP(B2883,'Thống kê'!$C$3:$D$970,2, FALSE),VLOOKUP(B2883,'Thống kê v2 CC'!$A$3:$D$1005,3, FALSE))</f>
        <v>0</v>
      </c>
      <c r="D2883" s="166">
        <f>VLOOKUP(B2883,'Thống kê'!$C$3:$M$970,4,0)</f>
        <v>0</v>
      </c>
      <c r="E2883" s="167">
        <v>1</v>
      </c>
      <c r="F2883" s="168">
        <f t="shared" si="12"/>
        <v>0</v>
      </c>
      <c r="G2883" s="75"/>
      <c r="H2883" s="372"/>
    </row>
    <row r="2884" spans="1:8" ht="13.2">
      <c r="A2884" s="49"/>
      <c r="B2884" s="16" t="s">
        <v>200</v>
      </c>
      <c r="C2884" s="143">
        <f>IFERROR(VLOOKUP(B2884,'Thống kê'!$C$3:$D$970,2, FALSE),VLOOKUP(B2884,'Thống kê v2 CC'!$A$3:$D$1005,3, FALSE))</f>
        <v>0</v>
      </c>
      <c r="D2884" s="166">
        <f>VLOOKUP(B2884,'Thống kê'!$C$3:$M$970,4,0)</f>
        <v>0</v>
      </c>
      <c r="E2884" s="167">
        <v>1</v>
      </c>
      <c r="F2884" s="168">
        <f t="shared" si="12"/>
        <v>0</v>
      </c>
      <c r="G2884" s="75"/>
      <c r="H2884" s="372"/>
    </row>
    <row r="2885" spans="1:8" ht="13.2">
      <c r="A2885" s="49"/>
      <c r="B2885" s="16" t="s">
        <v>118</v>
      </c>
      <c r="C2885" s="143">
        <f>IFERROR(VLOOKUP(B2885,'Thống kê'!$C$3:$D$970,2, FALSE),VLOOKUP(B2885,'Thống kê v2 CC'!$A$3:$D$1005,3, FALSE))</f>
        <v>0</v>
      </c>
      <c r="D2885" s="166">
        <f>VLOOKUP(B2885,'Thống kê'!$C$3:$M$970,4,0)</f>
        <v>0</v>
      </c>
      <c r="E2885" s="167">
        <v>1</v>
      </c>
      <c r="F2885" s="168">
        <f t="shared" si="12"/>
        <v>0</v>
      </c>
      <c r="G2885" s="75"/>
      <c r="H2885" s="372"/>
    </row>
    <row r="2886" spans="1:8" ht="13.2">
      <c r="A2886" s="49"/>
      <c r="B2886" s="16" t="s">
        <v>1382</v>
      </c>
      <c r="C2886" s="143" t="str">
        <f>IFERROR(VLOOKUP(B2886,'Thống kê'!$C$3:$D$970,2, FALSE),VLOOKUP(B2886,'Thống kê v2 CC'!$A$3:$D$1005,3, FALSE))</f>
        <v>miếng dán silicon điện thoại</v>
      </c>
      <c r="D2886" s="166">
        <f>VLOOKUP(B2886,'Thống kê'!$C$3:$M$970,4,0)</f>
        <v>0</v>
      </c>
      <c r="E2886" s="167">
        <v>1</v>
      </c>
      <c r="F2886" s="168">
        <f t="shared" si="12"/>
        <v>0</v>
      </c>
      <c r="G2886" s="75"/>
      <c r="H2886" s="372"/>
    </row>
    <row r="2887" spans="1:8" ht="13.2">
      <c r="A2887" s="64"/>
      <c r="B2887" s="16" t="s">
        <v>245</v>
      </c>
      <c r="C2887" s="143" t="str">
        <f>IFERROR(VLOOKUP(B2887,'Thống kê'!$C$3:$D$970,2, FALSE),VLOOKUP(B2887,'Thống kê v2 CC'!$A$3:$D$1005,3, FALSE))</f>
        <v>Móc khóa Popbean</v>
      </c>
      <c r="D2887" s="166">
        <f>VLOOKUP(B2887,'Thống kê'!$C$3:$M$970,4,0)</f>
        <v>148000</v>
      </c>
      <c r="E2887" s="167">
        <v>1</v>
      </c>
      <c r="F2887" s="168">
        <f t="shared" si="12"/>
        <v>148000</v>
      </c>
      <c r="G2887" s="75"/>
      <c r="H2887" s="175">
        <v>123000</v>
      </c>
    </row>
    <row r="2888" spans="1:8" ht="13.2">
      <c r="A2888" s="49"/>
      <c r="B2888" s="16" t="s">
        <v>77</v>
      </c>
      <c r="C2888" s="143">
        <f>IFERROR(VLOOKUP(B2888,'Thống kê'!$C$3:$D$970,2, FALSE),VLOOKUP(B2888,'Thống kê v2 CC'!$A$3:$D$1005,3, FALSE))</f>
        <v>0</v>
      </c>
      <c r="D2888" s="166">
        <f>VLOOKUP(B2888,'Thống kê'!$C$3:$M$970,4,0)</f>
        <v>0</v>
      </c>
      <c r="E2888" s="167">
        <v>1</v>
      </c>
      <c r="F2888" s="168">
        <f t="shared" si="12"/>
        <v>0</v>
      </c>
      <c r="G2888" s="75"/>
      <c r="H2888" s="402">
        <v>295200</v>
      </c>
    </row>
    <row r="2889" spans="1:8" ht="13.2">
      <c r="A2889" s="49"/>
      <c r="B2889" s="16" t="s">
        <v>180</v>
      </c>
      <c r="C2889" s="143">
        <f>IFERROR(VLOOKUP(B2889,'Thống kê'!$C$3:$D$970,2, FALSE),VLOOKUP(B2889,'Thống kê v2 CC'!$A$3:$D$1005,3, FALSE))</f>
        <v>0</v>
      </c>
      <c r="D2889" s="166">
        <f>VLOOKUP(B2889,'Thống kê'!$C$3:$M$970,4,0)</f>
        <v>0</v>
      </c>
      <c r="E2889" s="167">
        <v>1</v>
      </c>
      <c r="F2889" s="168">
        <f t="shared" si="12"/>
        <v>0</v>
      </c>
      <c r="G2889" s="75"/>
      <c r="H2889" s="372"/>
    </row>
    <row r="2890" spans="1:8" ht="13.2">
      <c r="A2890" s="49"/>
      <c r="B2890" s="16" t="s">
        <v>1524</v>
      </c>
      <c r="C2890" s="143">
        <f>IFERROR(VLOOKUP(B2890,'Thống kê'!$C$3:$D$970,2, FALSE),VLOOKUP(B2890,'Thống kê v2 CC'!$A$3:$D$1005,3, FALSE))</f>
        <v>0</v>
      </c>
      <c r="D2890" s="166">
        <f>VLOOKUP(B2890,'Thống kê'!$C$3:$M$970,4,0)</f>
        <v>0</v>
      </c>
      <c r="E2890" s="167">
        <v>1</v>
      </c>
      <c r="F2890" s="168">
        <f t="shared" si="12"/>
        <v>0</v>
      </c>
      <c r="G2890" s="75"/>
      <c r="H2890" s="372"/>
    </row>
    <row r="2891" spans="1:8" ht="13.2">
      <c r="A2891" s="49"/>
      <c r="B2891" s="16" t="s">
        <v>1523</v>
      </c>
      <c r="C2891" s="143">
        <f>IFERROR(VLOOKUP(B2891,'Thống kê'!$C$3:$D$970,2, FALSE),VLOOKUP(B2891,'Thống kê v2 CC'!$A$3:$D$1005,3, FALSE))</f>
        <v>0</v>
      </c>
      <c r="D2891" s="166">
        <f>VLOOKUP(B2891,'Thống kê'!$C$3:$M$970,4,0)</f>
        <v>0</v>
      </c>
      <c r="E2891" s="167">
        <v>1</v>
      </c>
      <c r="F2891" s="168">
        <f t="shared" si="12"/>
        <v>0</v>
      </c>
      <c r="G2891" s="75"/>
      <c r="H2891" s="372"/>
    </row>
    <row r="2892" spans="1:8" ht="13.2">
      <c r="A2892" s="49"/>
      <c r="B2892" s="16" t="s">
        <v>93</v>
      </c>
      <c r="C2892" s="143">
        <f>IFERROR(VLOOKUP(B2892,'Thống kê'!$C$3:$D$970,2, FALSE),VLOOKUP(B2892,'Thống kê v2 CC'!$A$3:$D$1005,3, FALSE))</f>
        <v>0</v>
      </c>
      <c r="D2892" s="166">
        <f>VLOOKUP(B2892,'Thống kê'!$C$3:$M$970,4,0)</f>
        <v>0</v>
      </c>
      <c r="E2892" s="167">
        <v>1</v>
      </c>
      <c r="F2892" s="168">
        <f t="shared" si="12"/>
        <v>0</v>
      </c>
      <c r="G2892" s="75"/>
      <c r="H2892" s="372"/>
    </row>
    <row r="2893" spans="1:8" ht="13.2">
      <c r="A2893" s="49"/>
      <c r="B2893" s="16" t="s">
        <v>258</v>
      </c>
      <c r="C2893" s="143" t="str">
        <f>IFERROR(VLOOKUP(B2893,'Thống kê'!$C$3:$D$970,2, FALSE),VLOOKUP(B2893,'Thống kê v2 CC'!$A$3:$D$1005,3, FALSE))</f>
        <v>Móc khoá Crybaby mini Popmart</v>
      </c>
      <c r="D2893" s="166">
        <f>VLOOKUP(B2893,'Thống kê'!$C$3:$M$970,4,0)</f>
        <v>0</v>
      </c>
      <c r="E2893" s="167">
        <v>1</v>
      </c>
      <c r="F2893" s="168">
        <f t="shared" si="12"/>
        <v>0</v>
      </c>
      <c r="G2893" s="75"/>
      <c r="H2893" s="402">
        <v>184300</v>
      </c>
    </row>
    <row r="2894" spans="1:8" ht="13.2">
      <c r="A2894" s="49"/>
      <c r="B2894" s="16" t="s">
        <v>1384</v>
      </c>
      <c r="C2894" s="143" t="str">
        <f>IFERROR(VLOOKUP(B2894,'Thống kê'!$C$3:$D$970,2, FALSE),VLOOKUP(B2894,'Thống kê v2 CC'!$A$3:$D$1005,3, FALSE))</f>
        <v>Móc khoá Crybaby mini Popmart</v>
      </c>
      <c r="D2894" s="166">
        <f>VLOOKUP(B2894,'Thống kê'!$C$3:$M$970,4,0)</f>
        <v>0</v>
      </c>
      <c r="E2894" s="167">
        <v>1</v>
      </c>
      <c r="F2894" s="168">
        <f t="shared" si="12"/>
        <v>0</v>
      </c>
      <c r="G2894" s="75"/>
      <c r="H2894" s="372"/>
    </row>
    <row r="2895" spans="1:8" ht="13.2">
      <c r="A2895" s="64"/>
      <c r="B2895" s="16" t="s">
        <v>199</v>
      </c>
      <c r="C2895" s="143">
        <f>IFERROR(VLOOKUP(B2895,'Thống kê'!$C$3:$D$970,2, FALSE),VLOOKUP(B2895,'Thống kê v2 CC'!$A$3:$D$1005,3, FALSE))</f>
        <v>0</v>
      </c>
      <c r="D2895" s="166">
        <f>VLOOKUP(B2895,'Thống kê'!$C$3:$M$970,4,0)</f>
        <v>0</v>
      </c>
      <c r="E2895" s="167">
        <v>1</v>
      </c>
      <c r="F2895" s="168">
        <f t="shared" si="12"/>
        <v>0</v>
      </c>
      <c r="G2895" s="75"/>
      <c r="H2895" s="175">
        <v>59598</v>
      </c>
    </row>
    <row r="2896" spans="1:8" ht="13.2">
      <c r="A2896" s="49"/>
      <c r="B2896" s="16" t="s">
        <v>1382</v>
      </c>
      <c r="C2896" s="143" t="str">
        <f>IFERROR(VLOOKUP(B2896,'Thống kê'!$C$3:$D$970,2, FALSE),VLOOKUP(B2896,'Thống kê v2 CC'!$A$3:$D$1005,3, FALSE))</f>
        <v>miếng dán silicon điện thoại</v>
      </c>
      <c r="D2896" s="166">
        <f>VLOOKUP(B2896,'Thống kê'!$C$3:$M$970,4,0)</f>
        <v>0</v>
      </c>
      <c r="E2896" s="167">
        <v>1</v>
      </c>
      <c r="F2896" s="168">
        <f t="shared" si="12"/>
        <v>0</v>
      </c>
      <c r="G2896" s="75"/>
      <c r="H2896" s="402">
        <v>117737</v>
      </c>
    </row>
    <row r="2897" spans="1:8" ht="13.2">
      <c r="A2897" s="49"/>
      <c r="B2897" s="16" t="s">
        <v>1475</v>
      </c>
      <c r="C2897" s="143">
        <f>IFERROR(VLOOKUP(B2897,'Thống kê'!$C$3:$D$970,2, FALSE),VLOOKUP(B2897,'Thống kê v2 CC'!$A$3:$D$1005,3, FALSE))</f>
        <v>0</v>
      </c>
      <c r="D2897" s="166">
        <f>VLOOKUP(B2897,'Thống kê'!$C$3:$M$970,4,0)</f>
        <v>0</v>
      </c>
      <c r="E2897" s="167">
        <v>1</v>
      </c>
      <c r="F2897" s="168">
        <f t="shared" si="12"/>
        <v>0</v>
      </c>
      <c r="G2897" s="75"/>
      <c r="H2897" s="372"/>
    </row>
    <row r="2898" spans="1:8" ht="13.2">
      <c r="A2898" s="49"/>
      <c r="B2898" s="16" t="s">
        <v>196</v>
      </c>
      <c r="C2898" s="143">
        <f>IFERROR(VLOOKUP(B2898,'Thống kê'!$C$3:$D$970,2, FALSE),VLOOKUP(B2898,'Thống kê v2 CC'!$A$3:$D$1005,3, FALSE))</f>
        <v>0</v>
      </c>
      <c r="D2898" s="166">
        <f>VLOOKUP(B2898,'Thống kê'!$C$3:$M$970,4,0)</f>
        <v>0</v>
      </c>
      <c r="E2898" s="167">
        <v>1</v>
      </c>
      <c r="F2898" s="168">
        <f t="shared" si="12"/>
        <v>0</v>
      </c>
      <c r="G2898" s="75"/>
      <c r="H2898" s="372"/>
    </row>
    <row r="2899" spans="1:8" ht="13.2">
      <c r="A2899" s="49"/>
      <c r="B2899" s="16" t="s">
        <v>1382</v>
      </c>
      <c r="C2899" s="143" t="str">
        <f>IFERROR(VLOOKUP(B2899,'Thống kê'!$C$3:$D$970,2, FALSE),VLOOKUP(B2899,'Thống kê v2 CC'!$A$3:$D$1005,3, FALSE))</f>
        <v>miếng dán silicon điện thoại</v>
      </c>
      <c r="D2899" s="166">
        <f>VLOOKUP(B2899,'Thống kê'!$C$3:$M$970,4,0)</f>
        <v>0</v>
      </c>
      <c r="E2899" s="167">
        <v>1</v>
      </c>
      <c r="F2899" s="168">
        <f t="shared" si="12"/>
        <v>0</v>
      </c>
      <c r="G2899" s="75"/>
      <c r="H2899" s="372"/>
    </row>
    <row r="2900" spans="1:8" ht="13.2">
      <c r="A2900" s="49"/>
      <c r="B2900" s="16" t="s">
        <v>1825</v>
      </c>
      <c r="C2900" s="143" t="str">
        <f>IFERROR(VLOOKUP(B2900,'Thống kê'!$C$3:$D$970,2, FALSE),VLOOKUP(B2900,'Thống kê v2 CC'!$A$3:$D$1005,3, FALSE))</f>
        <v>Túi Đựng Mắt Kính Da Pu</v>
      </c>
      <c r="D2900" s="166">
        <f>VLOOKUP(B2900,'Thống kê'!$C$3:$M$970,4,0)</f>
        <v>0</v>
      </c>
      <c r="E2900" s="167">
        <v>5</v>
      </c>
      <c r="F2900" s="168">
        <f t="shared" si="12"/>
        <v>0</v>
      </c>
      <c r="G2900" s="75"/>
      <c r="H2900" s="402">
        <v>283720</v>
      </c>
    </row>
    <row r="2901" spans="1:8" ht="13.2">
      <c r="A2901" s="49"/>
      <c r="B2901" s="16" t="s">
        <v>1573</v>
      </c>
      <c r="C2901" s="143">
        <f>IFERROR(VLOOKUP(B2901,'Thống kê'!$C$3:$D$970,2, FALSE),VLOOKUP(B2901,'Thống kê v2 CC'!$A$3:$D$1005,3, FALSE))</f>
        <v>0</v>
      </c>
      <c r="D2901" s="166">
        <f>VLOOKUP(B2901,'Thống kê'!$C$3:$M$970,4,0)</f>
        <v>0</v>
      </c>
      <c r="E2901" s="167">
        <v>10</v>
      </c>
      <c r="F2901" s="168">
        <f t="shared" si="12"/>
        <v>0</v>
      </c>
      <c r="G2901" s="75"/>
      <c r="H2901" s="372"/>
    </row>
    <row r="2902" spans="1:8" ht="13.2">
      <c r="A2902" s="49"/>
      <c r="B2902" s="16" t="s">
        <v>1834</v>
      </c>
      <c r="C2902" s="143" t="str">
        <f>IFERROR(VLOOKUP(B2902,'Thống kê'!$C$3:$D$970,2, FALSE),VLOOKUP(B2902,'Thống kê v2 CC'!$A$3:$D$1005,3, FALSE))</f>
        <v>Túi Đựng Mắt Kính Da Pu</v>
      </c>
      <c r="D2902" s="166">
        <f>VLOOKUP(B2902,'Thống kê'!$C$3:$M$970,4,0)</f>
        <v>0</v>
      </c>
      <c r="E2902" s="167">
        <v>5</v>
      </c>
      <c r="F2902" s="168">
        <f t="shared" si="12"/>
        <v>0</v>
      </c>
      <c r="G2902" s="75"/>
      <c r="H2902" s="372"/>
    </row>
    <row r="2903" spans="1:8" ht="13.2">
      <c r="A2903" s="49"/>
      <c r="B2903" s="16" t="s">
        <v>299</v>
      </c>
      <c r="C2903" s="143">
        <f>IFERROR(VLOOKUP(B2903,'Thống kê'!$C$3:$D$970,2, FALSE),VLOOKUP(B2903,'Thống kê v2 CC'!$A$3:$D$1005,3, FALSE))</f>
        <v>0</v>
      </c>
      <c r="D2903" s="166">
        <f>VLOOKUP(B2903,'Thống kê'!$C$3:$M$970,4,0)</f>
        <v>0</v>
      </c>
      <c r="E2903" s="167">
        <v>1</v>
      </c>
      <c r="F2903" s="168">
        <f t="shared" si="12"/>
        <v>0</v>
      </c>
      <c r="G2903" s="75"/>
      <c r="H2903" s="402">
        <v>114800</v>
      </c>
    </row>
    <row r="2904" spans="1:8" ht="13.2">
      <c r="A2904" s="49"/>
      <c r="B2904" s="16" t="s">
        <v>199</v>
      </c>
      <c r="C2904" s="143">
        <f>IFERROR(VLOOKUP(B2904,'Thống kê'!$C$3:$D$970,2, FALSE),VLOOKUP(B2904,'Thống kê v2 CC'!$A$3:$D$1005,3, FALSE))</f>
        <v>0</v>
      </c>
      <c r="D2904" s="166">
        <f>VLOOKUP(B2904,'Thống kê'!$C$3:$M$970,4,0)</f>
        <v>0</v>
      </c>
      <c r="E2904" s="167">
        <v>1</v>
      </c>
      <c r="F2904" s="168">
        <f t="shared" si="12"/>
        <v>0</v>
      </c>
      <c r="G2904" s="75"/>
      <c r="H2904" s="372"/>
    </row>
    <row r="2905" spans="1:8" ht="13.2">
      <c r="A2905" s="49"/>
      <c r="B2905" s="16" t="s">
        <v>1382</v>
      </c>
      <c r="C2905" s="143" t="str">
        <f>IFERROR(VLOOKUP(B2905,'Thống kê'!$C$3:$D$970,2, FALSE),VLOOKUP(B2905,'Thống kê v2 CC'!$A$3:$D$1005,3, FALSE))</f>
        <v>miếng dán silicon điện thoại</v>
      </c>
      <c r="D2905" s="166">
        <f>VLOOKUP(B2905,'Thống kê'!$C$3:$M$970,4,0)</f>
        <v>0</v>
      </c>
      <c r="E2905" s="167">
        <v>1</v>
      </c>
      <c r="F2905" s="168">
        <f t="shared" si="12"/>
        <v>0</v>
      </c>
      <c r="G2905" s="75"/>
      <c r="H2905" s="372"/>
    </row>
    <row r="2906" spans="1:8" ht="13.2">
      <c r="A2906" s="49"/>
      <c r="B2906" s="16" t="s">
        <v>1525</v>
      </c>
      <c r="C2906" s="143">
        <f>IFERROR(VLOOKUP(B2906,'Thống kê'!$C$3:$D$970,2, FALSE),VLOOKUP(B2906,'Thống kê v2 CC'!$A$3:$D$1005,3, FALSE))</f>
        <v>0</v>
      </c>
      <c r="D2906" s="166">
        <f>VLOOKUP(B2906,'Thống kê'!$C$3:$M$970,4,0)</f>
        <v>0</v>
      </c>
      <c r="E2906" s="167">
        <v>1</v>
      </c>
      <c r="F2906" s="168">
        <f t="shared" si="12"/>
        <v>0</v>
      </c>
      <c r="G2906" s="75"/>
      <c r="H2906" s="402">
        <v>103320</v>
      </c>
    </row>
    <row r="2907" spans="1:8" ht="13.2">
      <c r="A2907" s="49"/>
      <c r="B2907" s="16" t="s">
        <v>299</v>
      </c>
      <c r="C2907" s="143">
        <f>IFERROR(VLOOKUP(B2907,'Thống kê'!$C$3:$D$970,2, FALSE),VLOOKUP(B2907,'Thống kê v2 CC'!$A$3:$D$1005,3, FALSE))</f>
        <v>0</v>
      </c>
      <c r="D2907" s="166">
        <f>VLOOKUP(B2907,'Thống kê'!$C$3:$M$970,4,0)</f>
        <v>0</v>
      </c>
      <c r="E2907" s="167">
        <v>1</v>
      </c>
      <c r="F2907" s="168">
        <f t="shared" si="12"/>
        <v>0</v>
      </c>
      <c r="G2907" s="75"/>
      <c r="H2907" s="372"/>
    </row>
    <row r="2908" spans="1:8" ht="13.2">
      <c r="A2908" s="49"/>
      <c r="B2908" s="16" t="s">
        <v>1382</v>
      </c>
      <c r="C2908" s="143" t="str">
        <f>IFERROR(VLOOKUP(B2908,'Thống kê'!$C$3:$D$970,2, FALSE),VLOOKUP(B2908,'Thống kê v2 CC'!$A$3:$D$1005,3, FALSE))</f>
        <v>miếng dán silicon điện thoại</v>
      </c>
      <c r="D2908" s="166">
        <f>VLOOKUP(B2908,'Thống kê'!$C$3:$M$970,4,0)</f>
        <v>0</v>
      </c>
      <c r="E2908" s="167">
        <v>1</v>
      </c>
      <c r="F2908" s="168">
        <f t="shared" si="12"/>
        <v>0</v>
      </c>
      <c r="G2908" s="75"/>
      <c r="H2908" s="372"/>
    </row>
    <row r="2909" spans="1:8" ht="13.2">
      <c r="A2909" s="49"/>
      <c r="B2909" s="16" t="s">
        <v>126</v>
      </c>
      <c r="C2909" s="143">
        <f>IFERROR(VLOOKUP(B2909,'Thống kê'!$C$3:$D$970,2, FALSE),VLOOKUP(B2909,'Thống kê v2 CC'!$A$3:$D$1005,3, FALSE))</f>
        <v>0</v>
      </c>
      <c r="D2909" s="166">
        <f>VLOOKUP(B2909,'Thống kê'!$C$3:$M$970,4,0)</f>
        <v>0</v>
      </c>
      <c r="E2909" s="167">
        <v>1</v>
      </c>
      <c r="F2909" s="168">
        <f t="shared" si="12"/>
        <v>0</v>
      </c>
      <c r="G2909" s="75"/>
      <c r="H2909" s="402">
        <v>125460</v>
      </c>
    </row>
    <row r="2910" spans="1:8" ht="13.2">
      <c r="A2910" s="49"/>
      <c r="B2910" s="16" t="s">
        <v>279</v>
      </c>
      <c r="C2910" s="143">
        <f>IFERROR(VLOOKUP(B2910,'Thống kê'!$C$3:$D$970,2, FALSE),VLOOKUP(B2910,'Thống kê v2 CC'!$A$3:$D$1005,3, FALSE))</f>
        <v>0</v>
      </c>
      <c r="D2910" s="166">
        <f>VLOOKUP(B2910,'Thống kê'!$C$3:$M$970,4,0)</f>
        <v>0</v>
      </c>
      <c r="E2910" s="167">
        <v>1</v>
      </c>
      <c r="F2910" s="168">
        <f t="shared" si="12"/>
        <v>0</v>
      </c>
      <c r="G2910" s="75"/>
      <c r="H2910" s="372"/>
    </row>
    <row r="2911" spans="1:8" ht="13.2">
      <c r="A2911" s="49"/>
      <c r="B2911" s="16" t="s">
        <v>1382</v>
      </c>
      <c r="C2911" s="143" t="str">
        <f>IFERROR(VLOOKUP(B2911,'Thống kê'!$C$3:$D$970,2, FALSE),VLOOKUP(B2911,'Thống kê v2 CC'!$A$3:$D$1005,3, FALSE))</f>
        <v>miếng dán silicon điện thoại</v>
      </c>
      <c r="D2911" s="166">
        <f>VLOOKUP(B2911,'Thống kê'!$C$3:$M$970,4,0)</f>
        <v>0</v>
      </c>
      <c r="E2911" s="167">
        <v>1</v>
      </c>
      <c r="F2911" s="168">
        <f t="shared" si="12"/>
        <v>0</v>
      </c>
      <c r="G2911" s="75"/>
      <c r="H2911" s="372"/>
    </row>
    <row r="2912" spans="1:8" ht="13.2">
      <c r="A2912" s="49"/>
      <c r="B2912" s="16" t="s">
        <v>252</v>
      </c>
      <c r="C2912" s="143">
        <f>IFERROR(VLOOKUP(B2912,'Thống kê'!$C$3:$D$970,2, FALSE),VLOOKUP(B2912,'Thống kê v2 CC'!$A$3:$D$1005,3, FALSE))</f>
        <v>0</v>
      </c>
      <c r="D2912" s="166">
        <f>VLOOKUP(B2912,'Thống kê'!$C$3:$M$970,4,0)</f>
        <v>0</v>
      </c>
      <c r="E2912" s="167">
        <v>1</v>
      </c>
      <c r="F2912" s="168">
        <f t="shared" si="12"/>
        <v>0</v>
      </c>
      <c r="G2912" s="75"/>
      <c r="H2912" s="402">
        <v>213006</v>
      </c>
    </row>
    <row r="2913" spans="1:8" ht="13.2">
      <c r="A2913" s="49"/>
      <c r="B2913" s="16" t="s">
        <v>1382</v>
      </c>
      <c r="C2913" s="143" t="str">
        <f>IFERROR(VLOOKUP(B2913,'Thống kê'!$C$3:$D$970,2, FALSE),VLOOKUP(B2913,'Thống kê v2 CC'!$A$3:$D$1005,3, FALSE))</f>
        <v>miếng dán silicon điện thoại</v>
      </c>
      <c r="D2913" s="166">
        <f>VLOOKUP(B2913,'Thống kê'!$C$3:$M$970,4,0)</f>
        <v>0</v>
      </c>
      <c r="E2913" s="167">
        <v>1</v>
      </c>
      <c r="F2913" s="168">
        <f t="shared" si="12"/>
        <v>0</v>
      </c>
      <c r="G2913" s="75"/>
      <c r="H2913" s="372"/>
    </row>
    <row r="2914" spans="1:8" ht="13.2">
      <c r="A2914" s="49"/>
      <c r="B2914" s="16" t="s">
        <v>1387</v>
      </c>
      <c r="C2914" s="143" t="str">
        <f>IFERROR(VLOOKUP(B2914,'Thống kê'!$C$3:$D$970,2, FALSE),VLOOKUP(B2914,'Thống kê v2 CC'!$A$3:$D$1005,3, FALSE))</f>
        <v>Móc khoá Crybaby mini Popmart</v>
      </c>
      <c r="D2914" s="166">
        <f>VLOOKUP(B2914,'Thống kê'!$C$3:$M$970,4,0)</f>
        <v>0</v>
      </c>
      <c r="E2914" s="167">
        <v>1</v>
      </c>
      <c r="F2914" s="168">
        <f t="shared" si="12"/>
        <v>0</v>
      </c>
      <c r="G2914" s="75"/>
      <c r="H2914" s="372"/>
    </row>
    <row r="2915" spans="1:8" ht="13.2">
      <c r="A2915" s="49"/>
      <c r="B2915" s="16" t="s">
        <v>1382</v>
      </c>
      <c r="C2915" s="143" t="str">
        <f>IFERROR(VLOOKUP(B2915,'Thống kê'!$C$3:$D$970,2, FALSE),VLOOKUP(B2915,'Thống kê v2 CC'!$A$3:$D$1005,3, FALSE))</f>
        <v>miếng dán silicon điện thoại</v>
      </c>
      <c r="D2915" s="166">
        <f>VLOOKUP(B2915,'Thống kê'!$C$3:$M$970,4,0)</f>
        <v>0</v>
      </c>
      <c r="E2915" s="167">
        <v>2</v>
      </c>
      <c r="F2915" s="168">
        <f t="shared" si="12"/>
        <v>0</v>
      </c>
      <c r="G2915" s="75"/>
      <c r="H2915" s="402">
        <v>96568</v>
      </c>
    </row>
    <row r="2916" spans="1:8" ht="13.2">
      <c r="A2916" s="49"/>
      <c r="B2916" s="16" t="s">
        <v>1384</v>
      </c>
      <c r="C2916" s="143" t="str">
        <f>IFERROR(VLOOKUP(B2916,'Thống kê'!$C$3:$D$970,2, FALSE),VLOOKUP(B2916,'Thống kê v2 CC'!$A$3:$D$1005,3, FALSE))</f>
        <v>Móc khoá Crybaby mini Popmart</v>
      </c>
      <c r="D2916" s="166">
        <f>VLOOKUP(B2916,'Thống kê'!$C$3:$M$970,4,0)</f>
        <v>0</v>
      </c>
      <c r="E2916" s="167">
        <v>1</v>
      </c>
      <c r="F2916" s="168">
        <f t="shared" si="12"/>
        <v>0</v>
      </c>
      <c r="G2916" s="75"/>
      <c r="H2916" s="372"/>
    </row>
    <row r="2917" spans="1:8" ht="13.2">
      <c r="A2917" s="49"/>
      <c r="B2917" s="16" t="s">
        <v>1825</v>
      </c>
      <c r="C2917" s="143" t="str">
        <f>IFERROR(VLOOKUP(B2917,'Thống kê'!$C$3:$D$970,2, FALSE),VLOOKUP(B2917,'Thống kê v2 CC'!$A$3:$D$1005,3, FALSE))</f>
        <v>Túi Đựng Mắt Kính Da Pu</v>
      </c>
      <c r="D2917" s="166">
        <f>VLOOKUP(B2917,'Thống kê'!$C$3:$M$970,4,0)</f>
        <v>0</v>
      </c>
      <c r="E2917" s="167">
        <v>1</v>
      </c>
      <c r="F2917" s="168">
        <f t="shared" si="12"/>
        <v>0</v>
      </c>
      <c r="G2917" s="75"/>
      <c r="H2917" s="175">
        <v>18774</v>
      </c>
    </row>
    <row r="2918" spans="1:8" ht="13.2">
      <c r="A2918" s="64"/>
      <c r="B2918" s="16" t="s">
        <v>138</v>
      </c>
      <c r="C2918" s="143" t="str">
        <f>IFERROR(VLOOKUP(B2918,'Thống kê'!$C$3:$D$970,2, FALSE),VLOOKUP(B2918,'Thống kê v2 CC'!$A$3:$D$1005,3, FALSE))</f>
        <v>Móc khoá Crybaby mini Popmart</v>
      </c>
      <c r="D2918" s="166">
        <f>VLOOKUP(B2918,'Thống kê'!$C$3:$M$970,4,0)</f>
        <v>0</v>
      </c>
      <c r="E2918" s="167">
        <v>1</v>
      </c>
      <c r="F2918" s="168">
        <f t="shared" si="12"/>
        <v>0</v>
      </c>
      <c r="G2918" s="75"/>
      <c r="H2918" s="175">
        <v>91840</v>
      </c>
    </row>
    <row r="2919" spans="1:8" ht="13.2">
      <c r="A2919" s="49"/>
      <c r="B2919" s="16" t="s">
        <v>126</v>
      </c>
      <c r="C2919" s="143">
        <f>IFERROR(VLOOKUP(B2919,'Thống kê'!$C$3:$D$970,2, FALSE),VLOOKUP(B2919,'Thống kê v2 CC'!$A$3:$D$1005,3, FALSE))</f>
        <v>0</v>
      </c>
      <c r="D2919" s="166">
        <f>VLOOKUP(B2919,'Thống kê'!$C$3:$M$970,4,0)</f>
        <v>0</v>
      </c>
      <c r="E2919" s="167">
        <v>1</v>
      </c>
      <c r="F2919" s="168">
        <f t="shared" si="12"/>
        <v>0</v>
      </c>
      <c r="G2919" s="75"/>
      <c r="H2919" s="402">
        <v>66942</v>
      </c>
    </row>
    <row r="2920" spans="1:8" ht="13.2">
      <c r="A2920" s="49"/>
      <c r="B2920" s="16" t="s">
        <v>1382</v>
      </c>
      <c r="C2920" s="143" t="str">
        <f>IFERROR(VLOOKUP(B2920,'Thống kê'!$C$3:$D$970,2, FALSE),VLOOKUP(B2920,'Thống kê v2 CC'!$A$3:$D$1005,3, FALSE))</f>
        <v>miếng dán silicon điện thoại</v>
      </c>
      <c r="D2920" s="166">
        <f>VLOOKUP(B2920,'Thống kê'!$C$3:$M$970,4,0)</f>
        <v>0</v>
      </c>
      <c r="E2920" s="167">
        <v>1</v>
      </c>
      <c r="F2920" s="168">
        <f t="shared" si="12"/>
        <v>0</v>
      </c>
      <c r="G2920" s="75"/>
      <c r="H2920" s="372"/>
    </row>
    <row r="2921" spans="1:8" ht="13.2">
      <c r="A2921" s="49"/>
      <c r="B2921" s="16" t="s">
        <v>105</v>
      </c>
      <c r="C2921" s="143" t="str">
        <f>IFERROR(VLOOKUP(B2921,'Thống kê'!$C$3:$D$970,2, FALSE),VLOOKUP(B2921,'Thống kê v2 CC'!$A$3:$D$1005,3, FALSE))</f>
        <v>Túi đựng đồ trang điểm nhỏ</v>
      </c>
      <c r="D2921" s="166">
        <f>VLOOKUP(B2921,'Thống kê'!$C$3:$M$970,4,0)</f>
        <v>0</v>
      </c>
      <c r="E2921" s="167">
        <v>1</v>
      </c>
      <c r="F2921" s="168">
        <f t="shared" si="12"/>
        <v>0</v>
      </c>
      <c r="G2921" s="75"/>
      <c r="H2921" s="175">
        <v>40180</v>
      </c>
    </row>
    <row r="2922" spans="1:8" ht="13.2">
      <c r="A2922" s="49"/>
      <c r="B2922" s="16" t="s">
        <v>171</v>
      </c>
      <c r="C2922" s="143">
        <f>IFERROR(VLOOKUP(B2922,'Thống kê'!$C$3:$D$970,2, FALSE),VLOOKUP(B2922,'Thống kê v2 CC'!$A$3:$D$1005,3, FALSE))</f>
        <v>0</v>
      </c>
      <c r="D2922" s="166">
        <f>VLOOKUP(B2922,'Thống kê'!$C$3:$M$970,4,0)</f>
        <v>0</v>
      </c>
      <c r="E2922" s="167">
        <v>1</v>
      </c>
      <c r="F2922" s="168">
        <f t="shared" si="12"/>
        <v>0</v>
      </c>
      <c r="G2922" s="75"/>
      <c r="H2922" s="402">
        <v>164990</v>
      </c>
    </row>
    <row r="2923" spans="1:8" ht="13.2">
      <c r="A2923" s="49"/>
      <c r="B2923" s="16" t="s">
        <v>142</v>
      </c>
      <c r="C2923" s="143">
        <f>IFERROR(VLOOKUP(B2923,'Thống kê'!$C$3:$D$970,2, FALSE),VLOOKUP(B2923,'Thống kê v2 CC'!$A$3:$D$1005,3, FALSE))</f>
        <v>0</v>
      </c>
      <c r="D2923" s="166">
        <f>VLOOKUP(B2923,'Thống kê'!$C$3:$M$970,4,0)</f>
        <v>0</v>
      </c>
      <c r="E2923" s="167">
        <v>1</v>
      </c>
      <c r="F2923" s="168">
        <f t="shared" si="12"/>
        <v>0</v>
      </c>
      <c r="G2923" s="75"/>
      <c r="H2923" s="372"/>
    </row>
    <row r="2924" spans="1:8" ht="13.2">
      <c r="A2924" s="49"/>
      <c r="B2924" s="16" t="s">
        <v>118</v>
      </c>
      <c r="C2924" s="143">
        <f>IFERROR(VLOOKUP(B2924,'Thống kê'!$C$3:$D$970,2, FALSE),VLOOKUP(B2924,'Thống kê v2 CC'!$A$3:$D$1005,3, FALSE))</f>
        <v>0</v>
      </c>
      <c r="D2924" s="166">
        <f>VLOOKUP(B2924,'Thống kê'!$C$3:$M$970,4,0)</f>
        <v>0</v>
      </c>
      <c r="E2924" s="167">
        <v>1</v>
      </c>
      <c r="F2924" s="168">
        <f t="shared" si="12"/>
        <v>0</v>
      </c>
      <c r="G2924" s="75"/>
      <c r="H2924" s="372"/>
    </row>
    <row r="2925" spans="1:8" ht="13.2">
      <c r="A2925" s="49"/>
      <c r="B2925" s="16" t="s">
        <v>1382</v>
      </c>
      <c r="C2925" s="143" t="str">
        <f>IFERROR(VLOOKUP(B2925,'Thống kê'!$C$3:$D$970,2, FALSE),VLOOKUP(B2925,'Thống kê v2 CC'!$A$3:$D$1005,3, FALSE))</f>
        <v>miếng dán silicon điện thoại</v>
      </c>
      <c r="D2925" s="166">
        <f>VLOOKUP(B2925,'Thống kê'!$C$3:$M$970,4,0)</f>
        <v>0</v>
      </c>
      <c r="E2925" s="167">
        <v>1</v>
      </c>
      <c r="F2925" s="168">
        <f t="shared" si="12"/>
        <v>0</v>
      </c>
      <c r="G2925" s="75"/>
      <c r="H2925" s="372"/>
    </row>
    <row r="2926" spans="1:8" ht="13.2">
      <c r="A2926" s="49"/>
      <c r="B2926" s="16" t="s">
        <v>140</v>
      </c>
      <c r="C2926" s="143">
        <f>IFERROR(VLOOKUP(B2926,'Thống kê'!$C$3:$D$970,2, FALSE),VLOOKUP(B2926,'Thống kê v2 CC'!$A$3:$D$1005,3, FALSE))</f>
        <v>0</v>
      </c>
      <c r="D2926" s="166">
        <f>VLOOKUP(B2926,'Thống kê'!$C$3:$M$970,4,0)</f>
        <v>0</v>
      </c>
      <c r="E2926" s="167">
        <v>1</v>
      </c>
      <c r="F2926" s="168">
        <f t="shared" si="12"/>
        <v>0</v>
      </c>
      <c r="G2926" s="75"/>
      <c r="H2926" s="402">
        <v>116440</v>
      </c>
    </row>
    <row r="2927" spans="1:8" ht="13.2">
      <c r="A2927" s="49"/>
      <c r="B2927" s="16" t="s">
        <v>137</v>
      </c>
      <c r="C2927" s="143">
        <f>IFERROR(VLOOKUP(B2927,'Thống kê'!$C$3:$D$970,2, FALSE),VLOOKUP(B2927,'Thống kê v2 CC'!$A$3:$D$1005,3, FALSE))</f>
        <v>0</v>
      </c>
      <c r="D2927" s="166">
        <f>VLOOKUP(B2927,'Thống kê'!$C$3:$M$970,4,0)</f>
        <v>0</v>
      </c>
      <c r="E2927" s="167">
        <v>1</v>
      </c>
      <c r="F2927" s="168">
        <f t="shared" si="12"/>
        <v>0</v>
      </c>
      <c r="G2927" s="75"/>
      <c r="H2927" s="372"/>
    </row>
    <row r="2928" spans="1:8" ht="13.2">
      <c r="A2928" s="49"/>
      <c r="B2928" s="16" t="s">
        <v>1382</v>
      </c>
      <c r="C2928" s="143" t="str">
        <f>IFERROR(VLOOKUP(B2928,'Thống kê'!$C$3:$D$970,2, FALSE),VLOOKUP(B2928,'Thống kê v2 CC'!$A$3:$D$1005,3, FALSE))</f>
        <v>miếng dán silicon điện thoại</v>
      </c>
      <c r="D2928" s="166">
        <f>VLOOKUP(B2928,'Thống kê'!$C$3:$M$970,4,0)</f>
        <v>0</v>
      </c>
      <c r="E2928" s="167">
        <v>1</v>
      </c>
      <c r="F2928" s="168">
        <f t="shared" si="12"/>
        <v>0</v>
      </c>
      <c r="G2928" s="75"/>
      <c r="H2928" s="372"/>
    </row>
    <row r="2929" spans="1:8" ht="13.2">
      <c r="A2929" s="49"/>
      <c r="B2929" s="16" t="s">
        <v>1834</v>
      </c>
      <c r="C2929" s="143" t="str">
        <f>IFERROR(VLOOKUP(B2929,'Thống kê'!$C$3:$D$970,2, FALSE),VLOOKUP(B2929,'Thống kê v2 CC'!$A$3:$D$1005,3, FALSE))</f>
        <v>Túi Đựng Mắt Kính Da Pu</v>
      </c>
      <c r="D2929" s="166">
        <f>VLOOKUP(B2929,'Thống kê'!$C$3:$M$970,4,0)</f>
        <v>0</v>
      </c>
      <c r="E2929" s="167">
        <v>1</v>
      </c>
      <c r="F2929" s="168">
        <f t="shared" si="12"/>
        <v>0</v>
      </c>
      <c r="G2929" s="75"/>
      <c r="H2929" s="175">
        <v>12817</v>
      </c>
    </row>
    <row r="2930" spans="1:8" ht="13.2">
      <c r="A2930" s="49"/>
      <c r="B2930" s="16" t="s">
        <v>199</v>
      </c>
      <c r="C2930" s="143">
        <f>IFERROR(VLOOKUP(B2930,'Thống kê'!$C$3:$D$970,2, FALSE),VLOOKUP(B2930,'Thống kê v2 CC'!$A$3:$D$1005,3, FALSE))</f>
        <v>0</v>
      </c>
      <c r="D2930" s="166">
        <f>VLOOKUP(B2930,'Thống kê'!$C$3:$M$970,4,0)</f>
        <v>0</v>
      </c>
      <c r="E2930" s="167">
        <v>1</v>
      </c>
      <c r="F2930" s="168">
        <f t="shared" si="12"/>
        <v>0</v>
      </c>
      <c r="G2930" s="75"/>
      <c r="H2930" s="175">
        <v>51429</v>
      </c>
    </row>
    <row r="2931" spans="1:8" ht="13.2">
      <c r="A2931" s="49"/>
      <c r="B2931" s="16" t="s">
        <v>1853</v>
      </c>
      <c r="C2931" s="143" t="str">
        <f>IFERROR(VLOOKUP(B2931,'Thống kê'!$C$3:$D$970,2, FALSE),VLOOKUP(B2931,'Thống kê v2 CC'!$A$3:$D$1005,3, FALSE))</f>
        <v>Túi Đựng Mắt Kính Da Pu</v>
      </c>
      <c r="D2931" s="166">
        <f>VLOOKUP(B2931,'Thống kê'!$C$3:$M$970,4,0)</f>
        <v>0</v>
      </c>
      <c r="E2931" s="167">
        <v>1</v>
      </c>
      <c r="F2931" s="168">
        <f t="shared" si="12"/>
        <v>0</v>
      </c>
      <c r="G2931" s="75"/>
      <c r="H2931" s="175">
        <v>13865</v>
      </c>
    </row>
    <row r="2932" spans="1:8" ht="13.2">
      <c r="A2932" s="49"/>
      <c r="B2932" s="16" t="s">
        <v>126</v>
      </c>
      <c r="C2932" s="143">
        <f>IFERROR(VLOOKUP(B2932,'Thống kê'!$C$3:$D$970,2, FALSE),VLOOKUP(B2932,'Thống kê v2 CC'!$A$3:$D$1005,3, FALSE))</f>
        <v>0</v>
      </c>
      <c r="D2932" s="166">
        <f>VLOOKUP(B2932,'Thống kê'!$C$3:$M$970,4,0)</f>
        <v>0</v>
      </c>
      <c r="E2932" s="167">
        <v>1</v>
      </c>
      <c r="F2932" s="168">
        <f t="shared" si="12"/>
        <v>0</v>
      </c>
      <c r="G2932" s="75"/>
      <c r="H2932" s="402">
        <v>350000</v>
      </c>
    </row>
    <row r="2933" spans="1:8" ht="13.2">
      <c r="A2933" s="64"/>
      <c r="B2933" s="16" t="s">
        <v>80</v>
      </c>
      <c r="C2933" s="143">
        <f>IFERROR(VLOOKUP(B2933,'Thống kê'!$C$3:$D$970,2, FALSE),VLOOKUP(B2933,'Thống kê v2 CC'!$A$3:$D$1005,3, FALSE))</f>
        <v>0</v>
      </c>
      <c r="D2933" s="166">
        <f>VLOOKUP(B2933,'Thống kê'!$C$3:$M$970,4,0)</f>
        <v>0</v>
      </c>
      <c r="E2933" s="167">
        <v>1</v>
      </c>
      <c r="F2933" s="168">
        <f t="shared" si="12"/>
        <v>0</v>
      </c>
      <c r="G2933" s="75"/>
      <c r="H2933" s="372"/>
    </row>
    <row r="2934" spans="1:8" ht="13.2">
      <c r="A2934" s="49"/>
      <c r="B2934" s="16" t="s">
        <v>125</v>
      </c>
      <c r="C2934" s="143">
        <f>IFERROR(VLOOKUP(B2934,'Thống kê'!$C$3:$D$970,2, FALSE),VLOOKUP(B2934,'Thống kê v2 CC'!$A$3:$D$1005,3, FALSE))</f>
        <v>0</v>
      </c>
      <c r="D2934" s="166">
        <f>VLOOKUP(B2934,'Thống kê'!$C$3:$M$970,4,0)</f>
        <v>0</v>
      </c>
      <c r="E2934" s="167">
        <v>1</v>
      </c>
      <c r="F2934" s="168">
        <f t="shared" si="12"/>
        <v>0</v>
      </c>
      <c r="G2934" s="75"/>
      <c r="H2934" s="372"/>
    </row>
    <row r="2935" spans="1:8" ht="13.2">
      <c r="A2935" s="49"/>
      <c r="B2935" s="16" t="s">
        <v>279</v>
      </c>
      <c r="C2935" s="143">
        <f>IFERROR(VLOOKUP(B2935,'Thống kê'!$C$3:$D$970,2, FALSE),VLOOKUP(B2935,'Thống kê v2 CC'!$A$3:$D$1005,3, FALSE))</f>
        <v>0</v>
      </c>
      <c r="D2935" s="166">
        <f>VLOOKUP(B2935,'Thống kê'!$C$3:$M$970,4,0)</f>
        <v>0</v>
      </c>
      <c r="E2935" s="167">
        <v>1</v>
      </c>
      <c r="F2935" s="168">
        <f t="shared" si="12"/>
        <v>0</v>
      </c>
      <c r="G2935" s="75"/>
      <c r="H2935" s="372"/>
    </row>
    <row r="2936" spans="1:8" ht="13.2">
      <c r="A2936" s="49"/>
      <c r="B2936" s="16" t="s">
        <v>191</v>
      </c>
      <c r="C2936" s="143">
        <f>IFERROR(VLOOKUP(B2936,'Thống kê'!$C$3:$D$970,2, FALSE),VLOOKUP(B2936,'Thống kê v2 CC'!$A$3:$D$1005,3, FALSE))</f>
        <v>0</v>
      </c>
      <c r="D2936" s="166">
        <f>VLOOKUP(B2936,'Thống kê'!$C$3:$M$970,4,0)</f>
        <v>0</v>
      </c>
      <c r="E2936" s="167">
        <v>1</v>
      </c>
      <c r="F2936" s="168">
        <f t="shared" si="12"/>
        <v>0</v>
      </c>
      <c r="G2936" s="75"/>
      <c r="H2936" s="372"/>
    </row>
    <row r="2937" spans="1:8" ht="13.2">
      <c r="A2937" s="49"/>
      <c r="B2937" s="16" t="s">
        <v>1382</v>
      </c>
      <c r="C2937" s="143" t="str">
        <f>IFERROR(VLOOKUP(B2937,'Thống kê'!$C$3:$D$970,2, FALSE),VLOOKUP(B2937,'Thống kê v2 CC'!$A$3:$D$1005,3, FALSE))</f>
        <v>miếng dán silicon điện thoại</v>
      </c>
      <c r="D2937" s="166">
        <f>VLOOKUP(B2937,'Thống kê'!$C$3:$M$970,4,0)</f>
        <v>0</v>
      </c>
      <c r="E2937" s="167">
        <v>1</v>
      </c>
      <c r="F2937" s="168">
        <f t="shared" si="12"/>
        <v>0</v>
      </c>
      <c r="G2937" s="75"/>
      <c r="H2937" s="372"/>
    </row>
    <row r="2938" spans="1:8" ht="13.2">
      <c r="A2938" s="49"/>
      <c r="B2938" s="16" t="s">
        <v>1792</v>
      </c>
      <c r="C2938" s="143" t="str">
        <f>IFERROR(VLOOKUP(B2938,'Thống kê'!$C$3:$D$970,2, FALSE),VLOOKUP(B2938,'Thống kê v2 CC'!$A$3:$D$1005,3, FALSE))</f>
        <v>Mèo da treo gương</v>
      </c>
      <c r="D2938" s="166">
        <f>VLOOKUP(B2938,'Thống kê'!$C$3:$M$970,4,0)</f>
        <v>71500</v>
      </c>
      <c r="E2938" s="167">
        <v>1</v>
      </c>
      <c r="F2938" s="168">
        <f t="shared" si="12"/>
        <v>71500</v>
      </c>
      <c r="G2938" s="75"/>
      <c r="H2938" s="175">
        <v>49223</v>
      </c>
    </row>
    <row r="2939" spans="1:8" ht="13.2">
      <c r="A2939" s="49"/>
      <c r="B2939" s="16" t="s">
        <v>77</v>
      </c>
      <c r="C2939" s="143">
        <f>IFERROR(VLOOKUP(B2939,'Thống kê'!$C$3:$D$970,2, FALSE),VLOOKUP(B2939,'Thống kê v2 CC'!$A$3:$D$1005,3, FALSE))</f>
        <v>0</v>
      </c>
      <c r="D2939" s="166">
        <f>VLOOKUP(B2939,'Thống kê'!$C$3:$M$970,4,0)</f>
        <v>0</v>
      </c>
      <c r="E2939" s="167">
        <v>1</v>
      </c>
      <c r="F2939" s="168">
        <f t="shared" si="12"/>
        <v>0</v>
      </c>
      <c r="G2939" s="75"/>
      <c r="H2939" s="402">
        <v>104960</v>
      </c>
    </row>
    <row r="2940" spans="1:8" ht="13.2">
      <c r="A2940" s="49"/>
      <c r="B2940" s="16" t="s">
        <v>93</v>
      </c>
      <c r="C2940" s="143">
        <f>IFERROR(VLOOKUP(B2940,'Thống kê'!$C$3:$D$970,2, FALSE),VLOOKUP(B2940,'Thống kê v2 CC'!$A$3:$D$1005,3, FALSE))</f>
        <v>0</v>
      </c>
      <c r="D2940" s="166">
        <f>VLOOKUP(B2940,'Thống kê'!$C$3:$M$970,4,0)</f>
        <v>0</v>
      </c>
      <c r="E2940" s="167">
        <v>1</v>
      </c>
      <c r="F2940" s="168">
        <f t="shared" si="12"/>
        <v>0</v>
      </c>
      <c r="G2940" s="75"/>
      <c r="H2940" s="372"/>
    </row>
    <row r="2941" spans="1:8" ht="13.2">
      <c r="A2941" s="49"/>
      <c r="B2941" s="16" t="s">
        <v>1382</v>
      </c>
      <c r="C2941" s="143" t="str">
        <f>IFERROR(VLOOKUP(B2941,'Thống kê'!$C$3:$D$970,2, FALSE),VLOOKUP(B2941,'Thống kê v2 CC'!$A$3:$D$1005,3, FALSE))</f>
        <v>miếng dán silicon điện thoại</v>
      </c>
      <c r="D2941" s="166">
        <f>VLOOKUP(B2941,'Thống kê'!$C$3:$M$970,4,0)</f>
        <v>0</v>
      </c>
      <c r="E2941" s="167">
        <v>1</v>
      </c>
      <c r="F2941" s="168">
        <f t="shared" si="12"/>
        <v>0</v>
      </c>
      <c r="G2941" s="75"/>
      <c r="H2941" s="372"/>
    </row>
    <row r="2942" spans="1:8" ht="13.2">
      <c r="A2942" s="49"/>
      <c r="B2942" s="16" t="s">
        <v>1697</v>
      </c>
      <c r="C2942" s="143" t="str">
        <f>IFERROR(VLOOKUP(B2942,'Thống kê'!$C$3:$D$970,2, FALSE),VLOOKUP(B2942,'Thống kê v2 CC'!$A$3:$D$1005,3, FALSE))</f>
        <v>heo</v>
      </c>
      <c r="D2942" s="166">
        <f>VLOOKUP(B2942,'Thống kê'!$C$3:$M$970,4,0)</f>
        <v>35000</v>
      </c>
      <c r="E2942" s="167">
        <v>1</v>
      </c>
      <c r="F2942" s="168">
        <f t="shared" si="12"/>
        <v>35000</v>
      </c>
      <c r="G2942" s="75"/>
      <c r="H2942" s="175">
        <v>99056</v>
      </c>
    </row>
    <row r="2943" spans="1:8" ht="13.2">
      <c r="A2943" s="49"/>
      <c r="B2943" s="16" t="s">
        <v>1696</v>
      </c>
      <c r="C2943" s="143" t="str">
        <f>IFERROR(VLOOKUP(B2943,'Thống kê'!$C$3:$D$970,2, FALSE),VLOOKUP(B2943,'Thống kê v2 CC'!$A$3:$D$1005,3, FALSE))</f>
        <v>gấu</v>
      </c>
      <c r="D2943" s="166">
        <f>VLOOKUP(B2943,'Thống kê'!$C$3:$M$970,4,0)</f>
        <v>35000</v>
      </c>
      <c r="E2943" s="167">
        <v>1</v>
      </c>
      <c r="F2943" s="168">
        <f t="shared" si="12"/>
        <v>35000</v>
      </c>
      <c r="G2943" s="75"/>
      <c r="H2943" s="175"/>
    </row>
    <row r="2944" spans="1:8" ht="13.2">
      <c r="A2944" s="49"/>
      <c r="B2944" s="16" t="s">
        <v>149</v>
      </c>
      <c r="C2944" s="143" t="str">
        <f>IFERROR(VLOOKUP(B2944,'Thống kê'!$C$3:$D$970,2, FALSE),VLOOKUP(B2944,'Thống kê v2 CC'!$A$3:$D$1005,3, FALSE))</f>
        <v>ếch</v>
      </c>
      <c r="D2944" s="166">
        <f>VLOOKUP(B2944,'Thống kê'!$C$3:$M$970,4,0)</f>
        <v>35000</v>
      </c>
      <c r="E2944" s="167">
        <v>1</v>
      </c>
      <c r="F2944" s="168">
        <f t="shared" si="12"/>
        <v>35000</v>
      </c>
      <c r="G2944" s="75"/>
      <c r="H2944" s="175"/>
    </row>
    <row r="2945" spans="1:8" ht="13.2">
      <c r="A2945" s="49"/>
      <c r="B2945" s="16" t="s">
        <v>94</v>
      </c>
      <c r="C2945" s="143" t="str">
        <f>IFERROR(VLOOKUP(B2945,'Thống kê'!$C$3:$D$970,2, FALSE),VLOOKUP(B2945,'Thống kê v2 CC'!$A$3:$D$1005,3, FALSE))</f>
        <v>thỏ</v>
      </c>
      <c r="D2945" s="166">
        <f>VLOOKUP(B2945,'Thống kê'!$C$3:$M$970,4,0)</f>
        <v>35000</v>
      </c>
      <c r="E2945" s="167">
        <v>1</v>
      </c>
      <c r="F2945" s="168">
        <f t="shared" si="12"/>
        <v>35000</v>
      </c>
      <c r="G2945" s="75"/>
      <c r="H2945" s="175"/>
    </row>
    <row r="2946" spans="1:8" ht="13.2">
      <c r="A2946" s="49"/>
      <c r="B2946" s="16" t="s">
        <v>142</v>
      </c>
      <c r="C2946" s="143">
        <f>IFERROR(VLOOKUP(B2946,'Thống kê'!$C$3:$D$970,2, FALSE),VLOOKUP(B2946,'Thống kê v2 CC'!$A$3:$D$1005,3, FALSE))</f>
        <v>0</v>
      </c>
      <c r="D2946" s="166">
        <f>VLOOKUP(B2946,'Thống kê'!$C$3:$M$970,4,0)</f>
        <v>0</v>
      </c>
      <c r="E2946" s="167">
        <v>-1</v>
      </c>
      <c r="F2946" s="168">
        <f t="shared" si="12"/>
        <v>0</v>
      </c>
      <c r="G2946" s="75"/>
      <c r="H2946" s="175">
        <v>-42500</v>
      </c>
    </row>
    <row r="2947" spans="1:8" ht="13.2">
      <c r="A2947" s="64"/>
      <c r="B2947" s="16" t="s">
        <v>200</v>
      </c>
      <c r="C2947" s="143">
        <f>IFERROR(VLOOKUP(B2947,'Thống kê'!$C$3:$D$970,2, FALSE),VLOOKUP(B2947,'Thống kê v2 CC'!$A$3:$D$1005,3, FALSE))</f>
        <v>0</v>
      </c>
      <c r="D2947" s="166">
        <f>VLOOKUP(B2947,'Thống kê'!$C$3:$M$970,4,0)</f>
        <v>0</v>
      </c>
      <c r="E2947" s="167">
        <v>1</v>
      </c>
      <c r="F2947" s="168">
        <f t="shared" si="12"/>
        <v>0</v>
      </c>
      <c r="G2947" s="75"/>
      <c r="H2947" s="402">
        <v>67142</v>
      </c>
    </row>
    <row r="2948" spans="1:8" ht="13.2">
      <c r="A2948" s="49"/>
      <c r="B2948" s="16" t="s">
        <v>1382</v>
      </c>
      <c r="C2948" s="143" t="str">
        <f>IFERROR(VLOOKUP(B2948,'Thống kê'!$C$3:$D$970,2, FALSE),VLOOKUP(B2948,'Thống kê v2 CC'!$A$3:$D$1005,3, FALSE))</f>
        <v>miếng dán silicon điện thoại</v>
      </c>
      <c r="D2948" s="166">
        <f>VLOOKUP(B2948,'Thống kê'!$C$3:$M$970,4,0)</f>
        <v>0</v>
      </c>
      <c r="E2948" s="167">
        <v>1</v>
      </c>
      <c r="F2948" s="168">
        <f t="shared" si="12"/>
        <v>0</v>
      </c>
      <c r="G2948" s="75"/>
      <c r="H2948" s="372"/>
    </row>
    <row r="2949" spans="1:8" ht="13.2">
      <c r="A2949" s="49"/>
      <c r="B2949" s="16" t="s">
        <v>1339</v>
      </c>
      <c r="C2949" s="143" t="str">
        <f>IFERROR(VLOOKUP(B2949,'Thống kê'!$C$3:$D$970,2, FALSE),VLOOKUP(B2949,'Thống kê v2 CC'!$A$3:$D$1005,3, FALSE))</f>
        <v>Móc khóa chuối</v>
      </c>
      <c r="D2949" s="166">
        <f>VLOOKUP(B2949,'Thống kê'!$C$3:$M$970,4,0)</f>
        <v>148000</v>
      </c>
      <c r="E2949" s="167">
        <v>1</v>
      </c>
      <c r="F2949" s="168">
        <f t="shared" si="12"/>
        <v>148000</v>
      </c>
      <c r="G2949" s="75"/>
      <c r="H2949" s="175">
        <v>63724</v>
      </c>
    </row>
    <row r="2950" spans="1:8" ht="13.2">
      <c r="A2950" s="49"/>
      <c r="B2950" s="16" t="s">
        <v>1384</v>
      </c>
      <c r="C2950" s="143" t="str">
        <f>IFERROR(VLOOKUP(B2950,'Thống kê'!$C$3:$D$970,2, FALSE),VLOOKUP(B2950,'Thống kê v2 CC'!$A$3:$D$1005,3, FALSE))</f>
        <v>Móc khoá Crybaby mini Popmart</v>
      </c>
      <c r="D2950" s="166">
        <f>VLOOKUP(B2950,'Thống kê'!$C$3:$M$970,4,0)</f>
        <v>0</v>
      </c>
      <c r="E2950" s="167">
        <v>1</v>
      </c>
      <c r="F2950" s="168">
        <f t="shared" si="12"/>
        <v>0</v>
      </c>
      <c r="G2950" s="75"/>
      <c r="H2950" s="175">
        <v>74486</v>
      </c>
    </row>
    <row r="2951" spans="1:8" ht="13.2">
      <c r="A2951" s="49"/>
      <c r="B2951" s="16" t="s">
        <v>93</v>
      </c>
      <c r="C2951" s="143">
        <f>IFERROR(VLOOKUP(B2951,'Thống kê'!$C$3:$D$970,2, FALSE),VLOOKUP(B2951,'Thống kê v2 CC'!$A$3:$D$1005,3, FALSE))</f>
        <v>0</v>
      </c>
      <c r="D2951" s="166">
        <f>VLOOKUP(B2951,'Thống kê'!$C$3:$M$970,4,0)</f>
        <v>0</v>
      </c>
      <c r="E2951" s="167">
        <v>1</v>
      </c>
      <c r="F2951" s="168">
        <f t="shared" si="12"/>
        <v>0</v>
      </c>
      <c r="G2951" s="75"/>
      <c r="H2951" s="402">
        <v>50922</v>
      </c>
    </row>
    <row r="2952" spans="1:8" ht="13.2">
      <c r="A2952" s="49"/>
      <c r="B2952" s="16" t="s">
        <v>1382</v>
      </c>
      <c r="C2952" s="143" t="str">
        <f>IFERROR(VLOOKUP(B2952,'Thống kê'!$C$3:$D$970,2, FALSE),VLOOKUP(B2952,'Thống kê v2 CC'!$A$3:$D$1005,3, FALSE))</f>
        <v>miếng dán silicon điện thoại</v>
      </c>
      <c r="D2952" s="166">
        <f>VLOOKUP(B2952,'Thống kê'!$C$3:$M$970,4,0)</f>
        <v>0</v>
      </c>
      <c r="E2952" s="167">
        <v>1</v>
      </c>
      <c r="F2952" s="168">
        <f t="shared" si="12"/>
        <v>0</v>
      </c>
      <c r="G2952" s="75"/>
      <c r="H2952" s="372"/>
    </row>
    <row r="2953" spans="1:8" ht="13.2">
      <c r="A2953" s="49"/>
      <c r="B2953" s="16" t="s">
        <v>180</v>
      </c>
      <c r="C2953" s="143">
        <f>IFERROR(VLOOKUP(B2953,'Thống kê'!$C$3:$D$970,2, FALSE),VLOOKUP(B2953,'Thống kê v2 CC'!$A$3:$D$1005,3, FALSE))</f>
        <v>0</v>
      </c>
      <c r="D2953" s="166">
        <f>VLOOKUP(B2953,'Thống kê'!$C$3:$M$970,4,0)</f>
        <v>0</v>
      </c>
      <c r="E2953" s="167">
        <v>1</v>
      </c>
      <c r="F2953" s="168">
        <f t="shared" si="12"/>
        <v>0</v>
      </c>
      <c r="G2953" s="75"/>
      <c r="H2953" s="175">
        <v>56180</v>
      </c>
    </row>
    <row r="2954" spans="1:8" ht="13.2">
      <c r="A2954" s="49"/>
      <c r="B2954" s="16" t="s">
        <v>138</v>
      </c>
      <c r="C2954" s="143" t="str">
        <f>IFERROR(VLOOKUP(B2954,'Thống kê'!$C$3:$D$970,2, FALSE),VLOOKUP(B2954,'Thống kê v2 CC'!$A$3:$D$1005,3, FALSE))</f>
        <v>Móc khoá Crybaby mini Popmart</v>
      </c>
      <c r="D2954" s="166">
        <f>VLOOKUP(B2954,'Thống kê'!$C$3:$M$970,4,0)</f>
        <v>0</v>
      </c>
      <c r="E2954" s="167">
        <v>1</v>
      </c>
      <c r="F2954" s="168">
        <f t="shared" si="12"/>
        <v>0</v>
      </c>
      <c r="G2954" s="75"/>
      <c r="H2954" s="402">
        <v>182040</v>
      </c>
    </row>
    <row r="2955" spans="1:8" ht="13.2">
      <c r="A2955" s="49"/>
      <c r="B2955" s="16" t="s">
        <v>299</v>
      </c>
      <c r="C2955" s="143">
        <f>IFERROR(VLOOKUP(B2955,'Thống kê'!$C$3:$D$970,2, FALSE),VLOOKUP(B2955,'Thống kê v2 CC'!$A$3:$D$1005,3, FALSE))</f>
        <v>0</v>
      </c>
      <c r="D2955" s="166">
        <f>VLOOKUP(B2955,'Thống kê'!$C$3:$M$970,4,0)</f>
        <v>0</v>
      </c>
      <c r="E2955" s="167">
        <v>1</v>
      </c>
      <c r="F2955" s="168">
        <f t="shared" si="12"/>
        <v>0</v>
      </c>
      <c r="G2955" s="75"/>
      <c r="H2955" s="372"/>
    </row>
    <row r="2956" spans="1:8" ht="13.2">
      <c r="A2956" s="49"/>
      <c r="B2956" s="16" t="s">
        <v>199</v>
      </c>
      <c r="C2956" s="143">
        <f>IFERROR(VLOOKUP(B2956,'Thống kê'!$C$3:$D$970,2, FALSE),VLOOKUP(B2956,'Thống kê v2 CC'!$A$3:$D$1005,3, FALSE))</f>
        <v>0</v>
      </c>
      <c r="D2956" s="166">
        <f>VLOOKUP(B2956,'Thống kê'!$C$3:$M$970,4,0)</f>
        <v>0</v>
      </c>
      <c r="E2956" s="167">
        <v>1</v>
      </c>
      <c r="F2956" s="168">
        <f t="shared" si="12"/>
        <v>0</v>
      </c>
      <c r="G2956" s="75"/>
      <c r="H2956" s="372"/>
    </row>
    <row r="2957" spans="1:8" ht="13.2">
      <c r="A2957" s="49"/>
      <c r="B2957" s="16" t="s">
        <v>1382</v>
      </c>
      <c r="C2957" s="143" t="str">
        <f>IFERROR(VLOOKUP(B2957,'Thống kê'!$C$3:$D$970,2, FALSE),VLOOKUP(B2957,'Thống kê v2 CC'!$A$3:$D$1005,3, FALSE))</f>
        <v>miếng dán silicon điện thoại</v>
      </c>
      <c r="D2957" s="166">
        <f>VLOOKUP(B2957,'Thống kê'!$C$3:$M$970,4,0)</f>
        <v>0</v>
      </c>
      <c r="E2957" s="167">
        <v>1</v>
      </c>
      <c r="F2957" s="168">
        <f t="shared" si="12"/>
        <v>0</v>
      </c>
      <c r="G2957" s="75"/>
      <c r="H2957" s="372"/>
    </row>
    <row r="2958" spans="1:8" ht="13.2">
      <c r="A2958" s="49"/>
      <c r="B2958" s="16" t="s">
        <v>1531</v>
      </c>
      <c r="C2958" s="143">
        <f>IFERROR(VLOOKUP(B2958,'Thống kê'!$C$3:$D$970,2, FALSE),VLOOKUP(B2958,'Thống kê v2 CC'!$A$3:$D$1005,3, FALSE))</f>
        <v>0</v>
      </c>
      <c r="D2958" s="166">
        <f>VLOOKUP(B2958,'Thống kê'!$C$3:$M$970,4,0)</f>
        <v>0</v>
      </c>
      <c r="E2958" s="167">
        <v>1</v>
      </c>
      <c r="F2958" s="168">
        <f t="shared" si="12"/>
        <v>0</v>
      </c>
      <c r="G2958" s="75"/>
      <c r="H2958" s="175">
        <v>52054</v>
      </c>
    </row>
    <row r="2959" spans="1:8" ht="13.2">
      <c r="A2959" s="49"/>
      <c r="B2959" s="16" t="s">
        <v>1382</v>
      </c>
      <c r="C2959" s="143" t="str">
        <f>IFERROR(VLOOKUP(B2959,'Thống kê'!$C$3:$D$970,2, FALSE),VLOOKUP(B2959,'Thống kê v2 CC'!$A$3:$D$1005,3, FALSE))</f>
        <v>miếng dán silicon điện thoại</v>
      </c>
      <c r="D2959" s="166">
        <f>VLOOKUP(B2959,'Thống kê'!$C$3:$M$970,4,0)</f>
        <v>0</v>
      </c>
      <c r="E2959" s="167">
        <v>1</v>
      </c>
      <c r="F2959" s="168">
        <f t="shared" si="12"/>
        <v>0</v>
      </c>
      <c r="G2959" s="75"/>
      <c r="H2959" s="175"/>
    </row>
    <row r="2960" spans="1:8" ht="13.2">
      <c r="A2960" s="49"/>
      <c r="B2960" s="16" t="s">
        <v>228</v>
      </c>
      <c r="C2960" s="143">
        <f>IFERROR(VLOOKUP(B2960,'Thống kê'!$C$3:$D$970,2, FALSE),VLOOKUP(B2960,'Thống kê v2 CC'!$A$3:$D$1005,3, FALSE))</f>
        <v>0</v>
      </c>
      <c r="D2960" s="166">
        <f>VLOOKUP(B2960,'Thống kê'!$C$3:$M$970,4,0)</f>
        <v>0</v>
      </c>
      <c r="E2960" s="167">
        <v>1</v>
      </c>
      <c r="F2960" s="168">
        <f t="shared" si="12"/>
        <v>0</v>
      </c>
      <c r="G2960" s="75"/>
      <c r="H2960" s="402">
        <v>138580</v>
      </c>
    </row>
    <row r="2961" spans="1:8" ht="13.2">
      <c r="A2961" s="49"/>
      <c r="B2961" s="16" t="s">
        <v>1387</v>
      </c>
      <c r="C2961" s="143" t="str">
        <f>IFERROR(VLOOKUP(B2961,'Thống kê'!$C$3:$D$970,2, FALSE),VLOOKUP(B2961,'Thống kê v2 CC'!$A$3:$D$1005,3, FALSE))</f>
        <v>Móc khoá Crybaby mini Popmart</v>
      </c>
      <c r="D2961" s="166">
        <f>VLOOKUP(B2961,'Thống kê'!$C$3:$M$970,4,0)</f>
        <v>0</v>
      </c>
      <c r="E2961" s="167">
        <v>1</v>
      </c>
      <c r="F2961" s="168">
        <f t="shared" si="12"/>
        <v>0</v>
      </c>
      <c r="G2961" s="75"/>
      <c r="H2961" s="372"/>
    </row>
    <row r="2962" spans="1:8" ht="13.2">
      <c r="A2962" s="49"/>
      <c r="B2962" s="16" t="s">
        <v>1861</v>
      </c>
      <c r="C2962" s="143" t="e">
        <f>IFERROR(VLOOKUP(B2962,'Thống kê'!$C$3:$D$970,2, FALSE),VLOOKUP(B2962,'Thống kê v2 CC'!$A$3:$D$1005,3, FALSE))</f>
        <v>#N/A</v>
      </c>
      <c r="D2962" s="166" t="e">
        <f>VLOOKUP(B2962,'Thống kê'!$C$3:$M$970,4,0)</f>
        <v>#N/A</v>
      </c>
      <c r="E2962" s="167">
        <v>1</v>
      </c>
      <c r="F2962" s="168" t="e">
        <f t="shared" si="12"/>
        <v>#N/A</v>
      </c>
      <c r="G2962" s="75"/>
      <c r="H2962" s="402">
        <v>102499</v>
      </c>
    </row>
    <row r="2963" spans="1:8" ht="13.2">
      <c r="A2963" s="49"/>
      <c r="B2963" s="16" t="s">
        <v>1836</v>
      </c>
      <c r="C2963" s="143" t="str">
        <f>IFERROR(VLOOKUP(B2963,'Thống kê'!$C$3:$D$970,2, FALSE),VLOOKUP(B2963,'Thống kê v2 CC'!$A$3:$D$1005,3, FALSE))</f>
        <v>Túi Đựng Mắt Kính Da Pu</v>
      </c>
      <c r="D2963" s="166">
        <f>VLOOKUP(B2963,'Thống kê'!$C$3:$M$970,4,0)</f>
        <v>0</v>
      </c>
      <c r="E2963" s="167">
        <v>1</v>
      </c>
      <c r="F2963" s="168">
        <f t="shared" si="12"/>
        <v>0</v>
      </c>
      <c r="G2963" s="75"/>
      <c r="H2963" s="372"/>
    </row>
    <row r="2964" spans="1:8" ht="13.2">
      <c r="A2964" s="49"/>
      <c r="B2964" s="16" t="s">
        <v>1853</v>
      </c>
      <c r="C2964" s="143" t="str">
        <f>IFERROR(VLOOKUP(B2964,'Thống kê'!$C$3:$D$970,2, FALSE),VLOOKUP(B2964,'Thống kê v2 CC'!$A$3:$D$1005,3, FALSE))</f>
        <v>Túi Đựng Mắt Kính Da Pu</v>
      </c>
      <c r="D2964" s="166">
        <f>VLOOKUP(B2964,'Thống kê'!$C$3:$M$970,4,0)</f>
        <v>0</v>
      </c>
      <c r="E2964" s="167">
        <v>1</v>
      </c>
      <c r="F2964" s="168">
        <f t="shared" si="12"/>
        <v>0</v>
      </c>
      <c r="G2964" s="75"/>
      <c r="H2964" s="372"/>
    </row>
    <row r="2965" spans="1:8" ht="13.2">
      <c r="A2965" s="49"/>
      <c r="B2965" s="16" t="s">
        <v>108</v>
      </c>
      <c r="C2965" s="143">
        <f>IFERROR(VLOOKUP(B2965,'Thống kê'!$C$3:$D$970,2, FALSE),VLOOKUP(B2965,'Thống kê v2 CC'!$A$3:$D$1005,3, FALSE))</f>
        <v>0</v>
      </c>
      <c r="D2965" s="166">
        <f>VLOOKUP(B2965,'Thống kê'!$C$3:$M$970,4,0)</f>
        <v>0</v>
      </c>
      <c r="E2965" s="167">
        <v>1</v>
      </c>
      <c r="F2965" s="168">
        <f t="shared" si="12"/>
        <v>0</v>
      </c>
      <c r="G2965" s="75"/>
      <c r="H2965" s="402">
        <v>98400</v>
      </c>
    </row>
    <row r="2966" spans="1:8" ht="13.2">
      <c r="A2966" s="49"/>
      <c r="B2966" s="16" t="s">
        <v>299</v>
      </c>
      <c r="C2966" s="143">
        <f>IFERROR(VLOOKUP(B2966,'Thống kê'!$C$3:$D$970,2, FALSE),VLOOKUP(B2966,'Thống kê v2 CC'!$A$3:$D$1005,3, FALSE))</f>
        <v>0</v>
      </c>
      <c r="D2966" s="166">
        <f>VLOOKUP(B2966,'Thống kê'!$C$3:$M$970,4,0)</f>
        <v>0</v>
      </c>
      <c r="E2966" s="167">
        <v>1</v>
      </c>
      <c r="F2966" s="168">
        <f t="shared" si="12"/>
        <v>0</v>
      </c>
      <c r="G2966" s="75"/>
      <c r="H2966" s="372"/>
    </row>
    <row r="2967" spans="1:8" ht="13.2">
      <c r="A2967" s="49"/>
      <c r="B2967" s="16" t="s">
        <v>1382</v>
      </c>
      <c r="C2967" s="143" t="str">
        <f>IFERROR(VLOOKUP(B2967,'Thống kê'!$C$3:$D$970,2, FALSE),VLOOKUP(B2967,'Thống kê v2 CC'!$A$3:$D$1005,3, FALSE))</f>
        <v>miếng dán silicon điện thoại</v>
      </c>
      <c r="D2967" s="166">
        <f>VLOOKUP(B2967,'Thống kê'!$C$3:$M$970,4,0)</f>
        <v>0</v>
      </c>
      <c r="E2967" s="167">
        <v>1</v>
      </c>
      <c r="F2967" s="168">
        <f t="shared" si="12"/>
        <v>0</v>
      </c>
      <c r="G2967" s="75"/>
      <c r="H2967" s="372"/>
    </row>
    <row r="2968" spans="1:8" ht="13.2">
      <c r="A2968" s="49"/>
      <c r="B2968" s="16" t="s">
        <v>150</v>
      </c>
      <c r="C2968" s="143" t="str">
        <f>IFERROR(VLOOKUP(B2968,'Thống kê'!$C$3:$D$970,2, FALSE),VLOOKUP(B2968,'Thống kê v2 CC'!$A$3:$D$1005,3, FALSE))</f>
        <v>Móc khóa có chuông</v>
      </c>
      <c r="D2968" s="166">
        <f>VLOOKUP(B2968,'Thống kê'!$C$3:$M$970,4,0)</f>
        <v>59000</v>
      </c>
      <c r="E2968" s="167">
        <v>1</v>
      </c>
      <c r="F2968" s="168">
        <f t="shared" si="12"/>
        <v>59000</v>
      </c>
      <c r="G2968" s="75"/>
      <c r="H2968" s="175">
        <v>48636</v>
      </c>
    </row>
    <row r="2969" spans="1:8" ht="13.2">
      <c r="A2969" s="49"/>
      <c r="B2969" s="16" t="s">
        <v>1836</v>
      </c>
      <c r="C2969" s="143" t="str">
        <f>IFERROR(VLOOKUP(B2969,'Thống kê'!$C$3:$D$970,2, FALSE),VLOOKUP(B2969,'Thống kê v2 CC'!$A$3:$D$1005,3, FALSE))</f>
        <v>Túi Đựng Mắt Kính Da Pu</v>
      </c>
      <c r="D2969" s="166">
        <f>VLOOKUP(B2969,'Thống kê'!$C$3:$M$970,4,0)</f>
        <v>0</v>
      </c>
      <c r="E2969" s="167">
        <v>1</v>
      </c>
      <c r="F2969" s="168">
        <f t="shared" si="12"/>
        <v>0</v>
      </c>
      <c r="G2969" s="75"/>
      <c r="H2969" s="402">
        <v>51299</v>
      </c>
    </row>
    <row r="2970" spans="1:8" ht="13.2">
      <c r="A2970" s="49"/>
      <c r="B2970" s="16" t="s">
        <v>1840</v>
      </c>
      <c r="C2970" s="143" t="str">
        <f>IFERROR(VLOOKUP(B2970,'Thống kê'!$C$3:$D$970,2, FALSE),VLOOKUP(B2970,'Thống kê v2 CC'!$A$3:$D$1005,3, FALSE))</f>
        <v>Túi Đựng Mắt Kính Da Pu</v>
      </c>
      <c r="D2970" s="166">
        <f>VLOOKUP(B2970,'Thống kê'!$C$3:$M$970,4,0)</f>
        <v>0</v>
      </c>
      <c r="E2970" s="167">
        <v>1</v>
      </c>
      <c r="F2970" s="168">
        <f t="shared" si="12"/>
        <v>0</v>
      </c>
      <c r="G2970" s="75"/>
      <c r="H2970" s="372"/>
    </row>
    <row r="2971" spans="1:8" ht="13.2">
      <c r="A2971" s="49"/>
      <c r="B2971" s="16" t="s">
        <v>1573</v>
      </c>
      <c r="C2971" s="143">
        <f>IFERROR(VLOOKUP(B2971,'Thống kê'!$C$3:$D$970,2, FALSE),VLOOKUP(B2971,'Thống kê v2 CC'!$A$3:$D$1005,3, FALSE))</f>
        <v>0</v>
      </c>
      <c r="D2971" s="166">
        <f>VLOOKUP(B2971,'Thống kê'!$C$3:$M$970,4,0)</f>
        <v>0</v>
      </c>
      <c r="E2971" s="167">
        <v>1</v>
      </c>
      <c r="F2971" s="168">
        <f t="shared" si="12"/>
        <v>0</v>
      </c>
      <c r="G2971" s="75"/>
      <c r="H2971" s="372"/>
    </row>
    <row r="2972" spans="1:8" ht="13.2">
      <c r="A2972" s="49"/>
      <c r="B2972" s="16" t="s">
        <v>1853</v>
      </c>
      <c r="C2972" s="143" t="str">
        <f>IFERROR(VLOOKUP(B2972,'Thống kê'!$C$3:$D$970,2, FALSE),VLOOKUP(B2972,'Thống kê v2 CC'!$A$3:$D$1005,3, FALSE))</f>
        <v>Túi Đựng Mắt Kính Da Pu</v>
      </c>
      <c r="D2972" s="166">
        <f>VLOOKUP(B2972,'Thống kê'!$C$3:$M$970,4,0)</f>
        <v>0</v>
      </c>
      <c r="E2972" s="167">
        <v>1</v>
      </c>
      <c r="F2972" s="168">
        <f t="shared" si="12"/>
        <v>0</v>
      </c>
      <c r="G2972" s="75"/>
      <c r="H2972" s="372"/>
    </row>
    <row r="2973" spans="1:8" ht="13.2">
      <c r="A2973" s="64"/>
      <c r="B2973" s="16" t="s">
        <v>1853</v>
      </c>
      <c r="C2973" s="143" t="str">
        <f>IFERROR(VLOOKUP(B2973,'Thống kê'!$C$3:$D$970,2, FALSE),VLOOKUP(B2973,'Thống kê v2 CC'!$A$3:$D$1005,3, FALSE))</f>
        <v>Túi Đựng Mắt Kính Da Pu</v>
      </c>
      <c r="D2973" s="166">
        <f>VLOOKUP(B2973,'Thống kê'!$C$3:$M$970,4,0)</f>
        <v>0</v>
      </c>
      <c r="E2973" s="167">
        <v>1</v>
      </c>
      <c r="F2973" s="168">
        <f t="shared" si="12"/>
        <v>0</v>
      </c>
      <c r="G2973" s="75"/>
      <c r="H2973" s="175">
        <v>34365</v>
      </c>
    </row>
    <row r="2974" spans="1:8" ht="13.2">
      <c r="A2974" s="64"/>
      <c r="B2974" s="16" t="s">
        <v>1841</v>
      </c>
      <c r="C2974" s="143" t="str">
        <f>IFERROR(VLOOKUP(B2974,'Thống kê'!$C$3:$D$970,2, FALSE),VLOOKUP(B2974,'Thống kê v2 CC'!$A$3:$D$1005,3, FALSE))</f>
        <v>Túi Đựng Mắt Kính Da Pu</v>
      </c>
      <c r="D2974" s="166">
        <f>VLOOKUP(B2974,'Thống kê'!$C$3:$M$970,4,0)</f>
        <v>0</v>
      </c>
      <c r="E2974" s="167">
        <v>1</v>
      </c>
      <c r="F2974" s="168">
        <f t="shared" si="12"/>
        <v>0</v>
      </c>
      <c r="G2974" s="75"/>
      <c r="H2974" s="175"/>
    </row>
    <row r="2975" spans="1:8" ht="13.2">
      <c r="A2975" s="49"/>
      <c r="B2975" s="16" t="s">
        <v>199</v>
      </c>
      <c r="C2975" s="143">
        <f>IFERROR(VLOOKUP(B2975,'Thống kê'!$C$3:$D$970,2, FALSE),VLOOKUP(B2975,'Thống kê v2 CC'!$A$3:$D$1005,3, FALSE))</f>
        <v>0</v>
      </c>
      <c r="D2975" s="166">
        <f>VLOOKUP(B2975,'Thống kê'!$C$3:$M$970,4,0)</f>
        <v>0</v>
      </c>
      <c r="E2975" s="167">
        <v>1</v>
      </c>
      <c r="F2975" s="168">
        <f t="shared" si="12"/>
        <v>0</v>
      </c>
      <c r="G2975" s="75"/>
      <c r="H2975" s="402">
        <v>54904</v>
      </c>
    </row>
    <row r="2976" spans="1:8" ht="13.2">
      <c r="A2976" s="49"/>
      <c r="B2976" s="16" t="s">
        <v>1382</v>
      </c>
      <c r="C2976" s="143" t="str">
        <f>IFERROR(VLOOKUP(B2976,'Thống kê'!$C$3:$D$970,2, FALSE),VLOOKUP(B2976,'Thống kê v2 CC'!$A$3:$D$1005,3, FALSE))</f>
        <v>miếng dán silicon điện thoại</v>
      </c>
      <c r="D2976" s="166">
        <f>VLOOKUP(B2976,'Thống kê'!$C$3:$M$970,4,0)</f>
        <v>0</v>
      </c>
      <c r="E2976" s="167">
        <v>1</v>
      </c>
      <c r="F2976" s="168">
        <f t="shared" si="12"/>
        <v>0</v>
      </c>
      <c r="G2976" s="75"/>
      <c r="H2976" s="372"/>
    </row>
    <row r="2977" spans="1:8" ht="13.2">
      <c r="A2977" s="49"/>
      <c r="B2977" s="16" t="s">
        <v>127</v>
      </c>
      <c r="C2977" s="143">
        <f>IFERROR(VLOOKUP(B2977,'Thống kê'!$C$3:$D$970,2, FALSE),VLOOKUP(B2977,'Thống kê v2 CC'!$A$3:$D$1005,3, FALSE))</f>
        <v>0</v>
      </c>
      <c r="D2977" s="166">
        <f>VLOOKUP(B2977,'Thống kê'!$C$3:$M$970,4,0)</f>
        <v>0</v>
      </c>
      <c r="E2977" s="167">
        <v>1</v>
      </c>
      <c r="F2977" s="168">
        <f t="shared" si="12"/>
        <v>0</v>
      </c>
      <c r="G2977" s="75"/>
      <c r="H2977" s="402">
        <v>74433</v>
      </c>
    </row>
    <row r="2978" spans="1:8" ht="13.2">
      <c r="A2978" s="49"/>
      <c r="B2978" s="16" t="s">
        <v>1382</v>
      </c>
      <c r="C2978" s="143" t="str">
        <f>IFERROR(VLOOKUP(B2978,'Thống kê'!$C$3:$D$970,2, FALSE),VLOOKUP(B2978,'Thống kê v2 CC'!$A$3:$D$1005,3, FALSE))</f>
        <v>miếng dán silicon điện thoại</v>
      </c>
      <c r="D2978" s="166">
        <f>VLOOKUP(B2978,'Thống kê'!$C$3:$M$970,4,0)</f>
        <v>0</v>
      </c>
      <c r="E2978" s="167">
        <v>1</v>
      </c>
      <c r="F2978" s="168">
        <f t="shared" si="12"/>
        <v>0</v>
      </c>
      <c r="G2978" s="75"/>
      <c r="H2978" s="373"/>
    </row>
    <row r="2979" spans="1:8" ht="13.2">
      <c r="A2979" s="49"/>
      <c r="B2979" s="16" t="s">
        <v>1717</v>
      </c>
      <c r="C2979" s="143" t="str">
        <f>IFERROR(VLOOKUP(B2979,'Thống kê'!$C$3:$D$970,2, FALSE),VLOOKUP(B2979,'Thống kê v2 CC'!$A$3:$D$1005,3, FALSE))</f>
        <v>Pop Bean Baked Bread</v>
      </c>
      <c r="D2979" s="166">
        <f>VLOOKUP(B2979,'Thống kê'!$C$3:$M$970,4,0)</f>
        <v>167000</v>
      </c>
      <c r="E2979" s="167">
        <v>1</v>
      </c>
      <c r="F2979" s="168">
        <f t="shared" si="12"/>
        <v>167000</v>
      </c>
      <c r="G2979" s="75"/>
      <c r="H2979" s="407">
        <v>124500</v>
      </c>
    </row>
    <row r="2980" spans="1:8" ht="13.2">
      <c r="A2980" s="49"/>
      <c r="B2980" s="16" t="s">
        <v>1382</v>
      </c>
      <c r="C2980" s="143" t="str">
        <f>IFERROR(VLOOKUP(B2980,'Thống kê'!$C$3:$D$970,2, FALSE),VLOOKUP(B2980,'Thống kê v2 CC'!$A$3:$D$1005,3, FALSE))</f>
        <v>miếng dán silicon điện thoại</v>
      </c>
      <c r="D2980" s="166">
        <f>VLOOKUP(B2980,'Thống kê'!$C$3:$M$970,4,0)</f>
        <v>0</v>
      </c>
      <c r="E2980" s="167">
        <v>1</v>
      </c>
      <c r="F2980" s="168">
        <f t="shared" si="12"/>
        <v>0</v>
      </c>
      <c r="G2980" s="75"/>
      <c r="H2980" s="369"/>
    </row>
    <row r="2981" spans="1:8" ht="13.2">
      <c r="A2981" s="49"/>
      <c r="B2981" s="16" t="s">
        <v>126</v>
      </c>
      <c r="C2981" s="143">
        <f>IFERROR(VLOOKUP(B2981,'Thống kê'!$C$3:$D$970,2, FALSE),VLOOKUP(B2981,'Thống kê v2 CC'!$A$3:$D$1005,3, FALSE))</f>
        <v>0</v>
      </c>
      <c r="D2981" s="166">
        <f>VLOOKUP(B2981,'Thống kê'!$C$3:$M$970,4,0)</f>
        <v>0</v>
      </c>
      <c r="E2981" s="167">
        <v>1</v>
      </c>
      <c r="F2981" s="168">
        <f t="shared" si="12"/>
        <v>0</v>
      </c>
      <c r="G2981" s="75"/>
      <c r="H2981" s="205">
        <v>72980</v>
      </c>
    </row>
    <row r="2982" spans="1:8" ht="13.2">
      <c r="A2982" s="49"/>
      <c r="B2982" s="16" t="s">
        <v>127</v>
      </c>
      <c r="C2982" s="143">
        <f>IFERROR(VLOOKUP(B2982,'Thống kê'!$C$3:$D$970,2, FALSE),VLOOKUP(B2982,'Thống kê v2 CC'!$A$3:$D$1005,3, FALSE))</f>
        <v>0</v>
      </c>
      <c r="D2982" s="166">
        <f>VLOOKUP(B2982,'Thống kê'!$C$3:$M$970,4,0)</f>
        <v>0</v>
      </c>
      <c r="E2982" s="167">
        <v>1</v>
      </c>
      <c r="F2982" s="168">
        <f t="shared" si="12"/>
        <v>0</v>
      </c>
      <c r="G2982" s="75"/>
      <c r="H2982" s="205">
        <v>120436</v>
      </c>
    </row>
    <row r="2983" spans="1:8" ht="13.2">
      <c r="A2983" s="64"/>
      <c r="B2983" s="16" t="s">
        <v>1382</v>
      </c>
      <c r="C2983" s="143" t="str">
        <f>IFERROR(VLOOKUP(B2983,'Thống kê'!$C$3:$D$970,2, FALSE),VLOOKUP(B2983,'Thống kê v2 CC'!$A$3:$D$1005,3, FALSE))</f>
        <v>miếng dán silicon điện thoại</v>
      </c>
      <c r="D2983" s="166">
        <f>VLOOKUP(B2983,'Thống kê'!$C$3:$M$970,4,0)</f>
        <v>0</v>
      </c>
      <c r="E2983" s="167">
        <v>1</v>
      </c>
      <c r="F2983" s="168">
        <f t="shared" si="12"/>
        <v>0</v>
      </c>
      <c r="G2983" s="75"/>
      <c r="H2983" s="407"/>
    </row>
    <row r="2984" spans="1:8" ht="13.2">
      <c r="A2984" s="49"/>
      <c r="B2984" s="16" t="s">
        <v>200</v>
      </c>
      <c r="C2984" s="143">
        <f>IFERROR(VLOOKUP(B2984,'Thống kê'!$C$3:$D$970,2, FALSE),VLOOKUP(B2984,'Thống kê v2 CC'!$A$3:$D$1005,3, FALSE))</f>
        <v>0</v>
      </c>
      <c r="D2984" s="166">
        <f>VLOOKUP(B2984,'Thống kê'!$C$3:$M$970,4,0)</f>
        <v>0</v>
      </c>
      <c r="E2984" s="167">
        <v>1</v>
      </c>
      <c r="F2984" s="168">
        <f t="shared" si="12"/>
        <v>0</v>
      </c>
      <c r="G2984" s="75"/>
      <c r="H2984" s="369"/>
    </row>
    <row r="2985" spans="1:8" ht="13.2">
      <c r="A2985" s="49"/>
      <c r="B2985" s="16" t="s">
        <v>113</v>
      </c>
      <c r="C2985" s="143" t="str">
        <f>IFERROR(VLOOKUP(B2985,'Thống kê'!$C$3:$D$970,2, FALSE),VLOOKUP(B2985,'Thống kê v2 CC'!$A$3:$D$1005,3, FALSE))</f>
        <v>Móc khoá Dimoo size mini (hàng remake)</v>
      </c>
      <c r="D2985" s="166">
        <f>VLOOKUP(B2985,'Thống kê'!$C$3:$M$970,4,0)</f>
        <v>0</v>
      </c>
      <c r="E2985" s="167">
        <v>1</v>
      </c>
      <c r="F2985" s="168">
        <f t="shared" si="12"/>
        <v>0</v>
      </c>
      <c r="G2985" s="75"/>
      <c r="H2985" s="205">
        <v>45264</v>
      </c>
    </row>
    <row r="2986" spans="1:8" ht="13.2">
      <c r="A2986" s="49"/>
      <c r="B2986" s="16" t="s">
        <v>228</v>
      </c>
      <c r="C2986" s="143">
        <f>IFERROR(VLOOKUP(B2986,'Thống kê'!$C$3:$D$970,2, FALSE),VLOOKUP(B2986,'Thống kê v2 CC'!$A$3:$D$1005,3, FALSE))</f>
        <v>0</v>
      </c>
      <c r="D2986" s="166">
        <f>VLOOKUP(B2986,'Thống kê'!$C$3:$M$970,4,0)</f>
        <v>0</v>
      </c>
      <c r="E2986" s="167">
        <v>1</v>
      </c>
      <c r="F2986" s="168">
        <f t="shared" si="12"/>
        <v>0</v>
      </c>
      <c r="G2986" s="75"/>
      <c r="H2986" s="205">
        <v>58917</v>
      </c>
    </row>
    <row r="2987" spans="1:8" ht="13.2">
      <c r="A2987" s="49"/>
      <c r="B2987" s="16" t="s">
        <v>108</v>
      </c>
      <c r="C2987" s="143">
        <f>IFERROR(VLOOKUP(B2987,'Thống kê'!$C$3:$D$970,2, FALSE),VLOOKUP(B2987,'Thống kê v2 CC'!$A$3:$D$1005,3, FALSE))</f>
        <v>0</v>
      </c>
      <c r="D2987" s="166">
        <f>VLOOKUP(B2987,'Thống kê'!$C$3:$M$970,4,0)</f>
        <v>0</v>
      </c>
      <c r="E2987" s="167">
        <v>1</v>
      </c>
      <c r="F2987" s="168">
        <f t="shared" si="12"/>
        <v>0</v>
      </c>
      <c r="G2987" s="75"/>
      <c r="H2987" s="407">
        <v>52054</v>
      </c>
    </row>
    <row r="2988" spans="1:8" ht="13.2">
      <c r="A2988" s="49"/>
      <c r="B2988" s="16" t="s">
        <v>1382</v>
      </c>
      <c r="C2988" s="143" t="str">
        <f>IFERROR(VLOOKUP(B2988,'Thống kê'!$C$3:$D$970,2, FALSE),VLOOKUP(B2988,'Thống kê v2 CC'!$A$3:$D$1005,3, FALSE))</f>
        <v>miếng dán silicon điện thoại</v>
      </c>
      <c r="D2988" s="166">
        <f>VLOOKUP(B2988,'Thống kê'!$C$3:$M$970,4,0)</f>
        <v>0</v>
      </c>
      <c r="E2988" s="167">
        <v>1</v>
      </c>
      <c r="F2988" s="168">
        <f t="shared" si="12"/>
        <v>0</v>
      </c>
      <c r="G2988" s="75"/>
      <c r="H2988" s="369"/>
    </row>
    <row r="2989" spans="1:8" ht="13.2">
      <c r="A2989" s="49"/>
      <c r="B2989" s="16" t="s">
        <v>93</v>
      </c>
      <c r="C2989" s="143">
        <f>IFERROR(VLOOKUP(B2989,'Thống kê'!$C$3:$D$970,2, FALSE),VLOOKUP(B2989,'Thống kê v2 CC'!$A$3:$D$1005,3, FALSE))</f>
        <v>0</v>
      </c>
      <c r="D2989" s="166">
        <f>VLOOKUP(B2989,'Thống kê'!$C$3:$M$970,4,0)</f>
        <v>0</v>
      </c>
      <c r="E2989" s="167">
        <v>1</v>
      </c>
      <c r="F2989" s="168">
        <f t="shared" si="12"/>
        <v>0</v>
      </c>
      <c r="G2989" s="75"/>
      <c r="H2989" s="205">
        <v>52054</v>
      </c>
    </row>
    <row r="2990" spans="1:8" ht="13.2">
      <c r="A2990" s="49"/>
      <c r="B2990" s="16" t="s">
        <v>1526</v>
      </c>
      <c r="C2990" s="143">
        <f>IFERROR(VLOOKUP(B2990,'Thống kê'!$C$3:$D$970,2, FALSE),VLOOKUP(B2990,'Thống kê v2 CC'!$A$3:$D$1005,3, FALSE))</f>
        <v>0</v>
      </c>
      <c r="D2990" s="166">
        <f>VLOOKUP(B2990,'Thống kê'!$C$3:$M$970,4,0)</f>
        <v>0</v>
      </c>
      <c r="E2990" s="167">
        <v>1</v>
      </c>
      <c r="F2990" s="168">
        <f t="shared" si="12"/>
        <v>0</v>
      </c>
      <c r="G2990" s="75"/>
      <c r="H2990" s="205">
        <v>104960</v>
      </c>
    </row>
    <row r="2991" spans="1:8" ht="13.2">
      <c r="A2991" s="49"/>
      <c r="B2991" s="16" t="s">
        <v>93</v>
      </c>
      <c r="C2991" s="143">
        <f>IFERROR(VLOOKUP(B2991,'Thống kê'!$C$3:$D$970,2, FALSE),VLOOKUP(B2991,'Thống kê v2 CC'!$A$3:$D$1005,3, FALSE))</f>
        <v>0</v>
      </c>
      <c r="D2991" s="166">
        <f>VLOOKUP(B2991,'Thống kê'!$C$3:$M$970,4,0)</f>
        <v>0</v>
      </c>
      <c r="E2991" s="167">
        <v>1</v>
      </c>
      <c r="F2991" s="168">
        <f t="shared" si="12"/>
        <v>0</v>
      </c>
      <c r="G2991" s="75"/>
      <c r="H2991" s="205"/>
    </row>
    <row r="2992" spans="1:8" ht="13.2">
      <c r="A2992" s="49"/>
      <c r="B2992" s="16" t="s">
        <v>1382</v>
      </c>
      <c r="C2992" s="143" t="str">
        <f>IFERROR(VLOOKUP(B2992,'Thống kê'!$C$3:$D$970,2, FALSE),VLOOKUP(B2992,'Thống kê v2 CC'!$A$3:$D$1005,3, FALSE))</f>
        <v>miếng dán silicon điện thoại</v>
      </c>
      <c r="D2992" s="166">
        <f>VLOOKUP(B2992,'Thống kê'!$C$3:$M$970,4,0)</f>
        <v>0</v>
      </c>
      <c r="E2992" s="167">
        <v>1</v>
      </c>
      <c r="F2992" s="168">
        <f t="shared" si="12"/>
        <v>0</v>
      </c>
      <c r="G2992" s="75"/>
      <c r="H2992" s="205"/>
    </row>
    <row r="2993" spans="1:8" ht="13.2">
      <c r="A2993" s="49"/>
      <c r="B2993" s="16" t="s">
        <v>1446</v>
      </c>
      <c r="C2993" s="143" t="str">
        <f>IFERROR(VLOOKUP(B2993,'Thống kê'!$C$3:$D$970,2, FALSE),VLOOKUP(B2993,'Thống kê v2 CC'!$A$3:$D$1005,3, FALSE))</f>
        <v>túi mù mô hình</v>
      </c>
      <c r="D2993" s="166">
        <f>VLOOKUP(B2993,'Thống kê'!$C$3:$M$970,4,0)</f>
        <v>0</v>
      </c>
      <c r="E2993" s="167">
        <v>1</v>
      </c>
      <c r="F2993" s="168">
        <f t="shared" si="12"/>
        <v>0</v>
      </c>
      <c r="G2993" s="75"/>
      <c r="H2993" s="407">
        <v>111520</v>
      </c>
    </row>
    <row r="2994" spans="1:8" ht="13.2">
      <c r="A2994" s="49"/>
      <c r="B2994" s="16" t="s">
        <v>1860</v>
      </c>
      <c r="C2994" s="143" t="e">
        <f>IFERROR(VLOOKUP(B2994,'Thống kê'!$C$3:$D$970,2, FALSE),VLOOKUP(B2994,'Thống kê v2 CC'!$A$3:$D$1005,3, FALSE))</f>
        <v>#N/A</v>
      </c>
      <c r="D2994" s="166" t="e">
        <f>VLOOKUP(B2994,'Thống kê'!$C$3:$M$970,4,0)</f>
        <v>#N/A</v>
      </c>
      <c r="E2994" s="167">
        <v>1</v>
      </c>
      <c r="F2994" s="168" t="e">
        <f t="shared" si="12"/>
        <v>#N/A</v>
      </c>
      <c r="G2994" s="75"/>
      <c r="H2994" s="369"/>
    </row>
    <row r="2995" spans="1:8" ht="13.2">
      <c r="A2995" s="64"/>
      <c r="B2995" s="16" t="s">
        <v>118</v>
      </c>
      <c r="C2995" s="143">
        <f>IFERROR(VLOOKUP(B2995,'Thống kê'!$C$3:$D$970,2, FALSE),VLOOKUP(B2995,'Thống kê v2 CC'!$A$3:$D$1005,3, FALSE))</f>
        <v>0</v>
      </c>
      <c r="D2995" s="166">
        <f>VLOOKUP(B2995,'Thống kê'!$C$3:$M$970,4,0)</f>
        <v>0</v>
      </c>
      <c r="E2995" s="167">
        <v>1</v>
      </c>
      <c r="F2995" s="168">
        <f t="shared" si="12"/>
        <v>0</v>
      </c>
      <c r="G2995" s="75"/>
      <c r="H2995" s="407">
        <v>51654</v>
      </c>
    </row>
    <row r="2996" spans="1:8" ht="13.2">
      <c r="A2996" s="49"/>
      <c r="B2996" s="16" t="s">
        <v>1382</v>
      </c>
      <c r="C2996" s="143" t="str">
        <f>IFERROR(VLOOKUP(B2996,'Thống kê'!$C$3:$D$970,2, FALSE),VLOOKUP(B2996,'Thống kê v2 CC'!$A$3:$D$1005,3, FALSE))</f>
        <v>miếng dán silicon điện thoại</v>
      </c>
      <c r="D2996" s="166">
        <f>VLOOKUP(B2996,'Thống kê'!$C$3:$M$970,4,0)</f>
        <v>0</v>
      </c>
      <c r="E2996" s="167">
        <v>1</v>
      </c>
      <c r="F2996" s="168">
        <f t="shared" si="12"/>
        <v>0</v>
      </c>
      <c r="G2996" s="75"/>
      <c r="H2996" s="369"/>
    </row>
    <row r="2997" spans="1:8" ht="13.2">
      <c r="A2997" s="49"/>
      <c r="B2997" s="16" t="s">
        <v>196</v>
      </c>
      <c r="C2997" s="143">
        <f>IFERROR(VLOOKUP(B2997,'Thống kê'!$C$3:$D$970,2, FALSE),VLOOKUP(B2997,'Thống kê v2 CC'!$A$3:$D$1005,3, FALSE))</f>
        <v>0</v>
      </c>
      <c r="D2997" s="166">
        <f>VLOOKUP(B2997,'Thống kê'!$C$3:$M$970,4,0)</f>
        <v>0</v>
      </c>
      <c r="E2997" s="167">
        <v>1</v>
      </c>
      <c r="F2997" s="168">
        <f t="shared" si="12"/>
        <v>0</v>
      </c>
      <c r="G2997" s="75"/>
      <c r="H2997" s="407">
        <v>626890</v>
      </c>
    </row>
    <row r="2998" spans="1:8" ht="13.2">
      <c r="A2998" s="49"/>
      <c r="B2998" s="16" t="s">
        <v>140</v>
      </c>
      <c r="C2998" s="143">
        <f>IFERROR(VLOOKUP(B2998,'Thống kê'!$C$3:$D$970,2, FALSE),VLOOKUP(B2998,'Thống kê v2 CC'!$A$3:$D$1005,3, FALSE))</f>
        <v>0</v>
      </c>
      <c r="D2998" s="166">
        <f>VLOOKUP(B2998,'Thống kê'!$C$3:$M$970,4,0)</f>
        <v>0</v>
      </c>
      <c r="E2998" s="167">
        <v>1</v>
      </c>
      <c r="F2998" s="168">
        <f t="shared" si="12"/>
        <v>0</v>
      </c>
      <c r="G2998" s="75"/>
      <c r="H2998" s="369"/>
    </row>
    <row r="2999" spans="1:8" ht="13.2">
      <c r="A2999" s="49"/>
      <c r="B2999" s="16" t="s">
        <v>1516</v>
      </c>
      <c r="C2999" s="143">
        <f>IFERROR(VLOOKUP(B2999,'Thống kê'!$C$3:$D$970,2, FALSE),VLOOKUP(B2999,'Thống kê v2 CC'!$A$3:$D$1005,3, FALSE))</f>
        <v>0</v>
      </c>
      <c r="D2999" s="166">
        <f>VLOOKUP(B2999,'Thống kê'!$C$3:$M$970,4,0)</f>
        <v>0</v>
      </c>
      <c r="E2999" s="167">
        <v>1</v>
      </c>
      <c r="F2999" s="168">
        <f t="shared" si="12"/>
        <v>0</v>
      </c>
      <c r="G2999" s="75"/>
      <c r="H2999" s="369"/>
    </row>
    <row r="3000" spans="1:8" ht="13.2">
      <c r="A3000" s="49"/>
      <c r="B3000" s="16" t="s">
        <v>199</v>
      </c>
      <c r="C3000" s="143">
        <f>IFERROR(VLOOKUP(B3000,'Thống kê'!$C$3:$D$970,2, FALSE),VLOOKUP(B3000,'Thống kê v2 CC'!$A$3:$D$1005,3, FALSE))</f>
        <v>0</v>
      </c>
      <c r="D3000" s="166">
        <f>VLOOKUP(B3000,'Thống kê'!$C$3:$M$970,4,0)</f>
        <v>0</v>
      </c>
      <c r="E3000" s="167">
        <v>1</v>
      </c>
      <c r="F3000" s="168">
        <f t="shared" si="12"/>
        <v>0</v>
      </c>
      <c r="G3000" s="75"/>
      <c r="H3000" s="369"/>
    </row>
    <row r="3001" spans="1:8" ht="13.2">
      <c r="A3001" s="49"/>
      <c r="B3001" s="16" t="s">
        <v>1382</v>
      </c>
      <c r="C3001" s="143" t="str">
        <f>IFERROR(VLOOKUP(B3001,'Thống kê'!$C$3:$D$970,2, FALSE),VLOOKUP(B3001,'Thống kê v2 CC'!$A$3:$D$1005,3, FALSE))</f>
        <v>miếng dán silicon điện thoại</v>
      </c>
      <c r="D3001" s="166">
        <f>VLOOKUP(B3001,'Thống kê'!$C$3:$M$970,4,0)</f>
        <v>0</v>
      </c>
      <c r="E3001" s="167">
        <v>1</v>
      </c>
      <c r="F3001" s="168">
        <f t="shared" si="12"/>
        <v>0</v>
      </c>
      <c r="G3001" s="75"/>
      <c r="H3001" s="369"/>
    </row>
    <row r="3002" spans="1:8" ht="13.2">
      <c r="A3002" s="49"/>
      <c r="B3002" s="16" t="s">
        <v>1862</v>
      </c>
      <c r="C3002" s="143" t="e">
        <f>IFERROR(VLOOKUP(B3002,'Thống kê'!$C$3:$D$970,2, FALSE),VLOOKUP(B3002,'Thống kê v2 CC'!$A$3:$D$1005,3, FALSE))</f>
        <v>#N/A</v>
      </c>
      <c r="D3002" s="166" t="e">
        <f>VLOOKUP(B3002,'Thống kê'!$C$3:$M$970,4,0)</f>
        <v>#N/A</v>
      </c>
      <c r="E3002" s="167">
        <v>1</v>
      </c>
      <c r="F3002" s="168" t="e">
        <f t="shared" si="12"/>
        <v>#N/A</v>
      </c>
      <c r="G3002" s="75"/>
      <c r="H3002" s="369"/>
    </row>
    <row r="3003" spans="1:8" ht="13.2">
      <c r="A3003" s="49"/>
      <c r="B3003" s="16" t="s">
        <v>1370</v>
      </c>
      <c r="C3003" s="143" t="str">
        <f>IFERROR(VLOOKUP(B3003,'Thống kê'!$C$3:$D$970,2, FALSE),VLOOKUP(B3003,'Thống kê v2 CC'!$A$3:$D$1005,3, FALSE))</f>
        <v>Móc khóa Popbean</v>
      </c>
      <c r="D3003" s="166">
        <f>VLOOKUP(B3003,'Thống kê'!$C$3:$M$970,4,0)</f>
        <v>148000</v>
      </c>
      <c r="E3003" s="167">
        <v>1</v>
      </c>
      <c r="F3003" s="168">
        <f t="shared" si="12"/>
        <v>148000</v>
      </c>
      <c r="G3003" s="75"/>
      <c r="H3003" s="369"/>
    </row>
    <row r="3004" spans="1:8" ht="13.2">
      <c r="A3004" s="49"/>
      <c r="B3004" s="16" t="s">
        <v>1384</v>
      </c>
      <c r="C3004" s="143" t="str">
        <f>IFERROR(VLOOKUP(B3004,'Thống kê'!$C$3:$D$970,2, FALSE),VLOOKUP(B3004,'Thống kê v2 CC'!$A$3:$D$1005,3, FALSE))</f>
        <v>Móc khoá Crybaby mini Popmart</v>
      </c>
      <c r="D3004" s="166">
        <f>VLOOKUP(B3004,'Thống kê'!$C$3:$M$970,4,0)</f>
        <v>0</v>
      </c>
      <c r="E3004" s="167">
        <v>1</v>
      </c>
      <c r="F3004" s="168">
        <f t="shared" si="12"/>
        <v>0</v>
      </c>
      <c r="G3004" s="75"/>
      <c r="H3004" s="369"/>
    </row>
    <row r="3005" spans="1:8" ht="13.2">
      <c r="A3005" s="49"/>
      <c r="B3005" s="16" t="s">
        <v>1424</v>
      </c>
      <c r="C3005" s="143" t="str">
        <f>IFERROR(VLOOKUP(B3005,'Thống kê'!$C$3:$D$970,2, FALSE),VLOOKUP(B3005,'Thống kê v2 CC'!$A$3:$D$1005,3, FALSE))</f>
        <v>Móc khoá Crybaby mini Popmart</v>
      </c>
      <c r="D3005" s="166">
        <f>VLOOKUP(B3005,'Thống kê'!$C$3:$M$970,4,0)</f>
        <v>145000</v>
      </c>
      <c r="E3005" s="167">
        <v>1</v>
      </c>
      <c r="F3005" s="168">
        <f t="shared" si="12"/>
        <v>145000</v>
      </c>
      <c r="G3005" s="75"/>
      <c r="H3005" s="369"/>
    </row>
    <row r="3006" spans="1:8" ht="13.2">
      <c r="A3006" s="49"/>
      <c r="B3006" s="16" t="s">
        <v>196</v>
      </c>
      <c r="C3006" s="143">
        <f>IFERROR(VLOOKUP(B3006,'Thống kê'!$C$3:$D$970,2, FALSE),VLOOKUP(B3006,'Thống kê v2 CC'!$A$3:$D$1005,3, FALSE))</f>
        <v>0</v>
      </c>
      <c r="D3006" s="166">
        <f>VLOOKUP(B3006,'Thống kê'!$C$3:$M$970,4,0)</f>
        <v>0</v>
      </c>
      <c r="E3006" s="167">
        <v>1</v>
      </c>
      <c r="F3006" s="168">
        <f t="shared" si="12"/>
        <v>0</v>
      </c>
      <c r="G3006" s="75"/>
      <c r="H3006" s="407">
        <v>184212</v>
      </c>
    </row>
    <row r="3007" spans="1:8" ht="13.2">
      <c r="A3007" s="49"/>
      <c r="B3007" s="16" t="s">
        <v>1499</v>
      </c>
      <c r="C3007" s="143">
        <f>IFERROR(VLOOKUP(B3007,'Thống kê'!$C$3:$D$970,2, FALSE),VLOOKUP(B3007,'Thống kê v2 CC'!$A$3:$D$1005,3, FALSE))</f>
        <v>0</v>
      </c>
      <c r="D3007" s="166">
        <f>VLOOKUP(B3007,'Thống kê'!$C$3:$M$970,4,0)</f>
        <v>0</v>
      </c>
      <c r="E3007" s="167">
        <v>1</v>
      </c>
      <c r="F3007" s="168">
        <f t="shared" si="12"/>
        <v>0</v>
      </c>
      <c r="G3007" s="75"/>
      <c r="H3007" s="369"/>
    </row>
    <row r="3008" spans="1:8" ht="13.2">
      <c r="A3008" s="49"/>
      <c r="B3008" s="16" t="s">
        <v>1382</v>
      </c>
      <c r="C3008" s="143" t="str">
        <f>IFERROR(VLOOKUP(B3008,'Thống kê'!$C$3:$D$970,2, FALSE),VLOOKUP(B3008,'Thống kê v2 CC'!$A$3:$D$1005,3, FALSE))</f>
        <v>miếng dán silicon điện thoại</v>
      </c>
      <c r="D3008" s="166">
        <f>VLOOKUP(B3008,'Thống kê'!$C$3:$M$970,4,0)</f>
        <v>0</v>
      </c>
      <c r="E3008" s="167">
        <v>1</v>
      </c>
      <c r="F3008" s="168">
        <f t="shared" si="12"/>
        <v>0</v>
      </c>
      <c r="G3008" s="75"/>
      <c r="H3008" s="369"/>
    </row>
    <row r="3009" spans="1:8" ht="13.2">
      <c r="A3009" s="49"/>
      <c r="B3009" s="16" t="s">
        <v>1817</v>
      </c>
      <c r="C3009" s="143" t="str">
        <f>IFERROR(VLOOKUP(B3009,'Thống kê'!$C$3:$D$970,2, FALSE),VLOOKUP(B3009,'Thống kê v2 CC'!$A$3:$D$1005,3, FALSE))</f>
        <v>Túi Đựng Mắt Kính Da Pu</v>
      </c>
      <c r="D3009" s="166">
        <f>VLOOKUP(B3009,'Thống kê'!$C$3:$M$970,4,0)</f>
        <v>0</v>
      </c>
      <c r="E3009" s="167">
        <v>1</v>
      </c>
      <c r="F3009" s="168">
        <f t="shared" si="12"/>
        <v>0</v>
      </c>
      <c r="G3009" s="75"/>
      <c r="H3009" s="205">
        <v>20500</v>
      </c>
    </row>
    <row r="3010" spans="1:8" ht="13.2">
      <c r="A3010" s="49"/>
      <c r="B3010" s="16" t="s">
        <v>1599</v>
      </c>
      <c r="C3010" s="143" t="str">
        <f>IFERROR(VLOOKUP(B3010,'Thống kê'!$C$3:$D$970,2, FALSE),VLOOKUP(B3010,'Thống kê v2 CC'!$A$3:$D$1005,3, FALSE))</f>
        <v>Dao rọc giấy 14</v>
      </c>
      <c r="D3010" s="166">
        <f>VLOOKUP(B3010,'Thống kê'!$C$3:$M$970,4,0)</f>
        <v>12000</v>
      </c>
      <c r="E3010" s="167">
        <v>1</v>
      </c>
      <c r="F3010" s="168">
        <f t="shared" si="12"/>
        <v>12000</v>
      </c>
      <c r="G3010" s="75"/>
      <c r="H3010" s="205">
        <v>80885</v>
      </c>
    </row>
    <row r="3011" spans="1:8" ht="13.2">
      <c r="A3011" s="49"/>
      <c r="B3011" s="16" t="s">
        <v>1832</v>
      </c>
      <c r="C3011" s="143" t="str">
        <f>IFERROR(VLOOKUP(B3011,'Thống kê'!$C$3:$D$970,2, FALSE),VLOOKUP(B3011,'Thống kê v2 CC'!$A$3:$D$1005,3, FALSE))</f>
        <v>Ống 10 dây cột tóc đen</v>
      </c>
      <c r="D3011" s="166">
        <f>VLOOKUP(B3011,'Thống kê'!$C$3:$M$970,4,0)</f>
        <v>30000</v>
      </c>
      <c r="E3011" s="167">
        <v>1</v>
      </c>
      <c r="F3011" s="168">
        <f t="shared" si="12"/>
        <v>30000</v>
      </c>
      <c r="G3011" s="75"/>
      <c r="H3011" s="205"/>
    </row>
    <row r="3012" spans="1:8" ht="13.2">
      <c r="A3012" s="49"/>
      <c r="B3012" s="16" t="s">
        <v>1836</v>
      </c>
      <c r="C3012" s="143" t="str">
        <f>IFERROR(VLOOKUP(B3012,'Thống kê'!$C$3:$D$970,2, FALSE),VLOOKUP(B3012,'Thống kê v2 CC'!$A$3:$D$1005,3, FALSE))</f>
        <v>Túi Đựng Mắt Kính Da Pu</v>
      </c>
      <c r="D3012" s="166">
        <f>VLOOKUP(B3012,'Thống kê'!$C$3:$M$970,4,0)</f>
        <v>0</v>
      </c>
      <c r="E3012" s="167">
        <v>1</v>
      </c>
      <c r="F3012" s="168">
        <f t="shared" si="12"/>
        <v>0</v>
      </c>
      <c r="G3012" s="75"/>
      <c r="H3012" s="205"/>
    </row>
    <row r="3013" spans="1:8" ht="13.2">
      <c r="A3013" s="49"/>
      <c r="B3013" s="16" t="s">
        <v>1845</v>
      </c>
      <c r="C3013" s="143" t="str">
        <f>IFERROR(VLOOKUP(B3013,'Thống kê'!$C$3:$D$970,2, FALSE),VLOOKUP(B3013,'Thống kê v2 CC'!$A$3:$D$1005,3, FALSE))</f>
        <v>Túi Đựng Mắt Kính Da Pu</v>
      </c>
      <c r="D3013" s="166">
        <f>VLOOKUP(B3013,'Thống kê'!$C$3:$M$970,4,0)</f>
        <v>0</v>
      </c>
      <c r="E3013" s="167">
        <v>1</v>
      </c>
      <c r="F3013" s="168">
        <f t="shared" si="12"/>
        <v>0</v>
      </c>
      <c r="G3013" s="75"/>
      <c r="H3013" s="205"/>
    </row>
    <row r="3014" spans="1:8" ht="13.2">
      <c r="A3014" s="49"/>
      <c r="B3014" s="16" t="s">
        <v>1834</v>
      </c>
      <c r="C3014" s="143" t="str">
        <f>IFERROR(VLOOKUP(B3014,'Thống kê'!$C$3:$D$970,2, FALSE),VLOOKUP(B3014,'Thống kê v2 CC'!$A$3:$D$1005,3, FALSE))</f>
        <v>Túi Đựng Mắt Kính Da Pu</v>
      </c>
      <c r="D3014" s="166">
        <f>VLOOKUP(B3014,'Thống kê'!$C$3:$M$970,4,0)</f>
        <v>0</v>
      </c>
      <c r="E3014" s="167">
        <v>1</v>
      </c>
      <c r="F3014" s="168">
        <f t="shared" si="12"/>
        <v>0</v>
      </c>
      <c r="G3014" s="75"/>
      <c r="H3014" s="205"/>
    </row>
    <row r="3015" spans="1:8" ht="13.2">
      <c r="A3015" s="49"/>
      <c r="B3015" s="16" t="s">
        <v>1853</v>
      </c>
      <c r="C3015" s="143" t="str">
        <f>IFERROR(VLOOKUP(B3015,'Thống kê'!$C$3:$D$970,2, FALSE),VLOOKUP(B3015,'Thống kê v2 CC'!$A$3:$D$1005,3, FALSE))</f>
        <v>Túi Đựng Mắt Kính Da Pu</v>
      </c>
      <c r="D3015" s="166">
        <f>VLOOKUP(B3015,'Thống kê'!$C$3:$M$970,4,0)</f>
        <v>0</v>
      </c>
      <c r="E3015" s="167">
        <v>1</v>
      </c>
      <c r="F3015" s="168">
        <f t="shared" si="12"/>
        <v>0</v>
      </c>
      <c r="G3015" s="75"/>
      <c r="H3015" s="205"/>
    </row>
    <row r="3016" spans="1:8" ht="13.2">
      <c r="A3016" s="49"/>
      <c r="B3016" s="16" t="s">
        <v>267</v>
      </c>
      <c r="C3016" s="143">
        <f>IFERROR(VLOOKUP(B3016,'Thống kê'!$C$3:$D$970,2, FALSE),VLOOKUP(B3016,'Thống kê v2 CC'!$A$3:$D$1005,3, FALSE))</f>
        <v>0</v>
      </c>
      <c r="D3016" s="166">
        <f>VLOOKUP(B3016,'Thống kê'!$C$3:$M$970,4,0)</f>
        <v>0</v>
      </c>
      <c r="E3016" s="167">
        <v>1</v>
      </c>
      <c r="F3016" s="168">
        <f t="shared" si="12"/>
        <v>0</v>
      </c>
      <c r="G3016" s="75"/>
      <c r="H3016" s="407">
        <v>127820</v>
      </c>
    </row>
    <row r="3017" spans="1:8" ht="13.2">
      <c r="A3017" s="49"/>
      <c r="B3017" s="16" t="s">
        <v>1382</v>
      </c>
      <c r="C3017" s="143" t="str">
        <f>IFERROR(VLOOKUP(B3017,'Thống kê'!$C$3:$D$970,2, FALSE),VLOOKUP(B3017,'Thống kê v2 CC'!$A$3:$D$1005,3, FALSE))</f>
        <v>miếng dán silicon điện thoại</v>
      </c>
      <c r="D3017" s="166">
        <f>VLOOKUP(B3017,'Thống kê'!$C$3:$M$970,4,0)</f>
        <v>0</v>
      </c>
      <c r="E3017" s="167">
        <v>1</v>
      </c>
      <c r="F3017" s="168">
        <f t="shared" si="12"/>
        <v>0</v>
      </c>
      <c r="G3017" s="75"/>
      <c r="H3017" s="369"/>
    </row>
    <row r="3018" spans="1:8" ht="13.2">
      <c r="A3018" s="49"/>
      <c r="B3018" s="16" t="s">
        <v>1717</v>
      </c>
      <c r="C3018" s="143" t="str">
        <f>IFERROR(VLOOKUP(B3018,'Thống kê'!$C$3:$D$970,2, FALSE),VLOOKUP(B3018,'Thống kê v2 CC'!$A$3:$D$1005,3, FALSE))</f>
        <v>Pop Bean Baked Bread</v>
      </c>
      <c r="D3018" s="166">
        <f>VLOOKUP(B3018,'Thống kê'!$C$3:$M$970,4,0)</f>
        <v>167000</v>
      </c>
      <c r="E3018" s="167">
        <v>1</v>
      </c>
      <c r="F3018" s="168">
        <f t="shared" si="12"/>
        <v>167000</v>
      </c>
      <c r="G3018" s="75"/>
      <c r="H3018" s="407">
        <v>124500</v>
      </c>
    </row>
    <row r="3019" spans="1:8" ht="13.2">
      <c r="A3019" s="49"/>
      <c r="B3019" s="16" t="s">
        <v>1382</v>
      </c>
      <c r="C3019" s="143" t="str">
        <f>IFERROR(VLOOKUP(B3019,'Thống kê'!$C$3:$D$970,2, FALSE),VLOOKUP(B3019,'Thống kê v2 CC'!$A$3:$D$1005,3, FALSE))</f>
        <v>miếng dán silicon điện thoại</v>
      </c>
      <c r="D3019" s="166">
        <f>VLOOKUP(B3019,'Thống kê'!$C$3:$M$970,4,0)</f>
        <v>0</v>
      </c>
      <c r="E3019" s="167">
        <v>1</v>
      </c>
      <c r="F3019" s="168">
        <f t="shared" si="12"/>
        <v>0</v>
      </c>
      <c r="G3019" s="75"/>
      <c r="H3019" s="369"/>
    </row>
    <row r="3020" spans="1:8" ht="13.2">
      <c r="A3020" s="49"/>
      <c r="B3020" s="16" t="s">
        <v>126</v>
      </c>
      <c r="C3020" s="143">
        <f>IFERROR(VLOOKUP(B3020,'Thống kê'!$C$3:$D$970,2, FALSE),VLOOKUP(B3020,'Thống kê v2 CC'!$A$3:$D$1005,3, FALSE))</f>
        <v>0</v>
      </c>
      <c r="D3020" s="166">
        <f>VLOOKUP(B3020,'Thống kê'!$C$3:$M$970,4,0)</f>
        <v>0</v>
      </c>
      <c r="E3020" s="167">
        <v>1</v>
      </c>
      <c r="F3020" s="168">
        <f t="shared" si="12"/>
        <v>0</v>
      </c>
      <c r="G3020" s="75"/>
      <c r="H3020" s="205"/>
    </row>
    <row r="3021" spans="1:8" ht="13.2">
      <c r="A3021" s="49"/>
      <c r="B3021" s="16" t="s">
        <v>1382</v>
      </c>
      <c r="C3021" s="143" t="str">
        <f>IFERROR(VLOOKUP(B3021,'Thống kê'!$C$3:$D$970,2, FALSE),VLOOKUP(B3021,'Thống kê v2 CC'!$A$3:$D$1005,3, FALSE))</f>
        <v>miếng dán silicon điện thoại</v>
      </c>
      <c r="D3021" s="166">
        <f>VLOOKUP(B3021,'Thống kê'!$C$3:$M$970,4,0)</f>
        <v>0</v>
      </c>
      <c r="E3021" s="167">
        <v>1</v>
      </c>
      <c r="F3021" s="168">
        <f t="shared" si="12"/>
        <v>0</v>
      </c>
      <c r="G3021" s="75"/>
      <c r="H3021" s="407">
        <v>120436</v>
      </c>
    </row>
    <row r="3022" spans="1:8" ht="13.2">
      <c r="A3022" s="49"/>
      <c r="B3022" s="16" t="s">
        <v>126</v>
      </c>
      <c r="C3022" s="143">
        <f>IFERROR(VLOOKUP(B3022,'Thống kê'!$C$3:$D$970,2, FALSE),VLOOKUP(B3022,'Thống kê v2 CC'!$A$3:$D$1005,3, FALSE))</f>
        <v>0</v>
      </c>
      <c r="D3022" s="166">
        <f>VLOOKUP(B3022,'Thống kê'!$C$3:$M$970,4,0)</f>
        <v>0</v>
      </c>
      <c r="E3022" s="167">
        <v>1</v>
      </c>
      <c r="F3022" s="168">
        <f t="shared" si="12"/>
        <v>0</v>
      </c>
      <c r="G3022" s="75"/>
      <c r="H3022" s="369"/>
    </row>
    <row r="3023" spans="1:8" ht="13.2">
      <c r="A3023" s="49"/>
      <c r="B3023" s="16" t="s">
        <v>126</v>
      </c>
      <c r="C3023" s="143">
        <f>IFERROR(VLOOKUP(B3023,'Thống kê'!$C$3:$D$970,2, FALSE),VLOOKUP(B3023,'Thống kê v2 CC'!$A$3:$D$1005,3, FALSE))</f>
        <v>0</v>
      </c>
      <c r="D3023" s="166">
        <f>VLOOKUP(B3023,'Thống kê'!$C$3:$M$970,4,0)</f>
        <v>0</v>
      </c>
      <c r="E3023" s="167">
        <v>1</v>
      </c>
      <c r="F3023" s="168">
        <f t="shared" si="12"/>
        <v>0</v>
      </c>
      <c r="G3023" s="75"/>
      <c r="H3023" s="407">
        <v>61861</v>
      </c>
    </row>
    <row r="3024" spans="1:8" ht="13.2">
      <c r="A3024" s="49"/>
      <c r="B3024" s="16" t="s">
        <v>1382</v>
      </c>
      <c r="C3024" s="143" t="str">
        <f>IFERROR(VLOOKUP(B3024,'Thống kê'!$C$3:$D$970,2, FALSE),VLOOKUP(B3024,'Thống kê v2 CC'!$A$3:$D$1005,3, FALSE))</f>
        <v>miếng dán silicon điện thoại</v>
      </c>
      <c r="D3024" s="166">
        <f>VLOOKUP(B3024,'Thống kê'!$C$3:$M$970,4,0)</f>
        <v>0</v>
      </c>
      <c r="E3024" s="167">
        <v>1</v>
      </c>
      <c r="F3024" s="168">
        <f t="shared" si="12"/>
        <v>0</v>
      </c>
      <c r="G3024" s="75"/>
      <c r="H3024" s="369"/>
    </row>
    <row r="3025" spans="1:8" ht="13.2">
      <c r="A3025" s="64"/>
      <c r="B3025" s="16" t="s">
        <v>77</v>
      </c>
      <c r="C3025" s="143">
        <f>IFERROR(VLOOKUP(B3025,'Thống kê'!$C$3:$D$970,2, FALSE),VLOOKUP(B3025,'Thống kê v2 CC'!$A$3:$D$1005,3, FALSE))</f>
        <v>0</v>
      </c>
      <c r="D3025" s="166">
        <f>VLOOKUP(B3025,'Thống kê'!$C$3:$M$970,4,0)</f>
        <v>0</v>
      </c>
      <c r="E3025" s="167">
        <v>1</v>
      </c>
      <c r="F3025" s="168">
        <f t="shared" si="12"/>
        <v>0</v>
      </c>
      <c r="G3025" s="75"/>
      <c r="H3025" s="205">
        <v>100040</v>
      </c>
    </row>
    <row r="3026" spans="1:8" ht="13.2">
      <c r="A3026" s="49"/>
      <c r="B3026" s="16" t="s">
        <v>1841</v>
      </c>
      <c r="C3026" s="143" t="str">
        <f>IFERROR(VLOOKUP(B3026,'Thống kê'!$C$3:$D$970,2, FALSE),VLOOKUP(B3026,'Thống kê v2 CC'!$A$3:$D$1005,3, FALSE))</f>
        <v>Túi Đựng Mắt Kính Da Pu</v>
      </c>
      <c r="D3026" s="166">
        <f>VLOOKUP(B3026,'Thống kê'!$C$3:$M$970,4,0)</f>
        <v>0</v>
      </c>
      <c r="E3026" s="167">
        <v>1</v>
      </c>
      <c r="F3026" s="168">
        <f t="shared" si="12"/>
        <v>0</v>
      </c>
      <c r="G3026" s="75"/>
      <c r="H3026" s="205">
        <v>20500</v>
      </c>
    </row>
    <row r="3027" spans="1:8" ht="13.2">
      <c r="A3027" s="49"/>
      <c r="B3027" s="16" t="s">
        <v>96</v>
      </c>
      <c r="C3027" s="143">
        <f>IFERROR(VLOOKUP(B3027,'Thống kê'!$C$3:$D$970,2, FALSE),VLOOKUP(B3027,'Thống kê v2 CC'!$A$3:$D$1005,3, FALSE))</f>
        <v>0</v>
      </c>
      <c r="D3027" s="166">
        <f>VLOOKUP(B3027,'Thống kê'!$C$3:$M$970,4,0)</f>
        <v>0</v>
      </c>
      <c r="E3027" s="167">
        <v>1</v>
      </c>
      <c r="F3027" s="168">
        <f t="shared" si="12"/>
        <v>0</v>
      </c>
      <c r="G3027" s="75"/>
      <c r="H3027" s="205">
        <v>61861</v>
      </c>
    </row>
    <row r="3028" spans="1:8" ht="13.2">
      <c r="A3028" s="49"/>
      <c r="B3028" s="16" t="s">
        <v>1382</v>
      </c>
      <c r="C3028" s="143" t="str">
        <f>IFERROR(VLOOKUP(B3028,'Thống kê'!$C$3:$D$970,2, FALSE),VLOOKUP(B3028,'Thống kê v2 CC'!$A$3:$D$1005,3, FALSE))</f>
        <v>miếng dán silicon điện thoại</v>
      </c>
      <c r="D3028" s="166">
        <f>VLOOKUP(B3028,'Thống kê'!$C$3:$M$970,4,0)</f>
        <v>0</v>
      </c>
      <c r="E3028" s="167">
        <v>2</v>
      </c>
      <c r="F3028" s="168">
        <f t="shared" si="12"/>
        <v>0</v>
      </c>
      <c r="G3028" s="75"/>
      <c r="H3028" s="407">
        <v>45780</v>
      </c>
    </row>
    <row r="3029" spans="1:8" ht="13.2">
      <c r="A3029" s="49"/>
      <c r="B3029" s="16" t="s">
        <v>1841</v>
      </c>
      <c r="C3029" s="143" t="str">
        <f>IFERROR(VLOOKUP(B3029,'Thống kê'!$C$3:$D$970,2, FALSE),VLOOKUP(B3029,'Thống kê v2 CC'!$A$3:$D$1005,3, FALSE))</f>
        <v>Túi Đựng Mắt Kính Da Pu</v>
      </c>
      <c r="D3029" s="166">
        <f>VLOOKUP(B3029,'Thống kê'!$C$3:$M$970,4,0)</f>
        <v>0</v>
      </c>
      <c r="E3029" s="167">
        <v>2</v>
      </c>
      <c r="F3029" s="168">
        <f t="shared" si="12"/>
        <v>0</v>
      </c>
      <c r="G3029" s="75"/>
      <c r="H3029" s="369"/>
    </row>
    <row r="3030" spans="1:8" ht="13.2">
      <c r="A3030" s="49"/>
      <c r="B3030" s="16" t="s">
        <v>1634</v>
      </c>
      <c r="C3030" s="143" t="str">
        <f>IFERROR(VLOOKUP(B3030,'Thống kê'!$C$3:$D$970,2, FALSE),VLOOKUP(B3030,'Thống kê v2 CC'!$A$3:$D$1005,3, FALSE))</f>
        <v>Móc khóa mèo đen cá</v>
      </c>
      <c r="D3030" s="166">
        <f>VLOOKUP(B3030,'Thống kê'!$C$3:$M$970,4,0)</f>
        <v>59000</v>
      </c>
      <c r="E3030" s="167">
        <v>1</v>
      </c>
      <c r="F3030" s="168">
        <f t="shared" si="12"/>
        <v>59000</v>
      </c>
      <c r="G3030" s="75"/>
      <c r="H3030" s="205">
        <v>45996</v>
      </c>
    </row>
    <row r="3031" spans="1:8" ht="13.2">
      <c r="A3031" s="49"/>
      <c r="B3031" s="16" t="s">
        <v>1862</v>
      </c>
      <c r="C3031" s="143" t="e">
        <f>IFERROR(VLOOKUP(B3031,'Thống kê'!$C$3:$D$970,2, FALSE),VLOOKUP(B3031,'Thống kê v2 CC'!$A$3:$D$1005,3, FALSE))</f>
        <v>#N/A</v>
      </c>
      <c r="D3031" s="166" t="e">
        <f>VLOOKUP(B3031,'Thống kê'!$C$3:$M$970,4,0)</f>
        <v>#N/A</v>
      </c>
      <c r="E3031" s="167">
        <v>1</v>
      </c>
      <c r="F3031" s="168" t="e">
        <f t="shared" si="12"/>
        <v>#N/A</v>
      </c>
      <c r="G3031" s="75"/>
      <c r="H3031" s="205">
        <v>86100</v>
      </c>
    </row>
    <row r="3032" spans="1:8" ht="13.2">
      <c r="A3032" s="49"/>
      <c r="B3032" s="16" t="s">
        <v>1573</v>
      </c>
      <c r="C3032" s="143">
        <f>IFERROR(VLOOKUP(B3032,'Thống kê'!$C$3:$D$970,2, FALSE),VLOOKUP(B3032,'Thống kê v2 CC'!$A$3:$D$1005,3, FALSE))</f>
        <v>0</v>
      </c>
      <c r="D3032" s="166">
        <f>VLOOKUP(B3032,'Thống kê'!$C$3:$M$970,4,0)</f>
        <v>0</v>
      </c>
      <c r="E3032" s="167">
        <v>1</v>
      </c>
      <c r="F3032" s="168">
        <f t="shared" si="12"/>
        <v>0</v>
      </c>
      <c r="G3032" s="75"/>
      <c r="H3032" s="205"/>
    </row>
    <row r="3033" spans="1:8" ht="13.2">
      <c r="A3033" s="49"/>
      <c r="B3033" s="16" t="s">
        <v>93</v>
      </c>
      <c r="C3033" s="143">
        <f>IFERROR(VLOOKUP(B3033,'Thống kê'!$C$3:$D$970,2, FALSE),VLOOKUP(B3033,'Thống kê v2 CC'!$A$3:$D$1005,3, FALSE))</f>
        <v>0</v>
      </c>
      <c r="D3033" s="166">
        <f>VLOOKUP(B3033,'Thống kê'!$C$3:$M$970,4,0)</f>
        <v>0</v>
      </c>
      <c r="E3033" s="167">
        <v>1</v>
      </c>
      <c r="F3033" s="168">
        <f t="shared" si="12"/>
        <v>0</v>
      </c>
      <c r="G3033" s="75"/>
      <c r="H3033" s="205">
        <v>106600</v>
      </c>
    </row>
    <row r="3034" spans="1:8" ht="13.2">
      <c r="A3034" s="49"/>
      <c r="B3034" s="16" t="s">
        <v>199</v>
      </c>
      <c r="C3034" s="143">
        <f>IFERROR(VLOOKUP(B3034,'Thống kê'!$C$3:$D$970,2, FALSE),VLOOKUP(B3034,'Thống kê v2 CC'!$A$3:$D$1005,3, FALSE))</f>
        <v>0</v>
      </c>
      <c r="D3034" s="166">
        <f>VLOOKUP(B3034,'Thống kê'!$C$3:$M$970,4,0)</f>
        <v>0</v>
      </c>
      <c r="E3034" s="167">
        <v>1</v>
      </c>
      <c r="F3034" s="168">
        <f t="shared" si="12"/>
        <v>0</v>
      </c>
      <c r="G3034" s="75"/>
      <c r="H3034" s="205"/>
    </row>
    <row r="3035" spans="1:8" ht="13.2">
      <c r="A3035" s="49"/>
      <c r="B3035" s="16" t="s">
        <v>1382</v>
      </c>
      <c r="C3035" s="143" t="str">
        <f>IFERROR(VLOOKUP(B3035,'Thống kê'!$C$3:$D$970,2, FALSE),VLOOKUP(B3035,'Thống kê v2 CC'!$A$3:$D$1005,3, FALSE))</f>
        <v>miếng dán silicon điện thoại</v>
      </c>
      <c r="D3035" s="166">
        <f>VLOOKUP(B3035,'Thống kê'!$C$3:$M$970,4,0)</f>
        <v>0</v>
      </c>
      <c r="E3035" s="167">
        <v>1</v>
      </c>
      <c r="F3035" s="168">
        <f t="shared" si="12"/>
        <v>0</v>
      </c>
      <c r="G3035" s="75"/>
      <c r="H3035" s="205"/>
    </row>
    <row r="3036" spans="1:8" ht="13.2">
      <c r="A3036" s="49"/>
      <c r="B3036" s="16" t="s">
        <v>77</v>
      </c>
      <c r="C3036" s="143">
        <f>IFERROR(VLOOKUP(B3036,'Thống kê'!$C$3:$D$970,2, FALSE),VLOOKUP(B3036,'Thống kê v2 CC'!$A$3:$D$1005,3, FALSE))</f>
        <v>0</v>
      </c>
      <c r="D3036" s="166">
        <f>VLOOKUP(B3036,'Thống kê'!$C$3:$M$970,4,0)</f>
        <v>0</v>
      </c>
      <c r="E3036" s="167">
        <v>1</v>
      </c>
      <c r="F3036" s="168">
        <f t="shared" si="12"/>
        <v>0</v>
      </c>
      <c r="G3036" s="75"/>
      <c r="H3036" s="407">
        <v>52054</v>
      </c>
    </row>
    <row r="3037" spans="1:8" ht="13.2">
      <c r="A3037" s="49"/>
      <c r="B3037" s="16" t="s">
        <v>1382</v>
      </c>
      <c r="C3037" s="143" t="str">
        <f>IFERROR(VLOOKUP(B3037,'Thống kê'!$C$3:$D$970,2, FALSE),VLOOKUP(B3037,'Thống kê v2 CC'!$A$3:$D$1005,3, FALSE))</f>
        <v>miếng dán silicon điện thoại</v>
      </c>
      <c r="D3037" s="166">
        <f>VLOOKUP(B3037,'Thống kê'!$C$3:$M$970,4,0)</f>
        <v>0</v>
      </c>
      <c r="E3037" s="167">
        <v>1</v>
      </c>
      <c r="F3037" s="168">
        <f t="shared" si="12"/>
        <v>0</v>
      </c>
      <c r="G3037" s="75"/>
      <c r="H3037" s="369"/>
    </row>
    <row r="3038" spans="1:8" ht="13.2">
      <c r="A3038" s="49"/>
      <c r="B3038" s="16" t="s">
        <v>196</v>
      </c>
      <c r="C3038" s="143">
        <f>IFERROR(VLOOKUP(B3038,'Thống kê'!$C$3:$D$970,2, FALSE),VLOOKUP(B3038,'Thống kê v2 CC'!$A$3:$D$1005,3, FALSE))</f>
        <v>0</v>
      </c>
      <c r="D3038" s="166">
        <f>VLOOKUP(B3038,'Thống kê'!$C$3:$M$970,4,0)</f>
        <v>0</v>
      </c>
      <c r="E3038" s="167">
        <v>1</v>
      </c>
      <c r="F3038" s="168">
        <f t="shared" si="12"/>
        <v>0</v>
      </c>
      <c r="G3038" s="75"/>
      <c r="H3038" s="407">
        <v>157440</v>
      </c>
    </row>
    <row r="3039" spans="1:8" ht="13.2">
      <c r="A3039" s="49"/>
      <c r="B3039" s="16" t="s">
        <v>323</v>
      </c>
      <c r="C3039" s="143">
        <f>IFERROR(VLOOKUP(B3039,'Thống kê'!$C$3:$D$970,2, FALSE),VLOOKUP(B3039,'Thống kê v2 CC'!$A$3:$D$1005,3, FALSE))</f>
        <v>0</v>
      </c>
      <c r="D3039" s="166">
        <f>VLOOKUP(B3039,'Thống kê'!$C$3:$M$970,4,0)</f>
        <v>0</v>
      </c>
      <c r="E3039" s="167">
        <v>1</v>
      </c>
      <c r="F3039" s="168">
        <f t="shared" si="12"/>
        <v>0</v>
      </c>
      <c r="G3039" s="75"/>
      <c r="H3039" s="369"/>
    </row>
    <row r="3040" spans="1:8" ht="13.2">
      <c r="A3040" s="49"/>
      <c r="B3040" s="16" t="s">
        <v>299</v>
      </c>
      <c r="C3040" s="143">
        <f>IFERROR(VLOOKUP(B3040,'Thống kê'!$C$3:$D$970,2, FALSE),VLOOKUP(B3040,'Thống kê v2 CC'!$A$3:$D$1005,3, FALSE))</f>
        <v>0</v>
      </c>
      <c r="D3040" s="166">
        <f>VLOOKUP(B3040,'Thống kê'!$C$3:$M$970,4,0)</f>
        <v>0</v>
      </c>
      <c r="E3040" s="167">
        <v>1</v>
      </c>
      <c r="F3040" s="168">
        <f t="shared" si="12"/>
        <v>0</v>
      </c>
      <c r="G3040" s="75"/>
      <c r="H3040" s="369"/>
    </row>
    <row r="3041" spans="1:8" ht="13.2">
      <c r="A3041" s="64"/>
      <c r="B3041" s="16" t="s">
        <v>118</v>
      </c>
      <c r="C3041" s="143">
        <f>IFERROR(VLOOKUP(B3041,'Thống kê'!$C$3:$D$970,2, FALSE),VLOOKUP(B3041,'Thống kê v2 CC'!$A$3:$D$1005,3, FALSE))</f>
        <v>0</v>
      </c>
      <c r="D3041" s="166">
        <f>VLOOKUP(B3041,'Thống kê'!$C$3:$M$970,4,0)</f>
        <v>0</v>
      </c>
      <c r="E3041" s="167">
        <v>1</v>
      </c>
      <c r="F3041" s="168">
        <f t="shared" si="12"/>
        <v>0</v>
      </c>
      <c r="G3041" s="75"/>
      <c r="H3041" s="407">
        <v>111520</v>
      </c>
    </row>
    <row r="3042" spans="1:8" ht="13.2">
      <c r="A3042" s="49"/>
      <c r="B3042" s="16" t="s">
        <v>191</v>
      </c>
      <c r="C3042" s="143">
        <f>IFERROR(VLOOKUP(B3042,'Thống kê'!$C$3:$D$970,2, FALSE),VLOOKUP(B3042,'Thống kê v2 CC'!$A$3:$D$1005,3, FALSE))</f>
        <v>0</v>
      </c>
      <c r="D3042" s="166">
        <f>VLOOKUP(B3042,'Thống kê'!$C$3:$M$970,4,0)</f>
        <v>0</v>
      </c>
      <c r="E3042" s="167">
        <v>1</v>
      </c>
      <c r="F3042" s="168">
        <f t="shared" si="12"/>
        <v>0</v>
      </c>
      <c r="G3042" s="75"/>
      <c r="H3042" s="369"/>
    </row>
    <row r="3043" spans="1:8" ht="13.2">
      <c r="A3043" s="49"/>
      <c r="B3043" s="16" t="s">
        <v>1382</v>
      </c>
      <c r="C3043" s="143" t="str">
        <f>IFERROR(VLOOKUP(B3043,'Thống kê'!$C$3:$D$970,2, FALSE),VLOOKUP(B3043,'Thống kê v2 CC'!$A$3:$D$1005,3, FALSE))</f>
        <v>miếng dán silicon điện thoại</v>
      </c>
      <c r="D3043" s="166">
        <f>VLOOKUP(B3043,'Thống kê'!$C$3:$M$970,4,0)</f>
        <v>0</v>
      </c>
      <c r="E3043" s="167">
        <v>1</v>
      </c>
      <c r="F3043" s="168">
        <f t="shared" si="12"/>
        <v>0</v>
      </c>
      <c r="G3043" s="75"/>
      <c r="H3043" s="369"/>
    </row>
    <row r="3044" spans="1:8" ht="13.2">
      <c r="A3044" s="49"/>
      <c r="B3044" s="16" t="s">
        <v>1531</v>
      </c>
      <c r="C3044" s="143">
        <f>IFERROR(VLOOKUP(B3044,'Thống kê'!$C$3:$D$970,2, FALSE),VLOOKUP(B3044,'Thống kê v2 CC'!$A$3:$D$1005,3, FALSE))</f>
        <v>0</v>
      </c>
      <c r="D3044" s="166">
        <f>VLOOKUP(B3044,'Thống kê'!$C$3:$M$970,4,0)</f>
        <v>0</v>
      </c>
      <c r="E3044" s="167">
        <v>1</v>
      </c>
      <c r="F3044" s="168">
        <f t="shared" si="12"/>
        <v>0</v>
      </c>
      <c r="G3044" s="75"/>
      <c r="H3044" s="407">
        <v>106600</v>
      </c>
    </row>
    <row r="3045" spans="1:8" ht="13.2">
      <c r="A3045" s="49"/>
      <c r="B3045" s="16" t="s">
        <v>299</v>
      </c>
      <c r="C3045" s="143">
        <f>IFERROR(VLOOKUP(B3045,'Thống kê'!$C$3:$D$970,2, FALSE),VLOOKUP(B3045,'Thống kê v2 CC'!$A$3:$D$1005,3, FALSE))</f>
        <v>0</v>
      </c>
      <c r="D3045" s="166">
        <f>VLOOKUP(B3045,'Thống kê'!$C$3:$M$970,4,0)</f>
        <v>0</v>
      </c>
      <c r="E3045" s="167">
        <v>1</v>
      </c>
      <c r="F3045" s="168">
        <f t="shared" si="12"/>
        <v>0</v>
      </c>
      <c r="G3045" s="75"/>
      <c r="H3045" s="369"/>
    </row>
    <row r="3046" spans="1:8" ht="13.2">
      <c r="A3046" s="49"/>
      <c r="B3046" s="16" t="s">
        <v>1382</v>
      </c>
      <c r="C3046" s="143" t="str">
        <f>IFERROR(VLOOKUP(B3046,'Thống kê'!$C$3:$D$970,2, FALSE),VLOOKUP(B3046,'Thống kê v2 CC'!$A$3:$D$1005,3, FALSE))</f>
        <v>miếng dán silicon điện thoại</v>
      </c>
      <c r="D3046" s="166">
        <f>VLOOKUP(B3046,'Thống kê'!$C$3:$M$970,4,0)</f>
        <v>0</v>
      </c>
      <c r="E3046" s="167">
        <v>1</v>
      </c>
      <c r="F3046" s="168">
        <f t="shared" si="12"/>
        <v>0</v>
      </c>
      <c r="G3046" s="75"/>
      <c r="H3046" s="369"/>
    </row>
    <row r="3047" spans="1:8" ht="13.2">
      <c r="A3047" s="49"/>
      <c r="B3047" s="16" t="s">
        <v>1836</v>
      </c>
      <c r="C3047" s="143" t="str">
        <f>IFERROR(VLOOKUP(B3047,'Thống kê'!$C$3:$D$970,2, FALSE),VLOOKUP(B3047,'Thống kê v2 CC'!$A$3:$D$1005,3, FALSE))</f>
        <v>Túi Đựng Mắt Kính Da Pu</v>
      </c>
      <c r="D3047" s="166">
        <f>VLOOKUP(B3047,'Thống kê'!$C$3:$M$970,4,0)</f>
        <v>0</v>
      </c>
      <c r="E3047" s="167">
        <v>1</v>
      </c>
      <c r="F3047" s="168">
        <f t="shared" si="12"/>
        <v>0</v>
      </c>
      <c r="G3047" s="75"/>
      <c r="H3047" s="407">
        <v>34440</v>
      </c>
    </row>
    <row r="3048" spans="1:8" ht="13.2">
      <c r="A3048" s="49"/>
      <c r="B3048" s="16" t="s">
        <v>1817</v>
      </c>
      <c r="C3048" s="143" t="str">
        <f>IFERROR(VLOOKUP(B3048,'Thống kê'!$C$3:$D$970,2, FALSE),VLOOKUP(B3048,'Thống kê v2 CC'!$A$3:$D$1005,3, FALSE))</f>
        <v>Túi Đựng Mắt Kính Da Pu</v>
      </c>
      <c r="D3048" s="166">
        <f>VLOOKUP(B3048,'Thống kê'!$C$3:$M$970,4,0)</f>
        <v>0</v>
      </c>
      <c r="E3048" s="167">
        <v>1</v>
      </c>
      <c r="F3048" s="168">
        <f t="shared" si="12"/>
        <v>0</v>
      </c>
      <c r="G3048" s="75"/>
      <c r="H3048" s="369"/>
    </row>
    <row r="3049" spans="1:8" ht="13.2">
      <c r="A3049" s="49"/>
      <c r="B3049" s="16" t="s">
        <v>1589</v>
      </c>
      <c r="C3049" s="143" t="str">
        <f>IFERROR(VLOOKUP(B3049,'Thống kê'!$C$3:$D$970,2, FALSE),VLOOKUP(B3049,'Thống kê v2 CC'!$A$3:$D$1005,3, FALSE))</f>
        <v>Heo ú bay</v>
      </c>
      <c r="D3049" s="166">
        <f>VLOOKUP(B3049,'Thống kê'!$C$3:$M$970,4,0)</f>
        <v>64500</v>
      </c>
      <c r="E3049" s="167">
        <v>1</v>
      </c>
      <c r="F3049" s="168">
        <f t="shared" si="12"/>
        <v>64500</v>
      </c>
      <c r="G3049" s="75"/>
      <c r="H3049" s="407">
        <v>150053</v>
      </c>
    </row>
    <row r="3050" spans="1:8" ht="13.2">
      <c r="A3050" s="64"/>
      <c r="B3050" s="16" t="s">
        <v>129</v>
      </c>
      <c r="C3050" s="143">
        <f>IFERROR(VLOOKUP(B3050,'Thống kê'!$C$3:$D$970,2, FALSE),VLOOKUP(B3050,'Thống kê v2 CC'!$A$3:$D$1005,3, FALSE))</f>
        <v>0</v>
      </c>
      <c r="D3050" s="166">
        <f>VLOOKUP(B3050,'Thống kê'!$C$3:$M$970,4,0)</f>
        <v>0</v>
      </c>
      <c r="E3050" s="167">
        <v>1</v>
      </c>
      <c r="F3050" s="168">
        <f t="shared" si="12"/>
        <v>0</v>
      </c>
      <c r="G3050" s="75"/>
      <c r="H3050" s="369"/>
    </row>
    <row r="3051" spans="1:8" ht="13.2">
      <c r="A3051" s="49"/>
      <c r="B3051" s="16" t="s">
        <v>1382</v>
      </c>
      <c r="C3051" s="143" t="str">
        <f>IFERROR(VLOOKUP(B3051,'Thống kê'!$C$3:$D$970,2, FALSE),VLOOKUP(B3051,'Thống kê v2 CC'!$A$3:$D$1005,3, FALSE))</f>
        <v>miếng dán silicon điện thoại</v>
      </c>
      <c r="D3051" s="166">
        <f>VLOOKUP(B3051,'Thống kê'!$C$3:$M$970,4,0)</f>
        <v>0</v>
      </c>
      <c r="E3051" s="167">
        <v>1</v>
      </c>
      <c r="F3051" s="168">
        <f t="shared" si="12"/>
        <v>0</v>
      </c>
      <c r="G3051" s="75"/>
      <c r="H3051" s="369"/>
    </row>
    <row r="3052" spans="1:8" ht="13.2">
      <c r="A3052" s="49"/>
      <c r="B3052" s="16" t="s">
        <v>1574</v>
      </c>
      <c r="C3052" s="143">
        <f>IFERROR(VLOOKUP(B3052,'Thống kê'!$C$3:$D$970,2, FALSE),VLOOKUP(B3052,'Thống kê v2 CC'!$A$3:$D$1005,3, FALSE))</f>
        <v>0</v>
      </c>
      <c r="D3052" s="166">
        <f>VLOOKUP(B3052,'Thống kê'!$C$3:$M$970,4,0)</f>
        <v>0</v>
      </c>
      <c r="E3052" s="167">
        <v>1</v>
      </c>
      <c r="F3052" s="168">
        <f t="shared" si="12"/>
        <v>0</v>
      </c>
      <c r="G3052" s="75"/>
      <c r="H3052" s="369"/>
    </row>
    <row r="3053" spans="1:8" ht="13.2">
      <c r="A3053" s="49"/>
      <c r="B3053" s="16" t="s">
        <v>1389</v>
      </c>
      <c r="C3053" s="143" t="str">
        <f>IFERROR(VLOOKUP(B3053,'Thống kê'!$C$3:$D$970,2, FALSE),VLOOKUP(B3053,'Thống kê v2 CC'!$A$3:$D$1005,3, FALSE))</f>
        <v>Móc khoá Crybaby mini Popmart</v>
      </c>
      <c r="D3053" s="166">
        <f>VLOOKUP(B3053,'Thống kê'!$C$3:$M$970,4,0)</f>
        <v>0</v>
      </c>
      <c r="E3053" s="167">
        <v>1</v>
      </c>
      <c r="F3053" s="168">
        <f t="shared" si="12"/>
        <v>0</v>
      </c>
      <c r="G3053" s="75"/>
      <c r="H3053" s="407">
        <v>134480</v>
      </c>
    </row>
    <row r="3054" spans="1:8" ht="13.2">
      <c r="A3054" s="64">
        <v>45793</v>
      </c>
      <c r="B3054" s="16" t="s">
        <v>192</v>
      </c>
      <c r="C3054" s="143">
        <f>IFERROR(VLOOKUP(B3054,'Thống kê'!$C$3:$D$970,2, FALSE),VLOOKUP(B3054,'Thống kê v2 CC'!$A$3:$D$1005,3, FALSE))</f>
        <v>0</v>
      </c>
      <c r="D3054" s="166">
        <f>VLOOKUP(B3054,'Thống kê'!$C$3:$M$970,4,0)</f>
        <v>0</v>
      </c>
      <c r="E3054" s="167">
        <v>1</v>
      </c>
      <c r="F3054" s="168">
        <f t="shared" si="12"/>
        <v>0</v>
      </c>
      <c r="G3054" s="75"/>
      <c r="H3054" s="369"/>
    </row>
    <row r="3055" spans="1:8" ht="13.2">
      <c r="A3055" s="49"/>
      <c r="B3055" s="16" t="s">
        <v>299</v>
      </c>
      <c r="C3055" s="143">
        <f>IFERROR(VLOOKUP(B3055,'Thống kê'!$C$3:$D$970,2, FALSE),VLOOKUP(B3055,'Thống kê v2 CC'!$A$3:$D$1005,3, FALSE))</f>
        <v>0</v>
      </c>
      <c r="D3055" s="166">
        <f>VLOOKUP(B3055,'Thống kê'!$C$3:$M$970,4,0)</f>
        <v>0</v>
      </c>
      <c r="E3055" s="167">
        <v>1</v>
      </c>
      <c r="F3055" s="168">
        <f t="shared" si="12"/>
        <v>0</v>
      </c>
      <c r="G3055" s="75"/>
      <c r="H3055" s="407">
        <v>96760</v>
      </c>
    </row>
    <row r="3056" spans="1:8" ht="13.2">
      <c r="A3056" s="49"/>
      <c r="B3056" s="16" t="s">
        <v>199</v>
      </c>
      <c r="C3056" s="143">
        <f>IFERROR(VLOOKUP(B3056,'Thống kê'!$C$3:$D$970,2, FALSE),VLOOKUP(B3056,'Thống kê v2 CC'!$A$3:$D$1005,3, FALSE))</f>
        <v>0</v>
      </c>
      <c r="D3056" s="166">
        <f>VLOOKUP(B3056,'Thống kê'!$C$3:$M$970,4,0)</f>
        <v>0</v>
      </c>
      <c r="E3056" s="167">
        <v>1</v>
      </c>
      <c r="F3056" s="168">
        <f t="shared" si="12"/>
        <v>0</v>
      </c>
      <c r="G3056" s="75"/>
      <c r="H3056" s="369"/>
    </row>
    <row r="3057" spans="1:8" ht="13.2">
      <c r="A3057" s="49"/>
      <c r="B3057" s="16" t="s">
        <v>1762</v>
      </c>
      <c r="C3057" s="143">
        <f>IFERROR(VLOOKUP(B3057,'Thống kê'!$C$3:$D$970,2, FALSE),VLOOKUP(B3057,'Thống kê v2 CC'!$A$3:$D$1005,3, FALSE))</f>
        <v>0</v>
      </c>
      <c r="D3057" s="166">
        <f>VLOOKUP(B3057,'Thống kê'!$C$3:$M$970,4,0)</f>
        <v>0</v>
      </c>
      <c r="E3057" s="167">
        <v>1</v>
      </c>
      <c r="F3057" s="168">
        <f t="shared" si="12"/>
        <v>0</v>
      </c>
      <c r="G3057" s="75"/>
      <c r="H3057" s="205">
        <v>69988</v>
      </c>
    </row>
    <row r="3058" spans="1:8" ht="13.2">
      <c r="A3058" s="49"/>
      <c r="B3058" s="16" t="s">
        <v>118</v>
      </c>
      <c r="C3058" s="143">
        <f>IFERROR(VLOOKUP(B3058,'Thống kê'!$C$3:$D$970,2, FALSE),VLOOKUP(B3058,'Thống kê v2 CC'!$A$3:$D$1005,3, FALSE))</f>
        <v>0</v>
      </c>
      <c r="D3058" s="166">
        <f>VLOOKUP(B3058,'Thống kê'!$C$3:$M$970,4,0)</f>
        <v>0</v>
      </c>
      <c r="E3058" s="167">
        <v>1</v>
      </c>
      <c r="F3058" s="168">
        <f t="shared" si="12"/>
        <v>0</v>
      </c>
      <c r="G3058" s="75"/>
      <c r="H3058" s="407">
        <v>111520</v>
      </c>
    </row>
    <row r="3059" spans="1:8" ht="13.2">
      <c r="A3059" s="49"/>
      <c r="B3059" s="16" t="s">
        <v>191</v>
      </c>
      <c r="C3059" s="143">
        <f>IFERROR(VLOOKUP(B3059,'Thống kê'!$C$3:$D$970,2, FALSE),VLOOKUP(B3059,'Thống kê v2 CC'!$A$3:$D$1005,3, FALSE))</f>
        <v>0</v>
      </c>
      <c r="D3059" s="166">
        <f>VLOOKUP(B3059,'Thống kê'!$C$3:$M$970,4,0)</f>
        <v>0</v>
      </c>
      <c r="E3059" s="167">
        <v>1</v>
      </c>
      <c r="F3059" s="168">
        <f t="shared" si="12"/>
        <v>0</v>
      </c>
      <c r="G3059" s="75"/>
      <c r="H3059" s="369"/>
    </row>
    <row r="3060" spans="1:8" ht="13.2">
      <c r="A3060" s="49"/>
      <c r="B3060" s="16" t="s">
        <v>1382</v>
      </c>
      <c r="C3060" s="143" t="str">
        <f>IFERROR(VLOOKUP(B3060,'Thống kê'!$C$3:$D$970,2, FALSE),VLOOKUP(B3060,'Thống kê v2 CC'!$A$3:$D$1005,3, FALSE))</f>
        <v>miếng dán silicon điện thoại</v>
      </c>
      <c r="D3060" s="166">
        <f>VLOOKUP(B3060,'Thống kê'!$C$3:$M$970,4,0)</f>
        <v>0</v>
      </c>
      <c r="E3060" s="167">
        <v>1</v>
      </c>
      <c r="F3060" s="168">
        <f t="shared" si="12"/>
        <v>0</v>
      </c>
      <c r="G3060" s="75"/>
      <c r="H3060" s="369"/>
    </row>
    <row r="3061" spans="1:8" ht="13.2">
      <c r="A3061" s="64"/>
      <c r="B3061" s="16" t="s">
        <v>1862</v>
      </c>
      <c r="C3061" s="143" t="e">
        <f>IFERROR(VLOOKUP(B3061,'Thống kê'!$C$3:$D$970,2, FALSE),VLOOKUP(B3061,'Thống kê v2 CC'!$A$3:$D$1005,3, FALSE))</f>
        <v>#N/A</v>
      </c>
      <c r="D3061" s="166" t="e">
        <f>VLOOKUP(B3061,'Thống kê'!$C$3:$M$970,4,0)</f>
        <v>#N/A</v>
      </c>
      <c r="E3061" s="167">
        <v>1</v>
      </c>
      <c r="F3061" s="168" t="e">
        <f t="shared" si="12"/>
        <v>#N/A</v>
      </c>
      <c r="G3061" s="75"/>
      <c r="H3061" s="205">
        <v>80010</v>
      </c>
    </row>
    <row r="3062" spans="1:8" ht="13.2">
      <c r="A3062" s="49"/>
      <c r="B3062" s="16" t="s">
        <v>1603</v>
      </c>
      <c r="C3062" s="143" t="str">
        <f>IFERROR(VLOOKUP(B3062,'Thống kê'!$C$3:$D$970,2, FALSE),VLOOKUP(B3062,'Thống kê v2 CC'!$A$3:$D$1005,3, FALSE))</f>
        <v>Thước dây hồng phấn</v>
      </c>
      <c r="D3062" s="166">
        <f>VLOOKUP(B3062,'Thống kê'!$C$3:$M$970,4,0)</f>
        <v>9000</v>
      </c>
      <c r="E3062" s="167">
        <v>1</v>
      </c>
      <c r="F3062" s="168">
        <f t="shared" si="12"/>
        <v>9000</v>
      </c>
      <c r="G3062" s="75"/>
      <c r="H3062" s="407">
        <v>51165</v>
      </c>
    </row>
    <row r="3063" spans="1:8" ht="13.2">
      <c r="A3063" s="49"/>
      <c r="B3063" s="16" t="s">
        <v>1836</v>
      </c>
      <c r="C3063" s="143" t="str">
        <f>IFERROR(VLOOKUP(B3063,'Thống kê'!$C$3:$D$970,2, FALSE),VLOOKUP(B3063,'Thống kê v2 CC'!$A$3:$D$1005,3, FALSE))</f>
        <v>Túi Đựng Mắt Kính Da Pu</v>
      </c>
      <c r="D3063" s="166">
        <f>VLOOKUP(B3063,'Thống kê'!$C$3:$M$970,4,0)</f>
        <v>0</v>
      </c>
      <c r="E3063" s="167">
        <v>1</v>
      </c>
      <c r="F3063" s="168">
        <f t="shared" si="12"/>
        <v>0</v>
      </c>
      <c r="G3063" s="75"/>
      <c r="H3063" s="369"/>
    </row>
    <row r="3064" spans="1:8" ht="13.2">
      <c r="A3064" s="49"/>
      <c r="B3064" s="16" t="s">
        <v>1840</v>
      </c>
      <c r="C3064" s="143" t="str">
        <f>IFERROR(VLOOKUP(B3064,'Thống kê'!$C$3:$D$970,2, FALSE),VLOOKUP(B3064,'Thống kê v2 CC'!$A$3:$D$1005,3, FALSE))</f>
        <v>Túi Đựng Mắt Kính Da Pu</v>
      </c>
      <c r="D3064" s="166">
        <f>VLOOKUP(B3064,'Thống kê'!$C$3:$M$970,4,0)</f>
        <v>0</v>
      </c>
      <c r="E3064" s="167">
        <v>1</v>
      </c>
      <c r="F3064" s="168">
        <f t="shared" si="12"/>
        <v>0</v>
      </c>
      <c r="G3064" s="75"/>
      <c r="H3064" s="369"/>
    </row>
    <row r="3065" spans="1:8" ht="13.2">
      <c r="A3065" s="49"/>
      <c r="B3065" s="16" t="s">
        <v>1841</v>
      </c>
      <c r="C3065" s="143" t="str">
        <f>IFERROR(VLOOKUP(B3065,'Thống kê'!$C$3:$D$970,2, FALSE),VLOOKUP(B3065,'Thống kê v2 CC'!$A$3:$D$1005,3, FALSE))</f>
        <v>Túi Đựng Mắt Kính Da Pu</v>
      </c>
      <c r="D3065" s="166">
        <f>VLOOKUP(B3065,'Thống kê'!$C$3:$M$970,4,0)</f>
        <v>0</v>
      </c>
      <c r="E3065" s="167">
        <v>1</v>
      </c>
      <c r="F3065" s="168">
        <f t="shared" si="12"/>
        <v>0</v>
      </c>
      <c r="G3065" s="75"/>
      <c r="H3065" s="369"/>
    </row>
    <row r="3066" spans="1:8" ht="13.2">
      <c r="A3066" s="49"/>
      <c r="B3066" s="16" t="s">
        <v>96</v>
      </c>
      <c r="C3066" s="143">
        <f>IFERROR(VLOOKUP(B3066,'Thống kê'!$C$3:$D$970,2, FALSE),VLOOKUP(B3066,'Thống kê v2 CC'!$A$3:$D$1005,3, FALSE))</f>
        <v>0</v>
      </c>
      <c r="D3066" s="166">
        <f>VLOOKUP(B3066,'Thống kê'!$C$3:$M$970,4,0)</f>
        <v>0</v>
      </c>
      <c r="E3066" s="167">
        <v>1</v>
      </c>
      <c r="F3066" s="168">
        <f t="shared" si="12"/>
        <v>0</v>
      </c>
      <c r="G3066" s="75"/>
      <c r="H3066" s="205">
        <v>61461</v>
      </c>
    </row>
    <row r="3067" spans="1:8" ht="13.2">
      <c r="A3067" s="49"/>
      <c r="B3067" s="16" t="s">
        <v>126</v>
      </c>
      <c r="C3067" s="143">
        <f>IFERROR(VLOOKUP(B3067,'Thống kê'!$C$3:$D$970,2, FALSE),VLOOKUP(B3067,'Thống kê v2 CC'!$A$3:$D$1005,3, FALSE))</f>
        <v>0</v>
      </c>
      <c r="D3067" s="166">
        <f>VLOOKUP(B3067,'Thống kê'!$C$3:$M$970,4,0)</f>
        <v>0</v>
      </c>
      <c r="E3067" s="167">
        <v>1</v>
      </c>
      <c r="F3067" s="168">
        <f t="shared" si="12"/>
        <v>0</v>
      </c>
      <c r="G3067" s="75"/>
      <c r="H3067" s="407">
        <v>113980</v>
      </c>
    </row>
    <row r="3068" spans="1:8" ht="13.2">
      <c r="A3068" s="49"/>
      <c r="B3068" s="16" t="s">
        <v>279</v>
      </c>
      <c r="C3068" s="143">
        <f>IFERROR(VLOOKUP(B3068,'Thống kê'!$C$3:$D$970,2, FALSE),VLOOKUP(B3068,'Thống kê v2 CC'!$A$3:$D$1005,3, FALSE))</f>
        <v>0</v>
      </c>
      <c r="D3068" s="166">
        <f>VLOOKUP(B3068,'Thống kê'!$C$3:$M$970,4,0)</f>
        <v>0</v>
      </c>
      <c r="E3068" s="167">
        <v>1</v>
      </c>
      <c r="F3068" s="168">
        <f t="shared" si="12"/>
        <v>0</v>
      </c>
      <c r="G3068" s="75"/>
      <c r="H3068" s="369"/>
    </row>
    <row r="3069" spans="1:8" ht="13.2">
      <c r="A3069" s="49"/>
      <c r="B3069" s="16" t="s">
        <v>161</v>
      </c>
      <c r="C3069" s="143" t="str">
        <f>IFERROR(VLOOKUP(B3069,'Thống kê'!$C$3:$D$970,2, FALSE),VLOOKUP(B3069,'Thống kê v2 CC'!$A$3:$D$1005,3, FALSE))</f>
        <v>Dao rọc giấy 07</v>
      </c>
      <c r="D3069" s="166">
        <f>VLOOKUP(B3069,'Thống kê'!$C$3:$M$970,4,0)</f>
        <v>12000</v>
      </c>
      <c r="E3069" s="167">
        <v>1</v>
      </c>
      <c r="F3069" s="168">
        <f t="shared" si="12"/>
        <v>12000</v>
      </c>
      <c r="G3069" s="75"/>
      <c r="H3069" s="205">
        <v>80393</v>
      </c>
    </row>
    <row r="3070" spans="1:8" ht="13.2">
      <c r="A3070" s="64"/>
      <c r="B3070" s="16" t="s">
        <v>1761</v>
      </c>
      <c r="C3070" s="143">
        <f>IFERROR(VLOOKUP(B3070,'Thống kê'!$C$3:$D$970,2, FALSE),VLOOKUP(B3070,'Thống kê v2 CC'!$A$3:$D$1005,3, FALSE))</f>
        <v>0</v>
      </c>
      <c r="D3070" s="166">
        <f>VLOOKUP(B3070,'Thống kê'!$C$3:$M$970,4,0)</f>
        <v>0</v>
      </c>
      <c r="E3070" s="167">
        <v>1</v>
      </c>
      <c r="F3070" s="168">
        <f t="shared" si="12"/>
        <v>0</v>
      </c>
      <c r="G3070" s="75"/>
      <c r="H3070" s="205"/>
    </row>
    <row r="3071" spans="1:8" ht="13.2">
      <c r="A3071" s="49"/>
      <c r="B3071" s="16" t="s">
        <v>1817</v>
      </c>
      <c r="C3071" s="143" t="str">
        <f>IFERROR(VLOOKUP(B3071,'Thống kê'!$C$3:$D$970,2, FALSE),VLOOKUP(B3071,'Thống kê v2 CC'!$A$3:$D$1005,3, FALSE))</f>
        <v>Túi Đựng Mắt Kính Da Pu</v>
      </c>
      <c r="D3071" s="166">
        <f>VLOOKUP(B3071,'Thống kê'!$C$3:$M$970,4,0)</f>
        <v>0</v>
      </c>
      <c r="E3071" s="167">
        <v>3</v>
      </c>
      <c r="F3071" s="168">
        <f t="shared" si="12"/>
        <v>0</v>
      </c>
      <c r="G3071" s="75"/>
      <c r="H3071" s="205">
        <v>56380</v>
      </c>
    </row>
    <row r="3072" spans="1:8" ht="13.2">
      <c r="A3072" s="49"/>
      <c r="B3072" s="16" t="s">
        <v>196</v>
      </c>
      <c r="C3072" s="143">
        <f>IFERROR(VLOOKUP(B3072,'Thống kê'!$C$3:$D$970,2, FALSE),VLOOKUP(B3072,'Thống kê v2 CC'!$A$3:$D$1005,3, FALSE))</f>
        <v>0</v>
      </c>
      <c r="D3072" s="166">
        <f>VLOOKUP(B3072,'Thống kê'!$C$3:$M$970,4,0)</f>
        <v>0</v>
      </c>
      <c r="E3072" s="167">
        <v>1</v>
      </c>
      <c r="F3072" s="168">
        <f t="shared" si="12"/>
        <v>0</v>
      </c>
      <c r="G3072" s="75"/>
      <c r="H3072" s="205">
        <v>52054</v>
      </c>
    </row>
    <row r="3073" spans="1:8" ht="13.2">
      <c r="A3073" s="49"/>
      <c r="B3073" s="16" t="s">
        <v>85</v>
      </c>
      <c r="C3073" s="143">
        <f>IFERROR(VLOOKUP(B3073,'Thống kê'!$C$3:$D$970,2, FALSE),VLOOKUP(B3073,'Thống kê v2 CC'!$A$3:$D$1005,3, FALSE))</f>
        <v>0</v>
      </c>
      <c r="D3073" s="166">
        <f>VLOOKUP(B3073,'Thống kê'!$C$3:$M$970,4,0)</f>
        <v>0</v>
      </c>
      <c r="E3073" s="167">
        <v>1</v>
      </c>
      <c r="F3073" s="168">
        <f t="shared" si="12"/>
        <v>0</v>
      </c>
      <c r="G3073" s="75"/>
      <c r="H3073" s="205">
        <v>51904</v>
      </c>
    </row>
    <row r="3074" spans="1:8" ht="13.2">
      <c r="A3074" s="49"/>
      <c r="B3074" s="16" t="s">
        <v>228</v>
      </c>
      <c r="C3074" s="143">
        <f>IFERROR(VLOOKUP(B3074,'Thống kê'!$C$3:$D$970,2, FALSE),VLOOKUP(B3074,'Thống kê v2 CC'!$A$3:$D$1005,3, FALSE))</f>
        <v>0</v>
      </c>
      <c r="D3074" s="166">
        <f>VLOOKUP(B3074,'Thống kê'!$C$3:$M$970,4,0)</f>
        <v>0</v>
      </c>
      <c r="E3074" s="167">
        <v>1</v>
      </c>
      <c r="F3074" s="168">
        <f t="shared" si="12"/>
        <v>0</v>
      </c>
      <c r="G3074" s="75"/>
      <c r="H3074" s="205">
        <v>113980</v>
      </c>
    </row>
    <row r="3075" spans="1:8" ht="13.2">
      <c r="A3075" s="49"/>
      <c r="B3075" s="16" t="s">
        <v>93</v>
      </c>
      <c r="C3075" s="143">
        <f>IFERROR(VLOOKUP(B3075,'Thống kê'!$C$3:$D$970,2, FALSE),VLOOKUP(B3075,'Thống kê v2 CC'!$A$3:$D$1005,3, FALSE))</f>
        <v>0</v>
      </c>
      <c r="D3075" s="166">
        <f>VLOOKUP(B3075,'Thống kê'!$C$3:$M$970,4,0)</f>
        <v>0</v>
      </c>
      <c r="E3075" s="167">
        <v>1</v>
      </c>
      <c r="F3075" s="168">
        <f t="shared" si="12"/>
        <v>0</v>
      </c>
      <c r="G3075" s="75"/>
      <c r="H3075" s="205"/>
    </row>
    <row r="3076" spans="1:8" ht="13.2">
      <c r="A3076" s="49"/>
      <c r="B3076" s="16" t="s">
        <v>1531</v>
      </c>
      <c r="C3076" s="143">
        <f>IFERROR(VLOOKUP(B3076,'Thống kê'!$C$3:$D$970,2, FALSE),VLOOKUP(B3076,'Thống kê v2 CC'!$A$3:$D$1005,3, FALSE))</f>
        <v>0</v>
      </c>
      <c r="D3076" s="166">
        <f>VLOOKUP(B3076,'Thống kê'!$C$3:$M$970,4,0)</f>
        <v>0</v>
      </c>
      <c r="E3076" s="167">
        <v>1</v>
      </c>
      <c r="F3076" s="168">
        <f t="shared" si="12"/>
        <v>0</v>
      </c>
      <c r="G3076" s="75"/>
      <c r="H3076" s="205">
        <v>52054</v>
      </c>
    </row>
    <row r="3077" spans="1:8" ht="13.2">
      <c r="A3077" s="49"/>
      <c r="B3077" s="16" t="s">
        <v>1863</v>
      </c>
      <c r="C3077" s="143" t="e">
        <f>IFERROR(VLOOKUP(B3077,'Thống kê'!$C$3:$D$970,2, FALSE),VLOOKUP(B3077,'Thống kê v2 CC'!$A$3:$D$1005,3, FALSE))</f>
        <v>#N/A</v>
      </c>
      <c r="D3077" s="166" t="e">
        <f>VLOOKUP(B3077,'Thống kê'!$C$3:$M$970,4,0)</f>
        <v>#N/A</v>
      </c>
      <c r="E3077" s="167">
        <v>1</v>
      </c>
      <c r="F3077" s="168" t="e">
        <f t="shared" si="12"/>
        <v>#N/A</v>
      </c>
      <c r="G3077" s="75"/>
      <c r="H3077" s="407">
        <v>296840</v>
      </c>
    </row>
    <row r="3078" spans="1:8" ht="13.2">
      <c r="A3078" s="49"/>
      <c r="B3078" s="16" t="s">
        <v>133</v>
      </c>
      <c r="C3078" s="143">
        <f>IFERROR(VLOOKUP(B3078,'Thống kê'!$C$3:$D$970,2, FALSE),VLOOKUP(B3078,'Thống kê v2 CC'!$A$3:$D$1005,3, FALSE))</f>
        <v>0</v>
      </c>
      <c r="D3078" s="166">
        <f>VLOOKUP(B3078,'Thống kê'!$C$3:$M$970,4,0)</f>
        <v>0</v>
      </c>
      <c r="E3078" s="167">
        <v>1</v>
      </c>
      <c r="F3078" s="168">
        <f t="shared" si="12"/>
        <v>0</v>
      </c>
      <c r="G3078" s="75"/>
      <c r="H3078" s="369"/>
    </row>
    <row r="3079" spans="1:8" ht="13.2">
      <c r="A3079" s="49"/>
      <c r="B3079" s="16" t="s">
        <v>264</v>
      </c>
      <c r="C3079" s="143">
        <f>IFERROR(VLOOKUP(B3079,'Thống kê'!$C$3:$D$970,2, FALSE),VLOOKUP(B3079,'Thống kê v2 CC'!$A$3:$D$1005,3, FALSE))</f>
        <v>0</v>
      </c>
      <c r="D3079" s="166">
        <f>VLOOKUP(B3079,'Thống kê'!$C$3:$M$970,4,0)</f>
        <v>0</v>
      </c>
      <c r="E3079" s="167">
        <v>1</v>
      </c>
      <c r="F3079" s="168">
        <f t="shared" si="12"/>
        <v>0</v>
      </c>
      <c r="G3079" s="75"/>
      <c r="H3079" s="369"/>
    </row>
    <row r="3080" spans="1:8" ht="13.2">
      <c r="A3080" s="49"/>
      <c r="B3080" s="16" t="s">
        <v>1817</v>
      </c>
      <c r="C3080" s="143" t="str">
        <f>IFERROR(VLOOKUP(B3080,'Thống kê'!$C$3:$D$970,2, FALSE),VLOOKUP(B3080,'Thống kê v2 CC'!$A$3:$D$1005,3, FALSE))</f>
        <v>Túi Đựng Mắt Kính Da Pu</v>
      </c>
      <c r="D3080" s="166">
        <f>VLOOKUP(B3080,'Thống kê'!$C$3:$M$970,4,0)</f>
        <v>0</v>
      </c>
      <c r="E3080" s="167">
        <v>-1</v>
      </c>
      <c r="F3080" s="168">
        <f t="shared" si="12"/>
        <v>0</v>
      </c>
      <c r="G3080" s="75"/>
      <c r="H3080" s="205">
        <v>-25000</v>
      </c>
    </row>
    <row r="3081" spans="1:8" ht="13.2">
      <c r="A3081" s="49"/>
      <c r="B3081" s="16" t="s">
        <v>93</v>
      </c>
      <c r="C3081" s="143">
        <f>IFERROR(VLOOKUP(B3081,'Thống kê'!$C$3:$D$970,2, FALSE),VLOOKUP(B3081,'Thống kê v2 CC'!$A$3:$D$1005,3, FALSE))</f>
        <v>0</v>
      </c>
      <c r="D3081" s="166">
        <f>VLOOKUP(B3081,'Thống kê'!$C$3:$M$970,4,0)</f>
        <v>0</v>
      </c>
      <c r="E3081" s="167">
        <v>-1</v>
      </c>
      <c r="F3081" s="168">
        <f t="shared" si="12"/>
        <v>0</v>
      </c>
      <c r="G3081" s="75"/>
      <c r="H3081" s="205">
        <v>-69000</v>
      </c>
    </row>
    <row r="3082" spans="1:8" ht="13.2">
      <c r="A3082" s="49"/>
      <c r="B3082" s="16" t="s">
        <v>1382</v>
      </c>
      <c r="C3082" s="143" t="str">
        <f>IFERROR(VLOOKUP(B3082,'Thống kê'!$C$3:$D$970,2, FALSE),VLOOKUP(B3082,'Thống kê v2 CC'!$A$3:$D$1005,3, FALSE))</f>
        <v>miếng dán silicon điện thoại</v>
      </c>
      <c r="D3082" s="166">
        <f>VLOOKUP(B3082,'Thống kê'!$C$3:$M$970,4,0)</f>
        <v>0</v>
      </c>
      <c r="E3082" s="167">
        <v>-1</v>
      </c>
      <c r="F3082" s="168">
        <f t="shared" si="12"/>
        <v>0</v>
      </c>
      <c r="G3082" s="75"/>
      <c r="H3082" s="205"/>
    </row>
    <row r="3083" spans="1:8" ht="13.2">
      <c r="A3083" s="49"/>
      <c r="B3083" s="16" t="s">
        <v>1823</v>
      </c>
      <c r="C3083" s="143">
        <f>IFERROR(VLOOKUP(B3083,'Thống kê'!$C$3:$D$970,2, FALSE),VLOOKUP(B3083,'Thống kê v2 CC'!$A$3:$D$1005,3, FALSE))</f>
        <v>0</v>
      </c>
      <c r="D3083" s="166">
        <f>VLOOKUP(B3083,'Thống kê'!$C$3:$M$970,4,0)</f>
        <v>0</v>
      </c>
      <c r="E3083" s="167">
        <v>-1</v>
      </c>
      <c r="F3083" s="168">
        <f t="shared" si="12"/>
        <v>0</v>
      </c>
      <c r="G3083" s="75"/>
      <c r="H3083" s="205">
        <v>-16500</v>
      </c>
    </row>
    <row r="3084" spans="1:8" ht="13.2">
      <c r="A3084" s="49"/>
      <c r="B3084" s="16" t="s">
        <v>138</v>
      </c>
      <c r="C3084" s="143" t="str">
        <f>IFERROR(VLOOKUP(B3084,'Thống kê'!$C$3:$D$970,2, FALSE),VLOOKUP(B3084,'Thống kê v2 CC'!$A$3:$D$1005,3, FALSE))</f>
        <v>Móc khoá Crybaby mini Popmart</v>
      </c>
      <c r="D3084" s="166">
        <f>VLOOKUP(B3084,'Thống kê'!$C$3:$M$970,4,0)</f>
        <v>0</v>
      </c>
      <c r="E3084" s="167">
        <v>-1</v>
      </c>
      <c r="F3084" s="168">
        <f t="shared" si="12"/>
        <v>0</v>
      </c>
      <c r="G3084" s="75"/>
      <c r="H3084" s="205"/>
    </row>
    <row r="3085" spans="1:8" ht="13.2">
      <c r="A3085" s="49"/>
      <c r="B3085" s="16" t="s">
        <v>1384</v>
      </c>
      <c r="C3085" s="143" t="str">
        <f>IFERROR(VLOOKUP(B3085,'Thống kê'!$C$3:$D$970,2, FALSE),VLOOKUP(B3085,'Thống kê v2 CC'!$A$3:$D$1005,3, FALSE))</f>
        <v>Móc khoá Crybaby mini Popmart</v>
      </c>
      <c r="D3085" s="166">
        <f>VLOOKUP(B3085,'Thống kê'!$C$3:$M$970,4,0)</f>
        <v>0</v>
      </c>
      <c r="E3085" s="167">
        <v>-1</v>
      </c>
      <c r="F3085" s="168">
        <f t="shared" si="12"/>
        <v>0</v>
      </c>
      <c r="G3085" s="75"/>
      <c r="H3085" s="205">
        <v>-28700</v>
      </c>
    </row>
    <row r="3086" spans="1:8" ht="13.2">
      <c r="A3086" s="49"/>
      <c r="B3086" s="206" t="s">
        <v>1864</v>
      </c>
      <c r="C3086" s="143" t="str">
        <f>IFERROR(VLOOKUP(B3086,'Thống kê'!$C$3:$D$970,2, FALSE),VLOOKUP(B3086,'Thống kê v2 CC'!$A$3:$D$1005,3, FALSE))</f>
        <v>POP BEAN Pajama Party</v>
      </c>
      <c r="D3086" s="166" t="e">
        <f>VLOOKUP(B3086,'Thống kê'!$C$3:$M$970,4,0)</f>
        <v>#N/A</v>
      </c>
      <c r="E3086" s="167">
        <v>1</v>
      </c>
      <c r="F3086" s="168" t="e">
        <f t="shared" si="12"/>
        <v>#N/A</v>
      </c>
      <c r="G3086" s="75"/>
      <c r="H3086" s="407">
        <v>131200</v>
      </c>
    </row>
    <row r="3087" spans="1:8" ht="13.2">
      <c r="A3087" s="49"/>
      <c r="B3087" s="16" t="s">
        <v>108</v>
      </c>
      <c r="C3087" s="143">
        <f>IFERROR(VLOOKUP(B3087,'Thống kê'!$C$3:$D$970,2, FALSE),VLOOKUP(B3087,'Thống kê v2 CC'!$A$3:$D$1005,3, FALSE))</f>
        <v>0</v>
      </c>
      <c r="D3087" s="166">
        <f>VLOOKUP(B3087,'Thống kê'!$C$3:$M$970,4,0)</f>
        <v>0</v>
      </c>
      <c r="E3087" s="167">
        <v>1</v>
      </c>
      <c r="F3087" s="168">
        <f t="shared" si="12"/>
        <v>0</v>
      </c>
      <c r="G3087" s="75"/>
      <c r="H3087" s="369"/>
    </row>
    <row r="3088" spans="1:8" ht="13.2">
      <c r="A3088" s="64"/>
      <c r="B3088" s="16" t="s">
        <v>93</v>
      </c>
      <c r="C3088" s="143">
        <f>IFERROR(VLOOKUP(B3088,'Thống kê'!$C$3:$D$970,2, FALSE),VLOOKUP(B3088,'Thống kê v2 CC'!$A$3:$D$1005,3, FALSE))</f>
        <v>0</v>
      </c>
      <c r="D3088" s="166">
        <f>VLOOKUP(B3088,'Thống kê'!$C$3:$M$970,4,0)</f>
        <v>0</v>
      </c>
      <c r="E3088" s="167">
        <v>2</v>
      </c>
      <c r="F3088" s="168">
        <f t="shared" si="12"/>
        <v>0</v>
      </c>
      <c r="G3088" s="75"/>
      <c r="H3088" s="205">
        <v>106600</v>
      </c>
    </row>
    <row r="3089" spans="1:8" ht="13.2">
      <c r="A3089" s="49"/>
      <c r="B3089" s="16" t="s">
        <v>77</v>
      </c>
      <c r="C3089" s="143">
        <f>IFERROR(VLOOKUP(B3089,'Thống kê'!$C$3:$D$970,2, FALSE),VLOOKUP(B3089,'Thống kê v2 CC'!$A$3:$D$1005,3, FALSE))</f>
        <v>0</v>
      </c>
      <c r="D3089" s="166">
        <f>VLOOKUP(B3089,'Thống kê'!$C$3:$M$970,4,0)</f>
        <v>0</v>
      </c>
      <c r="E3089" s="167">
        <v>1</v>
      </c>
      <c r="F3089" s="168">
        <f t="shared" si="12"/>
        <v>0</v>
      </c>
      <c r="G3089" s="75"/>
      <c r="H3089" s="407">
        <v>106600</v>
      </c>
    </row>
    <row r="3090" spans="1:8" ht="13.2">
      <c r="A3090" s="49"/>
      <c r="B3090" s="16" t="s">
        <v>93</v>
      </c>
      <c r="C3090" s="143">
        <f>IFERROR(VLOOKUP(B3090,'Thống kê'!$C$3:$D$970,2, FALSE),VLOOKUP(B3090,'Thống kê v2 CC'!$A$3:$D$1005,3, FALSE))</f>
        <v>0</v>
      </c>
      <c r="D3090" s="166">
        <f>VLOOKUP(B3090,'Thống kê'!$C$3:$M$970,4,0)</f>
        <v>0</v>
      </c>
      <c r="E3090" s="167">
        <v>1</v>
      </c>
      <c r="F3090" s="168">
        <f t="shared" si="12"/>
        <v>0</v>
      </c>
      <c r="G3090" s="75"/>
      <c r="H3090" s="369"/>
    </row>
    <row r="3091" spans="1:8" ht="13.2">
      <c r="A3091" s="49"/>
      <c r="B3091" s="16" t="s">
        <v>264</v>
      </c>
      <c r="C3091" s="143">
        <f>IFERROR(VLOOKUP(B3091,'Thống kê'!$C$3:$D$970,2, FALSE),VLOOKUP(B3091,'Thống kê v2 CC'!$A$3:$D$1005,3, FALSE))</f>
        <v>0</v>
      </c>
      <c r="D3091" s="166">
        <f>VLOOKUP(B3091,'Thống kê'!$C$3:$M$970,4,0)</f>
        <v>0</v>
      </c>
      <c r="E3091" s="167">
        <v>1</v>
      </c>
      <c r="F3091" s="168">
        <f t="shared" si="12"/>
        <v>0</v>
      </c>
      <c r="G3091" s="75"/>
      <c r="H3091" s="407">
        <v>130380</v>
      </c>
    </row>
    <row r="3092" spans="1:8" ht="13.2">
      <c r="A3092" s="49"/>
      <c r="B3092" s="16" t="s">
        <v>221</v>
      </c>
      <c r="C3092" s="143">
        <f>IFERROR(VLOOKUP(B3092,'Thống kê'!$C$3:$D$970,2, FALSE),VLOOKUP(B3092,'Thống kê v2 CC'!$A$3:$D$1005,3, FALSE))</f>
        <v>0</v>
      </c>
      <c r="D3092" s="166">
        <f>VLOOKUP(B3092,'Thống kê'!$C$3:$M$970,4,0)</f>
        <v>0</v>
      </c>
      <c r="E3092" s="167">
        <v>1</v>
      </c>
      <c r="F3092" s="168">
        <f t="shared" si="12"/>
        <v>0</v>
      </c>
      <c r="G3092" s="75"/>
      <c r="H3092" s="369"/>
    </row>
    <row r="3093" spans="1:8" ht="13.2">
      <c r="A3093" s="49"/>
      <c r="B3093" s="16" t="s">
        <v>1384</v>
      </c>
      <c r="C3093" s="143" t="str">
        <f>IFERROR(VLOOKUP(B3093,'Thống kê'!$C$3:$D$970,2, FALSE),VLOOKUP(B3093,'Thống kê v2 CC'!$A$3:$D$1005,3, FALSE))</f>
        <v>Móc khoá Crybaby mini Popmart</v>
      </c>
      <c r="D3093" s="166">
        <f>VLOOKUP(B3093,'Thống kê'!$C$3:$M$970,4,0)</f>
        <v>0</v>
      </c>
      <c r="E3093" s="167">
        <v>1</v>
      </c>
      <c r="F3093" s="168">
        <f t="shared" si="12"/>
        <v>0</v>
      </c>
      <c r="G3093" s="75"/>
      <c r="H3093" s="205">
        <v>74486</v>
      </c>
    </row>
    <row r="3094" spans="1:8" ht="13.2">
      <c r="A3094" s="49"/>
      <c r="B3094" s="16" t="s">
        <v>1382</v>
      </c>
      <c r="C3094" s="143" t="str">
        <f>IFERROR(VLOOKUP(B3094,'Thống kê'!$C$3:$D$970,2, FALSE),VLOOKUP(B3094,'Thống kê v2 CC'!$A$3:$D$1005,3, FALSE))</f>
        <v>miếng dán silicon điện thoại</v>
      </c>
      <c r="D3094" s="166">
        <f>VLOOKUP(B3094,'Thống kê'!$C$3:$M$970,4,0)</f>
        <v>0</v>
      </c>
      <c r="E3094" s="167">
        <v>2</v>
      </c>
      <c r="F3094" s="168">
        <f t="shared" si="12"/>
        <v>0</v>
      </c>
      <c r="G3094" s="75"/>
      <c r="H3094" s="407">
        <v>211617</v>
      </c>
    </row>
    <row r="3095" spans="1:8" ht="13.2">
      <c r="A3095" s="49"/>
      <c r="B3095" s="16" t="s">
        <v>1865</v>
      </c>
      <c r="C3095" s="143" t="str">
        <f>IFERROR(VLOOKUP(B3095,'Thống kê'!$C$3:$D$970,2, FALSE),VLOOKUP(B3095,'Thống kê v2 CC'!$A$3:$D$1005,3, FALSE))</f>
        <v>POP BEAN Pajama Party</v>
      </c>
      <c r="D3095" s="166" t="e">
        <f>VLOOKUP(B3095,'Thống kê'!$C$3:$M$970,4,0)</f>
        <v>#N/A</v>
      </c>
      <c r="E3095" s="167">
        <v>1</v>
      </c>
      <c r="F3095" s="168" t="e">
        <f t="shared" si="12"/>
        <v>#N/A</v>
      </c>
      <c r="G3095" s="75"/>
      <c r="H3095" s="369"/>
    </row>
    <row r="3096" spans="1:8" ht="13.2">
      <c r="A3096" s="49"/>
      <c r="B3096" s="16" t="s">
        <v>1384</v>
      </c>
      <c r="C3096" s="143" t="str">
        <f>IFERROR(VLOOKUP(B3096,'Thống kê'!$C$3:$D$970,2, FALSE),VLOOKUP(B3096,'Thống kê v2 CC'!$A$3:$D$1005,3, FALSE))</f>
        <v>Móc khoá Crybaby mini Popmart</v>
      </c>
      <c r="D3096" s="166">
        <f>VLOOKUP(B3096,'Thống kê'!$C$3:$M$970,4,0)</f>
        <v>0</v>
      </c>
      <c r="E3096" s="167">
        <v>1</v>
      </c>
      <c r="F3096" s="168">
        <f t="shared" si="12"/>
        <v>0</v>
      </c>
      <c r="G3096" s="75"/>
      <c r="H3096" s="369"/>
    </row>
    <row r="3097" spans="1:8" ht="13.2">
      <c r="A3097" s="49"/>
      <c r="B3097" s="16" t="s">
        <v>1522</v>
      </c>
      <c r="C3097" s="143">
        <f>IFERROR(VLOOKUP(B3097,'Thống kê'!$C$3:$D$970,2, FALSE),VLOOKUP(B3097,'Thống kê v2 CC'!$A$3:$D$1005,3, FALSE))</f>
        <v>0</v>
      </c>
      <c r="D3097" s="166">
        <f>VLOOKUP(B3097,'Thống kê'!$C$3:$M$970,4,0)</f>
        <v>0</v>
      </c>
      <c r="E3097" s="167">
        <v>1</v>
      </c>
      <c r="F3097" s="168">
        <f t="shared" si="12"/>
        <v>0</v>
      </c>
      <c r="G3097" s="75"/>
      <c r="H3097" s="407">
        <v>106600</v>
      </c>
    </row>
    <row r="3098" spans="1:8" ht="13.2">
      <c r="A3098" s="49"/>
      <c r="B3098" s="16" t="s">
        <v>196</v>
      </c>
      <c r="C3098" s="143">
        <f>IFERROR(VLOOKUP(B3098,'Thống kê'!$C$3:$D$970,2, FALSE),VLOOKUP(B3098,'Thống kê v2 CC'!$A$3:$D$1005,3, FALSE))</f>
        <v>0</v>
      </c>
      <c r="D3098" s="166">
        <f>VLOOKUP(B3098,'Thống kê'!$C$3:$M$970,4,0)</f>
        <v>0</v>
      </c>
      <c r="E3098" s="167">
        <v>1</v>
      </c>
      <c r="F3098" s="168">
        <f t="shared" si="12"/>
        <v>0</v>
      </c>
      <c r="G3098" s="75"/>
      <c r="H3098" s="369"/>
    </row>
    <row r="3099" spans="1:8" ht="13.2">
      <c r="A3099" s="49"/>
      <c r="B3099" s="16" t="s">
        <v>1836</v>
      </c>
      <c r="C3099" s="143" t="str">
        <f>IFERROR(VLOOKUP(B3099,'Thống kê'!$C$3:$D$970,2, FALSE),VLOOKUP(B3099,'Thống kê v2 CC'!$A$3:$D$1005,3, FALSE))</f>
        <v>Túi Đựng Mắt Kính Da Pu</v>
      </c>
      <c r="D3099" s="166">
        <f>VLOOKUP(B3099,'Thống kê'!$C$3:$M$970,4,0)</f>
        <v>0</v>
      </c>
      <c r="E3099" s="167">
        <v>1</v>
      </c>
      <c r="F3099" s="168">
        <f t="shared" si="12"/>
        <v>0</v>
      </c>
      <c r="G3099" s="75"/>
      <c r="H3099" s="205">
        <v>13940</v>
      </c>
    </row>
    <row r="3100" spans="1:8" ht="13.2">
      <c r="A3100" s="49"/>
      <c r="B3100" s="16" t="s">
        <v>223</v>
      </c>
      <c r="C3100" s="143">
        <f>IFERROR(VLOOKUP(B3100,'Thống kê'!$C$3:$D$970,2, FALSE),VLOOKUP(B3100,'Thống kê v2 CC'!$A$3:$D$1005,3, FALSE))</f>
        <v>0</v>
      </c>
      <c r="D3100" s="166">
        <f>VLOOKUP(B3100,'Thống kê'!$C$3:$M$970,4,0)</f>
        <v>0</v>
      </c>
      <c r="E3100" s="167">
        <v>1</v>
      </c>
      <c r="F3100" s="168">
        <f t="shared" si="12"/>
        <v>0</v>
      </c>
      <c r="G3100" s="75"/>
      <c r="H3100" s="407">
        <v>110864</v>
      </c>
    </row>
    <row r="3101" spans="1:8" ht="13.2">
      <c r="A3101" s="49"/>
      <c r="B3101" s="16" t="s">
        <v>1866</v>
      </c>
      <c r="C3101" s="143" t="str">
        <f>IFERROR(VLOOKUP(B3101,'Thống kê'!$C$3:$D$970,2, FALSE),VLOOKUP(B3101,'Thống kê v2 CC'!$A$3:$D$1005,3, FALSE))</f>
        <v>Túi đựng đồ trang điểm nơ</v>
      </c>
      <c r="D3101" s="166">
        <f>VLOOKUP(B3101,'Thống kê'!$C$3:$M$970,4,0)</f>
        <v>0</v>
      </c>
      <c r="E3101" s="167">
        <v>1</v>
      </c>
      <c r="F3101" s="168">
        <f t="shared" si="12"/>
        <v>0</v>
      </c>
      <c r="G3101" s="75"/>
      <c r="H3101" s="369"/>
    </row>
    <row r="3102" spans="1:8" ht="13.2">
      <c r="A3102" s="49"/>
      <c r="B3102" s="16" t="s">
        <v>140</v>
      </c>
      <c r="C3102" s="143">
        <f>IFERROR(VLOOKUP(B3102,'Thống kê'!$C$3:$D$970,2, FALSE),VLOOKUP(B3102,'Thống kê v2 CC'!$A$3:$D$1005,3, FALSE))</f>
        <v>0</v>
      </c>
      <c r="D3102" s="166">
        <f>VLOOKUP(B3102,'Thống kê'!$C$3:$M$970,4,0)</f>
        <v>0</v>
      </c>
      <c r="E3102" s="167">
        <v>1</v>
      </c>
      <c r="F3102" s="168">
        <f t="shared" si="12"/>
        <v>0</v>
      </c>
      <c r="G3102" s="75"/>
      <c r="H3102" s="407">
        <v>512500</v>
      </c>
    </row>
    <row r="3103" spans="1:8" ht="13.2">
      <c r="A3103" s="49"/>
      <c r="B3103" s="16" t="s">
        <v>77</v>
      </c>
      <c r="C3103" s="143">
        <f>IFERROR(VLOOKUP(B3103,'Thống kê'!$C$3:$D$970,2, FALSE),VLOOKUP(B3103,'Thống kê v2 CC'!$A$3:$D$1005,3, FALSE))</f>
        <v>0</v>
      </c>
      <c r="D3103" s="166">
        <f>VLOOKUP(B3103,'Thống kê'!$C$3:$M$970,4,0)</f>
        <v>0</v>
      </c>
      <c r="E3103" s="167">
        <v>1</v>
      </c>
      <c r="F3103" s="168">
        <f t="shared" si="12"/>
        <v>0</v>
      </c>
      <c r="G3103" s="75"/>
      <c r="H3103" s="369"/>
    </row>
    <row r="3104" spans="1:8" ht="13.2">
      <c r="A3104" s="49"/>
      <c r="B3104" s="16" t="s">
        <v>196</v>
      </c>
      <c r="C3104" s="143">
        <f>IFERROR(VLOOKUP(B3104,'Thống kê'!$C$3:$D$970,2, FALSE),VLOOKUP(B3104,'Thống kê v2 CC'!$A$3:$D$1005,3, FALSE))</f>
        <v>0</v>
      </c>
      <c r="D3104" s="166">
        <f>VLOOKUP(B3104,'Thống kê'!$C$3:$M$970,4,0)</f>
        <v>0</v>
      </c>
      <c r="E3104" s="167">
        <v>1</v>
      </c>
      <c r="F3104" s="168">
        <f t="shared" si="12"/>
        <v>0</v>
      </c>
      <c r="G3104" s="75"/>
      <c r="H3104" s="369"/>
    </row>
    <row r="3105" spans="1:8" ht="13.2">
      <c r="A3105" s="49"/>
      <c r="B3105" s="16" t="s">
        <v>180</v>
      </c>
      <c r="C3105" s="143">
        <f>IFERROR(VLOOKUP(B3105,'Thống kê'!$C$3:$D$970,2, FALSE),VLOOKUP(B3105,'Thống kê v2 CC'!$A$3:$D$1005,3, FALSE))</f>
        <v>0</v>
      </c>
      <c r="D3105" s="166">
        <f>VLOOKUP(B3105,'Thống kê'!$C$3:$M$970,4,0)</f>
        <v>0</v>
      </c>
      <c r="E3105" s="167">
        <v>1</v>
      </c>
      <c r="F3105" s="168">
        <f t="shared" si="12"/>
        <v>0</v>
      </c>
      <c r="G3105" s="75"/>
      <c r="H3105" s="369"/>
    </row>
    <row r="3106" spans="1:8" ht="13.2">
      <c r="A3106" s="49"/>
      <c r="B3106" s="16" t="s">
        <v>1523</v>
      </c>
      <c r="C3106" s="143">
        <f>IFERROR(VLOOKUP(B3106,'Thống kê'!$C$3:$D$970,2, FALSE),VLOOKUP(B3106,'Thống kê v2 CC'!$A$3:$D$1005,3, FALSE))</f>
        <v>0</v>
      </c>
      <c r="D3106" s="166">
        <f>VLOOKUP(B3106,'Thống kê'!$C$3:$M$970,4,0)</f>
        <v>0</v>
      </c>
      <c r="E3106" s="167">
        <v>1</v>
      </c>
      <c r="F3106" s="168">
        <f t="shared" si="12"/>
        <v>0</v>
      </c>
      <c r="G3106" s="75"/>
      <c r="H3106" s="369"/>
    </row>
    <row r="3107" spans="1:8" ht="13.2">
      <c r="A3107" s="49"/>
      <c r="B3107" s="16" t="s">
        <v>140</v>
      </c>
      <c r="C3107" s="143">
        <f>IFERROR(VLOOKUP(B3107,'Thống kê'!$C$3:$D$970,2, FALSE),VLOOKUP(B3107,'Thống kê v2 CC'!$A$3:$D$1005,3, FALSE))</f>
        <v>0</v>
      </c>
      <c r="D3107" s="166">
        <f>VLOOKUP(B3107,'Thống kê'!$C$3:$M$970,4,0)</f>
        <v>0</v>
      </c>
      <c r="E3107" s="167">
        <v>1</v>
      </c>
      <c r="F3107" s="168">
        <f t="shared" si="12"/>
        <v>0</v>
      </c>
      <c r="G3107" s="75"/>
      <c r="H3107" s="369"/>
    </row>
    <row r="3108" spans="1:8" ht="13.2">
      <c r="A3108" s="49"/>
      <c r="B3108" s="16" t="s">
        <v>323</v>
      </c>
      <c r="C3108" s="143">
        <f>IFERROR(VLOOKUP(B3108,'Thống kê'!$C$3:$D$970,2, FALSE),VLOOKUP(B3108,'Thống kê v2 CC'!$A$3:$D$1005,3, FALSE))</f>
        <v>0</v>
      </c>
      <c r="D3108" s="166">
        <f>VLOOKUP(B3108,'Thống kê'!$C$3:$M$970,4,0)</f>
        <v>0</v>
      </c>
      <c r="E3108" s="167">
        <v>1</v>
      </c>
      <c r="F3108" s="168">
        <f t="shared" si="12"/>
        <v>0</v>
      </c>
      <c r="G3108" s="75"/>
      <c r="H3108" s="369"/>
    </row>
    <row r="3109" spans="1:8" ht="13.2">
      <c r="A3109" s="49"/>
      <c r="B3109" s="16" t="s">
        <v>137</v>
      </c>
      <c r="C3109" s="143">
        <f>IFERROR(VLOOKUP(B3109,'Thống kê'!$C$3:$D$970,2, FALSE),VLOOKUP(B3109,'Thống kê v2 CC'!$A$3:$D$1005,3, FALSE))</f>
        <v>0</v>
      </c>
      <c r="D3109" s="166">
        <f>VLOOKUP(B3109,'Thống kê'!$C$3:$M$970,4,0)</f>
        <v>0</v>
      </c>
      <c r="E3109" s="167">
        <v>1</v>
      </c>
      <c r="F3109" s="168">
        <f t="shared" si="12"/>
        <v>0</v>
      </c>
      <c r="G3109" s="75"/>
      <c r="H3109" s="369"/>
    </row>
    <row r="3110" spans="1:8" ht="13.2">
      <c r="A3110" s="49"/>
      <c r="B3110" s="16" t="s">
        <v>93</v>
      </c>
      <c r="C3110" s="143">
        <f>IFERROR(VLOOKUP(B3110,'Thống kê'!$C$3:$D$970,2, FALSE),VLOOKUP(B3110,'Thống kê v2 CC'!$A$3:$D$1005,3, FALSE))</f>
        <v>0</v>
      </c>
      <c r="D3110" s="166">
        <f>VLOOKUP(B3110,'Thống kê'!$C$3:$M$970,4,0)</f>
        <v>0</v>
      </c>
      <c r="E3110" s="167">
        <v>1</v>
      </c>
      <c r="F3110" s="168">
        <f t="shared" si="12"/>
        <v>0</v>
      </c>
      <c r="G3110" s="75"/>
      <c r="H3110" s="369"/>
    </row>
    <row r="3111" spans="1:8" ht="13.2">
      <c r="A3111" s="49"/>
      <c r="B3111" s="16" t="s">
        <v>299</v>
      </c>
      <c r="C3111" s="143">
        <f>IFERROR(VLOOKUP(B3111,'Thống kê'!$C$3:$D$970,2, FALSE),VLOOKUP(B3111,'Thống kê v2 CC'!$A$3:$D$1005,3, FALSE))</f>
        <v>0</v>
      </c>
      <c r="D3111" s="166">
        <f>VLOOKUP(B3111,'Thống kê'!$C$3:$M$970,4,0)</f>
        <v>0</v>
      </c>
      <c r="E3111" s="167">
        <v>1</v>
      </c>
      <c r="F3111" s="168">
        <f t="shared" si="12"/>
        <v>0</v>
      </c>
      <c r="G3111" s="75"/>
      <c r="H3111" s="369"/>
    </row>
    <row r="3112" spans="1:8" ht="13.2">
      <c r="A3112" s="49"/>
      <c r="B3112" s="16" t="s">
        <v>323</v>
      </c>
      <c r="C3112" s="143">
        <f>IFERROR(VLOOKUP(B3112,'Thống kê'!$C$3:$D$970,2, FALSE),VLOOKUP(B3112,'Thống kê v2 CC'!$A$3:$D$1005,3, FALSE))</f>
        <v>0</v>
      </c>
      <c r="D3112" s="166">
        <f>VLOOKUP(B3112,'Thống kê'!$C$3:$M$970,4,0)</f>
        <v>0</v>
      </c>
      <c r="E3112" s="167">
        <v>1</v>
      </c>
      <c r="F3112" s="168">
        <f t="shared" si="12"/>
        <v>0</v>
      </c>
      <c r="G3112" s="75"/>
      <c r="H3112" s="407">
        <v>206024</v>
      </c>
    </row>
    <row r="3113" spans="1:8" ht="13.2">
      <c r="A3113" s="49"/>
      <c r="B3113" s="16" t="s">
        <v>196</v>
      </c>
      <c r="C3113" s="143">
        <f>IFERROR(VLOOKUP(B3113,'Thống kê'!$C$3:$D$970,2, FALSE),VLOOKUP(B3113,'Thống kê v2 CC'!$A$3:$D$1005,3, FALSE))</f>
        <v>0</v>
      </c>
      <c r="D3113" s="166">
        <f>VLOOKUP(B3113,'Thống kê'!$C$3:$M$970,4,0)</f>
        <v>0</v>
      </c>
      <c r="E3113" s="167">
        <v>1</v>
      </c>
      <c r="F3113" s="168">
        <f t="shared" si="12"/>
        <v>0</v>
      </c>
      <c r="G3113" s="75"/>
      <c r="H3113" s="369"/>
    </row>
    <row r="3114" spans="1:8" ht="13.2">
      <c r="A3114" s="49"/>
      <c r="B3114" s="16" t="s">
        <v>93</v>
      </c>
      <c r="C3114" s="143">
        <f>IFERROR(VLOOKUP(B3114,'Thống kê'!$C$3:$D$970,2, FALSE),VLOOKUP(B3114,'Thống kê v2 CC'!$A$3:$D$1005,3, FALSE))</f>
        <v>0</v>
      </c>
      <c r="D3114" s="166">
        <f>VLOOKUP(B3114,'Thống kê'!$C$3:$M$970,4,0)</f>
        <v>0</v>
      </c>
      <c r="E3114" s="167">
        <v>1</v>
      </c>
      <c r="F3114" s="168">
        <f t="shared" si="12"/>
        <v>0</v>
      </c>
      <c r="G3114" s="75"/>
      <c r="H3114" s="369"/>
    </row>
    <row r="3115" spans="1:8" ht="13.2">
      <c r="A3115" s="64"/>
      <c r="B3115" s="16" t="s">
        <v>126</v>
      </c>
      <c r="C3115" s="143">
        <f>IFERROR(VLOOKUP(B3115,'Thống kê'!$C$3:$D$970,2, FALSE),VLOOKUP(B3115,'Thống kê v2 CC'!$A$3:$D$1005,3, FALSE))</f>
        <v>0</v>
      </c>
      <c r="D3115" s="166">
        <f>VLOOKUP(B3115,'Thống kê'!$C$3:$M$970,4,0)</f>
        <v>0</v>
      </c>
      <c r="E3115" s="167">
        <v>1</v>
      </c>
      <c r="F3115" s="168">
        <f t="shared" ref="F3115:F3369" si="13">D3115*E3115</f>
        <v>0</v>
      </c>
      <c r="G3115" s="75"/>
      <c r="H3115" s="205">
        <v>61861</v>
      </c>
    </row>
    <row r="3116" spans="1:8" ht="13.2">
      <c r="A3116" s="49"/>
      <c r="B3116" s="16" t="s">
        <v>227</v>
      </c>
      <c r="C3116" s="143" t="str">
        <f>IFERROR(VLOOKUP(B3116,'Thống kê'!$C$3:$D$970,2, FALSE),VLOOKUP(B3116,'Thống kê v2 CC'!$A$3:$D$1005,3, FALSE))</f>
        <v>Móc khóa đôi corgy</v>
      </c>
      <c r="D3116" s="166">
        <f>VLOOKUP(B3116,'Thống kê'!$C$3:$M$970,4,0)</f>
        <v>56580</v>
      </c>
      <c r="E3116" s="167">
        <v>1</v>
      </c>
      <c r="F3116" s="168">
        <f t="shared" si="13"/>
        <v>56580</v>
      </c>
      <c r="G3116" s="75"/>
      <c r="H3116" s="205">
        <v>46246</v>
      </c>
    </row>
    <row r="3117" spans="1:8" ht="13.2">
      <c r="A3117" s="49"/>
      <c r="B3117" s="16" t="s">
        <v>1359</v>
      </c>
      <c r="C3117" s="143" t="str">
        <f>IFERROR(VLOOKUP(B3117,'Thống kê'!$C$3:$D$970,2, FALSE),VLOOKUP(B3117,'Thống kê v2 CC'!$A$3:$D$1005,3, FALSE))</f>
        <v>Trang trí mô hình Cún</v>
      </c>
      <c r="D3117" s="166">
        <f>VLOOKUP(B3117,'Thống kê'!$C$3:$M$970,4,0)</f>
        <v>39000</v>
      </c>
      <c r="E3117" s="167">
        <v>1</v>
      </c>
      <c r="F3117" s="168">
        <f t="shared" si="13"/>
        <v>39000</v>
      </c>
      <c r="G3117" s="75"/>
      <c r="H3117" s="407">
        <v>341940</v>
      </c>
    </row>
    <row r="3118" spans="1:8" ht="13.2">
      <c r="A3118" s="49"/>
      <c r="B3118" s="16" t="s">
        <v>113</v>
      </c>
      <c r="C3118" s="143" t="str">
        <f>IFERROR(VLOOKUP(B3118,'Thống kê'!$C$3:$D$970,2, FALSE),VLOOKUP(B3118,'Thống kê v2 CC'!$A$3:$D$1005,3, FALSE))</f>
        <v>Móc khoá Dimoo size mini (hàng remake)</v>
      </c>
      <c r="D3118" s="166">
        <f>VLOOKUP(B3118,'Thống kê'!$C$3:$M$970,4,0)</f>
        <v>0</v>
      </c>
      <c r="E3118" s="167">
        <v>1</v>
      </c>
      <c r="F3118" s="168">
        <f t="shared" si="13"/>
        <v>0</v>
      </c>
      <c r="G3118" s="75"/>
      <c r="H3118" s="369"/>
    </row>
    <row r="3119" spans="1:8" ht="13.2">
      <c r="A3119" s="49"/>
      <c r="B3119" s="16" t="s">
        <v>1867</v>
      </c>
      <c r="C3119" s="143" t="str">
        <f>IFERROR(VLOOKUP(B3119,'Thống kê'!$C$3:$D$970,2, FALSE),VLOOKUP(B3119,'Thống kê v2 CC'!$A$3:$D$1005,3, FALSE))</f>
        <v>POP BEAN Pajama Party</v>
      </c>
      <c r="D3119" s="166" t="e">
        <f>VLOOKUP(B3119,'Thống kê'!$C$3:$M$970,4,0)</f>
        <v>#N/A</v>
      </c>
      <c r="E3119" s="167">
        <v>1</v>
      </c>
      <c r="F3119" s="168" t="e">
        <f t="shared" si="13"/>
        <v>#N/A</v>
      </c>
      <c r="G3119" s="75"/>
      <c r="H3119" s="369"/>
    </row>
    <row r="3120" spans="1:8" ht="13.2">
      <c r="A3120" s="49"/>
      <c r="B3120" s="16" t="s">
        <v>1868</v>
      </c>
      <c r="C3120" s="143" t="str">
        <f>IFERROR(VLOOKUP(B3120,'Thống kê'!$C$3:$D$970,2, FALSE),VLOOKUP(B3120,'Thống kê v2 CC'!$A$3:$D$1005,3, FALSE))</f>
        <v>POP BEAN Pajama Party</v>
      </c>
      <c r="D3120" s="166" t="e">
        <f>VLOOKUP(B3120,'Thống kê'!$C$3:$M$970,4,0)</f>
        <v>#N/A</v>
      </c>
      <c r="E3120" s="167">
        <v>1</v>
      </c>
      <c r="F3120" s="168" t="e">
        <f t="shared" si="13"/>
        <v>#N/A</v>
      </c>
      <c r="G3120" s="75"/>
      <c r="H3120" s="369"/>
    </row>
    <row r="3121" spans="1:8" ht="13.2">
      <c r="A3121" s="49"/>
      <c r="B3121" s="16" t="s">
        <v>1869</v>
      </c>
      <c r="C3121" s="143" t="str">
        <f>IFERROR(VLOOKUP(B3121,'Thống kê'!$C$3:$D$970,2, FALSE),VLOOKUP(B3121,'Thống kê v2 CC'!$A$3:$D$1005,3, FALSE))</f>
        <v>POP BEAN Pajama Party</v>
      </c>
      <c r="D3121" s="166" t="e">
        <f>VLOOKUP(B3121,'Thống kê'!$C$3:$M$970,4,0)</f>
        <v>#N/A</v>
      </c>
      <c r="E3121" s="167">
        <v>1</v>
      </c>
      <c r="F3121" s="168" t="e">
        <f t="shared" si="13"/>
        <v>#N/A</v>
      </c>
      <c r="G3121" s="75"/>
      <c r="H3121" s="369"/>
    </row>
    <row r="3122" spans="1:8" ht="13.2">
      <c r="A3122" s="49"/>
      <c r="B3122" s="16" t="s">
        <v>150</v>
      </c>
      <c r="C3122" s="143" t="str">
        <f>IFERROR(VLOOKUP(B3122,'Thống kê'!$C$3:$D$970,2, FALSE),VLOOKUP(B3122,'Thống kê v2 CC'!$A$3:$D$1005,3, FALSE))</f>
        <v>Móc khóa có chuông</v>
      </c>
      <c r="D3122" s="166">
        <f>VLOOKUP(B3122,'Thống kê'!$C$3:$M$970,4,0)</f>
        <v>59000</v>
      </c>
      <c r="E3122" s="167">
        <v>1</v>
      </c>
      <c r="F3122" s="168">
        <f t="shared" si="13"/>
        <v>59000</v>
      </c>
      <c r="G3122" s="75"/>
      <c r="H3122" s="205">
        <v>48886</v>
      </c>
    </row>
    <row r="3123" spans="1:8" ht="13.2">
      <c r="A3123" s="64"/>
      <c r="B3123" s="16" t="s">
        <v>242</v>
      </c>
      <c r="C3123" s="143">
        <f>IFERROR(VLOOKUP(B3123,'Thống kê'!$C$3:$D$970,2, FALSE),VLOOKUP(B3123,'Thống kê v2 CC'!$A$3:$D$1005,3, FALSE))</f>
        <v>0</v>
      </c>
      <c r="D3123" s="166">
        <f>VLOOKUP(B3123,'Thống kê'!$C$3:$M$970,4,0)</f>
        <v>0</v>
      </c>
      <c r="E3123" s="167">
        <v>1</v>
      </c>
      <c r="F3123" s="168">
        <f t="shared" si="13"/>
        <v>0</v>
      </c>
      <c r="G3123" s="75"/>
      <c r="H3123" s="205">
        <v>96210</v>
      </c>
    </row>
    <row r="3124" spans="1:8" ht="13.2">
      <c r="A3124" s="49"/>
      <c r="B3124" s="16" t="s">
        <v>221</v>
      </c>
      <c r="C3124" s="143">
        <f>IFERROR(VLOOKUP(B3124,'Thống kê'!$C$3:$D$970,2, FALSE),VLOOKUP(B3124,'Thống kê v2 CC'!$A$3:$D$1005,3, FALSE))</f>
        <v>0</v>
      </c>
      <c r="D3124" s="166">
        <f>VLOOKUP(B3124,'Thống kê'!$C$3:$M$970,4,0)</f>
        <v>0</v>
      </c>
      <c r="E3124" s="167">
        <v>1</v>
      </c>
      <c r="F3124" s="168">
        <f t="shared" si="13"/>
        <v>0</v>
      </c>
      <c r="G3124" s="75"/>
      <c r="H3124" s="205">
        <v>59179</v>
      </c>
    </row>
    <row r="3125" spans="1:8" ht="13.2">
      <c r="A3125" s="49"/>
      <c r="B3125" s="16" t="s">
        <v>1392</v>
      </c>
      <c r="C3125" s="143" t="str">
        <f>IFERROR(VLOOKUP(B3125,'Thống kê'!$C$3:$D$970,2, FALSE),VLOOKUP(B3125,'Thống kê v2 CC'!$A$3:$D$1005,3, FALSE))</f>
        <v>Móc khoá Labubu mini Popmart</v>
      </c>
      <c r="D3125" s="166">
        <f>VLOOKUP(B3125,'Thống kê'!$C$3:$M$970,4,0)</f>
        <v>0</v>
      </c>
      <c r="E3125" s="167">
        <v>1</v>
      </c>
      <c r="F3125" s="168">
        <f t="shared" si="13"/>
        <v>0</v>
      </c>
      <c r="G3125" s="75"/>
      <c r="H3125" s="407">
        <v>118080</v>
      </c>
    </row>
    <row r="3126" spans="1:8" ht="13.2">
      <c r="A3126" s="49"/>
      <c r="B3126" s="16" t="s">
        <v>259</v>
      </c>
      <c r="C3126" s="143" t="str">
        <f>IFERROR(VLOOKUP(B3126,'Thống kê'!$C$3:$D$970,2, FALSE),VLOOKUP(B3126,'Thống kê v2 CC'!$A$3:$D$1005,3, FALSE))</f>
        <v>Móc khoá Crybaby mini Popmart</v>
      </c>
      <c r="D3126" s="166">
        <f>VLOOKUP(B3126,'Thống kê'!$C$3:$M$970,4,0)</f>
        <v>0</v>
      </c>
      <c r="E3126" s="167">
        <v>1</v>
      </c>
      <c r="F3126" s="168">
        <f t="shared" si="13"/>
        <v>0</v>
      </c>
      <c r="G3126" s="75"/>
      <c r="H3126" s="369"/>
    </row>
    <row r="3127" spans="1:8" ht="13.2">
      <c r="A3127" s="49"/>
      <c r="B3127" s="16" t="s">
        <v>1870</v>
      </c>
      <c r="C3127" s="143" t="str">
        <f>IFERROR(VLOOKUP(B3127,'Thống kê'!$C$3:$D$970,2, FALSE),VLOOKUP(B3127,'Thống kê v2 CC'!$A$3:$D$1005,3, FALSE))</f>
        <v>POP BEAN Pajama Party</v>
      </c>
      <c r="D3127" s="166" t="e">
        <f>VLOOKUP(B3127,'Thống kê'!$C$3:$M$970,4,0)</f>
        <v>#N/A</v>
      </c>
      <c r="E3127" s="167">
        <v>1</v>
      </c>
      <c r="F3127" s="168" t="e">
        <f t="shared" si="13"/>
        <v>#N/A</v>
      </c>
      <c r="G3127" s="75"/>
      <c r="H3127" s="407">
        <v>221112</v>
      </c>
    </row>
    <row r="3128" spans="1:8" ht="13.2">
      <c r="A3128" s="49"/>
      <c r="B3128" s="16" t="s">
        <v>1499</v>
      </c>
      <c r="C3128" s="143">
        <f>IFERROR(VLOOKUP(B3128,'Thống kê'!$C$3:$D$970,2, FALSE),VLOOKUP(B3128,'Thống kê v2 CC'!$A$3:$D$1005,3, FALSE))</f>
        <v>0</v>
      </c>
      <c r="D3128" s="166">
        <f>VLOOKUP(B3128,'Thống kê'!$C$3:$M$970,4,0)</f>
        <v>0</v>
      </c>
      <c r="E3128" s="167">
        <v>1</v>
      </c>
      <c r="F3128" s="168">
        <f t="shared" si="13"/>
        <v>0</v>
      </c>
      <c r="G3128" s="75"/>
      <c r="H3128" s="369"/>
    </row>
    <row r="3129" spans="1:8" ht="13.2">
      <c r="A3129" s="49"/>
      <c r="B3129" s="16" t="s">
        <v>77</v>
      </c>
      <c r="C3129" s="143">
        <f>IFERROR(VLOOKUP(B3129,'Thống kê'!$C$3:$D$970,2, FALSE),VLOOKUP(B3129,'Thống kê v2 CC'!$A$3:$D$1005,3, FALSE))</f>
        <v>0</v>
      </c>
      <c r="D3129" s="166">
        <f>VLOOKUP(B3129,'Thống kê'!$C$3:$M$970,4,0)</f>
        <v>0</v>
      </c>
      <c r="E3129" s="167">
        <v>1</v>
      </c>
      <c r="F3129" s="168">
        <f t="shared" si="13"/>
        <v>0</v>
      </c>
      <c r="G3129" s="75"/>
      <c r="H3129" s="369"/>
    </row>
    <row r="3130" spans="1:8" ht="13.2">
      <c r="A3130" s="49"/>
      <c r="B3130" s="16" t="s">
        <v>206</v>
      </c>
      <c r="C3130" s="143" t="str">
        <f>IFERROR(VLOOKUP(B3130,'Thống kê'!$C$3:$D$970,2, FALSE),VLOOKUP(B3130,'Thống kê v2 CC'!$A$3:$D$1005,3, FALSE))</f>
        <v>Pop Bean Baked Bread</v>
      </c>
      <c r="D3130" s="166">
        <f>VLOOKUP(B3130,'Thống kê'!$C$3:$M$970,4,0)</f>
        <v>167000</v>
      </c>
      <c r="E3130" s="167">
        <v>1</v>
      </c>
      <c r="F3130" s="168">
        <f t="shared" si="13"/>
        <v>167000</v>
      </c>
      <c r="G3130" s="75"/>
      <c r="H3130" s="205">
        <v>124500</v>
      </c>
    </row>
    <row r="3131" spans="1:8" ht="13.2">
      <c r="A3131" s="49"/>
      <c r="B3131" s="16" t="s">
        <v>262</v>
      </c>
      <c r="C3131" s="143" t="str">
        <f>IFERROR(VLOOKUP(B3131,'Thống kê'!$C$3:$D$970,2, FALSE),VLOOKUP(B3131,'Thống kê v2 CC'!$A$3:$D$1005,3, FALSE))</f>
        <v>Pop Bean Baked Bread</v>
      </c>
      <c r="D3131" s="166">
        <f>VLOOKUP(B3131,'Thống kê'!$C$3:$M$970,4,0)</f>
        <v>167000</v>
      </c>
      <c r="E3131" s="167">
        <v>1</v>
      </c>
      <c r="F3131" s="168">
        <f t="shared" si="13"/>
        <v>167000</v>
      </c>
      <c r="G3131" s="75"/>
      <c r="H3131" s="407">
        <v>179040</v>
      </c>
    </row>
    <row r="3132" spans="1:8" ht="13.2">
      <c r="A3132" s="49"/>
      <c r="B3132" s="16" t="s">
        <v>1481</v>
      </c>
      <c r="C3132" s="143" t="str">
        <f>IFERROR(VLOOKUP(B3132,'Thống kê'!$C$3:$D$970,2, FALSE),VLOOKUP(B3132,'Thống kê v2 CC'!$A$3:$D$1005,3, FALSE))</f>
        <v>Móc khoá Dudu nhiều màu sắc treo túi, đeo điện thoại</v>
      </c>
      <c r="D3132" s="166">
        <f>VLOOKUP(B3132,'Thống kê'!$C$3:$M$970,4,0)</f>
        <v>45000</v>
      </c>
      <c r="E3132" s="167">
        <v>1</v>
      </c>
      <c r="F3132" s="168">
        <f t="shared" si="13"/>
        <v>45000</v>
      </c>
      <c r="G3132" s="75"/>
      <c r="H3132" s="369"/>
    </row>
    <row r="3133" spans="1:8" ht="13.2">
      <c r="A3133" s="49"/>
      <c r="B3133" s="16" t="s">
        <v>1487</v>
      </c>
      <c r="C3133" s="143" t="str">
        <f>IFERROR(VLOOKUP(B3133,'Thống kê'!$C$3:$D$970,2, FALSE),VLOOKUP(B3133,'Thống kê v2 CC'!$A$3:$D$1005,3, FALSE))</f>
        <v>Móc khoá Dudu nhiều màu sắc treo túi, đeo điện thoại</v>
      </c>
      <c r="D3133" s="166">
        <f>VLOOKUP(B3133,'Thống kê'!$C$3:$M$970,4,0)</f>
        <v>45000</v>
      </c>
      <c r="E3133" s="167">
        <v>1</v>
      </c>
      <c r="F3133" s="168">
        <f t="shared" si="13"/>
        <v>45000</v>
      </c>
      <c r="G3133" s="75"/>
      <c r="H3133" s="369"/>
    </row>
    <row r="3134" spans="1:8" ht="13.2">
      <c r="A3134" s="49"/>
      <c r="B3134" s="16" t="s">
        <v>96</v>
      </c>
      <c r="C3134" s="143">
        <f>IFERROR(VLOOKUP(B3134,'Thống kê'!$C$3:$D$970,2, FALSE),VLOOKUP(B3134,'Thống kê v2 CC'!$A$3:$D$1005,3, FALSE))</f>
        <v>0</v>
      </c>
      <c r="D3134" s="166">
        <f>VLOOKUP(B3134,'Thống kê'!$C$3:$M$970,4,0)</f>
        <v>0</v>
      </c>
      <c r="E3134" s="167">
        <v>1</v>
      </c>
      <c r="F3134" s="168">
        <f t="shared" si="13"/>
        <v>0</v>
      </c>
      <c r="G3134" s="75"/>
      <c r="H3134" s="205">
        <v>61711</v>
      </c>
    </row>
    <row r="3135" spans="1:8" ht="13.2">
      <c r="A3135" s="49"/>
      <c r="B3135" s="16" t="s">
        <v>133</v>
      </c>
      <c r="C3135" s="143">
        <f>IFERROR(VLOOKUP(B3135,'Thống kê'!$C$3:$D$970,2, FALSE),VLOOKUP(B3135,'Thống kê v2 CC'!$A$3:$D$1005,3, FALSE))</f>
        <v>0</v>
      </c>
      <c r="D3135" s="166">
        <f>VLOOKUP(B3135,'Thống kê'!$C$3:$M$970,4,0)</f>
        <v>0</v>
      </c>
      <c r="E3135" s="167">
        <v>1</v>
      </c>
      <c r="F3135" s="168">
        <f t="shared" si="13"/>
        <v>0</v>
      </c>
      <c r="G3135" s="75"/>
      <c r="H3135" s="205">
        <v>51404</v>
      </c>
    </row>
    <row r="3136" spans="1:8" ht="13.2">
      <c r="A3136" s="49"/>
      <c r="B3136" s="16" t="s">
        <v>1339</v>
      </c>
      <c r="C3136" s="143" t="str">
        <f>IFERROR(VLOOKUP(B3136,'Thống kê'!$C$3:$D$970,2, FALSE),VLOOKUP(B3136,'Thống kê v2 CC'!$A$3:$D$1005,3, FALSE))</f>
        <v>Móc khóa chuối</v>
      </c>
      <c r="D3136" s="166">
        <f>VLOOKUP(B3136,'Thống kê'!$C$3:$M$970,4,0)</f>
        <v>148000</v>
      </c>
      <c r="E3136" s="167">
        <v>1</v>
      </c>
      <c r="F3136" s="168">
        <f t="shared" si="13"/>
        <v>148000</v>
      </c>
      <c r="G3136" s="75"/>
      <c r="H3136" s="205">
        <v>497896</v>
      </c>
    </row>
    <row r="3137" spans="1:8" ht="13.2">
      <c r="A3137" s="49"/>
      <c r="B3137" s="16" t="s">
        <v>309</v>
      </c>
      <c r="C3137" s="143">
        <f>IFERROR(VLOOKUP(B3137,'Thống kê'!$C$3:$D$970,2, FALSE),VLOOKUP(B3137,'Thống kê v2 CC'!$A$3:$D$1005,3, FALSE))</f>
        <v>0</v>
      </c>
      <c r="D3137" s="166">
        <f>VLOOKUP(B3137,'Thống kê'!$C$3:$M$970,4,0)</f>
        <v>0</v>
      </c>
      <c r="E3137" s="167">
        <v>1</v>
      </c>
      <c r="F3137" s="168">
        <f t="shared" si="13"/>
        <v>0</v>
      </c>
      <c r="G3137" s="75"/>
      <c r="H3137" s="205"/>
    </row>
    <row r="3138" spans="1:8" ht="13.2">
      <c r="A3138" s="49"/>
      <c r="B3138" s="16" t="s">
        <v>310</v>
      </c>
      <c r="C3138" s="143" t="str">
        <f>IFERROR(VLOOKUP(B3138,'Thống kê'!$C$3:$D$970,2, FALSE),VLOOKUP(B3138,'Thống kê v2 CC'!$A$3:$D$1005,3, FALSE))</f>
        <v>Trang trí mô hình Heo</v>
      </c>
      <c r="D3138" s="166">
        <f>VLOOKUP(B3138,'Thống kê'!$C$3:$M$970,4,0)</f>
        <v>39000</v>
      </c>
      <c r="E3138" s="167">
        <v>1</v>
      </c>
      <c r="F3138" s="168">
        <f t="shared" si="13"/>
        <v>39000</v>
      </c>
      <c r="G3138" s="75"/>
      <c r="H3138" s="205"/>
    </row>
    <row r="3139" spans="1:8" ht="13.2">
      <c r="A3139" s="49"/>
      <c r="B3139" s="16" t="s">
        <v>1353</v>
      </c>
      <c r="C3139" s="143" t="str">
        <f>IFERROR(VLOOKUP(B3139,'Thống kê'!$C$3:$D$970,2, FALSE),VLOOKUP(B3139,'Thống kê v2 CC'!$A$3:$D$1005,3, FALSE))</f>
        <v>Trang trí mô hình Vịt</v>
      </c>
      <c r="D3139" s="166">
        <f>VLOOKUP(B3139,'Thống kê'!$C$3:$M$970,4,0)</f>
        <v>39000</v>
      </c>
      <c r="E3139" s="167">
        <v>1</v>
      </c>
      <c r="F3139" s="168">
        <f t="shared" si="13"/>
        <v>39000</v>
      </c>
      <c r="G3139" s="75"/>
      <c r="H3139" s="205"/>
    </row>
    <row r="3140" spans="1:8" ht="13.2">
      <c r="A3140" s="49"/>
      <c r="B3140" s="16" t="s">
        <v>96</v>
      </c>
      <c r="C3140" s="143">
        <f>IFERROR(VLOOKUP(B3140,'Thống kê'!$C$3:$D$970,2, FALSE),VLOOKUP(B3140,'Thống kê v2 CC'!$A$3:$D$1005,3, FALSE))</f>
        <v>0</v>
      </c>
      <c r="D3140" s="166">
        <f>VLOOKUP(B3140,'Thống kê'!$C$3:$M$970,4,0)</f>
        <v>0</v>
      </c>
      <c r="E3140" s="167">
        <v>1</v>
      </c>
      <c r="F3140" s="168">
        <f t="shared" si="13"/>
        <v>0</v>
      </c>
      <c r="G3140" s="75"/>
      <c r="H3140" s="205"/>
    </row>
    <row r="3141" spans="1:8" ht="13.2">
      <c r="A3141" s="49"/>
      <c r="B3141" s="16" t="s">
        <v>233</v>
      </c>
      <c r="C3141" s="143">
        <f>IFERROR(VLOOKUP(B3141,'Thống kê'!$C$3:$D$970,2, FALSE),VLOOKUP(B3141,'Thống kê v2 CC'!$A$3:$D$1005,3, FALSE))</f>
        <v>0</v>
      </c>
      <c r="D3141" s="166">
        <f>VLOOKUP(B3141,'Thống kê'!$C$3:$M$970,4,0)</f>
        <v>0</v>
      </c>
      <c r="E3141" s="167">
        <v>1</v>
      </c>
      <c r="F3141" s="168">
        <f t="shared" si="13"/>
        <v>0</v>
      </c>
      <c r="G3141" s="75"/>
      <c r="H3141" s="205"/>
    </row>
    <row r="3142" spans="1:8" ht="13.2">
      <c r="A3142" s="49"/>
      <c r="B3142" s="16" t="s">
        <v>133</v>
      </c>
      <c r="C3142" s="143">
        <f>IFERROR(VLOOKUP(B3142,'Thống kê'!$C$3:$D$970,2, FALSE),VLOOKUP(B3142,'Thống kê v2 CC'!$A$3:$D$1005,3, FALSE))</f>
        <v>0</v>
      </c>
      <c r="D3142" s="166">
        <f>VLOOKUP(B3142,'Thống kê'!$C$3:$M$970,4,0)</f>
        <v>0</v>
      </c>
      <c r="E3142" s="167">
        <v>1</v>
      </c>
      <c r="F3142" s="168">
        <f t="shared" si="13"/>
        <v>0</v>
      </c>
      <c r="G3142" s="75"/>
      <c r="H3142" s="205"/>
    </row>
    <row r="3143" spans="1:8" ht="13.2">
      <c r="A3143" s="49"/>
      <c r="B3143" s="16" t="s">
        <v>77</v>
      </c>
      <c r="C3143" s="143">
        <f>IFERROR(VLOOKUP(B3143,'Thống kê'!$C$3:$D$970,2, FALSE),VLOOKUP(B3143,'Thống kê v2 CC'!$A$3:$D$1005,3, FALSE))</f>
        <v>0</v>
      </c>
      <c r="D3143" s="166">
        <f>VLOOKUP(B3143,'Thống kê'!$C$3:$M$970,4,0)</f>
        <v>0</v>
      </c>
      <c r="E3143" s="167">
        <v>1</v>
      </c>
      <c r="F3143" s="168">
        <f t="shared" si="13"/>
        <v>0</v>
      </c>
      <c r="G3143" s="75"/>
      <c r="H3143" s="205"/>
    </row>
    <row r="3144" spans="1:8" ht="13.2">
      <c r="A3144" s="49"/>
      <c r="B3144" s="16" t="s">
        <v>176</v>
      </c>
      <c r="C3144" s="143">
        <f>IFERROR(VLOOKUP(B3144,'Thống kê'!$C$3:$D$970,2, FALSE),VLOOKUP(B3144,'Thống kê v2 CC'!$A$3:$D$1005,3, FALSE))</f>
        <v>0</v>
      </c>
      <c r="D3144" s="166">
        <f>VLOOKUP(B3144,'Thống kê'!$C$3:$M$970,4,0)</f>
        <v>0</v>
      </c>
      <c r="E3144" s="167">
        <v>1</v>
      </c>
      <c r="F3144" s="168">
        <f t="shared" si="13"/>
        <v>0</v>
      </c>
      <c r="G3144" s="75"/>
      <c r="H3144" s="205"/>
    </row>
    <row r="3145" spans="1:8" ht="13.2">
      <c r="A3145" s="49"/>
      <c r="B3145" s="16" t="s">
        <v>191</v>
      </c>
      <c r="C3145" s="143">
        <f>IFERROR(VLOOKUP(B3145,'Thống kê'!$C$3:$D$970,2, FALSE),VLOOKUP(B3145,'Thống kê v2 CC'!$A$3:$D$1005,3, FALSE))</f>
        <v>0</v>
      </c>
      <c r="D3145" s="166">
        <f>VLOOKUP(B3145,'Thống kê'!$C$3:$M$970,4,0)</f>
        <v>0</v>
      </c>
      <c r="E3145" s="167">
        <v>1</v>
      </c>
      <c r="F3145" s="168">
        <f t="shared" si="13"/>
        <v>0</v>
      </c>
      <c r="G3145" s="75"/>
      <c r="H3145" s="407">
        <v>224680</v>
      </c>
    </row>
    <row r="3146" spans="1:8" ht="13.2">
      <c r="A3146" s="49"/>
      <c r="B3146" s="16" t="s">
        <v>1516</v>
      </c>
      <c r="C3146" s="143">
        <f>IFERROR(VLOOKUP(B3146,'Thống kê'!$C$3:$D$970,2, FALSE),VLOOKUP(B3146,'Thống kê v2 CC'!$A$3:$D$1005,3, FALSE))</f>
        <v>0</v>
      </c>
      <c r="D3146" s="166">
        <f>VLOOKUP(B3146,'Thống kê'!$C$3:$M$970,4,0)</f>
        <v>0</v>
      </c>
      <c r="E3146" s="167">
        <v>1</v>
      </c>
      <c r="F3146" s="168">
        <f t="shared" si="13"/>
        <v>0</v>
      </c>
      <c r="G3146" s="75"/>
      <c r="H3146" s="369"/>
    </row>
    <row r="3147" spans="1:8" ht="13.2">
      <c r="A3147" s="49"/>
      <c r="B3147" s="16" t="s">
        <v>140</v>
      </c>
      <c r="C3147" s="143">
        <f>IFERROR(VLOOKUP(B3147,'Thống kê'!$C$3:$D$970,2, FALSE),VLOOKUP(B3147,'Thống kê v2 CC'!$A$3:$D$1005,3, FALSE))</f>
        <v>0</v>
      </c>
      <c r="D3147" s="166">
        <f>VLOOKUP(B3147,'Thống kê'!$C$3:$M$970,4,0)</f>
        <v>0</v>
      </c>
      <c r="E3147" s="167">
        <v>1</v>
      </c>
      <c r="F3147" s="168">
        <f t="shared" si="13"/>
        <v>0</v>
      </c>
      <c r="G3147" s="75"/>
      <c r="H3147" s="369"/>
    </row>
    <row r="3148" spans="1:8" ht="13.2">
      <c r="A3148" s="49"/>
      <c r="B3148" s="16" t="s">
        <v>323</v>
      </c>
      <c r="C3148" s="143">
        <f>IFERROR(VLOOKUP(B3148,'Thống kê'!$C$3:$D$970,2, FALSE),VLOOKUP(B3148,'Thống kê v2 CC'!$A$3:$D$1005,3, FALSE))</f>
        <v>0</v>
      </c>
      <c r="D3148" s="166">
        <f>VLOOKUP(B3148,'Thống kê'!$C$3:$M$970,4,0)</f>
        <v>0</v>
      </c>
      <c r="E3148" s="167">
        <v>1</v>
      </c>
      <c r="F3148" s="168">
        <f t="shared" si="13"/>
        <v>0</v>
      </c>
      <c r="G3148" s="75"/>
      <c r="H3148" s="369"/>
    </row>
    <row r="3149" spans="1:8" ht="13.2">
      <c r="A3149" s="49"/>
      <c r="B3149" s="16" t="s">
        <v>1602</v>
      </c>
      <c r="C3149" s="143" t="str">
        <f>IFERROR(VLOOKUP(B3149,'Thống kê'!$C$3:$D$970,2, FALSE),VLOOKUP(B3149,'Thống kê v2 CC'!$A$3:$D$1005,3, FALSE))</f>
        <v>Thước dây hồng đất</v>
      </c>
      <c r="D3149" s="166">
        <f>VLOOKUP(B3149,'Thống kê'!$C$3:$M$970,4,0)</f>
        <v>9000</v>
      </c>
      <c r="E3149" s="167">
        <v>1</v>
      </c>
      <c r="F3149" s="168">
        <f t="shared" si="13"/>
        <v>9000</v>
      </c>
      <c r="G3149" s="75"/>
      <c r="H3149" s="407">
        <v>14850</v>
      </c>
    </row>
    <row r="3150" spans="1:8" ht="13.2">
      <c r="A3150" s="49"/>
      <c r="B3150" s="16" t="s">
        <v>1605</v>
      </c>
      <c r="C3150" s="143" t="str">
        <f>IFERROR(VLOOKUP(B3150,'Thống kê'!$C$3:$D$970,2, FALSE),VLOOKUP(B3150,'Thống kê v2 CC'!$A$3:$D$1005,3, FALSE))</f>
        <v>Thước dây xanh</v>
      </c>
      <c r="D3150" s="166">
        <f>VLOOKUP(B3150,'Thống kê'!$C$3:$M$970,4,0)</f>
        <v>9000</v>
      </c>
      <c r="E3150" s="167">
        <v>1</v>
      </c>
      <c r="F3150" s="168">
        <f t="shared" si="13"/>
        <v>9000</v>
      </c>
      <c r="G3150" s="75"/>
      <c r="H3150" s="369"/>
    </row>
    <row r="3151" spans="1:8" ht="13.2">
      <c r="A3151" s="49"/>
      <c r="B3151" s="16" t="s">
        <v>323</v>
      </c>
      <c r="C3151" s="143">
        <f>IFERROR(VLOOKUP(B3151,'Thống kê'!$C$3:$D$970,2, FALSE),VLOOKUP(B3151,'Thống kê v2 CC'!$A$3:$D$1005,3, FALSE))</f>
        <v>0</v>
      </c>
      <c r="D3151" s="166">
        <f>VLOOKUP(B3151,'Thống kê'!$C$3:$M$970,4,0)</f>
        <v>0</v>
      </c>
      <c r="E3151" s="167">
        <v>1</v>
      </c>
      <c r="F3151" s="168">
        <f t="shared" si="13"/>
        <v>0</v>
      </c>
      <c r="G3151" s="75"/>
      <c r="H3151" s="205">
        <v>51679</v>
      </c>
    </row>
    <row r="3152" spans="1:8" ht="13.2">
      <c r="A3152" s="49"/>
      <c r="B3152" s="16" t="s">
        <v>140</v>
      </c>
      <c r="C3152" s="143">
        <f>IFERROR(VLOOKUP(B3152,'Thống kê'!$C$3:$D$970,2, FALSE),VLOOKUP(B3152,'Thống kê v2 CC'!$A$3:$D$1005,3, FALSE))</f>
        <v>0</v>
      </c>
      <c r="D3152" s="166">
        <f>VLOOKUP(B3152,'Thống kê'!$C$3:$M$970,4,0)</f>
        <v>0</v>
      </c>
      <c r="E3152" s="167">
        <v>1</v>
      </c>
      <c r="F3152" s="168">
        <f t="shared" si="13"/>
        <v>0</v>
      </c>
      <c r="G3152" s="75"/>
      <c r="H3152" s="205">
        <v>100040</v>
      </c>
    </row>
    <row r="3153" spans="1:8" ht="13.2">
      <c r="A3153" s="49"/>
      <c r="B3153" s="16" t="s">
        <v>1734</v>
      </c>
      <c r="C3153" s="143">
        <f>IFERROR(VLOOKUP(B3153,'Thống kê'!$C$3:$D$970,2, FALSE),VLOOKUP(B3153,'Thống kê v2 CC'!$A$3:$D$1005,3, FALSE))</f>
        <v>0</v>
      </c>
      <c r="D3153" s="166">
        <f>VLOOKUP(B3153,'Thống kê'!$C$3:$M$970,4,0)</f>
        <v>0</v>
      </c>
      <c r="E3153" s="167">
        <v>1</v>
      </c>
      <c r="F3153" s="168">
        <f t="shared" si="13"/>
        <v>0</v>
      </c>
      <c r="G3153" s="75"/>
      <c r="H3153" s="205">
        <v>56580</v>
      </c>
    </row>
    <row r="3154" spans="1:8" ht="13.2">
      <c r="A3154" s="49"/>
      <c r="B3154" s="16" t="s">
        <v>1869</v>
      </c>
      <c r="C3154" s="143" t="str">
        <f>IFERROR(VLOOKUP(B3154,'Thống kê'!$C$3:$D$970,2, FALSE),VLOOKUP(B3154,'Thống kê v2 CC'!$A$3:$D$1005,3, FALSE))</f>
        <v>POP BEAN Pajama Party</v>
      </c>
      <c r="D3154" s="166" t="e">
        <f>VLOOKUP(B3154,'Thống kê'!$C$3:$M$970,4,0)</f>
        <v>#N/A</v>
      </c>
      <c r="E3154" s="167">
        <v>1</v>
      </c>
      <c r="F3154" s="168" t="e">
        <f t="shared" si="13"/>
        <v>#N/A</v>
      </c>
      <c r="G3154" s="75"/>
      <c r="H3154" s="407">
        <v>161540</v>
      </c>
    </row>
    <row r="3155" spans="1:8" ht="13.2">
      <c r="A3155" s="49"/>
      <c r="B3155" s="16" t="s">
        <v>1871</v>
      </c>
      <c r="C3155" s="143" t="str">
        <f>IFERROR(VLOOKUP(B3155,'Thống kê'!$C$3:$D$970,2, FALSE),VLOOKUP(B3155,'Thống kê v2 CC'!$A$3:$D$1005,3, FALSE))</f>
        <v>POP BEAN Pajama Party</v>
      </c>
      <c r="D3155" s="166" t="e">
        <f>VLOOKUP(B3155,'Thống kê'!$C$3:$M$970,4,0)</f>
        <v>#N/A</v>
      </c>
      <c r="E3155" s="167">
        <v>1</v>
      </c>
      <c r="F3155" s="168" t="e">
        <f t="shared" si="13"/>
        <v>#N/A</v>
      </c>
      <c r="G3155" s="75"/>
      <c r="H3155" s="369"/>
    </row>
    <row r="3156" spans="1:8" ht="13.2">
      <c r="A3156" s="49"/>
      <c r="B3156" s="16" t="s">
        <v>126</v>
      </c>
      <c r="C3156" s="143">
        <f>IFERROR(VLOOKUP(B3156,'Thống kê'!$C$3:$D$970,2, FALSE),VLOOKUP(B3156,'Thống kê v2 CC'!$A$3:$D$1005,3, FALSE))</f>
        <v>0</v>
      </c>
      <c r="D3156" s="166">
        <f>VLOOKUP(B3156,'Thống kê'!$C$3:$M$970,4,0)</f>
        <v>0</v>
      </c>
      <c r="E3156" s="167">
        <v>1</v>
      </c>
      <c r="F3156" s="168">
        <f t="shared" si="13"/>
        <v>0</v>
      </c>
      <c r="G3156" s="75"/>
      <c r="H3156" s="407">
        <v>122180</v>
      </c>
    </row>
    <row r="3157" spans="1:8" ht="13.2">
      <c r="A3157" s="49"/>
      <c r="B3157" s="16" t="s">
        <v>200</v>
      </c>
      <c r="C3157" s="143">
        <f>IFERROR(VLOOKUP(B3157,'Thống kê'!$C$3:$D$970,2, FALSE),VLOOKUP(B3157,'Thống kê v2 CC'!$A$3:$D$1005,3, FALSE))</f>
        <v>0</v>
      </c>
      <c r="D3157" s="166">
        <f>VLOOKUP(B3157,'Thống kê'!$C$3:$M$970,4,0)</f>
        <v>0</v>
      </c>
      <c r="E3157" s="167">
        <v>1</v>
      </c>
      <c r="F3157" s="168">
        <f t="shared" si="13"/>
        <v>0</v>
      </c>
      <c r="G3157" s="75"/>
      <c r="H3157" s="369"/>
    </row>
    <row r="3158" spans="1:8" ht="13.2">
      <c r="A3158" s="49"/>
      <c r="B3158" s="16" t="s">
        <v>223</v>
      </c>
      <c r="C3158" s="143">
        <f>IFERROR(VLOOKUP(B3158,'Thống kê'!$C$3:$D$970,2, FALSE),VLOOKUP(B3158,'Thống kê v2 CC'!$A$3:$D$1005,3, FALSE))</f>
        <v>0</v>
      </c>
      <c r="D3158" s="166">
        <f>VLOOKUP(B3158,'Thống kê'!$C$3:$M$970,4,0)</f>
        <v>0</v>
      </c>
      <c r="E3158" s="167">
        <v>1</v>
      </c>
      <c r="F3158" s="168">
        <f t="shared" si="13"/>
        <v>0</v>
      </c>
      <c r="G3158" s="75"/>
      <c r="H3158" s="205">
        <v>67021</v>
      </c>
    </row>
    <row r="3159" spans="1:8" ht="13.2">
      <c r="A3159" s="64">
        <v>45796</v>
      </c>
      <c r="B3159" s="16" t="s">
        <v>133</v>
      </c>
      <c r="C3159" s="143">
        <f>IFERROR(VLOOKUP(B3159,'Thống kê'!$C$3:$D$970,2, FALSE),VLOOKUP(B3159,'Thống kê v2 CC'!$A$3:$D$1005,3, FALSE))</f>
        <v>0</v>
      </c>
      <c r="D3159" s="166">
        <f>VLOOKUP(B3159,'Thống kê'!$C$3:$M$970,4,0)</f>
        <v>0</v>
      </c>
      <c r="E3159" s="167">
        <v>1</v>
      </c>
      <c r="F3159" s="168">
        <f t="shared" si="13"/>
        <v>0</v>
      </c>
      <c r="G3159" s="75"/>
      <c r="H3159" s="205">
        <v>52054</v>
      </c>
    </row>
    <row r="3160" spans="1:8" ht="13.2">
      <c r="A3160" s="64"/>
      <c r="B3160" s="16" t="s">
        <v>1382</v>
      </c>
      <c r="C3160" s="143" t="str">
        <f>IFERROR(VLOOKUP(B3160,'Thống kê'!$C$3:$D$970,2, FALSE),VLOOKUP(B3160,'Thống kê v2 CC'!$A$3:$D$1005,3, FALSE))</f>
        <v>miếng dán silicon điện thoại</v>
      </c>
      <c r="D3160" s="166">
        <f>VLOOKUP(B3160,'Thống kê'!$C$3:$M$970,4,0)</f>
        <v>0</v>
      </c>
      <c r="E3160" s="167">
        <v>5</v>
      </c>
      <c r="F3160" s="168">
        <f t="shared" si="13"/>
        <v>0</v>
      </c>
      <c r="G3160" s="75"/>
      <c r="H3160" s="205">
        <v>12450</v>
      </c>
    </row>
    <row r="3161" spans="1:8" ht="13.2">
      <c r="A3161" s="49"/>
      <c r="B3161" s="16" t="s">
        <v>133</v>
      </c>
      <c r="C3161" s="143">
        <f>IFERROR(VLOOKUP(B3161,'Thống kê'!$C$3:$D$970,2, FALSE),VLOOKUP(B3161,'Thống kê v2 CC'!$A$3:$D$1005,3, FALSE))</f>
        <v>0</v>
      </c>
      <c r="D3161" s="166">
        <f>VLOOKUP(B3161,'Thống kê'!$C$3:$M$970,4,0)</f>
        <v>0</v>
      </c>
      <c r="E3161" s="167">
        <v>1</v>
      </c>
      <c r="F3161" s="168">
        <f t="shared" si="13"/>
        <v>0</v>
      </c>
      <c r="G3161" s="75"/>
      <c r="H3161" s="205">
        <v>100040</v>
      </c>
    </row>
    <row r="3162" spans="1:8" ht="13.2">
      <c r="A3162" s="49"/>
      <c r="B3162" s="16" t="s">
        <v>1364</v>
      </c>
      <c r="C3162" s="143" t="str">
        <f>IFERROR(VLOOKUP(B3162,'Thống kê'!$C$3:$D$970,2, FALSE),VLOOKUP(B3162,'Thống kê v2 CC'!$A$3:$D$1005,3, FALSE))</f>
        <v>Móc khóa Popbean</v>
      </c>
      <c r="D3162" s="166">
        <f>VLOOKUP(B3162,'Thống kê'!$C$3:$M$970,4,0)</f>
        <v>148000</v>
      </c>
      <c r="E3162" s="167">
        <v>1</v>
      </c>
      <c r="F3162" s="168">
        <f t="shared" si="13"/>
        <v>148000</v>
      </c>
      <c r="G3162" s="75"/>
      <c r="H3162" s="205">
        <v>122590</v>
      </c>
    </row>
    <row r="3163" spans="1:8" ht="13.2">
      <c r="A3163" s="49"/>
      <c r="B3163" s="16" t="s">
        <v>1525</v>
      </c>
      <c r="C3163" s="143">
        <f>IFERROR(VLOOKUP(B3163,'Thống kê'!$C$3:$D$970,2, FALSE),VLOOKUP(B3163,'Thống kê v2 CC'!$A$3:$D$1005,3, FALSE))</f>
        <v>0</v>
      </c>
      <c r="D3163" s="166">
        <f>VLOOKUP(B3163,'Thống kê'!$C$3:$M$970,4,0)</f>
        <v>0</v>
      </c>
      <c r="E3163" s="167">
        <v>1</v>
      </c>
      <c r="F3163" s="168">
        <f t="shared" si="13"/>
        <v>0</v>
      </c>
      <c r="G3163" s="75"/>
      <c r="H3163" s="407">
        <v>106600</v>
      </c>
    </row>
    <row r="3164" spans="1:8" ht="13.2">
      <c r="A3164" s="49"/>
      <c r="B3164" s="16" t="s">
        <v>133</v>
      </c>
      <c r="C3164" s="143">
        <f>IFERROR(VLOOKUP(B3164,'Thống kê'!$C$3:$D$970,2, FALSE),VLOOKUP(B3164,'Thống kê v2 CC'!$A$3:$D$1005,3, FALSE))</f>
        <v>0</v>
      </c>
      <c r="D3164" s="166">
        <f>VLOOKUP(B3164,'Thống kê'!$C$3:$M$970,4,0)</f>
        <v>0</v>
      </c>
      <c r="E3164" s="167">
        <v>1</v>
      </c>
      <c r="F3164" s="168">
        <f t="shared" si="13"/>
        <v>0</v>
      </c>
      <c r="G3164" s="75"/>
      <c r="H3164" s="369"/>
    </row>
    <row r="3165" spans="1:8" ht="13.2">
      <c r="A3165" s="49"/>
      <c r="B3165" s="16" t="s">
        <v>1384</v>
      </c>
      <c r="C3165" s="143" t="str">
        <f>IFERROR(VLOOKUP(B3165,'Thống kê'!$C$3:$D$970,2, FALSE),VLOOKUP(B3165,'Thống kê v2 CC'!$A$3:$D$1005,3, FALSE))</f>
        <v>Móc khoá Crybaby mini Popmart</v>
      </c>
      <c r="D3165" s="166">
        <f>VLOOKUP(B3165,'Thống kê'!$C$3:$M$970,4,0)</f>
        <v>0</v>
      </c>
      <c r="E3165" s="167">
        <v>1</v>
      </c>
      <c r="F3165" s="168">
        <f t="shared" si="13"/>
        <v>0</v>
      </c>
      <c r="G3165" s="75"/>
      <c r="H3165" s="205">
        <v>74536</v>
      </c>
    </row>
    <row r="3166" spans="1:8" ht="13.2">
      <c r="A3166" s="49"/>
      <c r="B3166" s="16" t="s">
        <v>126</v>
      </c>
      <c r="C3166" s="143">
        <f>IFERROR(VLOOKUP(B3166,'Thống kê'!$C$3:$D$970,2, FALSE),VLOOKUP(B3166,'Thống kê v2 CC'!$A$3:$D$1005,3, FALSE))</f>
        <v>0</v>
      </c>
      <c r="D3166" s="166">
        <f>VLOOKUP(B3166,'Thống kê'!$C$3:$M$970,4,0)</f>
        <v>0</v>
      </c>
      <c r="E3166" s="167">
        <v>1</v>
      </c>
      <c r="F3166" s="168">
        <f t="shared" si="13"/>
        <v>0</v>
      </c>
      <c r="G3166" s="75"/>
      <c r="H3166" s="205">
        <v>61861</v>
      </c>
    </row>
    <row r="3167" spans="1:8" ht="13.2">
      <c r="A3167" s="49"/>
      <c r="B3167" s="16" t="s">
        <v>138</v>
      </c>
      <c r="C3167" s="143" t="str">
        <f>IFERROR(VLOOKUP(B3167,'Thống kê'!$C$3:$D$970,2, FALSE),VLOOKUP(B3167,'Thống kê v2 CC'!$A$3:$D$1005,3, FALSE))</f>
        <v>Móc khoá Crybaby mini Popmart</v>
      </c>
      <c r="D3167" s="166">
        <f>VLOOKUP(B3167,'Thống kê'!$C$3:$M$970,4,0)</f>
        <v>0</v>
      </c>
      <c r="E3167" s="167">
        <v>1</v>
      </c>
      <c r="F3167" s="168">
        <f t="shared" si="13"/>
        <v>0</v>
      </c>
      <c r="G3167" s="75"/>
      <c r="H3167" s="407">
        <v>150060</v>
      </c>
    </row>
    <row r="3168" spans="1:8" ht="13.2">
      <c r="A3168" s="49"/>
      <c r="B3168" s="16" t="s">
        <v>259</v>
      </c>
      <c r="C3168" s="143" t="str">
        <f>IFERROR(VLOOKUP(B3168,'Thống kê'!$C$3:$D$970,2, FALSE),VLOOKUP(B3168,'Thống kê v2 CC'!$A$3:$D$1005,3, FALSE))</f>
        <v>Móc khoá Crybaby mini Popmart</v>
      </c>
      <c r="D3168" s="166">
        <f>VLOOKUP(B3168,'Thống kê'!$C$3:$M$970,4,0)</f>
        <v>0</v>
      </c>
      <c r="E3168" s="167">
        <v>1</v>
      </c>
      <c r="F3168" s="168">
        <f t="shared" si="13"/>
        <v>0</v>
      </c>
      <c r="G3168" s="75"/>
      <c r="H3168" s="369"/>
    </row>
    <row r="3169" spans="1:8" ht="13.2">
      <c r="A3169" s="49"/>
      <c r="B3169" s="16" t="s">
        <v>118</v>
      </c>
      <c r="C3169" s="143">
        <f>IFERROR(VLOOKUP(B3169,'Thống kê'!$C$3:$D$970,2, FALSE),VLOOKUP(B3169,'Thống kê v2 CC'!$A$3:$D$1005,3, FALSE))</f>
        <v>0</v>
      </c>
      <c r="D3169" s="166">
        <f>VLOOKUP(B3169,'Thống kê'!$C$3:$M$970,4,0)</f>
        <v>0</v>
      </c>
      <c r="E3169" s="167">
        <v>1</v>
      </c>
      <c r="F3169" s="168">
        <f t="shared" si="13"/>
        <v>0</v>
      </c>
      <c r="G3169" s="75"/>
      <c r="H3169" s="205">
        <v>56580</v>
      </c>
    </row>
    <row r="3170" spans="1:8" ht="13.2">
      <c r="A3170" s="49"/>
      <c r="B3170" s="16" t="s">
        <v>201</v>
      </c>
      <c r="C3170" s="143">
        <f>IFERROR(VLOOKUP(B3170,'Thống kê'!$C$3:$D$970,2, FALSE),VLOOKUP(B3170,'Thống kê v2 CC'!$A$3:$D$1005,3, FALSE))</f>
        <v>0</v>
      </c>
      <c r="D3170" s="166">
        <f>VLOOKUP(B3170,'Thống kê'!$C$3:$M$970,4,0)</f>
        <v>0</v>
      </c>
      <c r="E3170" s="167">
        <v>1</v>
      </c>
      <c r="F3170" s="168">
        <f t="shared" si="13"/>
        <v>0</v>
      </c>
      <c r="G3170" s="75"/>
      <c r="H3170" s="205">
        <v>144420</v>
      </c>
    </row>
    <row r="3171" spans="1:8" ht="13.2">
      <c r="A3171" s="49"/>
      <c r="B3171" s="16" t="s">
        <v>127</v>
      </c>
      <c r="C3171" s="143">
        <f>IFERROR(VLOOKUP(B3171,'Thống kê'!$C$3:$D$970,2, FALSE),VLOOKUP(B3171,'Thống kê v2 CC'!$A$3:$D$1005,3, FALSE))</f>
        <v>0</v>
      </c>
      <c r="D3171" s="166">
        <f>VLOOKUP(B3171,'Thống kê'!$C$3:$M$970,4,0)</f>
        <v>0</v>
      </c>
      <c r="E3171" s="167">
        <v>1</v>
      </c>
      <c r="F3171" s="168">
        <f t="shared" si="13"/>
        <v>0</v>
      </c>
      <c r="G3171" s="75"/>
      <c r="H3171" s="407">
        <v>189420</v>
      </c>
    </row>
    <row r="3172" spans="1:8" ht="13.2">
      <c r="A3172" s="49"/>
      <c r="B3172" s="16" t="s">
        <v>191</v>
      </c>
      <c r="C3172" s="143">
        <f>IFERROR(VLOOKUP(B3172,'Thống kê'!$C$3:$D$970,2, FALSE),VLOOKUP(B3172,'Thống kê v2 CC'!$A$3:$D$1005,3, FALSE))</f>
        <v>0</v>
      </c>
      <c r="D3172" s="166">
        <f>VLOOKUP(B3172,'Thống kê'!$C$3:$M$970,4,0)</f>
        <v>0</v>
      </c>
      <c r="E3172" s="167">
        <v>1</v>
      </c>
      <c r="F3172" s="168">
        <f t="shared" si="13"/>
        <v>0</v>
      </c>
      <c r="G3172" s="75"/>
      <c r="H3172" s="369"/>
    </row>
    <row r="3173" spans="1:8" ht="13.2">
      <c r="A3173" s="49"/>
      <c r="B3173" s="16" t="s">
        <v>96</v>
      </c>
      <c r="C3173" s="143">
        <f>IFERROR(VLOOKUP(B3173,'Thống kê'!$C$3:$D$970,2, FALSE),VLOOKUP(B3173,'Thống kê v2 CC'!$A$3:$D$1005,3, FALSE))</f>
        <v>0</v>
      </c>
      <c r="D3173" s="166">
        <f>VLOOKUP(B3173,'Thống kê'!$C$3:$M$970,4,0)</f>
        <v>0</v>
      </c>
      <c r="E3173" s="167">
        <v>1</v>
      </c>
      <c r="F3173" s="168">
        <f t="shared" si="13"/>
        <v>0</v>
      </c>
      <c r="G3173" s="75"/>
      <c r="H3173" s="369"/>
    </row>
    <row r="3174" spans="1:8" ht="13.2">
      <c r="A3174" s="49"/>
      <c r="B3174" s="16" t="s">
        <v>125</v>
      </c>
      <c r="C3174" s="143">
        <f>IFERROR(VLOOKUP(B3174,'Thống kê'!$C$3:$D$970,2, FALSE),VLOOKUP(B3174,'Thống kê v2 CC'!$A$3:$D$1005,3, FALSE))</f>
        <v>0</v>
      </c>
      <c r="D3174" s="166">
        <f>VLOOKUP(B3174,'Thống kê'!$C$3:$M$970,4,0)</f>
        <v>0</v>
      </c>
      <c r="E3174" s="167">
        <v>1</v>
      </c>
      <c r="F3174" s="168">
        <f t="shared" si="13"/>
        <v>0</v>
      </c>
      <c r="G3174" s="75"/>
      <c r="H3174" s="205">
        <v>54317</v>
      </c>
    </row>
    <row r="3175" spans="1:8" ht="13.2">
      <c r="A3175" s="49"/>
      <c r="B3175" s="16" t="s">
        <v>133</v>
      </c>
      <c r="C3175" s="143">
        <f>IFERROR(VLOOKUP(B3175,'Thống kê'!$C$3:$D$970,2, FALSE),VLOOKUP(B3175,'Thống kê v2 CC'!$A$3:$D$1005,3, FALSE))</f>
        <v>0</v>
      </c>
      <c r="D3175" s="166">
        <f>VLOOKUP(B3175,'Thống kê'!$C$3:$M$970,4,0)</f>
        <v>0</v>
      </c>
      <c r="E3175" s="167">
        <v>1</v>
      </c>
      <c r="F3175" s="168">
        <f t="shared" si="13"/>
        <v>0</v>
      </c>
      <c r="G3175" s="75"/>
      <c r="H3175" s="205">
        <v>52054</v>
      </c>
    </row>
    <row r="3176" spans="1:8" ht="13.2">
      <c r="A3176" s="64"/>
      <c r="B3176" s="16" t="s">
        <v>299</v>
      </c>
      <c r="C3176" s="143">
        <f>IFERROR(VLOOKUP(B3176,'Thống kê'!$C$3:$D$970,2, FALSE),VLOOKUP(B3176,'Thống kê v2 CC'!$A$3:$D$1005,3, FALSE))</f>
        <v>0</v>
      </c>
      <c r="D3176" s="166">
        <f>VLOOKUP(B3176,'Thống kê'!$C$3:$M$970,4,0)</f>
        <v>0</v>
      </c>
      <c r="E3176" s="167">
        <v>1</v>
      </c>
      <c r="F3176" s="168">
        <f t="shared" si="13"/>
        <v>0</v>
      </c>
      <c r="G3176" s="75"/>
      <c r="H3176" s="205">
        <v>51904</v>
      </c>
    </row>
    <row r="3177" spans="1:8" ht="13.2">
      <c r="A3177" s="64">
        <v>45797</v>
      </c>
      <c r="B3177" s="16" t="s">
        <v>96</v>
      </c>
      <c r="C3177" s="143">
        <f>IFERROR(VLOOKUP(B3177,'Thống kê'!$C$3:$D$970,2, FALSE),VLOOKUP(B3177,'Thống kê v2 CC'!$A$3:$D$1005,3, FALSE))</f>
        <v>0</v>
      </c>
      <c r="D3177" s="166">
        <f>VLOOKUP(B3177,'Thống kê'!$C$3:$M$970,4,0)</f>
        <v>0</v>
      </c>
      <c r="E3177" s="167">
        <v>1</v>
      </c>
      <c r="F3177" s="168">
        <f t="shared" si="13"/>
        <v>0</v>
      </c>
      <c r="G3177" s="75"/>
      <c r="H3177" s="205">
        <v>59040</v>
      </c>
    </row>
    <row r="3178" spans="1:8" ht="13.2">
      <c r="A3178" s="49"/>
      <c r="B3178" s="16" t="s">
        <v>116</v>
      </c>
      <c r="C3178" s="143" t="str">
        <f>IFERROR(VLOOKUP(B3178,'Thống kê'!$C$3:$D$970,2, FALSE),VLOOKUP(B3178,'Thống kê v2 CC'!$A$3:$D$1005,3, FALSE))</f>
        <v>heo ú cầm hoa</v>
      </c>
      <c r="D3178" s="166">
        <f>VLOOKUP(B3178,'Thống kê'!$C$3:$M$970,4,0)</f>
        <v>64500</v>
      </c>
      <c r="E3178" s="167">
        <v>1</v>
      </c>
      <c r="F3178" s="168">
        <f t="shared" si="13"/>
        <v>64500</v>
      </c>
      <c r="G3178" s="75"/>
      <c r="H3178" s="205">
        <v>60567</v>
      </c>
    </row>
    <row r="3179" spans="1:8" ht="13.2">
      <c r="A3179" s="49"/>
      <c r="B3179" s="16" t="s">
        <v>1401</v>
      </c>
      <c r="C3179" s="143" t="str">
        <f>IFERROR(VLOOKUP(B3179,'Thống kê'!$C$3:$D$970,2, FALSE),VLOOKUP(B3179,'Thống kê v2 CC'!$A$3:$D$1005,3, FALSE))</f>
        <v>Móc khoá Dimoo size mini (hàng remake)</v>
      </c>
      <c r="D3179" s="166">
        <f>VLOOKUP(B3179,'Thống kê'!$C$3:$M$970,4,0)</f>
        <v>0</v>
      </c>
      <c r="E3179" s="167">
        <v>1</v>
      </c>
      <c r="F3179" s="168">
        <f t="shared" si="13"/>
        <v>0</v>
      </c>
      <c r="G3179" s="75"/>
      <c r="H3179" s="205">
        <v>66420</v>
      </c>
    </row>
    <row r="3180" spans="1:8" ht="13.2">
      <c r="A3180" s="49"/>
      <c r="B3180" s="16" t="s">
        <v>279</v>
      </c>
      <c r="C3180" s="143">
        <f>IFERROR(VLOOKUP(B3180,'Thống kê'!$C$3:$D$970,2, FALSE),VLOOKUP(B3180,'Thống kê v2 CC'!$A$3:$D$1005,3, FALSE))</f>
        <v>0</v>
      </c>
      <c r="D3180" s="166">
        <f>VLOOKUP(B3180,'Thống kê'!$C$3:$M$970,4,0)</f>
        <v>0</v>
      </c>
      <c r="E3180" s="167">
        <v>1</v>
      </c>
      <c r="F3180" s="168">
        <f t="shared" si="13"/>
        <v>0</v>
      </c>
      <c r="G3180" s="75"/>
      <c r="H3180" s="205">
        <v>54317</v>
      </c>
    </row>
    <row r="3181" spans="1:8" ht="13.2">
      <c r="A3181" s="49"/>
      <c r="B3181" s="16" t="s">
        <v>201</v>
      </c>
      <c r="C3181" s="143">
        <f>IFERROR(VLOOKUP(B3181,'Thống kê'!$C$3:$D$970,2, FALSE),VLOOKUP(B3181,'Thống kê v2 CC'!$A$3:$D$1005,3, FALSE))</f>
        <v>0</v>
      </c>
      <c r="D3181" s="166">
        <f>VLOOKUP(B3181,'Thống kê'!$C$3:$M$970,4,0)</f>
        <v>0</v>
      </c>
      <c r="E3181" s="167">
        <v>1</v>
      </c>
      <c r="F3181" s="168">
        <f t="shared" si="13"/>
        <v>0</v>
      </c>
      <c r="G3181" s="75"/>
      <c r="H3181" s="205">
        <v>144195</v>
      </c>
    </row>
    <row r="3182" spans="1:8" ht="13.2">
      <c r="A3182" s="49"/>
      <c r="B3182" s="16" t="s">
        <v>273</v>
      </c>
      <c r="C3182" s="143">
        <f>IFERROR(VLOOKUP(B3182,'Thống kê'!$C$3:$D$970,2, FALSE),VLOOKUP(B3182,'Thống kê v2 CC'!$A$3:$D$1005,3, FALSE))</f>
        <v>0</v>
      </c>
      <c r="D3182" s="166">
        <f>VLOOKUP(B3182,'Thống kê'!$C$3:$M$970,4,0)</f>
        <v>0</v>
      </c>
      <c r="E3182" s="167">
        <v>1</v>
      </c>
      <c r="F3182" s="168">
        <f t="shared" si="13"/>
        <v>0</v>
      </c>
      <c r="G3182" s="75"/>
      <c r="H3182" s="205">
        <v>113999</v>
      </c>
    </row>
    <row r="3183" spans="1:8" ht="13.2">
      <c r="A3183" s="49"/>
      <c r="B3183" s="16" t="s">
        <v>119</v>
      </c>
      <c r="C3183" s="143" t="str">
        <f>IFERROR(VLOOKUP(B3183,'Thống kê'!$C$3:$D$970,2, FALSE),VLOOKUP(B3183,'Thống kê v2 CC'!$A$3:$D$1005,3, FALSE))</f>
        <v>Thỏ chạy xe gắn xe</v>
      </c>
      <c r="D3183" s="166">
        <f>VLOOKUP(B3183,'Thống kê'!$C$3:$M$970,4,0)</f>
        <v>45000</v>
      </c>
      <c r="E3183" s="167">
        <v>1</v>
      </c>
      <c r="F3183" s="168">
        <f t="shared" si="13"/>
        <v>45000</v>
      </c>
      <c r="G3183" s="75"/>
      <c r="H3183" s="407">
        <v>235340</v>
      </c>
    </row>
    <row r="3184" spans="1:8" ht="13.2">
      <c r="A3184" s="49"/>
      <c r="B3184" s="16" t="s">
        <v>234</v>
      </c>
      <c r="C3184" s="143" t="str">
        <f>IFERROR(VLOOKUP(B3184,'Thống kê'!$C$3:$D$970,2, FALSE),VLOOKUP(B3184,'Thống kê v2 CC'!$A$3:$D$1005,3, FALSE))</f>
        <v>Móc khoá skullpanda phiên bản mini</v>
      </c>
      <c r="D3184" s="166">
        <f>VLOOKUP(B3184,'Thống kê'!$C$3:$M$970,4,0)</f>
        <v>98000</v>
      </c>
      <c r="E3184" s="167">
        <v>1</v>
      </c>
      <c r="F3184" s="168">
        <f t="shared" si="13"/>
        <v>98000</v>
      </c>
      <c r="G3184" s="75"/>
      <c r="H3184" s="369"/>
    </row>
    <row r="3185" spans="1:8" ht="13.2">
      <c r="A3185" s="49"/>
      <c r="B3185" s="16" t="s">
        <v>1872</v>
      </c>
      <c r="C3185" s="143" t="str">
        <f>IFERROR(VLOOKUP(B3185,'Thống kê'!$C$3:$D$970,2, FALSE),VLOOKUP(B3185,'Thống kê v2 CC'!$A$3:$D$1005,3, FALSE))</f>
        <v>POP BEAN Pajama Party</v>
      </c>
      <c r="D3185" s="166" t="e">
        <f>VLOOKUP(B3185,'Thống kê'!$C$3:$M$970,4,0)</f>
        <v>#N/A</v>
      </c>
      <c r="E3185" s="167">
        <v>1</v>
      </c>
      <c r="F3185" s="168" t="e">
        <f t="shared" si="13"/>
        <v>#N/A</v>
      </c>
      <c r="G3185" s="75"/>
      <c r="H3185" s="369"/>
    </row>
    <row r="3186" spans="1:8" ht="13.2">
      <c r="A3186" s="49"/>
      <c r="B3186" s="16" t="s">
        <v>206</v>
      </c>
      <c r="C3186" s="143" t="str">
        <f>IFERROR(VLOOKUP(B3186,'Thống kê'!$C$3:$D$970,2, FALSE),VLOOKUP(B3186,'Thống kê v2 CC'!$A$3:$D$1005,3, FALSE))</f>
        <v>Pop Bean Baked Bread</v>
      </c>
      <c r="D3186" s="166">
        <f>VLOOKUP(B3186,'Thống kê'!$C$3:$M$970,4,0)</f>
        <v>167000</v>
      </c>
      <c r="E3186" s="167">
        <v>1</v>
      </c>
      <c r="F3186" s="168">
        <f t="shared" si="13"/>
        <v>167000</v>
      </c>
      <c r="G3186" s="75"/>
      <c r="H3186" s="205">
        <v>124500</v>
      </c>
    </row>
    <row r="3187" spans="1:8" ht="13.2">
      <c r="A3187" s="49"/>
      <c r="B3187" s="16" t="s">
        <v>150</v>
      </c>
      <c r="C3187" s="143" t="str">
        <f>IFERROR(VLOOKUP(B3187,'Thống kê'!$C$3:$D$970,2, FALSE),VLOOKUP(B3187,'Thống kê v2 CC'!$A$3:$D$1005,3, FALSE))</f>
        <v>Móc khóa có chuông</v>
      </c>
      <c r="D3187" s="166">
        <f>VLOOKUP(B3187,'Thống kê'!$C$3:$M$970,4,0)</f>
        <v>59000</v>
      </c>
      <c r="E3187" s="167">
        <v>1</v>
      </c>
      <c r="F3187" s="168">
        <f t="shared" si="13"/>
        <v>59000</v>
      </c>
      <c r="G3187" s="75"/>
      <c r="H3187" s="205">
        <v>49036</v>
      </c>
    </row>
    <row r="3188" spans="1:8" ht="13.2">
      <c r="A3188" s="49"/>
      <c r="B3188" s="16" t="s">
        <v>1516</v>
      </c>
      <c r="C3188" s="143">
        <f>IFERROR(VLOOKUP(B3188,'Thống kê'!$C$3:$D$970,2, FALSE),VLOOKUP(B3188,'Thống kê v2 CC'!$A$3:$D$1005,3, FALSE))</f>
        <v>0</v>
      </c>
      <c r="D3188" s="166">
        <f>VLOOKUP(B3188,'Thống kê'!$C$3:$M$970,4,0)</f>
        <v>0</v>
      </c>
      <c r="E3188" s="167">
        <v>1</v>
      </c>
      <c r="F3188" s="168">
        <f t="shared" si="13"/>
        <v>0</v>
      </c>
      <c r="G3188" s="75"/>
      <c r="H3188" s="205">
        <v>90814</v>
      </c>
    </row>
    <row r="3189" spans="1:8" ht="13.2">
      <c r="A3189" s="49"/>
      <c r="B3189" s="16" t="s">
        <v>126</v>
      </c>
      <c r="C3189" s="143">
        <f>IFERROR(VLOOKUP(B3189,'Thống kê'!$C$3:$D$970,2, FALSE),VLOOKUP(B3189,'Thống kê v2 CC'!$A$3:$D$1005,3, FALSE))</f>
        <v>0</v>
      </c>
      <c r="D3189" s="166">
        <f>VLOOKUP(B3189,'Thống kê'!$C$3:$M$970,4,0)</f>
        <v>0</v>
      </c>
      <c r="E3189" s="167">
        <v>1</v>
      </c>
      <c r="F3189" s="168">
        <f t="shared" si="13"/>
        <v>0</v>
      </c>
      <c r="G3189" s="75"/>
      <c r="H3189" s="407">
        <v>210740</v>
      </c>
    </row>
    <row r="3190" spans="1:8" ht="13.2">
      <c r="A3190" s="49"/>
      <c r="B3190" s="16" t="s">
        <v>135</v>
      </c>
      <c r="C3190" s="143">
        <f>IFERROR(VLOOKUP(B3190,'Thống kê'!$C$3:$D$970,2, FALSE),VLOOKUP(B3190,'Thống kê v2 CC'!$A$3:$D$1005,3, FALSE))</f>
        <v>0</v>
      </c>
      <c r="D3190" s="166">
        <f>VLOOKUP(B3190,'Thống kê'!$C$3:$M$970,4,0)</f>
        <v>0</v>
      </c>
      <c r="E3190" s="167">
        <v>1</v>
      </c>
      <c r="F3190" s="168">
        <f t="shared" si="13"/>
        <v>0</v>
      </c>
      <c r="G3190" s="75"/>
      <c r="H3190" s="369"/>
    </row>
    <row r="3191" spans="1:8" ht="13.2">
      <c r="A3191" s="49"/>
      <c r="B3191" s="16" t="s">
        <v>1520</v>
      </c>
      <c r="C3191" s="143">
        <f>IFERROR(VLOOKUP(B3191,'Thống kê'!$C$3:$D$970,2, FALSE),VLOOKUP(B3191,'Thống kê v2 CC'!$A$3:$D$1005,3, FALSE))</f>
        <v>0</v>
      </c>
      <c r="D3191" s="166">
        <f>VLOOKUP(B3191,'Thống kê'!$C$3:$M$970,4,0)</f>
        <v>0</v>
      </c>
      <c r="E3191" s="167">
        <v>1</v>
      </c>
      <c r="F3191" s="168">
        <f t="shared" si="13"/>
        <v>0</v>
      </c>
      <c r="G3191" s="75"/>
      <c r="H3191" s="369"/>
    </row>
    <row r="3192" spans="1:8" ht="13.2">
      <c r="A3192" s="49"/>
      <c r="B3192" s="16" t="s">
        <v>96</v>
      </c>
      <c r="C3192" s="143">
        <f>IFERROR(VLOOKUP(B3192,'Thống kê'!$C$3:$D$970,2, FALSE),VLOOKUP(B3192,'Thống kê v2 CC'!$A$3:$D$1005,3, FALSE))</f>
        <v>0</v>
      </c>
      <c r="D3192" s="166">
        <f>VLOOKUP(B3192,'Thống kê'!$C$3:$M$970,4,0)</f>
        <v>0</v>
      </c>
      <c r="E3192" s="167">
        <v>1</v>
      </c>
      <c r="F3192" s="168">
        <f t="shared" si="13"/>
        <v>0</v>
      </c>
      <c r="G3192" s="75"/>
      <c r="H3192" s="369"/>
    </row>
    <row r="3193" spans="1:8" ht="13.2">
      <c r="A3193" s="49"/>
      <c r="B3193" s="16" t="s">
        <v>1365</v>
      </c>
      <c r="C3193" s="143" t="str">
        <f>IFERROR(VLOOKUP(B3193,'Thống kê'!$C$3:$D$970,2, FALSE),VLOOKUP(B3193,'Thống kê v2 CC'!$A$3:$D$1005,3, FALSE))</f>
        <v>Móc khóa Popbean</v>
      </c>
      <c r="D3193" s="166">
        <f>VLOOKUP(B3193,'Thống kê'!$C$3:$M$970,4,0)</f>
        <v>148000</v>
      </c>
      <c r="E3193" s="167">
        <v>1</v>
      </c>
      <c r="F3193" s="168">
        <f t="shared" si="13"/>
        <v>148000</v>
      </c>
      <c r="G3193" s="75"/>
      <c r="H3193" s="407">
        <v>232880</v>
      </c>
    </row>
    <row r="3194" spans="1:8" ht="13.2">
      <c r="A3194" s="64"/>
      <c r="B3194" s="16" t="s">
        <v>1364</v>
      </c>
      <c r="C3194" s="143" t="str">
        <f>IFERROR(VLOOKUP(B3194,'Thống kê'!$C$3:$D$970,2, FALSE),VLOOKUP(B3194,'Thống kê v2 CC'!$A$3:$D$1005,3, FALSE))</f>
        <v>Móc khóa Popbean</v>
      </c>
      <c r="D3194" s="166">
        <f>VLOOKUP(B3194,'Thống kê'!$C$3:$M$970,4,0)</f>
        <v>148000</v>
      </c>
      <c r="E3194" s="167">
        <v>1</v>
      </c>
      <c r="F3194" s="168">
        <f t="shared" si="13"/>
        <v>148000</v>
      </c>
      <c r="G3194" s="75"/>
      <c r="H3194" s="369"/>
    </row>
    <row r="3195" spans="1:8" ht="13.2">
      <c r="A3195" s="49"/>
      <c r="B3195" s="16" t="s">
        <v>118</v>
      </c>
      <c r="C3195" s="143">
        <f>IFERROR(VLOOKUP(B3195,'Thống kê'!$C$3:$D$970,2, FALSE),VLOOKUP(B3195,'Thống kê v2 CC'!$A$3:$D$1005,3, FALSE))</f>
        <v>0</v>
      </c>
      <c r="D3195" s="166">
        <f>VLOOKUP(B3195,'Thống kê'!$C$3:$M$970,4,0)</f>
        <v>0</v>
      </c>
      <c r="E3195" s="167">
        <v>1</v>
      </c>
      <c r="F3195" s="168">
        <f t="shared" si="13"/>
        <v>0</v>
      </c>
      <c r="G3195" s="75"/>
      <c r="H3195" s="205">
        <v>60325</v>
      </c>
    </row>
    <row r="3196" spans="1:8" ht="13.2">
      <c r="A3196" s="49"/>
      <c r="B3196" s="16" t="s">
        <v>138</v>
      </c>
      <c r="C3196" s="143" t="str">
        <f>IFERROR(VLOOKUP(B3196,'Thống kê'!$C$3:$D$970,2, FALSE),VLOOKUP(B3196,'Thống kê v2 CC'!$A$3:$D$1005,3, FALSE))</f>
        <v>Móc khoá Crybaby mini Popmart</v>
      </c>
      <c r="D3196" s="166">
        <f>VLOOKUP(B3196,'Thống kê'!$C$3:$M$970,4,0)</f>
        <v>0</v>
      </c>
      <c r="E3196" s="167">
        <v>1</v>
      </c>
      <c r="F3196" s="168">
        <f t="shared" si="13"/>
        <v>0</v>
      </c>
      <c r="G3196" s="75"/>
      <c r="H3196" s="205">
        <v>74686</v>
      </c>
    </row>
    <row r="3197" spans="1:8" ht="13.2">
      <c r="A3197" s="49"/>
      <c r="B3197" s="16" t="s">
        <v>164</v>
      </c>
      <c r="C3197" s="143" t="str">
        <f>IFERROR(VLOOKUP(B3197,'Thống kê'!$C$3:$D$970,2, FALSE),VLOOKUP(B3197,'Thống kê v2 CC'!$A$3:$D$1005,3, FALSE))</f>
        <v>Thước dây trắng</v>
      </c>
      <c r="D3197" s="166">
        <f>VLOOKUP(B3197,'Thống kê'!$C$3:$M$970,4,0)</f>
        <v>9000</v>
      </c>
      <c r="E3197" s="167">
        <v>1</v>
      </c>
      <c r="F3197" s="168">
        <f t="shared" si="13"/>
        <v>9000</v>
      </c>
      <c r="G3197" s="75"/>
      <c r="H3197" s="407">
        <v>34955</v>
      </c>
    </row>
    <row r="3198" spans="1:8" ht="13.2">
      <c r="A3198" s="49"/>
      <c r="B3198" s="16" t="s">
        <v>1840</v>
      </c>
      <c r="C3198" s="143" t="str">
        <f>IFERROR(VLOOKUP(B3198,'Thống kê'!$C$3:$D$970,2, FALSE),VLOOKUP(B3198,'Thống kê v2 CC'!$A$3:$D$1005,3, FALSE))</f>
        <v>Túi Đựng Mắt Kính Da Pu</v>
      </c>
      <c r="D3198" s="166">
        <f>VLOOKUP(B3198,'Thống kê'!$C$3:$M$970,4,0)</f>
        <v>0</v>
      </c>
      <c r="E3198" s="167">
        <v>2</v>
      </c>
      <c r="F3198" s="168">
        <f t="shared" si="13"/>
        <v>0</v>
      </c>
      <c r="G3198" s="75"/>
      <c r="H3198" s="369"/>
    </row>
    <row r="3199" spans="1:8" ht="13.2">
      <c r="A3199" s="49"/>
      <c r="B3199" s="16" t="s">
        <v>279</v>
      </c>
      <c r="C3199" s="143">
        <f>IFERROR(VLOOKUP(B3199,'Thống kê'!$C$3:$D$970,2, FALSE),VLOOKUP(B3199,'Thống kê v2 CC'!$A$3:$D$1005,3, FALSE))</f>
        <v>0</v>
      </c>
      <c r="D3199" s="166">
        <f>VLOOKUP(B3199,'Thống kê'!$C$3:$M$970,4,0)</f>
        <v>0</v>
      </c>
      <c r="E3199" s="167">
        <v>1</v>
      </c>
      <c r="F3199" s="168">
        <f t="shared" si="13"/>
        <v>0</v>
      </c>
      <c r="G3199" s="75"/>
      <c r="H3199" s="205">
        <v>53967</v>
      </c>
    </row>
    <row r="3200" spans="1:8" ht="13.2">
      <c r="A3200" s="49"/>
      <c r="B3200" s="16" t="s">
        <v>269</v>
      </c>
      <c r="C3200" s="143" t="str">
        <f>IFERROR(VLOOKUP(B3200,'Thống kê'!$C$3:$D$970,2, FALSE),VLOOKUP(B3200,'Thống kê v2 CC'!$A$3:$D$1005,3, FALSE))</f>
        <v>Dao rọc giấy 17</v>
      </c>
      <c r="D3200" s="166">
        <f>VLOOKUP(B3200,'Thống kê'!$C$3:$M$970,4,0)</f>
        <v>12000</v>
      </c>
      <c r="E3200" s="167">
        <v>1</v>
      </c>
      <c r="F3200" s="168">
        <f t="shared" si="13"/>
        <v>12000</v>
      </c>
      <c r="G3200" s="75"/>
      <c r="H3200" s="407">
        <v>84165</v>
      </c>
    </row>
    <row r="3201" spans="1:8" ht="13.2">
      <c r="A3201" s="64"/>
      <c r="B3201" s="16" t="s">
        <v>150</v>
      </c>
      <c r="C3201" s="143" t="str">
        <f>IFERROR(VLOOKUP(B3201,'Thống kê'!$C$3:$D$970,2, FALSE),VLOOKUP(B3201,'Thống kê v2 CC'!$A$3:$D$1005,3, FALSE))</f>
        <v>Móc khóa có chuông</v>
      </c>
      <c r="D3201" s="166">
        <f>VLOOKUP(B3201,'Thống kê'!$C$3:$M$970,4,0)</f>
        <v>59000</v>
      </c>
      <c r="E3201" s="167">
        <v>1</v>
      </c>
      <c r="F3201" s="168">
        <f t="shared" si="13"/>
        <v>59000</v>
      </c>
      <c r="G3201" s="75"/>
      <c r="H3201" s="369"/>
    </row>
    <row r="3202" spans="1:8" ht="13.2">
      <c r="A3202" s="49"/>
      <c r="B3202" s="16" t="s">
        <v>1852</v>
      </c>
      <c r="C3202" s="143" t="str">
        <f>IFERROR(VLOOKUP(B3202,'Thống kê'!$C$3:$D$970,2, FALSE),VLOOKUP(B3202,'Thống kê v2 CC'!$A$3:$D$1005,3, FALSE))</f>
        <v>Ống 100 dây cột tóc đen</v>
      </c>
      <c r="D3202" s="166">
        <f>VLOOKUP(B3202,'Thống kê'!$C$3:$M$970,4,0)</f>
        <v>30000</v>
      </c>
      <c r="E3202" s="167">
        <v>1</v>
      </c>
      <c r="F3202" s="168">
        <f t="shared" si="13"/>
        <v>30000</v>
      </c>
      <c r="G3202" s="75"/>
      <c r="H3202" s="369"/>
    </row>
    <row r="3203" spans="1:8" ht="13.2">
      <c r="A3203" s="49"/>
      <c r="B3203" s="16" t="s">
        <v>209</v>
      </c>
      <c r="C3203" s="143">
        <f>IFERROR(VLOOKUP(B3203,'Thống kê'!$C$3:$D$970,2, FALSE),VLOOKUP(B3203,'Thống kê v2 CC'!$A$3:$D$1005,3, FALSE))</f>
        <v>0</v>
      </c>
      <c r="D3203" s="166">
        <f>VLOOKUP(B3203,'Thống kê'!$C$3:$M$970,4,0)</f>
        <v>0</v>
      </c>
      <c r="E3203" s="167">
        <v>1</v>
      </c>
      <c r="F3203" s="168">
        <f t="shared" si="13"/>
        <v>0</v>
      </c>
      <c r="G3203" s="75"/>
      <c r="H3203" s="369"/>
    </row>
    <row r="3204" spans="1:8" ht="13.2">
      <c r="A3204" s="49"/>
      <c r="B3204" s="16" t="s">
        <v>210</v>
      </c>
      <c r="C3204" s="143">
        <f>IFERROR(VLOOKUP(B3204,'Thống kê'!$C$3:$D$970,2, FALSE),VLOOKUP(B3204,'Thống kê v2 CC'!$A$3:$D$1005,3, FALSE))</f>
        <v>0</v>
      </c>
      <c r="D3204" s="166">
        <f>VLOOKUP(B3204,'Thống kê'!$C$3:$M$970,4,0)</f>
        <v>0</v>
      </c>
      <c r="E3204" s="167">
        <v>1</v>
      </c>
      <c r="F3204" s="168">
        <f t="shared" si="13"/>
        <v>0</v>
      </c>
      <c r="G3204" s="75"/>
      <c r="H3204" s="369"/>
    </row>
    <row r="3205" spans="1:8" ht="13.2">
      <c r="A3205" s="49"/>
      <c r="B3205" s="16" t="s">
        <v>1517</v>
      </c>
      <c r="C3205" s="143">
        <f>IFERROR(VLOOKUP(B3205,'Thống kê'!$C$3:$D$970,2, FALSE),VLOOKUP(B3205,'Thống kê v2 CC'!$A$3:$D$1005,3, FALSE))</f>
        <v>0</v>
      </c>
      <c r="D3205" s="166">
        <f>VLOOKUP(B3205,'Thống kê'!$C$3:$M$970,4,0)</f>
        <v>0</v>
      </c>
      <c r="E3205" s="167">
        <v>1</v>
      </c>
      <c r="F3205" s="168">
        <f t="shared" si="13"/>
        <v>0</v>
      </c>
      <c r="G3205" s="75"/>
      <c r="H3205" s="205">
        <v>52054</v>
      </c>
    </row>
    <row r="3206" spans="1:8" ht="13.2">
      <c r="A3206" s="49"/>
      <c r="B3206" s="16" t="s">
        <v>1382</v>
      </c>
      <c r="C3206" s="143" t="str">
        <f>IFERROR(VLOOKUP(B3206,'Thống kê'!$C$3:$D$970,2, FALSE),VLOOKUP(B3206,'Thống kê v2 CC'!$A$3:$D$1005,3, FALSE))</f>
        <v>miếng dán silicon điện thoại</v>
      </c>
      <c r="D3206" s="166">
        <f>VLOOKUP(B3206,'Thống kê'!$C$3:$M$970,4,0)</f>
        <v>0</v>
      </c>
      <c r="E3206" s="167">
        <v>5</v>
      </c>
      <c r="F3206" s="168">
        <f t="shared" si="13"/>
        <v>0</v>
      </c>
      <c r="G3206" s="75"/>
      <c r="H3206" s="205">
        <v>12450</v>
      </c>
    </row>
    <row r="3207" spans="1:8" ht="13.2">
      <c r="A3207" s="49"/>
      <c r="B3207" s="16" t="s">
        <v>93</v>
      </c>
      <c r="C3207" s="143">
        <f>IFERROR(VLOOKUP(B3207,'Thống kê'!$C$3:$D$970,2, FALSE),VLOOKUP(B3207,'Thống kê v2 CC'!$A$3:$D$1005,3, FALSE))</f>
        <v>0</v>
      </c>
      <c r="D3207" s="166">
        <f>VLOOKUP(B3207,'Thống kê'!$C$3:$M$970,4,0)</f>
        <v>0</v>
      </c>
      <c r="E3207" s="167">
        <v>1</v>
      </c>
      <c r="F3207" s="168">
        <f t="shared" si="13"/>
        <v>0</v>
      </c>
      <c r="G3207" s="75"/>
      <c r="H3207" s="205">
        <v>52054</v>
      </c>
    </row>
    <row r="3208" spans="1:8" ht="13.2">
      <c r="A3208" s="49"/>
      <c r="B3208" s="16" t="s">
        <v>1873</v>
      </c>
      <c r="C3208" s="143" t="str">
        <f>IFERROR(VLOOKUP(B3208,'Thống kê'!$C$3:$D$970,2, FALSE),VLOOKUP(B3208,'Thống kê v2 CC'!$A$3:$D$1005,3, FALSE))</f>
        <v>Trâm cài 26</v>
      </c>
      <c r="D3208" s="166">
        <f>VLOOKUP(B3208,'Thống kê'!$C$3:$M$970,4,0)</f>
        <v>33120</v>
      </c>
      <c r="E3208" s="167">
        <v>1</v>
      </c>
      <c r="F3208" s="168">
        <f t="shared" si="13"/>
        <v>33120</v>
      </c>
      <c r="G3208" s="75"/>
      <c r="H3208" s="407">
        <v>308459</v>
      </c>
    </row>
    <row r="3209" spans="1:8" ht="13.2">
      <c r="A3209" s="49"/>
      <c r="B3209" s="16" t="s">
        <v>1865</v>
      </c>
      <c r="C3209" s="143" t="str">
        <f>IFERROR(VLOOKUP(B3209,'Thống kê'!$C$3:$D$970,2, FALSE),VLOOKUP(B3209,'Thống kê v2 CC'!$A$3:$D$1005,3, FALSE))</f>
        <v>POP BEAN Pajama Party</v>
      </c>
      <c r="D3209" s="166" t="e">
        <f>VLOOKUP(B3209,'Thống kê'!$C$3:$M$970,4,0)</f>
        <v>#N/A</v>
      </c>
      <c r="E3209" s="167">
        <v>1</v>
      </c>
      <c r="F3209" s="168" t="e">
        <f t="shared" si="13"/>
        <v>#N/A</v>
      </c>
      <c r="G3209" s="75"/>
      <c r="H3209" s="369"/>
    </row>
    <row r="3210" spans="1:8" ht="13.2">
      <c r="A3210" s="49"/>
      <c r="B3210" s="16" t="s">
        <v>262</v>
      </c>
      <c r="C3210" s="143" t="str">
        <f>IFERROR(VLOOKUP(B3210,'Thống kê'!$C$3:$D$970,2, FALSE),VLOOKUP(B3210,'Thống kê v2 CC'!$A$3:$D$1005,3, FALSE))</f>
        <v>Pop Bean Baked Bread</v>
      </c>
      <c r="D3210" s="166">
        <f>VLOOKUP(B3210,'Thống kê'!$C$3:$M$970,4,0)</f>
        <v>167000</v>
      </c>
      <c r="E3210" s="167">
        <v>1</v>
      </c>
      <c r="F3210" s="168">
        <f t="shared" si="13"/>
        <v>167000</v>
      </c>
      <c r="G3210" s="75"/>
      <c r="H3210" s="369"/>
    </row>
    <row r="3211" spans="1:8" ht="13.2">
      <c r="A3211" s="49"/>
      <c r="B3211" s="16" t="s">
        <v>93</v>
      </c>
      <c r="C3211" s="143">
        <f>IFERROR(VLOOKUP(B3211,'Thống kê'!$C$3:$D$970,2, FALSE),VLOOKUP(B3211,'Thống kê v2 CC'!$A$3:$D$1005,3, FALSE))</f>
        <v>0</v>
      </c>
      <c r="D3211" s="166">
        <f>VLOOKUP(B3211,'Thống kê'!$C$3:$M$970,4,0)</f>
        <v>0</v>
      </c>
      <c r="E3211" s="167">
        <v>1</v>
      </c>
      <c r="F3211" s="168">
        <f t="shared" si="13"/>
        <v>0</v>
      </c>
      <c r="G3211" s="75"/>
      <c r="H3211" s="205">
        <v>52054</v>
      </c>
    </row>
    <row r="3212" spans="1:8" ht="13.2">
      <c r="A3212" s="49"/>
      <c r="B3212" s="16" t="s">
        <v>135</v>
      </c>
      <c r="C3212" s="143">
        <f>IFERROR(VLOOKUP(B3212,'Thống kê'!$C$3:$D$970,2, FALSE),VLOOKUP(B3212,'Thống kê v2 CC'!$A$3:$D$1005,3, FALSE))</f>
        <v>0</v>
      </c>
      <c r="D3212" s="166">
        <f>VLOOKUP(B3212,'Thống kê'!$C$3:$M$970,4,0)</f>
        <v>0</v>
      </c>
      <c r="E3212" s="167">
        <v>1</v>
      </c>
      <c r="F3212" s="168">
        <f t="shared" si="13"/>
        <v>0</v>
      </c>
      <c r="G3212" s="75"/>
      <c r="H3212" s="205">
        <v>48380</v>
      </c>
    </row>
    <row r="3213" spans="1:8" ht="13.2">
      <c r="A3213" s="49"/>
      <c r="B3213" s="16" t="s">
        <v>119</v>
      </c>
      <c r="C3213" s="143" t="str">
        <f>IFERROR(VLOOKUP(B3213,'Thống kê'!$C$3:$D$970,2, FALSE),VLOOKUP(B3213,'Thống kê v2 CC'!$A$3:$D$1005,3, FALSE))</f>
        <v>Thỏ chạy xe gắn xe</v>
      </c>
      <c r="D3213" s="166">
        <f>VLOOKUP(B3213,'Thống kê'!$C$3:$M$970,4,0)</f>
        <v>45000</v>
      </c>
      <c r="E3213" s="167">
        <v>1</v>
      </c>
      <c r="F3213" s="168">
        <f t="shared" si="13"/>
        <v>45000</v>
      </c>
      <c r="G3213" s="75"/>
      <c r="H3213" s="205">
        <v>31980</v>
      </c>
    </row>
    <row r="3214" spans="1:8" ht="13.2">
      <c r="A3214" s="49"/>
      <c r="B3214" s="16" t="s">
        <v>1662</v>
      </c>
      <c r="C3214" s="143" t="str">
        <f>IFERROR(VLOOKUP(B3214,'Thống kê'!$C$3:$D$970,2, FALSE),VLOOKUP(B3214,'Thống kê v2 CC'!$A$3:$D$1005,3, FALSE))</f>
        <v>Móc khóa Popbean Cry Baby</v>
      </c>
      <c r="D3214" s="166">
        <f>VLOOKUP(B3214,'Thống kê'!$C$3:$M$970,4,0)</f>
        <v>148000</v>
      </c>
      <c r="E3214" s="167">
        <v>1</v>
      </c>
      <c r="F3214" s="168">
        <f t="shared" si="13"/>
        <v>148000</v>
      </c>
      <c r="G3214" s="75"/>
      <c r="H3214" s="407">
        <v>139604</v>
      </c>
    </row>
    <row r="3215" spans="1:8" ht="13.2">
      <c r="A3215" s="49"/>
      <c r="B3215" s="16" t="s">
        <v>159</v>
      </c>
      <c r="C3215" s="143">
        <f>IFERROR(VLOOKUP(B3215,'Thống kê'!$C$3:$D$970,2, FALSE),VLOOKUP(B3215,'Thống kê v2 CC'!$A$3:$D$1005,3, FALSE))</f>
        <v>0</v>
      </c>
      <c r="D3215" s="166">
        <f>VLOOKUP(B3215,'Thống kê'!$C$3:$M$970,4,0)</f>
        <v>0</v>
      </c>
      <c r="E3215" s="167">
        <v>1</v>
      </c>
      <c r="F3215" s="168">
        <f t="shared" si="13"/>
        <v>0</v>
      </c>
      <c r="G3215" s="75"/>
      <c r="H3215" s="369"/>
    </row>
    <row r="3216" spans="1:8" ht="13.2">
      <c r="A3216" s="49"/>
      <c r="B3216" s="16" t="s">
        <v>126</v>
      </c>
      <c r="C3216" s="143">
        <f>IFERROR(VLOOKUP(B3216,'Thống kê'!$C$3:$D$970,2, FALSE),VLOOKUP(B3216,'Thống kê v2 CC'!$A$3:$D$1005,3, FALSE))</f>
        <v>0</v>
      </c>
      <c r="D3216" s="166">
        <f>VLOOKUP(B3216,'Thống kê'!$C$3:$M$970,4,0)</f>
        <v>0</v>
      </c>
      <c r="E3216" s="167">
        <v>1</v>
      </c>
      <c r="F3216" s="168">
        <f t="shared" si="13"/>
        <v>0</v>
      </c>
      <c r="G3216" s="75"/>
      <c r="H3216" s="205">
        <v>61861</v>
      </c>
    </row>
    <row r="3217" spans="1:8" ht="13.2">
      <c r="A3217" s="49"/>
      <c r="B3217" s="16" t="s">
        <v>1210</v>
      </c>
      <c r="C3217" s="143" t="str">
        <f>IFERROR(VLOOKUP(B3217,'Thống kê'!$C$3:$D$970,2, FALSE),VLOOKUP(B3217,'Thống kê v2 CC'!$A$3:$D$1005,3, FALSE))</f>
        <v>Shiba ú cầm hoa</v>
      </c>
      <c r="D3217" s="166">
        <f>VLOOKUP(B3217,'Thống kê'!$C$3:$M$970,4,0)</f>
        <v>64500</v>
      </c>
      <c r="E3217" s="167">
        <v>1</v>
      </c>
      <c r="F3217" s="168">
        <f t="shared" si="13"/>
        <v>64500</v>
      </c>
      <c r="G3217" s="75"/>
      <c r="H3217" s="205">
        <v>60917</v>
      </c>
    </row>
    <row r="3218" spans="1:8" ht="13.2">
      <c r="A3218" s="49"/>
      <c r="B3218" s="16" t="s">
        <v>234</v>
      </c>
      <c r="C3218" s="143" t="str">
        <f>IFERROR(VLOOKUP(B3218,'Thống kê'!$C$3:$D$970,2, FALSE),VLOOKUP(B3218,'Thống kê v2 CC'!$A$3:$D$1005,3, FALSE))</f>
        <v>Móc khoá skullpanda phiên bản mini</v>
      </c>
      <c r="D3218" s="166">
        <f>VLOOKUP(B3218,'Thống kê'!$C$3:$M$970,4,0)</f>
        <v>98000</v>
      </c>
      <c r="E3218" s="167">
        <v>1</v>
      </c>
      <c r="F3218" s="168">
        <f t="shared" si="13"/>
        <v>98000</v>
      </c>
      <c r="G3218" s="75"/>
      <c r="H3218" s="407">
        <v>122180</v>
      </c>
    </row>
    <row r="3219" spans="1:8" ht="13.2">
      <c r="A3219" s="49"/>
      <c r="B3219" s="16" t="s">
        <v>196</v>
      </c>
      <c r="C3219" s="143">
        <f>IFERROR(VLOOKUP(B3219,'Thống kê'!$C$3:$D$970,2, FALSE),VLOOKUP(B3219,'Thống kê v2 CC'!$A$3:$D$1005,3, FALSE))</f>
        <v>0</v>
      </c>
      <c r="D3219" s="166">
        <f>VLOOKUP(B3219,'Thống kê'!$C$3:$M$970,4,0)</f>
        <v>0</v>
      </c>
      <c r="E3219" s="167">
        <v>1</v>
      </c>
      <c r="F3219" s="168">
        <f t="shared" si="13"/>
        <v>0</v>
      </c>
      <c r="G3219" s="75"/>
      <c r="H3219" s="369"/>
    </row>
    <row r="3220" spans="1:8" ht="13.2">
      <c r="A3220" s="64"/>
      <c r="B3220" s="16" t="s">
        <v>1515</v>
      </c>
      <c r="C3220" s="143">
        <f>IFERROR(VLOOKUP(B3220,'Thống kê'!$C$3:$D$970,2, FALSE),VLOOKUP(B3220,'Thống kê v2 CC'!$A$3:$D$1005,3, FALSE))</f>
        <v>0</v>
      </c>
      <c r="D3220" s="166">
        <f>VLOOKUP(B3220,'Thống kê'!$C$3:$M$970,4,0)</f>
        <v>0</v>
      </c>
      <c r="E3220" s="167">
        <v>1</v>
      </c>
      <c r="F3220" s="168">
        <f t="shared" si="13"/>
        <v>0</v>
      </c>
      <c r="G3220" s="75"/>
      <c r="H3220" s="205">
        <v>52054</v>
      </c>
    </row>
    <row r="3221" spans="1:8" ht="13.2">
      <c r="A3221" s="49"/>
      <c r="B3221" s="16" t="s">
        <v>1475</v>
      </c>
      <c r="C3221" s="143">
        <f>IFERROR(VLOOKUP(B3221,'Thống kê'!$C$3:$D$970,2, FALSE),VLOOKUP(B3221,'Thống kê v2 CC'!$A$3:$D$1005,3, FALSE))</f>
        <v>0</v>
      </c>
      <c r="D3221" s="166">
        <f>VLOOKUP(B3221,'Thống kê'!$C$3:$M$970,4,0)</f>
        <v>0</v>
      </c>
      <c r="E3221" s="167">
        <v>1</v>
      </c>
      <c r="F3221" s="168">
        <f t="shared" si="13"/>
        <v>0</v>
      </c>
      <c r="G3221" s="75"/>
      <c r="H3221" s="407">
        <v>166460</v>
      </c>
    </row>
    <row r="3222" spans="1:8" ht="13.2">
      <c r="A3222" s="49"/>
      <c r="B3222" s="16" t="s">
        <v>133</v>
      </c>
      <c r="C3222" s="143">
        <f>IFERROR(VLOOKUP(B3222,'Thống kê'!$C$3:$D$970,2, FALSE),VLOOKUP(B3222,'Thống kê v2 CC'!$A$3:$D$1005,3, FALSE))</f>
        <v>0</v>
      </c>
      <c r="D3222" s="166">
        <f>VLOOKUP(B3222,'Thống kê'!$C$3:$M$970,4,0)</f>
        <v>0</v>
      </c>
      <c r="E3222" s="167">
        <v>1</v>
      </c>
      <c r="F3222" s="168">
        <f t="shared" si="13"/>
        <v>0</v>
      </c>
      <c r="G3222" s="75"/>
      <c r="H3222" s="369"/>
    </row>
    <row r="3223" spans="1:8" ht="13.2">
      <c r="A3223" s="49"/>
      <c r="B3223" s="16" t="s">
        <v>140</v>
      </c>
      <c r="C3223" s="143">
        <f>IFERROR(VLOOKUP(B3223,'Thống kê'!$C$3:$D$970,2, FALSE),VLOOKUP(B3223,'Thống kê v2 CC'!$A$3:$D$1005,3, FALSE))</f>
        <v>0</v>
      </c>
      <c r="D3223" s="166">
        <f>VLOOKUP(B3223,'Thống kê'!$C$3:$M$970,4,0)</f>
        <v>0</v>
      </c>
      <c r="E3223" s="167">
        <v>1</v>
      </c>
      <c r="F3223" s="168">
        <f t="shared" si="13"/>
        <v>0</v>
      </c>
      <c r="G3223" s="75"/>
      <c r="H3223" s="369"/>
    </row>
    <row r="3224" spans="1:8" ht="13.2">
      <c r="A3224" s="49"/>
      <c r="B3224" s="16" t="s">
        <v>199</v>
      </c>
      <c r="C3224" s="143">
        <f>IFERROR(VLOOKUP(B3224,'Thống kê'!$C$3:$D$970,2, FALSE),VLOOKUP(B3224,'Thống kê v2 CC'!$A$3:$D$1005,3, FALSE))</f>
        <v>0</v>
      </c>
      <c r="D3224" s="166">
        <f>VLOOKUP(B3224,'Thống kê'!$C$3:$M$970,4,0)</f>
        <v>0</v>
      </c>
      <c r="E3224" s="167">
        <v>1</v>
      </c>
      <c r="F3224" s="168">
        <f t="shared" si="13"/>
        <v>0</v>
      </c>
      <c r="G3224" s="75"/>
      <c r="H3224" s="205">
        <v>52054</v>
      </c>
    </row>
    <row r="3225" spans="1:8" ht="13.2">
      <c r="A3225" s="49"/>
      <c r="B3225" s="16" t="s">
        <v>234</v>
      </c>
      <c r="C3225" s="143" t="str">
        <f>IFERROR(VLOOKUP(B3225,'Thống kê'!$C$3:$D$970,2, FALSE),VLOOKUP(B3225,'Thống kê v2 CC'!$A$3:$D$1005,3, FALSE))</f>
        <v>Móc khoá skullpanda phiên bản mini</v>
      </c>
      <c r="D3225" s="166">
        <f>VLOOKUP(B3225,'Thống kê'!$C$3:$M$970,4,0)</f>
        <v>98000</v>
      </c>
      <c r="E3225" s="167">
        <v>1</v>
      </c>
      <c r="F3225" s="168">
        <f t="shared" si="13"/>
        <v>98000</v>
      </c>
      <c r="G3225" s="75"/>
      <c r="H3225" s="205">
        <v>71668</v>
      </c>
    </row>
    <row r="3226" spans="1:8" ht="13.2">
      <c r="A3226" s="49"/>
      <c r="B3226" s="16" t="s">
        <v>133</v>
      </c>
      <c r="C3226" s="143">
        <f>IFERROR(VLOOKUP(B3226,'Thống kê'!$C$3:$D$970,2, FALSE),VLOOKUP(B3226,'Thống kê v2 CC'!$A$3:$D$1005,3, FALSE))</f>
        <v>0</v>
      </c>
      <c r="D3226" s="166">
        <f>VLOOKUP(B3226,'Thống kê'!$C$3:$M$970,4,0)</f>
        <v>0</v>
      </c>
      <c r="E3226" s="167">
        <v>1</v>
      </c>
      <c r="F3226" s="168">
        <f t="shared" si="13"/>
        <v>0</v>
      </c>
      <c r="G3226" s="75"/>
      <c r="H3226" s="205">
        <v>106600</v>
      </c>
    </row>
    <row r="3227" spans="1:8" ht="13.2">
      <c r="A3227" s="49"/>
      <c r="B3227" s="16" t="s">
        <v>196</v>
      </c>
      <c r="C3227" s="143">
        <f>IFERROR(VLOOKUP(B3227,'Thống kê'!$C$3:$D$970,2, FALSE),VLOOKUP(B3227,'Thống kê v2 CC'!$A$3:$D$1005,3, FALSE))</f>
        <v>0</v>
      </c>
      <c r="D3227" s="166">
        <f>VLOOKUP(B3227,'Thống kê'!$C$3:$M$970,4,0)</f>
        <v>0</v>
      </c>
      <c r="E3227" s="167">
        <v>1</v>
      </c>
      <c r="F3227" s="168">
        <f t="shared" si="13"/>
        <v>0</v>
      </c>
      <c r="G3227" s="75"/>
      <c r="H3227" s="205"/>
    </row>
    <row r="3228" spans="1:8" ht="13.2">
      <c r="A3228" s="49"/>
      <c r="B3228" s="16" t="s">
        <v>258</v>
      </c>
      <c r="C3228" s="143" t="str">
        <f>IFERROR(VLOOKUP(B3228,'Thống kê'!$C$3:$D$970,2, FALSE),VLOOKUP(B3228,'Thống kê v2 CC'!$A$3:$D$1005,3, FALSE))</f>
        <v>Móc khoá Crybaby mini Popmart</v>
      </c>
      <c r="D3228" s="166">
        <f>VLOOKUP(B3228,'Thống kê'!$C$3:$M$970,4,0)</f>
        <v>0</v>
      </c>
      <c r="E3228" s="167">
        <v>1</v>
      </c>
      <c r="F3228" s="168">
        <f t="shared" si="13"/>
        <v>0</v>
      </c>
      <c r="G3228" s="75"/>
      <c r="H3228" s="205">
        <v>74686</v>
      </c>
    </row>
    <row r="3229" spans="1:8" ht="13.2">
      <c r="A3229" s="49"/>
      <c r="B3229" s="16" t="s">
        <v>80</v>
      </c>
      <c r="C3229" s="143">
        <f>IFERROR(VLOOKUP(B3229,'Thống kê'!$C$3:$D$970,2, FALSE),VLOOKUP(B3229,'Thống kê v2 CC'!$A$3:$D$1005,3, FALSE))</f>
        <v>0</v>
      </c>
      <c r="D3229" s="166">
        <f>VLOOKUP(B3229,'Thống kê'!$C$3:$M$970,4,0)</f>
        <v>0</v>
      </c>
      <c r="E3229" s="167">
        <v>1</v>
      </c>
      <c r="F3229" s="168">
        <f t="shared" si="13"/>
        <v>0</v>
      </c>
      <c r="G3229" s="75"/>
      <c r="H3229" s="205">
        <v>61861</v>
      </c>
    </row>
    <row r="3230" spans="1:8" ht="13.2">
      <c r="A3230" s="49"/>
      <c r="B3230" s="16" t="s">
        <v>133</v>
      </c>
      <c r="C3230" s="143">
        <f>IFERROR(VLOOKUP(B3230,'Thống kê'!$C$3:$D$970,2, FALSE),VLOOKUP(B3230,'Thống kê v2 CC'!$A$3:$D$1005,3, FALSE))</f>
        <v>0</v>
      </c>
      <c r="D3230" s="166">
        <f>VLOOKUP(B3230,'Thống kê'!$C$3:$M$970,4,0)</f>
        <v>0</v>
      </c>
      <c r="E3230" s="167">
        <v>1</v>
      </c>
      <c r="F3230" s="168">
        <f t="shared" si="13"/>
        <v>0</v>
      </c>
      <c r="G3230" s="75"/>
      <c r="H3230" s="205">
        <v>48380</v>
      </c>
    </row>
    <row r="3231" spans="1:8" ht="13.2">
      <c r="A3231" s="49"/>
      <c r="B3231" s="16" t="s">
        <v>206</v>
      </c>
      <c r="C3231" s="143" t="str">
        <f>IFERROR(VLOOKUP(B3231,'Thống kê'!$C$3:$D$970,2, FALSE),VLOOKUP(B3231,'Thống kê v2 CC'!$A$3:$D$1005,3, FALSE))</f>
        <v>Pop Bean Baked Bread</v>
      </c>
      <c r="D3231" s="166">
        <f>VLOOKUP(B3231,'Thống kê'!$C$3:$M$970,4,0)</f>
        <v>167000</v>
      </c>
      <c r="E3231" s="167">
        <v>1</v>
      </c>
      <c r="F3231" s="168">
        <f t="shared" si="13"/>
        <v>167000</v>
      </c>
      <c r="G3231" s="75"/>
      <c r="H3231" s="205">
        <v>125536</v>
      </c>
    </row>
    <row r="3232" spans="1:8" ht="13.2">
      <c r="A3232" s="49"/>
      <c r="B3232" s="16" t="s">
        <v>199</v>
      </c>
      <c r="C3232" s="143">
        <f>IFERROR(VLOOKUP(B3232,'Thống kê'!$C$3:$D$970,2, FALSE),VLOOKUP(B3232,'Thống kê v2 CC'!$A$3:$D$1005,3, FALSE))</f>
        <v>0</v>
      </c>
      <c r="D3232" s="166">
        <f>VLOOKUP(B3232,'Thống kê'!$C$3:$M$970,4,0)</f>
        <v>0</v>
      </c>
      <c r="E3232" s="167">
        <v>1</v>
      </c>
      <c r="F3232" s="168">
        <f t="shared" si="13"/>
        <v>0</v>
      </c>
      <c r="G3232" s="75"/>
      <c r="H3232" s="407">
        <v>106600</v>
      </c>
    </row>
    <row r="3233" spans="1:8" ht="13.2">
      <c r="A3233" s="49"/>
      <c r="B3233" s="16" t="s">
        <v>108</v>
      </c>
      <c r="C3233" s="143">
        <f>IFERROR(VLOOKUP(B3233,'Thống kê'!$C$3:$D$970,2, FALSE),VLOOKUP(B3233,'Thống kê v2 CC'!$A$3:$D$1005,3, FALSE))</f>
        <v>0</v>
      </c>
      <c r="D3233" s="166">
        <f>VLOOKUP(B3233,'Thống kê'!$C$3:$M$970,4,0)</f>
        <v>0</v>
      </c>
      <c r="E3233" s="167">
        <v>1</v>
      </c>
      <c r="F3233" s="168">
        <f t="shared" si="13"/>
        <v>0</v>
      </c>
      <c r="G3233" s="75"/>
      <c r="H3233" s="369"/>
    </row>
    <row r="3234" spans="1:8" ht="13.2">
      <c r="A3234" s="49"/>
      <c r="B3234" s="16" t="s">
        <v>191</v>
      </c>
      <c r="C3234" s="143">
        <f>IFERROR(VLOOKUP(B3234,'Thống kê'!$C$3:$D$970,2, FALSE),VLOOKUP(B3234,'Thống kê v2 CC'!$A$3:$D$1005,3, FALSE))</f>
        <v>0</v>
      </c>
      <c r="D3234" s="166">
        <f>VLOOKUP(B3234,'Thống kê'!$C$3:$M$970,4,0)</f>
        <v>0</v>
      </c>
      <c r="E3234" s="167">
        <v>1</v>
      </c>
      <c r="F3234" s="168">
        <f t="shared" si="13"/>
        <v>0</v>
      </c>
      <c r="G3234" s="75"/>
      <c r="H3234" s="407">
        <v>193544</v>
      </c>
    </row>
    <row r="3235" spans="1:8" ht="13.2">
      <c r="A3235" s="49"/>
      <c r="B3235" s="16" t="s">
        <v>279</v>
      </c>
      <c r="C3235" s="143">
        <f>IFERROR(VLOOKUP(B3235,'Thống kê'!$C$3:$D$970,2, FALSE),VLOOKUP(B3235,'Thống kê v2 CC'!$A$3:$D$1005,3, FALSE))</f>
        <v>0</v>
      </c>
      <c r="D3235" s="166">
        <f>VLOOKUP(B3235,'Thống kê'!$C$3:$M$970,4,0)</f>
        <v>0</v>
      </c>
      <c r="E3235" s="167">
        <v>1</v>
      </c>
      <c r="F3235" s="168">
        <f t="shared" si="13"/>
        <v>0</v>
      </c>
      <c r="G3235" s="75"/>
      <c r="H3235" s="369"/>
    </row>
    <row r="3236" spans="1:8" ht="13.2">
      <c r="A3236" s="64"/>
      <c r="B3236" s="16" t="s">
        <v>96</v>
      </c>
      <c r="C3236" s="143">
        <f>IFERROR(VLOOKUP(B3236,'Thống kê'!$C$3:$D$970,2, FALSE),VLOOKUP(B3236,'Thống kê v2 CC'!$A$3:$D$1005,3, FALSE))</f>
        <v>0</v>
      </c>
      <c r="D3236" s="166">
        <f>VLOOKUP(B3236,'Thống kê'!$C$3:$M$970,4,0)</f>
        <v>0</v>
      </c>
      <c r="E3236" s="167">
        <v>1</v>
      </c>
      <c r="F3236" s="168">
        <f t="shared" si="13"/>
        <v>0</v>
      </c>
      <c r="G3236" s="75"/>
      <c r="H3236" s="369"/>
    </row>
    <row r="3237" spans="1:8" ht="13.2">
      <c r="A3237" s="49"/>
      <c r="B3237" s="16" t="s">
        <v>116</v>
      </c>
      <c r="C3237" s="143" t="str">
        <f>IFERROR(VLOOKUP(B3237,'Thống kê'!$C$3:$D$970,2, FALSE),VLOOKUP(B3237,'Thống kê v2 CC'!$A$3:$D$1005,3, FALSE))</f>
        <v>heo ú cầm hoa</v>
      </c>
      <c r="D3237" s="166">
        <f>VLOOKUP(B3237,'Thống kê'!$C$3:$M$970,4,0)</f>
        <v>64500</v>
      </c>
      <c r="E3237" s="167">
        <v>1</v>
      </c>
      <c r="F3237" s="168">
        <f t="shared" si="13"/>
        <v>64500</v>
      </c>
      <c r="G3237" s="75"/>
      <c r="H3237" s="205">
        <v>60917</v>
      </c>
    </row>
    <row r="3238" spans="1:8" ht="13.2">
      <c r="A3238" s="49"/>
      <c r="B3238" s="16" t="s">
        <v>118</v>
      </c>
      <c r="C3238" s="143">
        <f>IFERROR(VLOOKUP(B3238,'Thống kê'!$C$3:$D$970,2, FALSE),VLOOKUP(B3238,'Thống kê v2 CC'!$A$3:$D$1005,3, FALSE))</f>
        <v>0</v>
      </c>
      <c r="D3238" s="166">
        <f>VLOOKUP(B3238,'Thống kê'!$C$3:$M$970,4,0)</f>
        <v>0</v>
      </c>
      <c r="E3238" s="167">
        <v>1</v>
      </c>
      <c r="F3238" s="168">
        <f t="shared" si="13"/>
        <v>0</v>
      </c>
      <c r="G3238" s="75"/>
      <c r="H3238" s="205">
        <v>60325</v>
      </c>
    </row>
    <row r="3239" spans="1:8" ht="13.2">
      <c r="A3239" s="49"/>
      <c r="B3239" s="16" t="s">
        <v>1836</v>
      </c>
      <c r="C3239" s="143" t="str">
        <f>IFERROR(VLOOKUP(B3239,'Thống kê'!$C$3:$D$970,2, FALSE),VLOOKUP(B3239,'Thống kê v2 CC'!$A$3:$D$1005,3, FALSE))</f>
        <v>Túi Đựng Mắt Kính Da Pu</v>
      </c>
      <c r="D3239" s="166">
        <f>VLOOKUP(B3239,'Thống kê'!$C$3:$M$970,4,0)</f>
        <v>0</v>
      </c>
      <c r="E3239" s="167">
        <v>1</v>
      </c>
      <c r="F3239" s="168">
        <f t="shared" si="13"/>
        <v>0</v>
      </c>
      <c r="G3239" s="75"/>
      <c r="H3239" s="205">
        <v>48380</v>
      </c>
    </row>
    <row r="3240" spans="1:8" ht="13.2">
      <c r="A3240" s="49"/>
      <c r="B3240" s="16" t="s">
        <v>1834</v>
      </c>
      <c r="C3240" s="143" t="str">
        <f>IFERROR(VLOOKUP(B3240,'Thống kê'!$C$3:$D$970,2, FALSE),VLOOKUP(B3240,'Thống kê v2 CC'!$A$3:$D$1005,3, FALSE))</f>
        <v>Túi Đựng Mắt Kính Da Pu</v>
      </c>
      <c r="D3240" s="166">
        <f>VLOOKUP(B3240,'Thống kê'!$C$3:$M$970,4,0)</f>
        <v>0</v>
      </c>
      <c r="E3240" s="167">
        <v>1</v>
      </c>
      <c r="F3240" s="168">
        <f t="shared" si="13"/>
        <v>0</v>
      </c>
      <c r="G3240" s="75"/>
      <c r="H3240" s="407"/>
    </row>
    <row r="3241" spans="1:8" ht="13.2">
      <c r="A3241" s="49"/>
      <c r="B3241" s="16" t="s">
        <v>1841</v>
      </c>
      <c r="C3241" s="143" t="str">
        <f>IFERROR(VLOOKUP(B3241,'Thống kê'!$C$3:$D$970,2, FALSE),VLOOKUP(B3241,'Thống kê v2 CC'!$A$3:$D$1005,3, FALSE))</f>
        <v>Túi Đựng Mắt Kính Da Pu</v>
      </c>
      <c r="D3241" s="166">
        <f>VLOOKUP(B3241,'Thống kê'!$C$3:$M$970,4,0)</f>
        <v>0</v>
      </c>
      <c r="E3241" s="167">
        <v>1</v>
      </c>
      <c r="F3241" s="168">
        <f t="shared" si="13"/>
        <v>0</v>
      </c>
      <c r="G3241" s="75"/>
      <c r="H3241" s="369"/>
    </row>
    <row r="3242" spans="1:8" ht="13.2">
      <c r="A3242" s="49"/>
      <c r="B3242" s="16" t="s">
        <v>227</v>
      </c>
      <c r="C3242" s="143" t="str">
        <f>IFERROR(VLOOKUP(B3242,'Thống kê'!$C$3:$D$970,2, FALSE),VLOOKUP(B3242,'Thống kê v2 CC'!$A$3:$D$1005,3, FALSE))</f>
        <v>Móc khóa đôi corgy</v>
      </c>
      <c r="D3242" s="166">
        <f>VLOOKUP(B3242,'Thống kê'!$C$3:$M$970,4,0)</f>
        <v>56580</v>
      </c>
      <c r="E3242" s="167">
        <v>1</v>
      </c>
      <c r="F3242" s="168">
        <f t="shared" si="13"/>
        <v>56580</v>
      </c>
      <c r="G3242" s="75"/>
      <c r="H3242" s="205">
        <v>46396</v>
      </c>
    </row>
    <row r="3243" spans="1:8" ht="13.2">
      <c r="A3243" s="49"/>
      <c r="B3243" s="16" t="s">
        <v>199</v>
      </c>
      <c r="C3243" s="143">
        <f>IFERROR(VLOOKUP(B3243,'Thống kê'!$C$3:$D$970,2, FALSE),VLOOKUP(B3243,'Thống kê v2 CC'!$A$3:$D$1005,3, FALSE))</f>
        <v>0</v>
      </c>
      <c r="D3243" s="166">
        <f>VLOOKUP(B3243,'Thống kê'!$C$3:$M$970,4,0)</f>
        <v>0</v>
      </c>
      <c r="E3243" s="167">
        <v>1</v>
      </c>
      <c r="F3243" s="168">
        <f t="shared" si="13"/>
        <v>0</v>
      </c>
      <c r="G3243" s="75"/>
      <c r="H3243" s="205">
        <v>52054</v>
      </c>
    </row>
    <row r="3244" spans="1:8" ht="13.2">
      <c r="A3244" s="64">
        <v>45799</v>
      </c>
      <c r="B3244" s="16" t="s">
        <v>118</v>
      </c>
      <c r="C3244" s="143">
        <f>IFERROR(VLOOKUP(B3244,'Thống kê'!$C$3:$D$970,2, FALSE),VLOOKUP(B3244,'Thống kê v2 CC'!$A$3:$D$1005,3, FALSE))</f>
        <v>0</v>
      </c>
      <c r="D3244" s="166">
        <f>VLOOKUP(B3244,'Thống kê'!$C$3:$M$970,4,0)</f>
        <v>0</v>
      </c>
      <c r="E3244" s="167">
        <v>1</v>
      </c>
      <c r="F3244" s="168">
        <f t="shared" si="13"/>
        <v>0</v>
      </c>
      <c r="G3244" s="75"/>
      <c r="H3244" s="205">
        <v>52054</v>
      </c>
    </row>
    <row r="3245" spans="1:8" ht="13.2">
      <c r="A3245" s="49"/>
      <c r="B3245" s="16" t="s">
        <v>180</v>
      </c>
      <c r="C3245" s="143">
        <f>IFERROR(VLOOKUP(B3245,'Thống kê'!$C$3:$D$970,2, FALSE),VLOOKUP(B3245,'Thống kê v2 CC'!$A$3:$D$1005,3, FALSE))</f>
        <v>0</v>
      </c>
      <c r="D3245" s="166">
        <f>VLOOKUP(B3245,'Thống kê'!$C$3:$M$970,4,0)</f>
        <v>0</v>
      </c>
      <c r="E3245" s="167">
        <v>1</v>
      </c>
      <c r="F3245" s="168">
        <f t="shared" si="13"/>
        <v>0</v>
      </c>
      <c r="G3245" s="75"/>
      <c r="H3245" s="205">
        <v>52054</v>
      </c>
    </row>
    <row r="3246" spans="1:8" ht="13.2">
      <c r="A3246" s="49"/>
      <c r="B3246" s="16" t="s">
        <v>135</v>
      </c>
      <c r="C3246" s="143">
        <f>IFERROR(VLOOKUP(B3246,'Thống kê'!$C$3:$D$970,2, FALSE),VLOOKUP(B3246,'Thống kê v2 CC'!$A$3:$D$1005,3, FALSE))</f>
        <v>0</v>
      </c>
      <c r="D3246" s="166">
        <f>VLOOKUP(B3246,'Thống kê'!$C$3:$M$970,4,0)</f>
        <v>0</v>
      </c>
      <c r="E3246" s="167">
        <v>-1</v>
      </c>
      <c r="F3246" s="168">
        <f t="shared" si="13"/>
        <v>0</v>
      </c>
      <c r="G3246" s="75"/>
      <c r="H3246" s="205">
        <v>-43380</v>
      </c>
    </row>
    <row r="3247" spans="1:8" ht="13.2">
      <c r="A3247" s="49"/>
      <c r="B3247" s="16" t="s">
        <v>1382</v>
      </c>
      <c r="C3247" s="143" t="str">
        <f>IFERROR(VLOOKUP(B3247,'Thống kê'!$C$3:$D$970,2, FALSE),VLOOKUP(B3247,'Thống kê v2 CC'!$A$3:$D$1005,3, FALSE))</f>
        <v>miếng dán silicon điện thoại</v>
      </c>
      <c r="D3247" s="166">
        <f>VLOOKUP(B3247,'Thống kê'!$C$3:$M$970,4,0)</f>
        <v>0</v>
      </c>
      <c r="E3247" s="167">
        <v>-1</v>
      </c>
      <c r="F3247" s="168">
        <f t="shared" si="13"/>
        <v>0</v>
      </c>
      <c r="G3247" s="75"/>
      <c r="H3247" s="205"/>
    </row>
    <row r="3248" spans="1:8" ht="13.2">
      <c r="A3248" s="49"/>
      <c r="B3248" s="16" t="s">
        <v>150</v>
      </c>
      <c r="C3248" s="143" t="str">
        <f>IFERROR(VLOOKUP(B3248,'Thống kê'!$C$3:$D$970,2, FALSE),VLOOKUP(B3248,'Thống kê v2 CC'!$A$3:$D$1005,3, FALSE))</f>
        <v>Móc khóa có chuông</v>
      </c>
      <c r="D3248" s="166">
        <f>VLOOKUP(B3248,'Thống kê'!$C$3:$M$970,4,0)</f>
        <v>59000</v>
      </c>
      <c r="E3248" s="167">
        <v>-1</v>
      </c>
      <c r="F3248" s="168">
        <f t="shared" si="13"/>
        <v>-59000</v>
      </c>
      <c r="G3248" s="75"/>
      <c r="H3248" s="205">
        <v>-59800</v>
      </c>
    </row>
    <row r="3249" spans="1:8" ht="13.2">
      <c r="A3249" s="64"/>
      <c r="B3249" s="16" t="s">
        <v>133</v>
      </c>
      <c r="C3249" s="143">
        <f>IFERROR(VLOOKUP(B3249,'Thống kê'!$C$3:$D$970,2, FALSE),VLOOKUP(B3249,'Thống kê v2 CC'!$A$3:$D$1005,3, FALSE))</f>
        <v>0</v>
      </c>
      <c r="D3249" s="166">
        <f>VLOOKUP(B3249,'Thống kê'!$C$3:$M$970,4,0)</f>
        <v>0</v>
      </c>
      <c r="E3249" s="167">
        <v>-1</v>
      </c>
      <c r="F3249" s="168">
        <f t="shared" si="13"/>
        <v>0</v>
      </c>
      <c r="G3249" s="75"/>
      <c r="H3249" s="205">
        <v>-63480</v>
      </c>
    </row>
    <row r="3250" spans="1:8" ht="13.2">
      <c r="A3250" s="49"/>
      <c r="B3250" s="16" t="s">
        <v>125</v>
      </c>
      <c r="C3250" s="143">
        <f>IFERROR(VLOOKUP(B3250,'Thống kê'!$C$3:$D$970,2, FALSE),VLOOKUP(B3250,'Thống kê v2 CC'!$A$3:$D$1005,3, FALSE))</f>
        <v>0</v>
      </c>
      <c r="D3250" s="166">
        <f>VLOOKUP(B3250,'Thống kê'!$C$3:$M$970,4,0)</f>
        <v>0</v>
      </c>
      <c r="E3250" s="167">
        <v>-1</v>
      </c>
      <c r="F3250" s="168">
        <f t="shared" si="13"/>
        <v>0</v>
      </c>
      <c r="G3250" s="75"/>
      <c r="H3250" s="205">
        <v>-58291</v>
      </c>
    </row>
    <row r="3251" spans="1:8" ht="13.2">
      <c r="A3251" s="49"/>
      <c r="B3251" s="16" t="s">
        <v>199</v>
      </c>
      <c r="C3251" s="143">
        <f>IFERROR(VLOOKUP(B3251,'Thống kê'!$C$3:$D$970,2, FALSE),VLOOKUP(B3251,'Thống kê v2 CC'!$A$3:$D$1005,3, FALSE))</f>
        <v>0</v>
      </c>
      <c r="D3251" s="166">
        <f>VLOOKUP(B3251,'Thống kê'!$C$3:$M$970,4,0)</f>
        <v>0</v>
      </c>
      <c r="E3251" s="167">
        <v>-1</v>
      </c>
      <c r="F3251" s="168">
        <f t="shared" si="13"/>
        <v>0</v>
      </c>
      <c r="G3251" s="75"/>
      <c r="H3251" s="205">
        <v>-104900</v>
      </c>
    </row>
    <row r="3252" spans="1:8" ht="13.2">
      <c r="A3252" s="64"/>
      <c r="B3252" s="16" t="s">
        <v>108</v>
      </c>
      <c r="C3252" s="143">
        <f>IFERROR(VLOOKUP(B3252,'Thống kê'!$C$3:$D$970,2, FALSE),VLOOKUP(B3252,'Thống kê v2 CC'!$A$3:$D$1005,3, FALSE))</f>
        <v>0</v>
      </c>
      <c r="D3252" s="166">
        <f>VLOOKUP(B3252,'Thống kê'!$C$3:$M$970,4,0)</f>
        <v>0</v>
      </c>
      <c r="E3252" s="167">
        <v>-1</v>
      </c>
      <c r="F3252" s="168">
        <f t="shared" si="13"/>
        <v>0</v>
      </c>
      <c r="G3252" s="75"/>
      <c r="H3252" s="205"/>
    </row>
    <row r="3253" spans="1:8" ht="13.2">
      <c r="A3253" s="49"/>
      <c r="B3253" s="16" t="s">
        <v>1572</v>
      </c>
      <c r="C3253" s="143" t="str">
        <f>IFERROR(VLOOKUP(B3253,'Thống kê'!$C$3:$D$970,2, FALSE),VLOOKUP(B3253,'Thống kê v2 CC'!$A$3:$D$1005,3, FALSE))</f>
        <v>Túi Đựng Mắt Kính Da Pu</v>
      </c>
      <c r="D3253" s="166">
        <f>VLOOKUP(B3253,'Thống kê'!$C$3:$M$970,4,0)</f>
        <v>0</v>
      </c>
      <c r="E3253" s="167">
        <v>1</v>
      </c>
      <c r="F3253" s="168">
        <f t="shared" si="13"/>
        <v>0</v>
      </c>
      <c r="G3253" s="75"/>
      <c r="H3253" s="205">
        <v>13940</v>
      </c>
    </row>
    <row r="3254" spans="1:8" ht="13.2">
      <c r="A3254" s="49"/>
      <c r="B3254" s="16" t="s">
        <v>1853</v>
      </c>
      <c r="C3254" s="143" t="str">
        <f>IFERROR(VLOOKUP(B3254,'Thống kê'!$C$3:$D$970,2, FALSE),VLOOKUP(B3254,'Thống kê v2 CC'!$A$3:$D$1005,3, FALSE))</f>
        <v>Túi Đựng Mắt Kính Da Pu</v>
      </c>
      <c r="D3254" s="166">
        <f>VLOOKUP(B3254,'Thống kê'!$C$3:$M$970,4,0)</f>
        <v>0</v>
      </c>
      <c r="E3254" s="167">
        <v>1</v>
      </c>
      <c r="F3254" s="168">
        <f t="shared" si="13"/>
        <v>0</v>
      </c>
      <c r="G3254" s="75"/>
      <c r="H3254" s="205">
        <v>13940</v>
      </c>
    </row>
    <row r="3255" spans="1:8" ht="13.2">
      <c r="A3255" s="49"/>
      <c r="B3255" s="16" t="s">
        <v>1840</v>
      </c>
      <c r="C3255" s="143" t="str">
        <f>IFERROR(VLOOKUP(B3255,'Thống kê'!$C$3:$D$970,2, FALSE),VLOOKUP(B3255,'Thống kê v2 CC'!$A$3:$D$1005,3, FALSE))</f>
        <v>Túi Đựng Mắt Kính Da Pu</v>
      </c>
      <c r="D3255" s="166">
        <f>VLOOKUP(B3255,'Thống kê'!$C$3:$M$970,4,0)</f>
        <v>0</v>
      </c>
      <c r="E3255" s="167">
        <v>1</v>
      </c>
      <c r="F3255" s="168">
        <f t="shared" si="13"/>
        <v>0</v>
      </c>
      <c r="G3255" s="75"/>
      <c r="H3255" s="205">
        <v>13940</v>
      </c>
    </row>
    <row r="3256" spans="1:8" ht="13.2">
      <c r="A3256" s="49"/>
      <c r="B3256" s="16" t="s">
        <v>1836</v>
      </c>
      <c r="C3256" s="143" t="str">
        <f>IFERROR(VLOOKUP(B3256,'Thống kê'!$C$3:$D$970,2, FALSE),VLOOKUP(B3256,'Thống kê v2 CC'!$A$3:$D$1005,3, FALSE))</f>
        <v>Túi Đựng Mắt Kính Da Pu</v>
      </c>
      <c r="D3256" s="166">
        <f>VLOOKUP(B3256,'Thống kê'!$C$3:$M$970,4,0)</f>
        <v>0</v>
      </c>
      <c r="E3256" s="167">
        <v>1</v>
      </c>
      <c r="F3256" s="168">
        <f t="shared" si="13"/>
        <v>0</v>
      </c>
      <c r="G3256" s="75"/>
      <c r="H3256" s="205">
        <v>13940</v>
      </c>
    </row>
    <row r="3257" spans="1:8" ht="13.2">
      <c r="A3257" s="49"/>
      <c r="B3257" s="16" t="s">
        <v>142</v>
      </c>
      <c r="C3257" s="143">
        <f>IFERROR(VLOOKUP(B3257,'Thống kê'!$C$3:$D$970,2, FALSE),VLOOKUP(B3257,'Thống kê v2 CC'!$A$3:$D$1005,3, FALSE))</f>
        <v>0</v>
      </c>
      <c r="D3257" s="166">
        <f>VLOOKUP(B3257,'Thống kê'!$C$3:$M$970,4,0)</f>
        <v>0</v>
      </c>
      <c r="E3257" s="167">
        <v>1</v>
      </c>
      <c r="F3257" s="168">
        <f t="shared" si="13"/>
        <v>0</v>
      </c>
      <c r="G3257" s="75"/>
      <c r="H3257" s="407">
        <v>178760</v>
      </c>
    </row>
    <row r="3258" spans="1:8" ht="13.2">
      <c r="A3258" s="49"/>
      <c r="B3258" s="16" t="s">
        <v>1520</v>
      </c>
      <c r="C3258" s="143">
        <f>IFERROR(VLOOKUP(B3258,'Thống kê'!$C$3:$D$970,2, FALSE),VLOOKUP(B3258,'Thống kê v2 CC'!$A$3:$D$1005,3, FALSE))</f>
        <v>0</v>
      </c>
      <c r="D3258" s="166">
        <f>VLOOKUP(B3258,'Thống kê'!$C$3:$M$970,4,0)</f>
        <v>0</v>
      </c>
      <c r="E3258" s="167">
        <v>1</v>
      </c>
      <c r="F3258" s="168">
        <f t="shared" si="13"/>
        <v>0</v>
      </c>
      <c r="G3258" s="75"/>
      <c r="H3258" s="369"/>
    </row>
    <row r="3259" spans="1:8" ht="13.2">
      <c r="A3259" s="49"/>
      <c r="B3259" s="16" t="s">
        <v>191</v>
      </c>
      <c r="C3259" s="143">
        <f>IFERROR(VLOOKUP(B3259,'Thống kê'!$C$3:$D$970,2, FALSE),VLOOKUP(B3259,'Thống kê v2 CC'!$A$3:$D$1005,3, FALSE))</f>
        <v>0</v>
      </c>
      <c r="D3259" s="166">
        <f>VLOOKUP(B3259,'Thống kê'!$C$3:$M$970,4,0)</f>
        <v>0</v>
      </c>
      <c r="E3259" s="167">
        <v>1</v>
      </c>
      <c r="F3259" s="168">
        <f t="shared" si="13"/>
        <v>0</v>
      </c>
      <c r="G3259" s="75"/>
      <c r="H3259" s="369"/>
    </row>
    <row r="3260" spans="1:8" ht="13.2">
      <c r="A3260" s="49"/>
      <c r="B3260" s="16" t="s">
        <v>125</v>
      </c>
      <c r="C3260" s="143">
        <f>IFERROR(VLOOKUP(B3260,'Thống kê'!$C$3:$D$970,2, FALSE),VLOOKUP(B3260,'Thống kê v2 CC'!$A$3:$D$1005,3, FALSE))</f>
        <v>0</v>
      </c>
      <c r="D3260" s="166">
        <f>VLOOKUP(B3260,'Thống kê'!$C$3:$M$970,4,0)</f>
        <v>0</v>
      </c>
      <c r="E3260" s="167">
        <v>1</v>
      </c>
      <c r="F3260" s="168">
        <f t="shared" si="13"/>
        <v>0</v>
      </c>
      <c r="G3260" s="75"/>
      <c r="H3260" s="205">
        <v>54317</v>
      </c>
    </row>
    <row r="3261" spans="1:8" ht="13.2">
      <c r="A3261" s="49"/>
      <c r="B3261" s="16" t="s">
        <v>279</v>
      </c>
      <c r="C3261" s="143">
        <f>IFERROR(VLOOKUP(B3261,'Thống kê'!$C$3:$D$970,2, FALSE),VLOOKUP(B3261,'Thống kê v2 CC'!$A$3:$D$1005,3, FALSE))</f>
        <v>0</v>
      </c>
      <c r="D3261" s="166">
        <f>VLOOKUP(B3261,'Thống kê'!$C$3:$M$970,4,0)</f>
        <v>0</v>
      </c>
      <c r="E3261" s="167">
        <v>1</v>
      </c>
      <c r="F3261" s="168">
        <f t="shared" si="13"/>
        <v>0</v>
      </c>
      <c r="G3261" s="75"/>
      <c r="H3261" s="205">
        <v>54317</v>
      </c>
    </row>
    <row r="3262" spans="1:8" ht="13.2">
      <c r="A3262" s="49"/>
      <c r="B3262" s="16" t="s">
        <v>206</v>
      </c>
      <c r="C3262" s="143" t="str">
        <f>IFERROR(VLOOKUP(B3262,'Thống kê'!$C$3:$D$970,2, FALSE),VLOOKUP(B3262,'Thống kê v2 CC'!$A$3:$D$1005,3, FALSE))</f>
        <v>Pop Bean Baked Bread</v>
      </c>
      <c r="D3262" s="166">
        <f>VLOOKUP(B3262,'Thống kê'!$C$3:$M$970,4,0)</f>
        <v>167000</v>
      </c>
      <c r="E3262" s="167">
        <v>1</v>
      </c>
      <c r="F3262" s="168">
        <f t="shared" si="13"/>
        <v>167000</v>
      </c>
      <c r="G3262" s="75"/>
      <c r="H3262" s="205">
        <v>124500</v>
      </c>
    </row>
    <row r="3263" spans="1:8" ht="13.2">
      <c r="A3263" s="49"/>
      <c r="B3263" s="16" t="s">
        <v>126</v>
      </c>
      <c r="C3263" s="143">
        <f>IFERROR(VLOOKUP(B3263,'Thống kê'!$C$3:$D$970,2, FALSE),VLOOKUP(B3263,'Thống kê v2 CC'!$A$3:$D$1005,3, FALSE))</f>
        <v>0</v>
      </c>
      <c r="D3263" s="166">
        <f>VLOOKUP(B3263,'Thống kê'!$C$3:$M$970,4,0)</f>
        <v>0</v>
      </c>
      <c r="E3263" s="167">
        <v>1</v>
      </c>
      <c r="F3263" s="168">
        <f t="shared" si="13"/>
        <v>0</v>
      </c>
      <c r="G3263" s="75"/>
      <c r="H3263" s="205">
        <v>60325</v>
      </c>
    </row>
    <row r="3264" spans="1:8" ht="13.2">
      <c r="A3264" s="49"/>
      <c r="B3264" s="16" t="s">
        <v>329</v>
      </c>
      <c r="C3264" s="143" t="str">
        <f>IFERROR(VLOOKUP(B3264,'Thống kê'!$C$3:$D$970,2, FALSE),VLOOKUP(B3264,'Thống kê v2 CC'!$A$3:$D$1005,3, FALSE))</f>
        <v>Pop Bean Baked Bread</v>
      </c>
      <c r="D3264" s="166">
        <f>VLOOKUP(B3264,'Thống kê'!$C$3:$M$970,4,0)</f>
        <v>167000</v>
      </c>
      <c r="E3264" s="167">
        <v>1</v>
      </c>
      <c r="F3264" s="168">
        <f t="shared" si="13"/>
        <v>167000</v>
      </c>
      <c r="G3264" s="75"/>
      <c r="H3264" s="205">
        <v>95450</v>
      </c>
    </row>
    <row r="3265" spans="1:8" ht="13.2">
      <c r="A3265" s="49"/>
      <c r="B3265" s="16" t="s">
        <v>118</v>
      </c>
      <c r="C3265" s="143">
        <f>IFERROR(VLOOKUP(B3265,'Thống kê'!$C$3:$D$970,2, FALSE),VLOOKUP(B3265,'Thống kê v2 CC'!$A$3:$D$1005,3, FALSE))</f>
        <v>0</v>
      </c>
      <c r="D3265" s="166">
        <f>VLOOKUP(B3265,'Thống kê'!$C$3:$M$970,4,0)</f>
        <v>0</v>
      </c>
      <c r="E3265" s="167">
        <v>1</v>
      </c>
      <c r="F3265" s="168">
        <f t="shared" si="13"/>
        <v>0</v>
      </c>
      <c r="G3265" s="75"/>
      <c r="H3265" s="205">
        <v>52054</v>
      </c>
    </row>
    <row r="3266" spans="1:8" ht="13.2">
      <c r="A3266" s="64"/>
      <c r="B3266" s="16" t="s">
        <v>1865</v>
      </c>
      <c r="C3266" s="143" t="str">
        <f>IFERROR(VLOOKUP(B3266,'Thống kê'!$C$3:$D$970,2, FALSE),VLOOKUP(B3266,'Thống kê v2 CC'!$A$3:$D$1005,3, FALSE))</f>
        <v>POP BEAN Pajama Party</v>
      </c>
      <c r="D3266" s="166" t="e">
        <f>VLOOKUP(B3266,'Thống kê'!$C$3:$M$970,4,0)</f>
        <v>#N/A</v>
      </c>
      <c r="E3266" s="167">
        <v>1</v>
      </c>
      <c r="F3266" s="168" t="e">
        <f t="shared" si="13"/>
        <v>#N/A</v>
      </c>
      <c r="G3266" s="75"/>
      <c r="H3266" s="205">
        <v>125460</v>
      </c>
    </row>
    <row r="3267" spans="1:8" ht="13.2">
      <c r="A3267" s="49"/>
      <c r="B3267" s="16" t="s">
        <v>126</v>
      </c>
      <c r="C3267" s="143">
        <f>IFERROR(VLOOKUP(B3267,'Thống kê'!$C$3:$D$970,2, FALSE),VLOOKUP(B3267,'Thống kê v2 CC'!$A$3:$D$1005,3, FALSE))</f>
        <v>0</v>
      </c>
      <c r="D3267" s="166">
        <f>VLOOKUP(B3267,'Thống kê'!$C$3:$M$970,4,0)</f>
        <v>0</v>
      </c>
      <c r="E3267" s="167">
        <v>1</v>
      </c>
      <c r="F3267" s="168">
        <f t="shared" si="13"/>
        <v>0</v>
      </c>
      <c r="G3267" s="75"/>
      <c r="H3267" s="205">
        <v>61861</v>
      </c>
    </row>
    <row r="3268" spans="1:8" ht="13.2">
      <c r="A3268" s="49"/>
      <c r="B3268" s="16" t="s">
        <v>1382</v>
      </c>
      <c r="C3268" s="143" t="str">
        <f>IFERROR(VLOOKUP(B3268,'Thống kê'!$C$3:$D$970,2, FALSE),VLOOKUP(B3268,'Thống kê v2 CC'!$A$3:$D$1005,3, FALSE))</f>
        <v>miếng dán silicon điện thoại</v>
      </c>
      <c r="D3268" s="166">
        <f>VLOOKUP(B3268,'Thống kê'!$C$3:$M$970,4,0)</f>
        <v>0</v>
      </c>
      <c r="E3268" s="167">
        <v>2</v>
      </c>
      <c r="F3268" s="168">
        <f t="shared" si="13"/>
        <v>0</v>
      </c>
      <c r="G3268" s="75"/>
      <c r="H3268" s="407">
        <v>155210</v>
      </c>
    </row>
    <row r="3269" spans="1:8" ht="13.2">
      <c r="A3269" s="49"/>
      <c r="B3269" s="16" t="s">
        <v>279</v>
      </c>
      <c r="C3269" s="143">
        <f>IFERROR(VLOOKUP(B3269,'Thống kê'!$C$3:$D$970,2, FALSE),VLOOKUP(B3269,'Thống kê v2 CC'!$A$3:$D$1005,3, FALSE))</f>
        <v>0</v>
      </c>
      <c r="D3269" s="166">
        <f>VLOOKUP(B3269,'Thống kê'!$C$3:$M$970,4,0)</f>
        <v>0</v>
      </c>
      <c r="E3269" s="167">
        <v>1</v>
      </c>
      <c r="F3269" s="168">
        <f t="shared" si="13"/>
        <v>0</v>
      </c>
      <c r="G3269" s="75"/>
      <c r="H3269" s="369"/>
    </row>
    <row r="3270" spans="1:8" ht="13.2">
      <c r="A3270" s="49"/>
      <c r="B3270" s="16" t="s">
        <v>127</v>
      </c>
      <c r="C3270" s="143">
        <f>IFERROR(VLOOKUP(B3270,'Thống kê'!$C$3:$D$970,2, FALSE),VLOOKUP(B3270,'Thống kê v2 CC'!$A$3:$D$1005,3, FALSE))</f>
        <v>0</v>
      </c>
      <c r="D3270" s="166">
        <f>VLOOKUP(B3270,'Thống kê'!$C$3:$M$970,4,0)</f>
        <v>0</v>
      </c>
      <c r="E3270" s="167">
        <v>1</v>
      </c>
      <c r="F3270" s="168">
        <f t="shared" si="13"/>
        <v>0</v>
      </c>
      <c r="G3270" s="75"/>
      <c r="H3270" s="369"/>
    </row>
    <row r="3271" spans="1:8" ht="13.2">
      <c r="A3271" s="49"/>
      <c r="B3271" s="16" t="s">
        <v>1865</v>
      </c>
      <c r="C3271" s="143" t="str">
        <f>IFERROR(VLOOKUP(B3271,'Thống kê'!$C$3:$D$970,2, FALSE),VLOOKUP(B3271,'Thống kê v2 CC'!$A$3:$D$1005,3, FALSE))</f>
        <v>POP BEAN Pajama Party</v>
      </c>
      <c r="D3271" s="166" t="e">
        <f>VLOOKUP(B3271,'Thống kê'!$C$3:$M$970,4,0)</f>
        <v>#N/A</v>
      </c>
      <c r="E3271" s="167">
        <v>1</v>
      </c>
      <c r="F3271" s="168" t="e">
        <f t="shared" si="13"/>
        <v>#N/A</v>
      </c>
      <c r="G3271" s="75"/>
      <c r="H3271" s="205">
        <v>125460</v>
      </c>
    </row>
    <row r="3272" spans="1:8" ht="13.2">
      <c r="A3272" s="49"/>
      <c r="B3272" s="16" t="s">
        <v>242</v>
      </c>
      <c r="C3272" s="143">
        <f>IFERROR(VLOOKUP(B3272,'Thống kê'!$C$3:$D$970,2, FALSE),VLOOKUP(B3272,'Thống kê v2 CC'!$A$3:$D$1005,3, FALSE))</f>
        <v>0</v>
      </c>
      <c r="D3272" s="166">
        <f>VLOOKUP(B3272,'Thống kê'!$C$3:$M$970,4,0)</f>
        <v>0</v>
      </c>
      <c r="E3272" s="167">
        <v>1</v>
      </c>
      <c r="F3272" s="168">
        <f t="shared" si="13"/>
        <v>0</v>
      </c>
      <c r="G3272" s="75"/>
      <c r="H3272" s="407">
        <v>749011</v>
      </c>
    </row>
    <row r="3273" spans="1:8" ht="13.2">
      <c r="A3273" s="49"/>
      <c r="B3273" s="16" t="s">
        <v>252</v>
      </c>
      <c r="C3273" s="143">
        <f>IFERROR(VLOOKUP(B3273,'Thống kê'!$C$3:$D$970,2, FALSE),VLOOKUP(B3273,'Thống kê v2 CC'!$A$3:$D$1005,3, FALSE))</f>
        <v>0</v>
      </c>
      <c r="D3273" s="166">
        <f>VLOOKUP(B3273,'Thống kê'!$C$3:$M$970,4,0)</f>
        <v>0</v>
      </c>
      <c r="E3273" s="167">
        <v>1</v>
      </c>
      <c r="F3273" s="168">
        <f t="shared" si="13"/>
        <v>0</v>
      </c>
      <c r="G3273" s="75"/>
      <c r="H3273" s="369"/>
    </row>
    <row r="3274" spans="1:8" ht="13.2">
      <c r="A3274" s="49"/>
      <c r="B3274" s="16" t="s">
        <v>273</v>
      </c>
      <c r="C3274" s="143">
        <f>IFERROR(VLOOKUP(B3274,'Thống kê'!$C$3:$D$970,2, FALSE),VLOOKUP(B3274,'Thống kê v2 CC'!$A$3:$D$1005,3, FALSE))</f>
        <v>0</v>
      </c>
      <c r="D3274" s="166">
        <f>VLOOKUP(B3274,'Thống kê'!$C$3:$M$970,4,0)</f>
        <v>0</v>
      </c>
      <c r="E3274" s="167">
        <v>1</v>
      </c>
      <c r="F3274" s="168">
        <f t="shared" si="13"/>
        <v>0</v>
      </c>
      <c r="G3274" s="75"/>
      <c r="H3274" s="369"/>
    </row>
    <row r="3275" spans="1:8" ht="13.2">
      <c r="A3275" s="49"/>
      <c r="B3275" s="16" t="s">
        <v>196</v>
      </c>
      <c r="C3275" s="143">
        <f>IFERROR(VLOOKUP(B3275,'Thống kê'!$C$3:$D$970,2, FALSE),VLOOKUP(B3275,'Thống kê v2 CC'!$A$3:$D$1005,3, FALSE))</f>
        <v>0</v>
      </c>
      <c r="D3275" s="166">
        <f>VLOOKUP(B3275,'Thống kê'!$C$3:$M$970,4,0)</f>
        <v>0</v>
      </c>
      <c r="E3275" s="167">
        <v>1</v>
      </c>
      <c r="F3275" s="168">
        <f t="shared" si="13"/>
        <v>0</v>
      </c>
      <c r="G3275" s="75"/>
      <c r="H3275" s="369"/>
    </row>
    <row r="3276" spans="1:8" ht="13.2">
      <c r="A3276" s="64"/>
      <c r="B3276" s="16" t="s">
        <v>140</v>
      </c>
      <c r="C3276" s="143">
        <f>IFERROR(VLOOKUP(B3276,'Thống kê'!$C$3:$D$970,2, FALSE),VLOOKUP(B3276,'Thống kê v2 CC'!$A$3:$D$1005,3, FALSE))</f>
        <v>0</v>
      </c>
      <c r="D3276" s="166">
        <f>VLOOKUP(B3276,'Thống kê'!$C$3:$M$970,4,0)</f>
        <v>0</v>
      </c>
      <c r="E3276" s="167">
        <v>1</v>
      </c>
      <c r="F3276" s="168">
        <f t="shared" si="13"/>
        <v>0</v>
      </c>
      <c r="G3276" s="75"/>
      <c r="H3276" s="369"/>
    </row>
    <row r="3277" spans="1:8" ht="13.2">
      <c r="A3277" s="49"/>
      <c r="B3277" s="16" t="s">
        <v>242</v>
      </c>
      <c r="C3277" s="143">
        <f>IFERROR(VLOOKUP(B3277,'Thống kê'!$C$3:$D$970,2, FALSE),VLOOKUP(B3277,'Thống kê v2 CC'!$A$3:$D$1005,3, FALSE))</f>
        <v>0</v>
      </c>
      <c r="D3277" s="166">
        <f>VLOOKUP(B3277,'Thống kê'!$C$3:$M$970,4,0)</f>
        <v>0</v>
      </c>
      <c r="E3277" s="167">
        <v>1</v>
      </c>
      <c r="F3277" s="168">
        <f t="shared" si="13"/>
        <v>0</v>
      </c>
      <c r="G3277" s="75"/>
      <c r="H3277" s="369"/>
    </row>
    <row r="3278" spans="1:8" ht="13.2">
      <c r="A3278" s="49"/>
      <c r="B3278" s="16" t="s">
        <v>248</v>
      </c>
      <c r="C3278" s="143">
        <f>IFERROR(VLOOKUP(B3278,'Thống kê'!$C$3:$D$970,2, FALSE),VLOOKUP(B3278,'Thống kê v2 CC'!$A$3:$D$1005,3, FALSE))</f>
        <v>0</v>
      </c>
      <c r="D3278" s="166">
        <f>VLOOKUP(B3278,'Thống kê'!$C$3:$M$970,4,0)</f>
        <v>0</v>
      </c>
      <c r="E3278" s="167">
        <v>1</v>
      </c>
      <c r="F3278" s="168">
        <f t="shared" si="13"/>
        <v>0</v>
      </c>
      <c r="G3278" s="75"/>
      <c r="H3278" s="369"/>
    </row>
    <row r="3279" spans="1:8" ht="13.2">
      <c r="A3279" s="49"/>
      <c r="B3279" s="16" t="s">
        <v>133</v>
      </c>
      <c r="C3279" s="143">
        <f>IFERROR(VLOOKUP(B3279,'Thống kê'!$C$3:$D$970,2, FALSE),VLOOKUP(B3279,'Thống kê v2 CC'!$A$3:$D$1005,3, FALSE))</f>
        <v>0</v>
      </c>
      <c r="D3279" s="166">
        <f>VLOOKUP(B3279,'Thống kê'!$C$3:$M$970,4,0)</f>
        <v>0</v>
      </c>
      <c r="E3279" s="167">
        <v>1</v>
      </c>
      <c r="F3279" s="168">
        <f t="shared" si="13"/>
        <v>0</v>
      </c>
      <c r="G3279" s="75"/>
      <c r="H3279" s="407">
        <v>106600</v>
      </c>
    </row>
    <row r="3280" spans="1:8" ht="13.2">
      <c r="A3280" s="49"/>
      <c r="B3280" s="16" t="s">
        <v>77</v>
      </c>
      <c r="C3280" s="143">
        <f>IFERROR(VLOOKUP(B3280,'Thống kê'!$C$3:$D$970,2, FALSE),VLOOKUP(B3280,'Thống kê v2 CC'!$A$3:$D$1005,3, FALSE))</f>
        <v>0</v>
      </c>
      <c r="D3280" s="166">
        <f>VLOOKUP(B3280,'Thống kê'!$C$3:$M$970,4,0)</f>
        <v>0</v>
      </c>
      <c r="E3280" s="167">
        <v>1</v>
      </c>
      <c r="F3280" s="168">
        <f t="shared" si="13"/>
        <v>0</v>
      </c>
      <c r="G3280" s="75"/>
      <c r="H3280" s="369"/>
    </row>
    <row r="3281" spans="1:8" ht="13.2">
      <c r="A3281" s="49"/>
      <c r="B3281" s="16" t="s">
        <v>126</v>
      </c>
      <c r="C3281" s="143">
        <f>IFERROR(VLOOKUP(B3281,'Thống kê'!$C$3:$D$970,2, FALSE),VLOOKUP(B3281,'Thống kê v2 CC'!$A$3:$D$1005,3, FALSE))</f>
        <v>0</v>
      </c>
      <c r="D3281" s="166">
        <f>VLOOKUP(B3281,'Thống kê'!$C$3:$M$970,4,0)</f>
        <v>0</v>
      </c>
      <c r="E3281" s="167">
        <v>1</v>
      </c>
      <c r="F3281" s="168">
        <f t="shared" si="13"/>
        <v>0</v>
      </c>
      <c r="G3281" s="75"/>
      <c r="H3281" s="205">
        <v>62111</v>
      </c>
    </row>
    <row r="3282" spans="1:8" ht="13.2">
      <c r="A3282" s="49"/>
      <c r="B3282" s="16" t="s">
        <v>119</v>
      </c>
      <c r="C3282" s="143" t="str">
        <f>IFERROR(VLOOKUP(B3282,'Thống kê'!$C$3:$D$970,2, FALSE),VLOOKUP(B3282,'Thống kê v2 CC'!$A$3:$D$1005,3, FALSE))</f>
        <v>Thỏ chạy xe gắn xe</v>
      </c>
      <c r="D3282" s="166">
        <f>VLOOKUP(B3282,'Thống kê'!$C$3:$M$970,4,0)</f>
        <v>45000</v>
      </c>
      <c r="E3282" s="167">
        <v>1</v>
      </c>
      <c r="F3282" s="168">
        <f t="shared" si="13"/>
        <v>45000</v>
      </c>
      <c r="G3282" s="75"/>
      <c r="H3282" s="205">
        <v>31980</v>
      </c>
    </row>
    <row r="3283" spans="1:8" ht="13.2">
      <c r="A3283" s="49"/>
      <c r="B3283" s="16" t="s">
        <v>1874</v>
      </c>
      <c r="C3283" s="143" t="str">
        <f>IFERROR(VLOOKUP(B3283,'Thống kê'!$C$3:$D$970,2, FALSE),VLOOKUP(B3283,'Thống kê v2 CC'!$A$3:$D$1005,3, FALSE))</f>
        <v>POP BEAN Pajama Party</v>
      </c>
      <c r="D3283" s="166" t="e">
        <f>VLOOKUP(B3283,'Thống kê'!$C$3:$M$970,4,0)</f>
        <v>#N/A</v>
      </c>
      <c r="E3283" s="167">
        <v>1</v>
      </c>
      <c r="F3283" s="168" t="e">
        <f t="shared" si="13"/>
        <v>#N/A</v>
      </c>
      <c r="G3283" s="75"/>
      <c r="H3283" s="407">
        <v>412378</v>
      </c>
    </row>
    <row r="3284" spans="1:8" ht="13.2">
      <c r="A3284" s="49"/>
      <c r="B3284" s="16" t="s">
        <v>1875</v>
      </c>
      <c r="C3284" s="143" t="str">
        <f>IFERROR(VLOOKUP(B3284,'Thống kê'!$C$3:$D$970,2, FALSE),VLOOKUP(B3284,'Thống kê v2 CC'!$A$3:$D$1005,3, FALSE))</f>
        <v>POP BEAN Pajama Party</v>
      </c>
      <c r="D3284" s="166" t="e">
        <f>VLOOKUP(B3284,'Thống kê'!$C$3:$M$970,4,0)</f>
        <v>#N/A</v>
      </c>
      <c r="E3284" s="167">
        <v>1</v>
      </c>
      <c r="F3284" s="168" t="e">
        <f t="shared" si="13"/>
        <v>#N/A</v>
      </c>
      <c r="G3284" s="75"/>
      <c r="H3284" s="369"/>
    </row>
    <row r="3285" spans="1:8" ht="13.2">
      <c r="A3285" s="49"/>
      <c r="B3285" s="16" t="s">
        <v>1871</v>
      </c>
      <c r="C3285" s="143" t="str">
        <f>IFERROR(VLOOKUP(B3285,'Thống kê'!$C$3:$D$970,2, FALSE),VLOOKUP(B3285,'Thống kê v2 CC'!$A$3:$D$1005,3, FALSE))</f>
        <v>POP BEAN Pajama Party</v>
      </c>
      <c r="D3285" s="166" t="e">
        <f>VLOOKUP(B3285,'Thống kê'!$C$3:$M$970,4,0)</f>
        <v>#N/A</v>
      </c>
      <c r="E3285" s="167">
        <v>1</v>
      </c>
      <c r="F3285" s="168" t="e">
        <f t="shared" si="13"/>
        <v>#N/A</v>
      </c>
      <c r="G3285" s="75"/>
      <c r="H3285" s="369"/>
    </row>
    <row r="3286" spans="1:8" ht="13.2">
      <c r="A3286" s="49"/>
      <c r="B3286" s="16" t="s">
        <v>159</v>
      </c>
      <c r="C3286" s="143">
        <f>IFERROR(VLOOKUP(B3286,'Thống kê'!$C$3:$D$970,2, FALSE),VLOOKUP(B3286,'Thống kê v2 CC'!$A$3:$D$1005,3, FALSE))</f>
        <v>0</v>
      </c>
      <c r="D3286" s="166">
        <f>VLOOKUP(B3286,'Thống kê'!$C$3:$M$970,4,0)</f>
        <v>0</v>
      </c>
      <c r="E3286" s="167">
        <v>1</v>
      </c>
      <c r="F3286" s="168">
        <f t="shared" si="13"/>
        <v>0</v>
      </c>
      <c r="G3286" s="75"/>
      <c r="H3286" s="369"/>
    </row>
    <row r="3287" spans="1:8" ht="13.2">
      <c r="A3287" s="64"/>
      <c r="B3287" s="16" t="s">
        <v>1499</v>
      </c>
      <c r="C3287" s="143">
        <f>IFERROR(VLOOKUP(B3287,'Thống kê'!$C$3:$D$970,2, FALSE),VLOOKUP(B3287,'Thống kê v2 CC'!$A$3:$D$1005,3, FALSE))</f>
        <v>0</v>
      </c>
      <c r="D3287" s="166">
        <f>VLOOKUP(B3287,'Thống kê'!$C$3:$M$970,4,0)</f>
        <v>0</v>
      </c>
      <c r="E3287" s="167">
        <v>1</v>
      </c>
      <c r="F3287" s="168">
        <f t="shared" si="13"/>
        <v>0</v>
      </c>
      <c r="G3287" s="75"/>
      <c r="H3287" s="369"/>
    </row>
    <row r="3288" spans="1:8" ht="13.2">
      <c r="A3288" s="49"/>
      <c r="B3288" s="16" t="s">
        <v>108</v>
      </c>
      <c r="C3288" s="143">
        <f>IFERROR(VLOOKUP(B3288,'Thống kê'!$C$3:$D$970,2, FALSE),VLOOKUP(B3288,'Thống kê v2 CC'!$A$3:$D$1005,3, FALSE))</f>
        <v>0</v>
      </c>
      <c r="D3288" s="166">
        <f>VLOOKUP(B3288,'Thống kê'!$C$3:$M$970,4,0)</f>
        <v>0</v>
      </c>
      <c r="E3288" s="167">
        <v>1</v>
      </c>
      <c r="F3288" s="168">
        <f t="shared" si="13"/>
        <v>0</v>
      </c>
      <c r="G3288" s="75"/>
      <c r="H3288" s="205">
        <v>52054</v>
      </c>
    </row>
    <row r="3289" spans="1:8" ht="13.2">
      <c r="A3289" s="49"/>
      <c r="B3289" s="16" t="s">
        <v>142</v>
      </c>
      <c r="C3289" s="143">
        <f>IFERROR(VLOOKUP(B3289,'Thống kê'!$C$3:$D$970,2, FALSE),VLOOKUP(B3289,'Thống kê v2 CC'!$A$3:$D$1005,3, FALSE))</f>
        <v>0</v>
      </c>
      <c r="D3289" s="166">
        <f>VLOOKUP(B3289,'Thống kê'!$C$3:$M$970,4,0)</f>
        <v>0</v>
      </c>
      <c r="E3289" s="167">
        <v>1</v>
      </c>
      <c r="F3289" s="168">
        <f t="shared" si="13"/>
        <v>0</v>
      </c>
      <c r="G3289" s="75"/>
      <c r="H3289" s="407">
        <v>181220</v>
      </c>
    </row>
    <row r="3290" spans="1:8" ht="13.2">
      <c r="A3290" s="49"/>
      <c r="B3290" s="16" t="s">
        <v>125</v>
      </c>
      <c r="C3290" s="143">
        <f>IFERROR(VLOOKUP(B3290,'Thống kê'!$C$3:$D$970,2, FALSE),VLOOKUP(B3290,'Thống kê v2 CC'!$A$3:$D$1005,3, FALSE))</f>
        <v>0</v>
      </c>
      <c r="D3290" s="166">
        <f>VLOOKUP(B3290,'Thống kê'!$C$3:$M$970,4,0)</f>
        <v>0</v>
      </c>
      <c r="E3290" s="167">
        <v>1</v>
      </c>
      <c r="F3290" s="168">
        <f t="shared" si="13"/>
        <v>0</v>
      </c>
      <c r="G3290" s="75"/>
      <c r="H3290" s="369"/>
    </row>
    <row r="3291" spans="1:8" ht="13.2">
      <c r="A3291" s="49"/>
      <c r="B3291" s="16" t="s">
        <v>96</v>
      </c>
      <c r="C3291" s="143">
        <f>IFERROR(VLOOKUP(B3291,'Thống kê'!$C$3:$D$970,2, FALSE),VLOOKUP(B3291,'Thống kê v2 CC'!$A$3:$D$1005,3, FALSE))</f>
        <v>0</v>
      </c>
      <c r="D3291" s="166">
        <f>VLOOKUP(B3291,'Thống kê'!$C$3:$M$970,4,0)</f>
        <v>0</v>
      </c>
      <c r="E3291" s="167">
        <v>1</v>
      </c>
      <c r="F3291" s="168">
        <f t="shared" si="13"/>
        <v>0</v>
      </c>
      <c r="G3291" s="75"/>
      <c r="H3291" s="369"/>
    </row>
    <row r="3292" spans="1:8" ht="13.2">
      <c r="A3292" s="49"/>
      <c r="B3292" s="16" t="s">
        <v>1573</v>
      </c>
      <c r="C3292" s="143">
        <f>IFERROR(VLOOKUP(B3292,'Thống kê'!$C$3:$D$970,2, FALSE),VLOOKUP(B3292,'Thống kê v2 CC'!$A$3:$D$1005,3, FALSE))</f>
        <v>0</v>
      </c>
      <c r="D3292" s="166">
        <f>VLOOKUP(B3292,'Thống kê'!$C$3:$M$970,4,0)</f>
        <v>0</v>
      </c>
      <c r="E3292" s="167">
        <v>1</v>
      </c>
      <c r="F3292" s="168">
        <f t="shared" si="13"/>
        <v>0</v>
      </c>
      <c r="G3292" s="75"/>
      <c r="H3292" s="205">
        <v>13940</v>
      </c>
    </row>
    <row r="3293" spans="1:8" ht="13.2">
      <c r="A3293" s="49"/>
      <c r="B3293" s="16" t="s">
        <v>242</v>
      </c>
      <c r="C3293" s="143">
        <f>IFERROR(VLOOKUP(B3293,'Thống kê'!$C$3:$D$970,2, FALSE),VLOOKUP(B3293,'Thống kê v2 CC'!$A$3:$D$1005,3, FALSE))</f>
        <v>0</v>
      </c>
      <c r="D3293" s="166">
        <f>VLOOKUP(B3293,'Thống kê'!$C$3:$M$970,4,0)</f>
        <v>0</v>
      </c>
      <c r="E3293" s="167">
        <v>1</v>
      </c>
      <c r="F3293" s="168">
        <f t="shared" si="13"/>
        <v>0</v>
      </c>
      <c r="G3293" s="75"/>
      <c r="H3293" s="407">
        <v>99600</v>
      </c>
    </row>
    <row r="3294" spans="1:8" ht="13.2">
      <c r="A3294" s="49"/>
      <c r="B3294" s="16" t="s">
        <v>1382</v>
      </c>
      <c r="C3294" s="143" t="str">
        <f>IFERROR(VLOOKUP(B3294,'Thống kê'!$C$3:$D$970,2, FALSE),VLOOKUP(B3294,'Thống kê v2 CC'!$A$3:$D$1005,3, FALSE))</f>
        <v>miếng dán silicon điện thoại</v>
      </c>
      <c r="D3294" s="166">
        <f>VLOOKUP(B3294,'Thống kê'!$C$3:$M$970,4,0)</f>
        <v>0</v>
      </c>
      <c r="E3294" s="167">
        <v>1</v>
      </c>
      <c r="F3294" s="168">
        <f t="shared" si="13"/>
        <v>0</v>
      </c>
      <c r="G3294" s="75"/>
      <c r="H3294" s="369"/>
    </row>
    <row r="3295" spans="1:8" ht="13.2">
      <c r="A3295" s="49"/>
      <c r="B3295" s="16" t="s">
        <v>142</v>
      </c>
      <c r="C3295" s="143">
        <f>IFERROR(VLOOKUP(B3295,'Thống kê'!$C$3:$D$970,2, FALSE),VLOOKUP(B3295,'Thống kê v2 CC'!$A$3:$D$1005,3, FALSE))</f>
        <v>0</v>
      </c>
      <c r="D3295" s="166">
        <f>VLOOKUP(B3295,'Thống kê'!$C$3:$M$970,4,0)</f>
        <v>0</v>
      </c>
      <c r="E3295" s="167">
        <v>1</v>
      </c>
      <c r="F3295" s="168">
        <f t="shared" si="13"/>
        <v>0</v>
      </c>
      <c r="G3295" s="75"/>
      <c r="H3295" s="407">
        <v>113980</v>
      </c>
    </row>
    <row r="3296" spans="1:8" ht="13.2">
      <c r="A3296" s="49"/>
      <c r="B3296" s="16" t="s">
        <v>125</v>
      </c>
      <c r="C3296" s="143">
        <f>IFERROR(VLOOKUP(B3296,'Thống kê'!$C$3:$D$970,2, FALSE),VLOOKUP(B3296,'Thống kê v2 CC'!$A$3:$D$1005,3, FALSE))</f>
        <v>0</v>
      </c>
      <c r="D3296" s="166">
        <f>VLOOKUP(B3296,'Thống kê'!$C$3:$M$970,4,0)</f>
        <v>0</v>
      </c>
      <c r="E3296" s="167">
        <v>1</v>
      </c>
      <c r="F3296" s="168">
        <f t="shared" si="13"/>
        <v>0</v>
      </c>
      <c r="G3296" s="75"/>
      <c r="H3296" s="369"/>
    </row>
    <row r="3297" spans="1:8" ht="13.2">
      <c r="A3297" s="49"/>
      <c r="B3297" s="16" t="s">
        <v>1387</v>
      </c>
      <c r="C3297" s="143" t="str">
        <f>IFERROR(VLOOKUP(B3297,'Thống kê'!$C$3:$D$970,2, FALSE),VLOOKUP(B3297,'Thống kê v2 CC'!$A$3:$D$1005,3, FALSE))</f>
        <v>Móc khoá Crybaby mini Popmart</v>
      </c>
      <c r="D3297" s="166">
        <f>VLOOKUP(B3297,'Thống kê'!$C$3:$M$970,4,0)</f>
        <v>0</v>
      </c>
      <c r="E3297" s="167">
        <v>1</v>
      </c>
      <c r="F3297" s="168">
        <f t="shared" si="13"/>
        <v>0</v>
      </c>
      <c r="G3297" s="75"/>
      <c r="H3297" s="205">
        <v>73062</v>
      </c>
    </row>
    <row r="3298" spans="1:8" ht="13.2">
      <c r="A3298" s="49"/>
      <c r="B3298" s="16" t="s">
        <v>1836</v>
      </c>
      <c r="C3298" s="143" t="str">
        <f>IFERROR(VLOOKUP(B3298,'Thống kê'!$C$3:$D$970,2, FALSE),VLOOKUP(B3298,'Thống kê v2 CC'!$A$3:$D$1005,3, FALSE))</f>
        <v>Túi Đựng Mắt Kính Da Pu</v>
      </c>
      <c r="D3298" s="166">
        <f>VLOOKUP(B3298,'Thống kê'!$C$3:$M$970,4,0)</f>
        <v>0</v>
      </c>
      <c r="E3298" s="167">
        <v>1</v>
      </c>
      <c r="F3298" s="168">
        <f t="shared" si="13"/>
        <v>0</v>
      </c>
      <c r="G3298" s="75"/>
      <c r="H3298" s="407">
        <v>70159</v>
      </c>
    </row>
    <row r="3299" spans="1:8" ht="13.2">
      <c r="A3299" s="49"/>
      <c r="B3299" s="16" t="s">
        <v>1840</v>
      </c>
      <c r="C3299" s="143" t="str">
        <f>IFERROR(VLOOKUP(B3299,'Thống kê'!$C$3:$D$970,2, FALSE),VLOOKUP(B3299,'Thống kê v2 CC'!$A$3:$D$1005,3, FALSE))</f>
        <v>Túi Đựng Mắt Kính Da Pu</v>
      </c>
      <c r="D3299" s="166">
        <f>VLOOKUP(B3299,'Thống kê'!$C$3:$M$970,4,0)</f>
        <v>0</v>
      </c>
      <c r="E3299" s="167">
        <v>1</v>
      </c>
      <c r="F3299" s="168">
        <f t="shared" si="13"/>
        <v>0</v>
      </c>
      <c r="G3299" s="75"/>
      <c r="H3299" s="369"/>
    </row>
    <row r="3300" spans="1:8" ht="13.2">
      <c r="A3300" s="49"/>
      <c r="B3300" s="16" t="s">
        <v>1834</v>
      </c>
      <c r="C3300" s="143" t="str">
        <f>IFERROR(VLOOKUP(B3300,'Thống kê'!$C$3:$D$970,2, FALSE),VLOOKUP(B3300,'Thống kê v2 CC'!$A$3:$D$1005,3, FALSE))</f>
        <v>Túi Đựng Mắt Kính Da Pu</v>
      </c>
      <c r="D3300" s="166">
        <f>VLOOKUP(B3300,'Thống kê'!$C$3:$M$970,4,0)</f>
        <v>0</v>
      </c>
      <c r="E3300" s="167">
        <v>2</v>
      </c>
      <c r="F3300" s="168">
        <f t="shared" si="13"/>
        <v>0</v>
      </c>
      <c r="G3300" s="75"/>
      <c r="H3300" s="369"/>
    </row>
    <row r="3301" spans="1:8" ht="13.2">
      <c r="A3301" s="49"/>
      <c r="B3301" s="16" t="s">
        <v>1841</v>
      </c>
      <c r="C3301" s="143" t="str">
        <f>IFERROR(VLOOKUP(B3301,'Thống kê'!$C$3:$D$970,2, FALSE),VLOOKUP(B3301,'Thống kê v2 CC'!$A$3:$D$1005,3, FALSE))</f>
        <v>Túi Đựng Mắt Kính Da Pu</v>
      </c>
      <c r="D3301" s="166">
        <f>VLOOKUP(B3301,'Thống kê'!$C$3:$M$970,4,0)</f>
        <v>0</v>
      </c>
      <c r="E3301" s="167">
        <v>1</v>
      </c>
      <c r="F3301" s="168">
        <f t="shared" si="13"/>
        <v>0</v>
      </c>
      <c r="G3301" s="75"/>
      <c r="H3301" s="369"/>
    </row>
    <row r="3302" spans="1:8" ht="13.2">
      <c r="A3302" s="49"/>
      <c r="B3302" s="16" t="s">
        <v>1834</v>
      </c>
      <c r="C3302" s="143" t="str">
        <f>IFERROR(VLOOKUP(B3302,'Thống kê'!$C$3:$D$970,2, FALSE),VLOOKUP(B3302,'Thống kê v2 CC'!$A$3:$D$1005,3, FALSE))</f>
        <v>Túi Đựng Mắt Kính Da Pu</v>
      </c>
      <c r="D3302" s="166">
        <f>VLOOKUP(B3302,'Thống kê'!$C$3:$M$970,4,0)</f>
        <v>0</v>
      </c>
      <c r="E3302" s="167">
        <v>1</v>
      </c>
      <c r="F3302" s="168">
        <f t="shared" si="13"/>
        <v>0</v>
      </c>
      <c r="G3302" s="75"/>
      <c r="H3302" s="205">
        <v>13940</v>
      </c>
    </row>
    <row r="3303" spans="1:8" ht="13.2">
      <c r="A3303" s="49"/>
      <c r="B3303" s="16" t="s">
        <v>1836</v>
      </c>
      <c r="C3303" s="143" t="str">
        <f>IFERROR(VLOOKUP(B3303,'Thống kê'!$C$3:$D$970,2, FALSE),VLOOKUP(B3303,'Thống kê v2 CC'!$A$3:$D$1005,3, FALSE))</f>
        <v>Túi Đựng Mắt Kính Da Pu</v>
      </c>
      <c r="D3303" s="166">
        <f>VLOOKUP(B3303,'Thống kê'!$C$3:$M$970,4,0)</f>
        <v>0</v>
      </c>
      <c r="E3303" s="167">
        <v>8</v>
      </c>
      <c r="F3303" s="168">
        <f t="shared" si="13"/>
        <v>0</v>
      </c>
      <c r="G3303" s="75"/>
      <c r="H3303" s="205">
        <v>111520</v>
      </c>
    </row>
    <row r="3304" spans="1:8" ht="13.2">
      <c r="A3304" s="49"/>
      <c r="B3304" s="16" t="s">
        <v>1876</v>
      </c>
      <c r="C3304" s="143" t="str">
        <f>IFERROR(VLOOKUP(B3304,'Thống kê'!$C$3:$D$970,2, FALSE),VLOOKUP(B3304,'Thống kê v2 CC'!$A$3:$D$1005,3, FALSE))</f>
        <v>Móc Khoá Capybara thổi bong bóng</v>
      </c>
      <c r="D3304" s="166">
        <f>VLOOKUP(B3304,'Thống kê'!$C$3:$M$970,4,0)</f>
        <v>0</v>
      </c>
      <c r="E3304" s="167">
        <v>1</v>
      </c>
      <c r="F3304" s="168">
        <f t="shared" si="13"/>
        <v>0</v>
      </c>
      <c r="G3304" s="75"/>
      <c r="H3304" s="407">
        <v>46773</v>
      </c>
    </row>
    <row r="3305" spans="1:8" ht="13.2">
      <c r="A3305" s="49"/>
      <c r="B3305" s="16" t="s">
        <v>1849</v>
      </c>
      <c r="C3305" s="143" t="str">
        <f>IFERROR(VLOOKUP(B3305,'Thống kê'!$C$3:$D$970,2, FALSE),VLOOKUP(B3305,'Thống kê v2 CC'!$A$3:$D$1005,3, FALSE))</f>
        <v>Móc Khoá Capybara thổi bong bóng</v>
      </c>
      <c r="D3305" s="166">
        <f>VLOOKUP(B3305,'Thống kê'!$C$3:$M$970,4,0)</f>
        <v>0</v>
      </c>
      <c r="E3305" s="167">
        <v>1</v>
      </c>
      <c r="F3305" s="168">
        <f t="shared" si="13"/>
        <v>0</v>
      </c>
      <c r="G3305" s="75"/>
      <c r="H3305" s="369"/>
    </row>
    <row r="3306" spans="1:8" ht="13.2">
      <c r="A3306" s="49"/>
      <c r="B3306" s="16" t="s">
        <v>1603</v>
      </c>
      <c r="C3306" s="143" t="str">
        <f>IFERROR(VLOOKUP(B3306,'Thống kê'!$C$3:$D$970,2, FALSE),VLOOKUP(B3306,'Thống kê v2 CC'!$A$3:$D$1005,3, FALSE))</f>
        <v>Thước dây hồng phấn</v>
      </c>
      <c r="D3306" s="166">
        <f>VLOOKUP(B3306,'Thống kê'!$C$3:$M$970,4,0)</f>
        <v>9000</v>
      </c>
      <c r="E3306" s="167">
        <v>1</v>
      </c>
      <c r="F3306" s="168">
        <f t="shared" si="13"/>
        <v>9000</v>
      </c>
      <c r="G3306" s="75"/>
      <c r="H3306" s="407">
        <v>41865</v>
      </c>
    </row>
    <row r="3307" spans="1:8" ht="13.2">
      <c r="A3307" s="49"/>
      <c r="B3307" s="16" t="s">
        <v>1573</v>
      </c>
      <c r="C3307" s="143">
        <f>IFERROR(VLOOKUP(B3307,'Thống kê'!$C$3:$D$970,2, FALSE),VLOOKUP(B3307,'Thống kê v2 CC'!$A$3:$D$1005,3, FALSE))</f>
        <v>0</v>
      </c>
      <c r="D3307" s="166">
        <f>VLOOKUP(B3307,'Thống kê'!$C$3:$M$970,4,0)</f>
        <v>0</v>
      </c>
      <c r="E3307" s="167">
        <v>1</v>
      </c>
      <c r="F3307" s="168">
        <f t="shared" si="13"/>
        <v>0</v>
      </c>
      <c r="G3307" s="75"/>
      <c r="H3307" s="369"/>
    </row>
    <row r="3308" spans="1:8" ht="13.2">
      <c r="A3308" s="49"/>
      <c r="B3308" s="16" t="s">
        <v>1841</v>
      </c>
      <c r="C3308" s="143" t="str">
        <f>IFERROR(VLOOKUP(B3308,'Thống kê'!$C$3:$D$970,2, FALSE),VLOOKUP(B3308,'Thống kê v2 CC'!$A$3:$D$1005,3, FALSE))</f>
        <v>Túi Đựng Mắt Kính Da Pu</v>
      </c>
      <c r="D3308" s="166">
        <f>VLOOKUP(B3308,'Thống kê'!$C$3:$M$970,4,0)</f>
        <v>0</v>
      </c>
      <c r="E3308" s="167">
        <v>1</v>
      </c>
      <c r="F3308" s="168">
        <f t="shared" si="13"/>
        <v>0</v>
      </c>
      <c r="G3308" s="75"/>
      <c r="H3308" s="369"/>
    </row>
    <row r="3309" spans="1:8" ht="13.2">
      <c r="A3309" s="49"/>
      <c r="B3309" s="16" t="s">
        <v>1384</v>
      </c>
      <c r="C3309" s="143" t="str">
        <f>IFERROR(VLOOKUP(B3309,'Thống kê'!$C$3:$D$970,2, FALSE),VLOOKUP(B3309,'Thống kê v2 CC'!$A$3:$D$1005,3, FALSE))</f>
        <v>Móc khoá Crybaby mini Popmart</v>
      </c>
      <c r="D3309" s="166">
        <f>VLOOKUP(B3309,'Thống kê'!$C$3:$M$970,4,0)</f>
        <v>0</v>
      </c>
      <c r="E3309" s="167">
        <v>1</v>
      </c>
      <c r="F3309" s="168">
        <f t="shared" si="13"/>
        <v>0</v>
      </c>
      <c r="G3309" s="75"/>
      <c r="H3309" s="205">
        <v>74686</v>
      </c>
    </row>
    <row r="3310" spans="1:8" ht="13.2">
      <c r="A3310" s="49"/>
      <c r="B3310" s="16" t="s">
        <v>196</v>
      </c>
      <c r="C3310" s="143">
        <f>IFERROR(VLOOKUP(B3310,'Thống kê'!$C$3:$D$970,2, FALSE),VLOOKUP(B3310,'Thống kê v2 CC'!$A$3:$D$1005,3, FALSE))</f>
        <v>0</v>
      </c>
      <c r="D3310" s="166">
        <f>VLOOKUP(B3310,'Thống kê'!$C$3:$M$970,4,0)</f>
        <v>0</v>
      </c>
      <c r="E3310" s="167">
        <v>1</v>
      </c>
      <c r="F3310" s="168">
        <f t="shared" si="13"/>
        <v>0</v>
      </c>
      <c r="G3310" s="75"/>
      <c r="H3310" s="407">
        <v>2281650</v>
      </c>
    </row>
    <row r="3311" spans="1:8" ht="13.2">
      <c r="A3311" s="49"/>
      <c r="B3311" s="16" t="s">
        <v>140</v>
      </c>
      <c r="C3311" s="143">
        <f>IFERROR(VLOOKUP(B3311,'Thống kê'!$C$3:$D$970,2, FALSE),VLOOKUP(B3311,'Thống kê v2 CC'!$A$3:$D$1005,3, FALSE))</f>
        <v>0</v>
      </c>
      <c r="D3311" s="166">
        <f>VLOOKUP(B3311,'Thống kê'!$C$3:$M$970,4,0)</f>
        <v>0</v>
      </c>
      <c r="E3311" s="167">
        <v>1</v>
      </c>
      <c r="F3311" s="168">
        <f t="shared" si="13"/>
        <v>0</v>
      </c>
      <c r="G3311" s="75"/>
      <c r="H3311" s="369"/>
    </row>
    <row r="3312" spans="1:8" ht="13.2">
      <c r="A3312" s="49"/>
      <c r="B3312" s="16" t="s">
        <v>234</v>
      </c>
      <c r="C3312" s="143" t="str">
        <f>IFERROR(VLOOKUP(B3312,'Thống kê'!$C$3:$D$970,2, FALSE),VLOOKUP(B3312,'Thống kê v2 CC'!$A$3:$D$1005,3, FALSE))</f>
        <v>Móc khoá skullpanda phiên bản mini</v>
      </c>
      <c r="D3312" s="166">
        <f>VLOOKUP(B3312,'Thống kê'!$C$3:$M$970,4,0)</f>
        <v>98000</v>
      </c>
      <c r="E3312" s="167">
        <v>1</v>
      </c>
      <c r="F3312" s="168">
        <f t="shared" si="13"/>
        <v>98000</v>
      </c>
      <c r="G3312" s="75"/>
      <c r="H3312" s="369"/>
    </row>
    <row r="3313" spans="1:8" ht="13.2">
      <c r="A3313" s="49"/>
      <c r="B3313" s="16" t="s">
        <v>1820</v>
      </c>
      <c r="C3313" s="143" t="e">
        <f>IFERROR(VLOOKUP(B3313,'Thống kê'!$C$3:$D$970,2, FALSE),VLOOKUP(B3313,'Thống kê v2 CC'!$A$3:$D$1005,3, FALSE))</f>
        <v>#N/A</v>
      </c>
      <c r="D3313" s="166" t="e">
        <f>VLOOKUP(B3313,'Thống kê'!$C$3:$M$970,4,0)</f>
        <v>#N/A</v>
      </c>
      <c r="E3313" s="167">
        <v>1</v>
      </c>
      <c r="F3313" s="168" t="e">
        <f t="shared" si="13"/>
        <v>#N/A</v>
      </c>
      <c r="G3313" s="75"/>
      <c r="H3313" s="369"/>
    </row>
    <row r="3314" spans="1:8" ht="13.2">
      <c r="A3314" s="49"/>
      <c r="B3314" s="16" t="s">
        <v>1775</v>
      </c>
      <c r="C3314" s="143" t="e">
        <f>IFERROR(VLOOKUP(B3314,'Thống kê'!$C$3:$D$970,2, FALSE),VLOOKUP(B3314,'Thống kê v2 CC'!$A$3:$D$1005,3, FALSE))</f>
        <v>#N/A</v>
      </c>
      <c r="D3314" s="166" t="e">
        <f>VLOOKUP(B3314,'Thống kê'!$C$3:$M$970,4,0)</f>
        <v>#N/A</v>
      </c>
      <c r="E3314" s="167">
        <v>1</v>
      </c>
      <c r="F3314" s="168" t="e">
        <f t="shared" si="13"/>
        <v>#N/A</v>
      </c>
      <c r="G3314" s="75"/>
      <c r="H3314" s="369"/>
    </row>
    <row r="3315" spans="1:8" ht="13.2">
      <c r="A3315" s="49"/>
      <c r="B3315" s="16" t="s">
        <v>1662</v>
      </c>
      <c r="C3315" s="143" t="str">
        <f>IFERROR(VLOOKUP(B3315,'Thống kê'!$C$3:$D$970,2, FALSE),VLOOKUP(B3315,'Thống kê v2 CC'!$A$3:$D$1005,3, FALSE))</f>
        <v>Móc khóa Popbean Cry Baby</v>
      </c>
      <c r="D3315" s="166">
        <f>VLOOKUP(B3315,'Thống kê'!$C$3:$M$970,4,0)</f>
        <v>148000</v>
      </c>
      <c r="E3315" s="167">
        <v>1</v>
      </c>
      <c r="F3315" s="168">
        <f t="shared" si="13"/>
        <v>148000</v>
      </c>
      <c r="G3315" s="75"/>
      <c r="H3315" s="369"/>
    </row>
    <row r="3316" spans="1:8" ht="13.2">
      <c r="A3316" s="49"/>
      <c r="B3316" s="16" t="s">
        <v>256</v>
      </c>
      <c r="C3316" s="143">
        <f>IFERROR(VLOOKUP(B3316,'Thống kê'!$C$3:$D$970,2, FALSE),VLOOKUP(B3316,'Thống kê v2 CC'!$A$3:$D$1005,3, FALSE))</f>
        <v>0</v>
      </c>
      <c r="D3316" s="166">
        <f>VLOOKUP(B3316,'Thống kê'!$C$3:$M$970,4,0)</f>
        <v>0</v>
      </c>
      <c r="E3316" s="167">
        <v>1</v>
      </c>
      <c r="F3316" s="168">
        <f t="shared" si="13"/>
        <v>0</v>
      </c>
      <c r="G3316" s="75"/>
      <c r="H3316" s="369"/>
    </row>
    <row r="3317" spans="1:8" ht="13.2">
      <c r="A3317" s="64"/>
      <c r="B3317" s="16" t="s">
        <v>1367</v>
      </c>
      <c r="C3317" s="143" t="str">
        <f>IFERROR(VLOOKUP(B3317,'Thống kê'!$C$3:$D$970,2, FALSE),VLOOKUP(B3317,'Thống kê v2 CC'!$A$3:$D$1005,3, FALSE))</f>
        <v>Móc khóa Popbean</v>
      </c>
      <c r="D3317" s="166">
        <f>VLOOKUP(B3317,'Thống kê'!$C$3:$M$970,4,0)</f>
        <v>148000</v>
      </c>
      <c r="E3317" s="167">
        <v>1</v>
      </c>
      <c r="F3317" s="168">
        <f t="shared" si="13"/>
        <v>148000</v>
      </c>
      <c r="G3317" s="75"/>
      <c r="H3317" s="369"/>
    </row>
    <row r="3318" spans="1:8" ht="13.2">
      <c r="A3318" s="49"/>
      <c r="B3318" s="16" t="s">
        <v>165</v>
      </c>
      <c r="C3318" s="143" t="str">
        <f>IFERROR(VLOOKUP(B3318,'Thống kê'!$C$3:$D$970,2, FALSE),VLOOKUP(B3318,'Thống kê v2 CC'!$A$3:$D$1005,3, FALSE))</f>
        <v>Móc khóa Popbean</v>
      </c>
      <c r="D3318" s="166">
        <f>VLOOKUP(B3318,'Thống kê'!$C$3:$M$970,4,0)</f>
        <v>148000</v>
      </c>
      <c r="E3318" s="167">
        <v>1</v>
      </c>
      <c r="F3318" s="168">
        <f t="shared" si="13"/>
        <v>148000</v>
      </c>
      <c r="G3318" s="75"/>
      <c r="H3318" s="369"/>
    </row>
    <row r="3319" spans="1:8" ht="13.2">
      <c r="A3319" s="49"/>
      <c r="B3319" s="16" t="s">
        <v>1377</v>
      </c>
      <c r="C3319" s="143" t="str">
        <f>IFERROR(VLOOKUP(B3319,'Thống kê'!$C$3:$D$970,2, FALSE),VLOOKUP(B3319,'Thống kê v2 CC'!$A$3:$D$1005,3, FALSE))</f>
        <v>Móc khóa Popbean</v>
      </c>
      <c r="D3319" s="166">
        <f>VLOOKUP(B3319,'Thống kê'!$C$3:$M$970,4,0)</f>
        <v>148000</v>
      </c>
      <c r="E3319" s="167">
        <v>1</v>
      </c>
      <c r="F3319" s="168">
        <f t="shared" si="13"/>
        <v>148000</v>
      </c>
      <c r="G3319" s="75"/>
      <c r="H3319" s="369"/>
    </row>
    <row r="3320" spans="1:8" ht="13.2">
      <c r="A3320" s="49"/>
      <c r="B3320" s="16" t="s">
        <v>245</v>
      </c>
      <c r="C3320" s="143" t="str">
        <f>IFERROR(VLOOKUP(B3320,'Thống kê'!$C$3:$D$970,2, FALSE),VLOOKUP(B3320,'Thống kê v2 CC'!$A$3:$D$1005,3, FALSE))</f>
        <v>Móc khóa Popbean</v>
      </c>
      <c r="D3320" s="166">
        <f>VLOOKUP(B3320,'Thống kê'!$C$3:$M$970,4,0)</f>
        <v>148000</v>
      </c>
      <c r="E3320" s="167">
        <v>1</v>
      </c>
      <c r="F3320" s="168">
        <f t="shared" si="13"/>
        <v>148000</v>
      </c>
      <c r="G3320" s="75"/>
      <c r="H3320" s="369"/>
    </row>
    <row r="3321" spans="1:8" ht="13.2">
      <c r="A3321" s="49"/>
      <c r="B3321" s="16" t="s">
        <v>1423</v>
      </c>
      <c r="C3321" s="143">
        <f>IFERROR(VLOOKUP(B3321,'Thống kê'!$C$3:$D$970,2, FALSE),VLOOKUP(B3321,'Thống kê v2 CC'!$A$3:$D$1005,3, FALSE))</f>
        <v>0</v>
      </c>
      <c r="D3321" s="166">
        <f>VLOOKUP(B3321,'Thống kê'!$C$3:$M$970,4,0)</f>
        <v>0</v>
      </c>
      <c r="E3321" s="167">
        <v>1</v>
      </c>
      <c r="F3321" s="168">
        <f t="shared" si="13"/>
        <v>0</v>
      </c>
      <c r="G3321" s="75"/>
      <c r="H3321" s="369"/>
    </row>
    <row r="3322" spans="1:8" ht="13.2">
      <c r="A3322" s="49"/>
      <c r="B3322" s="16" t="s">
        <v>1372</v>
      </c>
      <c r="C3322" s="143" t="str">
        <f>IFERROR(VLOOKUP(B3322,'Thống kê'!$C$3:$D$970,2, FALSE),VLOOKUP(B3322,'Thống kê v2 CC'!$A$3:$D$1005,3, FALSE))</f>
        <v>Móc khóa Popbean</v>
      </c>
      <c r="D3322" s="166">
        <f>VLOOKUP(B3322,'Thống kê'!$C$3:$M$970,4,0)</f>
        <v>148000</v>
      </c>
      <c r="E3322" s="167">
        <v>1</v>
      </c>
      <c r="F3322" s="168">
        <f t="shared" si="13"/>
        <v>148000</v>
      </c>
      <c r="G3322" s="75"/>
      <c r="H3322" s="369"/>
    </row>
    <row r="3323" spans="1:8" ht="13.2">
      <c r="A3323" s="49"/>
      <c r="B3323" s="16" t="s">
        <v>1370</v>
      </c>
      <c r="C3323" s="143" t="str">
        <f>IFERROR(VLOOKUP(B3323,'Thống kê'!$C$3:$D$970,2, FALSE),VLOOKUP(B3323,'Thống kê v2 CC'!$A$3:$D$1005,3, FALSE))</f>
        <v>Móc khóa Popbean</v>
      </c>
      <c r="D3323" s="166">
        <f>VLOOKUP(B3323,'Thống kê'!$C$3:$M$970,4,0)</f>
        <v>148000</v>
      </c>
      <c r="E3323" s="167">
        <v>1</v>
      </c>
      <c r="F3323" s="168">
        <f t="shared" si="13"/>
        <v>148000</v>
      </c>
      <c r="G3323" s="75"/>
      <c r="H3323" s="369"/>
    </row>
    <row r="3324" spans="1:8" ht="13.2">
      <c r="A3324" s="64"/>
      <c r="B3324" s="16" t="s">
        <v>1364</v>
      </c>
      <c r="C3324" s="143" t="str">
        <f>IFERROR(VLOOKUP(B3324,'Thống kê'!$C$3:$D$970,2, FALSE),VLOOKUP(B3324,'Thống kê v2 CC'!$A$3:$D$1005,3, FALSE))</f>
        <v>Móc khóa Popbean</v>
      </c>
      <c r="D3324" s="166">
        <f>VLOOKUP(B3324,'Thống kê'!$C$3:$M$970,4,0)</f>
        <v>148000</v>
      </c>
      <c r="E3324" s="167">
        <v>1</v>
      </c>
      <c r="F3324" s="168">
        <f t="shared" si="13"/>
        <v>148000</v>
      </c>
      <c r="G3324" s="75"/>
      <c r="H3324" s="369"/>
    </row>
    <row r="3325" spans="1:8" ht="13.2">
      <c r="A3325" s="49"/>
      <c r="B3325" s="16" t="s">
        <v>1865</v>
      </c>
      <c r="C3325" s="143" t="str">
        <f>IFERROR(VLOOKUP(B3325,'Thống kê'!$C$3:$D$970,2, FALSE),VLOOKUP(B3325,'Thống kê v2 CC'!$A$3:$D$1005,3, FALSE))</f>
        <v>POP BEAN Pajama Party</v>
      </c>
      <c r="D3325" s="166" t="e">
        <f>VLOOKUP(B3325,'Thống kê'!$C$3:$M$970,4,0)</f>
        <v>#N/A</v>
      </c>
      <c r="E3325" s="167">
        <v>1</v>
      </c>
      <c r="F3325" s="168" t="e">
        <f t="shared" si="13"/>
        <v>#N/A</v>
      </c>
      <c r="G3325" s="75"/>
      <c r="H3325" s="369"/>
    </row>
    <row r="3326" spans="1:8" ht="13.2">
      <c r="A3326" s="49"/>
      <c r="B3326" s="16" t="s">
        <v>1877</v>
      </c>
      <c r="C3326" s="143" t="e">
        <f>IFERROR(VLOOKUP(B3326,'Thống kê'!$C$3:$D$970,2, FALSE),VLOOKUP(B3326,'Thống kê v2 CC'!$A$3:$D$1005,3, FALSE))</f>
        <v>#N/A</v>
      </c>
      <c r="D3326" s="166" t="e">
        <f>VLOOKUP(B3326,'Thống kê'!$C$3:$M$970,4,0)</f>
        <v>#N/A</v>
      </c>
      <c r="E3326" s="167">
        <v>1</v>
      </c>
      <c r="F3326" s="168" t="e">
        <f t="shared" si="13"/>
        <v>#N/A</v>
      </c>
      <c r="G3326" s="75"/>
      <c r="H3326" s="369"/>
    </row>
    <row r="3327" spans="1:8" ht="13.2">
      <c r="A3327" s="49"/>
      <c r="B3327" s="16" t="s">
        <v>1878</v>
      </c>
      <c r="C3327" s="143" t="e">
        <f>IFERROR(VLOOKUP(B3327,'Thống kê'!$C$3:$D$970,2, FALSE),VLOOKUP(B3327,'Thống kê v2 CC'!$A$3:$D$1005,3, FALSE))</f>
        <v>#N/A</v>
      </c>
      <c r="D3327" s="166" t="e">
        <f>VLOOKUP(B3327,'Thống kê'!$C$3:$M$970,4,0)</f>
        <v>#N/A</v>
      </c>
      <c r="E3327" s="167">
        <v>1</v>
      </c>
      <c r="F3327" s="168" t="e">
        <f t="shared" si="13"/>
        <v>#N/A</v>
      </c>
      <c r="G3327" s="75"/>
      <c r="H3327" s="369"/>
    </row>
    <row r="3328" spans="1:8" ht="13.2">
      <c r="A3328" s="49"/>
      <c r="B3328" s="16" t="s">
        <v>1879</v>
      </c>
      <c r="C3328" s="143" t="e">
        <f>IFERROR(VLOOKUP(B3328,'Thống kê'!$C$3:$D$970,2, FALSE),VLOOKUP(B3328,'Thống kê v2 CC'!$A$3:$D$1005,3, FALSE))</f>
        <v>#N/A</v>
      </c>
      <c r="D3328" s="166" t="e">
        <f>VLOOKUP(B3328,'Thống kê'!$C$3:$M$970,4,0)</f>
        <v>#N/A</v>
      </c>
      <c r="E3328" s="167">
        <v>1</v>
      </c>
      <c r="F3328" s="168" t="e">
        <f t="shared" si="13"/>
        <v>#N/A</v>
      </c>
      <c r="G3328" s="75"/>
      <c r="H3328" s="369"/>
    </row>
    <row r="3329" spans="1:8" ht="13.2">
      <c r="A3329" s="49"/>
      <c r="B3329" s="16" t="s">
        <v>1880</v>
      </c>
      <c r="C3329" s="143" t="e">
        <f>IFERROR(VLOOKUP(B3329,'Thống kê'!$C$3:$D$970,2, FALSE),VLOOKUP(B3329,'Thống kê v2 CC'!$A$3:$D$1005,3, FALSE))</f>
        <v>#N/A</v>
      </c>
      <c r="D3329" s="166" t="e">
        <f>VLOOKUP(B3329,'Thống kê'!$C$3:$M$970,4,0)</f>
        <v>#N/A</v>
      </c>
      <c r="E3329" s="167">
        <v>1</v>
      </c>
      <c r="F3329" s="168" t="e">
        <f t="shared" si="13"/>
        <v>#N/A</v>
      </c>
      <c r="G3329" s="75"/>
      <c r="H3329" s="369"/>
    </row>
    <row r="3330" spans="1:8" ht="13.2">
      <c r="A3330" s="49"/>
      <c r="B3330" s="16" t="s">
        <v>1881</v>
      </c>
      <c r="C3330" s="143" t="e">
        <f>IFERROR(VLOOKUP(B3330,'Thống kê'!$C$3:$D$970,2, FALSE),VLOOKUP(B3330,'Thống kê v2 CC'!$A$3:$D$1005,3, FALSE))</f>
        <v>#N/A</v>
      </c>
      <c r="D3330" s="166" t="e">
        <f>VLOOKUP(B3330,'Thống kê'!$C$3:$M$970,4,0)</f>
        <v>#N/A</v>
      </c>
      <c r="E3330" s="167">
        <v>1</v>
      </c>
      <c r="F3330" s="168" t="e">
        <f t="shared" si="13"/>
        <v>#N/A</v>
      </c>
      <c r="G3330" s="75"/>
      <c r="H3330" s="369"/>
    </row>
    <row r="3331" spans="1:8" ht="13.2">
      <c r="A3331" s="49"/>
      <c r="B3331" s="16" t="s">
        <v>1882</v>
      </c>
      <c r="C3331" s="143" t="e">
        <f>IFERROR(VLOOKUP(B3331,'Thống kê'!$C$3:$D$970,2, FALSE),VLOOKUP(B3331,'Thống kê v2 CC'!$A$3:$D$1005,3, FALSE))</f>
        <v>#N/A</v>
      </c>
      <c r="D3331" s="166" t="e">
        <f>VLOOKUP(B3331,'Thống kê'!$C$3:$M$970,4,0)</f>
        <v>#N/A</v>
      </c>
      <c r="E3331" s="167">
        <v>1</v>
      </c>
      <c r="F3331" s="168" t="e">
        <f t="shared" si="13"/>
        <v>#N/A</v>
      </c>
      <c r="G3331" s="75"/>
      <c r="H3331" s="369"/>
    </row>
    <row r="3332" spans="1:8" ht="13.2">
      <c r="A3332" s="49"/>
      <c r="B3332" s="16" t="s">
        <v>150</v>
      </c>
      <c r="C3332" s="143" t="str">
        <f>IFERROR(VLOOKUP(B3332,'Thống kê'!$C$3:$D$970,2, FALSE),VLOOKUP(B3332,'Thống kê v2 CC'!$A$3:$D$1005,3, FALSE))</f>
        <v>Móc khóa có chuông</v>
      </c>
      <c r="D3332" s="166">
        <f>VLOOKUP(B3332,'Thống kê'!$C$3:$M$970,4,0)</f>
        <v>59000</v>
      </c>
      <c r="E3332" s="167">
        <v>1</v>
      </c>
      <c r="F3332" s="168">
        <f t="shared" si="13"/>
        <v>59000</v>
      </c>
      <c r="G3332" s="75"/>
      <c r="H3332" s="205">
        <v>49036</v>
      </c>
    </row>
    <row r="3333" spans="1:8" ht="13.2">
      <c r="A3333" s="49"/>
      <c r="B3333" s="16" t="s">
        <v>1364</v>
      </c>
      <c r="C3333" s="143" t="str">
        <f>IFERROR(VLOOKUP(B3333,'Thống kê'!$C$3:$D$970,2, FALSE),VLOOKUP(B3333,'Thống kê v2 CC'!$A$3:$D$1005,3, FALSE))</f>
        <v>Móc khóa Popbean</v>
      </c>
      <c r="D3333" s="166">
        <f>VLOOKUP(B3333,'Thống kê'!$C$3:$M$970,4,0)</f>
        <v>148000</v>
      </c>
      <c r="E3333" s="167">
        <v>1</v>
      </c>
      <c r="F3333" s="168">
        <f t="shared" si="13"/>
        <v>148000</v>
      </c>
      <c r="G3333" s="75"/>
      <c r="H3333" s="407">
        <v>184090</v>
      </c>
    </row>
    <row r="3334" spans="1:8" ht="13.2">
      <c r="A3334" s="49"/>
      <c r="B3334" s="16" t="s">
        <v>192</v>
      </c>
      <c r="C3334" s="143">
        <f>IFERROR(VLOOKUP(B3334,'Thống kê'!$C$3:$D$970,2, FALSE),VLOOKUP(B3334,'Thống kê v2 CC'!$A$3:$D$1005,3, FALSE))</f>
        <v>0</v>
      </c>
      <c r="D3334" s="166">
        <f>VLOOKUP(B3334,'Thống kê'!$C$3:$M$970,4,0)</f>
        <v>0</v>
      </c>
      <c r="E3334" s="167">
        <v>1</v>
      </c>
      <c r="F3334" s="168">
        <f t="shared" si="13"/>
        <v>0</v>
      </c>
      <c r="G3334" s="75"/>
      <c r="H3334" s="369"/>
    </row>
    <row r="3335" spans="1:8" ht="13.2">
      <c r="A3335" s="49"/>
      <c r="B3335" s="16" t="s">
        <v>150</v>
      </c>
      <c r="C3335" s="143" t="str">
        <f>IFERROR(VLOOKUP(B3335,'Thống kê'!$C$3:$D$970,2, FALSE),VLOOKUP(B3335,'Thống kê v2 CC'!$A$3:$D$1005,3, FALSE))</f>
        <v>Móc khóa có chuông</v>
      </c>
      <c r="D3335" s="166">
        <f>VLOOKUP(B3335,'Thống kê'!$C$3:$M$970,4,0)</f>
        <v>59000</v>
      </c>
      <c r="E3335" s="167">
        <v>1</v>
      </c>
      <c r="F3335" s="168">
        <f t="shared" si="13"/>
        <v>59000</v>
      </c>
      <c r="G3335" s="75"/>
      <c r="H3335" s="205">
        <v>49036</v>
      </c>
    </row>
    <row r="3336" spans="1:8" ht="13.2">
      <c r="A3336" s="49"/>
      <c r="B3336" s="16" t="s">
        <v>1473</v>
      </c>
      <c r="C3336" s="143">
        <f>IFERROR(VLOOKUP(B3336,'Thống kê'!$C$3:$D$970,2, FALSE),VLOOKUP(B3336,'Thống kê v2 CC'!$A$3:$D$1005,3, FALSE))</f>
        <v>0</v>
      </c>
      <c r="D3336" s="166">
        <f>VLOOKUP(B3336,'Thống kê'!$C$3:$M$970,4,0)</f>
        <v>0</v>
      </c>
      <c r="E3336" s="167">
        <v>1</v>
      </c>
      <c r="F3336" s="168">
        <f t="shared" si="13"/>
        <v>0</v>
      </c>
      <c r="G3336" s="75"/>
      <c r="H3336" s="205">
        <v>140270</v>
      </c>
    </row>
    <row r="3337" spans="1:8" ht="13.2">
      <c r="A3337" s="49"/>
      <c r="B3337" s="16" t="s">
        <v>1817</v>
      </c>
      <c r="C3337" s="143" t="str">
        <f>IFERROR(VLOOKUP(B3337,'Thống kê'!$C$3:$D$970,2, FALSE),VLOOKUP(B3337,'Thống kê v2 CC'!$A$3:$D$1005,3, FALSE))</f>
        <v>Túi Đựng Mắt Kính Da Pu</v>
      </c>
      <c r="D3337" s="166">
        <f>VLOOKUP(B3337,'Thống kê'!$C$3:$M$970,4,0)</f>
        <v>0</v>
      </c>
      <c r="E3337" s="167">
        <v>1</v>
      </c>
      <c r="F3337" s="168">
        <f t="shared" si="13"/>
        <v>0</v>
      </c>
      <c r="G3337" s="75"/>
      <c r="H3337" s="205">
        <v>20500</v>
      </c>
    </row>
    <row r="3338" spans="1:8" ht="13.2">
      <c r="A3338" s="49"/>
      <c r="B3338" s="16" t="s">
        <v>135</v>
      </c>
      <c r="C3338" s="143">
        <f>IFERROR(VLOOKUP(B3338,'Thống kê'!$C$3:$D$970,2, FALSE),VLOOKUP(B3338,'Thống kê v2 CC'!$A$3:$D$1005,3, FALSE))</f>
        <v>0</v>
      </c>
      <c r="D3338" s="166">
        <f>VLOOKUP(B3338,'Thống kê'!$C$3:$M$970,4,0)</f>
        <v>0</v>
      </c>
      <c r="E3338" s="167">
        <v>1</v>
      </c>
      <c r="F3338" s="168">
        <f t="shared" si="13"/>
        <v>0</v>
      </c>
      <c r="G3338" s="75"/>
      <c r="H3338" s="205">
        <v>48380</v>
      </c>
    </row>
    <row r="3339" spans="1:8" ht="13.2">
      <c r="A3339" s="49"/>
      <c r="B3339" s="16" t="s">
        <v>252</v>
      </c>
      <c r="C3339" s="143">
        <f>IFERROR(VLOOKUP(B3339,'Thống kê'!$C$3:$D$970,2, FALSE),VLOOKUP(B3339,'Thống kê v2 CC'!$A$3:$D$1005,3, FALSE))</f>
        <v>0</v>
      </c>
      <c r="D3339" s="166">
        <f>VLOOKUP(B3339,'Thống kê'!$C$3:$M$970,4,0)</f>
        <v>0</v>
      </c>
      <c r="E3339" s="167">
        <v>1</v>
      </c>
      <c r="F3339" s="168">
        <f t="shared" si="13"/>
        <v>0</v>
      </c>
      <c r="G3339" s="75"/>
      <c r="H3339" s="407">
        <v>366771</v>
      </c>
    </row>
    <row r="3340" spans="1:8" ht="13.2">
      <c r="A3340" s="49"/>
      <c r="B3340" s="16" t="s">
        <v>234</v>
      </c>
      <c r="C3340" s="143" t="str">
        <f>IFERROR(VLOOKUP(B3340,'Thống kê'!$C$3:$D$970,2, FALSE),VLOOKUP(B3340,'Thống kê v2 CC'!$A$3:$D$1005,3, FALSE))</f>
        <v>Móc khoá skullpanda phiên bản mini</v>
      </c>
      <c r="D3340" s="166">
        <f>VLOOKUP(B3340,'Thống kê'!$C$3:$M$970,4,0)</f>
        <v>98000</v>
      </c>
      <c r="E3340" s="167">
        <v>1</v>
      </c>
      <c r="F3340" s="168">
        <f t="shared" si="13"/>
        <v>98000</v>
      </c>
      <c r="G3340" s="75"/>
      <c r="H3340" s="369"/>
    </row>
    <row r="3341" spans="1:8" ht="13.2">
      <c r="A3341" s="49"/>
      <c r="B3341" s="16" t="s">
        <v>369</v>
      </c>
      <c r="C3341" s="143" t="str">
        <f>IFERROR(VLOOKUP(B3341,'Thống kê'!$C$3:$D$970,2, FALSE),VLOOKUP(B3341,'Thống kê v2 CC'!$A$3:$D$1005,3, FALSE))</f>
        <v xml:space="preserve">Pop Bean Popmart </v>
      </c>
      <c r="D3341" s="166" t="e">
        <f>VLOOKUP(B3341,'Thống kê'!$C$3:$M$970,4,0)</f>
        <v>#N/A</v>
      </c>
      <c r="E3341" s="167">
        <v>1</v>
      </c>
      <c r="F3341" s="168" t="e">
        <f t="shared" si="13"/>
        <v>#N/A</v>
      </c>
      <c r="G3341" s="75"/>
      <c r="H3341" s="369"/>
    </row>
    <row r="3342" spans="1:8" ht="13.2">
      <c r="A3342" s="49"/>
      <c r="B3342" s="16" t="s">
        <v>242</v>
      </c>
      <c r="C3342" s="143">
        <f>IFERROR(VLOOKUP(B3342,'Thống kê'!$C$3:$D$970,2, FALSE),VLOOKUP(B3342,'Thống kê v2 CC'!$A$3:$D$1005,3, FALSE))</f>
        <v>0</v>
      </c>
      <c r="D3342" s="166">
        <f>VLOOKUP(B3342,'Thống kê'!$C$3:$M$970,4,0)</f>
        <v>0</v>
      </c>
      <c r="E3342" s="167">
        <v>1</v>
      </c>
      <c r="F3342" s="168">
        <f t="shared" si="13"/>
        <v>0</v>
      </c>
      <c r="G3342" s="75"/>
      <c r="H3342" s="407">
        <v>253150</v>
      </c>
    </row>
    <row r="3343" spans="1:8" ht="13.2">
      <c r="A3343" s="49"/>
      <c r="B3343" s="16" t="s">
        <v>370</v>
      </c>
      <c r="C3343" s="143" t="str">
        <f>IFERROR(VLOOKUP(B3343,'Thống kê'!$C$3:$D$970,2, FALSE),VLOOKUP(B3343,'Thống kê v2 CC'!$A$3:$D$1005,3, FALSE))</f>
        <v xml:space="preserve">Pop Bean Popmart </v>
      </c>
      <c r="D3343" s="166" t="e">
        <f>VLOOKUP(B3343,'Thống kê'!$C$3:$M$970,4,0)</f>
        <v>#N/A</v>
      </c>
      <c r="E3343" s="167">
        <v>1</v>
      </c>
      <c r="F3343" s="168" t="e">
        <f t="shared" si="13"/>
        <v>#N/A</v>
      </c>
      <c r="G3343" s="75"/>
      <c r="H3343" s="369"/>
    </row>
    <row r="3344" spans="1:8" ht="13.2">
      <c r="A3344" s="49"/>
      <c r="B3344" s="16" t="s">
        <v>232</v>
      </c>
      <c r="C3344" s="143" t="str">
        <f>IFERROR(VLOOKUP(B3344,'Thống kê'!$C$3:$D$970,2, FALSE),VLOOKUP(B3344,'Thống kê v2 CC'!$A$3:$D$1005,3, FALSE))</f>
        <v>Cáo gắn xe</v>
      </c>
      <c r="D3344" s="166">
        <f>VLOOKUP(B3344,'Thống kê'!$C$3:$M$970,4,0)</f>
        <v>45000</v>
      </c>
      <c r="E3344" s="167">
        <v>1</v>
      </c>
      <c r="F3344" s="168">
        <f t="shared" si="13"/>
        <v>45000</v>
      </c>
      <c r="G3344" s="75"/>
      <c r="H3344" s="407">
        <v>286180</v>
      </c>
    </row>
    <row r="3345" spans="1:8" ht="13.2">
      <c r="A3345" s="49"/>
      <c r="B3345" s="16" t="s">
        <v>84</v>
      </c>
      <c r="C3345" s="143">
        <f>IFERROR(VLOOKUP(B3345,'Thống kê'!$C$3:$D$970,2, FALSE),VLOOKUP(B3345,'Thống kê v2 CC'!$A$3:$D$1005,3, FALSE))</f>
        <v>0</v>
      </c>
      <c r="D3345" s="166">
        <f>VLOOKUP(B3345,'Thống kê'!$C$3:$M$970,4,0)</f>
        <v>0</v>
      </c>
      <c r="E3345" s="167">
        <v>1</v>
      </c>
      <c r="F3345" s="168">
        <f t="shared" si="13"/>
        <v>0</v>
      </c>
      <c r="G3345" s="75"/>
      <c r="H3345" s="369"/>
    </row>
    <row r="3346" spans="1:8" ht="13.2">
      <c r="A3346" s="49"/>
      <c r="B3346" s="16" t="s">
        <v>103</v>
      </c>
      <c r="C3346" s="143">
        <f>IFERROR(VLOOKUP(B3346,'Thống kê'!$C$3:$D$970,2, FALSE),VLOOKUP(B3346,'Thống kê v2 CC'!$A$3:$D$1005,3, FALSE))</f>
        <v>0</v>
      </c>
      <c r="D3346" s="166">
        <f>VLOOKUP(B3346,'Thống kê'!$C$3:$M$970,4,0)</f>
        <v>0</v>
      </c>
      <c r="E3346" s="167">
        <v>1</v>
      </c>
      <c r="F3346" s="168">
        <f t="shared" si="13"/>
        <v>0</v>
      </c>
      <c r="G3346" s="75"/>
      <c r="H3346" s="369"/>
    </row>
    <row r="3347" spans="1:8" ht="13.2">
      <c r="A3347" s="49"/>
      <c r="B3347" s="16" t="s">
        <v>137</v>
      </c>
      <c r="C3347" s="143">
        <f>IFERROR(VLOOKUP(B3347,'Thống kê'!$C$3:$D$970,2, FALSE),VLOOKUP(B3347,'Thống kê v2 CC'!$A$3:$D$1005,3, FALSE))</f>
        <v>0</v>
      </c>
      <c r="D3347" s="166">
        <f>VLOOKUP(B3347,'Thống kê'!$C$3:$M$970,4,0)</f>
        <v>0</v>
      </c>
      <c r="E3347" s="167">
        <v>1</v>
      </c>
      <c r="F3347" s="168">
        <f t="shared" si="13"/>
        <v>0</v>
      </c>
      <c r="G3347" s="75"/>
      <c r="H3347" s="369"/>
    </row>
    <row r="3348" spans="1:8" ht="13.2">
      <c r="A3348" s="49"/>
      <c r="B3348" s="16" t="s">
        <v>299</v>
      </c>
      <c r="C3348" s="143">
        <f>IFERROR(VLOOKUP(B3348,'Thống kê'!$C$3:$D$970,2, FALSE),VLOOKUP(B3348,'Thống kê v2 CC'!$A$3:$D$1005,3, FALSE))</f>
        <v>0</v>
      </c>
      <c r="D3348" s="166">
        <f>VLOOKUP(B3348,'Thống kê'!$C$3:$M$970,4,0)</f>
        <v>0</v>
      </c>
      <c r="E3348" s="167">
        <v>1</v>
      </c>
      <c r="F3348" s="168">
        <f t="shared" si="13"/>
        <v>0</v>
      </c>
      <c r="G3348" s="75"/>
      <c r="H3348" s="369"/>
    </row>
    <row r="3349" spans="1:8" ht="13.2">
      <c r="A3349" s="49"/>
      <c r="B3349" s="16" t="s">
        <v>108</v>
      </c>
      <c r="C3349" s="143">
        <f>IFERROR(VLOOKUP(B3349,'Thống kê'!$C$3:$D$970,2, FALSE),VLOOKUP(B3349,'Thống kê v2 CC'!$A$3:$D$1005,3, FALSE))</f>
        <v>0</v>
      </c>
      <c r="D3349" s="166">
        <f>VLOOKUP(B3349,'Thống kê'!$C$3:$M$970,4,0)</f>
        <v>0</v>
      </c>
      <c r="E3349" s="167">
        <v>1</v>
      </c>
      <c r="F3349" s="168">
        <f t="shared" si="13"/>
        <v>0</v>
      </c>
      <c r="G3349" s="75"/>
      <c r="H3349" s="369"/>
    </row>
    <row r="3350" spans="1:8" ht="13.2">
      <c r="A3350" s="49"/>
      <c r="B3350" s="16" t="s">
        <v>150</v>
      </c>
      <c r="C3350" s="143" t="str">
        <f>IFERROR(VLOOKUP(B3350,'Thống kê'!$C$3:$D$970,2, FALSE),VLOOKUP(B3350,'Thống kê v2 CC'!$A$3:$D$1005,3, FALSE))</f>
        <v>Móc khóa có chuông</v>
      </c>
      <c r="D3350" s="166">
        <f>VLOOKUP(B3350,'Thống kê'!$C$3:$M$970,4,0)</f>
        <v>59000</v>
      </c>
      <c r="E3350" s="167">
        <v>1</v>
      </c>
      <c r="F3350" s="168">
        <f t="shared" si="13"/>
        <v>59000</v>
      </c>
      <c r="G3350" s="75"/>
      <c r="H3350" s="205">
        <v>49036</v>
      </c>
    </row>
    <row r="3351" spans="1:8" ht="13.2">
      <c r="A3351" s="49"/>
      <c r="B3351" s="16" t="s">
        <v>1883</v>
      </c>
      <c r="C3351" s="143" t="str">
        <f>IFERROR(VLOOKUP(B3351,'Thống kê'!$C$3:$D$970,2, FALSE),VLOOKUP(B3351,'Thống kê v2 CC'!$A$3:$D$1005,3, FALSE))</f>
        <v>POP BEAN Pajama Party</v>
      </c>
      <c r="D3351" s="166" t="e">
        <f>VLOOKUP(B3351,'Thống kê'!$C$3:$M$970,4,0)</f>
        <v>#N/A</v>
      </c>
      <c r="E3351" s="167">
        <v>1</v>
      </c>
      <c r="F3351" s="168" t="e">
        <f t="shared" si="13"/>
        <v>#N/A</v>
      </c>
      <c r="G3351" s="75"/>
      <c r="H3351" s="407">
        <v>180400</v>
      </c>
    </row>
    <row r="3352" spans="1:8" ht="13.2">
      <c r="A3352" s="49"/>
      <c r="B3352" s="16" t="s">
        <v>1884</v>
      </c>
      <c r="C3352" s="143" t="str">
        <f>IFERROR(VLOOKUP(B3352,'Thống kê'!$C$3:$D$970,2, FALSE),VLOOKUP(B3352,'Thống kê v2 CC'!$A$3:$D$1005,3, FALSE))</f>
        <v>POP BEAN Pajama Party</v>
      </c>
      <c r="D3352" s="166" t="e">
        <f>VLOOKUP(B3352,'Thống kê'!$C$3:$M$970,4,0)</f>
        <v>#N/A</v>
      </c>
      <c r="E3352" s="167">
        <v>1</v>
      </c>
      <c r="F3352" s="168" t="e">
        <f t="shared" si="13"/>
        <v>#N/A</v>
      </c>
      <c r="G3352" s="75"/>
      <c r="H3352" s="369"/>
    </row>
    <row r="3353" spans="1:8" ht="13.2">
      <c r="A3353" s="49"/>
      <c r="B3353" s="16" t="s">
        <v>1662</v>
      </c>
      <c r="C3353" s="143" t="str">
        <f>IFERROR(VLOOKUP(B3353,'Thống kê'!$C$3:$D$970,2, FALSE),VLOOKUP(B3353,'Thống kê v2 CC'!$A$3:$D$1005,3, FALSE))</f>
        <v>Móc khóa Popbean Cry Baby</v>
      </c>
      <c r="D3353" s="166">
        <f>VLOOKUP(B3353,'Thống kê'!$C$3:$M$970,4,0)</f>
        <v>148000</v>
      </c>
      <c r="E3353" s="167">
        <v>1</v>
      </c>
      <c r="F3353" s="168">
        <f t="shared" si="13"/>
        <v>148000</v>
      </c>
      <c r="G3353" s="75"/>
      <c r="H3353" s="407">
        <v>143500</v>
      </c>
    </row>
    <row r="3354" spans="1:8" ht="13.2">
      <c r="A3354" s="49"/>
      <c r="B3354" s="16" t="s">
        <v>246</v>
      </c>
      <c r="C3354" s="143" t="str">
        <f>IFERROR(VLOOKUP(B3354,'Thống kê'!$C$3:$D$970,2, FALSE),VLOOKUP(B3354,'Thống kê v2 CC'!$A$3:$D$1005,3, FALSE))</f>
        <v>Móc khóa Popbean</v>
      </c>
      <c r="D3354" s="166">
        <f>VLOOKUP(B3354,'Thống kê'!$C$3:$M$970,4,0)</f>
        <v>148000</v>
      </c>
      <c r="E3354" s="167">
        <v>1</v>
      </c>
      <c r="F3354" s="168">
        <f t="shared" si="13"/>
        <v>148000</v>
      </c>
      <c r="G3354" s="75"/>
      <c r="H3354" s="369"/>
    </row>
    <row r="3355" spans="1:8" ht="13.2">
      <c r="A3355" s="49"/>
      <c r="B3355" s="16" t="s">
        <v>1841</v>
      </c>
      <c r="C3355" s="143" t="str">
        <f>IFERROR(VLOOKUP(B3355,'Thống kê'!$C$3:$D$970,2, FALSE),VLOOKUP(B3355,'Thống kê v2 CC'!$A$3:$D$1005,3, FALSE))</f>
        <v>Túi Đựng Mắt Kính Da Pu</v>
      </c>
      <c r="D3355" s="166">
        <f>VLOOKUP(B3355,'Thống kê'!$C$3:$M$970,4,0)</f>
        <v>0</v>
      </c>
      <c r="E3355" s="167">
        <v>1</v>
      </c>
      <c r="F3355" s="168">
        <f t="shared" si="13"/>
        <v>0</v>
      </c>
      <c r="G3355" s="75"/>
      <c r="H3355" s="205">
        <v>20350</v>
      </c>
    </row>
    <row r="3356" spans="1:8" ht="13.2">
      <c r="A3356" s="49"/>
      <c r="B3356" s="16" t="s">
        <v>1330</v>
      </c>
      <c r="C3356" s="143" t="str">
        <f>IFERROR(VLOOKUP(B3356,'Thống kê'!$C$3:$D$970,2, FALSE),VLOOKUP(B3356,'Thống kê v2 CC'!$A$3:$D$1005,3, FALSE))</f>
        <v>Móc khóa Popbean</v>
      </c>
      <c r="D3356" s="166">
        <f>VLOOKUP(B3356,'Thống kê'!$C$3:$M$970,4,0)</f>
        <v>148000</v>
      </c>
      <c r="E3356" s="167">
        <v>1</v>
      </c>
      <c r="F3356" s="168">
        <f t="shared" si="13"/>
        <v>148000</v>
      </c>
      <c r="G3356" s="75"/>
      <c r="H3356" s="205">
        <v>71668</v>
      </c>
    </row>
    <row r="3357" spans="1:8" ht="13.2">
      <c r="A3357" s="49"/>
      <c r="B3357" s="16" t="s">
        <v>1864</v>
      </c>
      <c r="C3357" s="143" t="str">
        <f>IFERROR(VLOOKUP(B3357,'Thống kê'!$C$3:$D$970,2, FALSE),VLOOKUP(B3357,'Thống kê v2 CC'!$A$3:$D$1005,3, FALSE))</f>
        <v>POP BEAN Pajama Party</v>
      </c>
      <c r="D3357" s="166" t="e">
        <f>VLOOKUP(B3357,'Thống kê'!$C$3:$M$970,4,0)</f>
        <v>#N/A</v>
      </c>
      <c r="E3357" s="167">
        <v>1</v>
      </c>
      <c r="F3357" s="168" t="e">
        <f t="shared" si="13"/>
        <v>#N/A</v>
      </c>
      <c r="G3357" s="75"/>
      <c r="H3357" s="407">
        <v>628940</v>
      </c>
    </row>
    <row r="3358" spans="1:8" ht="13.2">
      <c r="A3358" s="49"/>
      <c r="B3358" s="16" t="s">
        <v>1465</v>
      </c>
      <c r="C3358" s="143">
        <f>IFERROR(VLOOKUP(B3358,'Thống kê'!$C$3:$D$970,2, FALSE),VLOOKUP(B3358,'Thống kê v2 CC'!$A$3:$D$1005,3, FALSE))</f>
        <v>0</v>
      </c>
      <c r="D3358" s="166">
        <f>VLOOKUP(B3358,'Thống kê'!$C$3:$M$970,4,0)</f>
        <v>0</v>
      </c>
      <c r="E3358" s="167">
        <v>1</v>
      </c>
      <c r="F3358" s="168">
        <f t="shared" si="13"/>
        <v>0</v>
      </c>
      <c r="G3358" s="75"/>
      <c r="H3358" s="369"/>
    </row>
    <row r="3359" spans="1:8" ht="13.2">
      <c r="A3359" s="49"/>
      <c r="B3359" s="16" t="s">
        <v>180</v>
      </c>
      <c r="C3359" s="143">
        <f>IFERROR(VLOOKUP(B3359,'Thống kê'!$C$3:$D$970,2, FALSE),VLOOKUP(B3359,'Thống kê v2 CC'!$A$3:$D$1005,3, FALSE))</f>
        <v>0</v>
      </c>
      <c r="D3359" s="166">
        <f>VLOOKUP(B3359,'Thống kê'!$C$3:$M$970,4,0)</f>
        <v>0</v>
      </c>
      <c r="E3359" s="167">
        <v>1</v>
      </c>
      <c r="F3359" s="168">
        <f t="shared" si="13"/>
        <v>0</v>
      </c>
      <c r="G3359" s="75"/>
      <c r="H3359" s="369"/>
    </row>
    <row r="3360" spans="1:8" ht="13.2">
      <c r="A3360" s="49"/>
      <c r="B3360" s="16" t="s">
        <v>140</v>
      </c>
      <c r="C3360" s="143">
        <f>IFERROR(VLOOKUP(B3360,'Thống kê'!$C$3:$D$970,2, FALSE),VLOOKUP(B3360,'Thống kê v2 CC'!$A$3:$D$1005,3, FALSE))</f>
        <v>0</v>
      </c>
      <c r="D3360" s="166">
        <f>VLOOKUP(B3360,'Thống kê'!$C$3:$M$970,4,0)</f>
        <v>0</v>
      </c>
      <c r="E3360" s="167">
        <v>1</v>
      </c>
      <c r="F3360" s="168">
        <f t="shared" si="13"/>
        <v>0</v>
      </c>
      <c r="G3360" s="75"/>
      <c r="H3360" s="369"/>
    </row>
    <row r="3361" spans="1:8" ht="13.2">
      <c r="A3361" s="49"/>
      <c r="B3361" s="16" t="s">
        <v>1384</v>
      </c>
      <c r="C3361" s="143" t="str">
        <f>IFERROR(VLOOKUP(B3361,'Thống kê'!$C$3:$D$970,2, FALSE),VLOOKUP(B3361,'Thống kê v2 CC'!$A$3:$D$1005,3, FALSE))</f>
        <v>Móc khoá Crybaby mini Popmart</v>
      </c>
      <c r="D3361" s="166">
        <f>VLOOKUP(B3361,'Thống kê'!$C$3:$M$970,4,0)</f>
        <v>0</v>
      </c>
      <c r="E3361" s="167">
        <v>1</v>
      </c>
      <c r="F3361" s="168">
        <f t="shared" si="13"/>
        <v>0</v>
      </c>
      <c r="G3361" s="75"/>
      <c r="H3361" s="369"/>
    </row>
    <row r="3362" spans="1:8" ht="13.2">
      <c r="A3362" s="49"/>
      <c r="B3362" s="16" t="s">
        <v>259</v>
      </c>
      <c r="C3362" s="143" t="str">
        <f>IFERROR(VLOOKUP(B3362,'Thống kê'!$C$3:$D$970,2, FALSE),VLOOKUP(B3362,'Thống kê v2 CC'!$A$3:$D$1005,3, FALSE))</f>
        <v>Móc khoá Crybaby mini Popmart</v>
      </c>
      <c r="D3362" s="166">
        <f>VLOOKUP(B3362,'Thống kê'!$C$3:$M$970,4,0)</f>
        <v>0</v>
      </c>
      <c r="E3362" s="167">
        <v>1</v>
      </c>
      <c r="F3362" s="168">
        <f t="shared" si="13"/>
        <v>0</v>
      </c>
      <c r="G3362" s="75"/>
      <c r="H3362" s="369"/>
    </row>
    <row r="3363" spans="1:8" ht="13.2">
      <c r="A3363" s="49"/>
      <c r="B3363" s="16" t="s">
        <v>133</v>
      </c>
      <c r="C3363" s="143">
        <f>IFERROR(VLOOKUP(B3363,'Thống kê'!$C$3:$D$970,2, FALSE),VLOOKUP(B3363,'Thống kê v2 CC'!$A$3:$D$1005,3, FALSE))</f>
        <v>0</v>
      </c>
      <c r="D3363" s="166">
        <f>VLOOKUP(B3363,'Thống kê'!$C$3:$M$970,4,0)</f>
        <v>0</v>
      </c>
      <c r="E3363" s="167">
        <v>1</v>
      </c>
      <c r="F3363" s="168">
        <f t="shared" si="13"/>
        <v>0</v>
      </c>
      <c r="G3363" s="75"/>
      <c r="H3363" s="369"/>
    </row>
    <row r="3364" spans="1:8" ht="13.2">
      <c r="A3364" s="49"/>
      <c r="B3364" s="16" t="s">
        <v>84</v>
      </c>
      <c r="C3364" s="143">
        <f>IFERROR(VLOOKUP(B3364,'Thống kê'!$C$3:$D$970,2, FALSE),VLOOKUP(B3364,'Thống kê v2 CC'!$A$3:$D$1005,3, FALSE))</f>
        <v>0</v>
      </c>
      <c r="D3364" s="166">
        <f>VLOOKUP(B3364,'Thống kê'!$C$3:$M$970,4,0)</f>
        <v>0</v>
      </c>
      <c r="E3364" s="167">
        <v>1</v>
      </c>
      <c r="F3364" s="168">
        <f t="shared" si="13"/>
        <v>0</v>
      </c>
      <c r="G3364" s="75"/>
      <c r="H3364" s="369"/>
    </row>
    <row r="3365" spans="1:8" ht="13.2">
      <c r="A3365" s="49"/>
      <c r="B3365" s="16" t="s">
        <v>135</v>
      </c>
      <c r="C3365" s="143">
        <f>IFERROR(VLOOKUP(B3365,'Thống kê'!$C$3:$D$970,2, FALSE),VLOOKUP(B3365,'Thống kê v2 CC'!$A$3:$D$1005,3, FALSE))</f>
        <v>0</v>
      </c>
      <c r="D3365" s="166">
        <f>VLOOKUP(B3365,'Thống kê'!$C$3:$M$970,4,0)</f>
        <v>0</v>
      </c>
      <c r="E3365" s="167">
        <v>1</v>
      </c>
      <c r="F3365" s="168">
        <f t="shared" si="13"/>
        <v>0</v>
      </c>
      <c r="G3365" s="75"/>
      <c r="H3365" s="205">
        <v>52054</v>
      </c>
    </row>
    <row r="3366" spans="1:8" ht="13.2">
      <c r="A3366" s="49"/>
      <c r="B3366" s="16" t="s">
        <v>125</v>
      </c>
      <c r="C3366" s="143">
        <f>IFERROR(VLOOKUP(B3366,'Thống kê'!$C$3:$D$970,2, FALSE),VLOOKUP(B3366,'Thống kê v2 CC'!$A$3:$D$1005,3, FALSE))</f>
        <v>0</v>
      </c>
      <c r="D3366" s="166">
        <f>VLOOKUP(B3366,'Thống kê'!$C$3:$M$970,4,0)</f>
        <v>0</v>
      </c>
      <c r="E3366" s="167">
        <v>1</v>
      </c>
      <c r="F3366" s="168">
        <f t="shared" si="13"/>
        <v>0</v>
      </c>
      <c r="G3366" s="75"/>
      <c r="H3366" s="407">
        <v>225429</v>
      </c>
    </row>
    <row r="3367" spans="1:8" ht="13.2">
      <c r="A3367" s="49"/>
      <c r="B3367" s="16" t="s">
        <v>103</v>
      </c>
      <c r="C3367" s="143">
        <f>IFERROR(VLOOKUP(B3367,'Thống kê'!$C$3:$D$970,2, FALSE),VLOOKUP(B3367,'Thống kê v2 CC'!$A$3:$D$1005,3, FALSE))</f>
        <v>0</v>
      </c>
      <c r="D3367" s="166">
        <f>VLOOKUP(B3367,'Thống kê'!$C$3:$M$970,4,0)</f>
        <v>0</v>
      </c>
      <c r="E3367" s="167">
        <v>1</v>
      </c>
      <c r="F3367" s="168">
        <f t="shared" si="13"/>
        <v>0</v>
      </c>
      <c r="G3367" s="75"/>
      <c r="H3367" s="369"/>
    </row>
    <row r="3368" spans="1:8" ht="13.2">
      <c r="A3368" s="49"/>
      <c r="B3368" s="16" t="s">
        <v>108</v>
      </c>
      <c r="C3368" s="143">
        <f>IFERROR(VLOOKUP(B3368,'Thống kê'!$C$3:$D$970,2, FALSE),VLOOKUP(B3368,'Thống kê v2 CC'!$A$3:$D$1005,3, FALSE))</f>
        <v>0</v>
      </c>
      <c r="D3368" s="166">
        <f>VLOOKUP(B3368,'Thống kê'!$C$3:$M$970,4,0)</f>
        <v>0</v>
      </c>
      <c r="E3368" s="167">
        <v>1</v>
      </c>
      <c r="F3368" s="168">
        <f t="shared" si="13"/>
        <v>0</v>
      </c>
      <c r="G3368" s="75"/>
      <c r="H3368" s="369"/>
    </row>
    <row r="3369" spans="1:8" ht="13.2">
      <c r="A3369" s="64"/>
      <c r="B3369" s="16" t="s">
        <v>111</v>
      </c>
      <c r="C3369" s="143">
        <f>IFERROR(VLOOKUP(B3369,'Thống kê'!$C$3:$D$970,2, FALSE),VLOOKUP(B3369,'Thống kê v2 CC'!$A$3:$D$1005,3, FALSE))</f>
        <v>0</v>
      </c>
      <c r="D3369" s="166">
        <f>VLOOKUP(B3369,'Thống kê'!$C$3:$M$970,4,0)</f>
        <v>0</v>
      </c>
      <c r="E3369" s="167">
        <v>1</v>
      </c>
      <c r="F3369" s="168">
        <f t="shared" si="13"/>
        <v>0</v>
      </c>
      <c r="G3369" s="75"/>
      <c r="H3369" s="369"/>
    </row>
    <row r="3370" spans="1:8" ht="13.2">
      <c r="A3370" s="49"/>
      <c r="B3370" s="16" t="s">
        <v>1845</v>
      </c>
      <c r="C3370" s="143" t="str">
        <f>IFERROR(VLOOKUP(B3370,'Thống kê'!$C$3:$D$970,2, FALSE),VLOOKUP(B3370,'Thống kê v2 CC'!$A$3:$D$1005,3, FALSE))</f>
        <v>Túi Đựng Mắt Kính Da Pu</v>
      </c>
      <c r="D3370" s="166">
        <f>VLOOKUP(B3370,'Thống kê'!$C$3:$M$970,4,0)</f>
        <v>0</v>
      </c>
      <c r="E3370" s="167">
        <v>1</v>
      </c>
      <c r="F3370" s="168">
        <f t="shared" ref="F3370:F3624" si="14">D3370*E3370</f>
        <v>0</v>
      </c>
      <c r="G3370" s="75"/>
      <c r="H3370" s="407">
        <v>27880</v>
      </c>
    </row>
    <row r="3371" spans="1:8" ht="13.2">
      <c r="A3371" s="49"/>
      <c r="B3371" s="16" t="s">
        <v>1853</v>
      </c>
      <c r="C3371" s="143" t="str">
        <f>IFERROR(VLOOKUP(B3371,'Thống kê'!$C$3:$D$970,2, FALSE),VLOOKUP(B3371,'Thống kê v2 CC'!$A$3:$D$1005,3, FALSE))</f>
        <v>Túi Đựng Mắt Kính Da Pu</v>
      </c>
      <c r="D3371" s="166">
        <f>VLOOKUP(B3371,'Thống kê'!$C$3:$M$970,4,0)</f>
        <v>0</v>
      </c>
      <c r="E3371" s="167">
        <v>1</v>
      </c>
      <c r="F3371" s="168">
        <f t="shared" si="14"/>
        <v>0</v>
      </c>
      <c r="G3371" s="75"/>
      <c r="H3371" s="369"/>
    </row>
    <row r="3372" spans="1:8" ht="13.2">
      <c r="A3372" s="49"/>
      <c r="B3372" s="16" t="s">
        <v>1384</v>
      </c>
      <c r="C3372" s="143" t="str">
        <f>IFERROR(VLOOKUP(B3372,'Thống kê'!$C$3:$D$970,2, FALSE),VLOOKUP(B3372,'Thống kê v2 CC'!$A$3:$D$1005,3, FALSE))</f>
        <v>Móc khoá Crybaby mini Popmart</v>
      </c>
      <c r="D3372" s="166">
        <f>VLOOKUP(B3372,'Thống kê'!$C$3:$M$970,4,0)</f>
        <v>0</v>
      </c>
      <c r="E3372" s="167">
        <v>1</v>
      </c>
      <c r="F3372" s="168">
        <f t="shared" si="14"/>
        <v>0</v>
      </c>
      <c r="G3372" s="75"/>
      <c r="H3372" s="407">
        <v>251376</v>
      </c>
    </row>
    <row r="3373" spans="1:8" ht="13.2">
      <c r="A3373" s="49"/>
      <c r="B3373" s="16" t="s">
        <v>345</v>
      </c>
      <c r="C3373" s="143" t="str">
        <f>IFERROR(VLOOKUP(B3373,'Thống kê'!$C$3:$D$970,2, FALSE),VLOOKUP(B3373,'Thống kê v2 CC'!$A$3:$D$1005,3, FALSE))</f>
        <v>POP BEAN Pajama Party</v>
      </c>
      <c r="D3373" s="166" t="e">
        <f>VLOOKUP(B3373,'Thống kê'!$C$3:$M$970,4,0)</f>
        <v>#N/A</v>
      </c>
      <c r="E3373" s="167">
        <v>1</v>
      </c>
      <c r="F3373" s="168" t="e">
        <f t="shared" si="14"/>
        <v>#N/A</v>
      </c>
      <c r="G3373" s="75"/>
      <c r="H3373" s="369"/>
    </row>
    <row r="3374" spans="1:8" ht="13.2">
      <c r="A3374" s="49"/>
      <c r="B3374" s="16" t="s">
        <v>133</v>
      </c>
      <c r="C3374" s="143">
        <f>IFERROR(VLOOKUP(B3374,'Thống kê'!$C$3:$D$970,2, FALSE),VLOOKUP(B3374,'Thống kê v2 CC'!$A$3:$D$1005,3, FALSE))</f>
        <v>0</v>
      </c>
      <c r="D3374" s="166">
        <f>VLOOKUP(B3374,'Thống kê'!$C$3:$M$970,4,0)</f>
        <v>0</v>
      </c>
      <c r="E3374" s="167">
        <v>1</v>
      </c>
      <c r="F3374" s="168">
        <f t="shared" si="14"/>
        <v>0</v>
      </c>
      <c r="G3374" s="75"/>
      <c r="H3374" s="205">
        <v>100040</v>
      </c>
    </row>
    <row r="3375" spans="1:8" ht="13.2">
      <c r="A3375" s="49"/>
      <c r="B3375" s="16" t="s">
        <v>196</v>
      </c>
      <c r="C3375" s="143">
        <f>IFERROR(VLOOKUP(B3375,'Thống kê'!$C$3:$D$970,2, FALSE),VLOOKUP(B3375,'Thống kê v2 CC'!$A$3:$D$1005,3, FALSE))</f>
        <v>0</v>
      </c>
      <c r="D3375" s="166">
        <f>VLOOKUP(B3375,'Thống kê'!$C$3:$M$970,4,0)</f>
        <v>0</v>
      </c>
      <c r="E3375" s="167">
        <v>2</v>
      </c>
      <c r="F3375" s="168">
        <f t="shared" si="14"/>
        <v>0</v>
      </c>
      <c r="G3375" s="75"/>
      <c r="H3375" s="407">
        <v>1216960</v>
      </c>
    </row>
    <row r="3376" spans="1:8" ht="13.2">
      <c r="A3376" s="49"/>
      <c r="B3376" s="16" t="s">
        <v>140</v>
      </c>
      <c r="C3376" s="143">
        <f>IFERROR(VLOOKUP(B3376,'Thống kê'!$C$3:$D$970,2, FALSE),VLOOKUP(B3376,'Thống kê v2 CC'!$A$3:$D$1005,3, FALSE))</f>
        <v>0</v>
      </c>
      <c r="D3376" s="166">
        <f>VLOOKUP(B3376,'Thống kê'!$C$3:$M$970,4,0)</f>
        <v>0</v>
      </c>
      <c r="E3376" s="167">
        <v>3</v>
      </c>
      <c r="F3376" s="168">
        <f t="shared" si="14"/>
        <v>0</v>
      </c>
      <c r="G3376" s="75"/>
      <c r="H3376" s="369"/>
    </row>
    <row r="3377" spans="1:8" ht="13.2">
      <c r="A3377" s="49"/>
      <c r="B3377" s="16" t="s">
        <v>1864</v>
      </c>
      <c r="C3377" s="143" t="str">
        <f>IFERROR(VLOOKUP(B3377,'Thống kê'!$C$3:$D$970,2, FALSE),VLOOKUP(B3377,'Thống kê v2 CC'!$A$3:$D$1005,3, FALSE))</f>
        <v>POP BEAN Pajama Party</v>
      </c>
      <c r="D3377" s="166" t="e">
        <f>VLOOKUP(B3377,'Thống kê'!$C$3:$M$970,4,0)</f>
        <v>#N/A</v>
      </c>
      <c r="E3377" s="167">
        <v>1</v>
      </c>
      <c r="F3377" s="168" t="e">
        <f t="shared" si="14"/>
        <v>#N/A</v>
      </c>
      <c r="G3377" s="75"/>
      <c r="H3377" s="369"/>
    </row>
    <row r="3378" spans="1:8" ht="13.2">
      <c r="A3378" s="49"/>
      <c r="B3378" s="16" t="s">
        <v>1660</v>
      </c>
      <c r="C3378" s="143" t="str">
        <f>IFERROR(VLOOKUP(B3378,'Thống kê'!$C$3:$D$970,2, FALSE),VLOOKUP(B3378,'Thống kê v2 CC'!$A$3:$D$1005,3, FALSE))</f>
        <v>Móc khóa Popbean Skull Panda</v>
      </c>
      <c r="D3378" s="166">
        <f>VLOOKUP(B3378,'Thống kê'!$C$3:$M$970,4,0)</f>
        <v>155000</v>
      </c>
      <c r="E3378" s="167">
        <v>1</v>
      </c>
      <c r="F3378" s="168">
        <f t="shared" si="14"/>
        <v>155000</v>
      </c>
      <c r="G3378" s="75"/>
      <c r="H3378" s="369"/>
    </row>
    <row r="3379" spans="1:8" ht="13.2">
      <c r="A3379" s="49"/>
      <c r="B3379" s="16" t="s">
        <v>165</v>
      </c>
      <c r="C3379" s="143" t="str">
        <f>IFERROR(VLOOKUP(B3379,'Thống kê'!$C$3:$D$970,2, FALSE),VLOOKUP(B3379,'Thống kê v2 CC'!$A$3:$D$1005,3, FALSE))</f>
        <v>Móc khóa Popbean</v>
      </c>
      <c r="D3379" s="166">
        <f>VLOOKUP(B3379,'Thống kê'!$C$3:$M$970,4,0)</f>
        <v>148000</v>
      </c>
      <c r="E3379" s="167">
        <v>1</v>
      </c>
      <c r="F3379" s="168">
        <f t="shared" si="14"/>
        <v>148000</v>
      </c>
      <c r="G3379" s="75"/>
      <c r="H3379" s="369"/>
    </row>
    <row r="3380" spans="1:8" ht="13.2">
      <c r="A3380" s="49"/>
      <c r="B3380" s="16" t="s">
        <v>1370</v>
      </c>
      <c r="C3380" s="143" t="str">
        <f>IFERROR(VLOOKUP(B3380,'Thống kê'!$C$3:$D$970,2, FALSE),VLOOKUP(B3380,'Thống kê v2 CC'!$A$3:$D$1005,3, FALSE))</f>
        <v>Móc khóa Popbean</v>
      </c>
      <c r="D3380" s="166">
        <f>VLOOKUP(B3380,'Thống kê'!$C$3:$M$970,4,0)</f>
        <v>148000</v>
      </c>
      <c r="E3380" s="167">
        <v>1</v>
      </c>
      <c r="F3380" s="168">
        <f t="shared" si="14"/>
        <v>148000</v>
      </c>
      <c r="G3380" s="75"/>
      <c r="H3380" s="369"/>
    </row>
    <row r="3381" spans="1:8" ht="13.2">
      <c r="A3381" s="49"/>
      <c r="B3381" s="16" t="s">
        <v>1364</v>
      </c>
      <c r="C3381" s="143" t="str">
        <f>IFERROR(VLOOKUP(B3381,'Thống kê'!$C$3:$D$970,2, FALSE),VLOOKUP(B3381,'Thống kê v2 CC'!$A$3:$D$1005,3, FALSE))</f>
        <v>Móc khóa Popbean</v>
      </c>
      <c r="D3381" s="166">
        <f>VLOOKUP(B3381,'Thống kê'!$C$3:$M$970,4,0)</f>
        <v>148000</v>
      </c>
      <c r="E3381" s="167">
        <v>1</v>
      </c>
      <c r="F3381" s="168">
        <f t="shared" si="14"/>
        <v>148000</v>
      </c>
      <c r="G3381" s="75"/>
      <c r="H3381" s="369"/>
    </row>
    <row r="3382" spans="1:8" ht="13.2">
      <c r="A3382" s="49"/>
      <c r="B3382" s="16" t="s">
        <v>206</v>
      </c>
      <c r="C3382" s="143" t="str">
        <f>IFERROR(VLOOKUP(B3382,'Thống kê'!$C$3:$D$970,2, FALSE),VLOOKUP(B3382,'Thống kê v2 CC'!$A$3:$D$1005,3, FALSE))</f>
        <v>Pop Bean Baked Bread</v>
      </c>
      <c r="D3382" s="166">
        <f>VLOOKUP(B3382,'Thống kê'!$C$3:$M$970,4,0)</f>
        <v>167000</v>
      </c>
      <c r="E3382" s="167">
        <v>1</v>
      </c>
      <c r="F3382" s="168">
        <f t="shared" si="14"/>
        <v>167000</v>
      </c>
      <c r="G3382" s="75"/>
      <c r="H3382" s="369"/>
    </row>
    <row r="3383" spans="1:8" ht="13.2">
      <c r="A3383" s="49"/>
      <c r="B3383" s="16" t="s">
        <v>345</v>
      </c>
      <c r="C3383" s="143" t="str">
        <f>IFERROR(VLOOKUP(B3383,'Thống kê'!$C$3:$D$970,2, FALSE),VLOOKUP(B3383,'Thống kê v2 CC'!$A$3:$D$1005,3, FALSE))</f>
        <v>POP BEAN Pajama Party</v>
      </c>
      <c r="D3383" s="166" t="e">
        <f>VLOOKUP(B3383,'Thống kê'!$C$3:$M$970,4,0)</f>
        <v>#N/A</v>
      </c>
      <c r="E3383" s="167">
        <v>1</v>
      </c>
      <c r="F3383" s="168" t="e">
        <f t="shared" si="14"/>
        <v>#N/A</v>
      </c>
      <c r="G3383" s="75"/>
      <c r="H3383" s="369"/>
    </row>
    <row r="3384" spans="1:8" ht="13.2">
      <c r="A3384" s="49"/>
      <c r="B3384" s="16" t="s">
        <v>196</v>
      </c>
      <c r="C3384" s="143">
        <f>IFERROR(VLOOKUP(B3384,'Thống kê'!$C$3:$D$970,2, FALSE),VLOOKUP(B3384,'Thống kê v2 CC'!$A$3:$D$1005,3, FALSE))</f>
        <v>0</v>
      </c>
      <c r="D3384" s="166">
        <f>VLOOKUP(B3384,'Thống kê'!$C$3:$M$970,4,0)</f>
        <v>0</v>
      </c>
      <c r="E3384" s="167">
        <v>-1</v>
      </c>
      <c r="F3384" s="168">
        <f t="shared" si="14"/>
        <v>0</v>
      </c>
      <c r="G3384" s="75"/>
      <c r="H3384" s="407">
        <v>-217408</v>
      </c>
    </row>
    <row r="3385" spans="1:8" ht="13.2">
      <c r="A3385" s="49"/>
      <c r="B3385" s="16" t="s">
        <v>140</v>
      </c>
      <c r="C3385" s="143">
        <f>IFERROR(VLOOKUP(B3385,'Thống kê'!$C$3:$D$970,2, FALSE),VLOOKUP(B3385,'Thống kê v2 CC'!$A$3:$D$1005,3, FALSE))</f>
        <v>0</v>
      </c>
      <c r="D3385" s="166">
        <f>VLOOKUP(B3385,'Thống kê'!$C$3:$M$970,4,0)</f>
        <v>0</v>
      </c>
      <c r="E3385" s="167">
        <v>-1</v>
      </c>
      <c r="F3385" s="168">
        <f t="shared" si="14"/>
        <v>0</v>
      </c>
      <c r="G3385" s="75"/>
      <c r="H3385" s="369"/>
    </row>
    <row r="3386" spans="1:8" ht="13.2">
      <c r="A3386" s="49"/>
      <c r="B3386" s="16" t="s">
        <v>1836</v>
      </c>
      <c r="C3386" s="143" t="str">
        <f>IFERROR(VLOOKUP(B3386,'Thống kê'!$C$3:$D$970,2, FALSE),VLOOKUP(B3386,'Thống kê v2 CC'!$A$3:$D$1005,3, FALSE))</f>
        <v>Túi Đựng Mắt Kính Da Pu</v>
      </c>
      <c r="D3386" s="166">
        <f>VLOOKUP(B3386,'Thống kê'!$C$3:$M$970,4,0)</f>
        <v>0</v>
      </c>
      <c r="E3386" s="167">
        <v>-8</v>
      </c>
      <c r="F3386" s="168">
        <f t="shared" si="14"/>
        <v>0</v>
      </c>
      <c r="G3386" s="75"/>
      <c r="H3386" s="205">
        <v>-114240</v>
      </c>
    </row>
    <row r="3387" spans="1:8" ht="13.2">
      <c r="A3387" s="49"/>
      <c r="B3387" s="16" t="s">
        <v>1845</v>
      </c>
      <c r="C3387" s="143" t="str">
        <f>IFERROR(VLOOKUP(B3387,'Thống kê'!$C$3:$D$970,2, FALSE),VLOOKUP(B3387,'Thống kê v2 CC'!$A$3:$D$1005,3, FALSE))</f>
        <v>Túi Đựng Mắt Kính Da Pu</v>
      </c>
      <c r="D3387" s="166">
        <f>VLOOKUP(B3387,'Thống kê'!$C$3:$M$970,4,0)</f>
        <v>0</v>
      </c>
      <c r="E3387" s="167">
        <v>1</v>
      </c>
      <c r="F3387" s="168">
        <f t="shared" si="14"/>
        <v>0</v>
      </c>
      <c r="G3387" s="75"/>
      <c r="H3387" s="205">
        <v>13790</v>
      </c>
    </row>
    <row r="3388" spans="1:8" ht="13.2">
      <c r="A3388" s="49"/>
      <c r="B3388" s="16" t="s">
        <v>1634</v>
      </c>
      <c r="C3388" s="143" t="str">
        <f>IFERROR(VLOOKUP(B3388,'Thống kê'!$C$3:$D$970,2, FALSE),VLOOKUP(B3388,'Thống kê v2 CC'!$A$3:$D$1005,3, FALSE))</f>
        <v>Móc khóa mèo đen cá</v>
      </c>
      <c r="D3388" s="166">
        <f>VLOOKUP(B3388,'Thống kê'!$C$3:$M$970,4,0)</f>
        <v>59000</v>
      </c>
      <c r="E3388" s="167">
        <v>1</v>
      </c>
      <c r="F3388" s="168">
        <f t="shared" si="14"/>
        <v>59000</v>
      </c>
      <c r="G3388" s="75"/>
      <c r="H3388" s="205">
        <v>46396</v>
      </c>
    </row>
    <row r="3389" spans="1:8" ht="13.2">
      <c r="A3389" s="49"/>
      <c r="B3389" s="16" t="s">
        <v>1867</v>
      </c>
      <c r="C3389" s="143" t="str">
        <f>IFERROR(VLOOKUP(B3389,'Thống kê'!$C$3:$D$970,2, FALSE),VLOOKUP(B3389,'Thống kê v2 CC'!$A$3:$D$1005,3, FALSE))</f>
        <v>POP BEAN Pajama Party</v>
      </c>
      <c r="D3389" s="166" t="e">
        <f>VLOOKUP(B3389,'Thống kê'!$C$3:$M$970,4,0)</f>
        <v>#N/A</v>
      </c>
      <c r="E3389" s="167">
        <v>1</v>
      </c>
      <c r="F3389" s="168" t="e">
        <f t="shared" si="14"/>
        <v>#N/A</v>
      </c>
      <c r="G3389" s="75"/>
      <c r="H3389" s="205">
        <v>80610</v>
      </c>
    </row>
    <row r="3390" spans="1:8" ht="13.2">
      <c r="A3390" s="49"/>
      <c r="B3390" s="16" t="s">
        <v>1853</v>
      </c>
      <c r="C3390" s="143" t="str">
        <f>IFERROR(VLOOKUP(B3390,'Thống kê'!$C$3:$D$970,2, FALSE),VLOOKUP(B3390,'Thống kê v2 CC'!$A$3:$D$1005,3, FALSE))</f>
        <v>Túi Đựng Mắt Kính Da Pu</v>
      </c>
      <c r="D3390" s="166">
        <f>VLOOKUP(B3390,'Thống kê'!$C$3:$M$970,4,0)</f>
        <v>0</v>
      </c>
      <c r="E3390" s="167">
        <v>1</v>
      </c>
      <c r="F3390" s="168">
        <f t="shared" si="14"/>
        <v>0</v>
      </c>
      <c r="G3390" s="75"/>
      <c r="H3390" s="205">
        <v>13940</v>
      </c>
    </row>
    <row r="3391" spans="1:8" ht="13.2">
      <c r="A3391" s="49"/>
      <c r="B3391" s="16" t="s">
        <v>250</v>
      </c>
      <c r="C3391" s="143">
        <f>IFERROR(VLOOKUP(B3391,'Thống kê'!$C$3:$D$970,2, FALSE),VLOOKUP(B3391,'Thống kê v2 CC'!$A$3:$D$1005,3, FALSE))</f>
        <v>0</v>
      </c>
      <c r="D3391" s="166">
        <f>VLOOKUP(B3391,'Thống kê'!$C$3:$M$970,4,0)</f>
        <v>0</v>
      </c>
      <c r="E3391" s="167">
        <v>1</v>
      </c>
      <c r="F3391" s="168">
        <f t="shared" si="14"/>
        <v>0</v>
      </c>
      <c r="G3391" s="75"/>
      <c r="H3391" s="205">
        <v>144420</v>
      </c>
    </row>
    <row r="3392" spans="1:8" ht="13.2">
      <c r="A3392" s="49"/>
      <c r="B3392" s="16" t="s">
        <v>250</v>
      </c>
      <c r="C3392" s="143">
        <f>IFERROR(VLOOKUP(B3392,'Thống kê'!$C$3:$D$970,2, FALSE),VLOOKUP(B3392,'Thống kê v2 CC'!$A$3:$D$1005,3, FALSE))</f>
        <v>0</v>
      </c>
      <c r="D3392" s="166">
        <f>VLOOKUP(B3392,'Thống kê'!$C$3:$M$970,4,0)</f>
        <v>0</v>
      </c>
      <c r="E3392" s="167">
        <v>1</v>
      </c>
      <c r="F3392" s="168">
        <f t="shared" si="14"/>
        <v>0</v>
      </c>
      <c r="G3392" s="75"/>
      <c r="H3392" s="205">
        <v>144420</v>
      </c>
    </row>
    <row r="3393" spans="1:8" ht="13.2">
      <c r="A3393" s="64"/>
      <c r="B3393" s="16" t="s">
        <v>1845</v>
      </c>
      <c r="C3393" s="143" t="str">
        <f>IFERROR(VLOOKUP(B3393,'Thống kê'!$C$3:$D$970,2, FALSE),VLOOKUP(B3393,'Thống kê v2 CC'!$A$3:$D$1005,3, FALSE))</f>
        <v>Túi Đựng Mắt Kính Da Pu</v>
      </c>
      <c r="D3393" s="166">
        <f>VLOOKUP(B3393,'Thống kê'!$C$3:$M$970,4,0)</f>
        <v>0</v>
      </c>
      <c r="E3393" s="167">
        <v>2</v>
      </c>
      <c r="F3393" s="168">
        <f t="shared" si="14"/>
        <v>0</v>
      </c>
      <c r="G3393" s="75"/>
      <c r="H3393" s="205">
        <v>27730</v>
      </c>
    </row>
    <row r="3394" spans="1:8" ht="13.2">
      <c r="A3394" s="49"/>
      <c r="B3394" s="16" t="s">
        <v>85</v>
      </c>
      <c r="C3394" s="143">
        <f>IFERROR(VLOOKUP(B3394,'Thống kê'!$C$3:$D$970,2, FALSE),VLOOKUP(B3394,'Thống kê v2 CC'!$A$3:$D$1005,3, FALSE))</f>
        <v>0</v>
      </c>
      <c r="D3394" s="166">
        <f>VLOOKUP(B3394,'Thống kê'!$C$3:$M$970,4,0)</f>
        <v>0</v>
      </c>
      <c r="E3394" s="167">
        <v>1</v>
      </c>
      <c r="F3394" s="168">
        <f t="shared" si="14"/>
        <v>0</v>
      </c>
      <c r="G3394" s="75"/>
      <c r="H3394" s="205">
        <v>53136</v>
      </c>
    </row>
    <row r="3395" spans="1:8" ht="13.2">
      <c r="A3395" s="49"/>
      <c r="B3395" s="16" t="s">
        <v>80</v>
      </c>
      <c r="C3395" s="143">
        <f>IFERROR(VLOOKUP(B3395,'Thống kê'!$C$3:$D$970,2, FALSE),VLOOKUP(B3395,'Thống kê v2 CC'!$A$3:$D$1005,3, FALSE))</f>
        <v>0</v>
      </c>
      <c r="D3395" s="166">
        <f>VLOOKUP(B3395,'Thống kê'!$C$3:$M$970,4,0)</f>
        <v>0</v>
      </c>
      <c r="E3395" s="167">
        <v>1</v>
      </c>
      <c r="F3395" s="168">
        <f t="shared" si="14"/>
        <v>0</v>
      </c>
      <c r="G3395" s="75"/>
      <c r="H3395" s="205">
        <v>178760</v>
      </c>
    </row>
    <row r="3396" spans="1:8" ht="13.2">
      <c r="A3396" s="49"/>
      <c r="B3396" s="16" t="s">
        <v>1530</v>
      </c>
      <c r="C3396" s="143">
        <f>IFERROR(VLOOKUP(B3396,'Thống kê'!$C$3:$D$970,2, FALSE),VLOOKUP(B3396,'Thống kê v2 CC'!$A$3:$D$1005,3, FALSE))</f>
        <v>0</v>
      </c>
      <c r="D3396" s="166">
        <f>VLOOKUP(B3396,'Thống kê'!$C$3:$M$970,4,0)</f>
        <v>0</v>
      </c>
      <c r="E3396" s="167">
        <v>1</v>
      </c>
      <c r="F3396" s="168">
        <f t="shared" si="14"/>
        <v>0</v>
      </c>
      <c r="G3396" s="75"/>
      <c r="H3396" s="205"/>
    </row>
    <row r="3397" spans="1:8" ht="13.2">
      <c r="A3397" s="49"/>
      <c r="B3397" s="16" t="s">
        <v>1520</v>
      </c>
      <c r="C3397" s="143">
        <f>IFERROR(VLOOKUP(B3397,'Thống kê'!$C$3:$D$970,2, FALSE),VLOOKUP(B3397,'Thống kê v2 CC'!$A$3:$D$1005,3, FALSE))</f>
        <v>0</v>
      </c>
      <c r="D3397" s="166">
        <f>VLOOKUP(B3397,'Thống kê'!$C$3:$M$970,4,0)</f>
        <v>0</v>
      </c>
      <c r="E3397" s="167">
        <v>1</v>
      </c>
      <c r="F3397" s="168">
        <f t="shared" si="14"/>
        <v>0</v>
      </c>
      <c r="G3397" s="75"/>
      <c r="H3397" s="205"/>
    </row>
    <row r="3398" spans="1:8" ht="13.2">
      <c r="A3398" s="49"/>
      <c r="B3398" s="16" t="s">
        <v>1841</v>
      </c>
      <c r="C3398" s="143" t="str">
        <f>IFERROR(VLOOKUP(B3398,'Thống kê'!$C$3:$D$970,2, FALSE),VLOOKUP(B3398,'Thống kê v2 CC'!$A$3:$D$1005,3, FALSE))</f>
        <v>Túi Đựng Mắt Kính Da Pu</v>
      </c>
      <c r="D3398" s="166">
        <f>VLOOKUP(B3398,'Thống kê'!$C$3:$M$970,4,0)</f>
        <v>0</v>
      </c>
      <c r="E3398" s="167">
        <v>1</v>
      </c>
      <c r="F3398" s="168">
        <f t="shared" si="14"/>
        <v>0</v>
      </c>
      <c r="G3398" s="75"/>
      <c r="H3398" s="205">
        <v>20350</v>
      </c>
    </row>
    <row r="3399" spans="1:8" ht="13.2">
      <c r="A3399" s="49"/>
      <c r="B3399" s="16" t="s">
        <v>201</v>
      </c>
      <c r="C3399" s="143">
        <f>IFERROR(VLOOKUP(B3399,'Thống kê'!$C$3:$D$970,2, FALSE),VLOOKUP(B3399,'Thống kê v2 CC'!$A$3:$D$1005,3, FALSE))</f>
        <v>0</v>
      </c>
      <c r="D3399" s="166">
        <f>VLOOKUP(B3399,'Thống kê'!$C$3:$M$970,4,0)</f>
        <v>0</v>
      </c>
      <c r="E3399" s="167">
        <v>1</v>
      </c>
      <c r="F3399" s="168">
        <f t="shared" si="14"/>
        <v>0</v>
      </c>
      <c r="G3399" s="75"/>
      <c r="H3399" s="205">
        <v>144420</v>
      </c>
    </row>
    <row r="3400" spans="1:8" ht="13.2">
      <c r="A3400" s="49"/>
      <c r="B3400" s="16" t="s">
        <v>1885</v>
      </c>
      <c r="C3400" s="143" t="str">
        <f>IFERROR(VLOOKUP(B3400,'Thống kê'!$C$3:$D$970,2, FALSE),VLOOKUP(B3400,'Thống kê v2 CC'!$A$3:$D$1005,3, FALSE))</f>
        <v>Cài áo hoa hồng đen</v>
      </c>
      <c r="D3400" s="166">
        <f>VLOOKUP(B3400,'Thống kê'!$C$3:$M$970,4,0)</f>
        <v>39500</v>
      </c>
      <c r="E3400" s="167">
        <v>1</v>
      </c>
      <c r="F3400" s="168">
        <f t="shared" si="14"/>
        <v>39500</v>
      </c>
      <c r="G3400" s="75"/>
      <c r="H3400" s="407">
        <v>46274</v>
      </c>
    </row>
    <row r="3401" spans="1:8" ht="13.2">
      <c r="A3401" s="49"/>
      <c r="B3401" s="16" t="s">
        <v>1817</v>
      </c>
      <c r="C3401" s="143" t="str">
        <f>IFERROR(VLOOKUP(B3401,'Thống kê'!$C$3:$D$970,2, FALSE),VLOOKUP(B3401,'Thống kê v2 CC'!$A$3:$D$1005,3, FALSE))</f>
        <v>Túi Đựng Mắt Kính Da Pu</v>
      </c>
      <c r="D3401" s="166">
        <f>VLOOKUP(B3401,'Thống kê'!$C$3:$M$970,4,0)</f>
        <v>0</v>
      </c>
      <c r="E3401" s="167">
        <v>1</v>
      </c>
      <c r="F3401" s="168">
        <f t="shared" si="14"/>
        <v>0</v>
      </c>
      <c r="G3401" s="75"/>
      <c r="H3401" s="369"/>
    </row>
    <row r="3402" spans="1:8" ht="13.2">
      <c r="A3402" s="49"/>
      <c r="B3402" s="16" t="s">
        <v>191</v>
      </c>
      <c r="C3402" s="143">
        <f>IFERROR(VLOOKUP(B3402,'Thống kê'!$C$3:$D$970,2, FALSE),VLOOKUP(B3402,'Thống kê v2 CC'!$A$3:$D$1005,3, FALSE))</f>
        <v>0</v>
      </c>
      <c r="D3402" s="166">
        <f>VLOOKUP(B3402,'Thống kê'!$C$3:$M$970,4,0)</f>
        <v>0</v>
      </c>
      <c r="E3402" s="167">
        <v>1</v>
      </c>
      <c r="F3402" s="168">
        <f t="shared" si="14"/>
        <v>0</v>
      </c>
      <c r="G3402" s="75"/>
      <c r="H3402" s="205">
        <v>64501</v>
      </c>
    </row>
    <row r="3403" spans="1:8" ht="13.2">
      <c r="A3403" s="49"/>
      <c r="B3403" s="16" t="s">
        <v>1853</v>
      </c>
      <c r="C3403" s="143" t="str">
        <f>IFERROR(VLOOKUP(B3403,'Thống kê'!$C$3:$D$970,2, FALSE),VLOOKUP(B3403,'Thống kê v2 CC'!$A$3:$D$1005,3, FALSE))</f>
        <v>Túi Đựng Mắt Kính Da Pu</v>
      </c>
      <c r="D3403" s="166">
        <f>VLOOKUP(B3403,'Thống kê'!$C$3:$M$970,4,0)</f>
        <v>0</v>
      </c>
      <c r="E3403" s="167">
        <v>2</v>
      </c>
      <c r="F3403" s="168">
        <f t="shared" si="14"/>
        <v>0</v>
      </c>
      <c r="G3403" s="75"/>
      <c r="H3403" s="205">
        <v>27880</v>
      </c>
    </row>
    <row r="3404" spans="1:8" ht="13.2">
      <c r="A3404" s="49"/>
      <c r="B3404" s="16" t="s">
        <v>140</v>
      </c>
      <c r="C3404" s="143">
        <f>IFERROR(VLOOKUP(B3404,'Thống kê'!$C$3:$D$970,2, FALSE),VLOOKUP(B3404,'Thống kê v2 CC'!$A$3:$D$1005,3, FALSE))</f>
        <v>0</v>
      </c>
      <c r="D3404" s="166">
        <f>VLOOKUP(B3404,'Thống kê'!$C$3:$M$970,4,0)</f>
        <v>0</v>
      </c>
      <c r="E3404" s="167">
        <v>1</v>
      </c>
      <c r="F3404" s="168">
        <f t="shared" si="14"/>
        <v>0</v>
      </c>
      <c r="G3404" s="75"/>
      <c r="H3404" s="407">
        <v>105370</v>
      </c>
    </row>
    <row r="3405" spans="1:8" ht="13.2">
      <c r="A3405" s="49"/>
      <c r="B3405" s="16" t="s">
        <v>299</v>
      </c>
      <c r="C3405" s="143">
        <f>IFERROR(VLOOKUP(B3405,'Thống kê'!$C$3:$D$970,2, FALSE),VLOOKUP(B3405,'Thống kê v2 CC'!$A$3:$D$1005,3, FALSE))</f>
        <v>0</v>
      </c>
      <c r="D3405" s="166">
        <f>VLOOKUP(B3405,'Thống kê'!$C$3:$M$970,4,0)</f>
        <v>0</v>
      </c>
      <c r="E3405" s="167">
        <v>1</v>
      </c>
      <c r="F3405" s="168">
        <f t="shared" si="14"/>
        <v>0</v>
      </c>
      <c r="G3405" s="75"/>
      <c r="H3405" s="369"/>
    </row>
    <row r="3406" spans="1:8" ht="13.2">
      <c r="A3406" s="49"/>
      <c r="B3406" s="16" t="s">
        <v>1841</v>
      </c>
      <c r="C3406" s="143" t="str">
        <f>IFERROR(VLOOKUP(B3406,'Thống kê'!$C$3:$D$970,2, FALSE),VLOOKUP(B3406,'Thống kê v2 CC'!$A$3:$D$1005,3, FALSE))</f>
        <v>Túi Đựng Mắt Kính Da Pu</v>
      </c>
      <c r="D3406" s="166">
        <f>VLOOKUP(B3406,'Thống kê'!$C$3:$M$970,4,0)</f>
        <v>0</v>
      </c>
      <c r="E3406" s="167">
        <v>1</v>
      </c>
      <c r="F3406" s="168">
        <f t="shared" si="14"/>
        <v>0</v>
      </c>
      <c r="G3406" s="75"/>
      <c r="H3406" s="205">
        <v>74686</v>
      </c>
    </row>
    <row r="3407" spans="1:8" ht="13.2">
      <c r="A3407" s="49"/>
      <c r="B3407" s="16" t="s">
        <v>140</v>
      </c>
      <c r="C3407" s="143">
        <f>IFERROR(VLOOKUP(B3407,'Thống kê'!$C$3:$D$970,2, FALSE),VLOOKUP(B3407,'Thống kê v2 CC'!$A$3:$D$1005,3, FALSE))</f>
        <v>0</v>
      </c>
      <c r="D3407" s="166">
        <f>VLOOKUP(B3407,'Thống kê'!$C$3:$M$970,4,0)</f>
        <v>0</v>
      </c>
      <c r="E3407" s="167">
        <v>1</v>
      </c>
      <c r="F3407" s="168">
        <f t="shared" si="14"/>
        <v>0</v>
      </c>
      <c r="G3407" s="75"/>
      <c r="H3407" s="205">
        <v>55350</v>
      </c>
    </row>
    <row r="3408" spans="1:8" ht="13.2">
      <c r="A3408" s="49"/>
      <c r="B3408" s="16" t="s">
        <v>119</v>
      </c>
      <c r="C3408" s="143" t="str">
        <f>IFERROR(VLOOKUP(B3408,'Thống kê'!$C$3:$D$970,2, FALSE),VLOOKUP(B3408,'Thống kê v2 CC'!$A$3:$D$1005,3, FALSE))</f>
        <v>Thỏ chạy xe gắn xe</v>
      </c>
      <c r="D3408" s="166">
        <f>VLOOKUP(B3408,'Thống kê'!$C$3:$M$970,4,0)</f>
        <v>45000</v>
      </c>
      <c r="E3408" s="167">
        <v>2</v>
      </c>
      <c r="F3408" s="168">
        <f t="shared" si="14"/>
        <v>90000</v>
      </c>
      <c r="G3408" s="75"/>
      <c r="H3408" s="407">
        <v>113090</v>
      </c>
    </row>
    <row r="3409" spans="1:8" ht="13.2">
      <c r="A3409" s="49"/>
      <c r="B3409" s="16" t="s">
        <v>1886</v>
      </c>
      <c r="C3409" s="143" t="e">
        <f>IFERROR(VLOOKUP(B3409,'Thống kê'!$C$3:$D$970,2, FALSE),VLOOKUP(B3409,'Thống kê v2 CC'!$A$3:$D$1005,3, FALSE))</f>
        <v>#N/A</v>
      </c>
      <c r="D3409" s="166" t="e">
        <f>VLOOKUP(B3409,'Thống kê'!$C$3:$M$970,4,0)</f>
        <v>#N/A</v>
      </c>
      <c r="E3409" s="167">
        <v>1</v>
      </c>
      <c r="F3409" s="168" t="e">
        <f t="shared" si="14"/>
        <v>#N/A</v>
      </c>
      <c r="G3409" s="75"/>
      <c r="H3409" s="369"/>
    </row>
    <row r="3410" spans="1:8" ht="13.2">
      <c r="A3410" s="64"/>
      <c r="B3410" s="16" t="s">
        <v>227</v>
      </c>
      <c r="C3410" s="143" t="str">
        <f>IFERROR(VLOOKUP(B3410,'Thống kê'!$C$3:$D$970,2, FALSE),VLOOKUP(B3410,'Thống kê v2 CC'!$A$3:$D$1005,3, FALSE))</f>
        <v>Móc khóa đôi corgy</v>
      </c>
      <c r="D3410" s="166">
        <f>VLOOKUP(B3410,'Thống kê'!$C$3:$M$970,4,0)</f>
        <v>56580</v>
      </c>
      <c r="E3410" s="167">
        <v>1</v>
      </c>
      <c r="F3410" s="168">
        <f t="shared" si="14"/>
        <v>56580</v>
      </c>
      <c r="G3410" s="75"/>
      <c r="H3410" s="205">
        <v>46396</v>
      </c>
    </row>
    <row r="3411" spans="1:8" ht="13.2">
      <c r="A3411" s="49"/>
      <c r="B3411" s="16" t="s">
        <v>290</v>
      </c>
      <c r="C3411" s="143" t="e">
        <f>IFERROR(VLOOKUP(B3411,'Thống kê'!$C$3:$D$970,2, FALSE),VLOOKUP(B3411,'Thống kê v2 CC'!$A$3:$D$1005,3, FALSE))</f>
        <v>#N/A</v>
      </c>
      <c r="D3411" s="166" t="e">
        <f>VLOOKUP(B3411,'Thống kê'!$C$3:$M$970,4,0)</f>
        <v>#N/A</v>
      </c>
      <c r="E3411" s="167">
        <v>1</v>
      </c>
      <c r="F3411" s="168" t="e">
        <f t="shared" si="14"/>
        <v>#N/A</v>
      </c>
      <c r="G3411" s="75"/>
      <c r="H3411" s="407">
        <v>151890</v>
      </c>
    </row>
    <row r="3412" spans="1:8" ht="13.2">
      <c r="A3412" s="49"/>
      <c r="B3412" s="16" t="s">
        <v>1382</v>
      </c>
      <c r="C3412" s="143" t="str">
        <f>IFERROR(VLOOKUP(B3412,'Thống kê'!$C$3:$D$970,2, FALSE),VLOOKUP(B3412,'Thống kê v2 CC'!$A$3:$D$1005,3, FALSE))</f>
        <v>miếng dán silicon điện thoại</v>
      </c>
      <c r="D3412" s="166">
        <f>VLOOKUP(B3412,'Thống kê'!$C$3:$M$970,4,0)</f>
        <v>0</v>
      </c>
      <c r="E3412" s="167">
        <v>1</v>
      </c>
      <c r="F3412" s="168">
        <f t="shared" si="14"/>
        <v>0</v>
      </c>
      <c r="G3412" s="75"/>
      <c r="H3412" s="369"/>
    </row>
    <row r="3413" spans="1:8" ht="13.2">
      <c r="A3413" s="49"/>
      <c r="B3413" s="16" t="s">
        <v>250</v>
      </c>
      <c r="C3413" s="143">
        <f>IFERROR(VLOOKUP(B3413,'Thống kê'!$C$3:$D$970,2, FALSE),VLOOKUP(B3413,'Thống kê v2 CC'!$A$3:$D$1005,3, FALSE))</f>
        <v>0</v>
      </c>
      <c r="D3413" s="166">
        <f>VLOOKUP(B3413,'Thống kê'!$C$3:$M$970,4,0)</f>
        <v>0</v>
      </c>
      <c r="E3413" s="167">
        <v>1</v>
      </c>
      <c r="F3413" s="168">
        <f t="shared" si="14"/>
        <v>0</v>
      </c>
      <c r="G3413" s="75"/>
      <c r="H3413" s="205">
        <v>265059</v>
      </c>
    </row>
    <row r="3414" spans="1:8" ht="13.2">
      <c r="A3414" s="49"/>
      <c r="B3414" s="16" t="s">
        <v>273</v>
      </c>
      <c r="C3414" s="143">
        <f>IFERROR(VLOOKUP(B3414,'Thống kê'!$C$3:$D$970,2, FALSE),VLOOKUP(B3414,'Thống kê v2 CC'!$A$3:$D$1005,3, FALSE))</f>
        <v>0</v>
      </c>
      <c r="D3414" s="166">
        <f>VLOOKUP(B3414,'Thống kê'!$C$3:$M$970,4,0)</f>
        <v>0</v>
      </c>
      <c r="E3414" s="167">
        <v>1</v>
      </c>
      <c r="F3414" s="168">
        <f t="shared" si="14"/>
        <v>0</v>
      </c>
      <c r="G3414" s="75"/>
      <c r="H3414" s="205"/>
    </row>
    <row r="3415" spans="1:8" ht="13.2">
      <c r="A3415" s="49"/>
      <c r="B3415" s="16" t="s">
        <v>196</v>
      </c>
      <c r="C3415" s="143">
        <f>IFERROR(VLOOKUP(B3415,'Thống kê'!$C$3:$D$970,2, FALSE),VLOOKUP(B3415,'Thống kê v2 CC'!$A$3:$D$1005,3, FALSE))</f>
        <v>0</v>
      </c>
      <c r="D3415" s="166">
        <f>VLOOKUP(B3415,'Thống kê'!$C$3:$M$970,4,0)</f>
        <v>0</v>
      </c>
      <c r="E3415" s="167">
        <v>1</v>
      </c>
      <c r="F3415" s="168">
        <f t="shared" si="14"/>
        <v>0</v>
      </c>
      <c r="G3415" s="75"/>
      <c r="H3415" s="205">
        <v>52054</v>
      </c>
    </row>
    <row r="3416" spans="1:8" ht="13.2">
      <c r="A3416" s="49"/>
      <c r="B3416" s="16" t="s">
        <v>191</v>
      </c>
      <c r="C3416" s="143">
        <f>IFERROR(VLOOKUP(B3416,'Thống kê'!$C$3:$D$970,2, FALSE),VLOOKUP(B3416,'Thống kê v2 CC'!$A$3:$D$1005,3, FALSE))</f>
        <v>0</v>
      </c>
      <c r="D3416" s="166">
        <f>VLOOKUP(B3416,'Thống kê'!$C$3:$M$970,4,0)</f>
        <v>0</v>
      </c>
      <c r="E3416" s="167">
        <v>1</v>
      </c>
      <c r="F3416" s="168">
        <f t="shared" si="14"/>
        <v>0</v>
      </c>
      <c r="G3416" s="75"/>
      <c r="H3416" s="205">
        <v>61861</v>
      </c>
    </row>
    <row r="3417" spans="1:8" ht="13.2">
      <c r="A3417" s="49"/>
      <c r="B3417" s="16" t="s">
        <v>135</v>
      </c>
      <c r="C3417" s="143">
        <f>IFERROR(VLOOKUP(B3417,'Thống kê'!$C$3:$D$970,2, FALSE),VLOOKUP(B3417,'Thống kê v2 CC'!$A$3:$D$1005,3, FALSE))</f>
        <v>0</v>
      </c>
      <c r="D3417" s="166">
        <f>VLOOKUP(B3417,'Thống kê'!$C$3:$M$970,4,0)</f>
        <v>0</v>
      </c>
      <c r="E3417" s="167">
        <v>1</v>
      </c>
      <c r="F3417" s="168">
        <f t="shared" si="14"/>
        <v>0</v>
      </c>
      <c r="G3417" s="75"/>
      <c r="H3417" s="407">
        <v>148132</v>
      </c>
    </row>
    <row r="3418" spans="1:8" ht="13.2">
      <c r="A3418" s="49"/>
      <c r="B3418" s="16" t="s">
        <v>1499</v>
      </c>
      <c r="C3418" s="143">
        <f>IFERROR(VLOOKUP(B3418,'Thống kê'!$C$3:$D$970,2, FALSE),VLOOKUP(B3418,'Thống kê v2 CC'!$A$3:$D$1005,3, FALSE))</f>
        <v>0</v>
      </c>
      <c r="D3418" s="166">
        <f>VLOOKUP(B3418,'Thống kê'!$C$3:$M$970,4,0)</f>
        <v>0</v>
      </c>
      <c r="E3418" s="167">
        <v>1</v>
      </c>
      <c r="F3418" s="168">
        <f t="shared" si="14"/>
        <v>0</v>
      </c>
      <c r="G3418" s="75"/>
      <c r="H3418" s="369"/>
    </row>
    <row r="3419" spans="1:8" ht="13.2">
      <c r="A3419" s="49"/>
      <c r="B3419" s="16" t="s">
        <v>1840</v>
      </c>
      <c r="C3419" s="143" t="str">
        <f>IFERROR(VLOOKUP(B3419,'Thống kê'!$C$3:$D$970,2, FALSE),VLOOKUP(B3419,'Thống kê v2 CC'!$A$3:$D$1005,3, FALSE))</f>
        <v>Túi Đựng Mắt Kính Da Pu</v>
      </c>
      <c r="D3419" s="166">
        <f>VLOOKUP(B3419,'Thống kê'!$C$3:$M$970,4,0)</f>
        <v>0</v>
      </c>
      <c r="E3419" s="167">
        <v>1</v>
      </c>
      <c r="F3419" s="168">
        <f t="shared" si="14"/>
        <v>0</v>
      </c>
      <c r="G3419" s="75"/>
      <c r="H3419" s="205"/>
    </row>
    <row r="3420" spans="1:8" ht="13.2">
      <c r="A3420" s="49"/>
      <c r="B3420" s="16" t="s">
        <v>242</v>
      </c>
      <c r="C3420" s="143">
        <f>IFERROR(VLOOKUP(B3420,'Thống kê'!$C$3:$D$970,2, FALSE),VLOOKUP(B3420,'Thống kê v2 CC'!$A$3:$D$1005,3, FALSE))</f>
        <v>0</v>
      </c>
      <c r="D3420" s="166">
        <f>VLOOKUP(B3420,'Thống kê'!$C$3:$M$970,4,0)</f>
        <v>0</v>
      </c>
      <c r="E3420" s="167">
        <v>1</v>
      </c>
      <c r="F3420" s="168">
        <f t="shared" si="14"/>
        <v>0</v>
      </c>
      <c r="G3420" s="75"/>
      <c r="H3420" s="407">
        <v>801366</v>
      </c>
    </row>
    <row r="3421" spans="1:8" ht="13.2">
      <c r="A3421" s="49"/>
      <c r="B3421" s="16" t="s">
        <v>248</v>
      </c>
      <c r="C3421" s="143">
        <f>IFERROR(VLOOKUP(B3421,'Thống kê'!$C$3:$D$970,2, FALSE),VLOOKUP(B3421,'Thống kê v2 CC'!$A$3:$D$1005,3, FALSE))</f>
        <v>0</v>
      </c>
      <c r="D3421" s="166">
        <f>VLOOKUP(B3421,'Thống kê'!$C$3:$M$970,4,0)</f>
        <v>0</v>
      </c>
      <c r="E3421" s="167">
        <v>1</v>
      </c>
      <c r="F3421" s="168">
        <f t="shared" si="14"/>
        <v>0</v>
      </c>
      <c r="G3421" s="75"/>
      <c r="H3421" s="369"/>
    </row>
    <row r="3422" spans="1:8" ht="13.2">
      <c r="A3422" s="49"/>
      <c r="B3422" s="16" t="s">
        <v>252</v>
      </c>
      <c r="C3422" s="143">
        <f>IFERROR(VLOOKUP(B3422,'Thống kê'!$C$3:$D$970,2, FALSE),VLOOKUP(B3422,'Thống kê v2 CC'!$A$3:$D$1005,3, FALSE))</f>
        <v>0</v>
      </c>
      <c r="D3422" s="166">
        <f>VLOOKUP(B3422,'Thống kê'!$C$3:$M$970,4,0)</f>
        <v>0</v>
      </c>
      <c r="E3422" s="167">
        <v>1</v>
      </c>
      <c r="F3422" s="168">
        <f t="shared" si="14"/>
        <v>0</v>
      </c>
      <c r="G3422" s="75"/>
      <c r="H3422" s="369"/>
    </row>
    <row r="3423" spans="1:8" ht="13.2">
      <c r="A3423" s="49"/>
      <c r="B3423" s="16" t="s">
        <v>273</v>
      </c>
      <c r="C3423" s="143">
        <f>IFERROR(VLOOKUP(B3423,'Thống kê'!$C$3:$D$970,2, FALSE),VLOOKUP(B3423,'Thống kê v2 CC'!$A$3:$D$1005,3, FALSE))</f>
        <v>0</v>
      </c>
      <c r="D3423" s="166">
        <f>VLOOKUP(B3423,'Thống kê'!$C$3:$M$970,4,0)</f>
        <v>0</v>
      </c>
      <c r="E3423" s="167">
        <v>1</v>
      </c>
      <c r="F3423" s="168">
        <f t="shared" si="14"/>
        <v>0</v>
      </c>
      <c r="G3423" s="75"/>
      <c r="H3423" s="369"/>
    </row>
    <row r="3424" spans="1:8" ht="13.2">
      <c r="A3424" s="49"/>
      <c r="B3424" s="16" t="s">
        <v>290</v>
      </c>
      <c r="C3424" s="143" t="e">
        <f>IFERROR(VLOOKUP(B3424,'Thống kê'!$C$3:$D$970,2, FALSE),VLOOKUP(B3424,'Thống kê v2 CC'!$A$3:$D$1005,3, FALSE))</f>
        <v>#N/A</v>
      </c>
      <c r="D3424" s="166" t="e">
        <f>VLOOKUP(B3424,'Thống kê'!$C$3:$M$970,4,0)</f>
        <v>#N/A</v>
      </c>
      <c r="E3424" s="167">
        <v>1</v>
      </c>
      <c r="F3424" s="168" t="e">
        <f t="shared" si="14"/>
        <v>#N/A</v>
      </c>
      <c r="G3424" s="75"/>
      <c r="H3424" s="369"/>
    </row>
    <row r="3425" spans="1:8" ht="13.2">
      <c r="A3425" s="49"/>
      <c r="B3425" s="16" t="s">
        <v>242</v>
      </c>
      <c r="C3425" s="143">
        <f>IFERROR(VLOOKUP(B3425,'Thống kê'!$C$3:$D$970,2, FALSE),VLOOKUP(B3425,'Thống kê v2 CC'!$A$3:$D$1005,3, FALSE))</f>
        <v>0</v>
      </c>
      <c r="D3425" s="166">
        <f>VLOOKUP(B3425,'Thống kê'!$C$3:$M$970,4,0)</f>
        <v>0</v>
      </c>
      <c r="E3425" s="167">
        <v>1</v>
      </c>
      <c r="F3425" s="168">
        <f t="shared" si="14"/>
        <v>0</v>
      </c>
      <c r="G3425" s="75"/>
      <c r="H3425" s="369"/>
    </row>
    <row r="3426" spans="1:8" ht="13.2">
      <c r="A3426" s="49"/>
      <c r="B3426" s="16" t="s">
        <v>248</v>
      </c>
      <c r="C3426" s="143">
        <f>IFERROR(VLOOKUP(B3426,'Thống kê'!$C$3:$D$970,2, FALSE),VLOOKUP(B3426,'Thống kê v2 CC'!$A$3:$D$1005,3, FALSE))</f>
        <v>0</v>
      </c>
      <c r="D3426" s="166">
        <f>VLOOKUP(B3426,'Thống kê'!$C$3:$M$970,4,0)</f>
        <v>0</v>
      </c>
      <c r="E3426" s="167">
        <v>1</v>
      </c>
      <c r="F3426" s="168">
        <f t="shared" si="14"/>
        <v>0</v>
      </c>
      <c r="G3426" s="75"/>
      <c r="H3426" s="369"/>
    </row>
    <row r="3427" spans="1:8" ht="13.2">
      <c r="A3427" s="49"/>
      <c r="B3427" s="16" t="s">
        <v>1820</v>
      </c>
      <c r="C3427" s="143" t="e">
        <f>IFERROR(VLOOKUP(B3427,'Thống kê'!$C$3:$D$970,2, FALSE),VLOOKUP(B3427,'Thống kê v2 CC'!$A$3:$D$1005,3, FALSE))</f>
        <v>#N/A</v>
      </c>
      <c r="D3427" s="166" t="e">
        <f>VLOOKUP(B3427,'Thống kê'!$C$3:$M$970,4,0)</f>
        <v>#N/A</v>
      </c>
      <c r="E3427" s="167">
        <v>1</v>
      </c>
      <c r="F3427" s="168" t="e">
        <f t="shared" si="14"/>
        <v>#N/A</v>
      </c>
      <c r="G3427" s="75"/>
      <c r="H3427" s="407">
        <v>281260</v>
      </c>
    </row>
    <row r="3428" spans="1:8" ht="13.2">
      <c r="A3428" s="49"/>
      <c r="B3428" s="16" t="s">
        <v>245</v>
      </c>
      <c r="C3428" s="143" t="str">
        <f>IFERROR(VLOOKUP(B3428,'Thống kê'!$C$3:$D$970,2, FALSE),VLOOKUP(B3428,'Thống kê v2 CC'!$A$3:$D$1005,3, FALSE))</f>
        <v>Móc khóa Popbean</v>
      </c>
      <c r="D3428" s="166">
        <f>VLOOKUP(B3428,'Thống kê'!$C$3:$M$970,4,0)</f>
        <v>148000</v>
      </c>
      <c r="E3428" s="167">
        <v>1</v>
      </c>
      <c r="F3428" s="168">
        <f t="shared" si="14"/>
        <v>148000</v>
      </c>
      <c r="G3428" s="75"/>
      <c r="H3428" s="369"/>
    </row>
    <row r="3429" spans="1:8" ht="13.2">
      <c r="A3429" s="49"/>
      <c r="B3429" s="16" t="s">
        <v>273</v>
      </c>
      <c r="C3429" s="143">
        <f>IFERROR(VLOOKUP(B3429,'Thống kê'!$C$3:$D$970,2, FALSE),VLOOKUP(B3429,'Thống kê v2 CC'!$A$3:$D$1005,3, FALSE))</f>
        <v>0</v>
      </c>
      <c r="D3429" s="166">
        <f>VLOOKUP(B3429,'Thống kê'!$C$3:$M$970,4,0)</f>
        <v>0</v>
      </c>
      <c r="E3429" s="167">
        <v>1</v>
      </c>
      <c r="F3429" s="168">
        <f t="shared" si="14"/>
        <v>0</v>
      </c>
      <c r="G3429" s="75"/>
      <c r="H3429" s="369"/>
    </row>
    <row r="3430" spans="1:8" ht="13.2">
      <c r="A3430" s="49"/>
      <c r="B3430" s="16" t="s">
        <v>1864</v>
      </c>
      <c r="C3430" s="143" t="str">
        <f>IFERROR(VLOOKUP(B3430,'Thống kê'!$C$3:$D$970,2, FALSE),VLOOKUP(B3430,'Thống kê v2 CC'!$A$3:$D$1005,3, FALSE))</f>
        <v>POP BEAN Pajama Party</v>
      </c>
      <c r="D3430" s="166" t="e">
        <f>VLOOKUP(B3430,'Thống kê'!$C$3:$M$970,4,0)</f>
        <v>#N/A</v>
      </c>
      <c r="E3430" s="167">
        <v>1</v>
      </c>
      <c r="F3430" s="168" t="e">
        <f t="shared" si="14"/>
        <v>#N/A</v>
      </c>
      <c r="G3430" s="75"/>
      <c r="H3430" s="407">
        <v>131200</v>
      </c>
    </row>
    <row r="3431" spans="1:8" ht="13.2">
      <c r="A3431" s="64"/>
      <c r="B3431" s="16" t="s">
        <v>299</v>
      </c>
      <c r="C3431" s="143">
        <f>IFERROR(VLOOKUP(B3431,'Thống kê'!$C$3:$D$970,2, FALSE),VLOOKUP(B3431,'Thống kê v2 CC'!$A$3:$D$1005,3, FALSE))</f>
        <v>0</v>
      </c>
      <c r="D3431" s="166">
        <f>VLOOKUP(B3431,'Thống kê'!$C$3:$M$970,4,0)</f>
        <v>0</v>
      </c>
      <c r="E3431" s="167">
        <v>1</v>
      </c>
      <c r="F3431" s="168">
        <f t="shared" si="14"/>
        <v>0</v>
      </c>
      <c r="G3431" s="75"/>
      <c r="H3431" s="369"/>
    </row>
    <row r="3432" spans="1:8" ht="13.2">
      <c r="A3432" s="49"/>
      <c r="B3432" s="16" t="s">
        <v>84</v>
      </c>
      <c r="C3432" s="143">
        <f>IFERROR(VLOOKUP(B3432,'Thống kê'!$C$3:$D$970,2, FALSE),VLOOKUP(B3432,'Thống kê v2 CC'!$A$3:$D$1005,3, FALSE))</f>
        <v>0</v>
      </c>
      <c r="D3432" s="166">
        <f>VLOOKUP(B3432,'Thống kê'!$C$3:$M$970,4,0)</f>
        <v>0</v>
      </c>
      <c r="E3432" s="167">
        <v>1</v>
      </c>
      <c r="F3432" s="168">
        <f t="shared" si="14"/>
        <v>0</v>
      </c>
      <c r="G3432" s="75"/>
      <c r="H3432" s="205">
        <v>98604</v>
      </c>
    </row>
    <row r="3433" spans="1:8" ht="13.2">
      <c r="A3433" s="49"/>
      <c r="B3433" s="16" t="s">
        <v>1803</v>
      </c>
      <c r="C3433" s="143" t="str">
        <f>IFERROR(VLOOKUP(B3433,'Thống kê'!$C$3:$D$970,2, FALSE),VLOOKUP(B3433,'Thống kê v2 CC'!$A$3:$D$1005,3, FALSE))</f>
        <v>Hộp thuốc ông mặt trời</v>
      </c>
      <c r="D3433" s="166">
        <f>VLOOKUP(B3433,'Thống kê'!$C$3:$M$970,4,0)</f>
        <v>11000</v>
      </c>
      <c r="E3433" s="167">
        <v>1</v>
      </c>
      <c r="F3433" s="168">
        <f t="shared" si="14"/>
        <v>11000</v>
      </c>
      <c r="G3433" s="75"/>
      <c r="H3433" s="205">
        <v>56113</v>
      </c>
    </row>
    <row r="3434" spans="1:8" ht="13.2">
      <c r="A3434" s="49"/>
      <c r="B3434" s="16" t="s">
        <v>1841</v>
      </c>
      <c r="C3434" s="143" t="str">
        <f>IFERROR(VLOOKUP(B3434,'Thống kê'!$C$3:$D$970,2, FALSE),VLOOKUP(B3434,'Thống kê v2 CC'!$A$3:$D$1005,3, FALSE))</f>
        <v>Túi Đựng Mắt Kính Da Pu</v>
      </c>
      <c r="D3434" s="166">
        <f>VLOOKUP(B3434,'Thống kê'!$C$3:$M$970,4,0)</f>
        <v>0</v>
      </c>
      <c r="E3434" s="167">
        <v>1</v>
      </c>
      <c r="F3434" s="168">
        <f t="shared" si="14"/>
        <v>0</v>
      </c>
      <c r="G3434" s="75"/>
      <c r="H3434" s="407"/>
    </row>
    <row r="3435" spans="1:8" ht="13.2">
      <c r="A3435" s="49"/>
      <c r="B3435" s="16" t="s">
        <v>1826</v>
      </c>
      <c r="C3435" s="143" t="str">
        <f>IFERROR(VLOOKUP(B3435,'Thống kê'!$C$3:$D$970,2, FALSE),VLOOKUP(B3435,'Thống kê v2 CC'!$A$3:$D$1005,3, FALSE))</f>
        <v>Túi đựng đồ trang điểm nhỏ</v>
      </c>
      <c r="D3435" s="166">
        <f>VLOOKUP(B3435,'Thống kê'!$C$3:$M$970,4,0)</f>
        <v>0</v>
      </c>
      <c r="E3435" s="167">
        <v>1</v>
      </c>
      <c r="F3435" s="168">
        <f t="shared" si="14"/>
        <v>0</v>
      </c>
      <c r="G3435" s="75"/>
      <c r="H3435" s="369"/>
    </row>
    <row r="3436" spans="1:8" ht="13.2">
      <c r="A3436" s="49"/>
      <c r="B3436" s="16" t="s">
        <v>1869</v>
      </c>
      <c r="C3436" s="143" t="str">
        <f>IFERROR(VLOOKUP(B3436,'Thống kê'!$C$3:$D$970,2, FALSE),VLOOKUP(B3436,'Thống kê v2 CC'!$A$3:$D$1005,3, FALSE))</f>
        <v>POP BEAN Pajama Party</v>
      </c>
      <c r="D3436" s="166" t="e">
        <f>VLOOKUP(B3436,'Thống kê'!$C$3:$M$970,4,0)</f>
        <v>#N/A</v>
      </c>
      <c r="E3436" s="167">
        <v>1</v>
      </c>
      <c r="F3436" s="168" t="e">
        <f t="shared" si="14"/>
        <v>#N/A</v>
      </c>
      <c r="G3436" s="75"/>
      <c r="H3436" s="407">
        <v>161540</v>
      </c>
    </row>
    <row r="3437" spans="1:8" ht="13.2">
      <c r="A3437" s="49"/>
      <c r="B3437" s="16" t="s">
        <v>1875</v>
      </c>
      <c r="C3437" s="143" t="str">
        <f>IFERROR(VLOOKUP(B3437,'Thống kê'!$C$3:$D$970,2, FALSE),VLOOKUP(B3437,'Thống kê v2 CC'!$A$3:$D$1005,3, FALSE))</f>
        <v>POP BEAN Pajama Party</v>
      </c>
      <c r="D3437" s="166" t="e">
        <f>VLOOKUP(B3437,'Thống kê'!$C$3:$M$970,4,0)</f>
        <v>#N/A</v>
      </c>
      <c r="E3437" s="167">
        <v>1</v>
      </c>
      <c r="F3437" s="168" t="e">
        <f t="shared" si="14"/>
        <v>#N/A</v>
      </c>
      <c r="G3437" s="75"/>
      <c r="H3437" s="369"/>
    </row>
    <row r="3438" spans="1:8" ht="13.2">
      <c r="A3438" s="49"/>
      <c r="B3438" s="16" t="s">
        <v>1573</v>
      </c>
      <c r="C3438" s="143">
        <f>IFERROR(VLOOKUP(B3438,'Thống kê'!$C$3:$D$970,2, FALSE),VLOOKUP(B3438,'Thống kê v2 CC'!$A$3:$D$1005,3, FALSE))</f>
        <v>0</v>
      </c>
      <c r="D3438" s="166">
        <f>VLOOKUP(B3438,'Thống kê'!$C$3:$M$970,4,0)</f>
        <v>0</v>
      </c>
      <c r="E3438" s="167">
        <v>1</v>
      </c>
      <c r="F3438" s="168">
        <f t="shared" si="14"/>
        <v>0</v>
      </c>
      <c r="G3438" s="75"/>
      <c r="H3438" s="205">
        <v>27255</v>
      </c>
    </row>
    <row r="3439" spans="1:8" ht="13.2">
      <c r="A3439" s="49"/>
      <c r="B3439" s="16" t="s">
        <v>1834</v>
      </c>
      <c r="C3439" s="143" t="str">
        <f>IFERROR(VLOOKUP(B3439,'Thống kê'!$C$3:$D$970,2, FALSE),VLOOKUP(B3439,'Thống kê v2 CC'!$A$3:$D$1005,3, FALSE))</f>
        <v>Túi Đựng Mắt Kính Da Pu</v>
      </c>
      <c r="D3439" s="166">
        <f>VLOOKUP(B3439,'Thống kê'!$C$3:$M$970,4,0)</f>
        <v>0</v>
      </c>
      <c r="E3439" s="167">
        <v>1</v>
      </c>
      <c r="F3439" s="168">
        <f t="shared" si="14"/>
        <v>0</v>
      </c>
      <c r="G3439" s="75"/>
      <c r="H3439" s="205"/>
    </row>
    <row r="3440" spans="1:8" ht="13.2">
      <c r="A3440" s="49"/>
      <c r="B3440" s="16" t="s">
        <v>1853</v>
      </c>
      <c r="C3440" s="143" t="str">
        <f>IFERROR(VLOOKUP(B3440,'Thống kê'!$C$3:$D$970,2, FALSE),VLOOKUP(B3440,'Thống kê v2 CC'!$A$3:$D$1005,3, FALSE))</f>
        <v>Túi Đựng Mắt Kính Da Pu</v>
      </c>
      <c r="D3440" s="166">
        <f>VLOOKUP(B3440,'Thống kê'!$C$3:$M$970,4,0)</f>
        <v>0</v>
      </c>
      <c r="E3440" s="167">
        <v>2</v>
      </c>
      <c r="F3440" s="168">
        <f t="shared" si="14"/>
        <v>0</v>
      </c>
      <c r="G3440" s="75"/>
      <c r="H3440" s="205">
        <v>27880</v>
      </c>
    </row>
    <row r="3441" spans="1:8" ht="13.2">
      <c r="A3441" s="49"/>
      <c r="B3441" s="16" t="s">
        <v>1571</v>
      </c>
      <c r="C3441" s="143">
        <f>IFERROR(VLOOKUP(B3441,'Thống kê'!$C$3:$D$970,2, FALSE),VLOOKUP(B3441,'Thống kê v2 CC'!$A$3:$D$1005,3, FALSE))</f>
        <v>0</v>
      </c>
      <c r="D3441" s="166">
        <f>VLOOKUP(B3441,'Thống kê'!$C$3:$M$970,4,0)</f>
        <v>0</v>
      </c>
      <c r="E3441" s="167">
        <v>1</v>
      </c>
      <c r="F3441" s="168">
        <f t="shared" si="14"/>
        <v>0</v>
      </c>
      <c r="G3441" s="75"/>
      <c r="H3441" s="205">
        <v>74686</v>
      </c>
    </row>
    <row r="3442" spans="1:8" ht="13.2">
      <c r="A3442" s="49"/>
      <c r="B3442" s="16" t="s">
        <v>135</v>
      </c>
      <c r="C3442" s="143">
        <f>IFERROR(VLOOKUP(B3442,'Thống kê'!$C$3:$D$970,2, FALSE),VLOOKUP(B3442,'Thống kê v2 CC'!$A$3:$D$1005,3, FALSE))</f>
        <v>0</v>
      </c>
      <c r="D3442" s="166">
        <f>VLOOKUP(B3442,'Thống kê'!$C$3:$M$970,4,0)</f>
        <v>0</v>
      </c>
      <c r="E3442" s="167">
        <v>1</v>
      </c>
      <c r="F3442" s="168">
        <f t="shared" si="14"/>
        <v>0</v>
      </c>
      <c r="G3442" s="75"/>
      <c r="H3442" s="407">
        <v>148132</v>
      </c>
    </row>
    <row r="3443" spans="1:8" ht="13.2">
      <c r="A3443" s="49"/>
      <c r="B3443" s="16" t="s">
        <v>1499</v>
      </c>
      <c r="C3443" s="143">
        <f>IFERROR(VLOOKUP(B3443,'Thống kê'!$C$3:$D$970,2, FALSE),VLOOKUP(B3443,'Thống kê v2 CC'!$A$3:$D$1005,3, FALSE))</f>
        <v>0</v>
      </c>
      <c r="D3443" s="166">
        <f>VLOOKUP(B3443,'Thống kê'!$C$3:$M$970,4,0)</f>
        <v>0</v>
      </c>
      <c r="E3443" s="167">
        <v>1</v>
      </c>
      <c r="F3443" s="168">
        <f t="shared" si="14"/>
        <v>0</v>
      </c>
      <c r="G3443" s="75"/>
      <c r="H3443" s="369"/>
    </row>
    <row r="3444" spans="1:8" ht="13.2">
      <c r="A3444" s="49"/>
      <c r="B3444" s="16" t="s">
        <v>1840</v>
      </c>
      <c r="C3444" s="143" t="str">
        <f>IFERROR(VLOOKUP(B3444,'Thống kê'!$C$3:$D$970,2, FALSE),VLOOKUP(B3444,'Thống kê v2 CC'!$A$3:$D$1005,3, FALSE))</f>
        <v>Túi Đựng Mắt Kính Da Pu</v>
      </c>
      <c r="D3444" s="166">
        <f>VLOOKUP(B3444,'Thống kê'!$C$3:$M$970,4,0)</f>
        <v>0</v>
      </c>
      <c r="E3444" s="167">
        <v>1</v>
      </c>
      <c r="F3444" s="168">
        <f t="shared" si="14"/>
        <v>0</v>
      </c>
      <c r="G3444" s="75"/>
      <c r="H3444" s="369"/>
    </row>
    <row r="3445" spans="1:8" ht="13.2">
      <c r="A3445" s="49"/>
      <c r="B3445" s="16" t="s">
        <v>1751</v>
      </c>
      <c r="C3445" s="143" t="str">
        <f>IFERROR(VLOOKUP(B3445,'Thống kê'!$C$3:$D$970,2, FALSE),VLOOKUP(B3445,'Thống kê v2 CC'!$A$3:$D$1005,3, FALSE))</f>
        <v xml:space="preserve">Pop Bean Popmart </v>
      </c>
      <c r="D3445" s="166" t="e">
        <f>VLOOKUP(B3445,'Thống kê'!$C$3:$M$970,4,0)</f>
        <v>#N/A</v>
      </c>
      <c r="E3445" s="167">
        <v>1</v>
      </c>
      <c r="F3445" s="168" t="e">
        <f t="shared" si="14"/>
        <v>#N/A</v>
      </c>
      <c r="G3445" s="75"/>
      <c r="H3445" s="407">
        <v>563859</v>
      </c>
    </row>
    <row r="3446" spans="1:8" ht="13.2">
      <c r="A3446" s="49"/>
      <c r="B3446" s="16" t="s">
        <v>201</v>
      </c>
      <c r="C3446" s="143">
        <f>IFERROR(VLOOKUP(B3446,'Thống kê'!$C$3:$D$970,2, FALSE),VLOOKUP(B3446,'Thống kê v2 CC'!$A$3:$D$1005,3, FALSE))</f>
        <v>0</v>
      </c>
      <c r="D3446" s="166">
        <f>VLOOKUP(B3446,'Thống kê'!$C$3:$M$970,4,0)</f>
        <v>0</v>
      </c>
      <c r="E3446" s="167">
        <v>1</v>
      </c>
      <c r="F3446" s="168">
        <f t="shared" si="14"/>
        <v>0</v>
      </c>
      <c r="G3446" s="75"/>
      <c r="H3446" s="369"/>
    </row>
    <row r="3447" spans="1:8" ht="13.2">
      <c r="A3447" s="49"/>
      <c r="B3447" s="16" t="s">
        <v>273</v>
      </c>
      <c r="C3447" s="143">
        <f>IFERROR(VLOOKUP(B3447,'Thống kê'!$C$3:$D$970,2, FALSE),VLOOKUP(B3447,'Thống kê v2 CC'!$A$3:$D$1005,3, FALSE))</f>
        <v>0</v>
      </c>
      <c r="D3447" s="166">
        <f>VLOOKUP(B3447,'Thống kê'!$C$3:$M$970,4,0)</f>
        <v>0</v>
      </c>
      <c r="E3447" s="167">
        <v>1</v>
      </c>
      <c r="F3447" s="168">
        <f t="shared" si="14"/>
        <v>0</v>
      </c>
      <c r="G3447" s="75"/>
      <c r="H3447" s="369"/>
    </row>
    <row r="3448" spans="1:8" ht="13.2">
      <c r="A3448" s="49"/>
      <c r="B3448" s="16" t="s">
        <v>290</v>
      </c>
      <c r="C3448" s="143" t="e">
        <f>IFERROR(VLOOKUP(B3448,'Thống kê'!$C$3:$D$970,2, FALSE),VLOOKUP(B3448,'Thống kê v2 CC'!$A$3:$D$1005,3, FALSE))</f>
        <v>#N/A</v>
      </c>
      <c r="D3448" s="166" t="e">
        <f>VLOOKUP(B3448,'Thống kê'!$C$3:$M$970,4,0)</f>
        <v>#N/A</v>
      </c>
      <c r="E3448" s="167">
        <v>1</v>
      </c>
      <c r="F3448" s="168" t="e">
        <f t="shared" si="14"/>
        <v>#N/A</v>
      </c>
      <c r="G3448" s="75"/>
      <c r="H3448" s="369"/>
    </row>
    <row r="3449" spans="1:8" ht="13.2">
      <c r="A3449" s="49"/>
      <c r="B3449" s="16" t="s">
        <v>96</v>
      </c>
      <c r="C3449" s="143">
        <f>IFERROR(VLOOKUP(B3449,'Thống kê'!$C$3:$D$970,2, FALSE),VLOOKUP(B3449,'Thống kê v2 CC'!$A$3:$D$1005,3, FALSE))</f>
        <v>0</v>
      </c>
      <c r="D3449" s="166">
        <f>VLOOKUP(B3449,'Thống kê'!$C$3:$M$970,4,0)</f>
        <v>0</v>
      </c>
      <c r="E3449" s="167">
        <v>1</v>
      </c>
      <c r="F3449" s="168">
        <f t="shared" si="14"/>
        <v>0</v>
      </c>
      <c r="G3449" s="75"/>
      <c r="H3449" s="205">
        <v>61861</v>
      </c>
    </row>
    <row r="3450" spans="1:8" ht="13.2">
      <c r="A3450" s="49"/>
      <c r="B3450" s="16" t="s">
        <v>1481</v>
      </c>
      <c r="C3450" s="143" t="str">
        <f>IFERROR(VLOOKUP(B3450,'Thống kê'!$C$3:$D$970,2, FALSE),VLOOKUP(B3450,'Thống kê v2 CC'!$A$3:$D$1005,3, FALSE))</f>
        <v>Móc khoá Dudu nhiều màu sắc treo túi, đeo điện thoại</v>
      </c>
      <c r="D3450" s="166">
        <f>VLOOKUP(B3450,'Thống kê'!$C$3:$M$970,4,0)</f>
        <v>45000</v>
      </c>
      <c r="E3450" s="167">
        <v>1</v>
      </c>
      <c r="F3450" s="168">
        <f t="shared" si="14"/>
        <v>45000</v>
      </c>
      <c r="G3450" s="75"/>
      <c r="H3450" s="205">
        <v>66047</v>
      </c>
    </row>
    <row r="3451" spans="1:8" ht="13.2">
      <c r="A3451" s="49"/>
      <c r="B3451" s="16" t="s">
        <v>1834</v>
      </c>
      <c r="C3451" s="143" t="str">
        <f>IFERROR(VLOOKUP(B3451,'Thống kê'!$C$3:$D$970,2, FALSE),VLOOKUP(B3451,'Thống kê v2 CC'!$A$3:$D$1005,3, FALSE))</f>
        <v>Túi Đựng Mắt Kính Da Pu</v>
      </c>
      <c r="D3451" s="166">
        <f>VLOOKUP(B3451,'Thống kê'!$C$3:$M$970,4,0)</f>
        <v>0</v>
      </c>
      <c r="E3451" s="167">
        <v>1</v>
      </c>
      <c r="F3451" s="168">
        <f t="shared" si="14"/>
        <v>0</v>
      </c>
      <c r="G3451" s="75"/>
      <c r="H3451" s="205"/>
    </row>
    <row r="3452" spans="1:8" ht="13.2">
      <c r="A3452" s="49"/>
      <c r="B3452" s="16" t="s">
        <v>1841</v>
      </c>
      <c r="C3452" s="143" t="str">
        <f>IFERROR(VLOOKUP(B3452,'Thống kê'!$C$3:$D$970,2, FALSE),VLOOKUP(B3452,'Thống kê v2 CC'!$A$3:$D$1005,3, FALSE))</f>
        <v>Túi Đựng Mắt Kính Da Pu</v>
      </c>
      <c r="D3452" s="166">
        <f>VLOOKUP(B3452,'Thống kê'!$C$3:$M$970,4,0)</f>
        <v>0</v>
      </c>
      <c r="E3452" s="167">
        <v>1</v>
      </c>
      <c r="F3452" s="168">
        <f t="shared" si="14"/>
        <v>0</v>
      </c>
      <c r="G3452" s="75"/>
      <c r="H3452" s="205"/>
    </row>
    <row r="3453" spans="1:8" ht="13.2">
      <c r="A3453" s="49"/>
      <c r="B3453" s="16" t="s">
        <v>1845</v>
      </c>
      <c r="C3453" s="143" t="str">
        <f>IFERROR(VLOOKUP(B3453,'Thống kê'!$C$3:$D$970,2, FALSE),VLOOKUP(B3453,'Thống kê v2 CC'!$A$3:$D$1005,3, FALSE))</f>
        <v>Túi Đựng Mắt Kính Da Pu</v>
      </c>
      <c r="D3453" s="166">
        <f>VLOOKUP(B3453,'Thống kê'!$C$3:$M$970,4,0)</f>
        <v>0</v>
      </c>
      <c r="E3453" s="167">
        <v>1</v>
      </c>
      <c r="F3453" s="168">
        <f t="shared" si="14"/>
        <v>0</v>
      </c>
      <c r="G3453" s="75"/>
      <c r="H3453" s="205">
        <v>13790</v>
      </c>
    </row>
    <row r="3454" spans="1:8" ht="13.2">
      <c r="A3454" s="49"/>
      <c r="B3454" s="16" t="s">
        <v>1887</v>
      </c>
      <c r="C3454" s="143">
        <f>IFERROR(VLOOKUP(B3454,'Thống kê'!$C$3:$D$970,2, FALSE),VLOOKUP(B3454,'Thống kê v2 CC'!$A$3:$D$1005,3, FALSE))</f>
        <v>0</v>
      </c>
      <c r="D3454" s="166">
        <f>VLOOKUP(B3454,'Thống kê'!$C$3:$M$970,4,0)</f>
        <v>0</v>
      </c>
      <c r="E3454" s="167">
        <v>1</v>
      </c>
      <c r="F3454" s="168">
        <f t="shared" si="14"/>
        <v>0</v>
      </c>
      <c r="G3454" s="75"/>
      <c r="H3454" s="205">
        <v>250100</v>
      </c>
    </row>
    <row r="3455" spans="1:8" ht="13.2">
      <c r="A3455" s="49"/>
      <c r="B3455" s="16" t="s">
        <v>127</v>
      </c>
      <c r="C3455" s="143">
        <f>IFERROR(VLOOKUP(B3455,'Thống kê'!$C$3:$D$970,2, FALSE),VLOOKUP(B3455,'Thống kê v2 CC'!$A$3:$D$1005,3, FALSE))</f>
        <v>0</v>
      </c>
      <c r="D3455" s="166">
        <f>VLOOKUP(B3455,'Thống kê'!$C$3:$M$970,4,0)</f>
        <v>0</v>
      </c>
      <c r="E3455" s="167">
        <v>1</v>
      </c>
      <c r="F3455" s="168">
        <f t="shared" si="14"/>
        <v>0</v>
      </c>
      <c r="G3455" s="75"/>
      <c r="H3455" s="407"/>
    </row>
    <row r="3456" spans="1:8" ht="13.2">
      <c r="A3456" s="49"/>
      <c r="B3456" s="16" t="s">
        <v>264</v>
      </c>
      <c r="C3456" s="143">
        <f>IFERROR(VLOOKUP(B3456,'Thống kê'!$C$3:$D$970,2, FALSE),VLOOKUP(B3456,'Thống kê v2 CC'!$A$3:$D$1005,3, FALSE))</f>
        <v>0</v>
      </c>
      <c r="D3456" s="166">
        <f>VLOOKUP(B3456,'Thống kê'!$C$3:$M$970,4,0)</f>
        <v>0</v>
      </c>
      <c r="E3456" s="167">
        <v>1</v>
      </c>
      <c r="F3456" s="168">
        <f t="shared" si="14"/>
        <v>0</v>
      </c>
      <c r="G3456" s="75"/>
      <c r="H3456" s="369"/>
    </row>
    <row r="3457" spans="1:8" ht="13.2">
      <c r="A3457" s="49"/>
      <c r="B3457" s="16" t="s">
        <v>180</v>
      </c>
      <c r="C3457" s="143">
        <f>IFERROR(VLOOKUP(B3457,'Thống kê'!$C$3:$D$970,2, FALSE),VLOOKUP(B3457,'Thống kê v2 CC'!$A$3:$D$1005,3, FALSE))</f>
        <v>0</v>
      </c>
      <c r="D3457" s="166">
        <f>VLOOKUP(B3457,'Thống kê'!$C$3:$M$970,4,0)</f>
        <v>0</v>
      </c>
      <c r="E3457" s="167">
        <v>1</v>
      </c>
      <c r="F3457" s="168">
        <f t="shared" si="14"/>
        <v>0</v>
      </c>
      <c r="G3457" s="75"/>
      <c r="H3457" s="369"/>
    </row>
    <row r="3458" spans="1:8" ht="13.2">
      <c r="A3458" s="64"/>
      <c r="B3458" s="16" t="s">
        <v>1634</v>
      </c>
      <c r="C3458" s="143" t="str">
        <f>IFERROR(VLOOKUP(B3458,'Thống kê'!$C$3:$D$970,2, FALSE),VLOOKUP(B3458,'Thống kê v2 CC'!$A$3:$D$1005,3, FALSE))</f>
        <v>Móc khóa mèo đen cá</v>
      </c>
      <c r="D3458" s="166">
        <f>VLOOKUP(B3458,'Thống kê'!$C$3:$M$970,4,0)</f>
        <v>59000</v>
      </c>
      <c r="E3458" s="167">
        <v>1</v>
      </c>
      <c r="F3458" s="168">
        <f t="shared" si="14"/>
        <v>59000</v>
      </c>
      <c r="G3458" s="75"/>
      <c r="H3458" s="205">
        <v>46396</v>
      </c>
    </row>
    <row r="3459" spans="1:8" ht="13.2">
      <c r="A3459" s="49"/>
      <c r="B3459" s="16" t="s">
        <v>1886</v>
      </c>
      <c r="C3459" s="143" t="e">
        <f>IFERROR(VLOOKUP(B3459,'Thống kê'!$C$3:$D$970,2, FALSE),VLOOKUP(B3459,'Thống kê v2 CC'!$A$3:$D$1005,3, FALSE))</f>
        <v>#N/A</v>
      </c>
      <c r="D3459" s="166" t="e">
        <f>VLOOKUP(B3459,'Thống kê'!$C$3:$M$970,4,0)</f>
        <v>#N/A</v>
      </c>
      <c r="E3459" s="167">
        <v>1</v>
      </c>
      <c r="F3459" s="168" t="e">
        <f t="shared" si="14"/>
        <v>#N/A</v>
      </c>
      <c r="G3459" s="75"/>
      <c r="H3459" s="205">
        <v>56583</v>
      </c>
    </row>
    <row r="3460" spans="1:8" ht="13.2">
      <c r="A3460" s="49"/>
      <c r="B3460" s="16" t="s">
        <v>1841</v>
      </c>
      <c r="C3460" s="143" t="str">
        <f>IFERROR(VLOOKUP(B3460,'Thống kê'!$C$3:$D$970,2, FALSE),VLOOKUP(B3460,'Thống kê v2 CC'!$A$3:$D$1005,3, FALSE))</f>
        <v>Túi Đựng Mắt Kính Da Pu</v>
      </c>
      <c r="D3460" s="166">
        <f>VLOOKUP(B3460,'Thống kê'!$C$3:$M$970,4,0)</f>
        <v>0</v>
      </c>
      <c r="E3460" s="167">
        <v>1</v>
      </c>
      <c r="F3460" s="168">
        <f t="shared" si="14"/>
        <v>0</v>
      </c>
      <c r="G3460" s="75"/>
      <c r="H3460" s="205">
        <v>20500</v>
      </c>
    </row>
    <row r="3461" spans="1:8" ht="13.2">
      <c r="A3461" s="49"/>
      <c r="B3461" s="16" t="s">
        <v>1384</v>
      </c>
      <c r="C3461" s="143" t="str">
        <f>IFERROR(VLOOKUP(B3461,'Thống kê'!$C$3:$D$970,2, FALSE),VLOOKUP(B3461,'Thống kê v2 CC'!$A$3:$D$1005,3, FALSE))</f>
        <v>Móc khoá Crybaby mini Popmart</v>
      </c>
      <c r="D3461" s="166">
        <f>VLOOKUP(B3461,'Thống kê'!$C$3:$M$970,4,0)</f>
        <v>0</v>
      </c>
      <c r="E3461" s="167">
        <v>1</v>
      </c>
      <c r="F3461" s="168">
        <f t="shared" si="14"/>
        <v>0</v>
      </c>
      <c r="G3461" s="75"/>
      <c r="H3461" s="205">
        <v>81180</v>
      </c>
    </row>
    <row r="3462" spans="1:8" ht="13.2">
      <c r="A3462" s="49"/>
      <c r="B3462" s="16" t="s">
        <v>1820</v>
      </c>
      <c r="C3462" s="143" t="e">
        <f>IFERROR(VLOOKUP(B3462,'Thống kê'!$C$3:$D$970,2, FALSE),VLOOKUP(B3462,'Thống kê v2 CC'!$A$3:$D$1005,3, FALSE))</f>
        <v>#N/A</v>
      </c>
      <c r="D3462" s="166" t="e">
        <f>VLOOKUP(B3462,'Thống kê'!$C$3:$M$970,4,0)</f>
        <v>#N/A</v>
      </c>
      <c r="E3462" s="167">
        <v>-1</v>
      </c>
      <c r="F3462" s="168" t="e">
        <f t="shared" si="14"/>
        <v>#N/A</v>
      </c>
      <c r="G3462" s="75"/>
      <c r="H3462" s="205"/>
    </row>
    <row r="3463" spans="1:8" ht="13.2">
      <c r="A3463" s="49"/>
      <c r="B3463" s="16" t="s">
        <v>245</v>
      </c>
      <c r="C3463" s="143" t="str">
        <f>IFERROR(VLOOKUP(B3463,'Thống kê'!$C$3:$D$970,2, FALSE),VLOOKUP(B3463,'Thống kê v2 CC'!$A$3:$D$1005,3, FALSE))</f>
        <v>Móc khóa Popbean</v>
      </c>
      <c r="D3463" s="166">
        <f>VLOOKUP(B3463,'Thống kê'!$C$3:$M$970,4,0)</f>
        <v>148000</v>
      </c>
      <c r="E3463" s="167">
        <v>-1</v>
      </c>
      <c r="F3463" s="168">
        <f t="shared" si="14"/>
        <v>-148000</v>
      </c>
      <c r="G3463" s="75"/>
      <c r="H3463" s="205"/>
    </row>
    <row r="3464" spans="1:8" ht="13.2">
      <c r="A3464" s="49"/>
      <c r="B3464" s="16" t="s">
        <v>273</v>
      </c>
      <c r="C3464" s="143">
        <f>IFERROR(VLOOKUP(B3464,'Thống kê'!$C$3:$D$970,2, FALSE),VLOOKUP(B3464,'Thống kê v2 CC'!$A$3:$D$1005,3, FALSE))</f>
        <v>0</v>
      </c>
      <c r="D3464" s="166">
        <f>VLOOKUP(B3464,'Thống kê'!$C$3:$M$970,4,0)</f>
        <v>0</v>
      </c>
      <c r="E3464" s="167">
        <v>-1</v>
      </c>
      <c r="F3464" s="168">
        <f t="shared" si="14"/>
        <v>0</v>
      </c>
      <c r="G3464" s="75"/>
      <c r="H3464" s="205"/>
    </row>
    <row r="3465" spans="1:8" ht="13.2">
      <c r="A3465" s="49"/>
      <c r="B3465" s="16" t="s">
        <v>159</v>
      </c>
      <c r="C3465" s="143">
        <f>IFERROR(VLOOKUP(B3465,'Thống kê'!$C$3:$D$970,2, FALSE),VLOOKUP(B3465,'Thống kê v2 CC'!$A$3:$D$1005,3, FALSE))</f>
        <v>0</v>
      </c>
      <c r="D3465" s="166">
        <f>VLOOKUP(B3465,'Thống kê'!$C$3:$M$970,4,0)</f>
        <v>0</v>
      </c>
      <c r="E3465" s="167">
        <v>1</v>
      </c>
      <c r="F3465" s="168">
        <f t="shared" si="14"/>
        <v>0</v>
      </c>
      <c r="G3465" s="75"/>
      <c r="H3465" s="205">
        <v>349881</v>
      </c>
    </row>
    <row r="3466" spans="1:8" ht="13.2">
      <c r="A3466" s="49"/>
      <c r="B3466" s="16" t="s">
        <v>1387</v>
      </c>
      <c r="C3466" s="143" t="str">
        <f>IFERROR(VLOOKUP(B3466,'Thống kê'!$C$3:$D$970,2, FALSE),VLOOKUP(B3466,'Thống kê v2 CC'!$A$3:$D$1005,3, FALSE))</f>
        <v>Móc khoá Crybaby mini Popmart</v>
      </c>
      <c r="D3466" s="166">
        <f>VLOOKUP(B3466,'Thống kê'!$C$3:$M$970,4,0)</f>
        <v>0</v>
      </c>
      <c r="E3466" s="167">
        <v>1</v>
      </c>
      <c r="F3466" s="168">
        <f t="shared" si="14"/>
        <v>0</v>
      </c>
      <c r="G3466" s="75"/>
      <c r="H3466" s="205"/>
    </row>
    <row r="3467" spans="1:8" ht="13.2">
      <c r="A3467" s="49"/>
      <c r="B3467" s="16" t="s">
        <v>1384</v>
      </c>
      <c r="C3467" s="143" t="str">
        <f>IFERROR(VLOOKUP(B3467,'Thống kê'!$C$3:$D$970,2, FALSE),VLOOKUP(B3467,'Thống kê v2 CC'!$A$3:$D$1005,3, FALSE))</f>
        <v>Móc khoá Crybaby mini Popmart</v>
      </c>
      <c r="D3467" s="166">
        <f>VLOOKUP(B3467,'Thống kê'!$C$3:$M$970,4,0)</f>
        <v>0</v>
      </c>
      <c r="E3467" s="167">
        <v>2</v>
      </c>
      <c r="F3467" s="168">
        <f t="shared" si="14"/>
        <v>0</v>
      </c>
      <c r="G3467" s="75"/>
      <c r="H3467" s="205"/>
    </row>
    <row r="3468" spans="1:8" ht="13.2">
      <c r="A3468" s="49"/>
      <c r="B3468" s="16" t="s">
        <v>1467</v>
      </c>
      <c r="C3468" s="143">
        <f>IFERROR(VLOOKUP(B3468,'Thống kê'!$C$3:$D$970,2, FALSE),VLOOKUP(B3468,'Thống kê v2 CC'!$A$3:$D$1005,3, FALSE))</f>
        <v>0</v>
      </c>
      <c r="D3468" s="166">
        <f>VLOOKUP(B3468,'Thống kê'!$C$3:$M$970,4,0)</f>
        <v>0</v>
      </c>
      <c r="E3468" s="167">
        <v>1</v>
      </c>
      <c r="F3468" s="168">
        <f t="shared" si="14"/>
        <v>0</v>
      </c>
      <c r="G3468" s="75"/>
      <c r="H3468" s="205">
        <v>185114</v>
      </c>
    </row>
    <row r="3469" spans="1:8" ht="13.2">
      <c r="A3469" s="49"/>
      <c r="B3469" s="16" t="s">
        <v>1468</v>
      </c>
      <c r="C3469" s="143">
        <f>IFERROR(VLOOKUP(B3469,'Thống kê'!$C$3:$D$970,2, FALSE),VLOOKUP(B3469,'Thống kê v2 CC'!$A$3:$D$1005,3, FALSE))</f>
        <v>0</v>
      </c>
      <c r="D3469" s="166">
        <f>VLOOKUP(B3469,'Thống kê'!$C$3:$M$970,4,0)</f>
        <v>0</v>
      </c>
      <c r="E3469" s="167">
        <v>1</v>
      </c>
      <c r="F3469" s="168">
        <f t="shared" si="14"/>
        <v>0</v>
      </c>
      <c r="G3469" s="75"/>
      <c r="H3469" s="205"/>
    </row>
    <row r="3470" spans="1:8" ht="13.2">
      <c r="A3470" s="49"/>
      <c r="B3470" s="16" t="s">
        <v>229</v>
      </c>
      <c r="C3470" s="143">
        <f>IFERROR(VLOOKUP(B3470,'Thống kê'!$C$3:$D$970,2, FALSE),VLOOKUP(B3470,'Thống kê v2 CC'!$A$3:$D$1005,3, FALSE))</f>
        <v>0</v>
      </c>
      <c r="D3470" s="166">
        <f>VLOOKUP(B3470,'Thống kê'!$C$3:$M$970,4,0)</f>
        <v>0</v>
      </c>
      <c r="E3470" s="167">
        <v>1</v>
      </c>
      <c r="F3470" s="168">
        <f t="shared" si="14"/>
        <v>0</v>
      </c>
      <c r="G3470" s="75"/>
      <c r="H3470" s="205"/>
    </row>
    <row r="3471" spans="1:8" ht="13.2">
      <c r="A3471" s="49"/>
      <c r="B3471" s="16" t="s">
        <v>150</v>
      </c>
      <c r="C3471" s="143" t="str">
        <f>IFERROR(VLOOKUP(B3471,'Thống kê'!$C$3:$D$970,2, FALSE),VLOOKUP(B3471,'Thống kê v2 CC'!$A$3:$D$1005,3, FALSE))</f>
        <v>Móc khóa có chuông</v>
      </c>
      <c r="D3471" s="166">
        <f>VLOOKUP(B3471,'Thống kê'!$C$3:$M$970,4,0)</f>
        <v>59000</v>
      </c>
      <c r="E3471" s="167">
        <v>1</v>
      </c>
      <c r="F3471" s="168">
        <f t="shared" si="14"/>
        <v>59000</v>
      </c>
      <c r="G3471" s="75"/>
      <c r="H3471" s="205">
        <v>47970</v>
      </c>
    </row>
    <row r="3472" spans="1:8" ht="13.2">
      <c r="A3472" s="49"/>
      <c r="B3472" s="16" t="s">
        <v>1853</v>
      </c>
      <c r="C3472" s="143" t="str">
        <f>IFERROR(VLOOKUP(B3472,'Thống kê'!$C$3:$D$970,2, FALSE),VLOOKUP(B3472,'Thống kê v2 CC'!$A$3:$D$1005,3, FALSE))</f>
        <v>Túi Đựng Mắt Kính Da Pu</v>
      </c>
      <c r="D3472" s="166">
        <f>VLOOKUP(B3472,'Thống kê'!$C$3:$M$970,4,0)</f>
        <v>0</v>
      </c>
      <c r="E3472" s="167">
        <v>1</v>
      </c>
      <c r="F3472" s="168">
        <f t="shared" si="14"/>
        <v>0</v>
      </c>
      <c r="G3472" s="75"/>
      <c r="H3472" s="205">
        <v>13940</v>
      </c>
    </row>
    <row r="3473" spans="1:8" ht="13.2">
      <c r="A3473" s="49"/>
      <c r="B3473" s="16" t="s">
        <v>84</v>
      </c>
      <c r="C3473" s="143">
        <f>IFERROR(VLOOKUP(B3473,'Thống kê'!$C$3:$D$970,2, FALSE),VLOOKUP(B3473,'Thống kê v2 CC'!$A$3:$D$1005,3, FALSE))</f>
        <v>0</v>
      </c>
      <c r="D3473" s="166">
        <f>VLOOKUP(B3473,'Thống kê'!$C$3:$M$970,4,0)</f>
        <v>0</v>
      </c>
      <c r="E3473" s="167">
        <v>1</v>
      </c>
      <c r="F3473" s="168">
        <f t="shared" si="14"/>
        <v>0</v>
      </c>
      <c r="G3473" s="75"/>
      <c r="H3473" s="205">
        <v>43542</v>
      </c>
    </row>
    <row r="3474" spans="1:8" ht="13.2">
      <c r="A3474" s="49"/>
      <c r="B3474" s="16" t="s">
        <v>299</v>
      </c>
      <c r="C3474" s="143">
        <f>IFERROR(VLOOKUP(B3474,'Thống kê'!$C$3:$D$970,2, FALSE),VLOOKUP(B3474,'Thống kê v2 CC'!$A$3:$D$1005,3, FALSE))</f>
        <v>0</v>
      </c>
      <c r="D3474" s="166">
        <f>VLOOKUP(B3474,'Thống kê'!$C$3:$M$970,4,0)</f>
        <v>0</v>
      </c>
      <c r="E3474" s="167">
        <v>1</v>
      </c>
      <c r="F3474" s="168">
        <f t="shared" si="14"/>
        <v>0</v>
      </c>
      <c r="G3474" s="75"/>
      <c r="H3474" s="205">
        <v>52054</v>
      </c>
    </row>
    <row r="3475" spans="1:8" ht="13.2">
      <c r="A3475" s="64"/>
      <c r="B3475" s="16" t="s">
        <v>126</v>
      </c>
      <c r="C3475" s="143">
        <f>IFERROR(VLOOKUP(B3475,'Thống kê'!$C$3:$D$970,2, FALSE),VLOOKUP(B3475,'Thống kê v2 CC'!$A$3:$D$1005,3, FALSE))</f>
        <v>0</v>
      </c>
      <c r="D3475" s="166">
        <f>VLOOKUP(B3475,'Thống kê'!$C$3:$M$970,4,0)</f>
        <v>0</v>
      </c>
      <c r="E3475" s="167">
        <v>1</v>
      </c>
      <c r="F3475" s="168">
        <f t="shared" si="14"/>
        <v>0</v>
      </c>
      <c r="G3475" s="75"/>
      <c r="H3475" s="205">
        <v>111520</v>
      </c>
    </row>
    <row r="3476" spans="1:8" ht="13.2">
      <c r="A3476" s="49"/>
      <c r="B3476" s="16" t="s">
        <v>1527</v>
      </c>
      <c r="C3476" s="143">
        <f>IFERROR(VLOOKUP(B3476,'Thống kê'!$C$3:$D$970,2, FALSE),VLOOKUP(B3476,'Thống kê v2 CC'!$A$3:$D$1005,3, FALSE))</f>
        <v>0</v>
      </c>
      <c r="D3476" s="166">
        <f>VLOOKUP(B3476,'Thống kê'!$C$3:$M$970,4,0)</f>
        <v>0</v>
      </c>
      <c r="E3476" s="167">
        <v>1</v>
      </c>
      <c r="F3476" s="168">
        <f t="shared" si="14"/>
        <v>0</v>
      </c>
      <c r="G3476" s="75"/>
      <c r="H3476" s="205"/>
    </row>
    <row r="3477" spans="1:8" ht="13.2">
      <c r="A3477" s="49"/>
      <c r="B3477" s="16" t="s">
        <v>85</v>
      </c>
      <c r="C3477" s="143">
        <f>IFERROR(VLOOKUP(B3477,'Thống kê'!$C$3:$D$970,2, FALSE),VLOOKUP(B3477,'Thống kê v2 CC'!$A$3:$D$1005,3, FALSE))</f>
        <v>0</v>
      </c>
      <c r="D3477" s="166">
        <f>VLOOKUP(B3477,'Thống kê'!$C$3:$M$970,4,0)</f>
        <v>0</v>
      </c>
      <c r="E3477" s="167">
        <v>1</v>
      </c>
      <c r="F3477" s="168">
        <f t="shared" si="14"/>
        <v>0</v>
      </c>
      <c r="G3477" s="75"/>
      <c r="H3477" s="205">
        <v>52054</v>
      </c>
    </row>
    <row r="3478" spans="1:8" ht="13.2">
      <c r="A3478" s="49"/>
      <c r="B3478" s="16" t="s">
        <v>1387</v>
      </c>
      <c r="C3478" s="143" t="str">
        <f>IFERROR(VLOOKUP(B3478,'Thống kê'!$C$3:$D$970,2, FALSE),VLOOKUP(B3478,'Thống kê v2 CC'!$A$3:$D$1005,3, FALSE))</f>
        <v>Móc khoá Crybaby mini Popmart</v>
      </c>
      <c r="D3478" s="166">
        <f>VLOOKUP(B3478,'Thống kê'!$C$3:$M$970,4,0)</f>
        <v>0</v>
      </c>
      <c r="E3478" s="167">
        <v>1</v>
      </c>
      <c r="F3478" s="168">
        <f t="shared" si="14"/>
        <v>0</v>
      </c>
      <c r="G3478" s="75"/>
      <c r="H3478" s="205">
        <v>74686</v>
      </c>
    </row>
    <row r="3479" spans="1:8" ht="13.2">
      <c r="A3479" s="49"/>
      <c r="B3479" s="16" t="s">
        <v>145</v>
      </c>
      <c r="C3479" s="143" t="str">
        <f>IFERROR(VLOOKUP(B3479,'Thống kê'!$C$3:$D$970,2, FALSE),VLOOKUP(B3479,'Thống kê v2 CC'!$A$3:$D$1005,3, FALSE))</f>
        <v>Thỏ đi vịt gắn xe</v>
      </c>
      <c r="D3479" s="166">
        <f>VLOOKUP(B3479,'Thống kê'!$C$3:$M$970,4,0)</f>
        <v>45000</v>
      </c>
      <c r="E3479" s="167">
        <v>1</v>
      </c>
      <c r="F3479" s="168">
        <f t="shared" si="14"/>
        <v>45000</v>
      </c>
      <c r="G3479" s="75"/>
      <c r="H3479" s="205">
        <v>23944</v>
      </c>
    </row>
    <row r="3480" spans="1:8" ht="13.2">
      <c r="A3480" s="49"/>
      <c r="B3480" s="16" t="s">
        <v>1484</v>
      </c>
      <c r="C3480" s="143" t="str">
        <f>IFERROR(VLOOKUP(B3480,'Thống kê'!$C$3:$D$970,2, FALSE),VLOOKUP(B3480,'Thống kê v2 CC'!$A$3:$D$1005,3, FALSE))</f>
        <v>Móc khoá Dudu nhiều màu sắc treo túi, đeo điện thoại</v>
      </c>
      <c r="D3480" s="166">
        <f>VLOOKUP(B3480,'Thống kê'!$C$3:$M$970,4,0)</f>
        <v>45000</v>
      </c>
      <c r="E3480" s="167">
        <v>1</v>
      </c>
      <c r="F3480" s="168">
        <f t="shared" si="14"/>
        <v>45000</v>
      </c>
      <c r="G3480" s="75"/>
      <c r="H3480" s="407">
        <v>68724</v>
      </c>
    </row>
    <row r="3481" spans="1:8" ht="13.2">
      <c r="A3481" s="49"/>
      <c r="B3481" s="16" t="s">
        <v>1485</v>
      </c>
      <c r="C3481" s="143" t="str">
        <f>IFERROR(VLOOKUP(B3481,'Thống kê'!$C$3:$D$970,2, FALSE),VLOOKUP(B3481,'Thống kê v2 CC'!$A$3:$D$1005,3, FALSE))</f>
        <v>Móc khoá Dudu nhiều màu sắc treo túi, đeo điện thoại</v>
      </c>
      <c r="D3481" s="166">
        <f>VLOOKUP(B3481,'Thống kê'!$C$3:$M$970,4,0)</f>
        <v>45000</v>
      </c>
      <c r="E3481" s="167">
        <v>1</v>
      </c>
      <c r="F3481" s="168">
        <f t="shared" si="14"/>
        <v>45000</v>
      </c>
      <c r="G3481" s="75"/>
      <c r="H3481" s="369"/>
    </row>
    <row r="3482" spans="1:8" ht="13.2">
      <c r="A3482" s="49"/>
      <c r="B3482" s="16" t="s">
        <v>1840</v>
      </c>
      <c r="C3482" s="143" t="str">
        <f>IFERROR(VLOOKUP(B3482,'Thống kê'!$C$3:$D$970,2, FALSE),VLOOKUP(B3482,'Thống kê v2 CC'!$A$3:$D$1005,3, FALSE))</f>
        <v>Túi Đựng Mắt Kính Da Pu</v>
      </c>
      <c r="D3482" s="166">
        <f>VLOOKUP(B3482,'Thống kê'!$C$3:$M$970,4,0)</f>
        <v>0</v>
      </c>
      <c r="E3482" s="167">
        <v>3</v>
      </c>
      <c r="F3482" s="168">
        <f t="shared" si="14"/>
        <v>0</v>
      </c>
      <c r="G3482" s="75"/>
      <c r="H3482" s="205">
        <v>41820</v>
      </c>
    </row>
    <row r="3483" spans="1:8" ht="13.2">
      <c r="A3483" s="49"/>
      <c r="B3483" s="16" t="s">
        <v>145</v>
      </c>
      <c r="C3483" s="143" t="str">
        <f>IFERROR(VLOOKUP(B3483,'Thống kê'!$C$3:$D$970,2, FALSE),VLOOKUP(B3483,'Thống kê v2 CC'!$A$3:$D$1005,3, FALSE))</f>
        <v>Thỏ đi vịt gắn xe</v>
      </c>
      <c r="D3483" s="166">
        <f>VLOOKUP(B3483,'Thống kê'!$C$3:$M$970,4,0)</f>
        <v>45000</v>
      </c>
      <c r="E3483" s="167">
        <v>1</v>
      </c>
      <c r="F3483" s="168">
        <f t="shared" si="14"/>
        <v>45000</v>
      </c>
      <c r="G3483" s="75"/>
      <c r="H3483" s="205">
        <v>51451</v>
      </c>
    </row>
    <row r="3484" spans="1:8" ht="13.2">
      <c r="A3484" s="49"/>
      <c r="B3484" s="16" t="s">
        <v>119</v>
      </c>
      <c r="C3484" s="143" t="str">
        <f>IFERROR(VLOOKUP(B3484,'Thống kê'!$C$3:$D$970,2, FALSE),VLOOKUP(B3484,'Thống kê v2 CC'!$A$3:$D$1005,3, FALSE))</f>
        <v>Thỏ chạy xe gắn xe</v>
      </c>
      <c r="D3484" s="166">
        <f>VLOOKUP(B3484,'Thống kê'!$C$3:$M$970,4,0)</f>
        <v>45000</v>
      </c>
      <c r="E3484" s="167">
        <v>1</v>
      </c>
      <c r="F3484" s="168">
        <f t="shared" si="14"/>
        <v>45000</v>
      </c>
      <c r="G3484" s="75"/>
      <c r="H3484" s="205"/>
    </row>
    <row r="3485" spans="1:8" ht="13.2">
      <c r="A3485" s="49"/>
      <c r="B3485" s="16" t="s">
        <v>1864</v>
      </c>
      <c r="C3485" s="143" t="str">
        <f>IFERROR(VLOOKUP(B3485,'Thống kê'!$C$3:$D$970,2, FALSE),VLOOKUP(B3485,'Thống kê v2 CC'!$A$3:$D$1005,3, FALSE))</f>
        <v>POP BEAN Pajama Party</v>
      </c>
      <c r="D3485" s="166" t="e">
        <f>VLOOKUP(B3485,'Thống kê'!$C$3:$M$970,4,0)</f>
        <v>#N/A</v>
      </c>
      <c r="E3485" s="167">
        <v>1</v>
      </c>
      <c r="F3485" s="168" t="e">
        <f t="shared" si="14"/>
        <v>#N/A</v>
      </c>
      <c r="G3485" s="75"/>
      <c r="H3485" s="205">
        <v>80360</v>
      </c>
    </row>
    <row r="3486" spans="1:8" ht="13.2">
      <c r="A3486" s="49"/>
      <c r="B3486" s="16" t="s">
        <v>171</v>
      </c>
      <c r="C3486" s="143">
        <f>IFERROR(VLOOKUP(B3486,'Thống kê'!$C$3:$D$970,2, FALSE),VLOOKUP(B3486,'Thống kê v2 CC'!$A$3:$D$1005,3, FALSE))</f>
        <v>0</v>
      </c>
      <c r="D3486" s="166">
        <f>VLOOKUP(B3486,'Thống kê'!$C$3:$M$970,4,0)</f>
        <v>0</v>
      </c>
      <c r="E3486" s="167">
        <v>1</v>
      </c>
      <c r="F3486" s="168">
        <f t="shared" si="14"/>
        <v>0</v>
      </c>
      <c r="G3486" s="75"/>
      <c r="H3486" s="407">
        <v>113980</v>
      </c>
    </row>
    <row r="3487" spans="1:8" ht="13.2">
      <c r="A3487" s="49"/>
      <c r="B3487" s="16" t="s">
        <v>85</v>
      </c>
      <c r="C3487" s="143">
        <f>IFERROR(VLOOKUP(B3487,'Thống kê'!$C$3:$D$970,2, FALSE),VLOOKUP(B3487,'Thống kê v2 CC'!$A$3:$D$1005,3, FALSE))</f>
        <v>0</v>
      </c>
      <c r="D3487" s="166">
        <f>VLOOKUP(B3487,'Thống kê'!$C$3:$M$970,4,0)</f>
        <v>0</v>
      </c>
      <c r="E3487" s="167">
        <v>1</v>
      </c>
      <c r="F3487" s="168">
        <f t="shared" si="14"/>
        <v>0</v>
      </c>
      <c r="G3487" s="75"/>
      <c r="H3487" s="369"/>
    </row>
    <row r="3488" spans="1:8" ht="13.2">
      <c r="A3488" s="49"/>
      <c r="B3488" s="16" t="s">
        <v>257</v>
      </c>
      <c r="C3488" s="143" t="str">
        <f>IFERROR(VLOOKUP(B3488,'Thống kê'!$C$3:$D$970,2, FALSE),VLOOKUP(B3488,'Thống kê v2 CC'!$A$3:$D$1005,3, FALSE))</f>
        <v>POP BEAN Pajama Party</v>
      </c>
      <c r="D3488" s="166" t="e">
        <f>VLOOKUP(B3488,'Thống kê'!$C$3:$M$970,4,0)</f>
        <v>#N/A</v>
      </c>
      <c r="E3488" s="167">
        <v>1</v>
      </c>
      <c r="F3488" s="168" t="e">
        <f t="shared" si="14"/>
        <v>#N/A</v>
      </c>
      <c r="G3488" s="75"/>
      <c r="H3488" s="205">
        <v>72422</v>
      </c>
    </row>
    <row r="3489" spans="1:8" ht="13.2">
      <c r="A3489" s="49"/>
      <c r="B3489" s="16" t="s">
        <v>1888</v>
      </c>
      <c r="C3489" s="143" t="e">
        <f>IFERROR(VLOOKUP(B3489,'Thống kê'!$C$3:$D$970,2, FALSE),VLOOKUP(B3489,'Thống kê v2 CC'!$A$3:$D$1005,3, FALSE))</f>
        <v>#N/A</v>
      </c>
      <c r="D3489" s="166" t="e">
        <f>VLOOKUP(B3489,'Thống kê'!$C$3:$M$970,4,0)</f>
        <v>#N/A</v>
      </c>
      <c r="E3489" s="167">
        <v>1</v>
      </c>
      <c r="F3489" s="168" t="e">
        <f t="shared" si="14"/>
        <v>#N/A</v>
      </c>
      <c r="G3489" s="75"/>
      <c r="H3489" s="205">
        <v>149400</v>
      </c>
    </row>
    <row r="3490" spans="1:8" ht="13.2">
      <c r="A3490" s="49"/>
      <c r="B3490" s="16" t="s">
        <v>273</v>
      </c>
      <c r="C3490" s="143">
        <f>IFERROR(VLOOKUP(B3490,'Thống kê'!$C$3:$D$970,2, FALSE),VLOOKUP(B3490,'Thống kê v2 CC'!$A$3:$D$1005,3, FALSE))</f>
        <v>0</v>
      </c>
      <c r="D3490" s="166">
        <f>VLOOKUP(B3490,'Thống kê'!$C$3:$M$970,4,0)</f>
        <v>0</v>
      </c>
      <c r="E3490" s="167">
        <v>1</v>
      </c>
      <c r="F3490" s="168">
        <f t="shared" si="14"/>
        <v>0</v>
      </c>
      <c r="G3490" s="75"/>
      <c r="H3490" s="205">
        <v>113999</v>
      </c>
    </row>
    <row r="3491" spans="1:8" ht="13.2">
      <c r="A3491" s="49"/>
      <c r="B3491" s="16" t="s">
        <v>93</v>
      </c>
      <c r="C3491" s="143">
        <f>IFERROR(VLOOKUP(B3491,'Thống kê'!$C$3:$D$970,2, FALSE),VLOOKUP(B3491,'Thống kê v2 CC'!$A$3:$D$1005,3, FALSE))</f>
        <v>0</v>
      </c>
      <c r="D3491" s="166">
        <f>VLOOKUP(B3491,'Thống kê'!$C$3:$M$970,4,0)</f>
        <v>0</v>
      </c>
      <c r="E3491" s="167">
        <v>1</v>
      </c>
      <c r="F3491" s="168">
        <f t="shared" si="14"/>
        <v>0</v>
      </c>
      <c r="G3491" s="75"/>
      <c r="H3491" s="205">
        <v>52054</v>
      </c>
    </row>
    <row r="3492" spans="1:8" ht="13.2">
      <c r="A3492" s="49"/>
      <c r="B3492" s="16" t="s">
        <v>290</v>
      </c>
      <c r="C3492" s="143" t="e">
        <f>IFERROR(VLOOKUP(B3492,'Thống kê'!$C$3:$D$970,2, FALSE),VLOOKUP(B3492,'Thống kê v2 CC'!$A$3:$D$1005,3, FALSE))</f>
        <v>#N/A</v>
      </c>
      <c r="D3492" s="166" t="e">
        <f>VLOOKUP(B3492,'Thống kê'!$C$3:$M$970,4,0)</f>
        <v>#N/A</v>
      </c>
      <c r="E3492" s="167">
        <v>1</v>
      </c>
      <c r="F3492" s="168" t="e">
        <f t="shared" si="14"/>
        <v>#N/A</v>
      </c>
      <c r="G3492" s="75"/>
      <c r="H3492" s="205">
        <v>149400</v>
      </c>
    </row>
    <row r="3493" spans="1:8" ht="13.2">
      <c r="A3493" s="49"/>
      <c r="B3493" s="16" t="s">
        <v>1472</v>
      </c>
      <c r="C3493" s="143">
        <f>IFERROR(VLOOKUP(B3493,'Thống kê'!$C$3:$D$970,2, FALSE),VLOOKUP(B3493,'Thống kê v2 CC'!$A$3:$D$1005,3, FALSE))</f>
        <v>0</v>
      </c>
      <c r="D3493" s="166">
        <f>VLOOKUP(B3493,'Thống kê'!$C$3:$M$970,4,0)</f>
        <v>0</v>
      </c>
      <c r="E3493" s="167">
        <v>1</v>
      </c>
      <c r="F3493" s="168">
        <f t="shared" si="14"/>
        <v>0</v>
      </c>
      <c r="G3493" s="75"/>
      <c r="H3493" s="407">
        <v>292817</v>
      </c>
    </row>
    <row r="3494" spans="1:8" ht="13.2">
      <c r="A3494" s="49"/>
      <c r="B3494" s="16" t="s">
        <v>193</v>
      </c>
      <c r="C3494" s="143" t="str">
        <f>IFERROR(VLOOKUP(B3494,'Thống kê'!$C$3:$D$970,2, FALSE),VLOOKUP(B3494,'Thống kê v2 CC'!$A$3:$D$1005,3, FALSE))</f>
        <v>POP BEAN Pajama Party</v>
      </c>
      <c r="D3494" s="166" t="e">
        <f>VLOOKUP(B3494,'Thống kê'!$C$3:$M$970,4,0)</f>
        <v>#N/A</v>
      </c>
      <c r="E3494" s="167">
        <v>1</v>
      </c>
      <c r="F3494" s="168" t="e">
        <f t="shared" si="14"/>
        <v>#N/A</v>
      </c>
      <c r="G3494" s="75"/>
      <c r="H3494" s="369"/>
    </row>
    <row r="3495" spans="1:8" ht="13.2">
      <c r="A3495" s="64"/>
      <c r="B3495" s="16" t="s">
        <v>1662</v>
      </c>
      <c r="C3495" s="143" t="str">
        <f>IFERROR(VLOOKUP(B3495,'Thống kê'!$C$3:$D$970,2, FALSE),VLOOKUP(B3495,'Thống kê v2 CC'!$A$3:$D$1005,3, FALSE))</f>
        <v>Móc khóa Popbean Cry Baby</v>
      </c>
      <c r="D3495" s="166">
        <f>VLOOKUP(B3495,'Thống kê'!$C$3:$M$970,4,0)</f>
        <v>148000</v>
      </c>
      <c r="E3495" s="167">
        <v>1</v>
      </c>
      <c r="F3495" s="168">
        <f t="shared" si="14"/>
        <v>148000</v>
      </c>
      <c r="G3495" s="75"/>
      <c r="H3495" s="369"/>
    </row>
    <row r="3496" spans="1:8" ht="13.2">
      <c r="A3496" s="49"/>
      <c r="B3496" s="16" t="s">
        <v>1840</v>
      </c>
      <c r="C3496" s="143" t="str">
        <f>IFERROR(VLOOKUP(B3496,'Thống kê'!$C$3:$D$970,2, FALSE),VLOOKUP(B3496,'Thống kê v2 CC'!$A$3:$D$1005,3, FALSE))</f>
        <v>Túi Đựng Mắt Kính Da Pu</v>
      </c>
      <c r="D3496" s="166">
        <f>VLOOKUP(B3496,'Thống kê'!$C$3:$M$970,4,0)</f>
        <v>0</v>
      </c>
      <c r="E3496" s="167">
        <v>1</v>
      </c>
      <c r="F3496" s="168">
        <f t="shared" si="14"/>
        <v>0</v>
      </c>
      <c r="G3496" s="75"/>
      <c r="H3496" s="205">
        <v>13940</v>
      </c>
    </row>
    <row r="3497" spans="1:8" ht="13.2">
      <c r="A3497" s="49"/>
      <c r="B3497" s="16" t="s">
        <v>317</v>
      </c>
      <c r="C3497" s="143" t="str">
        <f>IFERROR(VLOOKUP(B3497,'Thống kê'!$C$3:$D$970,2, FALSE),VLOOKUP(B3497,'Thống kê v2 CC'!$A$3:$D$1005,3, FALSE))</f>
        <v>Dao rọc giấy 10</v>
      </c>
      <c r="D3497" s="166">
        <f>VLOOKUP(B3497,'Thống kê'!$C$3:$M$970,4,0)</f>
        <v>12000</v>
      </c>
      <c r="E3497" s="167">
        <v>1</v>
      </c>
      <c r="F3497" s="168">
        <f t="shared" si="14"/>
        <v>12000</v>
      </c>
      <c r="G3497" s="75"/>
      <c r="H3497" s="205">
        <v>110222</v>
      </c>
    </row>
    <row r="3498" spans="1:8" ht="13.2">
      <c r="A3498" s="49"/>
      <c r="B3498" s="16" t="s">
        <v>1844</v>
      </c>
      <c r="C3498" s="143" t="str">
        <f>IFERROR(VLOOKUP(B3498,'Thống kê'!$C$3:$D$970,2, FALSE),VLOOKUP(B3498,'Thống kê v2 CC'!$A$3:$D$1005,3, FALSE))</f>
        <v>Hộp thuốc ngôi sao xanh</v>
      </c>
      <c r="D3498" s="166">
        <f>VLOOKUP(B3498,'Thống kê'!$C$3:$M$970,4,0)</f>
        <v>11000</v>
      </c>
      <c r="E3498" s="167">
        <v>1</v>
      </c>
      <c r="F3498" s="168">
        <f t="shared" si="14"/>
        <v>11000</v>
      </c>
      <c r="G3498" s="75"/>
      <c r="H3498" s="205"/>
    </row>
    <row r="3499" spans="1:8" ht="13.2">
      <c r="A3499" s="49"/>
      <c r="B3499" s="16" t="s">
        <v>96</v>
      </c>
      <c r="C3499" s="143">
        <f>IFERROR(VLOOKUP(B3499,'Thống kê'!$C$3:$D$970,2, FALSE),VLOOKUP(B3499,'Thống kê v2 CC'!$A$3:$D$1005,3, FALSE))</f>
        <v>0</v>
      </c>
      <c r="D3499" s="166">
        <f>VLOOKUP(B3499,'Thống kê'!$C$3:$M$970,4,0)</f>
        <v>0</v>
      </c>
      <c r="E3499" s="167">
        <v>1</v>
      </c>
      <c r="F3499" s="168">
        <f t="shared" si="14"/>
        <v>0</v>
      </c>
      <c r="G3499" s="75"/>
      <c r="H3499" s="205"/>
    </row>
    <row r="3500" spans="1:8" ht="13.2">
      <c r="A3500" s="49"/>
      <c r="B3500" s="16" t="s">
        <v>1826</v>
      </c>
      <c r="C3500" s="143" t="str">
        <f>IFERROR(VLOOKUP(B3500,'Thống kê'!$C$3:$D$970,2, FALSE),VLOOKUP(B3500,'Thống kê v2 CC'!$A$3:$D$1005,3, FALSE))</f>
        <v>Túi đựng đồ trang điểm nhỏ</v>
      </c>
      <c r="D3500" s="166">
        <f>VLOOKUP(B3500,'Thống kê'!$C$3:$M$970,4,0)</f>
        <v>0</v>
      </c>
      <c r="E3500" s="167">
        <v>1</v>
      </c>
      <c r="F3500" s="168">
        <f t="shared" si="14"/>
        <v>0</v>
      </c>
      <c r="G3500" s="75"/>
      <c r="H3500" s="205"/>
    </row>
    <row r="3501" spans="1:8" ht="13.2">
      <c r="A3501" s="49"/>
      <c r="B3501" s="16" t="s">
        <v>242</v>
      </c>
      <c r="C3501" s="143">
        <f>IFERROR(VLOOKUP(B3501,'Thống kê'!$C$3:$D$970,2, FALSE),VLOOKUP(B3501,'Thống kê v2 CC'!$A$3:$D$1005,3, FALSE))</f>
        <v>0</v>
      </c>
      <c r="D3501" s="166">
        <f>VLOOKUP(B3501,'Thống kê'!$C$3:$M$970,4,0)</f>
        <v>0</v>
      </c>
      <c r="E3501" s="167">
        <v>1</v>
      </c>
      <c r="F3501" s="168">
        <f t="shared" si="14"/>
        <v>0</v>
      </c>
      <c r="G3501" s="75"/>
      <c r="H3501" s="205">
        <v>97110</v>
      </c>
    </row>
    <row r="3502" spans="1:8" ht="13.2">
      <c r="A3502" s="49"/>
      <c r="B3502" s="16" t="s">
        <v>1845</v>
      </c>
      <c r="C3502" s="143" t="str">
        <f>IFERROR(VLOOKUP(B3502,'Thống kê'!$C$3:$D$970,2, FALSE),VLOOKUP(B3502,'Thống kê v2 CC'!$A$3:$D$1005,3, FALSE))</f>
        <v>Túi Đựng Mắt Kính Da Pu</v>
      </c>
      <c r="D3502" s="166">
        <f>VLOOKUP(B3502,'Thống kê'!$C$3:$M$970,4,0)</f>
        <v>0</v>
      </c>
      <c r="E3502" s="167">
        <v>1</v>
      </c>
      <c r="F3502" s="168">
        <f t="shared" si="14"/>
        <v>0</v>
      </c>
      <c r="G3502" s="75"/>
      <c r="H3502" s="205">
        <v>13790</v>
      </c>
    </row>
    <row r="3503" spans="1:8" ht="13.2">
      <c r="A3503" s="49"/>
      <c r="B3503" s="16" t="s">
        <v>1573</v>
      </c>
      <c r="C3503" s="143">
        <f>IFERROR(VLOOKUP(B3503,'Thống kê'!$C$3:$D$970,2, FALSE),VLOOKUP(B3503,'Thống kê v2 CC'!$A$3:$D$1005,3, FALSE))</f>
        <v>0</v>
      </c>
      <c r="D3503" s="166">
        <f>VLOOKUP(B3503,'Thống kê'!$C$3:$M$970,4,0)</f>
        <v>0</v>
      </c>
      <c r="E3503" s="167">
        <v>1</v>
      </c>
      <c r="F3503" s="168">
        <f t="shared" si="14"/>
        <v>0</v>
      </c>
      <c r="G3503" s="75"/>
      <c r="H3503" s="205">
        <v>13940</v>
      </c>
    </row>
    <row r="3504" spans="1:8" ht="13.2">
      <c r="A3504" s="49"/>
      <c r="B3504" s="16" t="s">
        <v>1817</v>
      </c>
      <c r="C3504" s="143" t="str">
        <f>IFERROR(VLOOKUP(B3504,'Thống kê'!$C$3:$D$970,2, FALSE),VLOOKUP(B3504,'Thống kê v2 CC'!$A$3:$D$1005,3, FALSE))</f>
        <v>Túi Đựng Mắt Kính Da Pu</v>
      </c>
      <c r="D3504" s="166">
        <f>VLOOKUP(B3504,'Thống kê'!$C$3:$M$970,4,0)</f>
        <v>0</v>
      </c>
      <c r="E3504" s="167">
        <v>2</v>
      </c>
      <c r="F3504" s="168">
        <f t="shared" si="14"/>
        <v>0</v>
      </c>
      <c r="G3504" s="75"/>
      <c r="H3504" s="205">
        <v>41000</v>
      </c>
    </row>
    <row r="3505" spans="1:8" ht="13.2">
      <c r="A3505" s="64">
        <v>45806</v>
      </c>
      <c r="B3505" s="16" t="s">
        <v>1573</v>
      </c>
      <c r="C3505" s="143">
        <f>IFERROR(VLOOKUP(B3505,'Thống kê'!$C$3:$D$970,2, FALSE),VLOOKUP(B3505,'Thống kê v2 CC'!$A$3:$D$1005,3, FALSE))</f>
        <v>0</v>
      </c>
      <c r="D3505" s="166">
        <f>VLOOKUP(B3505,'Thống kê'!$C$3:$M$970,4,0)</f>
        <v>0</v>
      </c>
      <c r="E3505" s="167">
        <v>1</v>
      </c>
      <c r="F3505" s="168">
        <f t="shared" si="14"/>
        <v>0</v>
      </c>
      <c r="G3505" s="75"/>
      <c r="H3505" s="205">
        <v>13940</v>
      </c>
    </row>
    <row r="3506" spans="1:8" ht="13.2">
      <c r="A3506" s="49"/>
      <c r="B3506" s="16" t="s">
        <v>279</v>
      </c>
      <c r="C3506" s="143">
        <f>IFERROR(VLOOKUP(B3506,'Thống kê'!$C$3:$D$970,2, FALSE),VLOOKUP(B3506,'Thống kê v2 CC'!$A$3:$D$1005,3, FALSE))</f>
        <v>0</v>
      </c>
      <c r="D3506" s="166">
        <f>VLOOKUP(B3506,'Thống kê'!$C$3:$M$970,4,0)</f>
        <v>0</v>
      </c>
      <c r="E3506" s="167">
        <v>-1</v>
      </c>
      <c r="F3506" s="168">
        <f t="shared" si="14"/>
        <v>0</v>
      </c>
      <c r="G3506" s="75"/>
      <c r="H3506" s="205">
        <v>-16500</v>
      </c>
    </row>
    <row r="3507" spans="1:8" ht="13.2">
      <c r="A3507" s="49"/>
      <c r="B3507" s="16" t="s">
        <v>1887</v>
      </c>
      <c r="C3507" s="143">
        <f>IFERROR(VLOOKUP(B3507,'Thống kê'!$C$3:$D$970,2, FALSE),VLOOKUP(B3507,'Thống kê v2 CC'!$A$3:$D$1005,3, FALSE))</f>
        <v>0</v>
      </c>
      <c r="D3507" s="166">
        <f>VLOOKUP(B3507,'Thống kê'!$C$3:$M$970,4,0)</f>
        <v>0</v>
      </c>
      <c r="E3507" s="167">
        <v>-1</v>
      </c>
      <c r="F3507" s="168">
        <f t="shared" si="14"/>
        <v>0</v>
      </c>
      <c r="G3507" s="75"/>
      <c r="H3507" s="205">
        <v>-274500</v>
      </c>
    </row>
    <row r="3508" spans="1:8" ht="13.2">
      <c r="A3508" s="49"/>
      <c r="B3508" s="16" t="s">
        <v>127</v>
      </c>
      <c r="C3508" s="143">
        <f>IFERROR(VLOOKUP(B3508,'Thống kê'!$C$3:$D$970,2, FALSE),VLOOKUP(B3508,'Thống kê v2 CC'!$A$3:$D$1005,3, FALSE))</f>
        <v>0</v>
      </c>
      <c r="D3508" s="166">
        <f>VLOOKUP(B3508,'Thống kê'!$C$3:$M$970,4,0)</f>
        <v>0</v>
      </c>
      <c r="E3508" s="167">
        <v>-1</v>
      </c>
      <c r="F3508" s="168">
        <f t="shared" si="14"/>
        <v>0</v>
      </c>
      <c r="G3508" s="75"/>
      <c r="H3508" s="205"/>
    </row>
    <row r="3509" spans="1:8" ht="13.2">
      <c r="A3509" s="49"/>
      <c r="B3509" s="16" t="s">
        <v>264</v>
      </c>
      <c r="C3509" s="143">
        <f>IFERROR(VLOOKUP(B3509,'Thống kê'!$C$3:$D$970,2, FALSE),VLOOKUP(B3509,'Thống kê v2 CC'!$A$3:$D$1005,3, FALSE))</f>
        <v>0</v>
      </c>
      <c r="D3509" s="166">
        <f>VLOOKUP(B3509,'Thống kê'!$C$3:$M$970,4,0)</f>
        <v>0</v>
      </c>
      <c r="E3509" s="167">
        <v>-1</v>
      </c>
      <c r="F3509" s="168">
        <f t="shared" si="14"/>
        <v>0</v>
      </c>
      <c r="G3509" s="75"/>
      <c r="H3509" s="205"/>
    </row>
    <row r="3510" spans="1:8" ht="13.2">
      <c r="A3510" s="49"/>
      <c r="B3510" s="16" t="s">
        <v>180</v>
      </c>
      <c r="C3510" s="143">
        <f>IFERROR(VLOOKUP(B3510,'Thống kê'!$C$3:$D$970,2, FALSE),VLOOKUP(B3510,'Thống kê v2 CC'!$A$3:$D$1005,3, FALSE))</f>
        <v>0</v>
      </c>
      <c r="D3510" s="166">
        <f>VLOOKUP(B3510,'Thống kê'!$C$3:$M$970,4,0)</f>
        <v>0</v>
      </c>
      <c r="E3510" s="167">
        <v>-1</v>
      </c>
      <c r="F3510" s="168">
        <f t="shared" si="14"/>
        <v>0</v>
      </c>
      <c r="G3510" s="75"/>
      <c r="H3510" s="205"/>
    </row>
    <row r="3511" spans="1:8" ht="13.2">
      <c r="A3511" s="49"/>
      <c r="B3511" s="16" t="s">
        <v>1473</v>
      </c>
      <c r="C3511" s="143">
        <f>IFERROR(VLOOKUP(B3511,'Thống kê'!$C$3:$D$970,2, FALSE),VLOOKUP(B3511,'Thống kê v2 CC'!$A$3:$D$1005,3, FALSE))</f>
        <v>0</v>
      </c>
      <c r="D3511" s="166">
        <f>VLOOKUP(B3511,'Thống kê'!$C$3:$M$970,4,0)</f>
        <v>0</v>
      </c>
      <c r="E3511" s="167">
        <v>-1</v>
      </c>
      <c r="F3511" s="168">
        <f t="shared" si="14"/>
        <v>0</v>
      </c>
      <c r="G3511" s="75"/>
      <c r="H3511" s="205">
        <v>-141960</v>
      </c>
    </row>
    <row r="3512" spans="1:8" ht="13.2">
      <c r="A3512" s="49"/>
      <c r="B3512" s="16" t="s">
        <v>1888</v>
      </c>
      <c r="C3512" s="143" t="e">
        <f>IFERROR(VLOOKUP(B3512,'Thống kê'!$C$3:$D$970,2, FALSE),VLOOKUP(B3512,'Thống kê v2 CC'!$A$3:$D$1005,3, FALSE))</f>
        <v>#N/A</v>
      </c>
      <c r="D3512" s="166" t="e">
        <f>VLOOKUP(B3512,'Thống kê'!$C$3:$M$970,4,0)</f>
        <v>#N/A</v>
      </c>
      <c r="E3512" s="167">
        <v>1</v>
      </c>
      <c r="F3512" s="168" t="e">
        <f t="shared" si="14"/>
        <v>#N/A</v>
      </c>
      <c r="G3512" s="75"/>
      <c r="H3512" s="205">
        <v>149400</v>
      </c>
    </row>
    <row r="3513" spans="1:8" ht="13.2">
      <c r="A3513" s="49"/>
      <c r="B3513" s="16" t="s">
        <v>1825</v>
      </c>
      <c r="C3513" s="143" t="str">
        <f>IFERROR(VLOOKUP(B3513,'Thống kê'!$C$3:$D$970,2, FALSE),VLOOKUP(B3513,'Thống kê v2 CC'!$A$3:$D$1005,3, FALSE))</f>
        <v>Túi Đựng Mắt Kính Da Pu</v>
      </c>
      <c r="D3513" s="166">
        <f>VLOOKUP(B3513,'Thống kê'!$C$3:$M$970,4,0)</f>
        <v>0</v>
      </c>
      <c r="E3513" s="167">
        <v>1</v>
      </c>
      <c r="F3513" s="168">
        <f t="shared" si="14"/>
        <v>0</v>
      </c>
      <c r="G3513" s="75"/>
      <c r="H3513" s="205">
        <v>20500</v>
      </c>
    </row>
    <row r="3514" spans="1:8" ht="13.2">
      <c r="A3514" s="49"/>
      <c r="B3514" s="16" t="s">
        <v>1515</v>
      </c>
      <c r="C3514" s="143">
        <f>IFERROR(VLOOKUP(B3514,'Thống kê'!$C$3:$D$970,2, FALSE),VLOOKUP(B3514,'Thống kê v2 CC'!$A$3:$D$1005,3, FALSE))</f>
        <v>0</v>
      </c>
      <c r="D3514" s="166">
        <f>VLOOKUP(B3514,'Thống kê'!$C$3:$M$970,4,0)</f>
        <v>0</v>
      </c>
      <c r="E3514" s="167">
        <v>1</v>
      </c>
      <c r="F3514" s="168">
        <f t="shared" si="14"/>
        <v>0</v>
      </c>
      <c r="G3514" s="75"/>
      <c r="H3514" s="205">
        <v>51904</v>
      </c>
    </row>
    <row r="3515" spans="1:8" ht="13.2">
      <c r="A3515" s="49"/>
      <c r="B3515" s="16" t="s">
        <v>176</v>
      </c>
      <c r="C3515" s="143">
        <f>IFERROR(VLOOKUP(B3515,'Thống kê'!$C$3:$D$970,2, FALSE),VLOOKUP(B3515,'Thống kê v2 CC'!$A$3:$D$1005,3, FALSE))</f>
        <v>0</v>
      </c>
      <c r="D3515" s="166">
        <f>VLOOKUP(B3515,'Thống kê'!$C$3:$M$970,4,0)</f>
        <v>0</v>
      </c>
      <c r="E3515" s="167">
        <v>1</v>
      </c>
      <c r="F3515" s="168">
        <f t="shared" si="14"/>
        <v>0</v>
      </c>
      <c r="G3515" s="75"/>
      <c r="H3515" s="205">
        <v>60325</v>
      </c>
    </row>
    <row r="3516" spans="1:8" ht="13.2">
      <c r="A3516" s="64"/>
      <c r="B3516" s="16" t="s">
        <v>1845</v>
      </c>
      <c r="C3516" s="143" t="str">
        <f>IFERROR(VLOOKUP(B3516,'Thống kê'!$C$3:$D$970,2, FALSE),VLOOKUP(B3516,'Thống kê v2 CC'!$A$3:$D$1005,3, FALSE))</f>
        <v>Túi Đựng Mắt Kính Da Pu</v>
      </c>
      <c r="D3516" s="166">
        <f>VLOOKUP(B3516,'Thống kê'!$C$3:$M$970,4,0)</f>
        <v>0</v>
      </c>
      <c r="E3516" s="167">
        <v>1</v>
      </c>
      <c r="F3516" s="168">
        <f t="shared" si="14"/>
        <v>0</v>
      </c>
      <c r="G3516" s="75"/>
      <c r="H3516" s="205">
        <v>13940</v>
      </c>
    </row>
    <row r="3517" spans="1:8" ht="13.2">
      <c r="A3517" s="49"/>
      <c r="B3517" s="16" t="s">
        <v>110</v>
      </c>
      <c r="C3517" s="143">
        <f>IFERROR(VLOOKUP(B3517,'Thống kê'!$C$3:$D$970,2, FALSE),VLOOKUP(B3517,'Thống kê v2 CC'!$A$3:$D$1005,3, FALSE))</f>
        <v>0</v>
      </c>
      <c r="D3517" s="166" t="e">
        <f>VLOOKUP(B3517,'Thống kê'!$C$3:$M$970,4,0)</f>
        <v>#N/A</v>
      </c>
      <c r="E3517" s="167">
        <v>1</v>
      </c>
      <c r="F3517" s="168" t="e">
        <f t="shared" si="14"/>
        <v>#N/A</v>
      </c>
      <c r="G3517" s="75"/>
      <c r="H3517" s="205">
        <v>125460</v>
      </c>
    </row>
    <row r="3518" spans="1:8" ht="13.2">
      <c r="A3518" s="49"/>
      <c r="B3518" s="16" t="s">
        <v>171</v>
      </c>
      <c r="C3518" s="143">
        <f>IFERROR(VLOOKUP(B3518,'Thống kê'!$C$3:$D$970,2, FALSE),VLOOKUP(B3518,'Thống kê v2 CC'!$A$3:$D$1005,3, FALSE))</f>
        <v>0</v>
      </c>
      <c r="D3518" s="166">
        <f>VLOOKUP(B3518,'Thống kê'!$C$3:$M$970,4,0)</f>
        <v>0</v>
      </c>
      <c r="E3518" s="167">
        <v>1</v>
      </c>
      <c r="F3518" s="168">
        <f t="shared" si="14"/>
        <v>0</v>
      </c>
      <c r="G3518" s="75"/>
      <c r="H3518" s="407">
        <v>109060</v>
      </c>
    </row>
    <row r="3519" spans="1:8" ht="13.2">
      <c r="A3519" s="49"/>
      <c r="B3519" s="16" t="s">
        <v>1520</v>
      </c>
      <c r="C3519" s="143">
        <f>IFERROR(VLOOKUP(B3519,'Thống kê'!$C$3:$D$970,2, FALSE),VLOOKUP(B3519,'Thống kê v2 CC'!$A$3:$D$1005,3, FALSE))</f>
        <v>0</v>
      </c>
      <c r="D3519" s="166">
        <f>VLOOKUP(B3519,'Thống kê'!$C$3:$M$970,4,0)</f>
        <v>0</v>
      </c>
      <c r="E3519" s="167">
        <v>1</v>
      </c>
      <c r="F3519" s="168">
        <f t="shared" si="14"/>
        <v>0</v>
      </c>
      <c r="G3519" s="75"/>
      <c r="H3519" s="369"/>
    </row>
    <row r="3520" spans="1:8" ht="13.2">
      <c r="A3520" s="49"/>
      <c r="B3520" s="16" t="s">
        <v>149</v>
      </c>
      <c r="C3520" s="143" t="str">
        <f>IFERROR(VLOOKUP(B3520,'Thống kê'!$C$3:$D$970,2, FALSE),VLOOKUP(B3520,'Thống kê v2 CC'!$A$3:$D$1005,3, FALSE))</f>
        <v>ếch</v>
      </c>
      <c r="D3520" s="166">
        <f>VLOOKUP(B3520,'Thống kê'!$C$3:$M$970,4,0)</f>
        <v>35000</v>
      </c>
      <c r="E3520" s="167">
        <v>2</v>
      </c>
      <c r="F3520" s="168">
        <f t="shared" si="14"/>
        <v>70000</v>
      </c>
      <c r="G3520" s="75"/>
      <c r="H3520" s="407">
        <v>67444</v>
      </c>
    </row>
    <row r="3521" spans="1:8" ht="13.2">
      <c r="A3521" s="49"/>
      <c r="B3521" s="16" t="s">
        <v>1841</v>
      </c>
      <c r="C3521" s="143" t="str">
        <f>IFERROR(VLOOKUP(B3521,'Thống kê'!$C$3:$D$970,2, FALSE),VLOOKUP(B3521,'Thống kê v2 CC'!$A$3:$D$1005,3, FALSE))</f>
        <v>Túi Đựng Mắt Kính Da Pu</v>
      </c>
      <c r="D3521" s="166">
        <f>VLOOKUP(B3521,'Thống kê'!$C$3:$M$970,4,0)</f>
        <v>0</v>
      </c>
      <c r="E3521" s="167">
        <v>1</v>
      </c>
      <c r="F3521" s="168">
        <f t="shared" si="14"/>
        <v>0</v>
      </c>
      <c r="G3521" s="75"/>
      <c r="H3521" s="369"/>
    </row>
    <row r="3522" spans="1:8" ht="13.2">
      <c r="A3522" s="49"/>
      <c r="B3522" s="16" t="s">
        <v>155</v>
      </c>
      <c r="C3522" s="143">
        <f>IFERROR(VLOOKUP(B3522,'Thống kê'!$C$3:$D$970,2, FALSE),VLOOKUP(B3522,'Thống kê v2 CC'!$A$3:$D$1005,3, FALSE))</f>
        <v>0</v>
      </c>
      <c r="D3522" s="166">
        <f>VLOOKUP(B3522,'Thống kê'!$C$3:$M$970,4,0)</f>
        <v>0</v>
      </c>
      <c r="E3522" s="167">
        <v>1</v>
      </c>
      <c r="F3522" s="168">
        <f t="shared" si="14"/>
        <v>0</v>
      </c>
      <c r="G3522" s="75"/>
      <c r="H3522" s="205">
        <v>61861</v>
      </c>
    </row>
    <row r="3523" spans="1:8" ht="13.2">
      <c r="A3523" s="49"/>
      <c r="B3523" s="16" t="s">
        <v>1883</v>
      </c>
      <c r="C3523" s="143" t="str">
        <f>IFERROR(VLOOKUP(B3523,'Thống kê'!$C$3:$D$970,2, FALSE),VLOOKUP(B3523,'Thống kê v2 CC'!$A$3:$D$1005,3, FALSE))</f>
        <v>POP BEAN Pajama Party</v>
      </c>
      <c r="D3523" s="166" t="e">
        <f>VLOOKUP(B3523,'Thống kê'!$C$3:$M$970,4,0)</f>
        <v>#N/A</v>
      </c>
      <c r="E3523" s="167">
        <v>1</v>
      </c>
      <c r="F3523" s="168" t="e">
        <f t="shared" si="14"/>
        <v>#N/A</v>
      </c>
      <c r="G3523" s="75"/>
      <c r="H3523" s="205">
        <v>98395</v>
      </c>
    </row>
    <row r="3524" spans="1:8" ht="13.2">
      <c r="A3524" s="49"/>
      <c r="B3524" s="16" t="s">
        <v>142</v>
      </c>
      <c r="C3524" s="143">
        <f>IFERROR(VLOOKUP(B3524,'Thống kê'!$C$3:$D$970,2, FALSE),VLOOKUP(B3524,'Thống kê v2 CC'!$A$3:$D$1005,3, FALSE))</f>
        <v>0</v>
      </c>
      <c r="D3524" s="166">
        <f>VLOOKUP(B3524,'Thống kê'!$C$3:$M$970,4,0)</f>
        <v>0</v>
      </c>
      <c r="E3524" s="167">
        <v>1</v>
      </c>
      <c r="F3524" s="168">
        <f t="shared" si="14"/>
        <v>0</v>
      </c>
      <c r="G3524" s="75"/>
      <c r="H3524" s="205">
        <v>61861</v>
      </c>
    </row>
    <row r="3525" spans="1:8" ht="13.2">
      <c r="A3525" s="49"/>
      <c r="B3525" s="16" t="s">
        <v>196</v>
      </c>
      <c r="C3525" s="143">
        <f>IFERROR(VLOOKUP(B3525,'Thống kê'!$C$3:$D$970,2, FALSE),VLOOKUP(B3525,'Thống kê v2 CC'!$A$3:$D$1005,3, FALSE))</f>
        <v>0</v>
      </c>
      <c r="D3525" s="166">
        <f>VLOOKUP(B3525,'Thống kê'!$C$3:$M$970,4,0)</f>
        <v>0</v>
      </c>
      <c r="E3525" s="167">
        <v>1</v>
      </c>
      <c r="F3525" s="168">
        <f t="shared" si="14"/>
        <v>0</v>
      </c>
      <c r="G3525" s="75"/>
      <c r="H3525" s="205">
        <v>52054</v>
      </c>
    </row>
    <row r="3526" spans="1:8" ht="13.2">
      <c r="A3526" s="49"/>
      <c r="B3526" s="16" t="s">
        <v>290</v>
      </c>
      <c r="C3526" s="143" t="e">
        <f>IFERROR(VLOOKUP(B3526,'Thống kê'!$C$3:$D$970,2, FALSE),VLOOKUP(B3526,'Thống kê v2 CC'!$A$3:$D$1005,3, FALSE))</f>
        <v>#N/A</v>
      </c>
      <c r="D3526" s="166" t="e">
        <f>VLOOKUP(B3526,'Thống kê'!$C$3:$M$970,4,0)</f>
        <v>#N/A</v>
      </c>
      <c r="E3526" s="167">
        <v>1</v>
      </c>
      <c r="F3526" s="168" t="e">
        <f t="shared" si="14"/>
        <v>#N/A</v>
      </c>
      <c r="G3526" s="75"/>
      <c r="H3526" s="407">
        <v>227349</v>
      </c>
    </row>
    <row r="3527" spans="1:8" ht="13.2">
      <c r="A3527" s="49"/>
      <c r="B3527" s="16" t="s">
        <v>1662</v>
      </c>
      <c r="C3527" s="143" t="str">
        <f>IFERROR(VLOOKUP(B3527,'Thống kê'!$C$3:$D$970,2, FALSE),VLOOKUP(B3527,'Thống kê v2 CC'!$A$3:$D$1005,3, FALSE))</f>
        <v>Móc khóa Popbean Cry Baby</v>
      </c>
      <c r="D3527" s="166">
        <f>VLOOKUP(B3527,'Thống kê'!$C$3:$M$970,4,0)</f>
        <v>148000</v>
      </c>
      <c r="E3527" s="167">
        <v>1</v>
      </c>
      <c r="F3527" s="168">
        <f t="shared" si="14"/>
        <v>148000</v>
      </c>
      <c r="G3527" s="75"/>
      <c r="H3527" s="369"/>
    </row>
    <row r="3528" spans="1:8" ht="13.2">
      <c r="A3528" s="49"/>
      <c r="B3528" s="16" t="s">
        <v>1596</v>
      </c>
      <c r="C3528" s="143" t="str">
        <f>IFERROR(VLOOKUP(B3528,'Thống kê'!$C$3:$D$970,2, FALSE),VLOOKUP(B3528,'Thống kê v2 CC'!$A$3:$D$1005,3, FALSE))</f>
        <v>Dao rọc giấy 11</v>
      </c>
      <c r="D3528" s="166">
        <f>VLOOKUP(B3528,'Thống kê'!$C$3:$M$970,4,0)</f>
        <v>12000</v>
      </c>
      <c r="E3528" s="167">
        <v>1</v>
      </c>
      <c r="F3528" s="168">
        <f t="shared" si="14"/>
        <v>12000</v>
      </c>
      <c r="G3528" s="75"/>
      <c r="H3528" s="407">
        <v>98742</v>
      </c>
    </row>
    <row r="3529" spans="1:8" ht="13.2">
      <c r="A3529" s="49"/>
      <c r="B3529" s="16" t="s">
        <v>1844</v>
      </c>
      <c r="C3529" s="143" t="str">
        <f>IFERROR(VLOOKUP(B3529,'Thống kê'!$C$3:$D$970,2, FALSE),VLOOKUP(B3529,'Thống kê v2 CC'!$A$3:$D$1005,3, FALSE))</f>
        <v>Hộp thuốc ngôi sao xanh</v>
      </c>
      <c r="D3529" s="166">
        <f>VLOOKUP(B3529,'Thống kê'!$C$3:$M$970,4,0)</f>
        <v>11000</v>
      </c>
      <c r="E3529" s="167">
        <v>1</v>
      </c>
      <c r="F3529" s="168">
        <f t="shared" si="14"/>
        <v>11000</v>
      </c>
      <c r="G3529" s="75"/>
      <c r="H3529" s="369"/>
    </row>
    <row r="3530" spans="1:8" ht="13.2">
      <c r="A3530" s="49"/>
      <c r="B3530" s="16" t="s">
        <v>183</v>
      </c>
      <c r="C3530" s="143" t="str">
        <f>IFERROR(VLOOKUP(B3530,'Thống kê'!$C$3:$D$970,2, FALSE),VLOOKUP(B3530,'Thống kê v2 CC'!$A$3:$D$1005,3, FALSE))</f>
        <v>Thỏ máy bay gắn xe</v>
      </c>
      <c r="D3530" s="166">
        <f>VLOOKUP(B3530,'Thống kê'!$C$3:$M$970,4,0)</f>
        <v>45000</v>
      </c>
      <c r="E3530" s="167">
        <v>1</v>
      </c>
      <c r="F3530" s="168">
        <f t="shared" si="14"/>
        <v>45000</v>
      </c>
      <c r="G3530" s="75"/>
      <c r="H3530" s="369"/>
    </row>
    <row r="3531" spans="1:8" ht="13.2">
      <c r="A3531" s="49"/>
      <c r="B3531" s="16" t="s">
        <v>145</v>
      </c>
      <c r="C3531" s="143" t="str">
        <f>IFERROR(VLOOKUP(B3531,'Thống kê'!$C$3:$D$970,2, FALSE),VLOOKUP(B3531,'Thống kê v2 CC'!$A$3:$D$1005,3, FALSE))</f>
        <v>Thỏ đi vịt gắn xe</v>
      </c>
      <c r="D3531" s="166">
        <f>VLOOKUP(B3531,'Thống kê'!$C$3:$M$970,4,0)</f>
        <v>45000</v>
      </c>
      <c r="E3531" s="167">
        <v>1</v>
      </c>
      <c r="F3531" s="168">
        <f t="shared" si="14"/>
        <v>45000</v>
      </c>
      <c r="G3531" s="75"/>
      <c r="H3531" s="369"/>
    </row>
    <row r="3532" spans="1:8" ht="13.2">
      <c r="A3532" s="49"/>
      <c r="B3532" s="16" t="s">
        <v>119</v>
      </c>
      <c r="C3532" s="143" t="str">
        <f>IFERROR(VLOOKUP(B3532,'Thống kê'!$C$3:$D$970,2, FALSE),VLOOKUP(B3532,'Thống kê v2 CC'!$A$3:$D$1005,3, FALSE))</f>
        <v>Thỏ chạy xe gắn xe</v>
      </c>
      <c r="D3532" s="166">
        <f>VLOOKUP(B3532,'Thống kê'!$C$3:$M$970,4,0)</f>
        <v>45000</v>
      </c>
      <c r="E3532" s="167">
        <v>1</v>
      </c>
      <c r="F3532" s="168">
        <f t="shared" si="14"/>
        <v>45000</v>
      </c>
      <c r="G3532" s="75"/>
      <c r="H3532" s="369"/>
    </row>
    <row r="3533" spans="1:8" ht="13.2">
      <c r="A3533" s="49"/>
      <c r="B3533" s="16" t="s">
        <v>206</v>
      </c>
      <c r="C3533" s="143" t="str">
        <f>IFERROR(VLOOKUP(B3533,'Thống kê'!$C$3:$D$970,2, FALSE),VLOOKUP(B3533,'Thống kê v2 CC'!$A$3:$D$1005,3, FALSE))</f>
        <v>Pop Bean Baked Bread</v>
      </c>
      <c r="D3533" s="166">
        <f>VLOOKUP(B3533,'Thống kê'!$C$3:$M$970,4,0)</f>
        <v>167000</v>
      </c>
      <c r="E3533" s="167">
        <v>1</v>
      </c>
      <c r="F3533" s="168">
        <f t="shared" si="14"/>
        <v>167000</v>
      </c>
      <c r="G3533" s="75"/>
      <c r="H3533" s="205">
        <v>125000</v>
      </c>
    </row>
    <row r="3534" spans="1:8" ht="13.2">
      <c r="A3534" s="49"/>
      <c r="B3534" s="16" t="s">
        <v>145</v>
      </c>
      <c r="C3534" s="143" t="str">
        <f>IFERROR(VLOOKUP(B3534,'Thống kê'!$C$3:$D$970,2, FALSE),VLOOKUP(B3534,'Thống kê v2 CC'!$A$3:$D$1005,3, FALSE))</f>
        <v>Thỏ đi vịt gắn xe</v>
      </c>
      <c r="D3534" s="166">
        <f>VLOOKUP(B3534,'Thống kê'!$C$3:$M$970,4,0)</f>
        <v>45000</v>
      </c>
      <c r="E3534" s="167">
        <v>1</v>
      </c>
      <c r="F3534" s="168">
        <f t="shared" si="14"/>
        <v>45000</v>
      </c>
      <c r="G3534" s="75"/>
      <c r="H3534" s="205">
        <v>23944</v>
      </c>
    </row>
    <row r="3535" spans="1:8" ht="13.2">
      <c r="A3535" s="49"/>
      <c r="B3535" s="16" t="s">
        <v>245</v>
      </c>
      <c r="C3535" s="143" t="str">
        <f>IFERROR(VLOOKUP(B3535,'Thống kê'!$C$3:$D$970,2, FALSE),VLOOKUP(B3535,'Thống kê v2 CC'!$A$3:$D$1005,3, FALSE))</f>
        <v>Móc khóa Popbean</v>
      </c>
      <c r="D3535" s="166">
        <f>VLOOKUP(B3535,'Thống kê'!$C$3:$M$970,4,0)</f>
        <v>148000</v>
      </c>
      <c r="E3535" s="167">
        <v>1</v>
      </c>
      <c r="F3535" s="168">
        <f t="shared" si="14"/>
        <v>148000</v>
      </c>
      <c r="G3535" s="75"/>
      <c r="H3535" s="205">
        <v>118490</v>
      </c>
    </row>
    <row r="3536" spans="1:8" ht="13.2">
      <c r="A3536" s="49"/>
      <c r="B3536" s="16" t="s">
        <v>126</v>
      </c>
      <c r="C3536" s="143">
        <f>IFERROR(VLOOKUP(B3536,'Thống kê'!$C$3:$D$970,2, FALSE),VLOOKUP(B3536,'Thống kê v2 CC'!$A$3:$D$1005,3, FALSE))</f>
        <v>0</v>
      </c>
      <c r="D3536" s="166">
        <f>VLOOKUP(B3536,'Thống kê'!$C$3:$M$970,4,0)</f>
        <v>0</v>
      </c>
      <c r="E3536" s="167">
        <v>1</v>
      </c>
      <c r="F3536" s="168">
        <f t="shared" si="14"/>
        <v>0</v>
      </c>
      <c r="G3536" s="75"/>
      <c r="H3536" s="205">
        <v>59731</v>
      </c>
    </row>
    <row r="3537" spans="1:8" ht="13.2">
      <c r="A3537" s="49"/>
      <c r="B3537" s="16" t="s">
        <v>196</v>
      </c>
      <c r="C3537" s="143">
        <f>IFERROR(VLOOKUP(B3537,'Thống kê'!$C$3:$D$970,2, FALSE),VLOOKUP(B3537,'Thống kê v2 CC'!$A$3:$D$1005,3, FALSE))</f>
        <v>0</v>
      </c>
      <c r="D3537" s="166">
        <f>VLOOKUP(B3537,'Thống kê'!$C$3:$M$970,4,0)</f>
        <v>0</v>
      </c>
      <c r="E3537" s="167">
        <v>1</v>
      </c>
      <c r="F3537" s="168">
        <f t="shared" si="14"/>
        <v>0</v>
      </c>
      <c r="G3537" s="75"/>
      <c r="H3537" s="205">
        <v>100040</v>
      </c>
    </row>
    <row r="3538" spans="1:8" ht="13.2">
      <c r="A3538" s="49"/>
      <c r="B3538" s="16" t="s">
        <v>290</v>
      </c>
      <c r="C3538" s="143" t="e">
        <f>IFERROR(VLOOKUP(B3538,'Thống kê'!$C$3:$D$970,2, FALSE),VLOOKUP(B3538,'Thống kê v2 CC'!$A$3:$D$1005,3, FALSE))</f>
        <v>#N/A</v>
      </c>
      <c r="D3538" s="166" t="e">
        <f>VLOOKUP(B3538,'Thống kê'!$C$3:$M$970,4,0)</f>
        <v>#N/A</v>
      </c>
      <c r="E3538" s="167">
        <v>1</v>
      </c>
      <c r="F3538" s="168" t="e">
        <f t="shared" si="14"/>
        <v>#N/A</v>
      </c>
      <c r="G3538" s="75"/>
      <c r="H3538" s="205">
        <v>149300</v>
      </c>
    </row>
    <row r="3539" spans="1:8" ht="13.2">
      <c r="A3539" s="49"/>
      <c r="B3539" s="16" t="s">
        <v>1756</v>
      </c>
      <c r="C3539" s="143" t="e">
        <f>IFERROR(VLOOKUP(B3539,'Thống kê'!$C$3:$D$970,2, FALSE),VLOOKUP(B3539,'Thống kê v2 CC'!$A$3:$D$1005,3, FALSE))</f>
        <v>#N/A</v>
      </c>
      <c r="D3539" s="166" t="e">
        <f>VLOOKUP(B3539,'Thống kê'!$C$3:$M$970,4,0)</f>
        <v>#N/A</v>
      </c>
      <c r="E3539" s="167">
        <v>1</v>
      </c>
      <c r="F3539" s="168" t="e">
        <f t="shared" si="14"/>
        <v>#N/A</v>
      </c>
      <c r="G3539" s="75"/>
      <c r="H3539" s="205">
        <v>169600</v>
      </c>
    </row>
    <row r="3540" spans="1:8" ht="13.2">
      <c r="A3540" s="49"/>
      <c r="B3540" s="16" t="s">
        <v>181</v>
      </c>
      <c r="C3540" s="143" t="str">
        <f>IFERROR(VLOOKUP(B3540,'Thống kê'!$C$3:$D$970,2, FALSE),VLOOKUP(B3540,'Thống kê v2 CC'!$A$3:$D$1005,3, FALSE))</f>
        <v>Thỏ mặt trăng gắn xe</v>
      </c>
      <c r="D3540" s="166">
        <f>VLOOKUP(B3540,'Thống kê'!$C$3:$M$970,4,0)</f>
        <v>45000</v>
      </c>
      <c r="E3540" s="167">
        <v>1</v>
      </c>
      <c r="F3540" s="168">
        <f t="shared" si="14"/>
        <v>45000</v>
      </c>
      <c r="G3540" s="75"/>
      <c r="H3540" s="205">
        <v>31980</v>
      </c>
    </row>
    <row r="3541" spans="1:8" ht="13.2">
      <c r="A3541" s="49"/>
      <c r="B3541" s="16" t="s">
        <v>1473</v>
      </c>
      <c r="C3541" s="143">
        <f>IFERROR(VLOOKUP(B3541,'Thống kê'!$C$3:$D$970,2, FALSE),VLOOKUP(B3541,'Thống kê v2 CC'!$A$3:$D$1005,3, FALSE))</f>
        <v>0</v>
      </c>
      <c r="D3541" s="166">
        <f>VLOOKUP(B3541,'Thống kê'!$C$3:$M$970,4,0)</f>
        <v>0</v>
      </c>
      <c r="E3541" s="167">
        <v>1</v>
      </c>
      <c r="F3541" s="168">
        <f t="shared" si="14"/>
        <v>0</v>
      </c>
      <c r="G3541" s="75"/>
      <c r="H3541" s="407">
        <v>246510</v>
      </c>
    </row>
    <row r="3542" spans="1:8" ht="13.2">
      <c r="A3542" s="49"/>
      <c r="B3542" s="16" t="s">
        <v>159</v>
      </c>
      <c r="C3542" s="143">
        <f>IFERROR(VLOOKUP(B3542,'Thống kê'!$C$3:$D$970,2, FALSE),VLOOKUP(B3542,'Thống kê v2 CC'!$A$3:$D$1005,3, FALSE))</f>
        <v>0</v>
      </c>
      <c r="D3542" s="166">
        <f>VLOOKUP(B3542,'Thống kê'!$C$3:$M$970,4,0)</f>
        <v>0</v>
      </c>
      <c r="E3542" s="167">
        <v>1</v>
      </c>
      <c r="F3542" s="168">
        <f t="shared" si="14"/>
        <v>0</v>
      </c>
      <c r="G3542" s="75"/>
      <c r="H3542" s="369"/>
    </row>
    <row r="3543" spans="1:8" ht="13.2">
      <c r="A3543" s="49"/>
      <c r="B3543" s="16" t="s">
        <v>1861</v>
      </c>
      <c r="C3543" s="143" t="e">
        <f>IFERROR(VLOOKUP(B3543,'Thống kê'!$C$3:$D$970,2, FALSE),VLOOKUP(B3543,'Thống kê v2 CC'!$A$3:$D$1005,3, FALSE))</f>
        <v>#N/A</v>
      </c>
      <c r="D3543" s="166" t="e">
        <f>VLOOKUP(B3543,'Thống kê'!$C$3:$M$970,4,0)</f>
        <v>#N/A</v>
      </c>
      <c r="E3543" s="167">
        <v>1</v>
      </c>
      <c r="F3543" s="168" t="e">
        <f t="shared" si="14"/>
        <v>#N/A</v>
      </c>
      <c r="G3543" s="75"/>
      <c r="H3543" s="205">
        <v>74686</v>
      </c>
    </row>
    <row r="3544" spans="1:8" ht="13.2">
      <c r="A3544" s="49"/>
      <c r="B3544" s="16" t="s">
        <v>1765</v>
      </c>
      <c r="C3544" s="143">
        <f>IFERROR(VLOOKUP(B3544,'Thống kê'!$C$3:$D$970,2, FALSE),VLOOKUP(B3544,'Thống kê v2 CC'!$A$3:$D$1005,3, FALSE))</f>
        <v>0</v>
      </c>
      <c r="D3544" s="166">
        <f>VLOOKUP(B3544,'Thống kê'!$C$3:$M$970,4,0)</f>
        <v>0</v>
      </c>
      <c r="E3544" s="167">
        <v>1</v>
      </c>
      <c r="F3544" s="168">
        <f t="shared" si="14"/>
        <v>0</v>
      </c>
      <c r="G3544" s="75"/>
      <c r="H3544" s="205">
        <v>67896</v>
      </c>
    </row>
    <row r="3545" spans="1:8" ht="13.2">
      <c r="A3545" s="49"/>
      <c r="B3545" s="16" t="s">
        <v>93</v>
      </c>
      <c r="C3545" s="143">
        <f>IFERROR(VLOOKUP(B3545,'Thống kê'!$C$3:$D$970,2, FALSE),VLOOKUP(B3545,'Thống kê v2 CC'!$A$3:$D$1005,3, FALSE))</f>
        <v>0</v>
      </c>
      <c r="D3545" s="166">
        <f>VLOOKUP(B3545,'Thống kê'!$C$3:$M$970,4,0)</f>
        <v>0</v>
      </c>
      <c r="E3545" s="167">
        <v>1</v>
      </c>
      <c r="F3545" s="168">
        <f t="shared" si="14"/>
        <v>0</v>
      </c>
      <c r="G3545" s="75"/>
      <c r="H3545" s="205">
        <v>48380</v>
      </c>
    </row>
    <row r="3546" spans="1:8" ht="13.2">
      <c r="A3546" s="49"/>
      <c r="B3546" s="16" t="s">
        <v>77</v>
      </c>
      <c r="C3546" s="143">
        <f>IFERROR(VLOOKUP(B3546,'Thống kê'!$C$3:$D$970,2, FALSE),VLOOKUP(B3546,'Thống kê v2 CC'!$A$3:$D$1005,3, FALSE))</f>
        <v>0</v>
      </c>
      <c r="D3546" s="166">
        <f>VLOOKUP(B3546,'Thống kê'!$C$3:$M$970,4,0)</f>
        <v>0</v>
      </c>
      <c r="E3546" s="167">
        <v>1</v>
      </c>
      <c r="F3546" s="168">
        <f t="shared" si="14"/>
        <v>0</v>
      </c>
      <c r="G3546" s="75"/>
      <c r="H3546" s="205">
        <v>141040</v>
      </c>
    </row>
    <row r="3547" spans="1:8" ht="13.2">
      <c r="A3547" s="49"/>
      <c r="B3547" s="16" t="s">
        <v>196</v>
      </c>
      <c r="C3547" s="143">
        <f>IFERROR(VLOOKUP(B3547,'Thống kê'!$C$3:$D$970,2, FALSE),VLOOKUP(B3547,'Thống kê v2 CC'!$A$3:$D$1005,3, FALSE))</f>
        <v>0</v>
      </c>
      <c r="D3547" s="166">
        <f>VLOOKUP(B3547,'Thống kê'!$C$3:$M$970,4,0)</f>
        <v>0</v>
      </c>
      <c r="E3547" s="167">
        <v>1</v>
      </c>
      <c r="F3547" s="168">
        <f t="shared" si="14"/>
        <v>0</v>
      </c>
      <c r="G3547" s="75"/>
      <c r="H3547" s="205"/>
    </row>
    <row r="3548" spans="1:8" ht="13.2">
      <c r="A3548" s="49"/>
      <c r="B3548" s="16" t="s">
        <v>1531</v>
      </c>
      <c r="C3548" s="143">
        <f>IFERROR(VLOOKUP(B3548,'Thống kê'!$C$3:$D$970,2, FALSE),VLOOKUP(B3548,'Thống kê v2 CC'!$A$3:$D$1005,3, FALSE))</f>
        <v>0</v>
      </c>
      <c r="D3548" s="166">
        <f>VLOOKUP(B3548,'Thống kê'!$C$3:$M$970,4,0)</f>
        <v>0</v>
      </c>
      <c r="E3548" s="167">
        <v>1</v>
      </c>
      <c r="F3548" s="168">
        <f t="shared" si="14"/>
        <v>0</v>
      </c>
      <c r="G3548" s="75"/>
      <c r="H3548" s="205"/>
    </row>
    <row r="3549" spans="1:8" ht="13.2">
      <c r="A3549" s="49"/>
      <c r="B3549" s="16" t="s">
        <v>1662</v>
      </c>
      <c r="C3549" s="143" t="str">
        <f>IFERROR(VLOOKUP(B3549,'Thống kê'!$C$3:$D$970,2, FALSE),VLOOKUP(B3549,'Thống kê v2 CC'!$A$3:$D$1005,3, FALSE))</f>
        <v>Móc khóa Popbean Cry Baby</v>
      </c>
      <c r="D3549" s="166">
        <f>VLOOKUP(B3549,'Thống kê'!$C$3:$M$970,4,0)</f>
        <v>148000</v>
      </c>
      <c r="E3549" s="167">
        <v>1</v>
      </c>
      <c r="F3549" s="168">
        <f t="shared" si="14"/>
        <v>148000</v>
      </c>
      <c r="G3549" s="75"/>
      <c r="H3549" s="407">
        <v>248095</v>
      </c>
    </row>
    <row r="3550" spans="1:8" ht="13.2">
      <c r="A3550" s="49"/>
      <c r="B3550" s="16" t="s">
        <v>131</v>
      </c>
      <c r="C3550" s="143" t="e">
        <f>IFERROR(VLOOKUP(B3550,'Thống kê'!$C$3:$D$970,2, FALSE),VLOOKUP(B3550,'Thống kê v2 CC'!$A$3:$D$1005,3, FALSE))</f>
        <v>#N/A</v>
      </c>
      <c r="D3550" s="166" t="e">
        <f>VLOOKUP(B3550,'Thống kê'!$C$3:$M$970,4,0)</f>
        <v>#N/A</v>
      </c>
      <c r="E3550" s="167">
        <v>1</v>
      </c>
      <c r="F3550" s="168" t="e">
        <f t="shared" si="14"/>
        <v>#N/A</v>
      </c>
      <c r="G3550" s="75"/>
      <c r="H3550" s="369"/>
    </row>
    <row r="3551" spans="1:8" ht="13.2">
      <c r="A3551" s="64"/>
      <c r="B3551" s="16" t="s">
        <v>1382</v>
      </c>
      <c r="C3551" s="143" t="str">
        <f>IFERROR(VLOOKUP(B3551,'Thống kê'!$C$3:$D$970,2, FALSE),VLOOKUP(B3551,'Thống kê v2 CC'!$A$3:$D$1005,3, FALSE))</f>
        <v>miếng dán silicon điện thoại</v>
      </c>
      <c r="D3551" s="166">
        <f>VLOOKUP(B3551,'Thống kê'!$C$3:$M$970,4,0)</f>
        <v>0</v>
      </c>
      <c r="E3551" s="167">
        <v>2</v>
      </c>
      <c r="F3551" s="168">
        <f t="shared" si="14"/>
        <v>0</v>
      </c>
      <c r="G3551" s="75"/>
      <c r="H3551" s="407">
        <v>64933</v>
      </c>
    </row>
    <row r="3552" spans="1:8" ht="13.2">
      <c r="A3552" s="49"/>
      <c r="B3552" s="16" t="s">
        <v>1467</v>
      </c>
      <c r="C3552" s="143">
        <f>IFERROR(VLOOKUP(B3552,'Thống kê'!$C$3:$D$970,2, FALSE),VLOOKUP(B3552,'Thống kê v2 CC'!$A$3:$D$1005,3, FALSE))</f>
        <v>0</v>
      </c>
      <c r="D3552" s="166">
        <f>VLOOKUP(B3552,'Thống kê'!$C$3:$M$970,4,0)</f>
        <v>0</v>
      </c>
      <c r="E3552" s="167">
        <v>1</v>
      </c>
      <c r="F3552" s="168">
        <f t="shared" si="14"/>
        <v>0</v>
      </c>
      <c r="G3552" s="75"/>
      <c r="H3552" s="369"/>
    </row>
    <row r="3553" spans="1:8" ht="13.2">
      <c r="A3553" s="49"/>
      <c r="B3553" s="16" t="s">
        <v>133</v>
      </c>
      <c r="C3553" s="143">
        <f>IFERROR(VLOOKUP(B3553,'Thống kê'!$C$3:$D$970,2, FALSE),VLOOKUP(B3553,'Thống kê v2 CC'!$A$3:$D$1005,3, FALSE))</f>
        <v>0</v>
      </c>
      <c r="D3553" s="166">
        <f>VLOOKUP(B3553,'Thống kê'!$C$3:$M$970,4,0)</f>
        <v>0</v>
      </c>
      <c r="E3553" s="167">
        <v>1</v>
      </c>
      <c r="F3553" s="168">
        <f t="shared" si="14"/>
        <v>0</v>
      </c>
      <c r="G3553" s="75"/>
      <c r="H3553" s="407">
        <v>106600</v>
      </c>
    </row>
    <row r="3554" spans="1:8" ht="13.2">
      <c r="A3554" s="49"/>
      <c r="B3554" s="16" t="s">
        <v>137</v>
      </c>
      <c r="C3554" s="143">
        <f>IFERROR(VLOOKUP(B3554,'Thống kê'!$C$3:$D$970,2, FALSE),VLOOKUP(B3554,'Thống kê v2 CC'!$A$3:$D$1005,3, FALSE))</f>
        <v>0</v>
      </c>
      <c r="D3554" s="166">
        <f>VLOOKUP(B3554,'Thống kê'!$C$3:$M$970,4,0)</f>
        <v>0</v>
      </c>
      <c r="E3554" s="167">
        <v>1</v>
      </c>
      <c r="F3554" s="168">
        <f t="shared" si="14"/>
        <v>0</v>
      </c>
      <c r="G3554" s="75"/>
      <c r="H3554" s="369"/>
    </row>
    <row r="3555" spans="1:8" ht="13.2">
      <c r="A3555" s="49"/>
      <c r="B3555" s="16" t="s">
        <v>126</v>
      </c>
      <c r="C3555" s="143">
        <f>IFERROR(VLOOKUP(B3555,'Thống kê'!$C$3:$D$970,2, FALSE),VLOOKUP(B3555,'Thống kê v2 CC'!$A$3:$D$1005,3, FALSE))</f>
        <v>0</v>
      </c>
      <c r="D3555" s="166">
        <f>VLOOKUP(B3555,'Thống kê'!$C$3:$M$970,4,0)</f>
        <v>0</v>
      </c>
      <c r="E3555" s="167">
        <v>1</v>
      </c>
      <c r="F3555" s="168">
        <f t="shared" si="14"/>
        <v>0</v>
      </c>
      <c r="G3555" s="75"/>
      <c r="H3555" s="205">
        <v>59040</v>
      </c>
    </row>
    <row r="3556" spans="1:8" ht="13.2">
      <c r="A3556" s="49"/>
      <c r="B3556" s="16" t="s">
        <v>134</v>
      </c>
      <c r="C3556" s="143">
        <f>IFERROR(VLOOKUP(B3556,'Thống kê'!$C$3:$D$970,2, FALSE),VLOOKUP(B3556,'Thống kê v2 CC'!$A$3:$D$1005,3, FALSE))</f>
        <v>0</v>
      </c>
      <c r="D3556" s="166">
        <f>VLOOKUP(B3556,'Thống kê'!$C$3:$M$970,4,0)</f>
        <v>0</v>
      </c>
      <c r="E3556" s="167">
        <v>1</v>
      </c>
      <c r="F3556" s="168">
        <f t="shared" si="14"/>
        <v>0</v>
      </c>
      <c r="G3556" s="75"/>
      <c r="H3556" s="205">
        <v>52054</v>
      </c>
    </row>
    <row r="3557" spans="1:8" ht="13.2">
      <c r="A3557" s="49"/>
      <c r="B3557" s="16" t="s">
        <v>1889</v>
      </c>
      <c r="C3557" s="143" t="e">
        <f>IFERROR(VLOOKUP(B3557,'Thống kê'!$C$3:$D$970,2, FALSE),VLOOKUP(B3557,'Thống kê v2 CC'!$A$3:$D$1005,3, FALSE))</f>
        <v>#N/A</v>
      </c>
      <c r="D3557" s="166" t="e">
        <f>VLOOKUP(B3557,'Thống kê'!$C$3:$M$970,4,0)</f>
        <v>#N/A</v>
      </c>
      <c r="E3557" s="167">
        <v>1</v>
      </c>
      <c r="F3557" s="168" t="e">
        <f t="shared" si="14"/>
        <v>#N/A</v>
      </c>
      <c r="G3557" s="75"/>
      <c r="H3557" s="407">
        <v>150975</v>
      </c>
    </row>
    <row r="3558" spans="1:8" ht="13.2">
      <c r="A3558" s="49"/>
      <c r="B3558" s="16" t="s">
        <v>1384</v>
      </c>
      <c r="C3558" s="143" t="str">
        <f>IFERROR(VLOOKUP(B3558,'Thống kê'!$C$3:$D$970,2, FALSE),VLOOKUP(B3558,'Thống kê v2 CC'!$A$3:$D$1005,3, FALSE))</f>
        <v>Móc khoá Crybaby mini Popmart</v>
      </c>
      <c r="D3558" s="166">
        <f>VLOOKUP(B3558,'Thống kê'!$C$3:$M$970,4,0)</f>
        <v>0</v>
      </c>
      <c r="E3558" s="167">
        <v>1</v>
      </c>
      <c r="F3558" s="168">
        <f t="shared" si="14"/>
        <v>0</v>
      </c>
      <c r="G3558" s="75"/>
      <c r="H3558" s="369"/>
    </row>
    <row r="3559" spans="1:8" ht="13.2">
      <c r="A3559" s="49"/>
      <c r="B3559" s="16" t="s">
        <v>137</v>
      </c>
      <c r="C3559" s="143">
        <f>IFERROR(VLOOKUP(B3559,'Thống kê'!$C$3:$D$970,2, FALSE),VLOOKUP(B3559,'Thống kê v2 CC'!$A$3:$D$1005,3, FALSE))</f>
        <v>0</v>
      </c>
      <c r="D3559" s="166">
        <f>VLOOKUP(B3559,'Thống kê'!$C$3:$M$970,4,0)</f>
        <v>0</v>
      </c>
      <c r="E3559" s="167">
        <v>1</v>
      </c>
      <c r="F3559" s="168">
        <f t="shared" si="14"/>
        <v>0</v>
      </c>
      <c r="G3559" s="75"/>
      <c r="H3559" s="205">
        <v>51229</v>
      </c>
    </row>
    <row r="3560" spans="1:8" ht="13.2">
      <c r="A3560" s="49"/>
      <c r="B3560" s="16" t="s">
        <v>119</v>
      </c>
      <c r="C3560" s="143" t="str">
        <f>IFERROR(VLOOKUP(B3560,'Thống kê'!$C$3:$D$970,2, FALSE),VLOOKUP(B3560,'Thống kê v2 CC'!$A$3:$D$1005,3, FALSE))</f>
        <v>Thỏ chạy xe gắn xe</v>
      </c>
      <c r="D3560" s="166">
        <f>VLOOKUP(B3560,'Thống kê'!$C$3:$M$970,4,0)</f>
        <v>45000</v>
      </c>
      <c r="E3560" s="167">
        <v>1</v>
      </c>
      <c r="F3560" s="168">
        <f t="shared" si="14"/>
        <v>45000</v>
      </c>
      <c r="G3560" s="75"/>
      <c r="H3560" s="407">
        <v>84460</v>
      </c>
    </row>
    <row r="3561" spans="1:8" ht="13.2">
      <c r="A3561" s="49"/>
      <c r="B3561" s="16" t="s">
        <v>125</v>
      </c>
      <c r="C3561" s="143">
        <f>IFERROR(VLOOKUP(B3561,'Thống kê'!$C$3:$D$970,2, FALSE),VLOOKUP(B3561,'Thống kê v2 CC'!$A$3:$D$1005,3, FALSE))</f>
        <v>0</v>
      </c>
      <c r="D3561" s="166">
        <f>VLOOKUP(B3561,'Thống kê'!$C$3:$M$970,4,0)</f>
        <v>0</v>
      </c>
      <c r="E3561" s="167">
        <v>1</v>
      </c>
      <c r="F3561" s="168">
        <f t="shared" si="14"/>
        <v>0</v>
      </c>
      <c r="G3561" s="75"/>
      <c r="H3561" s="369"/>
    </row>
    <row r="3562" spans="1:8" ht="13.2">
      <c r="A3562" s="49"/>
      <c r="B3562" s="16" t="s">
        <v>264</v>
      </c>
      <c r="C3562" s="143">
        <f>IFERROR(VLOOKUP(B3562,'Thống kê'!$C$3:$D$970,2, FALSE),VLOOKUP(B3562,'Thống kê v2 CC'!$A$3:$D$1005,3, FALSE))</f>
        <v>0</v>
      </c>
      <c r="D3562" s="166">
        <f>VLOOKUP(B3562,'Thống kê'!$C$3:$M$970,4,0)</f>
        <v>0</v>
      </c>
      <c r="E3562" s="167">
        <v>1</v>
      </c>
      <c r="F3562" s="168">
        <f t="shared" si="14"/>
        <v>0</v>
      </c>
      <c r="G3562" s="75"/>
      <c r="H3562" s="205">
        <v>62900</v>
      </c>
    </row>
    <row r="3563" spans="1:8" ht="13.2">
      <c r="A3563" s="49"/>
      <c r="B3563" s="16" t="s">
        <v>1890</v>
      </c>
      <c r="C3563" s="143" t="e">
        <f>IFERROR(VLOOKUP(B3563,'Thống kê'!$C$3:$D$970,2, FALSE),VLOOKUP(B3563,'Thống kê v2 CC'!$A$3:$D$1005,3, FALSE))</f>
        <v>#N/A</v>
      </c>
      <c r="D3563" s="166" t="e">
        <f>VLOOKUP(B3563,'Thống kê'!$C$3:$M$970,4,0)</f>
        <v>#N/A</v>
      </c>
      <c r="E3563" s="167">
        <v>1</v>
      </c>
      <c r="F3563" s="168" t="e">
        <f t="shared" si="14"/>
        <v>#N/A</v>
      </c>
      <c r="G3563" s="75"/>
      <c r="H3563" s="205">
        <v>72329</v>
      </c>
    </row>
    <row r="3564" spans="1:8" ht="13.2">
      <c r="A3564" s="49"/>
      <c r="B3564" s="16" t="s">
        <v>299</v>
      </c>
      <c r="C3564" s="143">
        <f>IFERROR(VLOOKUP(B3564,'Thống kê'!$C$3:$D$970,2, FALSE),VLOOKUP(B3564,'Thống kê v2 CC'!$A$3:$D$1005,3, FALSE))</f>
        <v>0</v>
      </c>
      <c r="D3564" s="166">
        <f>VLOOKUP(B3564,'Thống kê'!$C$3:$M$970,4,0)</f>
        <v>0</v>
      </c>
      <c r="E3564" s="167">
        <v>-1</v>
      </c>
      <c r="F3564" s="168">
        <f t="shared" si="14"/>
        <v>0</v>
      </c>
      <c r="G3564" s="75"/>
      <c r="H3564" s="205">
        <v>-37700</v>
      </c>
    </row>
    <row r="3565" spans="1:8" ht="13.2">
      <c r="A3565" s="49"/>
      <c r="B3565" s="16" t="s">
        <v>1472</v>
      </c>
      <c r="C3565" s="143">
        <f>IFERROR(VLOOKUP(B3565,'Thống kê'!$C$3:$D$970,2, FALSE),VLOOKUP(B3565,'Thống kê v2 CC'!$A$3:$D$1005,3, FALSE))</f>
        <v>0</v>
      </c>
      <c r="D3565" s="166">
        <f>VLOOKUP(B3565,'Thống kê'!$C$3:$M$970,4,0)</f>
        <v>0</v>
      </c>
      <c r="E3565" s="167">
        <v>-1</v>
      </c>
      <c r="F3565" s="168">
        <f t="shared" si="14"/>
        <v>0</v>
      </c>
      <c r="G3565" s="75"/>
      <c r="H3565" s="205">
        <v>-145981</v>
      </c>
    </row>
    <row r="3566" spans="1:8" ht="13.2">
      <c r="A3566" s="49"/>
      <c r="B3566" s="16" t="s">
        <v>1864</v>
      </c>
      <c r="C3566" s="143" t="str">
        <f>IFERROR(VLOOKUP(B3566,'Thống kê'!$C$3:$D$970,2, FALSE),VLOOKUP(B3566,'Thống kê v2 CC'!$A$3:$D$1005,3, FALSE))</f>
        <v>POP BEAN Pajama Party</v>
      </c>
      <c r="D3566" s="166" t="e">
        <f>VLOOKUP(B3566,'Thống kê'!$C$3:$M$970,4,0)</f>
        <v>#N/A</v>
      </c>
      <c r="E3566" s="167">
        <v>1</v>
      </c>
      <c r="F3566" s="168" t="e">
        <f t="shared" si="14"/>
        <v>#N/A</v>
      </c>
      <c r="G3566" s="75"/>
      <c r="H3566" s="407">
        <v>160815</v>
      </c>
    </row>
    <row r="3567" spans="1:8" ht="13.2">
      <c r="A3567" s="49"/>
      <c r="B3567" s="16" t="s">
        <v>1871</v>
      </c>
      <c r="C3567" s="143" t="str">
        <f>IFERROR(VLOOKUP(B3567,'Thống kê'!$C$3:$D$970,2, FALSE),VLOOKUP(B3567,'Thống kê v2 CC'!$A$3:$D$1005,3, FALSE))</f>
        <v>POP BEAN Pajama Party</v>
      </c>
      <c r="D3567" s="166" t="e">
        <f>VLOOKUP(B3567,'Thống kê'!$C$3:$M$970,4,0)</f>
        <v>#N/A</v>
      </c>
      <c r="E3567" s="167">
        <v>1</v>
      </c>
      <c r="F3567" s="168" t="e">
        <f t="shared" si="14"/>
        <v>#N/A</v>
      </c>
      <c r="G3567" s="75"/>
      <c r="H3567" s="369"/>
    </row>
    <row r="3568" spans="1:8" ht="13.2">
      <c r="A3568" s="49"/>
      <c r="B3568" s="16" t="s">
        <v>1389</v>
      </c>
      <c r="C3568" s="143" t="str">
        <f>IFERROR(VLOOKUP(B3568,'Thống kê'!$C$3:$D$970,2, FALSE),VLOOKUP(B3568,'Thống kê v2 CC'!$A$3:$D$1005,3, FALSE))</f>
        <v>Móc khoá Crybaby mini Popmart</v>
      </c>
      <c r="D3568" s="166">
        <f>VLOOKUP(B3568,'Thống kê'!$C$3:$M$970,4,0)</f>
        <v>0</v>
      </c>
      <c r="E3568" s="167">
        <v>1</v>
      </c>
      <c r="F3568" s="168">
        <f t="shared" si="14"/>
        <v>0</v>
      </c>
      <c r="G3568" s="75"/>
      <c r="H3568" s="407">
        <v>150060</v>
      </c>
    </row>
    <row r="3569" spans="1:8" ht="13.2">
      <c r="A3569" s="49"/>
      <c r="B3569" s="16" t="s">
        <v>259</v>
      </c>
      <c r="C3569" s="143" t="str">
        <f>IFERROR(VLOOKUP(B3569,'Thống kê'!$C$3:$D$970,2, FALSE),VLOOKUP(B3569,'Thống kê v2 CC'!$A$3:$D$1005,3, FALSE))</f>
        <v>Móc khoá Crybaby mini Popmart</v>
      </c>
      <c r="D3569" s="166">
        <f>VLOOKUP(B3569,'Thống kê'!$C$3:$M$970,4,0)</f>
        <v>0</v>
      </c>
      <c r="E3569" s="167">
        <v>1</v>
      </c>
      <c r="F3569" s="168">
        <f t="shared" si="14"/>
        <v>0</v>
      </c>
      <c r="G3569" s="75"/>
      <c r="H3569" s="369"/>
    </row>
    <row r="3570" spans="1:8" ht="13.2">
      <c r="A3570" s="49"/>
      <c r="B3570" s="16" t="s">
        <v>101</v>
      </c>
      <c r="C3570" s="143">
        <f>IFERROR(VLOOKUP(B3570,'Thống kê'!$C$3:$D$970,2, FALSE),VLOOKUP(B3570,'Thống kê v2 CC'!$A$3:$D$1005,3, FALSE))</f>
        <v>0</v>
      </c>
      <c r="D3570" s="166">
        <f>VLOOKUP(B3570,'Thống kê'!$C$3:$M$970,4,0)</f>
        <v>0</v>
      </c>
      <c r="E3570" s="167">
        <v>1</v>
      </c>
      <c r="F3570" s="168">
        <f t="shared" si="14"/>
        <v>0</v>
      </c>
      <c r="G3570" s="75"/>
      <c r="H3570" s="205">
        <v>61861</v>
      </c>
    </row>
    <row r="3571" spans="1:8" ht="13.2">
      <c r="A3571" s="64"/>
      <c r="B3571" s="16" t="s">
        <v>1840</v>
      </c>
      <c r="C3571" s="143" t="str">
        <f>IFERROR(VLOOKUP(B3571,'Thống kê'!$C$3:$D$970,2, FALSE),VLOOKUP(B3571,'Thống kê v2 CC'!$A$3:$D$1005,3, FALSE))</f>
        <v>Túi Đựng Mắt Kính Da Pu</v>
      </c>
      <c r="D3571" s="166">
        <f>VLOOKUP(B3571,'Thống kê'!$C$3:$M$970,4,0)</f>
        <v>0</v>
      </c>
      <c r="E3571" s="167">
        <v>1</v>
      </c>
      <c r="F3571" s="168">
        <f t="shared" si="14"/>
        <v>0</v>
      </c>
      <c r="G3571" s="75"/>
      <c r="H3571" s="407">
        <v>27880</v>
      </c>
    </row>
    <row r="3572" spans="1:8" ht="13.2">
      <c r="A3572" s="49"/>
      <c r="B3572" s="16" t="s">
        <v>1845</v>
      </c>
      <c r="C3572" s="143" t="str">
        <f>IFERROR(VLOOKUP(B3572,'Thống kê'!$C$3:$D$970,2, FALSE),VLOOKUP(B3572,'Thống kê v2 CC'!$A$3:$D$1005,3, FALSE))</f>
        <v>Túi Đựng Mắt Kính Da Pu</v>
      </c>
      <c r="D3572" s="166">
        <f>VLOOKUP(B3572,'Thống kê'!$C$3:$M$970,4,0)</f>
        <v>0</v>
      </c>
      <c r="E3572" s="167">
        <v>1</v>
      </c>
      <c r="F3572" s="168">
        <f t="shared" si="14"/>
        <v>0</v>
      </c>
      <c r="G3572" s="75"/>
      <c r="H3572" s="369"/>
    </row>
    <row r="3573" spans="1:8" ht="13.2">
      <c r="A3573" s="49"/>
      <c r="B3573" s="16" t="s">
        <v>201</v>
      </c>
      <c r="C3573" s="143">
        <f>IFERROR(VLOOKUP(B3573,'Thống kê'!$C$3:$D$970,2, FALSE),VLOOKUP(B3573,'Thống kê v2 CC'!$A$3:$D$1005,3, FALSE))</f>
        <v>0</v>
      </c>
      <c r="D3573" s="166">
        <f>VLOOKUP(B3573,'Thống kê'!$C$3:$M$970,4,0)</f>
        <v>0</v>
      </c>
      <c r="E3573" s="167">
        <v>1</v>
      </c>
      <c r="F3573" s="168">
        <f t="shared" si="14"/>
        <v>0</v>
      </c>
      <c r="G3573" s="75"/>
      <c r="H3573" s="205">
        <v>144420</v>
      </c>
    </row>
    <row r="3574" spans="1:8" ht="13.2">
      <c r="A3574" s="49"/>
      <c r="B3574" s="16" t="s">
        <v>1459</v>
      </c>
      <c r="C3574" s="143">
        <f>IFERROR(VLOOKUP(B3574,'Thống kê'!$C$3:$D$970,2, FALSE),VLOOKUP(B3574,'Thống kê v2 CC'!$A$3:$D$1005,3, FALSE))</f>
        <v>0</v>
      </c>
      <c r="D3574" s="166">
        <f>VLOOKUP(B3574,'Thống kê'!$C$3:$M$970,4,0)</f>
        <v>85000</v>
      </c>
      <c r="E3574" s="167">
        <v>1</v>
      </c>
      <c r="F3574" s="168">
        <f t="shared" si="14"/>
        <v>85000</v>
      </c>
      <c r="G3574" s="75"/>
      <c r="H3574" s="205">
        <v>56580</v>
      </c>
    </row>
    <row r="3575" spans="1:8" ht="13.2">
      <c r="A3575" s="49"/>
      <c r="B3575" s="16" t="s">
        <v>1598</v>
      </c>
      <c r="C3575" s="143" t="str">
        <f>IFERROR(VLOOKUP(B3575,'Thống kê'!$C$3:$D$970,2, FALSE),VLOOKUP(B3575,'Thống kê v2 CC'!$A$3:$D$1005,3, FALSE))</f>
        <v>Dao rọc giấy 13</v>
      </c>
      <c r="D3575" s="166">
        <f>VLOOKUP(B3575,'Thống kê'!$C$3:$M$970,4,0)</f>
        <v>12000</v>
      </c>
      <c r="E3575" s="167">
        <v>1</v>
      </c>
      <c r="F3575" s="168">
        <f t="shared" si="14"/>
        <v>12000</v>
      </c>
      <c r="G3575" s="75"/>
      <c r="H3575" s="407">
        <v>156579</v>
      </c>
    </row>
    <row r="3576" spans="1:8" ht="13.2">
      <c r="A3576" s="49"/>
      <c r="B3576" s="16" t="s">
        <v>183</v>
      </c>
      <c r="C3576" s="143" t="str">
        <f>IFERROR(VLOOKUP(B3576,'Thống kê'!$C$3:$D$970,2, FALSE),VLOOKUP(B3576,'Thống kê v2 CC'!$A$3:$D$1005,3, FALSE))</f>
        <v>Thỏ máy bay gắn xe</v>
      </c>
      <c r="D3576" s="166">
        <f>VLOOKUP(B3576,'Thống kê'!$C$3:$M$970,4,0)</f>
        <v>45000</v>
      </c>
      <c r="E3576" s="167">
        <v>1</v>
      </c>
      <c r="F3576" s="168">
        <f t="shared" si="14"/>
        <v>45000</v>
      </c>
      <c r="G3576" s="75"/>
      <c r="H3576" s="369"/>
    </row>
    <row r="3577" spans="1:8" ht="13.2">
      <c r="A3577" s="49"/>
      <c r="B3577" s="16" t="s">
        <v>119</v>
      </c>
      <c r="C3577" s="143" t="str">
        <f>IFERROR(VLOOKUP(B3577,'Thống kê'!$C$3:$D$970,2, FALSE),VLOOKUP(B3577,'Thống kê v2 CC'!$A$3:$D$1005,3, FALSE))</f>
        <v>Thỏ chạy xe gắn xe</v>
      </c>
      <c r="D3577" s="166">
        <f>VLOOKUP(B3577,'Thống kê'!$C$3:$M$970,4,0)</f>
        <v>45000</v>
      </c>
      <c r="E3577" s="167">
        <v>1</v>
      </c>
      <c r="F3577" s="168">
        <f t="shared" si="14"/>
        <v>45000</v>
      </c>
      <c r="G3577" s="75"/>
      <c r="H3577" s="369"/>
    </row>
    <row r="3578" spans="1:8" ht="13.2">
      <c r="A3578" s="49"/>
      <c r="B3578" s="16" t="s">
        <v>77</v>
      </c>
      <c r="C3578" s="143">
        <f>IFERROR(VLOOKUP(B3578,'Thống kê'!$C$3:$D$970,2, FALSE),VLOOKUP(B3578,'Thống kê v2 CC'!$A$3:$D$1005,3, FALSE))</f>
        <v>0</v>
      </c>
      <c r="D3578" s="166">
        <f>VLOOKUP(B3578,'Thống kê'!$C$3:$M$970,4,0)</f>
        <v>0</v>
      </c>
      <c r="E3578" s="167">
        <v>1</v>
      </c>
      <c r="F3578" s="168">
        <f t="shared" si="14"/>
        <v>0</v>
      </c>
      <c r="G3578" s="75"/>
      <c r="H3578" s="369"/>
    </row>
    <row r="3579" spans="1:8" ht="13.2">
      <c r="A3579" s="49"/>
      <c r="B3579" s="16" t="s">
        <v>1866</v>
      </c>
      <c r="C3579" s="143" t="str">
        <f>IFERROR(VLOOKUP(B3579,'Thống kê'!$C$3:$D$970,2, FALSE),VLOOKUP(B3579,'Thống kê v2 CC'!$A$3:$D$1005,3, FALSE))</f>
        <v>Túi đựng đồ trang điểm nơ</v>
      </c>
      <c r="D3579" s="166">
        <f>VLOOKUP(B3579,'Thống kê'!$C$3:$M$970,4,0)</f>
        <v>0</v>
      </c>
      <c r="E3579" s="167">
        <v>1</v>
      </c>
      <c r="F3579" s="168">
        <f t="shared" si="14"/>
        <v>0</v>
      </c>
      <c r="G3579" s="75"/>
      <c r="H3579" s="369"/>
    </row>
    <row r="3580" spans="1:8" ht="13.2">
      <c r="A3580" s="49"/>
      <c r="B3580" s="16" t="s">
        <v>290</v>
      </c>
      <c r="C3580" s="143" t="e">
        <f>IFERROR(VLOOKUP(B3580,'Thống kê'!$C$3:$D$970,2, FALSE),VLOOKUP(B3580,'Thống kê v2 CC'!$A$3:$D$1005,3, FALSE))</f>
        <v>#N/A</v>
      </c>
      <c r="D3580" s="166" t="e">
        <f>VLOOKUP(B3580,'Thống kê'!$C$3:$M$970,4,0)</f>
        <v>#N/A</v>
      </c>
      <c r="E3580" s="167">
        <v>1</v>
      </c>
      <c r="F3580" s="168" t="e">
        <f t="shared" si="14"/>
        <v>#N/A</v>
      </c>
      <c r="G3580" s="75"/>
      <c r="H3580" s="205">
        <v>149400</v>
      </c>
    </row>
    <row r="3581" spans="1:8" ht="13.2">
      <c r="A3581" s="49"/>
      <c r="B3581" s="16" t="s">
        <v>262</v>
      </c>
      <c r="C3581" s="143" t="str">
        <f>IFERROR(VLOOKUP(B3581,'Thống kê'!$C$3:$D$970,2, FALSE),VLOOKUP(B3581,'Thống kê v2 CC'!$A$3:$D$1005,3, FALSE))</f>
        <v>Pop Bean Baked Bread</v>
      </c>
      <c r="D3581" s="166">
        <f>VLOOKUP(B3581,'Thống kê'!$C$3:$M$970,4,0)</f>
        <v>167000</v>
      </c>
      <c r="E3581" s="167">
        <v>1</v>
      </c>
      <c r="F3581" s="168">
        <f t="shared" si="14"/>
        <v>167000</v>
      </c>
      <c r="G3581" s="75"/>
      <c r="H3581" s="407">
        <v>789620</v>
      </c>
    </row>
    <row r="3582" spans="1:8" ht="13.2">
      <c r="A3582" s="49"/>
      <c r="B3582" s="16" t="s">
        <v>1751</v>
      </c>
      <c r="C3582" s="143" t="str">
        <f>IFERROR(VLOOKUP(B3582,'Thống kê'!$C$3:$D$970,2, FALSE),VLOOKUP(B3582,'Thống kê v2 CC'!$A$3:$D$1005,3, FALSE))</f>
        <v xml:space="preserve">Pop Bean Popmart </v>
      </c>
      <c r="D3582" s="166" t="e">
        <f>VLOOKUP(B3582,'Thống kê'!$C$3:$M$970,4,0)</f>
        <v>#N/A</v>
      </c>
      <c r="E3582" s="167">
        <v>1</v>
      </c>
      <c r="F3582" s="168" t="e">
        <f t="shared" si="14"/>
        <v>#N/A</v>
      </c>
      <c r="G3582" s="75"/>
      <c r="H3582" s="369"/>
    </row>
    <row r="3583" spans="1:8" ht="13.2">
      <c r="A3583" s="49"/>
      <c r="B3583" s="16" t="s">
        <v>1888</v>
      </c>
      <c r="C3583" s="143" t="e">
        <f>IFERROR(VLOOKUP(B3583,'Thống kê'!$C$3:$D$970,2, FALSE),VLOOKUP(B3583,'Thống kê v2 CC'!$A$3:$D$1005,3, FALSE))</f>
        <v>#N/A</v>
      </c>
      <c r="D3583" s="166" t="e">
        <f>VLOOKUP(B3583,'Thống kê'!$C$3:$M$970,4,0)</f>
        <v>#N/A</v>
      </c>
      <c r="E3583" s="167">
        <v>1</v>
      </c>
      <c r="F3583" s="168" t="e">
        <f t="shared" si="14"/>
        <v>#N/A</v>
      </c>
      <c r="G3583" s="75"/>
      <c r="H3583" s="369"/>
    </row>
    <row r="3584" spans="1:8" ht="13.2">
      <c r="A3584" s="49"/>
      <c r="B3584" s="16" t="s">
        <v>329</v>
      </c>
      <c r="C3584" s="143" t="str">
        <f>IFERROR(VLOOKUP(B3584,'Thống kê'!$C$3:$D$970,2, FALSE),VLOOKUP(B3584,'Thống kê v2 CC'!$A$3:$D$1005,3, FALSE))</f>
        <v>Pop Bean Baked Bread</v>
      </c>
      <c r="D3584" s="166">
        <f>VLOOKUP(B3584,'Thống kê'!$C$3:$M$970,4,0)</f>
        <v>167000</v>
      </c>
      <c r="E3584" s="167">
        <v>1</v>
      </c>
      <c r="F3584" s="168">
        <f t="shared" si="14"/>
        <v>167000</v>
      </c>
      <c r="G3584" s="75"/>
      <c r="H3584" s="369"/>
    </row>
    <row r="3585" spans="1:8" ht="13.2">
      <c r="A3585" s="49"/>
      <c r="B3585" s="16" t="s">
        <v>273</v>
      </c>
      <c r="C3585" s="143">
        <f>IFERROR(VLOOKUP(B3585,'Thống kê'!$C$3:$D$970,2, FALSE),VLOOKUP(B3585,'Thống kê v2 CC'!$A$3:$D$1005,3, FALSE))</f>
        <v>0</v>
      </c>
      <c r="D3585" s="166">
        <f>VLOOKUP(B3585,'Thống kê'!$C$3:$M$970,4,0)</f>
        <v>0</v>
      </c>
      <c r="E3585" s="167">
        <v>1</v>
      </c>
      <c r="F3585" s="168">
        <f t="shared" si="14"/>
        <v>0</v>
      </c>
      <c r="G3585" s="75"/>
      <c r="H3585" s="369"/>
    </row>
    <row r="3586" spans="1:8" ht="13.2">
      <c r="A3586" s="49"/>
      <c r="B3586" s="16" t="s">
        <v>290</v>
      </c>
      <c r="C3586" s="143" t="e">
        <f>IFERROR(VLOOKUP(B3586,'Thống kê'!$C$3:$D$970,2, FALSE),VLOOKUP(B3586,'Thống kê v2 CC'!$A$3:$D$1005,3, FALSE))</f>
        <v>#N/A</v>
      </c>
      <c r="D3586" s="166" t="e">
        <f>VLOOKUP(B3586,'Thống kê'!$C$3:$M$970,4,0)</f>
        <v>#N/A</v>
      </c>
      <c r="E3586" s="167">
        <v>1</v>
      </c>
      <c r="F3586" s="168" t="e">
        <f t="shared" si="14"/>
        <v>#N/A</v>
      </c>
      <c r="G3586" s="75"/>
      <c r="H3586" s="369"/>
    </row>
    <row r="3587" spans="1:8" ht="13.2">
      <c r="A3587" s="49"/>
      <c r="B3587" s="16" t="s">
        <v>1382</v>
      </c>
      <c r="C3587" s="143" t="str">
        <f>IFERROR(VLOOKUP(B3587,'Thống kê'!$C$3:$D$970,2, FALSE),VLOOKUP(B3587,'Thống kê v2 CC'!$A$3:$D$1005,3, FALSE))</f>
        <v>miếng dán silicon điện thoại</v>
      </c>
      <c r="D3587" s="166">
        <f>VLOOKUP(B3587,'Thống kê'!$C$3:$M$970,4,0)</f>
        <v>0</v>
      </c>
      <c r="E3587" s="167">
        <v>1</v>
      </c>
      <c r="F3587" s="168">
        <f t="shared" si="14"/>
        <v>0</v>
      </c>
      <c r="G3587" s="75"/>
      <c r="H3587" s="407">
        <v>109088</v>
      </c>
    </row>
    <row r="3588" spans="1:8" ht="13.2">
      <c r="A3588" s="49"/>
      <c r="B3588" s="16" t="s">
        <v>188</v>
      </c>
      <c r="C3588" s="143">
        <f>IFERROR(VLOOKUP(B3588,'Thống kê'!$C$3:$D$970,2, FALSE),VLOOKUP(B3588,'Thống kê v2 CC'!$A$3:$D$1005,3, FALSE))</f>
        <v>0</v>
      </c>
      <c r="D3588" s="166">
        <f>VLOOKUP(B3588,'Thống kê'!$C$3:$M$970,4,0)</f>
        <v>0</v>
      </c>
      <c r="E3588" s="167">
        <v>1</v>
      </c>
      <c r="F3588" s="168">
        <f t="shared" si="14"/>
        <v>0</v>
      </c>
      <c r="G3588" s="75"/>
      <c r="H3588" s="369"/>
    </row>
    <row r="3589" spans="1:8" ht="13.2">
      <c r="A3589" s="49"/>
      <c r="B3589" s="16" t="s">
        <v>134</v>
      </c>
      <c r="C3589" s="143">
        <f>IFERROR(VLOOKUP(B3589,'Thống kê'!$C$3:$D$970,2, FALSE),VLOOKUP(B3589,'Thống kê v2 CC'!$A$3:$D$1005,3, FALSE))</f>
        <v>0</v>
      </c>
      <c r="D3589" s="166">
        <f>VLOOKUP(B3589,'Thống kê'!$C$3:$M$970,4,0)</f>
        <v>0</v>
      </c>
      <c r="E3589" s="167">
        <v>1</v>
      </c>
      <c r="F3589" s="168">
        <f t="shared" si="14"/>
        <v>0</v>
      </c>
      <c r="G3589" s="75"/>
      <c r="H3589" s="369"/>
    </row>
    <row r="3590" spans="1:8" ht="13.2">
      <c r="A3590" s="49"/>
      <c r="B3590" s="16" t="s">
        <v>1522</v>
      </c>
      <c r="C3590" s="143">
        <f>IFERROR(VLOOKUP(B3590,'Thống kê'!$C$3:$D$970,2, FALSE),VLOOKUP(B3590,'Thống kê v2 CC'!$A$3:$D$1005,3, FALSE))</f>
        <v>0</v>
      </c>
      <c r="D3590" s="166">
        <f>VLOOKUP(B3590,'Thống kê'!$C$3:$M$970,4,0)</f>
        <v>0</v>
      </c>
      <c r="E3590" s="167">
        <v>1</v>
      </c>
      <c r="F3590" s="168">
        <f t="shared" si="14"/>
        <v>0</v>
      </c>
      <c r="G3590" s="75"/>
      <c r="H3590" s="205">
        <v>52053</v>
      </c>
    </row>
    <row r="3591" spans="1:8" ht="13.2">
      <c r="A3591" s="49"/>
      <c r="B3591" s="16" t="s">
        <v>323</v>
      </c>
      <c r="C3591" s="143">
        <f>IFERROR(VLOOKUP(B3591,'Thống kê'!$C$3:$D$970,2, FALSE),VLOOKUP(B3591,'Thống kê v2 CC'!$A$3:$D$1005,3, FALSE))</f>
        <v>0</v>
      </c>
      <c r="D3591" s="166">
        <f>VLOOKUP(B3591,'Thống kê'!$C$3:$M$970,4,0)</f>
        <v>0</v>
      </c>
      <c r="E3591" s="167">
        <v>1</v>
      </c>
      <c r="F3591" s="168">
        <f t="shared" si="14"/>
        <v>0</v>
      </c>
      <c r="G3591" s="75"/>
      <c r="H3591" s="407">
        <v>90200</v>
      </c>
    </row>
    <row r="3592" spans="1:8" ht="13.2">
      <c r="A3592" s="49"/>
      <c r="B3592" s="16" t="s">
        <v>1531</v>
      </c>
      <c r="C3592" s="143">
        <f>IFERROR(VLOOKUP(B3592,'Thống kê'!$C$3:$D$970,2, FALSE),VLOOKUP(B3592,'Thống kê v2 CC'!$A$3:$D$1005,3, FALSE))</f>
        <v>0</v>
      </c>
      <c r="D3592" s="166">
        <f>VLOOKUP(B3592,'Thống kê'!$C$3:$M$970,4,0)</f>
        <v>0</v>
      </c>
      <c r="E3592" s="167">
        <v>1</v>
      </c>
      <c r="F3592" s="168">
        <f t="shared" si="14"/>
        <v>0</v>
      </c>
      <c r="G3592" s="75"/>
      <c r="H3592" s="369"/>
    </row>
    <row r="3593" spans="1:8" ht="13.2">
      <c r="A3593" s="49"/>
      <c r="B3593" s="16" t="s">
        <v>1521</v>
      </c>
      <c r="C3593" s="143">
        <f>IFERROR(VLOOKUP(B3593,'Thống kê'!$C$3:$D$970,2, FALSE),VLOOKUP(B3593,'Thống kê v2 CC'!$A$3:$D$1005,3, FALSE))</f>
        <v>0</v>
      </c>
      <c r="D3593" s="166">
        <f>VLOOKUP(B3593,'Thống kê'!$C$3:$M$970,4,0)</f>
        <v>0</v>
      </c>
      <c r="E3593" s="167">
        <v>1</v>
      </c>
      <c r="F3593" s="168">
        <f t="shared" si="14"/>
        <v>0</v>
      </c>
      <c r="G3593" s="75"/>
      <c r="H3593" s="407">
        <v>111520</v>
      </c>
    </row>
    <row r="3594" spans="1:8" ht="13.2">
      <c r="A3594" s="49"/>
      <c r="B3594" s="16" t="s">
        <v>96</v>
      </c>
      <c r="C3594" s="143">
        <f>IFERROR(VLOOKUP(B3594,'Thống kê'!$C$3:$D$970,2, FALSE),VLOOKUP(B3594,'Thống kê v2 CC'!$A$3:$D$1005,3, FALSE))</f>
        <v>0</v>
      </c>
      <c r="D3594" s="166">
        <f>VLOOKUP(B3594,'Thống kê'!$C$3:$M$970,4,0)</f>
        <v>0</v>
      </c>
      <c r="E3594" s="167">
        <v>1</v>
      </c>
      <c r="F3594" s="168">
        <f t="shared" si="14"/>
        <v>0</v>
      </c>
      <c r="G3594" s="75"/>
      <c r="H3594" s="369"/>
    </row>
    <row r="3595" spans="1:8" ht="13.2">
      <c r="A3595" s="49"/>
      <c r="B3595" s="16" t="s">
        <v>126</v>
      </c>
      <c r="C3595" s="143">
        <f>IFERROR(VLOOKUP(B3595,'Thống kê'!$C$3:$D$970,2, FALSE),VLOOKUP(B3595,'Thống kê v2 CC'!$A$3:$D$1005,3, FALSE))</f>
        <v>0</v>
      </c>
      <c r="D3595" s="166">
        <f>VLOOKUP(B3595,'Thống kê'!$C$3:$M$970,4,0)</f>
        <v>0</v>
      </c>
      <c r="E3595" s="167">
        <v>1</v>
      </c>
      <c r="F3595" s="168">
        <f t="shared" si="14"/>
        <v>0</v>
      </c>
      <c r="G3595" s="75"/>
      <c r="H3595" s="205">
        <v>61861</v>
      </c>
    </row>
    <row r="3596" spans="1:8" ht="13.2">
      <c r="A3596" s="49"/>
      <c r="B3596" s="16" t="s">
        <v>251</v>
      </c>
      <c r="C3596" s="143">
        <f>IFERROR(VLOOKUP(B3596,'Thống kê'!$C$3:$D$970,2, FALSE),VLOOKUP(B3596,'Thống kê v2 CC'!$A$3:$D$1005,3, FALSE))</f>
        <v>0</v>
      </c>
      <c r="D3596" s="166">
        <f>VLOOKUP(B3596,'Thống kê'!$C$3:$M$970,4,0)</f>
        <v>0</v>
      </c>
      <c r="E3596" s="167">
        <v>1</v>
      </c>
      <c r="F3596" s="168">
        <f t="shared" si="14"/>
        <v>0</v>
      </c>
      <c r="G3596" s="75"/>
      <c r="H3596" s="205">
        <v>60516</v>
      </c>
    </row>
    <row r="3597" spans="1:8" ht="13.2">
      <c r="A3597" s="49"/>
      <c r="B3597" s="16" t="s">
        <v>1817</v>
      </c>
      <c r="C3597" s="143" t="str">
        <f>IFERROR(VLOOKUP(B3597,'Thống kê'!$C$3:$D$970,2, FALSE),VLOOKUP(B3597,'Thống kê v2 CC'!$A$3:$D$1005,3, FALSE))</f>
        <v>Túi Đựng Mắt Kính Da Pu</v>
      </c>
      <c r="D3597" s="166">
        <f>VLOOKUP(B3597,'Thống kê'!$C$3:$M$970,4,0)</f>
        <v>0</v>
      </c>
      <c r="E3597" s="167">
        <v>1</v>
      </c>
      <c r="F3597" s="168">
        <f t="shared" si="14"/>
        <v>0</v>
      </c>
      <c r="G3597" s="75"/>
      <c r="H3597" s="205">
        <v>20000</v>
      </c>
    </row>
    <row r="3598" spans="1:8" ht="13.2">
      <c r="A3598" s="49"/>
      <c r="B3598" s="16" t="s">
        <v>1853</v>
      </c>
      <c r="C3598" s="143" t="str">
        <f>IFERROR(VLOOKUP(B3598,'Thống kê'!$C$3:$D$970,2, FALSE),VLOOKUP(B3598,'Thống kê v2 CC'!$A$3:$D$1005,3, FALSE))</f>
        <v>Túi Đựng Mắt Kính Da Pu</v>
      </c>
      <c r="D3598" s="166">
        <f>VLOOKUP(B3598,'Thống kê'!$C$3:$M$970,4,0)</f>
        <v>0</v>
      </c>
      <c r="E3598" s="167">
        <v>1</v>
      </c>
      <c r="F3598" s="168">
        <f t="shared" si="14"/>
        <v>0</v>
      </c>
      <c r="G3598" s="75"/>
      <c r="H3598" s="205">
        <v>13770</v>
      </c>
    </row>
    <row r="3599" spans="1:8" ht="13.2">
      <c r="A3599" s="49"/>
      <c r="B3599" s="16" t="s">
        <v>1845</v>
      </c>
      <c r="C3599" s="143" t="str">
        <f>IFERROR(VLOOKUP(B3599,'Thống kê'!$C$3:$D$970,2, FALSE),VLOOKUP(B3599,'Thống kê v2 CC'!$A$3:$D$1005,3, FALSE))</f>
        <v>Túi Đựng Mắt Kính Da Pu</v>
      </c>
      <c r="D3599" s="166">
        <f>VLOOKUP(B3599,'Thống kê'!$C$3:$M$970,4,0)</f>
        <v>0</v>
      </c>
      <c r="E3599" s="167">
        <v>1</v>
      </c>
      <c r="F3599" s="168">
        <f t="shared" si="14"/>
        <v>0</v>
      </c>
      <c r="G3599" s="75"/>
      <c r="H3599" s="205">
        <v>13600</v>
      </c>
    </row>
    <row r="3600" spans="1:8" ht="13.2">
      <c r="A3600" s="49"/>
      <c r="B3600" s="16" t="s">
        <v>142</v>
      </c>
      <c r="C3600" s="143">
        <f>IFERROR(VLOOKUP(B3600,'Thống kê'!$C$3:$D$970,2, FALSE),VLOOKUP(B3600,'Thống kê v2 CC'!$A$3:$D$1005,3, FALSE))</f>
        <v>0</v>
      </c>
      <c r="D3600" s="166">
        <f>VLOOKUP(B3600,'Thống kê'!$C$3:$M$970,4,0)</f>
        <v>0</v>
      </c>
      <c r="E3600" s="167">
        <v>1</v>
      </c>
      <c r="F3600" s="168">
        <f t="shared" si="14"/>
        <v>0</v>
      </c>
      <c r="G3600" s="75"/>
      <c r="H3600" s="205">
        <v>61107</v>
      </c>
    </row>
    <row r="3601" spans="1:8" ht="13.2">
      <c r="A3601" s="49"/>
      <c r="B3601" s="16" t="s">
        <v>299</v>
      </c>
      <c r="C3601" s="143">
        <f>IFERROR(VLOOKUP(B3601,'Thống kê'!$C$3:$D$970,2, FALSE),VLOOKUP(B3601,'Thống kê v2 CC'!$A$3:$D$1005,3, FALSE))</f>
        <v>0</v>
      </c>
      <c r="D3601" s="166">
        <f>VLOOKUP(B3601,'Thống kê'!$C$3:$M$970,4,0)</f>
        <v>0</v>
      </c>
      <c r="E3601" s="167">
        <v>-1</v>
      </c>
      <c r="F3601" s="168">
        <f t="shared" si="14"/>
        <v>0</v>
      </c>
      <c r="G3601" s="75"/>
      <c r="H3601" s="205">
        <v>-37700</v>
      </c>
    </row>
    <row r="3602" spans="1:8" ht="13.2">
      <c r="A3602" s="49"/>
      <c r="B3602" s="16" t="s">
        <v>1472</v>
      </c>
      <c r="C3602" s="143">
        <f>IFERROR(VLOOKUP(B3602,'Thống kê'!$C$3:$D$970,2, FALSE),VLOOKUP(B3602,'Thống kê v2 CC'!$A$3:$D$1005,3, FALSE))</f>
        <v>0</v>
      </c>
      <c r="D3602" s="166">
        <f>VLOOKUP(B3602,'Thống kê'!$C$3:$M$970,4,0)</f>
        <v>0</v>
      </c>
      <c r="E3602" s="167">
        <v>-1</v>
      </c>
      <c r="F3602" s="168">
        <f t="shared" si="14"/>
        <v>0</v>
      </c>
      <c r="G3602" s="75"/>
      <c r="H3602" s="205">
        <v>0</v>
      </c>
    </row>
    <row r="3603" spans="1:8" ht="13.2">
      <c r="A3603" s="49"/>
      <c r="B3603" s="16" t="s">
        <v>1864</v>
      </c>
      <c r="C3603" s="143" t="str">
        <f>IFERROR(VLOOKUP(B3603,'Thống kê'!$C$3:$D$970,2, FALSE),VLOOKUP(B3603,'Thống kê v2 CC'!$A$3:$D$1005,3, FALSE))</f>
        <v>POP BEAN Pajama Party</v>
      </c>
      <c r="D3603" s="166" t="e">
        <f>VLOOKUP(B3603,'Thống kê'!$C$3:$M$970,4,0)</f>
        <v>#N/A</v>
      </c>
      <c r="E3603" s="167">
        <v>1</v>
      </c>
      <c r="F3603" s="168" t="e">
        <f t="shared" si="14"/>
        <v>#N/A</v>
      </c>
      <c r="G3603" s="75"/>
      <c r="H3603" s="407">
        <v>160815</v>
      </c>
    </row>
    <row r="3604" spans="1:8" ht="13.2">
      <c r="A3604" s="49"/>
      <c r="B3604" s="16" t="s">
        <v>1871</v>
      </c>
      <c r="C3604" s="143" t="str">
        <f>IFERROR(VLOOKUP(B3604,'Thống kê'!$C$3:$D$970,2, FALSE),VLOOKUP(B3604,'Thống kê v2 CC'!$A$3:$D$1005,3, FALSE))</f>
        <v>POP BEAN Pajama Party</v>
      </c>
      <c r="D3604" s="166" t="e">
        <f>VLOOKUP(B3604,'Thống kê'!$C$3:$M$970,4,0)</f>
        <v>#N/A</v>
      </c>
      <c r="E3604" s="167">
        <v>1</v>
      </c>
      <c r="F3604" s="168" t="e">
        <f t="shared" si="14"/>
        <v>#N/A</v>
      </c>
      <c r="G3604" s="75"/>
      <c r="H3604" s="369"/>
    </row>
    <row r="3605" spans="1:8" ht="13.2">
      <c r="A3605" s="49"/>
      <c r="B3605" s="16" t="s">
        <v>1389</v>
      </c>
      <c r="C3605" s="143" t="str">
        <f>IFERROR(VLOOKUP(B3605,'Thống kê'!$C$3:$D$970,2, FALSE),VLOOKUP(B3605,'Thống kê v2 CC'!$A$3:$D$1005,3, FALSE))</f>
        <v>Móc khoá Crybaby mini Popmart</v>
      </c>
      <c r="D3605" s="166">
        <f>VLOOKUP(B3605,'Thống kê'!$C$3:$M$970,4,0)</f>
        <v>0</v>
      </c>
      <c r="E3605" s="167"/>
      <c r="F3605" s="168">
        <f t="shared" si="14"/>
        <v>0</v>
      </c>
      <c r="G3605" s="75"/>
      <c r="H3605" s="407">
        <v>150060</v>
      </c>
    </row>
    <row r="3606" spans="1:8" ht="13.2">
      <c r="A3606" s="49"/>
      <c r="B3606" s="16" t="s">
        <v>259</v>
      </c>
      <c r="C3606" s="143" t="str">
        <f>IFERROR(VLOOKUP(B3606,'Thống kê'!$C$3:$D$970,2, FALSE),VLOOKUP(B3606,'Thống kê v2 CC'!$A$3:$D$1005,3, FALSE))</f>
        <v>Móc khoá Crybaby mini Popmart</v>
      </c>
      <c r="D3606" s="166">
        <f>VLOOKUP(B3606,'Thống kê'!$C$3:$M$970,4,0)</f>
        <v>0</v>
      </c>
      <c r="E3606" s="167"/>
      <c r="F3606" s="168">
        <f t="shared" si="14"/>
        <v>0</v>
      </c>
      <c r="G3606" s="75"/>
      <c r="H3606" s="369"/>
    </row>
    <row r="3607" spans="1:8" ht="13.2">
      <c r="A3607" s="49"/>
      <c r="B3607" s="16" t="s">
        <v>101</v>
      </c>
      <c r="C3607" s="143">
        <f>IFERROR(VLOOKUP(B3607,'Thống kê'!$C$3:$D$970,2, FALSE),VLOOKUP(B3607,'Thống kê v2 CC'!$A$3:$D$1005,3, FALSE))</f>
        <v>0</v>
      </c>
      <c r="D3607" s="166">
        <f>VLOOKUP(B3607,'Thống kê'!$C$3:$M$970,4,0)</f>
        <v>0</v>
      </c>
      <c r="E3607" s="167"/>
      <c r="F3607" s="168">
        <f t="shared" si="14"/>
        <v>0</v>
      </c>
      <c r="G3607" s="75"/>
      <c r="H3607" s="205">
        <v>61861</v>
      </c>
    </row>
    <row r="3608" spans="1:8" ht="13.2">
      <c r="A3608" s="64">
        <v>45809</v>
      </c>
      <c r="C3608" s="143" t="e">
        <f>IFERROR(VLOOKUP(B3608,'Thống kê'!$C$3:$D$970,2, FALSE),VLOOKUP(B3608,'Thống kê v2 CC'!$A$3:$D$1005,3, FALSE))</f>
        <v>#N/A</v>
      </c>
      <c r="D3608" s="166" t="e">
        <f>VLOOKUP(B3608,'Thống kê'!$C$3:$M$970,4,0)</f>
        <v>#N/A</v>
      </c>
      <c r="E3608" s="167"/>
      <c r="F3608" s="168" t="e">
        <f t="shared" si="14"/>
        <v>#N/A</v>
      </c>
      <c r="G3608" s="75"/>
      <c r="H3608" s="205">
        <f>27880+144420+56580+156579+149400+789620+109088+52053+90200+111520+61861+60516+20000+13770+13600+61107</f>
        <v>1918194</v>
      </c>
    </row>
    <row r="3609" spans="1:8" ht="13.2">
      <c r="A3609" s="64">
        <v>45810</v>
      </c>
      <c r="C3609" s="143" t="e">
        <f>IFERROR(VLOOKUP(B3609,'Thống kê'!$C$3:$D$970,2, FALSE),VLOOKUP(B3609,'Thống kê v2 CC'!$A$3:$D$1005,3, FALSE))</f>
        <v>#N/A</v>
      </c>
      <c r="D3609" s="166" t="e">
        <f>VLOOKUP(B3609,'Thống kê'!$C$3:$M$970,4,0)</f>
        <v>#N/A</v>
      </c>
      <c r="E3609" s="167"/>
      <c r="F3609" s="168" t="e">
        <f t="shared" si="14"/>
        <v>#N/A</v>
      </c>
      <c r="G3609" s="75"/>
      <c r="H3609" s="205">
        <f>111520+58125+20100+121770+50922+46395+31980+52053+50301+45830+74685+178760+13770</f>
        <v>856211</v>
      </c>
    </row>
    <row r="3610" spans="1:8" ht="13.2">
      <c r="A3610" s="49"/>
      <c r="B3610" s="16" t="s">
        <v>1868</v>
      </c>
      <c r="C3610" s="143" t="str">
        <f>IFERROR(VLOOKUP(B3610,'Thống kê'!$C$3:$D$970,2, FALSE),VLOOKUP(B3610,'Thống kê v2 CC'!$A$3:$D$1005,3, FALSE))</f>
        <v>POP BEAN Pajama Party</v>
      </c>
      <c r="D3610" s="166" t="e">
        <f>VLOOKUP(B3610,'Thống kê'!$C$3:$M$970,4,0)</f>
        <v>#N/A</v>
      </c>
      <c r="E3610" s="167"/>
      <c r="F3610" s="168" t="e">
        <f t="shared" si="14"/>
        <v>#N/A</v>
      </c>
      <c r="G3610" s="75"/>
      <c r="H3610" s="205">
        <v>78987</v>
      </c>
    </row>
    <row r="3611" spans="1:8" ht="13.2">
      <c r="A3611" s="64">
        <v>45811</v>
      </c>
      <c r="C3611" s="143" t="e">
        <f>IFERROR(VLOOKUP(B3611,'Thống kê'!$C$3:$D$970,2, FALSE),VLOOKUP(B3611,'Thống kê v2 CC'!$A$3:$D$1005,3, FALSE))</f>
        <v>#N/A</v>
      </c>
      <c r="D3611" s="166" t="e">
        <f>VLOOKUP(B3611,'Thống kê'!$C$3:$M$970,4,0)</f>
        <v>#N/A</v>
      </c>
      <c r="E3611" s="167"/>
      <c r="F3611" s="168" t="e">
        <f t="shared" si="14"/>
        <v>#N/A</v>
      </c>
      <c r="G3611" s="75"/>
      <c r="H3611" s="205">
        <f>53655+477281+52053+52053+13400+149400+83835+60516+52053+142680+109060+161850</f>
        <v>1407836</v>
      </c>
    </row>
    <row r="3612" spans="1:8" ht="13.2">
      <c r="A3612" s="49"/>
      <c r="C3612" s="143" t="e">
        <f>IFERROR(VLOOKUP(B3612,'Thống kê'!$C$3:$D$970,2, FALSE),VLOOKUP(B3612,'Thống kê v2 CC'!$A$3:$D$1005,3, FALSE))</f>
        <v>#N/A</v>
      </c>
      <c r="D3612" s="166" t="e">
        <f>VLOOKUP(B3612,'Thống kê'!$C$3:$M$970,4,0)</f>
        <v>#N/A</v>
      </c>
      <c r="E3612" s="167"/>
      <c r="F3612" s="168" t="e">
        <f t="shared" si="14"/>
        <v>#N/A</v>
      </c>
      <c r="G3612" s="75"/>
      <c r="H3612" s="205">
        <f>109060+13770+52053+13600+78491+40500+149400+125460+154675+159570+31980</f>
        <v>928559</v>
      </c>
    </row>
    <row r="3613" spans="1:8" ht="13.2">
      <c r="A3613" s="49"/>
      <c r="B3613" s="16" t="s">
        <v>101</v>
      </c>
      <c r="C3613" s="143">
        <f>IFERROR(VLOOKUP(B3613,'Thống kê'!$C$3:$D$970,2, FALSE),VLOOKUP(B3613,'Thống kê v2 CC'!$A$3:$D$1005,3, FALSE))</f>
        <v>0</v>
      </c>
      <c r="D3613" s="166">
        <f>VLOOKUP(B3613,'Thống kê'!$C$3:$M$970,4,0)</f>
        <v>0</v>
      </c>
      <c r="E3613" s="167"/>
      <c r="F3613" s="168">
        <f t="shared" si="14"/>
        <v>0</v>
      </c>
      <c r="G3613" s="75"/>
      <c r="H3613" s="205">
        <v>61107</v>
      </c>
    </row>
    <row r="3614" spans="1:8" ht="13.2">
      <c r="A3614" s="49"/>
      <c r="B3614" s="16" t="s">
        <v>150</v>
      </c>
      <c r="C3614" s="143" t="str">
        <f>IFERROR(VLOOKUP(B3614,'Thống kê'!$C$3:$D$970,2, FALSE),VLOOKUP(B3614,'Thống kê v2 CC'!$A$3:$D$1005,3, FALSE))</f>
        <v>Móc khóa có chuông</v>
      </c>
      <c r="D3614" s="166">
        <f>VLOOKUP(B3614,'Thống kê'!$C$3:$M$970,4,0)</f>
        <v>59000</v>
      </c>
      <c r="E3614" s="167"/>
      <c r="F3614" s="168">
        <f t="shared" si="14"/>
        <v>0</v>
      </c>
      <c r="G3614" s="75"/>
      <c r="H3614" s="205">
        <v>49036</v>
      </c>
    </row>
    <row r="3615" spans="1:8" ht="13.2">
      <c r="A3615" s="49"/>
      <c r="B3615" s="16" t="s">
        <v>1662</v>
      </c>
      <c r="C3615" s="143" t="str">
        <f>IFERROR(VLOOKUP(B3615,'Thống kê'!$C$3:$D$970,2, FALSE),VLOOKUP(B3615,'Thống kê v2 CC'!$A$3:$D$1005,3, FALSE))</f>
        <v>Móc khóa Popbean Cry Baby</v>
      </c>
      <c r="D3615" s="166">
        <f>VLOOKUP(B3615,'Thống kê'!$C$3:$M$970,4,0)</f>
        <v>148000</v>
      </c>
      <c r="E3615" s="167"/>
      <c r="F3615" s="168">
        <f t="shared" si="14"/>
        <v>0</v>
      </c>
      <c r="G3615" s="75"/>
      <c r="H3615" s="407">
        <v>245096</v>
      </c>
    </row>
    <row r="3616" spans="1:8" ht="13.2">
      <c r="A3616" s="49"/>
      <c r="B3616" s="16" t="s">
        <v>1891</v>
      </c>
      <c r="C3616" s="143" t="e">
        <f>IFERROR(VLOOKUP(B3616,'Thống kê'!$C$3:$D$970,2, FALSE),VLOOKUP(B3616,'Thống kê v2 CC'!$A$3:$D$1005,3, FALSE))</f>
        <v>#N/A</v>
      </c>
      <c r="D3616" s="166" t="e">
        <f>VLOOKUP(B3616,'Thống kê'!$C$3:$M$970,4,0)</f>
        <v>#N/A</v>
      </c>
      <c r="E3616" s="167"/>
      <c r="F3616" s="168" t="e">
        <f t="shared" si="14"/>
        <v>#N/A</v>
      </c>
      <c r="G3616" s="75"/>
      <c r="H3616" s="369"/>
    </row>
    <row r="3617" spans="1:8" ht="13.2">
      <c r="A3617" s="49"/>
      <c r="B3617" s="16" t="s">
        <v>111</v>
      </c>
      <c r="C3617" s="143">
        <f>IFERROR(VLOOKUP(B3617,'Thống kê'!$C$3:$D$970,2, FALSE),VLOOKUP(B3617,'Thống kê v2 CC'!$A$3:$D$1005,3, FALSE))</f>
        <v>0</v>
      </c>
      <c r="D3617" s="166">
        <f>VLOOKUP(B3617,'Thống kê'!$C$3:$M$970,4,0)</f>
        <v>0</v>
      </c>
      <c r="E3617" s="167"/>
      <c r="F3617" s="168">
        <f t="shared" si="14"/>
        <v>0</v>
      </c>
      <c r="G3617" s="75"/>
      <c r="H3617" s="407">
        <v>102197</v>
      </c>
    </row>
    <row r="3618" spans="1:8" ht="13.2">
      <c r="A3618" s="49"/>
      <c r="B3618" s="16" t="s">
        <v>95</v>
      </c>
      <c r="C3618" s="143">
        <f>IFERROR(VLOOKUP(B3618,'Thống kê'!$C$3:$D$970,2, FALSE),VLOOKUP(B3618,'Thống kê v2 CC'!$A$3:$D$1005,3, FALSE))</f>
        <v>0</v>
      </c>
      <c r="D3618" s="166">
        <f>VLOOKUP(B3618,'Thống kê'!$C$3:$M$970,4,0)</f>
        <v>0</v>
      </c>
      <c r="E3618" s="167"/>
      <c r="F3618" s="168">
        <f t="shared" si="14"/>
        <v>0</v>
      </c>
      <c r="G3618" s="75"/>
      <c r="H3618" s="369"/>
    </row>
    <row r="3619" spans="1:8" ht="13.2">
      <c r="A3619" s="64">
        <v>45812</v>
      </c>
      <c r="C3619" s="143" t="e">
        <f>IFERROR(VLOOKUP(B3619,'Thống kê'!$C$3:$D$970,2, FALSE),VLOOKUP(B3619,'Thống kê v2 CC'!$A$3:$D$1005,3, FALSE))</f>
        <v>#N/A</v>
      </c>
      <c r="D3619" s="166" t="e">
        <f>VLOOKUP(B3619,'Thống kê'!$C$3:$M$970,4,0)</f>
        <v>#N/A</v>
      </c>
      <c r="E3619" s="167"/>
      <c r="F3619" s="168" t="e">
        <f t="shared" si="14"/>
        <v>#N/A</v>
      </c>
      <c r="G3619" s="75"/>
      <c r="H3619" s="205">
        <f>109767+32585+212591+19850+13770+48380+60352+54317+13770+33450+52053+49036</f>
        <v>699921</v>
      </c>
    </row>
    <row r="3620" spans="1:8" ht="13.2">
      <c r="A3620" s="49"/>
      <c r="B3620" s="16" t="s">
        <v>290</v>
      </c>
      <c r="C3620" s="143" t="e">
        <f>IFERROR(VLOOKUP(B3620,'Thống kê'!$C$3:$D$970,2, FALSE),VLOOKUP(B3620,'Thống kê v2 CC'!$A$3:$D$1005,3, FALSE))</f>
        <v>#N/A</v>
      </c>
      <c r="D3620" s="166" t="e">
        <f>VLOOKUP(B3620,'Thống kê'!$C$3:$M$970,4,0)</f>
        <v>#N/A</v>
      </c>
      <c r="E3620" s="167"/>
      <c r="F3620" s="168" t="e">
        <f t="shared" si="14"/>
        <v>#N/A</v>
      </c>
      <c r="G3620" s="75"/>
      <c r="H3620" s="407">
        <v>151565</v>
      </c>
    </row>
    <row r="3621" spans="1:8" ht="13.2">
      <c r="A3621" s="49"/>
      <c r="B3621" s="16" t="s">
        <v>1382</v>
      </c>
      <c r="C3621" s="143" t="str">
        <f>IFERROR(VLOOKUP(B3621,'Thống kê'!$C$3:$D$970,2, FALSE),VLOOKUP(B3621,'Thống kê v2 CC'!$A$3:$D$1005,3, FALSE))</f>
        <v>miếng dán silicon điện thoại</v>
      </c>
      <c r="D3621" s="166">
        <f>VLOOKUP(B3621,'Thống kê'!$C$3:$M$970,4,0)</f>
        <v>0</v>
      </c>
      <c r="E3621" s="167"/>
      <c r="F3621" s="168">
        <f t="shared" si="14"/>
        <v>0</v>
      </c>
      <c r="G3621" s="75"/>
      <c r="H3621" s="369"/>
    </row>
    <row r="3622" spans="1:8" ht="13.2">
      <c r="A3622" s="49"/>
      <c r="B3622" s="16" t="s">
        <v>201</v>
      </c>
      <c r="C3622" s="143">
        <f>IFERROR(VLOOKUP(B3622,'Thống kê'!$C$3:$D$970,2, FALSE),VLOOKUP(B3622,'Thống kê v2 CC'!$A$3:$D$1005,3, FALSE))</f>
        <v>0</v>
      </c>
      <c r="D3622" s="166">
        <f>VLOOKUP(B3622,'Thống kê'!$C$3:$M$970,4,0)</f>
        <v>0</v>
      </c>
      <c r="E3622" s="167"/>
      <c r="F3622" s="168">
        <f t="shared" si="14"/>
        <v>0</v>
      </c>
      <c r="G3622" s="75"/>
      <c r="H3622" s="407">
        <v>146910</v>
      </c>
    </row>
    <row r="3623" spans="1:8" ht="13.2">
      <c r="A3623" s="49"/>
      <c r="B3623" s="16" t="s">
        <v>1382</v>
      </c>
      <c r="C3623" s="143" t="str">
        <f>IFERROR(VLOOKUP(B3623,'Thống kê'!$C$3:$D$970,2, FALSE),VLOOKUP(B3623,'Thống kê v2 CC'!$A$3:$D$1005,3, FALSE))</f>
        <v>miếng dán silicon điện thoại</v>
      </c>
      <c r="D3623" s="166">
        <f>VLOOKUP(B3623,'Thống kê'!$C$3:$M$970,4,0)</f>
        <v>0</v>
      </c>
      <c r="E3623" s="167"/>
      <c r="F3623" s="168">
        <f t="shared" si="14"/>
        <v>0</v>
      </c>
      <c r="G3623" s="75"/>
      <c r="H3623" s="369"/>
    </row>
    <row r="3624" spans="1:8" ht="13.2">
      <c r="A3624" s="49"/>
      <c r="C3624" s="143" t="e">
        <f>IFERROR(VLOOKUP(B3624,'Thống kê'!$C$3:$D$970,2, FALSE),VLOOKUP(B3624,'Thống kê v2 CC'!$A$3:$D$1005,3, FALSE))</f>
        <v>#N/A</v>
      </c>
      <c r="D3624" s="166" t="e">
        <f>VLOOKUP(B3624,'Thống kê'!$C$3:$M$970,4,0)</f>
        <v>#N/A</v>
      </c>
      <c r="E3624" s="167"/>
      <c r="F3624" s="168" t="e">
        <f t="shared" si="14"/>
        <v>#N/A</v>
      </c>
      <c r="G3624" s="75"/>
      <c r="H3624" s="205">
        <f>100450+52053+314937+52053+222963</f>
        <v>742456</v>
      </c>
    </row>
    <row r="3625" spans="1:8" ht="13.2">
      <c r="A3625" s="49"/>
      <c r="B3625" s="16" t="s">
        <v>1516</v>
      </c>
      <c r="C3625" s="143">
        <f>IFERROR(VLOOKUP(B3625,'Thống kê'!$C$3:$D$970,2, FALSE),VLOOKUP(B3625,'Thống kê v2 CC'!$A$3:$D$1005,3, FALSE))</f>
        <v>0</v>
      </c>
      <c r="D3625" s="166">
        <f>VLOOKUP(B3625,'Thống kê'!$C$3:$M$970,4,0)</f>
        <v>0</v>
      </c>
      <c r="E3625" s="167"/>
      <c r="F3625" s="168">
        <f t="shared" ref="F3625:F3879" si="15">D3625*E3625</f>
        <v>0</v>
      </c>
      <c r="G3625" s="75"/>
      <c r="H3625" s="205">
        <v>141654</v>
      </c>
    </row>
    <row r="3626" spans="1:8" ht="13.2">
      <c r="A3626" s="49"/>
      <c r="B3626" s="16" t="s">
        <v>111</v>
      </c>
      <c r="C3626" s="143">
        <f>IFERROR(VLOOKUP(B3626,'Thống kê'!$C$3:$D$970,2, FALSE),VLOOKUP(B3626,'Thống kê v2 CC'!$A$3:$D$1005,3, FALSE))</f>
        <v>0</v>
      </c>
      <c r="D3626" s="166">
        <f>VLOOKUP(B3626,'Thống kê'!$C$3:$M$970,4,0)</f>
        <v>0</v>
      </c>
      <c r="E3626" s="167"/>
      <c r="F3626" s="168">
        <f t="shared" si="15"/>
        <v>0</v>
      </c>
      <c r="G3626" s="75"/>
      <c r="H3626" s="205"/>
    </row>
    <row r="3627" spans="1:8" ht="13.2">
      <c r="A3627" s="49"/>
      <c r="B3627" s="16" t="s">
        <v>80</v>
      </c>
      <c r="C3627" s="143">
        <f>IFERROR(VLOOKUP(B3627,'Thống kê'!$C$3:$D$970,2, FALSE),VLOOKUP(B3627,'Thống kê v2 CC'!$A$3:$D$1005,3, FALSE))</f>
        <v>0</v>
      </c>
      <c r="D3627" s="166">
        <f>VLOOKUP(B3627,'Thống kê'!$C$3:$M$970,4,0)</f>
        <v>0</v>
      </c>
      <c r="E3627" s="167"/>
      <c r="F3627" s="168">
        <f t="shared" si="15"/>
        <v>0</v>
      </c>
      <c r="G3627" s="75"/>
      <c r="H3627" s="407">
        <v>132140</v>
      </c>
    </row>
    <row r="3628" spans="1:8" ht="13.2">
      <c r="A3628" s="49"/>
      <c r="B3628" s="16" t="s">
        <v>200</v>
      </c>
      <c r="C3628" s="143">
        <f>IFERROR(VLOOKUP(B3628,'Thống kê'!$C$3:$D$970,2, FALSE),VLOOKUP(B3628,'Thống kê v2 CC'!$A$3:$D$1005,3, FALSE))</f>
        <v>0</v>
      </c>
      <c r="D3628" s="166">
        <f>VLOOKUP(B3628,'Thống kê'!$C$3:$M$970,4,0)</f>
        <v>0</v>
      </c>
      <c r="E3628" s="167"/>
      <c r="F3628" s="168">
        <f t="shared" si="15"/>
        <v>0</v>
      </c>
      <c r="G3628" s="75"/>
      <c r="H3628" s="369"/>
    </row>
    <row r="3629" spans="1:8" ht="13.2">
      <c r="A3629" s="49"/>
      <c r="B3629" s="16" t="s">
        <v>1382</v>
      </c>
      <c r="C3629" s="143" t="str">
        <f>IFERROR(VLOOKUP(B3629,'Thống kê'!$C$3:$D$970,2, FALSE),VLOOKUP(B3629,'Thống kê v2 CC'!$A$3:$D$1005,3, FALSE))</f>
        <v>miếng dán silicon điện thoại</v>
      </c>
      <c r="D3629" s="166">
        <f>VLOOKUP(B3629,'Thống kê'!$C$3:$M$970,4,0)</f>
        <v>0</v>
      </c>
      <c r="E3629" s="167">
        <v>2</v>
      </c>
      <c r="F3629" s="168">
        <f t="shared" si="15"/>
        <v>0</v>
      </c>
      <c r="G3629" s="75"/>
      <c r="H3629" s="369"/>
    </row>
    <row r="3630" spans="1:8" ht="13.2">
      <c r="A3630" s="49"/>
      <c r="B3630" s="16" t="s">
        <v>1382</v>
      </c>
      <c r="C3630" s="143" t="str">
        <f>IFERROR(VLOOKUP(B3630,'Thống kê'!$C$3:$D$970,2, FALSE),VLOOKUP(B3630,'Thống kê v2 CC'!$A$3:$D$1005,3, FALSE))</f>
        <v>miếng dán silicon điện thoại</v>
      </c>
      <c r="D3630" s="166">
        <f>VLOOKUP(B3630,'Thống kê'!$C$3:$M$970,4,0)</f>
        <v>0</v>
      </c>
      <c r="E3630" s="167">
        <v>15</v>
      </c>
      <c r="F3630" s="168">
        <f t="shared" si="15"/>
        <v>0</v>
      </c>
      <c r="G3630" s="75"/>
      <c r="H3630" s="205">
        <v>35670</v>
      </c>
    </row>
    <row r="3631" spans="1:8" ht="13.2">
      <c r="A3631" s="64">
        <v>45813</v>
      </c>
      <c r="C3631" s="143" t="e">
        <f>IFERROR(VLOOKUP(B3631,'Thống kê'!$C$3:$D$970,2, FALSE),VLOOKUP(B3631,'Thống kê v2 CC'!$A$3:$D$1005,3, FALSE))</f>
        <v>#N/A</v>
      </c>
      <c r="D3631" s="166" t="e">
        <f>VLOOKUP(B3631,'Thống kê'!$C$3:$M$970,4,0)</f>
        <v>#N/A</v>
      </c>
      <c r="E3631" s="167"/>
      <c r="F3631" s="168" t="e">
        <f t="shared" si="15"/>
        <v>#N/A</v>
      </c>
      <c r="G3631" s="75"/>
      <c r="H3631" s="205">
        <f>48380+13770+25666+51419+52808+106600+20000+52053+53655+45264+13600+52053+93250+13600+109350+52053+30050+52053+68558+20250+52053</f>
        <v>1026485</v>
      </c>
    </row>
    <row r="3632" spans="1:8" ht="13.2">
      <c r="A3632" s="49"/>
      <c r="B3632" s="16" t="s">
        <v>1717</v>
      </c>
      <c r="C3632" s="143" t="str">
        <f>IFERROR(VLOOKUP(B3632,'Thống kê'!$C$3:$D$970,2, FALSE),VLOOKUP(B3632,'Thống kê v2 CC'!$A$3:$D$1005,3, FALSE))</f>
        <v>Pop Bean Baked Bread</v>
      </c>
      <c r="D3632" s="166">
        <f>VLOOKUP(B3632,'Thống kê'!$C$3:$M$970,4,0)</f>
        <v>167000</v>
      </c>
      <c r="E3632" s="167">
        <v>1</v>
      </c>
      <c r="F3632" s="168">
        <f t="shared" si="15"/>
        <v>167000</v>
      </c>
      <c r="G3632" s="75"/>
      <c r="H3632" s="205">
        <v>108107</v>
      </c>
    </row>
    <row r="3633" spans="1:8" ht="13.2">
      <c r="A3633" s="64">
        <v>45814</v>
      </c>
      <c r="C3633" s="143" t="e">
        <f>IFERROR(VLOOKUP(B3633,'Thống kê'!$C$3:$D$970,2, FALSE),VLOOKUP(B3633,'Thống kê v2 CC'!$A$3:$D$1005,3, FALSE))</f>
        <v>#N/A</v>
      </c>
      <c r="D3633" s="166" t="e">
        <f>VLOOKUP(B3633,'Thống kê'!$C$3:$M$970,4,0)</f>
        <v>#N/A</v>
      </c>
      <c r="E3633" s="167"/>
      <c r="F3633" s="168" t="e">
        <f t="shared" si="15"/>
        <v>#N/A</v>
      </c>
      <c r="G3633" s="75"/>
      <c r="H3633" s="205">
        <f>82073+109350+61107+179079+49036+50301+52053+134228+61107+52053+27540+51419+49036+19425+49036+112232+38232+106600+52053+31980+52053+100040+13770</f>
        <v>1533803</v>
      </c>
    </row>
    <row r="3634" spans="1:8" ht="13.2">
      <c r="A3634" s="49"/>
      <c r="B3634" s="16" t="s">
        <v>1529</v>
      </c>
      <c r="C3634" s="143">
        <f>IFERROR(VLOOKUP(B3634,'Thống kê'!$C$3:$D$970,2, FALSE),VLOOKUP(B3634,'Thống kê v2 CC'!$A$3:$D$1005,3, FALSE))</f>
        <v>0</v>
      </c>
      <c r="D3634" s="166">
        <f>VLOOKUP(B3634,'Thống kê'!$C$3:$M$970,4,0)</f>
        <v>0</v>
      </c>
      <c r="E3634" s="167">
        <v>-1</v>
      </c>
      <c r="F3634" s="168">
        <f t="shared" si="15"/>
        <v>0</v>
      </c>
      <c r="G3634" s="75"/>
      <c r="H3634" s="205">
        <v>-63369</v>
      </c>
    </row>
    <row r="3635" spans="1:8" ht="13.2">
      <c r="A3635" s="49"/>
      <c r="B3635" s="16" t="s">
        <v>1393</v>
      </c>
      <c r="C3635" s="143" t="str">
        <f>IFERROR(VLOOKUP(B3635,'Thống kê'!$C$3:$D$970,2, FALSE),VLOOKUP(B3635,'Thống kê v2 CC'!$A$3:$D$1005,3, FALSE))</f>
        <v>Móc khoá Labubu mini Popmart</v>
      </c>
      <c r="D3635" s="166">
        <f>VLOOKUP(B3635,'Thống kê'!$C$3:$M$970,4,0)</f>
        <v>0</v>
      </c>
      <c r="E3635" s="167">
        <v>1</v>
      </c>
      <c r="F3635" s="168">
        <f t="shared" si="15"/>
        <v>0</v>
      </c>
      <c r="G3635" s="75"/>
      <c r="H3635" s="407">
        <v>134300</v>
      </c>
    </row>
    <row r="3636" spans="1:8" ht="13.2">
      <c r="A3636" s="49"/>
      <c r="B3636" s="16" t="s">
        <v>1390</v>
      </c>
      <c r="C3636" s="143" t="str">
        <f>IFERROR(VLOOKUP(B3636,'Thống kê'!$C$3:$D$970,2, FALSE),VLOOKUP(B3636,'Thống kê v2 CC'!$A$3:$D$1005,3, FALSE))</f>
        <v>Móc khoá Labubu mini Popmart</v>
      </c>
      <c r="D3636" s="166">
        <f>VLOOKUP(B3636,'Thống kê'!$C$3:$M$970,4,0)</f>
        <v>0</v>
      </c>
      <c r="E3636" s="167">
        <v>1</v>
      </c>
      <c r="F3636" s="168">
        <f t="shared" si="15"/>
        <v>0</v>
      </c>
      <c r="G3636" s="75"/>
      <c r="H3636" s="369"/>
    </row>
    <row r="3637" spans="1:8" ht="13.2">
      <c r="A3637" s="49"/>
      <c r="B3637" s="16" t="s">
        <v>1392</v>
      </c>
      <c r="C3637" s="143" t="str">
        <f>IFERROR(VLOOKUP(B3637,'Thống kê'!$C$3:$D$970,2, FALSE),VLOOKUP(B3637,'Thống kê v2 CC'!$A$3:$D$1005,3, FALSE))</f>
        <v>Móc khoá Labubu mini Popmart</v>
      </c>
      <c r="D3637" s="166">
        <f>VLOOKUP(B3637,'Thống kê'!$C$3:$M$970,4,0)</f>
        <v>0</v>
      </c>
      <c r="E3637" s="167">
        <v>1</v>
      </c>
      <c r="F3637" s="168">
        <f t="shared" si="15"/>
        <v>0</v>
      </c>
      <c r="G3637" s="75"/>
      <c r="H3637" s="369"/>
    </row>
    <row r="3638" spans="1:8" ht="13.2">
      <c r="A3638" s="49"/>
      <c r="C3638" s="143" t="e">
        <f>IFERROR(VLOOKUP(B3638,'Thống kê'!$C$3:$D$970,2, FALSE),VLOOKUP(B3638,'Thống kê v2 CC'!$A$3:$D$1005,3, FALSE))</f>
        <v>#N/A</v>
      </c>
      <c r="D3638" s="166" t="e">
        <f>VLOOKUP(B3638,'Thống kê'!$C$3:$M$970,4,0)</f>
        <v>#N/A</v>
      </c>
      <c r="E3638" s="167"/>
      <c r="F3638" s="168" t="e">
        <f t="shared" si="15"/>
        <v>#N/A</v>
      </c>
      <c r="G3638" s="75"/>
      <c r="H3638" s="205">
        <f>49036+179140+61861+58320</f>
        <v>348357</v>
      </c>
    </row>
    <row r="3639" spans="1:8" ht="13.2">
      <c r="A3639" s="49"/>
      <c r="B3639" s="16" t="s">
        <v>183</v>
      </c>
      <c r="C3639" s="143" t="str">
        <f>IFERROR(VLOOKUP(B3639,'Thống kê'!$C$3:$D$970,2, FALSE),VLOOKUP(B3639,'Thống kê v2 CC'!$A$3:$D$1005,3, FALSE))</f>
        <v>Thỏ máy bay gắn xe</v>
      </c>
      <c r="D3639" s="166">
        <f>VLOOKUP(B3639,'Thống kê'!$C$3:$M$970,4,0)</f>
        <v>45000</v>
      </c>
      <c r="E3639" s="167">
        <v>1</v>
      </c>
      <c r="F3639" s="168">
        <f t="shared" si="15"/>
        <v>45000</v>
      </c>
      <c r="G3639" s="75"/>
      <c r="H3639" s="205">
        <v>25191</v>
      </c>
    </row>
    <row r="3640" spans="1:8" ht="13.2">
      <c r="A3640" s="49"/>
      <c r="C3640" s="143" t="e">
        <f>IFERROR(VLOOKUP(B3640,'Thống kê'!$C$3:$D$970,2, FALSE),VLOOKUP(B3640,'Thống kê v2 CC'!$A$3:$D$1005,3, FALSE))</f>
        <v>#N/A</v>
      </c>
      <c r="D3640" s="166" t="e">
        <f>VLOOKUP(B3640,'Thống kê'!$C$3:$M$970,4,0)</f>
        <v>#N/A</v>
      </c>
      <c r="E3640" s="167"/>
      <c r="F3640" s="168" t="e">
        <f t="shared" si="15"/>
        <v>#N/A</v>
      </c>
      <c r="G3640" s="75"/>
      <c r="H3640" s="205">
        <f>71668+157440+588947</f>
        <v>818055</v>
      </c>
    </row>
    <row r="3641" spans="1:8" ht="13.2">
      <c r="A3641" s="49"/>
      <c r="B3641" s="16" t="s">
        <v>290</v>
      </c>
      <c r="C3641" s="143" t="e">
        <f>IFERROR(VLOOKUP(B3641,'Thống kê'!$C$3:$D$970,2, FALSE),VLOOKUP(B3641,'Thống kê v2 CC'!$A$3:$D$1005,3, FALSE))</f>
        <v>#N/A</v>
      </c>
      <c r="D3641" s="166" t="e">
        <f>VLOOKUP(B3641,'Thống kê'!$C$3:$M$970,4,0)</f>
        <v>#N/A</v>
      </c>
      <c r="E3641" s="167"/>
      <c r="F3641" s="168" t="e">
        <f t="shared" si="15"/>
        <v>#N/A</v>
      </c>
      <c r="G3641" s="75"/>
      <c r="H3641" s="407">
        <v>280257</v>
      </c>
    </row>
    <row r="3642" spans="1:8" ht="13.2">
      <c r="A3642" s="49"/>
      <c r="B3642" s="16" t="s">
        <v>245</v>
      </c>
      <c r="C3642" s="143" t="str">
        <f>IFERROR(VLOOKUP(B3642,'Thống kê'!$C$3:$D$970,2, FALSE),VLOOKUP(B3642,'Thống kê v2 CC'!$A$3:$D$1005,3, FALSE))</f>
        <v>Móc khóa Popbean</v>
      </c>
      <c r="D3642" s="166">
        <f>VLOOKUP(B3642,'Thống kê'!$C$3:$M$970,4,0)</f>
        <v>148000</v>
      </c>
      <c r="E3642" s="167"/>
      <c r="F3642" s="168">
        <f t="shared" si="15"/>
        <v>0</v>
      </c>
      <c r="G3642" s="75"/>
      <c r="H3642" s="369"/>
    </row>
    <row r="3643" spans="1:8" ht="13.2">
      <c r="A3643" s="49"/>
      <c r="B3643" s="16" t="s">
        <v>104</v>
      </c>
      <c r="C3643" s="143">
        <f>IFERROR(VLOOKUP(B3643,'Thống kê'!$C$3:$D$970,2, FALSE),VLOOKUP(B3643,'Thống kê v2 CC'!$A$3:$D$1005,3, FALSE))</f>
        <v>0</v>
      </c>
      <c r="D3643" s="166">
        <f>VLOOKUP(B3643,'Thống kê'!$C$3:$M$970,4,0)</f>
        <v>0</v>
      </c>
      <c r="E3643" s="167"/>
      <c r="F3643" s="168">
        <f t="shared" si="15"/>
        <v>0</v>
      </c>
      <c r="G3643" s="75"/>
      <c r="H3643" s="407"/>
    </row>
    <row r="3644" spans="1:8" ht="13.2">
      <c r="A3644" s="49"/>
      <c r="B3644" s="16" t="s">
        <v>97</v>
      </c>
      <c r="C3644" s="143">
        <f>IFERROR(VLOOKUP(B3644,'Thống kê'!$C$3:$D$970,2, FALSE),VLOOKUP(B3644,'Thống kê v2 CC'!$A$3:$D$1005,3, FALSE))</f>
        <v>0</v>
      </c>
      <c r="D3644" s="166">
        <f>VLOOKUP(B3644,'Thống kê'!$C$3:$M$970,4,0)</f>
        <v>0</v>
      </c>
      <c r="E3644" s="167"/>
      <c r="F3644" s="168">
        <f t="shared" si="15"/>
        <v>0</v>
      </c>
      <c r="G3644" s="75"/>
      <c r="H3644" s="369"/>
    </row>
    <row r="3645" spans="1:8" ht="13.2">
      <c r="A3645" s="64"/>
      <c r="B3645" s="16" t="s">
        <v>154</v>
      </c>
      <c r="C3645" s="143">
        <f>IFERROR(VLOOKUP(B3645,'Thống kê'!$C$3:$D$970,2, FALSE),VLOOKUP(B3645,'Thống kê v2 CC'!$A$3:$D$1005,3, FALSE))</f>
        <v>0</v>
      </c>
      <c r="D3645" s="166">
        <f>VLOOKUP(B3645,'Thống kê'!$C$3:$M$970,4,0)</f>
        <v>0</v>
      </c>
      <c r="E3645" s="167"/>
      <c r="F3645" s="168">
        <f t="shared" si="15"/>
        <v>0</v>
      </c>
      <c r="G3645" s="75"/>
      <c r="H3645" s="205">
        <v>172295</v>
      </c>
    </row>
    <row r="3646" spans="1:8" ht="13.2">
      <c r="A3646" s="49"/>
      <c r="C3646" s="143" t="e">
        <f>IFERROR(VLOOKUP(B3646,'Thống kê'!$C$3:$D$970,2, FALSE),VLOOKUP(B3646,'Thống kê v2 CC'!$A$3:$D$1005,3, FALSE))</f>
        <v>#N/A</v>
      </c>
      <c r="D3646" s="166" t="e">
        <f>VLOOKUP(B3646,'Thống kê'!$C$3:$M$970,4,0)</f>
        <v>#N/A</v>
      </c>
      <c r="E3646" s="167"/>
      <c r="F3646" s="168" t="e">
        <f t="shared" si="15"/>
        <v>#N/A</v>
      </c>
      <c r="G3646" s="75"/>
      <c r="H3646" s="205">
        <f>323800+316460+13600+111930+124500+111520</f>
        <v>1001810</v>
      </c>
    </row>
    <row r="3647" spans="1:8" ht="13.2">
      <c r="A3647" s="49"/>
      <c r="C3647" s="143" t="e">
        <f>IFERROR(VLOOKUP(B3647,'Thống kê'!$C$3:$D$970,2, FALSE),VLOOKUP(B3647,'Thống kê v2 CC'!$A$3:$D$1005,3, FALSE))</f>
        <v>#N/A</v>
      </c>
      <c r="D3647" s="166" t="e">
        <f>VLOOKUP(B3647,'Thống kê'!$C$3:$M$970,4,0)</f>
        <v>#N/A</v>
      </c>
      <c r="E3647" s="167"/>
      <c r="F3647" s="168" t="e">
        <f t="shared" si="15"/>
        <v>#N/A</v>
      </c>
      <c r="G3647" s="75"/>
      <c r="H3647" s="205">
        <f>45830+103880+52053+34140</f>
        <v>235903</v>
      </c>
    </row>
    <row r="3648" spans="1:8" ht="13.2">
      <c r="A3648" s="49"/>
      <c r="C3648" s="143" t="e">
        <f>IFERROR(VLOOKUP(B3648,'Thống kê'!$C$3:$D$970,2, FALSE),VLOOKUP(B3648,'Thống kê v2 CC'!$A$3:$D$1005,3, FALSE))</f>
        <v>#N/A</v>
      </c>
      <c r="D3648" s="166" t="e">
        <f>VLOOKUP(B3648,'Thống kê'!$C$3:$M$970,4,0)</f>
        <v>#N/A</v>
      </c>
      <c r="E3648" s="167"/>
      <c r="F3648" s="168" t="e">
        <f t="shared" si="15"/>
        <v>#N/A</v>
      </c>
      <c r="G3648" s="75"/>
      <c r="H3648" s="205">
        <f>254440+73953+52053+151890+173020</f>
        <v>705356</v>
      </c>
    </row>
    <row r="3649" spans="1:8" ht="13.2">
      <c r="A3649" s="49"/>
      <c r="C3649" s="143" t="e">
        <f>IFERROR(VLOOKUP(B3649,'Thống kê'!$C$3:$D$970,2, FALSE),VLOOKUP(B3649,'Thống kê v2 CC'!$A$3:$D$1005,3, FALSE))</f>
        <v>#N/A</v>
      </c>
      <c r="D3649" s="166" t="e">
        <f>VLOOKUP(B3649,'Thống kê'!$C$3:$M$970,4,0)</f>
        <v>#N/A</v>
      </c>
      <c r="E3649" s="167"/>
      <c r="F3649" s="168" t="e">
        <f t="shared" si="15"/>
        <v>#N/A</v>
      </c>
      <c r="G3649" s="75"/>
      <c r="H3649" s="205">
        <f>13600+59597+105140+50167</f>
        <v>228504</v>
      </c>
    </row>
    <row r="3650" spans="1:8" ht="13.2">
      <c r="A3650" s="49"/>
      <c r="C3650" s="143" t="e">
        <f>IFERROR(VLOOKUP(B3650,'Thống kê'!$C$3:$D$970,2, FALSE),VLOOKUP(B3650,'Thống kê v2 CC'!$A$3:$D$1005,3, FALSE))</f>
        <v>#N/A</v>
      </c>
      <c r="D3650" s="166" t="e">
        <f>VLOOKUP(B3650,'Thống kê'!$C$3:$M$970,4,0)</f>
        <v>#N/A</v>
      </c>
      <c r="E3650" s="167"/>
      <c r="F3650" s="168" t="e">
        <f t="shared" si="15"/>
        <v>#N/A</v>
      </c>
      <c r="G3650" s="75"/>
      <c r="H3650" s="205">
        <f>105060+48720+113980+150060+21503+58843+54317+31980</f>
        <v>584463</v>
      </c>
    </row>
    <row r="3651" spans="1:8" ht="13.2">
      <c r="A3651" s="49"/>
      <c r="C3651" s="143" t="e">
        <f>IFERROR(VLOOKUP(B3651,'Thống kê'!$C$3:$D$970,2, FALSE),VLOOKUP(B3651,'Thống kê v2 CC'!$A$3:$D$1005,3, FALSE))</f>
        <v>#N/A</v>
      </c>
      <c r="D3651" s="166" t="e">
        <f>VLOOKUP(B3651,'Thống kê'!$C$3:$M$970,4,0)</f>
        <v>#N/A</v>
      </c>
      <c r="E3651" s="167"/>
      <c r="F3651" s="168" t="e">
        <f t="shared" si="15"/>
        <v>#N/A</v>
      </c>
      <c r="G3651" s="75"/>
      <c r="H3651" s="205">
        <f>126280+430500+354240+89773</f>
        <v>1000793</v>
      </c>
    </row>
    <row r="3652" spans="1:8" ht="13.2">
      <c r="A3652" s="49"/>
      <c r="C3652" s="143" t="e">
        <f>IFERROR(VLOOKUP(B3652,'Thống kê'!$C$3:$D$970,2, FALSE),VLOOKUP(B3652,'Thống kê v2 CC'!$A$3:$D$1005,3, FALSE))</f>
        <v>#N/A</v>
      </c>
      <c r="D3652" s="166" t="e">
        <f>VLOOKUP(B3652,'Thống kê'!$C$3:$M$970,4,0)</f>
        <v>#N/A</v>
      </c>
      <c r="E3652" s="167"/>
      <c r="F3652" s="168" t="e">
        <f t="shared" si="15"/>
        <v>#N/A</v>
      </c>
      <c r="G3652" s="75"/>
      <c r="H3652" s="205">
        <f>48438+60324+115830+54317</f>
        <v>278909</v>
      </c>
    </row>
    <row r="3653" spans="1:8" ht="13.2">
      <c r="A3653" s="49"/>
      <c r="C3653" s="143" t="e">
        <f>IFERROR(VLOOKUP(B3653,'Thống kê'!$C$3:$D$970,2, FALSE),VLOOKUP(B3653,'Thống kê v2 CC'!$A$3:$D$1005,3, FALSE))</f>
        <v>#N/A</v>
      </c>
      <c r="D3653" s="166" t="e">
        <f>VLOOKUP(B3653,'Thống kê'!$C$3:$M$970,4,0)</f>
        <v>#N/A</v>
      </c>
      <c r="E3653" s="167"/>
      <c r="F3653" s="168" t="e">
        <f t="shared" si="15"/>
        <v>#N/A</v>
      </c>
      <c r="G3653" s="75"/>
      <c r="H3653" s="205">
        <f>-16500-16500-37700-145981-63369</f>
        <v>-280050</v>
      </c>
    </row>
    <row r="3654" spans="1:8" ht="13.2">
      <c r="A3654" s="49"/>
      <c r="C3654" s="143" t="e">
        <f>IFERROR(VLOOKUP(B3654,'Thống kê'!$C$3:$D$970,2, FALSE),VLOOKUP(B3654,'Thống kê v2 CC'!$A$3:$D$1005,3, FALSE))</f>
        <v>#N/A</v>
      </c>
      <c r="D3654" s="166" t="e">
        <f>VLOOKUP(B3654,'Thống kê'!$C$3:$M$970,4,0)</f>
        <v>#N/A</v>
      </c>
      <c r="E3654" s="167"/>
      <c r="F3654" s="168" t="e">
        <f t="shared" si="15"/>
        <v>#N/A</v>
      </c>
      <c r="G3654" s="75"/>
      <c r="H3654" s="205">
        <f>112368+123000+54317+54317+54317+111780+13225+113980+67199+62644+146080+178760+463140+54317+74685+214140+72171+23944+58871+67896+279426+113160</f>
        <v>2513737</v>
      </c>
    </row>
    <row r="3655" spans="1:8" ht="13.2">
      <c r="A3655" s="49"/>
      <c r="C3655" s="143" t="e">
        <f>IFERROR(VLOOKUP(B3655,'Thống kê'!$C$3:$D$970,2, FALSE),VLOOKUP(B3655,'Thống kê v2 CC'!$A$3:$D$1005,3, FALSE))</f>
        <v>#N/A</v>
      </c>
      <c r="D3655" s="166" t="e">
        <f>VLOOKUP(B3655,'Thống kê'!$C$3:$M$970,4,0)</f>
        <v>#N/A</v>
      </c>
      <c r="E3655" s="167"/>
      <c r="F3655" s="168" t="e">
        <f t="shared" si="15"/>
        <v>#N/A</v>
      </c>
      <c r="G3655" s="75"/>
      <c r="H3655" s="205">
        <f>150060+112590+58871+153135+283885+132611+103680+13600+104960+61861+13600+58871+191790+59597+13200+74685+52053+51419+48438+54317+52053+113980+60516+61861+110899+74685+124500+104960+13600+25502+112880+13770</f>
        <v>2662429</v>
      </c>
    </row>
    <row r="3656" spans="1:8" ht="13.2">
      <c r="A3656" s="49"/>
      <c r="C3656" s="143" t="e">
        <f>IFERROR(VLOOKUP(B3656,'Thống kê'!$C$3:$D$970,2, FALSE),VLOOKUP(B3656,'Thống kê v2 CC'!$A$3:$D$1005,3, FALSE))</f>
        <v>#N/A</v>
      </c>
      <c r="D3656" s="166" t="e">
        <f>VLOOKUP(B3656,'Thống kê'!$C$3:$M$970,4,0)</f>
        <v>#N/A</v>
      </c>
      <c r="E3656" s="167"/>
      <c r="F3656" s="168" t="e">
        <f t="shared" si="15"/>
        <v>#N/A</v>
      </c>
      <c r="G3656" s="75"/>
      <c r="H3656" s="205">
        <f>111520+37350+61861+141860+113980+52053+13770+479700+223827+109880+31980+54317</f>
        <v>1432098</v>
      </c>
    </row>
    <row r="3657" spans="1:8" ht="13.2">
      <c r="A3657" s="49"/>
      <c r="C3657" s="143" t="e">
        <f>IFERROR(VLOOKUP(B3657,'Thống kê'!$C$3:$D$970,2, FALSE),VLOOKUP(B3657,'Thống kê v2 CC'!$A$3:$D$1005,3, FALSE))</f>
        <v>#N/A</v>
      </c>
      <c r="D3657" s="166" t="e">
        <f>VLOOKUP(B3657,'Thống kê'!$C$3:$M$970,4,0)</f>
        <v>#N/A</v>
      </c>
      <c r="E3657" s="167"/>
      <c r="F3657" s="168" t="e">
        <f t="shared" si="15"/>
        <v>#N/A</v>
      </c>
      <c r="G3657" s="75"/>
      <c r="H3657" s="205">
        <f>58465+57450+59597+137760+149240+158440+119620</f>
        <v>740572</v>
      </c>
    </row>
    <row r="3658" spans="1:8" ht="13.2">
      <c r="A3658" s="49"/>
      <c r="C3658" s="143" t="e">
        <f>IFERROR(VLOOKUP(B3658,'Thống kê'!$C$3:$D$970,2, FALSE),VLOOKUP(B3658,'Thống kê v2 CC'!$A$3:$D$1005,3, FALSE))</f>
        <v>#N/A</v>
      </c>
      <c r="D3658" s="166" t="e">
        <f>VLOOKUP(B3658,'Thống kê'!$C$3:$M$970,4,0)</f>
        <v>#N/A</v>
      </c>
      <c r="E3658" s="167"/>
      <c r="F3658" s="168" t="e">
        <f t="shared" si="15"/>
        <v>#N/A</v>
      </c>
      <c r="G3658" s="75"/>
      <c r="H3658" s="205">
        <f>51419+104960+26254+61861+60516+146080+88679+87159+85851+67240+143370+54317+53136+61107+61861+28667+117260+52053+52053+109880+151700+25191+129682+141040+31980+54317+100040+91020+117260+13600</f>
        <v>2369553</v>
      </c>
    </row>
    <row r="3659" spans="1:8" ht="13.2">
      <c r="A3659" s="49"/>
      <c r="C3659" s="143" t="e">
        <f>IFERROR(VLOOKUP(B3659,'Thống kê'!$C$3:$D$970,2, FALSE),VLOOKUP(B3659,'Thống kê v2 CC'!$A$3:$D$1005,3, FALSE))</f>
        <v>#N/A</v>
      </c>
      <c r="D3659" s="166" t="e">
        <f>VLOOKUP(B3659,'Thống kê'!$C$3:$M$970,4,0)</f>
        <v>#N/A</v>
      </c>
      <c r="E3659" s="167"/>
      <c r="F3659" s="168" t="e">
        <f t="shared" si="15"/>
        <v>#N/A</v>
      </c>
      <c r="G3659" s="75"/>
      <c r="H3659" s="205">
        <f>113897+54317+49036+58871+89019+53655+67240+146080+86001+104320+54317+61107+96621+113980+181220+113980+51419+48636+61861+124740+298480+75596+31980+207413+61861+37350+103680</f>
        <v>2546677</v>
      </c>
    </row>
    <row r="3660" spans="1:8" ht="13.2">
      <c r="A3660" s="49"/>
      <c r="C3660" s="143" t="e">
        <f>IFERROR(VLOOKUP(B3660,'Thống kê'!$C$3:$D$970,2, FALSE),VLOOKUP(B3660,'Thống kê v2 CC'!$A$3:$D$1005,3, FALSE))</f>
        <v>#N/A</v>
      </c>
      <c r="D3660" s="166" t="e">
        <f>VLOOKUP(B3660,'Thống kê'!$C$3:$M$970,4,0)</f>
        <v>#N/A</v>
      </c>
      <c r="E3660" s="167"/>
      <c r="F3660" s="168" t="e">
        <f t="shared" si="15"/>
        <v>#N/A</v>
      </c>
      <c r="G3660" s="75"/>
      <c r="H3660" s="205">
        <f>51419+53995+284540+282150+54317+52053</f>
        <v>778474</v>
      </c>
    </row>
    <row r="3661" spans="1:8" ht="13.2">
      <c r="A3661" s="49"/>
      <c r="C3661" s="143" t="e">
        <f>IFERROR(VLOOKUP(B3661,'Thống kê'!$C$3:$D$970,2, FALSE),VLOOKUP(B3661,'Thống kê v2 CC'!$A$3:$D$1005,3, FALSE))</f>
        <v>#N/A</v>
      </c>
      <c r="D3661" s="166" t="e">
        <f>VLOOKUP(B3661,'Thống kê'!$C$3:$M$970,4,0)</f>
        <v>#N/A</v>
      </c>
      <c r="E3661" s="167"/>
      <c r="F3661" s="168" t="e">
        <f t="shared" si="15"/>
        <v>#N/A</v>
      </c>
      <c r="G3661" s="75"/>
      <c r="H3661" s="205">
        <f>60324+231240+124500+148570+49036+70794+49036+48438+26404+52053</f>
        <v>860395</v>
      </c>
    </row>
    <row r="3662" spans="1:8" ht="13.2">
      <c r="A3662" s="49"/>
      <c r="C3662" s="143" t="e">
        <f>IFERROR(VLOOKUP(B3662,'Thống kê'!$C$3:$D$970,2, FALSE),VLOOKUP(B3662,'Thống kê v2 CC'!$A$3:$D$1005,3, FALSE))</f>
        <v>#N/A</v>
      </c>
      <c r="D3662" s="166" t="e">
        <f>VLOOKUP(B3662,'Thống kê'!$C$3:$M$970,4,0)</f>
        <v>#N/A</v>
      </c>
      <c r="E3662" s="167"/>
      <c r="F3662" s="168" t="e">
        <f t="shared" si="15"/>
        <v>#N/A</v>
      </c>
      <c r="G3662" s="75"/>
      <c r="H3662" s="205">
        <f>52053+31980+88044+117865+171720+71668+61861+141860+148570+89773+52053+166615+49036+52053+54317+52053</f>
        <v>1401521</v>
      </c>
    </row>
    <row r="3663" spans="1:8" ht="13.2">
      <c r="A3663" s="49"/>
      <c r="C3663" s="143" t="e">
        <f>IFERROR(VLOOKUP(B3663,'Thống kê'!$C$3:$D$970,2, FALSE),VLOOKUP(B3663,'Thống kê v2 CC'!$A$3:$D$1005,3, FALSE))</f>
        <v>#N/A</v>
      </c>
      <c r="D3663" s="166" t="e">
        <f>VLOOKUP(B3663,'Thống kê'!$C$3:$M$970,4,0)</f>
        <v>#N/A</v>
      </c>
      <c r="E3663" s="167"/>
      <c r="F3663" s="168" t="e">
        <f t="shared" si="15"/>
        <v>#N/A</v>
      </c>
      <c r="G3663" s="75"/>
      <c r="H3663" s="205">
        <f>748045+709932+748045+25191+85280+58302+52053+159080+146080+278050+104960+51450+91020+31752+31980+71668</f>
        <v>3392888</v>
      </c>
    </row>
    <row r="3664" spans="1:8" ht="13.2">
      <c r="A3664" s="49"/>
      <c r="C3664" s="143" t="e">
        <f>IFERROR(VLOOKUP(B3664,'Thống kê'!$C$3:$D$970,2, FALSE),VLOOKUP(B3664,'Thống kê v2 CC'!$A$3:$D$1005,3, FALSE))</f>
        <v>#N/A</v>
      </c>
      <c r="D3664" s="166" t="e">
        <f>VLOOKUP(B3664,'Thống kê'!$C$3:$M$970,4,0)</f>
        <v>#N/A</v>
      </c>
      <c r="E3664" s="167"/>
      <c r="F3664" s="168" t="e">
        <f t="shared" si="15"/>
        <v>#N/A</v>
      </c>
      <c r="G3664" s="75"/>
      <c r="H3664" s="205">
        <f>269750</f>
        <v>269750</v>
      </c>
    </row>
    <row r="3665" spans="1:8" ht="13.2">
      <c r="A3665" s="49"/>
      <c r="C3665" s="143" t="e">
        <f>IFERROR(VLOOKUP(B3665,'Thống kê'!$C$3:$D$970,2, FALSE),VLOOKUP(B3665,'Thống kê v2 CC'!$A$3:$D$1005,3, FALSE))</f>
        <v>#N/A</v>
      </c>
      <c r="D3665" s="166" t="e">
        <f>VLOOKUP(B3665,'Thống kê'!$C$3:$M$970,4,0)</f>
        <v>#N/A</v>
      </c>
      <c r="E3665" s="167"/>
      <c r="F3665" s="168" t="e">
        <f t="shared" si="15"/>
        <v>#N/A</v>
      </c>
      <c r="G3665" s="75"/>
      <c r="H3665" s="205">
        <f>161020</f>
        <v>161020</v>
      </c>
    </row>
    <row r="3666" spans="1:8" ht="13.2">
      <c r="A3666" s="49"/>
      <c r="C3666" s="143" t="e">
        <f>IFERROR(VLOOKUP(B3666,'Thống kê'!$C$3:$D$970,2, FALSE),VLOOKUP(B3666,'Thống kê v2 CC'!$A$3:$D$1005,3, FALSE))</f>
        <v>#N/A</v>
      </c>
      <c r="D3666" s="166" t="e">
        <f>VLOOKUP(B3666,'Thống kê'!$C$3:$M$970,4,0)</f>
        <v>#N/A</v>
      </c>
      <c r="E3666" s="167"/>
      <c r="F3666" s="168" t="e">
        <f t="shared" si="15"/>
        <v>#N/A</v>
      </c>
      <c r="G3666" s="75"/>
      <c r="H3666" s="205">
        <f>118490+204590</f>
        <v>323080</v>
      </c>
    </row>
    <row r="3667" spans="1:8" ht="13.2">
      <c r="A3667" s="64">
        <v>45828</v>
      </c>
      <c r="C3667" s="143" t="e">
        <f>IFERROR(VLOOKUP(B3667,'Thống kê'!$C$3:$D$970,2, FALSE),VLOOKUP(B3667,'Thống kê v2 CC'!$A$3:$D$1005,3, FALSE))</f>
        <v>#N/A</v>
      </c>
      <c r="D3667" s="166" t="e">
        <f>VLOOKUP(B3667,'Thống kê'!$C$3:$M$970,4,0)</f>
        <v>#N/A</v>
      </c>
      <c r="E3667" s="167"/>
      <c r="F3667" s="168" t="e">
        <f t="shared" si="15"/>
        <v>#N/A</v>
      </c>
      <c r="G3667" s="75"/>
      <c r="H3667" s="205">
        <f>61861+71668+113254+92791+71668+56580+84953+45252+60324+161020+60516+117069+94355+31980+51419+391140+26404+115830</f>
        <v>1708084</v>
      </c>
    </row>
    <row r="3668" spans="1:8" ht="13.2">
      <c r="A3668" s="49"/>
      <c r="C3668" s="143" t="e">
        <f>IFERROR(VLOOKUP(B3668,'Thống kê'!$C$3:$D$970,2, FALSE),VLOOKUP(B3668,'Thống kê v2 CC'!$A$3:$D$1005,3, FALSE))</f>
        <v>#N/A</v>
      </c>
      <c r="D3668" s="166" t="e">
        <f>VLOOKUP(B3668,'Thống kê'!$C$3:$M$970,4,0)</f>
        <v>#N/A</v>
      </c>
      <c r="E3668" s="167"/>
      <c r="F3668" s="168" t="e">
        <f t="shared" si="15"/>
        <v>#N/A</v>
      </c>
      <c r="G3668" s="75"/>
      <c r="H3668" s="205">
        <f>71668+71668+198542+195050+52053+59597+71668</f>
        <v>720246</v>
      </c>
    </row>
    <row r="3669" spans="1:8" ht="13.2">
      <c r="A3669" s="49"/>
      <c r="C3669" s="143" t="e">
        <f>IFERROR(VLOOKUP(B3669,'Thống kê'!$C$3:$D$970,2, FALSE),VLOOKUP(B3669,'Thống kê v2 CC'!$A$3:$D$1005,3, FALSE))</f>
        <v>#N/A</v>
      </c>
      <c r="D3669" s="166" t="e">
        <f>VLOOKUP(B3669,'Thống kê'!$C$3:$M$970,4,0)</f>
        <v>#N/A</v>
      </c>
      <c r="E3669" s="167"/>
      <c r="F3669" s="168" t="e">
        <f t="shared" si="15"/>
        <v>#N/A</v>
      </c>
      <c r="G3669" s="75"/>
      <c r="H3669" s="205">
        <f>-16500-42500-28700-16500</f>
        <v>-104200</v>
      </c>
    </row>
    <row r="3670" spans="1:8" ht="13.2">
      <c r="A3670" s="49"/>
      <c r="C3670" s="143" t="e">
        <f>IFERROR(VLOOKUP(B3670,'Thống kê'!$C$3:$D$970,2, FALSE),VLOOKUP(B3670,'Thống kê v2 CC'!$A$3:$D$1005,3, FALSE))</f>
        <v>#N/A</v>
      </c>
      <c r="D3670" s="166" t="e">
        <f>VLOOKUP(B3670,'Thống kê'!$C$3:$M$970,4,0)</f>
        <v>#N/A</v>
      </c>
      <c r="E3670" s="167"/>
      <c r="F3670" s="168" t="e">
        <f t="shared" si="15"/>
        <v>#N/A</v>
      </c>
      <c r="G3670" s="75"/>
      <c r="H3670" s="205">
        <f>74685+45830+25502+104810+155520+77900+74685+629002+52053+54317+54317+110160+54317</f>
        <v>1513098</v>
      </c>
    </row>
    <row r="3671" spans="1:8" ht="13.2">
      <c r="A3671" s="49"/>
      <c r="C3671" s="143" t="e">
        <f>IFERROR(VLOOKUP(B3671,'Thống kê'!$C$3:$D$970,2, FALSE),VLOOKUP(B3671,'Thống kê v2 CC'!$A$3:$D$1005,3, FALSE))</f>
        <v>#N/A</v>
      </c>
      <c r="D3671" s="166" t="e">
        <f>VLOOKUP(B3671,'Thống kê'!$C$3:$M$970,4,0)</f>
        <v>#N/A</v>
      </c>
      <c r="E3671" s="167"/>
      <c r="F3671" s="168" t="e">
        <f t="shared" si="15"/>
        <v>#N/A</v>
      </c>
      <c r="G3671" s="75"/>
      <c r="H3671" s="205">
        <f>54317+56608+54317+54317+53655+109880+54317+53655+145960+72171+58721+74535+59924+58843+161020+182040+159080</f>
        <v>1463360</v>
      </c>
    </row>
    <row r="3672" spans="1:8" ht="13.2">
      <c r="A3672" s="49"/>
      <c r="C3672" s="143" t="e">
        <f>IFERROR(VLOOKUP(B3672,'Thống kê'!$C$3:$D$970,2, FALSE),VLOOKUP(B3672,'Thống kê v2 CC'!$A$3:$D$1005,3, FALSE))</f>
        <v>#N/A</v>
      </c>
      <c r="D3672" s="166" t="e">
        <f>VLOOKUP(B3672,'Thống kê'!$C$3:$M$970,4,0)</f>
        <v>#N/A</v>
      </c>
      <c r="E3672" s="167"/>
      <c r="F3672" s="168" t="e">
        <f t="shared" si="15"/>
        <v>#N/A</v>
      </c>
      <c r="G3672" s="75"/>
      <c r="H3672" s="205">
        <f>112258+142970+109880+50544+135355+61036+54167</f>
        <v>666210</v>
      </c>
    </row>
    <row r="3673" spans="1:8" ht="13.2">
      <c r="A3673" s="49"/>
      <c r="C3673" s="143" t="e">
        <f>IFERROR(VLOOKUP(B3673,'Thống kê'!$C$3:$D$970,2, FALSE),VLOOKUP(B3673,'Thống kê v2 CC'!$A$3:$D$1005,3, FALSE))</f>
        <v>#N/A</v>
      </c>
      <c r="D3673" s="166" t="e">
        <f>VLOOKUP(B3673,'Thống kê'!$C$3:$M$970,4,0)</f>
        <v>#N/A</v>
      </c>
      <c r="E3673" s="167"/>
      <c r="F3673" s="168" t="e">
        <f t="shared" si="15"/>
        <v>#N/A</v>
      </c>
      <c r="G3673" s="75"/>
      <c r="H3673" s="205">
        <f>196321+54317+112880+109880+74310+334490+73860+53136</f>
        <v>1009194</v>
      </c>
    </row>
    <row r="3674" spans="1:8" ht="13.2">
      <c r="A3674" s="49"/>
      <c r="C3674" s="143" t="e">
        <f>IFERROR(VLOOKUP(B3674,'Thống kê'!$C$3:$D$970,2, FALSE),VLOOKUP(B3674,'Thống kê v2 CC'!$A$3:$D$1005,3, FALSE))</f>
        <v>#N/A</v>
      </c>
      <c r="D3674" s="166" t="e">
        <f>VLOOKUP(B3674,'Thống kê'!$C$3:$M$970,4,0)</f>
        <v>#N/A</v>
      </c>
      <c r="E3674" s="167"/>
      <c r="F3674" s="168" t="e">
        <f t="shared" si="15"/>
        <v>#N/A</v>
      </c>
      <c r="G3674" s="75"/>
      <c r="H3674" s="205">
        <f>51450+89773+150790+51828+62597+47790+52053+108540+114300+58871+109880+58671+100826+54317+166460+54317+58871</f>
        <v>1391334</v>
      </c>
    </row>
    <row r="3675" spans="1:8" ht="13.2">
      <c r="A3675" s="49"/>
      <c r="C3675" s="143" t="e">
        <f>IFERROR(VLOOKUP(B3675,'Thống kê'!$C$3:$D$970,2, FALSE),VLOOKUP(B3675,'Thống kê v2 CC'!$A$3:$D$1005,3, FALSE))</f>
        <v>#N/A</v>
      </c>
      <c r="D3675" s="166" t="e">
        <f>VLOOKUP(B3675,'Thống kê'!$C$3:$M$970,4,0)</f>
        <v>#N/A</v>
      </c>
      <c r="E3675" s="167"/>
      <c r="F3675" s="168" t="e">
        <f t="shared" si="15"/>
        <v>#N/A</v>
      </c>
      <c r="G3675" s="75"/>
      <c r="H3675" s="205">
        <f>100826+23944+232060+62397+60324+136120+59778+71668+49036+54317+49036+302950+31980+213200+149240+170560+124500</f>
        <v>1891936</v>
      </c>
    </row>
    <row r="3676" spans="1:8" ht="13.2">
      <c r="A3676" s="49"/>
      <c r="C3676" s="143" t="e">
        <f>IFERROR(VLOOKUP(B3676,'Thống kê'!$C$3:$D$970,2, FALSE),VLOOKUP(B3676,'Thống kê v2 CC'!$A$3:$D$1005,3, FALSE))</f>
        <v>#N/A</v>
      </c>
      <c r="D3676" s="166" t="e">
        <f>VLOOKUP(B3676,'Thống kê'!$C$3:$M$970,4,0)</f>
        <v>#N/A</v>
      </c>
      <c r="E3676" s="167"/>
      <c r="F3676" s="168" t="e">
        <f t="shared" si="15"/>
        <v>#N/A</v>
      </c>
      <c r="G3676" s="75"/>
      <c r="H3676" s="205">
        <v>-32700</v>
      </c>
    </row>
    <row r="3677" spans="1:8" ht="13.2">
      <c r="A3677" s="49"/>
      <c r="C3677" s="143" t="e">
        <f>IFERROR(VLOOKUP(B3677,'Thống kê'!$C$3:$D$970,2, FALSE),VLOOKUP(B3677,'Thống kê v2 CC'!$A$3:$D$1005,3, FALSE))</f>
        <v>#N/A</v>
      </c>
      <c r="D3677" s="166" t="e">
        <f>VLOOKUP(B3677,'Thống kê'!$C$3:$M$970,4,0)</f>
        <v>#N/A</v>
      </c>
      <c r="E3677" s="167"/>
      <c r="F3677" s="168" t="e">
        <f t="shared" si="15"/>
        <v>#N/A</v>
      </c>
      <c r="G3677" s="75"/>
      <c r="H3677" s="205">
        <f>170560+60324+110740+59597+54317+145140+234549+61861+172457+117260+146080+49036+113241+61861+53655+118067+51419+54317+107420</f>
        <v>1941901</v>
      </c>
    </row>
    <row r="3678" spans="1:8" ht="13.2">
      <c r="A3678" s="64">
        <v>45834</v>
      </c>
      <c r="C3678" s="143" t="e">
        <f>IFERROR(VLOOKUP(B3678,'Thống kê'!$C$3:$D$970,2, FALSE),VLOOKUP(B3678,'Thống kê v2 CC'!$A$3:$D$1005,3, FALSE))</f>
        <v>#N/A</v>
      </c>
      <c r="D3678" s="166" t="e">
        <f>VLOOKUP(B3678,'Thống kê'!$C$3:$M$970,4,0)</f>
        <v>#N/A</v>
      </c>
      <c r="E3678" s="167"/>
      <c r="F3678" s="168" t="e">
        <f t="shared" si="15"/>
        <v>#N/A</v>
      </c>
      <c r="G3678" s="75"/>
      <c r="H3678" s="205">
        <f>71668+164820+166039+51419+112880+110160+25666+117260+74685+104960+124500+59597+31980+109880</f>
        <v>1325514</v>
      </c>
    </row>
    <row r="3679" spans="1:8" ht="13.2">
      <c r="A3679" s="64">
        <v>45835</v>
      </c>
      <c r="C3679" s="143" t="e">
        <f>IFERROR(VLOOKUP(B3679,'Thống kê'!$C$3:$D$970,2, FALSE),VLOOKUP(B3679,'Thống kê v2 CC'!$A$3:$D$1005,3, FALSE))</f>
        <v>#N/A</v>
      </c>
      <c r="D3679" s="166" t="e">
        <f>VLOOKUP(B3679,'Thống kê'!$C$3:$M$970,4,0)</f>
        <v>#N/A</v>
      </c>
      <c r="E3679" s="167"/>
      <c r="F3679" s="168" t="e">
        <f t="shared" si="15"/>
        <v>#N/A</v>
      </c>
      <c r="G3679" s="75"/>
      <c r="H3679" s="205">
        <f>56583+96760+54317+109880+49036+46395+106190+49036+113980+76420+109880+53655</f>
        <v>922132</v>
      </c>
    </row>
    <row r="3680" spans="1:8" ht="13.2">
      <c r="A3680" s="49"/>
      <c r="C3680" s="143" t="e">
        <f>IFERROR(VLOOKUP(B3680,'Thống kê'!$C$3:$D$970,2, FALSE),VLOOKUP(B3680,'Thống kê v2 CC'!$A$3:$D$1005,3, FALSE))</f>
        <v>#N/A</v>
      </c>
      <c r="D3680" s="166" t="e">
        <f>VLOOKUP(B3680,'Thống kê'!$C$3:$M$970,4,0)</f>
        <v>#N/A</v>
      </c>
      <c r="E3680" s="167"/>
      <c r="F3680" s="168" t="e">
        <f t="shared" si="15"/>
        <v>#N/A</v>
      </c>
      <c r="G3680" s="75"/>
      <c r="H3680" s="205">
        <f>53655+109880+54317+141100+169740+109880+113980+112590+99220+160351+99220+113201+51419</f>
        <v>1388553</v>
      </c>
    </row>
    <row r="3681" spans="1:8" ht="13.2">
      <c r="A3681" s="49"/>
      <c r="C3681" s="143" t="e">
        <f>IFERROR(VLOOKUP(B3681,'Thống kê'!$C$3:$D$970,2, FALSE),VLOOKUP(B3681,'Thống kê v2 CC'!$A$3:$D$1005,3, FALSE))</f>
        <v>#N/A</v>
      </c>
      <c r="D3681" s="166" t="e">
        <f>VLOOKUP(B3681,'Thống kê'!$C$3:$M$970,4,0)</f>
        <v>#N/A</v>
      </c>
      <c r="E3681" s="167"/>
      <c r="F3681" s="168" t="e">
        <f t="shared" si="15"/>
        <v>#N/A</v>
      </c>
      <c r="G3681" s="75"/>
      <c r="H3681" s="205">
        <f>52053+220127+52053</f>
        <v>324233</v>
      </c>
    </row>
    <row r="3682" spans="1:8" ht="13.2">
      <c r="A3682" s="64">
        <v>45839</v>
      </c>
      <c r="C3682" s="143" t="e">
        <f>IFERROR(VLOOKUP(B3682,'Thống kê'!$C$3:$D$970,2, FALSE),VLOOKUP(B3682,'Thống kê v2 CC'!$A$3:$D$1005,3, FALSE))</f>
        <v>#N/A</v>
      </c>
      <c r="D3682" s="166" t="e">
        <f>VLOOKUP(B3682,'Thống kê'!$C$3:$M$970,4,0)</f>
        <v>#N/A</v>
      </c>
      <c r="E3682" s="167"/>
      <c r="F3682" s="168" t="e">
        <f t="shared" si="15"/>
        <v>#N/A</v>
      </c>
      <c r="G3682" s="75"/>
      <c r="H3682" s="205">
        <f>119240+146080+137627+146080+146726+46245+104960+161020</f>
        <v>1007978</v>
      </c>
    </row>
    <row r="3683" spans="1:8" ht="13.2">
      <c r="A3683" s="49"/>
      <c r="C3683" s="143" t="e">
        <f>IFERROR(VLOOKUP(B3683,'Thống kê'!$C$3:$D$970,2, FALSE),VLOOKUP(B3683,'Thống kê v2 CC'!$A$3:$D$1005,3, FALSE))</f>
        <v>#N/A</v>
      </c>
      <c r="D3683" s="166" t="e">
        <f>VLOOKUP(B3683,'Thống kê'!$C$3:$M$970,4,0)</f>
        <v>#N/A</v>
      </c>
      <c r="E3683" s="167"/>
      <c r="F3683" s="168" t="e">
        <f t="shared" si="15"/>
        <v>#N/A</v>
      </c>
      <c r="G3683" s="75"/>
      <c r="H3683" s="205">
        <f>56490+105807+85493+68388</f>
        <v>316178</v>
      </c>
    </row>
    <row r="3684" spans="1:8" ht="13.2">
      <c r="A3684" s="49"/>
      <c r="C3684" s="143" t="e">
        <f>IFERROR(VLOOKUP(B3684,'Thống kê'!$C$3:$D$970,2, FALSE),VLOOKUP(B3684,'Thống kê v2 CC'!$A$3:$D$1005,3, FALSE))</f>
        <v>#N/A</v>
      </c>
      <c r="D3684" s="166" t="e">
        <f>VLOOKUP(B3684,'Thống kê'!$C$3:$M$970,4,0)</f>
        <v>#N/A</v>
      </c>
      <c r="E3684" s="167"/>
      <c r="F3684" s="168" t="e">
        <f t="shared" si="15"/>
        <v>#N/A</v>
      </c>
      <c r="G3684" s="75"/>
      <c r="H3684" s="205">
        <f>94792+55028+205381+201620+49887+44105+55747+95990+79544+163509+113987+48311+140069</f>
        <v>1347970</v>
      </c>
    </row>
    <row r="3685" spans="1:8" ht="13.2">
      <c r="A3685" s="49"/>
      <c r="C3685" s="143" t="e">
        <f>IFERROR(VLOOKUP(B3685,'Thống kê'!$C$3:$D$970,2, FALSE),VLOOKUP(B3685,'Thống kê v2 CC'!$A$3:$D$1005,3, FALSE))</f>
        <v>#N/A</v>
      </c>
      <c r="D3685" s="166" t="e">
        <f>VLOOKUP(B3685,'Thống kê'!$C$3:$M$970,4,0)</f>
        <v>#N/A</v>
      </c>
      <c r="E3685" s="167"/>
      <c r="F3685" s="168" t="e">
        <f t="shared" si="15"/>
        <v>#N/A</v>
      </c>
      <c r="G3685" s="75"/>
      <c r="H3685" s="205">
        <f>76538+103986+57978+50543+50543+113396+85493+223327+70620+50543+89212+50543+57978+60208+42541+105313+97230+95990+99195+196624+50543+113987+94792</f>
        <v>2037123</v>
      </c>
    </row>
    <row r="3686" spans="1:8" ht="13.2">
      <c r="A3686" s="49"/>
      <c r="C3686" s="143" t="e">
        <f>IFERROR(VLOOKUP(B3686,'Thống kê'!$C$3:$D$970,2, FALSE),VLOOKUP(B3686,'Thống kê v2 CC'!$A$3:$D$1005,3, FALSE))</f>
        <v>#N/A</v>
      </c>
      <c r="D3686" s="166" t="e">
        <f>VLOOKUP(B3686,'Thống kê'!$C$3:$M$970,4,0)</f>
        <v>#N/A</v>
      </c>
      <c r="E3686" s="167"/>
      <c r="F3686" s="168" t="e">
        <f t="shared" si="15"/>
        <v>#N/A</v>
      </c>
      <c r="G3686" s="75"/>
      <c r="H3686" s="205">
        <f>95990+50543+57978+50543+225748+105313+152601+105313+150149+208372+94792+105313+46452+392778+169804</f>
        <v>2011689</v>
      </c>
    </row>
    <row r="3687" spans="1:8" ht="13.2">
      <c r="A3687" s="63" t="s">
        <v>1892</v>
      </c>
      <c r="C3687" s="143" t="e">
        <f>IFERROR(VLOOKUP(B3687,'Thống kê'!$C$3:$D$970,2, FALSE),VLOOKUP(B3687,'Thống kê v2 CC'!$A$3:$D$1005,3, FALSE))</f>
        <v>#N/A</v>
      </c>
      <c r="D3687" s="166" t="e">
        <f>VLOOKUP(B3687,'Thống kê'!$C$3:$M$970,4,0)</f>
        <v>#N/A</v>
      </c>
      <c r="E3687" s="167"/>
      <c r="F3687" s="168" t="e">
        <f t="shared" si="15"/>
        <v>#N/A</v>
      </c>
      <c r="G3687" s="75"/>
      <c r="H3687" s="205">
        <f>95990+49887+100867+44690+97230+50543+196624+47682+135219+169146+50543+89212+50543+94792</f>
        <v>1272968</v>
      </c>
    </row>
    <row r="3688" spans="1:8" ht="13.2">
      <c r="A3688" s="49"/>
      <c r="C3688" s="143" t="e">
        <f>IFERROR(VLOOKUP(B3688,'Thống kê'!$C$3:$D$970,2, FALSE),VLOOKUP(B3688,'Thống kê v2 CC'!$A$3:$D$1005,3, FALSE))</f>
        <v>#N/A</v>
      </c>
      <c r="D3688" s="166" t="e">
        <f>VLOOKUP(B3688,'Thống kê'!$C$3:$M$970,4,0)</f>
        <v>#N/A</v>
      </c>
      <c r="E3688" s="167"/>
      <c r="F3688" s="168" t="e">
        <f t="shared" si="15"/>
        <v>#N/A</v>
      </c>
      <c r="G3688" s="75"/>
      <c r="H3688" s="205">
        <f>328420+50543</f>
        <v>378963</v>
      </c>
    </row>
    <row r="3689" spans="1:8" ht="13.2">
      <c r="A3689" s="63" t="s">
        <v>1893</v>
      </c>
      <c r="C3689" s="143" t="e">
        <f>IFERROR(VLOOKUP(B3689,'Thống kê'!$C$3:$D$970,2, FALSE),VLOOKUP(B3689,'Thống kê v2 CC'!$A$3:$D$1005,3, FALSE))</f>
        <v>#N/A</v>
      </c>
      <c r="D3689" s="166" t="e">
        <f>VLOOKUP(B3689,'Thống kê'!$C$3:$M$970,4,0)</f>
        <v>#N/A</v>
      </c>
      <c r="E3689" s="167"/>
      <c r="F3689" s="168" t="e">
        <f t="shared" si="15"/>
        <v>#N/A</v>
      </c>
      <c r="G3689" s="75"/>
      <c r="H3689" s="205">
        <f>45337+43106+95990+50543+151384+105313+231794+96002+105313+48311+50543+46452+49887+55004+50543+49887+119120+25257</f>
        <v>1419786</v>
      </c>
    </row>
    <row r="3690" spans="1:8" ht="13.2">
      <c r="A3690" s="64"/>
      <c r="C3690" s="143" t="e">
        <f>IFERROR(VLOOKUP(B3690,'Thống kê'!$C$3:$D$970,2, FALSE),VLOOKUP(B3690,'Thống kê v2 CC'!$A$3:$D$1005,3, FALSE))</f>
        <v>#N/A</v>
      </c>
      <c r="D3690" s="166" t="e">
        <f>VLOOKUP(B3690,'Thống kê'!$C$3:$M$970,4,0)</f>
        <v>#N/A</v>
      </c>
      <c r="E3690" s="167"/>
      <c r="F3690" s="168" t="e">
        <f t="shared" si="15"/>
        <v>#N/A</v>
      </c>
      <c r="G3690" s="75"/>
      <c r="H3690" s="205">
        <f>109354+104502+186542+50543+106173+105313+140985+85493+49887+55747</f>
        <v>994539</v>
      </c>
    </row>
    <row r="3691" spans="1:8" ht="13.2">
      <c r="A3691" s="63" t="s">
        <v>1894</v>
      </c>
      <c r="C3691" s="143" t="e">
        <f>IFERROR(VLOOKUP(B3691,'Thống kê'!$C$3:$D$970,2, FALSE),VLOOKUP(B3691,'Thống kê v2 CC'!$A$3:$D$1005,3, FALSE))</f>
        <v>#N/A</v>
      </c>
      <c r="D3691" s="166" t="e">
        <f>VLOOKUP(B3691,'Thống kê'!$C$3:$M$970,4,0)</f>
        <v>#N/A</v>
      </c>
      <c r="E3691" s="167"/>
      <c r="F3691" s="168" t="e">
        <f t="shared" si="15"/>
        <v>#N/A</v>
      </c>
      <c r="G3691" s="75"/>
      <c r="H3691" s="205">
        <f>167551+9271+143962+50543+53889+627754+95990+23027+50543+55028+95990</f>
        <v>1373548</v>
      </c>
    </row>
    <row r="3692" spans="1:8" ht="13.2">
      <c r="A3692" s="49"/>
      <c r="C3692" s="143" t="e">
        <f>IFERROR(VLOOKUP(B3692,'Thống kê'!$C$3:$D$970,2, FALSE),VLOOKUP(B3692,'Thống kê v2 CC'!$A$3:$D$1005,3, FALSE))</f>
        <v>#N/A</v>
      </c>
      <c r="D3692" s="166" t="e">
        <f>VLOOKUP(B3692,'Thống kê'!$C$3:$M$970,4,0)</f>
        <v>#N/A</v>
      </c>
      <c r="E3692" s="167"/>
      <c r="F3692" s="168" t="e">
        <f t="shared" si="15"/>
        <v>#N/A</v>
      </c>
      <c r="G3692" s="75"/>
      <c r="H3692" s="205">
        <f>50543+193406+99195+170322+150149+28524+159468+159468+102482</f>
        <v>1113557</v>
      </c>
    </row>
    <row r="3693" spans="1:8" ht="13.2">
      <c r="A3693" s="49"/>
      <c r="C3693" s="143" t="e">
        <f>IFERROR(VLOOKUP(B3693,'Thống kê'!$C$3:$D$970,2, FALSE),VLOOKUP(B3693,'Thống kê v2 CC'!$A$3:$D$1005,3, FALSE))</f>
        <v>#N/A</v>
      </c>
      <c r="D3693" s="166" t="e">
        <f>VLOOKUP(B3693,'Thống kê'!$C$3:$M$970,4,0)</f>
        <v>#N/A</v>
      </c>
      <c r="E3693" s="167"/>
      <c r="F3693" s="168" t="e">
        <f t="shared" si="15"/>
        <v>#N/A</v>
      </c>
      <c r="G3693" s="75"/>
      <c r="H3693" s="205">
        <f>113987+75826+139350+50543+50543+199070+55004+115011+47682+95990+50543+27990+28377+50543+349471+122286+122988+28377+413412+507769+50543+50543+48311+71513+233430+67646+106928+47682+23027+50543</f>
        <v>3394928</v>
      </c>
    </row>
    <row r="3694" spans="1:8" ht="13.2">
      <c r="A3694" s="49"/>
      <c r="C3694" s="143" t="e">
        <f>IFERROR(VLOOKUP(B3694,'Thống kê'!$C$3:$D$970,2, FALSE),VLOOKUP(B3694,'Thống kê v2 CC'!$A$3:$D$1005,3, FALSE))</f>
        <v>#N/A</v>
      </c>
      <c r="D3694" s="166" t="e">
        <f>VLOOKUP(B3694,'Thống kê'!$C$3:$M$970,4,0)</f>
        <v>#N/A</v>
      </c>
      <c r="E3694" s="167"/>
      <c r="F3694" s="168" t="e">
        <f t="shared" si="15"/>
        <v>#N/A</v>
      </c>
      <c r="G3694" s="75"/>
      <c r="H3694" s="205">
        <f>208372+215241+230728+105313+50543</f>
        <v>810197</v>
      </c>
    </row>
    <row r="3695" spans="1:8" ht="13.2">
      <c r="A3695" s="63" t="s">
        <v>1895</v>
      </c>
      <c r="C3695" s="143" t="e">
        <f>IFERROR(VLOOKUP(B3695,'Thống kê'!$C$3:$D$970,2, FALSE),VLOOKUP(B3695,'Thống kê v2 CC'!$A$3:$D$1005,3, FALSE))</f>
        <v>#N/A</v>
      </c>
      <c r="D3695" s="166" t="e">
        <f>VLOOKUP(B3695,'Thống kê'!$C$3:$M$970,4,0)</f>
        <v>#N/A</v>
      </c>
      <c r="E3695" s="167"/>
      <c r="F3695" s="168" t="e">
        <f t="shared" si="15"/>
        <v>#N/A</v>
      </c>
      <c r="G3695" s="75"/>
      <c r="H3695" s="205">
        <f>177250+175710+49887+49887+23027+155712+150149+154618+102887+259664+55028+140069+49887+100462+47682+102874+106173+47682+111170+49887+48311+52773</f>
        <v>2210789</v>
      </c>
    </row>
    <row r="3696" spans="1:8" ht="13.2">
      <c r="A3696" s="63" t="s">
        <v>1896</v>
      </c>
      <c r="C3696" s="143" t="e">
        <f>IFERROR(VLOOKUP(B3696,'Thống kê'!$C$3:$D$970,2, FALSE),VLOOKUP(B3696,'Thống kê v2 CC'!$A$3:$D$1005,3, FALSE))</f>
        <v>#N/A</v>
      </c>
      <c r="D3696" s="166" t="e">
        <f>VLOOKUP(B3696,'Thống kê'!$C$3:$M$970,4,0)</f>
        <v>#N/A</v>
      </c>
      <c r="E3696" s="167"/>
      <c r="F3696" s="168" t="e">
        <f t="shared" si="15"/>
        <v>#N/A</v>
      </c>
      <c r="G3696" s="75"/>
      <c r="H3696" s="205">
        <f>81774+159468+81120+71735+55028+75826+140069+48311+95990+28524+159799</f>
        <v>997644</v>
      </c>
    </row>
    <row r="3697" spans="1:8" ht="13.2">
      <c r="A3697" s="63" t="s">
        <v>1897</v>
      </c>
      <c r="C3697" s="143" t="e">
        <f>IFERROR(VLOOKUP(B3697,'Thống kê'!$C$3:$D$970,2, FALSE),VLOOKUP(B3697,'Thống kê v2 CC'!$A$3:$D$1005,3, FALSE))</f>
        <v>#N/A</v>
      </c>
      <c r="D3697" s="166" t="e">
        <f>VLOOKUP(B3697,'Thống kê'!$C$3:$M$970,4,0)</f>
        <v>#N/A</v>
      </c>
      <c r="E3697" s="167"/>
      <c r="F3697" s="168" t="e">
        <f t="shared" si="15"/>
        <v>#N/A</v>
      </c>
      <c r="G3697" s="75"/>
      <c r="H3697" s="205">
        <f>47745+51311+155712+50543+174997+57978+130368+246360+45337+95990+50543+50543</f>
        <v>1157427</v>
      </c>
    </row>
    <row r="3698" spans="1:8" ht="13.2">
      <c r="A3698" s="49"/>
      <c r="C3698" s="143" t="e">
        <f>IFERROR(VLOOKUP(B3698,'Thống kê'!$C$3:$D$970,2, FALSE),VLOOKUP(B3698,'Thống kê v2 CC'!$A$3:$D$1005,3, FALSE))</f>
        <v>#N/A</v>
      </c>
      <c r="D3698" s="166" t="e">
        <f>VLOOKUP(B3698,'Thống kê'!$C$3:$M$970,4,0)</f>
        <v>#N/A</v>
      </c>
      <c r="E3698" s="167"/>
      <c r="F3698" s="168" t="e">
        <f t="shared" si="15"/>
        <v>#N/A</v>
      </c>
      <c r="G3698" s="75"/>
      <c r="H3698" s="205">
        <f>108313+53543+170551+108313+325220+53543+101445+50682+36814</f>
        <v>1008424</v>
      </c>
    </row>
    <row r="3699" spans="1:8" ht="13.2">
      <c r="A3699" s="63" t="s">
        <v>1898</v>
      </c>
      <c r="C3699" s="143" t="e">
        <f>IFERROR(VLOOKUP(B3699,'Thống kê'!$C$3:$D$970,2, FALSE),VLOOKUP(B3699,'Thống kê v2 CC'!$A$3:$D$1005,3, FALSE))</f>
        <v>#N/A</v>
      </c>
      <c r="D3699" s="166" t="e">
        <f>VLOOKUP(B3699,'Thống kê'!$C$3:$M$970,4,0)</f>
        <v>#N/A</v>
      </c>
      <c r="E3699" s="167"/>
      <c r="F3699" s="168" t="e">
        <f t="shared" si="15"/>
        <v>#N/A</v>
      </c>
      <c r="G3699" s="75"/>
      <c r="H3699" s="205">
        <f>97029+53543+60978+69781+58747+219858+279671+49887+47682+168067</f>
        <v>1105243</v>
      </c>
    </row>
    <row r="3700" spans="1:8" ht="13.2">
      <c r="A3700" s="49"/>
      <c r="C3700" s="143" t="e">
        <f>IFERROR(VLOOKUP(B3700,'Thống kê'!$C$3:$D$970,2, FALSE),VLOOKUP(B3700,'Thống kê v2 CC'!$A$3:$D$1005,3, FALSE))</f>
        <v>#N/A</v>
      </c>
      <c r="D3700" s="166" t="e">
        <f>VLOOKUP(B3700,'Thống kê'!$C$3:$M$970,4,0)</f>
        <v>#N/A</v>
      </c>
      <c r="E3700" s="167"/>
      <c r="F3700" s="168" t="e">
        <f t="shared" si="15"/>
        <v>#N/A</v>
      </c>
      <c r="G3700" s="75"/>
      <c r="H3700" s="205">
        <f>70620+46403+120670+94792+46452+57286+100899+44904+55005+292028+150149+144487+45337+429069+47682+94792+50543+55028</f>
        <v>1946146</v>
      </c>
    </row>
    <row r="3701" spans="1:8" ht="13.2">
      <c r="A3701" s="49"/>
      <c r="C3701" s="143" t="e">
        <f>IFERROR(VLOOKUP(B3701,'Thống kê'!$C$3:$D$970,2, FALSE),VLOOKUP(B3701,'Thống kê v2 CC'!$A$3:$D$1005,3, FALSE))</f>
        <v>#N/A</v>
      </c>
      <c r="D3701" s="166" t="e">
        <f>VLOOKUP(B3701,'Thống kê'!$C$3:$M$970,4,0)</f>
        <v>#N/A</v>
      </c>
      <c r="E3701" s="167"/>
      <c r="F3701" s="168" t="e">
        <f t="shared" si="15"/>
        <v>#N/A</v>
      </c>
      <c r="G3701" s="75"/>
      <c r="H3701" s="205">
        <f>-18300-16500-16500-16500-126978</f>
        <v>-194778</v>
      </c>
    </row>
    <row r="3702" spans="1:8" ht="13.2">
      <c r="A3702" s="63" t="s">
        <v>1899</v>
      </c>
      <c r="C3702" s="143" t="e">
        <f>IFERROR(VLOOKUP(B3702,'Thống kê'!$C$3:$D$970,2, FALSE),VLOOKUP(B3702,'Thống kê v2 CC'!$A$3:$D$1005,3, FALSE))</f>
        <v>#N/A</v>
      </c>
      <c r="D3702" s="166" t="e">
        <f>VLOOKUP(B3702,'Thống kê'!$C$3:$M$970,4,0)</f>
        <v>#N/A</v>
      </c>
      <c r="E3702" s="167"/>
      <c r="F3702" s="168" t="e">
        <f t="shared" si="15"/>
        <v>#N/A</v>
      </c>
      <c r="G3702" s="75"/>
      <c r="H3702" s="205">
        <f>150149+55028+45337+49887+55004+56459+55740+50543+127650+99262+115011+158237+50543+50543+44767+91168+50543+56490+178866+67646+48311+48311+200295+152194</f>
        <v>2057984</v>
      </c>
    </row>
    <row r="3703" spans="1:8" ht="13.2">
      <c r="A3703" s="49"/>
      <c r="C3703" s="143" t="e">
        <f>IFERROR(VLOOKUP(B3703,'Thống kê'!$C$3:$D$970,2, FALSE),VLOOKUP(B3703,'Thống kê v2 CC'!$A$3:$D$1005,3, FALSE))</f>
        <v>#N/A</v>
      </c>
      <c r="D3703" s="166" t="e">
        <f>VLOOKUP(B3703,'Thống kê'!$C$3:$M$970,4,0)</f>
        <v>#N/A</v>
      </c>
      <c r="E3703" s="167"/>
      <c r="F3703" s="168" t="e">
        <f t="shared" si="15"/>
        <v>#N/A</v>
      </c>
      <c r="G3703" s="75"/>
      <c r="H3703" s="205">
        <f>118625+1003557+206350+50543+264547+159468+50543+153791</f>
        <v>2007424</v>
      </c>
    </row>
    <row r="3704" spans="1:8" ht="13.2">
      <c r="A3704" s="63" t="s">
        <v>1900</v>
      </c>
      <c r="C3704" s="143" t="e">
        <f>IFERROR(VLOOKUP(B3704,'Thống kê'!$C$3:$D$970,2, FALSE),VLOOKUP(B3704,'Thống kê v2 CC'!$A$3:$D$1005,3, FALSE))</f>
        <v>#N/A</v>
      </c>
      <c r="D3704" s="166" t="e">
        <f>VLOOKUP(B3704,'Thống kê'!$C$3:$M$970,4,0)</f>
        <v>#N/A</v>
      </c>
      <c r="E3704" s="167"/>
      <c r="F3704" s="168" t="e">
        <f t="shared" si="15"/>
        <v>#N/A</v>
      </c>
      <c r="G3704" s="75"/>
      <c r="H3704" s="205">
        <f>55028+150149+67646+95990+178867+49887+58751+50543+50543</f>
        <v>757404</v>
      </c>
    </row>
    <row r="3705" spans="1:8" ht="13.2">
      <c r="A3705" s="49"/>
      <c r="C3705" s="143" t="e">
        <f>IFERROR(VLOOKUP(B3705,'Thống kê'!$C$3:$D$970,2, FALSE),VLOOKUP(B3705,'Thống kê v2 CC'!$A$3:$D$1005,3, FALSE))</f>
        <v>#N/A</v>
      </c>
      <c r="D3705" s="166" t="e">
        <f>VLOOKUP(B3705,'Thống kê'!$C$3:$M$970,4,0)</f>
        <v>#N/A</v>
      </c>
      <c r="E3705" s="167"/>
      <c r="F3705" s="168" t="e">
        <f t="shared" si="15"/>
        <v>#N/A</v>
      </c>
      <c r="G3705" s="75"/>
      <c r="H3705" s="205">
        <f>69718+144918+152194+155712+100462+50543+199200+97245+50543+49887+249873+95990+107443+50543+109354</f>
        <v>1683625</v>
      </c>
    </row>
    <row r="3706" spans="1:8" ht="13.2">
      <c r="A3706" s="49"/>
      <c r="C3706" s="143" t="e">
        <f>IFERROR(VLOOKUP(B3706,'Thống kê'!$C$3:$D$970,2, FALSE),VLOOKUP(B3706,'Thống kê v2 CC'!$A$3:$D$1005,3, FALSE))</f>
        <v>#N/A</v>
      </c>
      <c r="D3706" s="166" t="e">
        <f>VLOOKUP(B3706,'Thống kê'!$C$3:$M$970,4,0)</f>
        <v>#N/A</v>
      </c>
      <c r="E3706" s="167"/>
      <c r="F3706" s="168" t="e">
        <f t="shared" si="15"/>
        <v>#N/A</v>
      </c>
      <c r="G3706" s="75"/>
      <c r="H3706" s="205">
        <f>165125+42733+159468+45337+275863+70620+143440+49887+47682+48311</f>
        <v>1048466</v>
      </c>
    </row>
    <row r="3707" spans="1:8" ht="13.2">
      <c r="A3707" s="49"/>
      <c r="C3707" s="143" t="e">
        <f>IFERROR(VLOOKUP(B3707,'Thống kê'!$C$3:$D$970,2, FALSE),VLOOKUP(B3707,'Thống kê v2 CC'!$A$3:$D$1005,3, FALSE))</f>
        <v>#N/A</v>
      </c>
      <c r="D3707" s="166" t="e">
        <f>VLOOKUP(B3707,'Thống kê'!$C$3:$M$970,4,0)</f>
        <v>#N/A</v>
      </c>
      <c r="E3707" s="167"/>
      <c r="F3707" s="168" t="e">
        <f t="shared" si="15"/>
        <v>#N/A</v>
      </c>
      <c r="G3707" s="75"/>
      <c r="H3707" s="205">
        <f>45337+67646+215241+99493+93996+99493+47865+198914+115338+47865+45337+47865+47865+109897+95990+47865+98237</f>
        <v>1524244</v>
      </c>
    </row>
    <row r="3708" spans="1:8" ht="13.2">
      <c r="A3708" s="63" t="s">
        <v>1901</v>
      </c>
      <c r="C3708" s="143" t="e">
        <f>IFERROR(VLOOKUP(B3708,'Thống kê'!$C$3:$D$970,2, FALSE),VLOOKUP(B3708,'Thống kê v2 CC'!$A$3:$D$1005,3, FALSE))</f>
        <v>#N/A</v>
      </c>
      <c r="D3708" s="166" t="e">
        <f>VLOOKUP(B3708,'Thống kê'!$C$3:$M$970,4,0)</f>
        <v>#N/A</v>
      </c>
      <c r="E3708" s="167"/>
      <c r="F3708" s="168" t="e">
        <f t="shared" si="15"/>
        <v>#N/A</v>
      </c>
      <c r="G3708" s="75"/>
      <c r="H3708" s="205">
        <f>139350+203465+48311+99493+94792+93187+98237+101110+28524+160721+120670+99493+155712+47865+57978+113987+47242+47865+54294+45337+99978+52089+58717+45337+52773+48311+28301+52773+44745+122988</f>
        <v>2463645</v>
      </c>
    </row>
    <row r="3709" spans="1:8" ht="13.2">
      <c r="A3709" s="49"/>
      <c r="C3709" s="143" t="e">
        <f>IFERROR(VLOOKUP(B3709,'Thống kê'!$C$3:$D$970,2, FALSE),VLOOKUP(B3709,'Thống kê v2 CC'!$A$3:$D$1005,3, FALSE))</f>
        <v>#N/A</v>
      </c>
      <c r="D3709" s="166" t="e">
        <f>VLOOKUP(B3709,'Thống kê'!$C$3:$M$970,4,0)</f>
        <v>#N/A</v>
      </c>
      <c r="E3709" s="167"/>
      <c r="F3709" s="168" t="e">
        <f t="shared" si="15"/>
        <v>#N/A</v>
      </c>
      <c r="G3709" s="75"/>
      <c r="H3709" s="205">
        <f>20264+106119+47242+248382+45337+142309+68508+342026+161409+236417+101110+48311+47865+189090</f>
        <v>1804389</v>
      </c>
    </row>
    <row r="3710" spans="1:8" ht="13.2">
      <c r="A3710" s="63" t="s">
        <v>1902</v>
      </c>
      <c r="C3710" s="143" t="e">
        <f>IFERROR(VLOOKUP(B3710,'Thống kê'!$C$3:$D$970,2, FALSE),VLOOKUP(B3710,'Thống kê v2 CC'!$A$3:$D$1005,3, FALSE))</f>
        <v>#N/A</v>
      </c>
      <c r="D3710" s="166" t="e">
        <f>VLOOKUP(B3710,'Thống kê'!$C$3:$M$970,4,0)</f>
        <v>#N/A</v>
      </c>
      <c r="E3710" s="167"/>
      <c r="F3710" s="168" t="e">
        <f t="shared" si="15"/>
        <v>#N/A</v>
      </c>
      <c r="G3710" s="75"/>
      <c r="H3710" s="205">
        <f>166743+107443+46452+132794+47242+49948+120670+47242+120670</f>
        <v>839204</v>
      </c>
    </row>
    <row r="3711" spans="1:8" ht="13.2">
      <c r="A3711" s="49"/>
      <c r="C3711" s="143" t="e">
        <f>IFERROR(VLOOKUP(B3711,'Thống kê'!$C$3:$D$970,2, FALSE),VLOOKUP(B3711,'Thống kê v2 CC'!$A$3:$D$1005,3, FALSE))</f>
        <v>#N/A</v>
      </c>
      <c r="D3711" s="166" t="e">
        <f>VLOOKUP(B3711,'Thống kê'!$C$3:$M$970,4,0)</f>
        <v>#N/A</v>
      </c>
      <c r="E3711" s="167"/>
      <c r="F3711" s="168" t="e">
        <f t="shared" si="15"/>
        <v>#N/A</v>
      </c>
      <c r="G3711" s="75"/>
      <c r="H3711" s="205">
        <f>108869+45337+47865+47865+137159+297559+42733+54929+108783+104827+75826+208917+47242+99195+140069+110053+110053+174656+43540+97707+48311+98445+99493</f>
        <v>2349433</v>
      </c>
    </row>
    <row r="3712" spans="1:8" ht="13.2">
      <c r="A3712" s="49"/>
      <c r="C3712" s="143" t="e">
        <f>IFERROR(VLOOKUP(B3712,'Thống kê'!$C$3:$D$970,2, FALSE),VLOOKUP(B3712,'Thống kê v2 CC'!$A$3:$D$1005,3, FALSE))</f>
        <v>#N/A</v>
      </c>
      <c r="D3712" s="166" t="e">
        <f>VLOOKUP(B3712,'Thống kê'!$C$3:$M$970,4,0)</f>
        <v>#N/A</v>
      </c>
      <c r="E3712" s="167"/>
      <c r="F3712" s="168" t="e">
        <f t="shared" si="15"/>
        <v>#N/A</v>
      </c>
      <c r="G3712" s="75"/>
      <c r="H3712" s="205">
        <f>47865+47865+47865+95990+221223+52773+85493+107443+98722+134056</f>
        <v>939295</v>
      </c>
    </row>
    <row r="3713" spans="1:8" ht="13.2">
      <c r="A3713" s="63" t="s">
        <v>1903</v>
      </c>
      <c r="C3713" s="143" t="e">
        <f>IFERROR(VLOOKUP(B3713,'Thống kê'!$C$3:$D$970,2, FALSE),VLOOKUP(B3713,'Thống kê v2 CC'!$A$3:$D$1005,3, FALSE))</f>
        <v>#N/A</v>
      </c>
      <c r="D3713" s="166" t="e">
        <f>VLOOKUP(B3713,'Thống kê'!$C$3:$M$970,4,0)</f>
        <v>#N/A</v>
      </c>
      <c r="E3713" s="167"/>
      <c r="F3713" s="168" t="e">
        <f t="shared" si="15"/>
        <v>#N/A</v>
      </c>
      <c r="G3713" s="75"/>
      <c r="H3713" s="205">
        <f>47865+106119+99493+95990+47865+52089+52089+85143+47242+50543+74860+197943+47865+52773+52089+99493+94792</f>
        <v>1304253</v>
      </c>
    </row>
    <row r="3714" spans="1:8" ht="13.2">
      <c r="A3714" s="49"/>
      <c r="C3714" s="143" t="e">
        <f>IFERROR(VLOOKUP(B3714,'Thống kê'!$C$3:$D$970,2, FALSE),VLOOKUP(B3714,'Thống kê v2 CC'!$A$3:$D$1005,3, FALSE))</f>
        <v>#N/A</v>
      </c>
      <c r="D3714" s="166" t="e">
        <f>VLOOKUP(B3714,'Thống kê'!$C$3:$M$970,4,0)</f>
        <v>#N/A</v>
      </c>
      <c r="E3714" s="167"/>
      <c r="F3714" s="168" t="e">
        <f t="shared" si="15"/>
        <v>#N/A</v>
      </c>
      <c r="G3714" s="75"/>
      <c r="H3714" s="205">
        <f>144448+99654+183284+107172+111251+48311+151077+47865+42689+28524+320967+86236+107172+47865+48311+128131+49887</f>
        <v>1752844</v>
      </c>
    </row>
    <row r="3715" spans="1:8" ht="13.2">
      <c r="A3715" s="49"/>
      <c r="C3715" s="143" t="e">
        <f>IFERROR(VLOOKUP(B3715,'Thống kê'!$C$3:$D$970,2, FALSE),VLOOKUP(B3715,'Thống kê v2 CC'!$A$3:$D$1005,3, FALSE))</f>
        <v>#N/A</v>
      </c>
      <c r="D3715" s="166" t="e">
        <f>VLOOKUP(B3715,'Thống kê'!$C$3:$M$970,4,0)</f>
        <v>#N/A</v>
      </c>
      <c r="E3715" s="167"/>
      <c r="F3715" s="168" t="e">
        <f t="shared" si="15"/>
        <v>#N/A</v>
      </c>
      <c r="G3715" s="75"/>
      <c r="H3715" s="205">
        <f>-37300-16500-57859</f>
        <v>-111659</v>
      </c>
    </row>
    <row r="3716" spans="1:8" ht="13.2">
      <c r="A3716" s="63" t="s">
        <v>1904</v>
      </c>
      <c r="C3716" s="143" t="e">
        <f>IFERROR(VLOOKUP(B3716,'Thống kê'!$C$3:$D$970,2, FALSE),VLOOKUP(B3716,'Thống kê v2 CC'!$A$3:$D$1005,3, FALSE))</f>
        <v>#N/A</v>
      </c>
      <c r="D3716" s="166" t="e">
        <f>VLOOKUP(B3716,'Thống kê'!$C$3:$M$970,4,0)</f>
        <v>#N/A</v>
      </c>
      <c r="E3716" s="167"/>
      <c r="F3716" s="168" t="e">
        <f t="shared" si="15"/>
        <v>#N/A</v>
      </c>
      <c r="G3716" s="75"/>
      <c r="H3716" s="205">
        <f>105313+48311+47865+49887+49887+52159+99493+151514+49887+47242+410958+357267+105313+117127</f>
        <v>1692223</v>
      </c>
    </row>
    <row r="3717" spans="1:8" ht="13.2">
      <c r="A3717" s="49"/>
      <c r="C3717" s="143" t="e">
        <f>IFERROR(VLOOKUP(B3717,'Thống kê'!$C$3:$D$970,2, FALSE),VLOOKUP(B3717,'Thống kê v2 CC'!$A$3:$D$1005,3, FALSE))</f>
        <v>#N/A</v>
      </c>
      <c r="D3717" s="166" t="e">
        <f>VLOOKUP(B3717,'Thống kê'!$C$3:$M$970,4,0)</f>
        <v>#N/A</v>
      </c>
      <c r="E3717" s="167"/>
      <c r="F3717" s="168" t="e">
        <f t="shared" si="15"/>
        <v>#N/A</v>
      </c>
      <c r="G3717" s="75"/>
      <c r="H3717" s="205">
        <f>48311+105313+67646+50543+110483+28524+111698+86423+47682+118487+47865+52773+102402+85493+202342+160838+99978+105812+118453</f>
        <v>1751066</v>
      </c>
    </row>
    <row r="3718" spans="1:8" ht="13.2">
      <c r="A3718" s="63" t="s">
        <v>1905</v>
      </c>
      <c r="C3718" s="143" t="e">
        <f>IFERROR(VLOOKUP(B3718,'Thống kê'!$C$3:$D$970,2, FALSE),VLOOKUP(B3718,'Thống kê v2 CC'!$A$3:$D$1005,3, FALSE))</f>
        <v>#N/A</v>
      </c>
      <c r="D3718" s="166" t="e">
        <f>VLOOKUP(B3718,'Thống kê'!$C$3:$M$970,4,0)</f>
        <v>#N/A</v>
      </c>
      <c r="E3718" s="167"/>
      <c r="F3718" s="168" t="e">
        <f t="shared" si="15"/>
        <v>#N/A</v>
      </c>
      <c r="G3718" s="75"/>
      <c r="H3718" s="205">
        <f>103597+108891+86236+84034+115255+138265+52089+563943+52773+55005+101111+161334</f>
        <v>1622533</v>
      </c>
    </row>
    <row r="3719" spans="1:8" ht="13.2">
      <c r="A3719" s="49"/>
      <c r="C3719" s="143" t="e">
        <f>IFERROR(VLOOKUP(B3719,'Thống kê'!$C$3:$D$970,2, FALSE),VLOOKUP(B3719,'Thống kê v2 CC'!$A$3:$D$1005,3, FALSE))</f>
        <v>#N/A</v>
      </c>
      <c r="D3719" s="166" t="e">
        <f>VLOOKUP(B3719,'Thống kê'!$C$3:$M$970,4,0)</f>
        <v>#N/A</v>
      </c>
      <c r="E3719" s="167"/>
      <c r="F3719" s="168" t="e">
        <f t="shared" si="15"/>
        <v>#N/A</v>
      </c>
      <c r="G3719" s="75"/>
      <c r="H3719" s="205">
        <f>100866+95597+137631+98237+122512+105368+45337+106483+13243+99653+146494+398277+47940+121433</f>
        <v>1639071</v>
      </c>
    </row>
    <row r="3720" spans="1:8" ht="13.2">
      <c r="A3720" s="49"/>
      <c r="C3720" s="143" t="e">
        <f>IFERROR(VLOOKUP(B3720,'Thống kê'!$C$3:$D$970,2, FALSE),VLOOKUP(B3720,'Thống kê v2 CC'!$A$3:$D$1005,3, FALSE))</f>
        <v>#N/A</v>
      </c>
      <c r="D3720" s="166" t="e">
        <f>VLOOKUP(B3720,'Thống kê'!$C$3:$M$970,4,0)</f>
        <v>#N/A</v>
      </c>
      <c r="E3720" s="167"/>
      <c r="F3720" s="168" t="e">
        <f t="shared" si="15"/>
        <v>#N/A</v>
      </c>
      <c r="G3720" s="75"/>
      <c r="H3720" s="205">
        <f>98237+111861+142463+98396+27523</f>
        <v>478480</v>
      </c>
    </row>
    <row r="3721" spans="1:8" ht="13.2">
      <c r="A3721" s="49"/>
      <c r="C3721" s="143" t="e">
        <f>IFERROR(VLOOKUP(B3721,'Thống kê'!$C$3:$D$970,2, FALSE),VLOOKUP(B3721,'Thống kê v2 CC'!$A$3:$D$1005,3, FALSE))</f>
        <v>#N/A</v>
      </c>
      <c r="D3721" s="166" t="e">
        <f>VLOOKUP(B3721,'Thống kê'!$C$3:$M$970,4,0)</f>
        <v>#N/A</v>
      </c>
      <c r="E3721" s="167"/>
      <c r="F3721" s="168" t="e">
        <f t="shared" si="15"/>
        <v>#N/A</v>
      </c>
      <c r="G3721" s="75"/>
      <c r="H3721" s="205">
        <f>13243+42733+54816+47940+49573+47940+47940+47940+99653+47940+47940+28524+47940+57978+95990+47940+47940+47940+98395+113333+47940+265962+28524</f>
        <v>1476064</v>
      </c>
    </row>
    <row r="3722" spans="1:8" ht="13.2">
      <c r="A3722" s="49"/>
      <c r="C3722" s="143" t="e">
        <f>IFERROR(VLOOKUP(B3722,'Thống kê'!$C$3:$D$970,2, FALSE),VLOOKUP(B3722,'Thống kê v2 CC'!$A$3:$D$1005,3, FALSE))</f>
        <v>#N/A</v>
      </c>
      <c r="D3722" s="166" t="e">
        <f>VLOOKUP(B3722,'Thống kê'!$C$3:$M$970,4,0)</f>
        <v>#N/A</v>
      </c>
      <c r="E3722" s="167"/>
      <c r="F3722" s="168" t="e">
        <f t="shared" si="15"/>
        <v>#N/A</v>
      </c>
      <c r="G3722" s="75"/>
      <c r="H3722" s="205">
        <f>146494+47316+98395+47940+198266+249645+346478+56459+86236+47682</f>
        <v>1324911</v>
      </c>
    </row>
    <row r="3723" spans="1:8" ht="13.2">
      <c r="A3723" s="49"/>
      <c r="C3723" s="143" t="e">
        <f>IFERROR(VLOOKUP(B3723,'Thống kê'!$C$3:$D$970,2, FALSE),VLOOKUP(B3723,'Thống kê v2 CC'!$A$3:$D$1005,3, FALSE))</f>
        <v>#N/A</v>
      </c>
      <c r="D3723" s="166" t="e">
        <f>VLOOKUP(B3723,'Thống kê'!$C$3:$M$970,4,0)</f>
        <v>#N/A</v>
      </c>
      <c r="E3723" s="167"/>
      <c r="F3723" s="168" t="e">
        <f t="shared" si="15"/>
        <v>#N/A</v>
      </c>
      <c r="G3723" s="75"/>
      <c r="H3723" s="205">
        <f>143285+121433+106106+99653+182100+47940+94792+47940+86236+22855+70759+155540+47940+47682+47940+47316+95990</f>
        <v>1465507</v>
      </c>
    </row>
    <row r="3724" spans="1:8" ht="13.2">
      <c r="A3724" s="63" t="s">
        <v>1906</v>
      </c>
      <c r="C3724" s="143" t="e">
        <f>IFERROR(VLOOKUP(B3724,'Thống kê'!$C$3:$D$970,2, FALSE),VLOOKUP(B3724,'Thống kê v2 CC'!$A$3:$D$1005,3, FALSE))</f>
        <v>#N/A</v>
      </c>
      <c r="D3724" s="166" t="e">
        <f>VLOOKUP(B3724,'Thống kê'!$C$3:$M$970,4,0)</f>
        <v>#N/A</v>
      </c>
      <c r="E3724" s="167"/>
      <c r="F3724" s="168" t="e">
        <f t="shared" si="15"/>
        <v>#N/A</v>
      </c>
      <c r="G3724" s="75"/>
      <c r="H3724" s="205">
        <f>47316+47316+99653+308695+47940+116305+49573+47940+47940+245666+99653+47316+99024+157879+47940+47940+56459+99024+99653+63928</f>
        <v>1877160</v>
      </c>
    </row>
    <row r="3725" spans="1:8" ht="13.2">
      <c r="A3725" s="63" t="s">
        <v>1907</v>
      </c>
      <c r="C3725" s="143" t="e">
        <f>IFERROR(VLOOKUP(B3725,'Thống kê'!$C$3:$D$970,2, FALSE),VLOOKUP(B3725,'Thống kê v2 CC'!$A$3:$D$1005,3, FALSE))</f>
        <v>#N/A</v>
      </c>
      <c r="D3725" s="166" t="e">
        <f>VLOOKUP(B3725,'Thống kê'!$C$3:$M$970,4,0)</f>
        <v>#N/A</v>
      </c>
      <c r="E3725" s="167"/>
      <c r="F3725" s="168" t="e">
        <f t="shared" si="15"/>
        <v>#N/A</v>
      </c>
      <c r="G3725" s="75"/>
      <c r="H3725" s="205">
        <f>101716+152121+85493+184527+216658+47316+107443+155021+47940+63928</f>
        <v>1162163</v>
      </c>
    </row>
    <row r="3726" spans="1:8" ht="13.2">
      <c r="A3726" s="49"/>
      <c r="C3726" s="143" t="e">
        <f>IFERROR(VLOOKUP(B3726,'Thống kê'!$C$3:$D$970,2, FALSE),VLOOKUP(B3726,'Thống kê v2 CC'!$A$3:$D$1005,3, FALSE))</f>
        <v>#N/A</v>
      </c>
      <c r="D3726" s="166" t="e">
        <f>VLOOKUP(B3726,'Thống kê'!$C$3:$M$970,4,0)</f>
        <v>#N/A</v>
      </c>
      <c r="E3726" s="167"/>
      <c r="F3726" s="168" t="e">
        <f t="shared" si="15"/>
        <v>#N/A</v>
      </c>
      <c r="G3726" s="75"/>
      <c r="H3726" s="205"/>
    </row>
    <row r="3727" spans="1:8" ht="13.2">
      <c r="A3727" s="49"/>
      <c r="C3727" s="143" t="e">
        <f>IFERROR(VLOOKUP(B3727,'Thống kê'!$C$3:$D$970,2, FALSE),VLOOKUP(B3727,'Thống kê v2 CC'!$A$3:$D$1005,3, FALSE))</f>
        <v>#N/A</v>
      </c>
      <c r="D3727" s="166" t="e">
        <f>VLOOKUP(B3727,'Thống kê'!$C$3:$M$970,4,0)</f>
        <v>#N/A</v>
      </c>
      <c r="E3727" s="167"/>
      <c r="F3727" s="168" t="e">
        <f t="shared" si="15"/>
        <v>#N/A</v>
      </c>
      <c r="G3727" s="75"/>
      <c r="H3727" s="407"/>
    </row>
    <row r="3728" spans="1:8" ht="13.2">
      <c r="A3728" s="49"/>
      <c r="C3728" s="143" t="e">
        <f>IFERROR(VLOOKUP(B3728,'Thống kê'!$C$3:$D$970,2, FALSE),VLOOKUP(B3728,'Thống kê v2 CC'!$A$3:$D$1005,3, FALSE))</f>
        <v>#N/A</v>
      </c>
      <c r="D3728" s="166" t="e">
        <f>VLOOKUP(B3728,'Thống kê'!$C$3:$M$970,4,0)</f>
        <v>#N/A</v>
      </c>
      <c r="E3728" s="167"/>
      <c r="F3728" s="168" t="e">
        <f t="shared" si="15"/>
        <v>#N/A</v>
      </c>
      <c r="G3728" s="75"/>
      <c r="H3728" s="369"/>
    </row>
    <row r="3729" spans="1:8" ht="13.2">
      <c r="A3729" s="49"/>
      <c r="C3729" s="143" t="e">
        <f>IFERROR(VLOOKUP(B3729,'Thống kê'!$C$3:$D$970,2, FALSE),VLOOKUP(B3729,'Thống kê v2 CC'!$A$3:$D$1005,3, FALSE))</f>
        <v>#N/A</v>
      </c>
      <c r="D3729" s="166" t="e">
        <f>VLOOKUP(B3729,'Thống kê'!$C$3:$M$970,4,0)</f>
        <v>#N/A</v>
      </c>
      <c r="E3729" s="167"/>
      <c r="F3729" s="168" t="e">
        <f t="shared" si="15"/>
        <v>#N/A</v>
      </c>
      <c r="G3729" s="75"/>
      <c r="H3729" s="205"/>
    </row>
    <row r="3730" spans="1:8" ht="13.2">
      <c r="A3730" s="49"/>
      <c r="C3730" s="143" t="e">
        <f>IFERROR(VLOOKUP(B3730,'Thống kê'!$C$3:$D$970,2, FALSE),VLOOKUP(B3730,'Thống kê v2 CC'!$A$3:$D$1005,3, FALSE))</f>
        <v>#N/A</v>
      </c>
      <c r="D3730" s="166" t="e">
        <f>VLOOKUP(B3730,'Thống kê'!$C$3:$M$970,4,0)</f>
        <v>#N/A</v>
      </c>
      <c r="E3730" s="167"/>
      <c r="F3730" s="168" t="e">
        <f t="shared" si="15"/>
        <v>#N/A</v>
      </c>
      <c r="G3730" s="75"/>
      <c r="H3730" s="407"/>
    </row>
    <row r="3731" spans="1:8" ht="13.2">
      <c r="A3731" s="49"/>
      <c r="C3731" s="143" t="e">
        <f>IFERROR(VLOOKUP(B3731,'Thống kê'!$C$3:$D$970,2, FALSE),VLOOKUP(B3731,'Thống kê v2 CC'!$A$3:$D$1005,3, FALSE))</f>
        <v>#N/A</v>
      </c>
      <c r="D3731" s="166" t="e">
        <f>VLOOKUP(B3731,'Thống kê'!$C$3:$M$970,4,0)</f>
        <v>#N/A</v>
      </c>
      <c r="E3731" s="167"/>
      <c r="F3731" s="168" t="e">
        <f t="shared" si="15"/>
        <v>#N/A</v>
      </c>
      <c r="G3731" s="75"/>
      <c r="H3731" s="369"/>
    </row>
    <row r="3732" spans="1:8" ht="13.2">
      <c r="A3732" s="49"/>
      <c r="C3732" s="143" t="e">
        <f>IFERROR(VLOOKUP(B3732,'Thống kê'!$C$3:$D$970,2, FALSE),VLOOKUP(B3732,'Thống kê v2 CC'!$A$3:$D$1005,3, FALSE))</f>
        <v>#N/A</v>
      </c>
      <c r="D3732" s="166" t="e">
        <f>VLOOKUP(B3732,'Thống kê'!$C$3:$M$970,4,0)</f>
        <v>#N/A</v>
      </c>
      <c r="E3732" s="167"/>
      <c r="F3732" s="168" t="e">
        <f t="shared" si="15"/>
        <v>#N/A</v>
      </c>
      <c r="G3732" s="75"/>
      <c r="H3732" s="205"/>
    </row>
    <row r="3733" spans="1:8" ht="13.2">
      <c r="A3733" s="49"/>
      <c r="C3733" s="143" t="e">
        <f>IFERROR(VLOOKUP(B3733,'Thống kê'!$C$3:$D$970,2, FALSE),VLOOKUP(B3733,'Thống kê v2 CC'!$A$3:$D$1005,3, FALSE))</f>
        <v>#N/A</v>
      </c>
      <c r="D3733" s="166" t="e">
        <f>VLOOKUP(B3733,'Thống kê'!$C$3:$M$970,4,0)</f>
        <v>#N/A</v>
      </c>
      <c r="E3733" s="167"/>
      <c r="F3733" s="168" t="e">
        <f t="shared" si="15"/>
        <v>#N/A</v>
      </c>
      <c r="G3733" s="75"/>
      <c r="H3733" s="407"/>
    </row>
    <row r="3734" spans="1:8" ht="13.2">
      <c r="A3734" s="49"/>
      <c r="C3734" s="143" t="e">
        <f>IFERROR(VLOOKUP(B3734,'Thống kê'!$C$3:$D$970,2, FALSE),VLOOKUP(B3734,'Thống kê v2 CC'!$A$3:$D$1005,3, FALSE))</f>
        <v>#N/A</v>
      </c>
      <c r="D3734" s="166" t="e">
        <f>VLOOKUP(B3734,'Thống kê'!$C$3:$M$970,4,0)</f>
        <v>#N/A</v>
      </c>
      <c r="E3734" s="167"/>
      <c r="F3734" s="168" t="e">
        <f t="shared" si="15"/>
        <v>#N/A</v>
      </c>
      <c r="G3734" s="75"/>
      <c r="H3734" s="369"/>
    </row>
    <row r="3735" spans="1:8" ht="13.2">
      <c r="A3735" s="49"/>
      <c r="C3735" s="143" t="e">
        <f>IFERROR(VLOOKUP(B3735,'Thống kê'!$C$3:$D$970,2, FALSE),VLOOKUP(B3735,'Thống kê v2 CC'!$A$3:$D$1005,3, FALSE))</f>
        <v>#N/A</v>
      </c>
      <c r="D3735" s="166" t="e">
        <f>VLOOKUP(B3735,'Thống kê'!$C$3:$M$970,4,0)</f>
        <v>#N/A</v>
      </c>
      <c r="E3735" s="167"/>
      <c r="F3735" s="168" t="e">
        <f t="shared" si="15"/>
        <v>#N/A</v>
      </c>
      <c r="G3735" s="75"/>
      <c r="H3735" s="407"/>
    </row>
    <row r="3736" spans="1:8" ht="13.2">
      <c r="A3736" s="49"/>
      <c r="C3736" s="143" t="e">
        <f>IFERROR(VLOOKUP(B3736,'Thống kê'!$C$3:$D$970,2, FALSE),VLOOKUP(B3736,'Thống kê v2 CC'!$A$3:$D$1005,3, FALSE))</f>
        <v>#N/A</v>
      </c>
      <c r="D3736" s="166" t="e">
        <f>VLOOKUP(B3736,'Thống kê'!$C$3:$M$970,4,0)</f>
        <v>#N/A</v>
      </c>
      <c r="E3736" s="167"/>
      <c r="F3736" s="168" t="e">
        <f t="shared" si="15"/>
        <v>#N/A</v>
      </c>
      <c r="G3736" s="75"/>
      <c r="H3736" s="369"/>
    </row>
    <row r="3737" spans="1:8" ht="13.2">
      <c r="A3737" s="49"/>
      <c r="C3737" s="143" t="e">
        <f>IFERROR(VLOOKUP(B3737,'Thống kê'!$C$3:$D$970,2, FALSE),VLOOKUP(B3737,'Thống kê v2 CC'!$A$3:$D$1005,3, FALSE))</f>
        <v>#N/A</v>
      </c>
      <c r="D3737" s="166" t="e">
        <f>VLOOKUP(B3737,'Thống kê'!$C$3:$M$970,4,0)</f>
        <v>#N/A</v>
      </c>
      <c r="E3737" s="167"/>
      <c r="F3737" s="168" t="e">
        <f t="shared" si="15"/>
        <v>#N/A</v>
      </c>
      <c r="G3737" s="75"/>
      <c r="H3737" s="369"/>
    </row>
    <row r="3738" spans="1:8" ht="13.2">
      <c r="A3738" s="49"/>
      <c r="C3738" s="143" t="e">
        <f>IFERROR(VLOOKUP(B3738,'Thống kê'!$C$3:$D$970,2, FALSE),VLOOKUP(B3738,'Thống kê v2 CC'!$A$3:$D$1005,3, FALSE))</f>
        <v>#N/A</v>
      </c>
      <c r="D3738" s="166" t="e">
        <f>VLOOKUP(B3738,'Thống kê'!$C$3:$M$970,4,0)</f>
        <v>#N/A</v>
      </c>
      <c r="E3738" s="167"/>
      <c r="F3738" s="168" t="e">
        <f t="shared" si="15"/>
        <v>#N/A</v>
      </c>
      <c r="G3738" s="75"/>
      <c r="H3738" s="369"/>
    </row>
    <row r="3739" spans="1:8" ht="13.2">
      <c r="A3739" s="49"/>
      <c r="C3739" s="143" t="e">
        <f>IFERROR(VLOOKUP(B3739,'Thống kê'!$C$3:$D$970,2, FALSE),VLOOKUP(B3739,'Thống kê v2 CC'!$A$3:$D$1005,3, FALSE))</f>
        <v>#N/A</v>
      </c>
      <c r="D3739" s="166" t="e">
        <f>VLOOKUP(B3739,'Thống kê'!$C$3:$M$970,4,0)</f>
        <v>#N/A</v>
      </c>
      <c r="E3739" s="167"/>
      <c r="F3739" s="168" t="e">
        <f t="shared" si="15"/>
        <v>#N/A</v>
      </c>
      <c r="G3739" s="75"/>
      <c r="H3739" s="369"/>
    </row>
    <row r="3740" spans="1:8" ht="13.2">
      <c r="A3740" s="49"/>
      <c r="C3740" s="143" t="e">
        <f>IFERROR(VLOOKUP(B3740,'Thống kê'!$C$3:$D$970,2, FALSE),VLOOKUP(B3740,'Thống kê v2 CC'!$A$3:$D$1005,3, FALSE))</f>
        <v>#N/A</v>
      </c>
      <c r="D3740" s="166" t="e">
        <f>VLOOKUP(B3740,'Thống kê'!$C$3:$M$970,4,0)</f>
        <v>#N/A</v>
      </c>
      <c r="E3740" s="167"/>
      <c r="F3740" s="168" t="e">
        <f t="shared" si="15"/>
        <v>#N/A</v>
      </c>
      <c r="G3740" s="75"/>
      <c r="H3740" s="369"/>
    </row>
    <row r="3741" spans="1:8" ht="13.2">
      <c r="A3741" s="49"/>
      <c r="C3741" s="143" t="e">
        <f>IFERROR(VLOOKUP(B3741,'Thống kê'!$C$3:$D$970,2, FALSE),VLOOKUP(B3741,'Thống kê v2 CC'!$A$3:$D$1005,3, FALSE))</f>
        <v>#N/A</v>
      </c>
      <c r="D3741" s="166" t="e">
        <f>VLOOKUP(B3741,'Thống kê'!$C$3:$M$970,4,0)</f>
        <v>#N/A</v>
      </c>
      <c r="E3741" s="167"/>
      <c r="F3741" s="168" t="e">
        <f t="shared" si="15"/>
        <v>#N/A</v>
      </c>
      <c r="G3741" s="75"/>
      <c r="H3741" s="369"/>
    </row>
    <row r="3742" spans="1:8" ht="13.2">
      <c r="A3742" s="49"/>
      <c r="C3742" s="143" t="e">
        <f>IFERROR(VLOOKUP(B3742,'Thống kê'!$C$3:$D$970,2, FALSE),VLOOKUP(B3742,'Thống kê v2 CC'!$A$3:$D$1005,3, FALSE))</f>
        <v>#N/A</v>
      </c>
      <c r="D3742" s="166" t="e">
        <f>VLOOKUP(B3742,'Thống kê'!$C$3:$M$970,4,0)</f>
        <v>#N/A</v>
      </c>
      <c r="E3742" s="167"/>
      <c r="F3742" s="168" t="e">
        <f t="shared" si="15"/>
        <v>#N/A</v>
      </c>
      <c r="G3742" s="75"/>
      <c r="H3742" s="369"/>
    </row>
    <row r="3743" spans="1:8" ht="13.2">
      <c r="A3743" s="49"/>
      <c r="C3743" s="143" t="e">
        <f>IFERROR(VLOOKUP(B3743,'Thống kê'!$C$3:$D$970,2, FALSE),VLOOKUP(B3743,'Thống kê v2 CC'!$A$3:$D$1005,3, FALSE))</f>
        <v>#N/A</v>
      </c>
      <c r="D3743" s="166" t="e">
        <f>VLOOKUP(B3743,'Thống kê'!$C$3:$M$970,4,0)</f>
        <v>#N/A</v>
      </c>
      <c r="E3743" s="167"/>
      <c r="F3743" s="168" t="e">
        <f t="shared" si="15"/>
        <v>#N/A</v>
      </c>
      <c r="G3743" s="75"/>
      <c r="H3743" s="205"/>
    </row>
    <row r="3744" spans="1:8" ht="13.2">
      <c r="A3744" s="49"/>
      <c r="C3744" s="143" t="e">
        <f>IFERROR(VLOOKUP(B3744,'Thống kê'!$C$3:$D$970,2, FALSE),VLOOKUP(B3744,'Thống kê v2 CC'!$A$3:$D$1005,3, FALSE))</f>
        <v>#N/A</v>
      </c>
      <c r="D3744" s="166" t="e">
        <f>VLOOKUP(B3744,'Thống kê'!$C$3:$M$970,4,0)</f>
        <v>#N/A</v>
      </c>
      <c r="E3744" s="167"/>
      <c r="F3744" s="168" t="e">
        <f t="shared" si="15"/>
        <v>#N/A</v>
      </c>
      <c r="G3744" s="75"/>
      <c r="H3744" s="407"/>
    </row>
    <row r="3745" spans="1:8" ht="13.2">
      <c r="A3745" s="49"/>
      <c r="C3745" s="143" t="e">
        <f>IFERROR(VLOOKUP(B3745,'Thống kê'!$C$3:$D$970,2, FALSE),VLOOKUP(B3745,'Thống kê v2 CC'!$A$3:$D$1005,3, FALSE))</f>
        <v>#N/A</v>
      </c>
      <c r="D3745" s="166" t="e">
        <f>VLOOKUP(B3745,'Thống kê'!$C$3:$M$970,4,0)</f>
        <v>#N/A</v>
      </c>
      <c r="E3745" s="167"/>
      <c r="F3745" s="168" t="e">
        <f t="shared" si="15"/>
        <v>#N/A</v>
      </c>
      <c r="G3745" s="75"/>
      <c r="H3745" s="369"/>
    </row>
    <row r="3746" spans="1:8" ht="13.2">
      <c r="A3746" s="49"/>
      <c r="C3746" s="143" t="e">
        <f>IFERROR(VLOOKUP(B3746,'Thống kê'!$C$3:$D$970,2, FALSE),VLOOKUP(B3746,'Thống kê v2 CC'!$A$3:$D$1005,3, FALSE))</f>
        <v>#N/A</v>
      </c>
      <c r="D3746" s="166" t="e">
        <f>VLOOKUP(B3746,'Thống kê'!$C$3:$M$970,4,0)</f>
        <v>#N/A</v>
      </c>
      <c r="E3746" s="167"/>
      <c r="F3746" s="168" t="e">
        <f t="shared" si="15"/>
        <v>#N/A</v>
      </c>
      <c r="G3746" s="75"/>
      <c r="H3746" s="369"/>
    </row>
    <row r="3747" spans="1:8" ht="13.2">
      <c r="A3747" s="49"/>
      <c r="C3747" s="143" t="e">
        <f>IFERROR(VLOOKUP(B3747,'Thống kê'!$C$3:$D$970,2, FALSE),VLOOKUP(B3747,'Thống kê v2 CC'!$A$3:$D$1005,3, FALSE))</f>
        <v>#N/A</v>
      </c>
      <c r="D3747" s="166" t="e">
        <f>VLOOKUP(B3747,'Thống kê'!$C$3:$M$970,4,0)</f>
        <v>#N/A</v>
      </c>
      <c r="E3747" s="167"/>
      <c r="F3747" s="168" t="e">
        <f t="shared" si="15"/>
        <v>#N/A</v>
      </c>
      <c r="G3747" s="75"/>
      <c r="H3747" s="369"/>
    </row>
    <row r="3748" spans="1:8" ht="13.2">
      <c r="A3748" s="49"/>
      <c r="C3748" s="143" t="e">
        <f>IFERROR(VLOOKUP(B3748,'Thống kê'!$C$3:$D$970,2, FALSE),VLOOKUP(B3748,'Thống kê v2 CC'!$A$3:$D$1005,3, FALSE))</f>
        <v>#N/A</v>
      </c>
      <c r="D3748" s="166" t="e">
        <f>VLOOKUP(B3748,'Thống kê'!$C$3:$M$970,4,0)</f>
        <v>#N/A</v>
      </c>
      <c r="E3748" s="167"/>
      <c r="F3748" s="168" t="e">
        <f t="shared" si="15"/>
        <v>#N/A</v>
      </c>
      <c r="G3748" s="75"/>
      <c r="H3748" s="369"/>
    </row>
    <row r="3749" spans="1:8" ht="13.2">
      <c r="A3749" s="64"/>
      <c r="C3749" s="143" t="e">
        <f>IFERROR(VLOOKUP(B3749,'Thống kê'!$C$3:$D$970,2, FALSE),VLOOKUP(B3749,'Thống kê v2 CC'!$A$3:$D$1005,3, FALSE))</f>
        <v>#N/A</v>
      </c>
      <c r="D3749" s="166" t="e">
        <f>VLOOKUP(B3749,'Thống kê'!$C$3:$M$970,4,0)</f>
        <v>#N/A</v>
      </c>
      <c r="E3749" s="167"/>
      <c r="F3749" s="168" t="e">
        <f t="shared" si="15"/>
        <v>#N/A</v>
      </c>
      <c r="G3749" s="75"/>
      <c r="H3749" s="205"/>
    </row>
    <row r="3750" spans="1:8" ht="13.2">
      <c r="A3750" s="49"/>
      <c r="C3750" s="143" t="e">
        <f>IFERROR(VLOOKUP(B3750,'Thống kê'!$C$3:$D$970,2, FALSE),VLOOKUP(B3750,'Thống kê v2 CC'!$A$3:$D$1005,3, FALSE))</f>
        <v>#N/A</v>
      </c>
      <c r="D3750" s="166" t="e">
        <f>VLOOKUP(B3750,'Thống kê'!$C$3:$M$970,4,0)</f>
        <v>#N/A</v>
      </c>
      <c r="E3750" s="167"/>
      <c r="F3750" s="168" t="e">
        <f t="shared" si="15"/>
        <v>#N/A</v>
      </c>
      <c r="G3750" s="75"/>
      <c r="H3750" s="407"/>
    </row>
    <row r="3751" spans="1:8" ht="13.2">
      <c r="A3751" s="49"/>
      <c r="C3751" s="143" t="e">
        <f>IFERROR(VLOOKUP(B3751,'Thống kê'!$C$3:$D$970,2, FALSE),VLOOKUP(B3751,'Thống kê v2 CC'!$A$3:$D$1005,3, FALSE))</f>
        <v>#N/A</v>
      </c>
      <c r="D3751" s="166" t="e">
        <f>VLOOKUP(B3751,'Thống kê'!$C$3:$M$970,4,0)</f>
        <v>#N/A</v>
      </c>
      <c r="E3751" s="167"/>
      <c r="F3751" s="168" t="e">
        <f t="shared" si="15"/>
        <v>#N/A</v>
      </c>
      <c r="G3751" s="75"/>
      <c r="H3751" s="369"/>
    </row>
    <row r="3752" spans="1:8" ht="13.2">
      <c r="A3752" s="49"/>
      <c r="C3752" s="143" t="e">
        <f>IFERROR(VLOOKUP(B3752,'Thống kê'!$C$3:$D$970,2, FALSE),VLOOKUP(B3752,'Thống kê v2 CC'!$A$3:$D$1005,3, FALSE))</f>
        <v>#N/A</v>
      </c>
      <c r="D3752" s="166" t="e">
        <f>VLOOKUP(B3752,'Thống kê'!$C$3:$M$970,4,0)</f>
        <v>#N/A</v>
      </c>
      <c r="E3752" s="167"/>
      <c r="F3752" s="168" t="e">
        <f t="shared" si="15"/>
        <v>#N/A</v>
      </c>
      <c r="G3752" s="75"/>
      <c r="H3752" s="205"/>
    </row>
    <row r="3753" spans="1:8" ht="13.2">
      <c r="A3753" s="49"/>
      <c r="C3753" s="143" t="e">
        <f>IFERROR(VLOOKUP(B3753,'Thống kê'!$C$3:$D$970,2, FALSE),VLOOKUP(B3753,'Thống kê v2 CC'!$A$3:$D$1005,3, FALSE))</f>
        <v>#N/A</v>
      </c>
      <c r="D3753" s="166" t="e">
        <f>VLOOKUP(B3753,'Thống kê'!$C$3:$M$970,4,0)</f>
        <v>#N/A</v>
      </c>
      <c r="E3753" s="167"/>
      <c r="F3753" s="168" t="e">
        <f t="shared" si="15"/>
        <v>#N/A</v>
      </c>
      <c r="G3753" s="75"/>
      <c r="H3753" s="407"/>
    </row>
    <row r="3754" spans="1:8" ht="13.2">
      <c r="A3754" s="49"/>
      <c r="C3754" s="143" t="e">
        <f>IFERROR(VLOOKUP(B3754,'Thống kê'!$C$3:$D$970,2, FALSE),VLOOKUP(B3754,'Thống kê v2 CC'!$A$3:$D$1005,3, FALSE))</f>
        <v>#N/A</v>
      </c>
      <c r="D3754" s="166" t="e">
        <f>VLOOKUP(B3754,'Thống kê'!$C$3:$M$970,4,0)</f>
        <v>#N/A</v>
      </c>
      <c r="E3754" s="167"/>
      <c r="F3754" s="168" t="e">
        <f t="shared" si="15"/>
        <v>#N/A</v>
      </c>
      <c r="G3754" s="75"/>
      <c r="H3754" s="369"/>
    </row>
    <row r="3755" spans="1:8" ht="13.2">
      <c r="A3755" s="49"/>
      <c r="C3755" s="143" t="e">
        <f>IFERROR(VLOOKUP(B3755,'Thống kê'!$C$3:$D$970,2, FALSE),VLOOKUP(B3755,'Thống kê v2 CC'!$A$3:$D$1005,3, FALSE))</f>
        <v>#N/A</v>
      </c>
      <c r="D3755" s="166" t="e">
        <f>VLOOKUP(B3755,'Thống kê'!$C$3:$M$970,4,0)</f>
        <v>#N/A</v>
      </c>
      <c r="E3755" s="167"/>
      <c r="F3755" s="168" t="e">
        <f t="shared" si="15"/>
        <v>#N/A</v>
      </c>
      <c r="G3755" s="75"/>
      <c r="H3755" s="407"/>
    </row>
    <row r="3756" spans="1:8" ht="13.2">
      <c r="A3756" s="49"/>
      <c r="C3756" s="143" t="e">
        <f>IFERROR(VLOOKUP(B3756,'Thống kê'!$C$3:$D$970,2, FALSE),VLOOKUP(B3756,'Thống kê v2 CC'!$A$3:$D$1005,3, FALSE))</f>
        <v>#N/A</v>
      </c>
      <c r="D3756" s="166" t="e">
        <f>VLOOKUP(B3756,'Thống kê'!$C$3:$M$970,4,0)</f>
        <v>#N/A</v>
      </c>
      <c r="E3756" s="167"/>
      <c r="F3756" s="168" t="e">
        <f t="shared" si="15"/>
        <v>#N/A</v>
      </c>
      <c r="G3756" s="75"/>
      <c r="H3756" s="369"/>
    </row>
    <row r="3757" spans="1:8" ht="13.2">
      <c r="A3757" s="49"/>
      <c r="C3757" s="143" t="e">
        <f>IFERROR(VLOOKUP(B3757,'Thống kê'!$C$3:$D$970,2, FALSE),VLOOKUP(B3757,'Thống kê v2 CC'!$A$3:$D$1005,3, FALSE))</f>
        <v>#N/A</v>
      </c>
      <c r="D3757" s="166" t="e">
        <f>VLOOKUP(B3757,'Thống kê'!$C$3:$M$970,4,0)</f>
        <v>#N/A</v>
      </c>
      <c r="E3757" s="167"/>
      <c r="F3757" s="168" t="e">
        <f t="shared" si="15"/>
        <v>#N/A</v>
      </c>
      <c r="G3757" s="75"/>
      <c r="H3757" s="407"/>
    </row>
    <row r="3758" spans="1:8" ht="13.2">
      <c r="A3758" s="49"/>
      <c r="C3758" s="143" t="e">
        <f>IFERROR(VLOOKUP(B3758,'Thống kê'!$C$3:$D$970,2, FALSE),VLOOKUP(B3758,'Thống kê v2 CC'!$A$3:$D$1005,3, FALSE))</f>
        <v>#N/A</v>
      </c>
      <c r="D3758" s="166" t="e">
        <f>VLOOKUP(B3758,'Thống kê'!$C$3:$M$970,4,0)</f>
        <v>#N/A</v>
      </c>
      <c r="E3758" s="167"/>
      <c r="F3758" s="168" t="e">
        <f t="shared" si="15"/>
        <v>#N/A</v>
      </c>
      <c r="G3758" s="75"/>
      <c r="H3758" s="369"/>
    </row>
    <row r="3759" spans="1:8" ht="13.2">
      <c r="A3759" s="49"/>
      <c r="C3759" s="143" t="e">
        <f>IFERROR(VLOOKUP(B3759,'Thống kê'!$C$3:$D$970,2, FALSE),VLOOKUP(B3759,'Thống kê v2 CC'!$A$3:$D$1005,3, FALSE))</f>
        <v>#N/A</v>
      </c>
      <c r="D3759" s="166" t="e">
        <f>VLOOKUP(B3759,'Thống kê'!$C$3:$M$970,4,0)</f>
        <v>#N/A</v>
      </c>
      <c r="E3759" s="167"/>
      <c r="F3759" s="168" t="e">
        <f t="shared" si="15"/>
        <v>#N/A</v>
      </c>
      <c r="G3759" s="75"/>
      <c r="H3759" s="369"/>
    </row>
    <row r="3760" spans="1:8" ht="13.2">
      <c r="A3760" s="49"/>
      <c r="C3760" s="143" t="e">
        <f>IFERROR(VLOOKUP(B3760,'Thống kê'!$C$3:$D$970,2, FALSE),VLOOKUP(B3760,'Thống kê v2 CC'!$A$3:$D$1005,3, FALSE))</f>
        <v>#N/A</v>
      </c>
      <c r="D3760" s="166" t="e">
        <f>VLOOKUP(B3760,'Thống kê'!$C$3:$M$970,4,0)</f>
        <v>#N/A</v>
      </c>
      <c r="E3760" s="167"/>
      <c r="F3760" s="168" t="e">
        <f t="shared" si="15"/>
        <v>#N/A</v>
      </c>
      <c r="G3760" s="75"/>
      <c r="H3760" s="205"/>
    </row>
    <row r="3761" spans="1:8" ht="13.2">
      <c r="A3761" s="49"/>
      <c r="C3761" s="143" t="e">
        <f>IFERROR(VLOOKUP(B3761,'Thống kê'!$C$3:$D$970,2, FALSE),VLOOKUP(B3761,'Thống kê v2 CC'!$A$3:$D$1005,3, FALSE))</f>
        <v>#N/A</v>
      </c>
      <c r="D3761" s="166" t="e">
        <f>VLOOKUP(B3761,'Thống kê'!$C$3:$M$970,4,0)</f>
        <v>#N/A</v>
      </c>
      <c r="E3761" s="167"/>
      <c r="F3761" s="168" t="e">
        <f t="shared" si="15"/>
        <v>#N/A</v>
      </c>
      <c r="G3761" s="75"/>
      <c r="H3761" s="407"/>
    </row>
    <row r="3762" spans="1:8" ht="13.2">
      <c r="A3762" s="49"/>
      <c r="C3762" s="143" t="e">
        <f>IFERROR(VLOOKUP(B3762,'Thống kê'!$C$3:$D$970,2, FALSE),VLOOKUP(B3762,'Thống kê v2 CC'!$A$3:$D$1005,3, FALSE))</f>
        <v>#N/A</v>
      </c>
      <c r="D3762" s="166" t="e">
        <f>VLOOKUP(B3762,'Thống kê'!$C$3:$M$970,4,0)</f>
        <v>#N/A</v>
      </c>
      <c r="E3762" s="167"/>
      <c r="F3762" s="168" t="e">
        <f t="shared" si="15"/>
        <v>#N/A</v>
      </c>
      <c r="G3762" s="75"/>
      <c r="H3762" s="369"/>
    </row>
    <row r="3763" spans="1:8" ht="13.2">
      <c r="A3763" s="49"/>
      <c r="C3763" s="143" t="e">
        <f>IFERROR(VLOOKUP(B3763,'Thống kê'!$C$3:$D$970,2, FALSE),VLOOKUP(B3763,'Thống kê v2 CC'!$A$3:$D$1005,3, FALSE))</f>
        <v>#N/A</v>
      </c>
      <c r="D3763" s="166" t="e">
        <f>VLOOKUP(B3763,'Thống kê'!$C$3:$M$970,4,0)</f>
        <v>#N/A</v>
      </c>
      <c r="E3763" s="167"/>
      <c r="F3763" s="168" t="e">
        <f t="shared" si="15"/>
        <v>#N/A</v>
      </c>
      <c r="G3763" s="75"/>
      <c r="H3763" s="407"/>
    </row>
    <row r="3764" spans="1:8" ht="13.2">
      <c r="A3764" s="49"/>
      <c r="C3764" s="143" t="e">
        <f>IFERROR(VLOOKUP(B3764,'Thống kê'!$C$3:$D$970,2, FALSE),VLOOKUP(B3764,'Thống kê v2 CC'!$A$3:$D$1005,3, FALSE))</f>
        <v>#N/A</v>
      </c>
      <c r="D3764" s="166" t="e">
        <f>VLOOKUP(B3764,'Thống kê'!$C$3:$M$970,4,0)</f>
        <v>#N/A</v>
      </c>
      <c r="E3764" s="167"/>
      <c r="F3764" s="168" t="e">
        <f t="shared" si="15"/>
        <v>#N/A</v>
      </c>
      <c r="G3764" s="75"/>
      <c r="H3764" s="369"/>
    </row>
    <row r="3765" spans="1:8" ht="13.2">
      <c r="A3765" s="49"/>
      <c r="C3765" s="143" t="e">
        <f>IFERROR(VLOOKUP(B3765,'Thống kê'!$C$3:$D$970,2, FALSE),VLOOKUP(B3765,'Thống kê v2 CC'!$A$3:$D$1005,3, FALSE))</f>
        <v>#N/A</v>
      </c>
      <c r="D3765" s="166" t="e">
        <f>VLOOKUP(B3765,'Thống kê'!$C$3:$M$970,4,0)</f>
        <v>#N/A</v>
      </c>
      <c r="E3765" s="167"/>
      <c r="F3765" s="168" t="e">
        <f t="shared" si="15"/>
        <v>#N/A</v>
      </c>
      <c r="G3765" s="75"/>
      <c r="H3765" s="369"/>
    </row>
    <row r="3766" spans="1:8" ht="13.2">
      <c r="A3766" s="49"/>
      <c r="C3766" s="143" t="e">
        <f>IFERROR(VLOOKUP(B3766,'Thống kê'!$C$3:$D$970,2, FALSE),VLOOKUP(B3766,'Thống kê v2 CC'!$A$3:$D$1005,3, FALSE))</f>
        <v>#N/A</v>
      </c>
      <c r="D3766" s="166" t="e">
        <f>VLOOKUP(B3766,'Thống kê'!$C$3:$M$970,4,0)</f>
        <v>#N/A</v>
      </c>
      <c r="E3766" s="167"/>
      <c r="F3766" s="168" t="e">
        <f t="shared" si="15"/>
        <v>#N/A</v>
      </c>
      <c r="G3766" s="75"/>
      <c r="H3766" s="369"/>
    </row>
    <row r="3767" spans="1:8" ht="13.2">
      <c r="A3767" s="49"/>
      <c r="C3767" s="143" t="e">
        <f>IFERROR(VLOOKUP(B3767,'Thống kê'!$C$3:$D$970,2, FALSE),VLOOKUP(B3767,'Thống kê v2 CC'!$A$3:$D$1005,3, FALSE))</f>
        <v>#N/A</v>
      </c>
      <c r="D3767" s="166" t="e">
        <f>VLOOKUP(B3767,'Thống kê'!$C$3:$M$970,4,0)</f>
        <v>#N/A</v>
      </c>
      <c r="E3767" s="167"/>
      <c r="F3767" s="168" t="e">
        <f t="shared" si="15"/>
        <v>#N/A</v>
      </c>
      <c r="G3767" s="75"/>
      <c r="H3767" s="407"/>
    </row>
    <row r="3768" spans="1:8" ht="13.2">
      <c r="A3768" s="49"/>
      <c r="C3768" s="143" t="e">
        <f>IFERROR(VLOOKUP(B3768,'Thống kê'!$C$3:$D$970,2, FALSE),VLOOKUP(B3768,'Thống kê v2 CC'!$A$3:$D$1005,3, FALSE))</f>
        <v>#N/A</v>
      </c>
      <c r="D3768" s="166" t="e">
        <f>VLOOKUP(B3768,'Thống kê'!$C$3:$M$970,4,0)</f>
        <v>#N/A</v>
      </c>
      <c r="E3768" s="167"/>
      <c r="F3768" s="168" t="e">
        <f t="shared" si="15"/>
        <v>#N/A</v>
      </c>
      <c r="G3768" s="75"/>
      <c r="H3768" s="369"/>
    </row>
    <row r="3769" spans="1:8" ht="13.2">
      <c r="A3769" s="49"/>
      <c r="C3769" s="143" t="e">
        <f>IFERROR(VLOOKUP(B3769,'Thống kê'!$C$3:$D$970,2, FALSE),VLOOKUP(B3769,'Thống kê v2 CC'!$A$3:$D$1005,3, FALSE))</f>
        <v>#N/A</v>
      </c>
      <c r="D3769" s="166" t="e">
        <f>VLOOKUP(B3769,'Thống kê'!$C$3:$M$970,4,0)</f>
        <v>#N/A</v>
      </c>
      <c r="E3769" s="167"/>
      <c r="F3769" s="168" t="e">
        <f t="shared" si="15"/>
        <v>#N/A</v>
      </c>
      <c r="G3769" s="75"/>
      <c r="H3769" s="369"/>
    </row>
    <row r="3770" spans="1:8" ht="13.2">
      <c r="A3770" s="49"/>
      <c r="C3770" s="143" t="e">
        <f>IFERROR(VLOOKUP(B3770,'Thống kê'!$C$3:$D$970,2, FALSE),VLOOKUP(B3770,'Thống kê v2 CC'!$A$3:$D$1005,3, FALSE))</f>
        <v>#N/A</v>
      </c>
      <c r="D3770" s="166" t="e">
        <f>VLOOKUP(B3770,'Thống kê'!$C$3:$M$970,4,0)</f>
        <v>#N/A</v>
      </c>
      <c r="E3770" s="167"/>
      <c r="F3770" s="168" t="e">
        <f t="shared" si="15"/>
        <v>#N/A</v>
      </c>
      <c r="G3770" s="75"/>
      <c r="H3770" s="205"/>
    </row>
    <row r="3771" spans="1:8" ht="13.2">
      <c r="A3771" s="49"/>
      <c r="C3771" s="143" t="e">
        <f>IFERROR(VLOOKUP(B3771,'Thống kê'!$C$3:$D$970,2, FALSE),VLOOKUP(B3771,'Thống kê v2 CC'!$A$3:$D$1005,3, FALSE))</f>
        <v>#N/A</v>
      </c>
      <c r="D3771" s="166" t="e">
        <f>VLOOKUP(B3771,'Thống kê'!$C$3:$M$970,4,0)</f>
        <v>#N/A</v>
      </c>
      <c r="E3771" s="167"/>
      <c r="F3771" s="168" t="e">
        <f t="shared" si="15"/>
        <v>#N/A</v>
      </c>
      <c r="G3771" s="75"/>
      <c r="H3771" s="407"/>
    </row>
    <row r="3772" spans="1:8" ht="13.2">
      <c r="A3772" s="49"/>
      <c r="C3772" s="143" t="e">
        <f>IFERROR(VLOOKUP(B3772,'Thống kê'!$C$3:$D$970,2, FALSE),VLOOKUP(B3772,'Thống kê v2 CC'!$A$3:$D$1005,3, FALSE))</f>
        <v>#N/A</v>
      </c>
      <c r="D3772" s="166" t="e">
        <f>VLOOKUP(B3772,'Thống kê'!$C$3:$M$970,4,0)</f>
        <v>#N/A</v>
      </c>
      <c r="E3772" s="167"/>
      <c r="F3772" s="168" t="e">
        <f t="shared" si="15"/>
        <v>#N/A</v>
      </c>
      <c r="G3772" s="75"/>
      <c r="H3772" s="369"/>
    </row>
    <row r="3773" spans="1:8" ht="13.2">
      <c r="A3773" s="49"/>
      <c r="C3773" s="143" t="e">
        <f>IFERROR(VLOOKUP(B3773,'Thống kê'!$C$3:$D$970,2, FALSE),VLOOKUP(B3773,'Thống kê v2 CC'!$A$3:$D$1005,3, FALSE))</f>
        <v>#N/A</v>
      </c>
      <c r="D3773" s="166" t="e">
        <f>VLOOKUP(B3773,'Thống kê'!$C$3:$M$970,4,0)</f>
        <v>#N/A</v>
      </c>
      <c r="E3773" s="167"/>
      <c r="F3773" s="168" t="e">
        <f t="shared" si="15"/>
        <v>#N/A</v>
      </c>
      <c r="G3773" s="75"/>
      <c r="H3773" s="369"/>
    </row>
    <row r="3774" spans="1:8" ht="13.2">
      <c r="A3774" s="49"/>
      <c r="C3774" s="143" t="e">
        <f>IFERROR(VLOOKUP(B3774,'Thống kê'!$C$3:$D$970,2, FALSE),VLOOKUP(B3774,'Thống kê v2 CC'!$A$3:$D$1005,3, FALSE))</f>
        <v>#N/A</v>
      </c>
      <c r="D3774" s="166" t="e">
        <f>VLOOKUP(B3774,'Thống kê'!$C$3:$M$970,4,0)</f>
        <v>#N/A</v>
      </c>
      <c r="E3774" s="167"/>
      <c r="F3774" s="168" t="e">
        <f t="shared" si="15"/>
        <v>#N/A</v>
      </c>
      <c r="G3774" s="75"/>
      <c r="H3774" s="369"/>
    </row>
    <row r="3775" spans="1:8" ht="13.2">
      <c r="A3775" s="49"/>
      <c r="C3775" s="143" t="e">
        <f>IFERROR(VLOOKUP(B3775,'Thống kê'!$C$3:$D$970,2, FALSE),VLOOKUP(B3775,'Thống kê v2 CC'!$A$3:$D$1005,3, FALSE))</f>
        <v>#N/A</v>
      </c>
      <c r="D3775" s="166" t="e">
        <f>VLOOKUP(B3775,'Thống kê'!$C$3:$M$970,4,0)</f>
        <v>#N/A</v>
      </c>
      <c r="E3775" s="167"/>
      <c r="F3775" s="168" t="e">
        <f t="shared" si="15"/>
        <v>#N/A</v>
      </c>
      <c r="G3775" s="75"/>
      <c r="H3775" s="369"/>
    </row>
    <row r="3776" spans="1:8" ht="13.2">
      <c r="A3776" s="49"/>
      <c r="C3776" s="143" t="e">
        <f>IFERROR(VLOOKUP(B3776,'Thống kê'!$C$3:$D$970,2, FALSE),VLOOKUP(B3776,'Thống kê v2 CC'!$A$3:$D$1005,3, FALSE))</f>
        <v>#N/A</v>
      </c>
      <c r="D3776" s="166" t="e">
        <f>VLOOKUP(B3776,'Thống kê'!$C$3:$M$970,4,0)</f>
        <v>#N/A</v>
      </c>
      <c r="E3776" s="167"/>
      <c r="F3776" s="168" t="e">
        <f t="shared" si="15"/>
        <v>#N/A</v>
      </c>
      <c r="G3776" s="75"/>
      <c r="H3776" s="369"/>
    </row>
    <row r="3777" spans="1:8" ht="13.2">
      <c r="A3777" s="49"/>
      <c r="C3777" s="143" t="e">
        <f>IFERROR(VLOOKUP(B3777,'Thống kê'!$C$3:$D$970,2, FALSE),VLOOKUP(B3777,'Thống kê v2 CC'!$A$3:$D$1005,3, FALSE))</f>
        <v>#N/A</v>
      </c>
      <c r="D3777" s="166" t="e">
        <f>VLOOKUP(B3777,'Thống kê'!$C$3:$M$970,4,0)</f>
        <v>#N/A</v>
      </c>
      <c r="E3777" s="167"/>
      <c r="F3777" s="168" t="e">
        <f t="shared" si="15"/>
        <v>#N/A</v>
      </c>
      <c r="G3777" s="75"/>
      <c r="H3777" s="369"/>
    </row>
    <row r="3778" spans="1:8" ht="13.2">
      <c r="A3778" s="49"/>
      <c r="C3778" s="143" t="e">
        <f>IFERROR(VLOOKUP(B3778,'Thống kê'!$C$3:$D$970,2, FALSE),VLOOKUP(B3778,'Thống kê v2 CC'!$A$3:$D$1005,3, FALSE))</f>
        <v>#N/A</v>
      </c>
      <c r="D3778" s="166" t="e">
        <f>VLOOKUP(B3778,'Thống kê'!$C$3:$M$970,4,0)</f>
        <v>#N/A</v>
      </c>
      <c r="E3778" s="167"/>
      <c r="F3778" s="168" t="e">
        <f t="shared" si="15"/>
        <v>#N/A</v>
      </c>
      <c r="G3778" s="75"/>
      <c r="H3778" s="407"/>
    </row>
    <row r="3779" spans="1:8" ht="13.2">
      <c r="A3779" s="49"/>
      <c r="C3779" s="143" t="e">
        <f>IFERROR(VLOOKUP(B3779,'Thống kê'!$C$3:$D$970,2, FALSE),VLOOKUP(B3779,'Thống kê v2 CC'!$A$3:$D$1005,3, FALSE))</f>
        <v>#N/A</v>
      </c>
      <c r="D3779" s="166" t="e">
        <f>VLOOKUP(B3779,'Thống kê'!$C$3:$M$970,4,0)</f>
        <v>#N/A</v>
      </c>
      <c r="E3779" s="167"/>
      <c r="F3779" s="168" t="e">
        <f t="shared" si="15"/>
        <v>#N/A</v>
      </c>
      <c r="G3779" s="75"/>
      <c r="H3779" s="369"/>
    </row>
    <row r="3780" spans="1:8" ht="13.2">
      <c r="A3780" s="49"/>
      <c r="C3780" s="143" t="e">
        <f>IFERROR(VLOOKUP(B3780,'Thống kê'!$C$3:$D$970,2, FALSE),VLOOKUP(B3780,'Thống kê v2 CC'!$A$3:$D$1005,3, FALSE))</f>
        <v>#N/A</v>
      </c>
      <c r="D3780" s="166" t="e">
        <f>VLOOKUP(B3780,'Thống kê'!$C$3:$M$970,4,0)</f>
        <v>#N/A</v>
      </c>
      <c r="E3780" s="167"/>
      <c r="F3780" s="168" t="e">
        <f t="shared" si="15"/>
        <v>#N/A</v>
      </c>
      <c r="G3780" s="75"/>
      <c r="H3780" s="407"/>
    </row>
    <row r="3781" spans="1:8" ht="13.2">
      <c r="A3781" s="49"/>
      <c r="C3781" s="143" t="e">
        <f>IFERROR(VLOOKUP(B3781,'Thống kê'!$C$3:$D$970,2, FALSE),VLOOKUP(B3781,'Thống kê v2 CC'!$A$3:$D$1005,3, FALSE))</f>
        <v>#N/A</v>
      </c>
      <c r="D3781" s="166" t="e">
        <f>VLOOKUP(B3781,'Thống kê'!$C$3:$M$970,4,0)</f>
        <v>#N/A</v>
      </c>
      <c r="E3781" s="167"/>
      <c r="F3781" s="168" t="e">
        <f t="shared" si="15"/>
        <v>#N/A</v>
      </c>
      <c r="G3781" s="75"/>
      <c r="H3781" s="369"/>
    </row>
    <row r="3782" spans="1:8" ht="13.2">
      <c r="A3782" s="49"/>
      <c r="C3782" s="143" t="e">
        <f>IFERROR(VLOOKUP(B3782,'Thống kê'!$C$3:$D$970,2, FALSE),VLOOKUP(B3782,'Thống kê v2 CC'!$A$3:$D$1005,3, FALSE))</f>
        <v>#N/A</v>
      </c>
      <c r="D3782" s="166" t="e">
        <f>VLOOKUP(B3782,'Thống kê'!$C$3:$M$970,4,0)</f>
        <v>#N/A</v>
      </c>
      <c r="E3782" s="167"/>
      <c r="F3782" s="168" t="e">
        <f t="shared" si="15"/>
        <v>#N/A</v>
      </c>
      <c r="G3782" s="75"/>
      <c r="H3782" s="369"/>
    </row>
    <row r="3783" spans="1:8" ht="13.2">
      <c r="A3783" s="49"/>
      <c r="C3783" s="143" t="e">
        <f>IFERROR(VLOOKUP(B3783,'Thống kê'!$C$3:$D$970,2, FALSE),VLOOKUP(B3783,'Thống kê v2 CC'!$A$3:$D$1005,3, FALSE))</f>
        <v>#N/A</v>
      </c>
      <c r="D3783" s="166" t="e">
        <f>VLOOKUP(B3783,'Thống kê'!$C$3:$M$970,4,0)</f>
        <v>#N/A</v>
      </c>
      <c r="E3783" s="167"/>
      <c r="F3783" s="168" t="e">
        <f t="shared" si="15"/>
        <v>#N/A</v>
      </c>
      <c r="G3783" s="75"/>
      <c r="H3783" s="407"/>
    </row>
    <row r="3784" spans="1:8" ht="13.2">
      <c r="A3784" s="49"/>
      <c r="C3784" s="143" t="e">
        <f>IFERROR(VLOOKUP(B3784,'Thống kê'!$C$3:$D$970,2, FALSE),VLOOKUP(B3784,'Thống kê v2 CC'!$A$3:$D$1005,3, FALSE))</f>
        <v>#N/A</v>
      </c>
      <c r="D3784" s="166" t="e">
        <f>VLOOKUP(B3784,'Thống kê'!$C$3:$M$970,4,0)</f>
        <v>#N/A</v>
      </c>
      <c r="E3784" s="167"/>
      <c r="F3784" s="168" t="e">
        <f t="shared" si="15"/>
        <v>#N/A</v>
      </c>
      <c r="G3784" s="75"/>
      <c r="H3784" s="369"/>
    </row>
    <row r="3785" spans="1:8" ht="13.2">
      <c r="A3785" s="49"/>
      <c r="C3785" s="143" t="e">
        <f>IFERROR(VLOOKUP(B3785,'Thống kê'!$C$3:$D$970,2, FALSE),VLOOKUP(B3785,'Thống kê v2 CC'!$A$3:$D$1005,3, FALSE))</f>
        <v>#N/A</v>
      </c>
      <c r="D3785" s="166" t="e">
        <f>VLOOKUP(B3785,'Thống kê'!$C$3:$M$970,4,0)</f>
        <v>#N/A</v>
      </c>
      <c r="E3785" s="167"/>
      <c r="F3785" s="168" t="e">
        <f t="shared" si="15"/>
        <v>#N/A</v>
      </c>
      <c r="G3785" s="75"/>
      <c r="H3785" s="205"/>
    </row>
    <row r="3786" spans="1:8" ht="13.2">
      <c r="A3786" s="49"/>
      <c r="C3786" s="143" t="e">
        <f>IFERROR(VLOOKUP(B3786,'Thống kê'!$C$3:$D$970,2, FALSE),VLOOKUP(B3786,'Thống kê v2 CC'!$A$3:$D$1005,3, FALSE))</f>
        <v>#N/A</v>
      </c>
      <c r="D3786" s="166" t="e">
        <f>VLOOKUP(B3786,'Thống kê'!$C$3:$M$970,4,0)</f>
        <v>#N/A</v>
      </c>
      <c r="E3786" s="167"/>
      <c r="F3786" s="168" t="e">
        <f t="shared" si="15"/>
        <v>#N/A</v>
      </c>
      <c r="G3786" s="75"/>
      <c r="H3786" s="407"/>
    </row>
    <row r="3787" spans="1:8" ht="13.2">
      <c r="A3787" s="49"/>
      <c r="C3787" s="143" t="e">
        <f>IFERROR(VLOOKUP(B3787,'Thống kê'!$C$3:$D$970,2, FALSE),VLOOKUP(B3787,'Thống kê v2 CC'!$A$3:$D$1005,3, FALSE))</f>
        <v>#N/A</v>
      </c>
      <c r="D3787" s="166" t="e">
        <f>VLOOKUP(B3787,'Thống kê'!$C$3:$M$682,4,0)</f>
        <v>#N/A</v>
      </c>
      <c r="E3787" s="167"/>
      <c r="F3787" s="168" t="e">
        <f t="shared" si="15"/>
        <v>#N/A</v>
      </c>
      <c r="G3787" s="75"/>
      <c r="H3787" s="369"/>
    </row>
    <row r="3788" spans="1:8" ht="13.2">
      <c r="A3788" s="49"/>
      <c r="C3788" s="143" t="e">
        <f>IFERROR(VLOOKUP(B3788,'Thống kê'!$C$3:$D$970,2, FALSE),VLOOKUP(B3788,'Thống kê v2 CC'!$A$3:$D$1005,3, FALSE))</f>
        <v>#N/A</v>
      </c>
      <c r="D3788" s="166" t="e">
        <f>VLOOKUP(B3788,'Thống kê'!$C$3:$M$682,4,0)</f>
        <v>#N/A</v>
      </c>
      <c r="E3788" s="167"/>
      <c r="F3788" s="168" t="e">
        <f t="shared" si="15"/>
        <v>#N/A</v>
      </c>
      <c r="G3788" s="75"/>
      <c r="H3788" s="407"/>
    </row>
    <row r="3789" spans="1:8" ht="13.2">
      <c r="A3789" s="49"/>
      <c r="C3789" s="143" t="e">
        <f>IFERROR(VLOOKUP(B3789,'Thống kê'!$C$3:$D$970,2, FALSE),VLOOKUP(B3789,'Thống kê v2 CC'!$A$3:$D$1005,3, FALSE))</f>
        <v>#N/A</v>
      </c>
      <c r="D3789" s="166" t="e">
        <f>VLOOKUP(B3789,'Thống kê'!$C$3:$M$682,4,0)</f>
        <v>#N/A</v>
      </c>
      <c r="E3789" s="167"/>
      <c r="F3789" s="168" t="e">
        <f t="shared" si="15"/>
        <v>#N/A</v>
      </c>
      <c r="G3789" s="75"/>
      <c r="H3789" s="369"/>
    </row>
    <row r="3790" spans="1:8" ht="13.2">
      <c r="A3790" s="49"/>
      <c r="C3790" s="143" t="e">
        <f>IFERROR(VLOOKUP(B3790,'Thống kê'!$C$3:$D$970,2, FALSE),VLOOKUP(B3790,'Thống kê v2 CC'!$A$3:$D$1005,3, FALSE))</f>
        <v>#N/A</v>
      </c>
      <c r="D3790" s="166" t="e">
        <f>VLOOKUP(B3790,'Thống kê'!$C$3:$M$682,4,0)</f>
        <v>#N/A</v>
      </c>
      <c r="E3790" s="167"/>
      <c r="F3790" s="168" t="e">
        <f t="shared" si="15"/>
        <v>#N/A</v>
      </c>
      <c r="G3790" s="75"/>
      <c r="H3790" s="369"/>
    </row>
    <row r="3791" spans="1:8" ht="13.2">
      <c r="A3791" s="49"/>
      <c r="C3791" s="143" t="e">
        <f>IFERROR(VLOOKUP(B3791,'Thống kê'!$C$3:$D$970,2, FALSE),VLOOKUP(B3791,'Thống kê v2 CC'!$A$3:$D$1005,3, FALSE))</f>
        <v>#N/A</v>
      </c>
      <c r="D3791" s="166" t="e">
        <f>VLOOKUP(B3791,'Thống kê'!$C$3:$M$682,4,0)</f>
        <v>#N/A</v>
      </c>
      <c r="E3791" s="167"/>
      <c r="F3791" s="168" t="e">
        <f t="shared" si="15"/>
        <v>#N/A</v>
      </c>
      <c r="G3791" s="75"/>
      <c r="H3791" s="205"/>
    </row>
    <row r="3792" spans="1:8" ht="13.2">
      <c r="A3792" s="49"/>
      <c r="C3792" s="143" t="e">
        <f>IFERROR(VLOOKUP(B3792,'Thống kê'!$C$3:$D$970,2, FALSE),VLOOKUP(B3792,'Thống kê v2 CC'!$A$3:$D$1005,3, FALSE))</f>
        <v>#N/A</v>
      </c>
      <c r="D3792" s="166" t="e">
        <f>VLOOKUP(B3792,'Thống kê'!$C$3:$M$682,4,0)</f>
        <v>#N/A</v>
      </c>
      <c r="E3792" s="167"/>
      <c r="F3792" s="168" t="e">
        <f t="shared" si="15"/>
        <v>#N/A</v>
      </c>
      <c r="G3792" s="75"/>
      <c r="H3792" s="407"/>
    </row>
    <row r="3793" spans="1:8" ht="13.2">
      <c r="A3793" s="49"/>
      <c r="C3793" s="143" t="e">
        <f>IFERROR(VLOOKUP(B3793,'Thống kê'!$C$3:$D$970,2, FALSE),VLOOKUP(B3793,'Thống kê v2 CC'!$A$3:$D$1005,3, FALSE))</f>
        <v>#N/A</v>
      </c>
      <c r="D3793" s="166" t="e">
        <f>VLOOKUP(B3793,'Thống kê'!$C$3:$M$682,4,0)</f>
        <v>#N/A</v>
      </c>
      <c r="E3793" s="167"/>
      <c r="F3793" s="168" t="e">
        <f t="shared" si="15"/>
        <v>#N/A</v>
      </c>
      <c r="G3793" s="75"/>
      <c r="H3793" s="369"/>
    </row>
    <row r="3794" spans="1:8" ht="13.2">
      <c r="A3794" s="49"/>
      <c r="C3794" s="143" t="e">
        <f>IFERROR(VLOOKUP(B3794,'Thống kê'!$C$3:$D$970,2, FALSE),VLOOKUP(B3794,'Thống kê v2 CC'!$A$3:$D$1005,3, FALSE))</f>
        <v>#N/A</v>
      </c>
      <c r="D3794" s="166" t="e">
        <f>VLOOKUP(B3794,'Thống kê'!$C$3:$M$682,4,0)</f>
        <v>#N/A</v>
      </c>
      <c r="E3794" s="167"/>
      <c r="F3794" s="168" t="e">
        <f t="shared" si="15"/>
        <v>#N/A</v>
      </c>
      <c r="G3794" s="75"/>
      <c r="H3794" s="407"/>
    </row>
    <row r="3795" spans="1:8" ht="13.2">
      <c r="A3795" s="49"/>
      <c r="C3795" s="143" t="e">
        <f>IFERROR(VLOOKUP(B3795,'Thống kê'!$C$3:$D$970,2, FALSE),VLOOKUP(B3795,'Thống kê v2 CC'!$A$3:$D$1005,3, FALSE))</f>
        <v>#N/A</v>
      </c>
      <c r="D3795" s="166" t="e">
        <f>VLOOKUP(B3795,'Thống kê'!$C$3:$M$682,4,0)</f>
        <v>#N/A</v>
      </c>
      <c r="E3795" s="167"/>
      <c r="F3795" s="168" t="e">
        <f t="shared" si="15"/>
        <v>#N/A</v>
      </c>
      <c r="G3795" s="75"/>
      <c r="H3795" s="369"/>
    </row>
    <row r="3796" spans="1:8" ht="13.2">
      <c r="A3796" s="49"/>
      <c r="C3796" s="143" t="e">
        <f>IFERROR(VLOOKUP(B3796,'Thống kê'!$C$3:$D$970,2, FALSE),VLOOKUP(B3796,'Thống kê v2 CC'!$A$3:$D$1005,3, FALSE))</f>
        <v>#N/A</v>
      </c>
      <c r="D3796" s="166" t="e">
        <f>VLOOKUP(B3796,'Thống kê'!$C$3:$M$682,4,0)</f>
        <v>#N/A</v>
      </c>
      <c r="E3796" s="167"/>
      <c r="F3796" s="168" t="e">
        <f t="shared" si="15"/>
        <v>#N/A</v>
      </c>
      <c r="G3796" s="75"/>
      <c r="H3796" s="369"/>
    </row>
    <row r="3797" spans="1:8" ht="13.2">
      <c r="A3797" s="49"/>
      <c r="C3797" s="143" t="e">
        <f>IFERROR(VLOOKUP(B3797,'Thống kê'!$C$3:$D$970,2, FALSE),VLOOKUP(B3797,'Thống kê v2 CC'!$A$3:$D$1005,3, FALSE))</f>
        <v>#N/A</v>
      </c>
      <c r="D3797" s="166" t="e">
        <f>VLOOKUP(B3797,'Thống kê'!$C$3:$M$682,4,0)</f>
        <v>#N/A</v>
      </c>
      <c r="E3797" s="167"/>
      <c r="F3797" s="168" t="e">
        <f t="shared" si="15"/>
        <v>#N/A</v>
      </c>
      <c r="G3797" s="75"/>
      <c r="H3797" s="407"/>
    </row>
    <row r="3798" spans="1:8" ht="13.2">
      <c r="A3798" s="49"/>
      <c r="C3798" s="143" t="e">
        <f>IFERROR(VLOOKUP(B3798,'Thống kê'!$C$3:$D$970,2, FALSE),VLOOKUP(B3798,'Thống kê v2 CC'!$A$3:$D$1005,3, FALSE))</f>
        <v>#N/A</v>
      </c>
      <c r="D3798" s="166" t="e">
        <f>VLOOKUP(B3798,'Thống kê'!$C$3:$M$682,4,0)</f>
        <v>#N/A</v>
      </c>
      <c r="E3798" s="167"/>
      <c r="F3798" s="168" t="e">
        <f t="shared" si="15"/>
        <v>#N/A</v>
      </c>
      <c r="G3798" s="75"/>
      <c r="H3798" s="369"/>
    </row>
    <row r="3799" spans="1:8" ht="13.2">
      <c r="A3799" s="64"/>
      <c r="C3799" s="143" t="e">
        <f>IFERROR(VLOOKUP(B3799,'Thống kê'!$C$3:$D$970,2, FALSE),VLOOKUP(B3799,'Thống kê v2 CC'!$A$3:$D$1005,3, FALSE))</f>
        <v>#N/A</v>
      </c>
      <c r="D3799" s="166" t="e">
        <f>VLOOKUP(B3799,'Thống kê'!$C$3:$M$682,4,0)</f>
        <v>#N/A</v>
      </c>
      <c r="E3799" s="167"/>
      <c r="F3799" s="168" t="e">
        <f t="shared" si="15"/>
        <v>#N/A</v>
      </c>
      <c r="G3799" s="75"/>
      <c r="H3799" s="407"/>
    </row>
    <row r="3800" spans="1:8" ht="13.2">
      <c r="A3800" s="49"/>
      <c r="C3800" s="143" t="e">
        <f>IFERROR(VLOOKUP(B3800,'Thống kê'!$C$3:$D$970,2, FALSE),VLOOKUP(B3800,'Thống kê v2 CC'!$A$3:$D$1005,3, FALSE))</f>
        <v>#N/A</v>
      </c>
      <c r="D3800" s="166" t="e">
        <f>VLOOKUP(B3800,'Thống kê'!$C$3:$M$682,4,0)</f>
        <v>#N/A</v>
      </c>
      <c r="E3800" s="167"/>
      <c r="F3800" s="168" t="e">
        <f t="shared" si="15"/>
        <v>#N/A</v>
      </c>
      <c r="G3800" s="75"/>
      <c r="H3800" s="369"/>
    </row>
    <row r="3801" spans="1:8" ht="13.2">
      <c r="A3801" s="49"/>
      <c r="C3801" s="143" t="e">
        <f>IFERROR(VLOOKUP(B3801,'Thống kê'!$C$3:$D$970,2, FALSE),VLOOKUP(B3801,'Thống kê v2 CC'!$A$3:$D$1005,3, FALSE))</f>
        <v>#N/A</v>
      </c>
      <c r="D3801" s="166" t="e">
        <f>VLOOKUP(B3801,'Thống kê'!$C$3:$M$682,4,0)</f>
        <v>#N/A</v>
      </c>
      <c r="E3801" s="167"/>
      <c r="F3801" s="168" t="e">
        <f t="shared" si="15"/>
        <v>#N/A</v>
      </c>
      <c r="G3801" s="75"/>
      <c r="H3801" s="369"/>
    </row>
    <row r="3802" spans="1:8" ht="13.2">
      <c r="A3802" s="49"/>
      <c r="C3802" s="143" t="e">
        <f>IFERROR(VLOOKUP(B3802,'Thống kê'!$C$3:$D$970,2, FALSE),VLOOKUP(B3802,'Thống kê v2 CC'!$A$3:$D$1005,3, FALSE))</f>
        <v>#N/A</v>
      </c>
      <c r="D3802" s="166" t="e">
        <f>VLOOKUP(B3802,'Thống kê'!$C$3:$M$682,4,0)</f>
        <v>#N/A</v>
      </c>
      <c r="E3802" s="167"/>
      <c r="F3802" s="168" t="e">
        <f t="shared" si="15"/>
        <v>#N/A</v>
      </c>
      <c r="G3802" s="75"/>
      <c r="H3802" s="369"/>
    </row>
    <row r="3803" spans="1:8" ht="13.2">
      <c r="A3803" s="49"/>
      <c r="C3803" s="143" t="e">
        <f>IFERROR(VLOOKUP(B3803,'Thống kê'!$C$3:$D$970,2, FALSE),VLOOKUP(B3803,'Thống kê v2 CC'!$A$3:$D$1005,3, FALSE))</f>
        <v>#N/A</v>
      </c>
      <c r="D3803" s="166" t="e">
        <f>VLOOKUP(B3803,'Thống kê'!$C$3:$M$682,4,0)</f>
        <v>#N/A</v>
      </c>
      <c r="E3803" s="167"/>
      <c r="F3803" s="168" t="e">
        <f t="shared" si="15"/>
        <v>#N/A</v>
      </c>
      <c r="G3803" s="75"/>
      <c r="H3803" s="205"/>
    </row>
    <row r="3804" spans="1:8" ht="13.2">
      <c r="A3804" s="49"/>
      <c r="C3804" s="143" t="e">
        <f>IFERROR(VLOOKUP(B3804,'Thống kê'!$C$3:$D$970,2, FALSE),VLOOKUP(B3804,'Thống kê v2 CC'!$A$3:$D$1005,3, FALSE))</f>
        <v>#N/A</v>
      </c>
      <c r="D3804" s="166" t="e">
        <f>VLOOKUP(B3804,'Thống kê'!$C$3:$M$682,4,0)</f>
        <v>#N/A</v>
      </c>
      <c r="E3804" s="167"/>
      <c r="F3804" s="168" t="e">
        <f t="shared" si="15"/>
        <v>#N/A</v>
      </c>
      <c r="G3804" s="75"/>
      <c r="H3804" s="407"/>
    </row>
    <row r="3805" spans="1:8" ht="13.2">
      <c r="A3805" s="49"/>
      <c r="C3805" s="143" t="e">
        <f>IFERROR(VLOOKUP(B3805,'Thống kê'!$C$3:$D$970,2, FALSE),VLOOKUP(B3805,'Thống kê v2 CC'!$A$3:$D$1005,3, FALSE))</f>
        <v>#N/A</v>
      </c>
      <c r="D3805" s="166" t="e">
        <f>VLOOKUP(B3805,'Thống kê'!$C$3:$M$682,4,0)</f>
        <v>#N/A</v>
      </c>
      <c r="E3805" s="167"/>
      <c r="F3805" s="168" t="e">
        <f t="shared" si="15"/>
        <v>#N/A</v>
      </c>
      <c r="G3805" s="75"/>
      <c r="H3805" s="369"/>
    </row>
    <row r="3806" spans="1:8" ht="13.2">
      <c r="A3806" s="49"/>
      <c r="C3806" s="143" t="e">
        <f>IFERROR(VLOOKUP(B3806,'Thống kê'!$C$3:$D$970,2, FALSE),VLOOKUP(B3806,'Thống kê v2 CC'!$A$3:$D$1005,3, FALSE))</f>
        <v>#N/A</v>
      </c>
      <c r="D3806" s="166" t="e">
        <f>VLOOKUP(B3806,'Thống kê'!$C$3:$M$682,4,0)</f>
        <v>#N/A</v>
      </c>
      <c r="E3806" s="167"/>
      <c r="F3806" s="168" t="e">
        <f t="shared" si="15"/>
        <v>#N/A</v>
      </c>
      <c r="G3806" s="75"/>
      <c r="H3806" s="369"/>
    </row>
    <row r="3807" spans="1:8" ht="13.2">
      <c r="A3807" s="49"/>
      <c r="C3807" s="143" t="e">
        <f>IFERROR(VLOOKUP(B3807,'Thống kê'!$C$3:$D$970,2, FALSE),VLOOKUP(B3807,'Thống kê v2 CC'!$A$3:$D$1005,3, FALSE))</f>
        <v>#N/A</v>
      </c>
      <c r="D3807" s="166" t="e">
        <f>VLOOKUP(B3807,'Thống kê'!$C$3:$M$682,4,0)</f>
        <v>#N/A</v>
      </c>
      <c r="E3807" s="167"/>
      <c r="F3807" s="168" t="e">
        <f t="shared" si="15"/>
        <v>#N/A</v>
      </c>
      <c r="G3807" s="75"/>
      <c r="H3807" s="407"/>
    </row>
    <row r="3808" spans="1:8" ht="13.2">
      <c r="A3808" s="49"/>
      <c r="C3808" s="143" t="e">
        <f>IFERROR(VLOOKUP(B3808,'Thống kê'!$C$3:$D$970,2, FALSE),VLOOKUP(B3808,'Thống kê v2 CC'!$A$3:$D$1005,3, FALSE))</f>
        <v>#N/A</v>
      </c>
      <c r="D3808" s="166" t="e">
        <f>VLOOKUP(B3808,'Thống kê'!$C$3:$M$682,4,0)</f>
        <v>#N/A</v>
      </c>
      <c r="E3808" s="167"/>
      <c r="F3808" s="168" t="e">
        <f t="shared" si="15"/>
        <v>#N/A</v>
      </c>
      <c r="G3808" s="75"/>
      <c r="H3808" s="369"/>
    </row>
    <row r="3809" spans="1:8" ht="13.2">
      <c r="A3809" s="49"/>
      <c r="C3809" s="143" t="e">
        <f>IFERROR(VLOOKUP(B3809,'Thống kê'!$C$3:$D$970,2, FALSE),VLOOKUP(B3809,'Thống kê v2 CC'!$A$3:$D$1005,3, FALSE))</f>
        <v>#N/A</v>
      </c>
      <c r="D3809" s="166" t="e">
        <f>VLOOKUP(B3809,'Thống kê'!$C$3:$M$682,4,0)</f>
        <v>#N/A</v>
      </c>
      <c r="E3809" s="167"/>
      <c r="F3809" s="168" t="e">
        <f t="shared" si="15"/>
        <v>#N/A</v>
      </c>
      <c r="G3809" s="75"/>
      <c r="H3809" s="407"/>
    </row>
    <row r="3810" spans="1:8" ht="13.2">
      <c r="A3810" s="49"/>
      <c r="C3810" s="143" t="e">
        <f>IFERROR(VLOOKUP(B3810,'Thống kê'!$C$3:$D$970,2, FALSE),VLOOKUP(B3810,'Thống kê v2 CC'!$A$3:$D$1005,3, FALSE))</f>
        <v>#N/A</v>
      </c>
      <c r="D3810" s="166" t="e">
        <f>VLOOKUP(B3810,'Thống kê'!$C$3:$M$682,4,0)</f>
        <v>#N/A</v>
      </c>
      <c r="E3810" s="167"/>
      <c r="F3810" s="168" t="e">
        <f t="shared" si="15"/>
        <v>#N/A</v>
      </c>
      <c r="G3810" s="75"/>
      <c r="H3810" s="369"/>
    </row>
    <row r="3811" spans="1:8" ht="13.2">
      <c r="A3811" s="49"/>
      <c r="C3811" s="143" t="e">
        <f>IFERROR(VLOOKUP(B3811,'Thống kê'!$C$3:$D$970,2, FALSE),VLOOKUP(B3811,'Thống kê v2 CC'!$A$3:$D$1005,3, FALSE))</f>
        <v>#N/A</v>
      </c>
      <c r="D3811" s="166" t="e">
        <f>VLOOKUP(B3811,'Thống kê'!$C$3:$M$682,4,0)</f>
        <v>#N/A</v>
      </c>
      <c r="E3811" s="167"/>
      <c r="F3811" s="168" t="e">
        <f t="shared" si="15"/>
        <v>#N/A</v>
      </c>
      <c r="G3811" s="75"/>
      <c r="H3811" s="369"/>
    </row>
    <row r="3812" spans="1:8" ht="13.2">
      <c r="A3812" s="49"/>
      <c r="C3812" s="143" t="e">
        <f>IFERROR(VLOOKUP(B3812,'Thống kê'!$C$3:$D$970,2, FALSE),VLOOKUP(B3812,'Thống kê v2 CC'!$A$3:$D$1005,3, FALSE))</f>
        <v>#N/A</v>
      </c>
      <c r="D3812" s="166" t="e">
        <f>VLOOKUP(B3812,'Thống kê'!$C$3:$M$682,4,0)</f>
        <v>#N/A</v>
      </c>
      <c r="E3812" s="167"/>
      <c r="F3812" s="168" t="e">
        <f t="shared" si="15"/>
        <v>#N/A</v>
      </c>
      <c r="G3812" s="75"/>
      <c r="H3812" s="369"/>
    </row>
    <row r="3813" spans="1:8" ht="13.2">
      <c r="A3813" s="49"/>
      <c r="C3813" s="143" t="e">
        <f>IFERROR(VLOOKUP(B3813,'Thống kê'!$C$3:$D$970,2, FALSE),VLOOKUP(B3813,'Thống kê v2 CC'!$A$3:$D$1005,3, FALSE))</f>
        <v>#N/A</v>
      </c>
      <c r="D3813" s="166" t="e">
        <f>VLOOKUP(B3813,'Thống kê'!$C$3:$M$682,4,0)</f>
        <v>#N/A</v>
      </c>
      <c r="E3813" s="167"/>
      <c r="F3813" s="168" t="e">
        <f t="shared" si="15"/>
        <v>#N/A</v>
      </c>
      <c r="G3813" s="75"/>
      <c r="H3813" s="205"/>
    </row>
    <row r="3814" spans="1:8" ht="13.2">
      <c r="A3814" s="49"/>
      <c r="C3814" s="143" t="e">
        <f>IFERROR(VLOOKUP(B3814,'Thống kê'!$C$3:$D$970,2, FALSE),VLOOKUP(B3814,'Thống kê v2 CC'!$A$3:$D$1005,3, FALSE))</f>
        <v>#N/A</v>
      </c>
      <c r="D3814" s="166" t="e">
        <f>VLOOKUP(B3814,'Thống kê'!$C$3:$M$682,4,0)</f>
        <v>#N/A</v>
      </c>
      <c r="E3814" s="167"/>
      <c r="F3814" s="168" t="e">
        <f t="shared" si="15"/>
        <v>#N/A</v>
      </c>
      <c r="G3814" s="75"/>
      <c r="H3814" s="407"/>
    </row>
    <row r="3815" spans="1:8" ht="13.2">
      <c r="A3815" s="49"/>
      <c r="C3815" s="143" t="e">
        <f>IFERROR(VLOOKUP(B3815,'Thống kê'!$C$3:$D$970,2, FALSE),VLOOKUP(B3815,'Thống kê v2 CC'!$A$3:$D$1005,3, FALSE))</f>
        <v>#N/A</v>
      </c>
      <c r="D3815" s="166" t="e">
        <f>VLOOKUP(B3815,'Thống kê'!$C$3:$M$682,4,0)</f>
        <v>#N/A</v>
      </c>
      <c r="E3815" s="167"/>
      <c r="F3815" s="168" t="e">
        <f t="shared" si="15"/>
        <v>#N/A</v>
      </c>
      <c r="G3815" s="75"/>
      <c r="H3815" s="369"/>
    </row>
    <row r="3816" spans="1:8" ht="13.2">
      <c r="A3816" s="49"/>
      <c r="C3816" s="143" t="e">
        <f>IFERROR(VLOOKUP(B3816,'Thống kê'!$C$3:$D$970,2, FALSE),VLOOKUP(B3816,'Thống kê v2 CC'!$A$3:$D$1005,3, FALSE))</f>
        <v>#N/A</v>
      </c>
      <c r="D3816" s="166" t="e">
        <f>VLOOKUP(B3816,'Thống kê'!$C$3:$M$682,4,0)</f>
        <v>#N/A</v>
      </c>
      <c r="E3816" s="167"/>
      <c r="F3816" s="168" t="e">
        <f t="shared" si="15"/>
        <v>#N/A</v>
      </c>
      <c r="G3816" s="75"/>
      <c r="H3816" s="407"/>
    </row>
    <row r="3817" spans="1:8" ht="13.2">
      <c r="A3817" s="49"/>
      <c r="C3817" s="143" t="e">
        <f>IFERROR(VLOOKUP(B3817,'Thống kê'!$C$3:$D$970,2, FALSE),VLOOKUP(B3817,'Thống kê v2 CC'!$A$3:$D$1005,3, FALSE))</f>
        <v>#N/A</v>
      </c>
      <c r="D3817" s="166" t="e">
        <f>VLOOKUP(B3817,'Thống kê'!$C$3:$M$682,4,0)</f>
        <v>#N/A</v>
      </c>
      <c r="E3817" s="167"/>
      <c r="F3817" s="168" t="e">
        <f t="shared" si="15"/>
        <v>#N/A</v>
      </c>
      <c r="G3817" s="75"/>
      <c r="H3817" s="369"/>
    </row>
    <row r="3818" spans="1:8" ht="13.2">
      <c r="A3818" s="49"/>
      <c r="C3818" s="143" t="e">
        <f>IFERROR(VLOOKUP(B3818,'Thống kê'!$C$3:$D$970,2, FALSE),VLOOKUP(B3818,'Thống kê v2 CC'!$A$3:$D$1005,3, FALSE))</f>
        <v>#N/A</v>
      </c>
      <c r="D3818" s="166" t="e">
        <f>VLOOKUP(B3818,'Thống kê'!$C$3:$M$682,4,0)</f>
        <v>#N/A</v>
      </c>
      <c r="E3818" s="167"/>
      <c r="F3818" s="168" t="e">
        <f t="shared" si="15"/>
        <v>#N/A</v>
      </c>
      <c r="G3818" s="75"/>
      <c r="H3818" s="407"/>
    </row>
    <row r="3819" spans="1:8" ht="13.2">
      <c r="A3819" s="49"/>
      <c r="C3819" s="143" t="e">
        <f>IFERROR(VLOOKUP(B3819,'Thống kê'!$C$3:$D$970,2, FALSE),VLOOKUP(B3819,'Thống kê v2 CC'!$A$3:$D$1005,3, FALSE))</f>
        <v>#N/A</v>
      </c>
      <c r="D3819" s="166" t="e">
        <f>VLOOKUP(B3819,'Thống kê'!$C$3:$M$682,4,0)</f>
        <v>#N/A</v>
      </c>
      <c r="E3819" s="167"/>
      <c r="F3819" s="168" t="e">
        <f t="shared" si="15"/>
        <v>#N/A</v>
      </c>
      <c r="G3819" s="75"/>
      <c r="H3819" s="369"/>
    </row>
    <row r="3820" spans="1:8" ht="13.2">
      <c r="A3820" s="49"/>
      <c r="C3820" s="143" t="e">
        <f>IFERROR(VLOOKUP(B3820,'Thống kê'!$C$3:$D$970,2, FALSE),VLOOKUP(B3820,'Thống kê v2 CC'!$A$3:$D$1005,3, FALSE))</f>
        <v>#N/A</v>
      </c>
      <c r="D3820" s="166" t="e">
        <f>VLOOKUP(B3820,'Thống kê'!$C$3:$M$682,4,0)</f>
        <v>#N/A</v>
      </c>
      <c r="E3820" s="167"/>
      <c r="F3820" s="168" t="e">
        <f t="shared" si="15"/>
        <v>#N/A</v>
      </c>
      <c r="G3820" s="75"/>
      <c r="H3820" s="205"/>
    </row>
    <row r="3821" spans="1:8" ht="13.2">
      <c r="A3821" s="49"/>
      <c r="C3821" s="143" t="e">
        <f>IFERROR(VLOOKUP(B3821,'Thống kê'!$C$3:$D$970,2, FALSE),VLOOKUP(B3821,'Thống kê v2 CC'!$A$3:$D$1005,3, FALSE))</f>
        <v>#N/A</v>
      </c>
      <c r="D3821" s="166" t="e">
        <f>VLOOKUP(B3821,'Thống kê'!$C$3:$M$682,4,0)</f>
        <v>#N/A</v>
      </c>
      <c r="E3821" s="167"/>
      <c r="F3821" s="168" t="e">
        <f t="shared" si="15"/>
        <v>#N/A</v>
      </c>
      <c r="G3821" s="75"/>
      <c r="H3821" s="407"/>
    </row>
    <row r="3822" spans="1:8" ht="13.2">
      <c r="A3822" s="49"/>
      <c r="C3822" s="143" t="e">
        <f>IFERROR(VLOOKUP(B3822,'Thống kê'!$C$3:$D$970,2, FALSE),VLOOKUP(B3822,'Thống kê v2 CC'!$A$3:$D$1005,3, FALSE))</f>
        <v>#N/A</v>
      </c>
      <c r="D3822" s="166" t="e">
        <f>VLOOKUP(B3822,'Thống kê'!$C$3:$M$682,4,0)</f>
        <v>#N/A</v>
      </c>
      <c r="E3822" s="167"/>
      <c r="F3822" s="168" t="e">
        <f t="shared" si="15"/>
        <v>#N/A</v>
      </c>
      <c r="G3822" s="75"/>
      <c r="H3822" s="369"/>
    </row>
    <row r="3823" spans="1:8" ht="13.2">
      <c r="A3823" s="49"/>
      <c r="C3823" s="143" t="e">
        <f>IFERROR(VLOOKUP(B3823,'Thống kê'!$C$3:$D$970,2, FALSE),VLOOKUP(B3823,'Thống kê v2 CC'!$A$3:$D$1005,3, FALSE))</f>
        <v>#N/A</v>
      </c>
      <c r="D3823" s="166" t="e">
        <f>VLOOKUP(B3823,'Thống kê'!$C$3:$M$682,4,0)</f>
        <v>#N/A</v>
      </c>
      <c r="E3823" s="167"/>
      <c r="F3823" s="168" t="e">
        <f t="shared" si="15"/>
        <v>#N/A</v>
      </c>
      <c r="G3823" s="75"/>
      <c r="H3823" s="369"/>
    </row>
    <row r="3824" spans="1:8" ht="13.2">
      <c r="A3824" s="49"/>
      <c r="C3824" s="143" t="e">
        <f>IFERROR(VLOOKUP(B3824,'Thống kê'!$C$3:$D$970,2, FALSE),VLOOKUP(B3824,'Thống kê v2 CC'!$A$3:$D$1005,3, FALSE))</f>
        <v>#N/A</v>
      </c>
      <c r="D3824" s="166" t="e">
        <f>VLOOKUP(B3824,'Thống kê'!$C$3:$M$682,4,0)</f>
        <v>#N/A</v>
      </c>
      <c r="E3824" s="167"/>
      <c r="F3824" s="168" t="e">
        <f t="shared" si="15"/>
        <v>#N/A</v>
      </c>
      <c r="G3824" s="75"/>
      <c r="H3824" s="369"/>
    </row>
    <row r="3825" spans="1:8" ht="13.2">
      <c r="A3825" s="49"/>
      <c r="C3825" s="143" t="e">
        <f>IFERROR(VLOOKUP(B3825,'Thống kê'!$C$3:$D$970,2, FALSE),VLOOKUP(B3825,'Thống kê v2 CC'!$A$3:$D$1005,3, FALSE))</f>
        <v>#N/A</v>
      </c>
      <c r="D3825" s="166" t="e">
        <f>VLOOKUP(B3825,'Thống kê'!$C$3:$M$682,4,0)</f>
        <v>#N/A</v>
      </c>
      <c r="E3825" s="167"/>
      <c r="F3825" s="168" t="e">
        <f t="shared" si="15"/>
        <v>#N/A</v>
      </c>
      <c r="G3825" s="75"/>
      <c r="H3825" s="369"/>
    </row>
    <row r="3826" spans="1:8" ht="13.2">
      <c r="A3826" s="49"/>
      <c r="C3826" s="143" t="e">
        <f>IFERROR(VLOOKUP(B3826,'Thống kê'!$C$3:$D$970,2, FALSE),VLOOKUP(B3826,'Thống kê v2 CC'!$A$3:$D$1005,3, FALSE))</f>
        <v>#N/A</v>
      </c>
      <c r="D3826" s="166" t="e">
        <f>VLOOKUP(B3826,'Thống kê'!$C$3:$M$682,4,0)</f>
        <v>#N/A</v>
      </c>
      <c r="E3826" s="167"/>
      <c r="F3826" s="168" t="e">
        <f t="shared" si="15"/>
        <v>#N/A</v>
      </c>
      <c r="G3826" s="75"/>
      <c r="H3826" s="205"/>
    </row>
    <row r="3827" spans="1:8" ht="13.2">
      <c r="A3827" s="49"/>
      <c r="C3827" s="143" t="e">
        <f>IFERROR(VLOOKUP(B3827,'Thống kê'!$C$3:$D$970,2, FALSE),VLOOKUP(B3827,'Thống kê v2 CC'!$A$3:$D$1005,3, FALSE))</f>
        <v>#N/A</v>
      </c>
      <c r="D3827" s="166" t="e">
        <f>VLOOKUP(B3827,'Thống kê'!$C$3:$M$682,4,0)</f>
        <v>#N/A</v>
      </c>
      <c r="E3827" s="167"/>
      <c r="F3827" s="168" t="e">
        <f t="shared" si="15"/>
        <v>#N/A</v>
      </c>
      <c r="G3827" s="75"/>
      <c r="H3827" s="205"/>
    </row>
    <row r="3828" spans="1:8" ht="13.2">
      <c r="A3828" s="49"/>
      <c r="C3828" s="143" t="e">
        <f>IFERROR(VLOOKUP(B3828,'Thống kê'!$C$3:$D$970,2, FALSE),VLOOKUP(B3828,'Thống kê v2 CC'!$A$3:$D$1005,3, FALSE))</f>
        <v>#N/A</v>
      </c>
      <c r="D3828" s="166" t="e">
        <f>VLOOKUP(B3828,'Thống kê'!$C$3:$M$682,4,0)</f>
        <v>#N/A</v>
      </c>
      <c r="E3828" s="167"/>
      <c r="F3828" s="168" t="e">
        <f t="shared" si="15"/>
        <v>#N/A</v>
      </c>
      <c r="G3828" s="75"/>
      <c r="H3828" s="407"/>
    </row>
    <row r="3829" spans="1:8" ht="13.2">
      <c r="A3829" s="49"/>
      <c r="C3829" s="143" t="e">
        <f>IFERROR(VLOOKUP(B3829,'Thống kê'!$C$3:$D$970,2, FALSE),VLOOKUP(B3829,'Thống kê v2 CC'!$A$3:$D$1005,3, FALSE))</f>
        <v>#N/A</v>
      </c>
      <c r="D3829" s="166" t="e">
        <f>VLOOKUP(B3829,'Thống kê'!$C$3:$M$682,4,0)</f>
        <v>#N/A</v>
      </c>
      <c r="E3829" s="167"/>
      <c r="F3829" s="168" t="e">
        <f t="shared" si="15"/>
        <v>#N/A</v>
      </c>
      <c r="G3829" s="75"/>
      <c r="H3829" s="369"/>
    </row>
    <row r="3830" spans="1:8" ht="13.2">
      <c r="A3830" s="49"/>
      <c r="C3830" s="143" t="e">
        <f>IFERROR(VLOOKUP(B3830,'Thống kê'!$C$3:$D$970,2, FALSE),VLOOKUP(B3830,'Thống kê v2 CC'!$A$3:$D$1005,3, FALSE))</f>
        <v>#N/A</v>
      </c>
      <c r="D3830" s="166" t="e">
        <f>VLOOKUP(B3830,'Thống kê'!$C$3:$M$682,4,0)</f>
        <v>#N/A</v>
      </c>
      <c r="E3830" s="167"/>
      <c r="F3830" s="168" t="e">
        <f t="shared" si="15"/>
        <v>#N/A</v>
      </c>
      <c r="G3830" s="75"/>
      <c r="H3830" s="369"/>
    </row>
    <row r="3831" spans="1:8" ht="13.2">
      <c r="A3831" s="49"/>
      <c r="C3831" s="143" t="e">
        <f>IFERROR(VLOOKUP(B3831,'Thống kê'!$C$3:$D$970,2, FALSE),VLOOKUP(B3831,'Thống kê v2 CC'!$A$3:$D$1005,3, FALSE))</f>
        <v>#N/A</v>
      </c>
      <c r="D3831" s="166" t="e">
        <f>VLOOKUP(B3831,'Thống kê'!$C$3:$M$682,4,0)</f>
        <v>#N/A</v>
      </c>
      <c r="E3831" s="167"/>
      <c r="F3831" s="168" t="e">
        <f t="shared" si="15"/>
        <v>#N/A</v>
      </c>
      <c r="G3831" s="75"/>
      <c r="H3831" s="407"/>
    </row>
    <row r="3832" spans="1:8" ht="13.2">
      <c r="A3832" s="49"/>
      <c r="C3832" s="143" t="e">
        <f>IFERROR(VLOOKUP(B3832,'Thống kê'!$C$3:$D$970,2, FALSE),VLOOKUP(B3832,'Thống kê v2 CC'!$A$3:$D$1005,3, FALSE))</f>
        <v>#N/A</v>
      </c>
      <c r="D3832" s="166" t="e">
        <f>VLOOKUP(B3832,'Thống kê'!$C$3:$M$682,4,0)</f>
        <v>#N/A</v>
      </c>
      <c r="E3832" s="167"/>
      <c r="F3832" s="168" t="e">
        <f t="shared" si="15"/>
        <v>#N/A</v>
      </c>
      <c r="G3832" s="75"/>
      <c r="H3832" s="369"/>
    </row>
    <row r="3833" spans="1:8" ht="13.2">
      <c r="A3833" s="49"/>
      <c r="C3833" s="143" t="e">
        <f>IFERROR(VLOOKUP(B3833,'Thống kê'!$C$3:$D$970,2, FALSE),VLOOKUP(B3833,'Thống kê v2 CC'!$A$3:$D$1005,3, FALSE))</f>
        <v>#N/A</v>
      </c>
      <c r="D3833" s="166" t="e">
        <f>VLOOKUP(B3833,'Thống kê'!$C$3:$M$682,4,0)</f>
        <v>#N/A</v>
      </c>
      <c r="E3833" s="167"/>
      <c r="F3833" s="168" t="e">
        <f t="shared" si="15"/>
        <v>#N/A</v>
      </c>
      <c r="G3833" s="75"/>
      <c r="H3833" s="407"/>
    </row>
    <row r="3834" spans="1:8" ht="13.2">
      <c r="A3834" s="49"/>
      <c r="C3834" s="143" t="e">
        <f>IFERROR(VLOOKUP(B3834,'Thống kê'!$C$3:$D$970,2, FALSE),VLOOKUP(B3834,'Thống kê v2 CC'!$A$3:$D$1005,3, FALSE))</f>
        <v>#N/A</v>
      </c>
      <c r="D3834" s="166" t="e">
        <f>VLOOKUP(B3834,'Thống kê'!$C$3:$M$682,4,0)</f>
        <v>#N/A</v>
      </c>
      <c r="E3834" s="167"/>
      <c r="F3834" s="168" t="e">
        <f t="shared" si="15"/>
        <v>#N/A</v>
      </c>
      <c r="G3834" s="75"/>
      <c r="H3834" s="369"/>
    </row>
    <row r="3835" spans="1:8" ht="13.2">
      <c r="A3835" s="49"/>
      <c r="C3835" s="143" t="e">
        <f>IFERROR(VLOOKUP(B3835,'Thống kê'!$C$3:$D$970,2, FALSE),VLOOKUP(B3835,'Thống kê v2 CC'!$A$3:$D$1005,3, FALSE))</f>
        <v>#N/A</v>
      </c>
      <c r="D3835" s="166" t="e">
        <f>VLOOKUP(B3835,'Thống kê'!$C$3:$M$682,4,0)</f>
        <v>#N/A</v>
      </c>
      <c r="E3835" s="167"/>
      <c r="F3835" s="168" t="e">
        <f t="shared" si="15"/>
        <v>#N/A</v>
      </c>
      <c r="G3835" s="75"/>
      <c r="H3835" s="369"/>
    </row>
    <row r="3836" spans="1:8" ht="13.2">
      <c r="A3836" s="49"/>
      <c r="C3836" s="143" t="e">
        <f>IFERROR(VLOOKUP(B3836,'Thống kê'!$C$3:$D$970,2, FALSE),VLOOKUP(B3836,'Thống kê v2 CC'!$A$3:$D$1005,3, FALSE))</f>
        <v>#N/A</v>
      </c>
      <c r="D3836" s="166" t="e">
        <f>VLOOKUP(B3836,'Thống kê'!$C$3:$M$682,4,0)</f>
        <v>#N/A</v>
      </c>
      <c r="E3836" s="167"/>
      <c r="F3836" s="168" t="e">
        <f t="shared" si="15"/>
        <v>#N/A</v>
      </c>
      <c r="G3836" s="75"/>
      <c r="H3836" s="369"/>
    </row>
    <row r="3837" spans="1:8" ht="13.2">
      <c r="A3837" s="49"/>
      <c r="C3837" s="143" t="e">
        <f>IFERROR(VLOOKUP(B3837,'Thống kê'!$C$3:$D$970,2, FALSE),VLOOKUP(B3837,'Thống kê v2 CC'!$A$3:$D$1005,3, FALSE))</f>
        <v>#N/A</v>
      </c>
      <c r="D3837" s="166" t="e">
        <f>VLOOKUP(B3837,'Thống kê'!$C$3:$M$682,4,0)</f>
        <v>#N/A</v>
      </c>
      <c r="E3837" s="167"/>
      <c r="F3837" s="168" t="e">
        <f t="shared" si="15"/>
        <v>#N/A</v>
      </c>
      <c r="G3837" s="75"/>
      <c r="H3837" s="369"/>
    </row>
    <row r="3838" spans="1:8" ht="13.2">
      <c r="A3838" s="49"/>
      <c r="C3838" s="143" t="e">
        <f>IFERROR(VLOOKUP(B3838,'Thống kê'!$C$3:$D$970,2, FALSE),VLOOKUP(B3838,'Thống kê v2 CC'!$A$3:$D$1005,3, FALSE))</f>
        <v>#N/A</v>
      </c>
      <c r="D3838" s="166" t="e">
        <f>VLOOKUP(B3838,'Thống kê'!$C$3:$M$682,4,0)</f>
        <v>#N/A</v>
      </c>
      <c r="E3838" s="167"/>
      <c r="F3838" s="168" t="e">
        <f t="shared" si="15"/>
        <v>#N/A</v>
      </c>
      <c r="G3838" s="75"/>
      <c r="H3838" s="369"/>
    </row>
    <row r="3839" spans="1:8" ht="13.2">
      <c r="A3839" s="49"/>
      <c r="C3839" s="143" t="e">
        <f>IFERROR(VLOOKUP(B3839,'Thống kê'!$C$3:$D$970,2, FALSE),VLOOKUP(B3839,'Thống kê v2 CC'!$A$3:$D$1005,3, FALSE))</f>
        <v>#N/A</v>
      </c>
      <c r="D3839" s="166" t="e">
        <f>VLOOKUP(B3839,'Thống kê'!$C$3:$M$682,4,0)</f>
        <v>#N/A</v>
      </c>
      <c r="E3839" s="167"/>
      <c r="F3839" s="168" t="e">
        <f t="shared" si="15"/>
        <v>#N/A</v>
      </c>
      <c r="G3839" s="75"/>
      <c r="H3839" s="205"/>
    </row>
    <row r="3840" spans="1:8" ht="13.2">
      <c r="A3840" s="64"/>
      <c r="C3840" s="143" t="e">
        <f>IFERROR(VLOOKUP(B3840,'Thống kê'!$C$3:$D$970,2, FALSE),VLOOKUP(B3840,'Thống kê v2 CC'!$A$3:$D$1005,3, FALSE))</f>
        <v>#N/A</v>
      </c>
      <c r="D3840" s="166" t="e">
        <f>VLOOKUP(B3840,'Thống kê'!$C$3:$M$682,4,0)</f>
        <v>#N/A</v>
      </c>
      <c r="E3840" s="167"/>
      <c r="F3840" s="168" t="e">
        <f t="shared" si="15"/>
        <v>#N/A</v>
      </c>
      <c r="G3840" s="75"/>
      <c r="H3840" s="205"/>
    </row>
    <row r="3841" spans="1:8" ht="13.2">
      <c r="A3841" s="49"/>
      <c r="C3841" s="143" t="e">
        <f>IFERROR(VLOOKUP(B3841,'Thống kê'!$C$3:$D$970,2, FALSE),VLOOKUP(B3841,'Thống kê v2 CC'!$A$3:$D$1005,3, FALSE))</f>
        <v>#N/A</v>
      </c>
      <c r="D3841" s="166" t="e">
        <f>VLOOKUP(B3841,'Thống kê'!$C$3:$M$682,4,0)</f>
        <v>#N/A</v>
      </c>
      <c r="E3841" s="167"/>
      <c r="F3841" s="168" t="e">
        <f t="shared" si="15"/>
        <v>#N/A</v>
      </c>
      <c r="G3841" s="75"/>
      <c r="H3841" s="407"/>
    </row>
    <row r="3842" spans="1:8" ht="13.2">
      <c r="A3842" s="49"/>
      <c r="C3842" s="143" t="e">
        <f>IFERROR(VLOOKUP(B3842,'Thống kê'!$C$3:$D$970,2, FALSE),VLOOKUP(B3842,'Thống kê v2 CC'!$A$3:$D$1005,3, FALSE))</f>
        <v>#N/A</v>
      </c>
      <c r="D3842" s="166" t="e">
        <f>VLOOKUP(B3842,'Thống kê'!$C$3:$M$682,4,0)</f>
        <v>#N/A</v>
      </c>
      <c r="E3842" s="167"/>
      <c r="F3842" s="168" t="e">
        <f t="shared" si="15"/>
        <v>#N/A</v>
      </c>
      <c r="G3842" s="75"/>
      <c r="H3842" s="369"/>
    </row>
    <row r="3843" spans="1:8" ht="13.2">
      <c r="A3843" s="49"/>
      <c r="C3843" s="143" t="e">
        <f>IFERROR(VLOOKUP(B3843,'Thống kê'!$C$3:$D$970,2, FALSE),VLOOKUP(B3843,'Thống kê v2 CC'!$A$3:$D$1005,3, FALSE))</f>
        <v>#N/A</v>
      </c>
      <c r="D3843" s="166" t="e">
        <f>VLOOKUP(B3843,'Thống kê'!$C$3:$M$682,4,0)</f>
        <v>#N/A</v>
      </c>
      <c r="E3843" s="167"/>
      <c r="F3843" s="168" t="e">
        <f t="shared" si="15"/>
        <v>#N/A</v>
      </c>
      <c r="G3843" s="75"/>
      <c r="H3843" s="369"/>
    </row>
    <row r="3844" spans="1:8" ht="13.2">
      <c r="A3844" s="49"/>
      <c r="C3844" s="143" t="e">
        <f>IFERROR(VLOOKUP(B3844,'Thống kê'!$C$3:$D$970,2, FALSE),VLOOKUP(B3844,'Thống kê v2 CC'!$A$3:$D$1005,3, FALSE))</f>
        <v>#N/A</v>
      </c>
      <c r="D3844" s="166" t="e">
        <f>VLOOKUP(B3844,'Thống kê'!$C$3:$M$682,4,0)</f>
        <v>#N/A</v>
      </c>
      <c r="E3844" s="167"/>
      <c r="F3844" s="168" t="e">
        <f t="shared" si="15"/>
        <v>#N/A</v>
      </c>
      <c r="G3844" s="75"/>
      <c r="H3844" s="205"/>
    </row>
    <row r="3845" spans="1:8" ht="13.2">
      <c r="A3845" s="49"/>
      <c r="C3845" s="143" t="e">
        <f>IFERROR(VLOOKUP(B3845,'Thống kê'!$C$3:$D$970,2, FALSE),VLOOKUP(B3845,'Thống kê v2 CC'!$A$3:$D$1005,3, FALSE))</f>
        <v>#N/A</v>
      </c>
      <c r="D3845" s="166" t="e">
        <f>VLOOKUP(B3845,'Thống kê'!$C$3:$M$682,4,0)</f>
        <v>#N/A</v>
      </c>
      <c r="E3845" s="167"/>
      <c r="F3845" s="168" t="e">
        <f t="shared" si="15"/>
        <v>#N/A</v>
      </c>
      <c r="G3845" s="75"/>
      <c r="H3845" s="407"/>
    </row>
    <row r="3846" spans="1:8" ht="13.2">
      <c r="A3846" s="49"/>
      <c r="C3846" s="143" t="e">
        <f>IFERROR(VLOOKUP(B3846,'Thống kê'!$C$3:$D$970,2, FALSE),VLOOKUP(B3846,'Thống kê v2 CC'!$A$3:$D$1005,3, FALSE))</f>
        <v>#N/A</v>
      </c>
      <c r="D3846" s="166" t="e">
        <f>VLOOKUP(B3846,'Thống kê'!$C$3:$M$682,4,0)</f>
        <v>#N/A</v>
      </c>
      <c r="E3846" s="167"/>
      <c r="F3846" s="168" t="e">
        <f t="shared" si="15"/>
        <v>#N/A</v>
      </c>
      <c r="G3846" s="75"/>
      <c r="H3846" s="369"/>
    </row>
    <row r="3847" spans="1:8" ht="13.2">
      <c r="A3847" s="49"/>
      <c r="C3847" s="143" t="e">
        <f>IFERROR(VLOOKUP(B3847,'Thống kê'!$C$3:$D$970,2, FALSE),VLOOKUP(B3847,'Thống kê v2 CC'!$A$3:$D$1005,3, FALSE))</f>
        <v>#N/A</v>
      </c>
      <c r="D3847" s="166" t="e">
        <f>VLOOKUP(B3847,'Thống kê'!$C$3:$M$682,4,0)</f>
        <v>#N/A</v>
      </c>
      <c r="E3847" s="167"/>
      <c r="F3847" s="168" t="e">
        <f t="shared" si="15"/>
        <v>#N/A</v>
      </c>
      <c r="G3847" s="75"/>
      <c r="H3847" s="407"/>
    </row>
    <row r="3848" spans="1:8" ht="13.2">
      <c r="A3848" s="49"/>
      <c r="C3848" s="143" t="e">
        <f>IFERROR(VLOOKUP(B3848,'Thống kê'!$C$3:$D$970,2, FALSE),VLOOKUP(B3848,'Thống kê v2 CC'!$A$3:$D$1005,3, FALSE))</f>
        <v>#N/A</v>
      </c>
      <c r="D3848" s="166" t="e">
        <f>VLOOKUP(B3848,'Thống kê'!$C$3:$M$682,4,0)</f>
        <v>#N/A</v>
      </c>
      <c r="E3848" s="167"/>
      <c r="F3848" s="168" t="e">
        <f t="shared" si="15"/>
        <v>#N/A</v>
      </c>
      <c r="G3848" s="75"/>
      <c r="H3848" s="369"/>
    </row>
    <row r="3849" spans="1:8" ht="13.2">
      <c r="A3849" s="49"/>
      <c r="C3849" s="143" t="e">
        <f>IFERROR(VLOOKUP(B3849,'Thống kê'!$C$3:$D$970,2, FALSE),VLOOKUP(B3849,'Thống kê v2 CC'!$A$3:$D$1005,3, FALSE))</f>
        <v>#N/A</v>
      </c>
      <c r="D3849" s="166" t="e">
        <f>VLOOKUP(B3849,'Thống kê'!$C$3:$M$682,4,0)</f>
        <v>#N/A</v>
      </c>
      <c r="E3849" s="167"/>
      <c r="F3849" s="168" t="e">
        <f t="shared" si="15"/>
        <v>#N/A</v>
      </c>
      <c r="G3849" s="75"/>
      <c r="H3849" s="369"/>
    </row>
    <row r="3850" spans="1:8" ht="13.2">
      <c r="A3850" s="49"/>
      <c r="C3850" s="143" t="e">
        <f>IFERROR(VLOOKUP(B3850,'Thống kê'!$C$3:$D$970,2, FALSE),VLOOKUP(B3850,'Thống kê v2 CC'!$A$3:$D$1005,3, FALSE))</f>
        <v>#N/A</v>
      </c>
      <c r="D3850" s="166" t="e">
        <f>VLOOKUP(B3850,'Thống kê'!$C$3:$M$682,4,0)</f>
        <v>#N/A</v>
      </c>
      <c r="E3850" s="167"/>
      <c r="F3850" s="168" t="e">
        <f t="shared" si="15"/>
        <v>#N/A</v>
      </c>
      <c r="G3850" s="75"/>
      <c r="H3850" s="369"/>
    </row>
    <row r="3851" spans="1:8" ht="13.2">
      <c r="A3851" s="49"/>
      <c r="C3851" s="143" t="e">
        <f>IFERROR(VLOOKUP(B3851,'Thống kê'!$C$3:$D$970,2, FALSE),VLOOKUP(B3851,'Thống kê v2 CC'!$A$3:$D$1005,3, FALSE))</f>
        <v>#N/A</v>
      </c>
      <c r="D3851" s="166" t="e">
        <f>VLOOKUP(B3851,'Thống kê'!$C$3:$M$682,4,0)</f>
        <v>#N/A</v>
      </c>
      <c r="E3851" s="167"/>
      <c r="F3851" s="168" t="e">
        <f t="shared" si="15"/>
        <v>#N/A</v>
      </c>
      <c r="G3851" s="75"/>
      <c r="H3851" s="407"/>
    </row>
    <row r="3852" spans="1:8" ht="13.2">
      <c r="A3852" s="49"/>
      <c r="C3852" s="143" t="e">
        <f>IFERROR(VLOOKUP(B3852,'Thống kê'!$C$3:$D$970,2, FALSE),VLOOKUP(B3852,'Thống kê v2 CC'!$A$3:$D$1005,3, FALSE))</f>
        <v>#N/A</v>
      </c>
      <c r="D3852" s="166" t="e">
        <f>VLOOKUP(B3852,'Thống kê'!$C$3:$M$682,4,0)</f>
        <v>#N/A</v>
      </c>
      <c r="E3852" s="167"/>
      <c r="F3852" s="168" t="e">
        <f t="shared" si="15"/>
        <v>#N/A</v>
      </c>
      <c r="G3852" s="75"/>
      <c r="H3852" s="369"/>
    </row>
    <row r="3853" spans="1:8" ht="13.2">
      <c r="A3853" s="49"/>
      <c r="C3853" s="143" t="e">
        <f>IFERROR(VLOOKUP(B3853,'Thống kê'!$C$3:$D$970,2, FALSE),VLOOKUP(B3853,'Thống kê v2 CC'!$A$3:$D$1005,3, FALSE))</f>
        <v>#N/A</v>
      </c>
      <c r="D3853" s="166" t="e">
        <f>VLOOKUP(B3853,'Thống kê'!$C$3:$M$682,4,0)</f>
        <v>#N/A</v>
      </c>
      <c r="E3853" s="167"/>
      <c r="F3853" s="168" t="e">
        <f t="shared" si="15"/>
        <v>#N/A</v>
      </c>
      <c r="G3853" s="75"/>
      <c r="H3853" s="407"/>
    </row>
    <row r="3854" spans="1:8" ht="13.2">
      <c r="A3854" s="49"/>
      <c r="C3854" s="143" t="e">
        <f>IFERROR(VLOOKUP(B3854,'Thống kê'!$C$3:$D$970,2, FALSE),VLOOKUP(B3854,'Thống kê v2 CC'!$A$3:$D$1005,3, FALSE))</f>
        <v>#N/A</v>
      </c>
      <c r="D3854" s="166" t="e">
        <f>VLOOKUP(B3854,'Thống kê'!$C$3:$M$682,4,0)</f>
        <v>#N/A</v>
      </c>
      <c r="E3854" s="167"/>
      <c r="F3854" s="168" t="e">
        <f t="shared" si="15"/>
        <v>#N/A</v>
      </c>
      <c r="G3854" s="75"/>
      <c r="H3854" s="369"/>
    </row>
    <row r="3855" spans="1:8" ht="13.2">
      <c r="A3855" s="49"/>
      <c r="C3855" s="143" t="e">
        <f>IFERROR(VLOOKUP(B3855,'Thống kê'!$C$3:$D$970,2, FALSE),VLOOKUP(B3855,'Thống kê v2 CC'!$A$3:$D$1005,3, FALSE))</f>
        <v>#N/A</v>
      </c>
      <c r="D3855" s="166" t="e">
        <f>VLOOKUP(B3855,'Thống kê'!$C$3:$M$682,4,0)</f>
        <v>#N/A</v>
      </c>
      <c r="E3855" s="167"/>
      <c r="F3855" s="168" t="e">
        <f t="shared" si="15"/>
        <v>#N/A</v>
      </c>
      <c r="G3855" s="75"/>
      <c r="H3855" s="205"/>
    </row>
    <row r="3856" spans="1:8" ht="13.2">
      <c r="A3856" s="49"/>
      <c r="C3856" s="143" t="e">
        <f>IFERROR(VLOOKUP(B3856,'Thống kê'!$C$3:$D$970,2, FALSE),VLOOKUP(B3856,'Thống kê v2 CC'!$A$3:$D$1005,3, FALSE))</f>
        <v>#N/A</v>
      </c>
      <c r="D3856" s="166" t="e">
        <f>VLOOKUP(B3856,'Thống kê'!$C$3:$M$682,4,0)</f>
        <v>#N/A</v>
      </c>
      <c r="E3856" s="167"/>
      <c r="F3856" s="168" t="e">
        <f t="shared" si="15"/>
        <v>#N/A</v>
      </c>
      <c r="G3856" s="75"/>
      <c r="H3856" s="205"/>
    </row>
    <row r="3857" spans="1:8" ht="13.2">
      <c r="A3857" s="49"/>
      <c r="C3857" s="143" t="e">
        <f>IFERROR(VLOOKUP(B3857,'Thống kê'!$C$3:$D$970,2, FALSE),VLOOKUP(B3857,'Thống kê v2 CC'!$A$3:$D$1005,3, FALSE))</f>
        <v>#N/A</v>
      </c>
      <c r="D3857" s="166" t="e">
        <f>VLOOKUP(B3857,'Thống kê'!$C$3:$M$682,4,0)</f>
        <v>#N/A</v>
      </c>
      <c r="E3857" s="167"/>
      <c r="F3857" s="168" t="e">
        <f t="shared" si="15"/>
        <v>#N/A</v>
      </c>
      <c r="G3857" s="75"/>
      <c r="H3857" s="205"/>
    </row>
    <row r="3858" spans="1:8" ht="13.2">
      <c r="A3858" s="49"/>
      <c r="C3858" s="143" t="e">
        <f>IFERROR(VLOOKUP(B3858,'Thống kê'!$C$3:$D$970,2, FALSE),VLOOKUP(B3858,'Thống kê v2 CC'!$A$3:$D$1005,3, FALSE))</f>
        <v>#N/A</v>
      </c>
      <c r="D3858" s="166" t="e">
        <f>VLOOKUP(B3858,'Thống kê'!$C$3:$M$682,4,0)</f>
        <v>#N/A</v>
      </c>
      <c r="E3858" s="167"/>
      <c r="F3858" s="168" t="e">
        <f t="shared" si="15"/>
        <v>#N/A</v>
      </c>
      <c r="G3858" s="75"/>
      <c r="H3858" s="407"/>
    </row>
    <row r="3859" spans="1:8" ht="13.2">
      <c r="A3859" s="49"/>
      <c r="C3859" s="143" t="e">
        <f>IFERROR(VLOOKUP(B3859,'Thống kê'!$C$3:$D$970,2, FALSE),VLOOKUP(B3859,'Thống kê v2 CC'!$A$3:$D$1005,3, FALSE))</f>
        <v>#N/A</v>
      </c>
      <c r="D3859" s="166" t="e">
        <f>VLOOKUP(B3859,'Thống kê'!$C$3:$M$682,4,0)</f>
        <v>#N/A</v>
      </c>
      <c r="E3859" s="167"/>
      <c r="F3859" s="168" t="e">
        <f t="shared" si="15"/>
        <v>#N/A</v>
      </c>
      <c r="G3859" s="75"/>
      <c r="H3859" s="369"/>
    </row>
    <row r="3860" spans="1:8" ht="13.2">
      <c r="A3860" s="64"/>
      <c r="C3860" s="143" t="e">
        <f>IFERROR(VLOOKUP(B3860,'Thống kê'!$C$3:$D$970,2, FALSE),VLOOKUP(B3860,'Thống kê v2 CC'!$A$3:$D$1005,3, FALSE))</f>
        <v>#N/A</v>
      </c>
      <c r="D3860" s="166" t="e">
        <f>VLOOKUP(B3860,'Thống kê'!$C$3:$M$682,4,0)</f>
        <v>#N/A</v>
      </c>
      <c r="E3860" s="167"/>
      <c r="F3860" s="168" t="e">
        <f t="shared" si="15"/>
        <v>#N/A</v>
      </c>
      <c r="G3860" s="75"/>
      <c r="H3860" s="205"/>
    </row>
    <row r="3861" spans="1:8" ht="13.2">
      <c r="A3861" s="49"/>
      <c r="C3861" s="143" t="e">
        <f>IFERROR(VLOOKUP(B3861,'Thống kê'!$C$3:$D$970,2, FALSE),VLOOKUP(B3861,'Thống kê v2 CC'!$A$3:$D$1005,3, FALSE))</f>
        <v>#N/A</v>
      </c>
      <c r="D3861" s="166" t="e">
        <f>VLOOKUP(B3861,'Thống kê'!$C$3:$M$682,4,0)</f>
        <v>#N/A</v>
      </c>
      <c r="E3861" s="167"/>
      <c r="F3861" s="168" t="e">
        <f t="shared" si="15"/>
        <v>#N/A</v>
      </c>
      <c r="G3861" s="75"/>
      <c r="H3861" s="407"/>
    </row>
    <row r="3862" spans="1:8" ht="13.2">
      <c r="A3862" s="49"/>
      <c r="C3862" s="143" t="e">
        <f>IFERROR(VLOOKUP(B3862,'Thống kê'!$C$3:$D$970,2, FALSE),VLOOKUP(B3862,'Thống kê v2 CC'!$A$3:$D$1005,3, FALSE))</f>
        <v>#N/A</v>
      </c>
      <c r="D3862" s="166" t="e">
        <f>VLOOKUP(B3862,'Thống kê'!$C$3:$M$682,4,0)</f>
        <v>#N/A</v>
      </c>
      <c r="E3862" s="167"/>
      <c r="F3862" s="168" t="e">
        <f t="shared" si="15"/>
        <v>#N/A</v>
      </c>
      <c r="G3862" s="75"/>
      <c r="H3862" s="369"/>
    </row>
    <row r="3863" spans="1:8" ht="13.2">
      <c r="A3863" s="49"/>
      <c r="C3863" s="143" t="e">
        <f>IFERROR(VLOOKUP(B3863,'Thống kê'!$C$3:$D$970,2, FALSE),VLOOKUP(B3863,'Thống kê v2 CC'!$A$3:$D$1005,3, FALSE))</f>
        <v>#N/A</v>
      </c>
      <c r="D3863" s="166" t="e">
        <f>VLOOKUP(B3863,'Thống kê'!$C$3:$M$682,4,0)</f>
        <v>#N/A</v>
      </c>
      <c r="E3863" s="167"/>
      <c r="F3863" s="168" t="e">
        <f t="shared" si="15"/>
        <v>#N/A</v>
      </c>
      <c r="G3863" s="75"/>
      <c r="H3863" s="205"/>
    </row>
    <row r="3864" spans="1:8" ht="13.2">
      <c r="A3864" s="49"/>
      <c r="C3864" s="143" t="e">
        <f>IFERROR(VLOOKUP(B3864,'Thống kê'!$C$3:$D$970,2, FALSE),VLOOKUP(B3864,'Thống kê v2 CC'!$A$3:$D$1005,3, FALSE))</f>
        <v>#N/A</v>
      </c>
      <c r="D3864" s="166" t="e">
        <f>VLOOKUP(B3864,'Thống kê'!$C$3:$M$682,4,0)</f>
        <v>#N/A</v>
      </c>
      <c r="E3864" s="167"/>
      <c r="F3864" s="168" t="e">
        <f t="shared" si="15"/>
        <v>#N/A</v>
      </c>
      <c r="G3864" s="75"/>
      <c r="H3864" s="205"/>
    </row>
    <row r="3865" spans="1:8" ht="13.2">
      <c r="A3865" s="49"/>
      <c r="C3865" s="143" t="e">
        <f>IFERROR(VLOOKUP(B3865,'Thống kê'!$C$3:$D$970,2, FALSE),VLOOKUP(B3865,'Thống kê v2 CC'!$A$3:$D$1005,3, FALSE))</f>
        <v>#N/A</v>
      </c>
      <c r="D3865" s="166" t="e">
        <f>VLOOKUP(B3865,'Thống kê'!$C$3:$M$682,4,0)</f>
        <v>#N/A</v>
      </c>
      <c r="E3865" s="167"/>
      <c r="F3865" s="168" t="e">
        <f t="shared" si="15"/>
        <v>#N/A</v>
      </c>
      <c r="G3865" s="75"/>
      <c r="H3865" s="407"/>
    </row>
    <row r="3866" spans="1:8" ht="13.2">
      <c r="A3866" s="49"/>
      <c r="C3866" s="143" t="e">
        <f>IFERROR(VLOOKUP(B3866,'Thống kê'!$C$3:$D$970,2, FALSE),VLOOKUP(B3866,'Thống kê v2 CC'!$A$3:$D$1005,3, FALSE))</f>
        <v>#N/A</v>
      </c>
      <c r="D3866" s="166" t="e">
        <f>VLOOKUP(B3866,'Thống kê'!$C$3:$M$682,4,0)</f>
        <v>#N/A</v>
      </c>
      <c r="E3866" s="167"/>
      <c r="F3866" s="168" t="e">
        <f t="shared" si="15"/>
        <v>#N/A</v>
      </c>
      <c r="G3866" s="75"/>
      <c r="H3866" s="369"/>
    </row>
    <row r="3867" spans="1:8" ht="13.2">
      <c r="A3867" s="49"/>
      <c r="C3867" s="143" t="e">
        <f>IFERROR(VLOOKUP(B3867,'Thống kê'!$C$3:$D$970,2, FALSE),VLOOKUP(B3867,'Thống kê v2 CC'!$A$3:$D$1005,3, FALSE))</f>
        <v>#N/A</v>
      </c>
      <c r="D3867" s="166" t="e">
        <f>VLOOKUP(B3867,'Thống kê'!$C$3:$M$682,4,0)</f>
        <v>#N/A</v>
      </c>
      <c r="E3867" s="167"/>
      <c r="F3867" s="168" t="e">
        <f t="shared" si="15"/>
        <v>#N/A</v>
      </c>
      <c r="G3867" s="75"/>
      <c r="H3867" s="205"/>
    </row>
    <row r="3868" spans="1:8" ht="13.2">
      <c r="A3868" s="49"/>
      <c r="C3868" s="143" t="e">
        <f>IFERROR(VLOOKUP(B3868,'Thống kê'!$C$3:$D$970,2, FALSE),VLOOKUP(B3868,'Thống kê v2 CC'!$A$3:$D$1005,3, FALSE))</f>
        <v>#N/A</v>
      </c>
      <c r="D3868" s="166" t="e">
        <f>VLOOKUP(B3868,'Thống kê'!$C$3:$M$682,4,0)</f>
        <v>#N/A</v>
      </c>
      <c r="E3868" s="167"/>
      <c r="F3868" s="168" t="e">
        <f t="shared" si="15"/>
        <v>#N/A</v>
      </c>
      <c r="G3868" s="75"/>
      <c r="H3868" s="205"/>
    </row>
    <row r="3869" spans="1:8" ht="13.2">
      <c r="A3869" s="49"/>
      <c r="C3869" s="143" t="e">
        <f>IFERROR(VLOOKUP(B3869,'Thống kê'!$C$3:$D$970,2, FALSE),VLOOKUP(B3869,'Thống kê v2 CC'!$A$3:$D$1005,3, FALSE))</f>
        <v>#N/A</v>
      </c>
      <c r="D3869" s="166" t="e">
        <f>VLOOKUP(B3869,'Thống kê'!$C$3:$M$682,4,0)</f>
        <v>#N/A</v>
      </c>
      <c r="E3869" s="167"/>
      <c r="F3869" s="168" t="e">
        <f t="shared" si="15"/>
        <v>#N/A</v>
      </c>
      <c r="G3869" s="75"/>
      <c r="H3869" s="205"/>
    </row>
    <row r="3870" spans="1:8" ht="13.2">
      <c r="A3870" s="49"/>
      <c r="C3870" s="143" t="e">
        <f>IFERROR(VLOOKUP(B3870,'Thống kê'!$C$3:$D$970,2, FALSE),VLOOKUP(B3870,'Thống kê v2 CC'!$A$3:$D$1005,3, FALSE))</f>
        <v>#N/A</v>
      </c>
      <c r="D3870" s="166" t="e">
        <f>VLOOKUP(B3870,'Thống kê'!$C$3:$M$682,4,0)</f>
        <v>#N/A</v>
      </c>
      <c r="E3870" s="167"/>
      <c r="F3870" s="168" t="e">
        <f t="shared" si="15"/>
        <v>#N/A</v>
      </c>
      <c r="G3870" s="75"/>
      <c r="H3870" s="205"/>
    </row>
    <row r="3871" spans="1:8" ht="13.2">
      <c r="A3871" s="49"/>
      <c r="C3871" s="143" t="e">
        <f>IFERROR(VLOOKUP(B3871,'Thống kê'!$C$3:$D$970,2, FALSE),VLOOKUP(B3871,'Thống kê v2 CC'!$A$3:$D$1005,3, FALSE))</f>
        <v>#N/A</v>
      </c>
      <c r="D3871" s="166" t="e">
        <f>VLOOKUP(B3871,'Thống kê'!$C$3:$M$682,4,0)</f>
        <v>#N/A</v>
      </c>
      <c r="E3871" s="167"/>
      <c r="F3871" s="168" t="e">
        <f t="shared" si="15"/>
        <v>#N/A</v>
      </c>
      <c r="G3871" s="75"/>
      <c r="H3871" s="205"/>
    </row>
    <row r="3872" spans="1:8" ht="13.2">
      <c r="A3872" s="49"/>
      <c r="C3872" s="143" t="e">
        <f>IFERROR(VLOOKUP(B3872,'Thống kê'!$C$3:$D$970,2, FALSE),VLOOKUP(B3872,'Thống kê v2 CC'!$A$3:$D$1005,3, FALSE))</f>
        <v>#N/A</v>
      </c>
      <c r="D3872" s="166" t="e">
        <f>VLOOKUP(B3872,'Thống kê'!$C$3:$M$682,4,0)</f>
        <v>#N/A</v>
      </c>
      <c r="E3872" s="167"/>
      <c r="F3872" s="168" t="e">
        <f t="shared" si="15"/>
        <v>#N/A</v>
      </c>
      <c r="G3872" s="75"/>
      <c r="H3872" s="407"/>
    </row>
    <row r="3873" spans="1:8" ht="13.2">
      <c r="A3873" s="49"/>
      <c r="C3873" s="143" t="e">
        <f>IFERROR(VLOOKUP(B3873,'Thống kê'!$C$3:$D$970,2, FALSE),VLOOKUP(B3873,'Thống kê v2 CC'!$A$3:$D$1005,3, FALSE))</f>
        <v>#N/A</v>
      </c>
      <c r="D3873" s="166" t="e">
        <f>VLOOKUP(B3873,'Thống kê'!$C$3:$M$682,4,0)</f>
        <v>#N/A</v>
      </c>
      <c r="E3873" s="167"/>
      <c r="F3873" s="168" t="e">
        <f t="shared" si="15"/>
        <v>#N/A</v>
      </c>
      <c r="G3873" s="75"/>
      <c r="H3873" s="369"/>
    </row>
    <row r="3874" spans="1:8" ht="13.2">
      <c r="A3874" s="49"/>
      <c r="C3874" s="143" t="e">
        <f>IFERROR(VLOOKUP(B3874,'Thống kê'!$C$3:$D$970,2, FALSE),VLOOKUP(B3874,'Thống kê v2 CC'!$A$3:$D$1005,3, FALSE))</f>
        <v>#N/A</v>
      </c>
      <c r="D3874" s="166" t="e">
        <f>VLOOKUP(B3874,'Thống kê'!$C$3:$M$682,4,0)</f>
        <v>#N/A</v>
      </c>
      <c r="E3874" s="167"/>
      <c r="F3874" s="168" t="e">
        <f t="shared" si="15"/>
        <v>#N/A</v>
      </c>
      <c r="G3874" s="75"/>
      <c r="H3874" s="205"/>
    </row>
    <row r="3875" spans="1:8" ht="13.2">
      <c r="A3875" s="49"/>
      <c r="C3875" s="143" t="e">
        <f>IFERROR(VLOOKUP(B3875,'Thống kê'!$C$3:$D$970,2, FALSE),VLOOKUP(B3875,'Thống kê v2 CC'!$A$3:$D$1005,3, FALSE))</f>
        <v>#N/A</v>
      </c>
      <c r="D3875" s="166" t="e">
        <f>VLOOKUP(B3875,'Thống kê'!$C$3:$M$682,4,0)</f>
        <v>#N/A</v>
      </c>
      <c r="E3875" s="167"/>
      <c r="F3875" s="168" t="e">
        <f t="shared" si="15"/>
        <v>#N/A</v>
      </c>
      <c r="G3875" s="75"/>
      <c r="H3875" s="205"/>
    </row>
    <row r="3876" spans="1:8" ht="13.2">
      <c r="A3876" s="64"/>
      <c r="C3876" s="143" t="e">
        <f>IFERROR(VLOOKUP(B3876,'Thống kê'!$C$3:$D$970,2, FALSE),VLOOKUP(B3876,'Thống kê v2 CC'!$A$3:$D$1005,3, FALSE))</f>
        <v>#N/A</v>
      </c>
      <c r="D3876" s="166" t="e">
        <f>VLOOKUP(B3876,'Thống kê'!$C$3:$M$682,4,0)</f>
        <v>#N/A</v>
      </c>
      <c r="E3876" s="167"/>
      <c r="F3876" s="168" t="e">
        <f t="shared" si="15"/>
        <v>#N/A</v>
      </c>
      <c r="G3876" s="75"/>
      <c r="H3876" s="407"/>
    </row>
    <row r="3877" spans="1:8" ht="13.2">
      <c r="A3877" s="49"/>
      <c r="C3877" s="143" t="e">
        <f>IFERROR(VLOOKUP(B3877,'Thống kê'!$C$3:$D$970,2, FALSE),VLOOKUP(B3877,'Thống kê v2 CC'!$A$3:$D$1005,3, FALSE))</f>
        <v>#N/A</v>
      </c>
      <c r="D3877" s="166" t="e">
        <f>VLOOKUP(B3877,'Thống kê'!$C$3:$M$682,4,0)</f>
        <v>#N/A</v>
      </c>
      <c r="E3877" s="167"/>
      <c r="F3877" s="168" t="e">
        <f t="shared" si="15"/>
        <v>#N/A</v>
      </c>
      <c r="G3877" s="75"/>
      <c r="H3877" s="369"/>
    </row>
    <row r="3878" spans="1:8" ht="13.2">
      <c r="A3878" s="49"/>
      <c r="C3878" s="143" t="e">
        <f>IFERROR(VLOOKUP(B3878,'Thống kê'!$C$3:$D$970,2, FALSE),VLOOKUP(B3878,'Thống kê v2 CC'!$A$3:$D$1005,3, FALSE))</f>
        <v>#N/A</v>
      </c>
      <c r="D3878" s="166" t="e">
        <f>VLOOKUP(B3878,'Thống kê'!$C$3:$M$682,4,0)</f>
        <v>#N/A</v>
      </c>
      <c r="E3878" s="167"/>
      <c r="F3878" s="168" t="e">
        <f t="shared" si="15"/>
        <v>#N/A</v>
      </c>
      <c r="G3878" s="75"/>
      <c r="H3878" s="205"/>
    </row>
    <row r="3879" spans="1:8" ht="13.2">
      <c r="A3879" s="49"/>
      <c r="C3879" s="143" t="e">
        <f>IFERROR(VLOOKUP(B3879,'Thống kê'!$C$3:$D$970,2, FALSE),VLOOKUP(B3879,'Thống kê v2 CC'!$A$3:$D$1005,3, FALSE))</f>
        <v>#N/A</v>
      </c>
      <c r="D3879" s="166" t="e">
        <f>VLOOKUP(B3879,'Thống kê'!$C$3:$M$682,4,0)</f>
        <v>#N/A</v>
      </c>
      <c r="E3879" s="167"/>
      <c r="F3879" s="168" t="e">
        <f t="shared" si="15"/>
        <v>#N/A</v>
      </c>
      <c r="G3879" s="75"/>
      <c r="H3879" s="205"/>
    </row>
    <row r="3880" spans="1:8" ht="13.2">
      <c r="A3880" s="49"/>
      <c r="C3880" s="143" t="e">
        <f>IFERROR(VLOOKUP(B3880,'Thống kê'!$C$3:$D$970,2, FALSE),VLOOKUP(B3880,'Thống kê v2 CC'!$A$3:$D$1005,3, FALSE))</f>
        <v>#N/A</v>
      </c>
      <c r="D3880" s="166" t="e">
        <f>VLOOKUP(B3880,'Thống kê'!$C$3:$M$682,4,0)</f>
        <v>#N/A</v>
      </c>
      <c r="E3880" s="167"/>
      <c r="F3880" s="168" t="e">
        <f t="shared" ref="F3880:F4134" si="16">D3880*E3880</f>
        <v>#N/A</v>
      </c>
      <c r="G3880" s="75"/>
      <c r="H3880" s="205"/>
    </row>
    <row r="3881" spans="1:8" ht="13.2">
      <c r="A3881" s="49"/>
      <c r="C3881" s="143" t="e">
        <f>IFERROR(VLOOKUP(B3881,'Thống kê'!$C$3:$D$970,2, FALSE),VLOOKUP(B3881,'Thống kê v2 CC'!$A$3:$D$1005,3, FALSE))</f>
        <v>#N/A</v>
      </c>
      <c r="D3881" s="166" t="e">
        <f>VLOOKUP(B3881,'Thống kê'!$C$3:$M$682,4,0)</f>
        <v>#N/A</v>
      </c>
      <c r="E3881" s="167"/>
      <c r="F3881" s="168" t="e">
        <f t="shared" si="16"/>
        <v>#N/A</v>
      </c>
      <c r="G3881" s="75"/>
      <c r="H3881" s="407"/>
    </row>
    <row r="3882" spans="1:8" ht="13.2">
      <c r="A3882" s="49"/>
      <c r="C3882" s="143" t="e">
        <f>IFERROR(VLOOKUP(B3882,'Thống kê'!$C$3:$D$970,2, FALSE),VLOOKUP(B3882,'Thống kê v2 CC'!$A$3:$D$1005,3, FALSE))</f>
        <v>#N/A</v>
      </c>
      <c r="D3882" s="166" t="e">
        <f>VLOOKUP(B3882,'Thống kê'!$C$3:$M$682,4,0)</f>
        <v>#N/A</v>
      </c>
      <c r="E3882" s="167"/>
      <c r="F3882" s="168" t="e">
        <f t="shared" si="16"/>
        <v>#N/A</v>
      </c>
      <c r="G3882" s="75"/>
      <c r="H3882" s="369"/>
    </row>
    <row r="3883" spans="1:8" ht="13.2">
      <c r="A3883" s="49"/>
      <c r="C3883" s="143" t="e">
        <f>IFERROR(VLOOKUP(B3883,'Thống kê'!$C$3:$D$970,2, FALSE),VLOOKUP(B3883,'Thống kê v2 CC'!$A$3:$D$1005,3, FALSE))</f>
        <v>#N/A</v>
      </c>
      <c r="D3883" s="166" t="e">
        <f>VLOOKUP(B3883,'Thống kê'!$C$3:$M$682,4,0)</f>
        <v>#N/A</v>
      </c>
      <c r="E3883" s="167"/>
      <c r="F3883" s="168" t="e">
        <f t="shared" si="16"/>
        <v>#N/A</v>
      </c>
      <c r="G3883" s="75"/>
      <c r="H3883" s="369"/>
    </row>
    <row r="3884" spans="1:8" ht="13.2">
      <c r="A3884" s="49"/>
      <c r="C3884" s="143" t="e">
        <f>IFERROR(VLOOKUP(B3884,'Thống kê'!$C$3:$D$970,2, FALSE),VLOOKUP(B3884,'Thống kê v2 CC'!$A$3:$D$1005,3, FALSE))</f>
        <v>#N/A</v>
      </c>
      <c r="D3884" s="166" t="e">
        <f>VLOOKUP(B3884,'Thống kê'!$C$3:$M$682,4,0)</f>
        <v>#N/A</v>
      </c>
      <c r="E3884" s="167"/>
      <c r="F3884" s="168" t="e">
        <f t="shared" si="16"/>
        <v>#N/A</v>
      </c>
      <c r="G3884" s="75"/>
      <c r="H3884" s="369"/>
    </row>
    <row r="3885" spans="1:8" ht="13.2">
      <c r="A3885" s="49"/>
      <c r="C3885" s="143" t="e">
        <f>IFERROR(VLOOKUP(B3885,'Thống kê'!$C$3:$D$970,2, FALSE),VLOOKUP(B3885,'Thống kê v2 CC'!$A$3:$D$1005,3, FALSE))</f>
        <v>#N/A</v>
      </c>
      <c r="D3885" s="166" t="e">
        <f>VLOOKUP(B3885,'Thống kê'!$C$3:$M$682,4,0)</f>
        <v>#N/A</v>
      </c>
      <c r="E3885" s="167"/>
      <c r="F3885" s="168" t="e">
        <f t="shared" si="16"/>
        <v>#N/A</v>
      </c>
      <c r="G3885" s="75"/>
      <c r="H3885" s="205"/>
    </row>
    <row r="3886" spans="1:8" ht="13.2">
      <c r="A3886" s="49"/>
      <c r="C3886" s="143" t="e">
        <f>IFERROR(VLOOKUP(B3886,'Thống kê'!$C$3:$D$970,2, FALSE),VLOOKUP(B3886,'Thống kê v2 CC'!$A$3:$D$1005,3, FALSE))</f>
        <v>#N/A</v>
      </c>
      <c r="D3886" s="166" t="e">
        <f>VLOOKUP(B3886,'Thống kê'!$C$3:$M$682,4,0)</f>
        <v>#N/A</v>
      </c>
      <c r="E3886" s="167"/>
      <c r="F3886" s="168" t="e">
        <f t="shared" si="16"/>
        <v>#N/A</v>
      </c>
      <c r="G3886" s="75"/>
      <c r="H3886" s="407"/>
    </row>
    <row r="3887" spans="1:8" ht="13.2">
      <c r="A3887" s="49"/>
      <c r="C3887" s="143" t="e">
        <f>IFERROR(VLOOKUP(B3887,'Thống kê'!$C$3:$D$970,2, FALSE),VLOOKUP(B3887,'Thống kê v2 CC'!$A$3:$D$1005,3, FALSE))</f>
        <v>#N/A</v>
      </c>
      <c r="D3887" s="166" t="e">
        <f>VLOOKUP(B3887,'Thống kê'!$C$3:$M$682,4,0)</f>
        <v>#N/A</v>
      </c>
      <c r="E3887" s="167"/>
      <c r="F3887" s="168" t="e">
        <f t="shared" si="16"/>
        <v>#N/A</v>
      </c>
      <c r="G3887" s="75"/>
      <c r="H3887" s="369"/>
    </row>
    <row r="3888" spans="1:8" ht="13.2">
      <c r="A3888" s="49"/>
      <c r="C3888" s="143" t="e">
        <f>IFERROR(VLOOKUP(B3888,'Thống kê'!$C$3:$D$970,2, FALSE),VLOOKUP(B3888,'Thống kê v2 CC'!$A$3:$D$1005,3, FALSE))</f>
        <v>#N/A</v>
      </c>
      <c r="D3888" s="166" t="e">
        <f>VLOOKUP(B3888,'Thống kê'!$C$3:$M$682,4,0)</f>
        <v>#N/A</v>
      </c>
      <c r="E3888" s="167"/>
      <c r="F3888" s="168" t="e">
        <f t="shared" si="16"/>
        <v>#N/A</v>
      </c>
      <c r="G3888" s="75"/>
      <c r="H3888" s="369"/>
    </row>
    <row r="3889" spans="1:8" ht="13.2">
      <c r="A3889" s="49"/>
      <c r="C3889" s="143" t="e">
        <f>IFERROR(VLOOKUP(B3889,'Thống kê'!$C$3:$D$970,2, FALSE),VLOOKUP(B3889,'Thống kê v2 CC'!$A$3:$D$1005,3, FALSE))</f>
        <v>#N/A</v>
      </c>
      <c r="D3889" s="166" t="e">
        <f>VLOOKUP(B3889,'Thống kê'!$C$3:$M$682,4,0)</f>
        <v>#N/A</v>
      </c>
      <c r="E3889" s="167"/>
      <c r="F3889" s="168" t="e">
        <f t="shared" si="16"/>
        <v>#N/A</v>
      </c>
      <c r="G3889" s="75"/>
      <c r="H3889" s="205"/>
    </row>
    <row r="3890" spans="1:8" ht="13.2">
      <c r="A3890" s="49"/>
      <c r="C3890" s="143" t="e">
        <f>IFERROR(VLOOKUP(B3890,'Thống kê'!$C$3:$D$970,2, FALSE),VLOOKUP(B3890,'Thống kê v2 CC'!$A$3:$D$1005,3, FALSE))</f>
        <v>#N/A</v>
      </c>
      <c r="D3890" s="166" t="e">
        <f>VLOOKUP(B3890,'Thống kê'!$C$3:$M$682,4,0)</f>
        <v>#N/A</v>
      </c>
      <c r="E3890" s="167"/>
      <c r="F3890" s="168" t="e">
        <f t="shared" si="16"/>
        <v>#N/A</v>
      </c>
      <c r="G3890" s="75"/>
      <c r="H3890" s="205"/>
    </row>
    <row r="3891" spans="1:8" ht="13.2">
      <c r="A3891" s="49"/>
      <c r="C3891" s="143" t="e">
        <f>IFERROR(VLOOKUP(B3891,'Thống kê'!$C$3:$D$970,2, FALSE),VLOOKUP(B3891,'Thống kê v2 CC'!$A$3:$D$1005,3, FALSE))</f>
        <v>#N/A</v>
      </c>
      <c r="D3891" s="166" t="e">
        <f>VLOOKUP(B3891,'Thống kê'!$C$3:$M$682,4,0)</f>
        <v>#N/A</v>
      </c>
      <c r="E3891" s="167"/>
      <c r="F3891" s="168" t="e">
        <f t="shared" si="16"/>
        <v>#N/A</v>
      </c>
      <c r="G3891" s="75"/>
      <c r="H3891" s="205"/>
    </row>
    <row r="3892" spans="1:8" ht="13.2">
      <c r="A3892" s="49"/>
      <c r="C3892" s="143" t="e">
        <f>IFERROR(VLOOKUP(B3892,'Thống kê'!$C$3:$D$970,2, FALSE),VLOOKUP(B3892,'Thống kê v2 CC'!$A$3:$D$1005,3, FALSE))</f>
        <v>#N/A</v>
      </c>
      <c r="D3892" s="166" t="e">
        <f>VLOOKUP(B3892,'Thống kê'!$C$3:$M$682,4,0)</f>
        <v>#N/A</v>
      </c>
      <c r="E3892" s="167"/>
      <c r="F3892" s="168" t="e">
        <f t="shared" si="16"/>
        <v>#N/A</v>
      </c>
      <c r="G3892" s="75"/>
      <c r="H3892" s="205"/>
    </row>
    <row r="3893" spans="1:8" ht="13.2">
      <c r="A3893" s="49"/>
      <c r="C3893" s="143" t="e">
        <f>IFERROR(VLOOKUP(B3893,'Thống kê'!$C$3:$D$970,2, FALSE),VLOOKUP(B3893,'Thống kê v2 CC'!$A$3:$D$1005,3, FALSE))</f>
        <v>#N/A</v>
      </c>
      <c r="D3893" s="166" t="e">
        <f>VLOOKUP(B3893,'Thống kê'!$C$3:$M$682,4,0)</f>
        <v>#N/A</v>
      </c>
      <c r="E3893" s="167"/>
      <c r="F3893" s="168" t="e">
        <f t="shared" si="16"/>
        <v>#N/A</v>
      </c>
      <c r="G3893" s="75"/>
      <c r="H3893" s="205"/>
    </row>
    <row r="3894" spans="1:8" ht="13.2">
      <c r="A3894" s="49"/>
      <c r="C3894" s="143" t="e">
        <f>IFERROR(VLOOKUP(B3894,'Thống kê'!$C$3:$D$970,2, FALSE),VLOOKUP(B3894,'Thống kê v2 CC'!$A$3:$D$1005,3, FALSE))</f>
        <v>#N/A</v>
      </c>
      <c r="D3894" s="166" t="e">
        <f>VLOOKUP(B3894,'Thống kê'!$C$3:$M$682,4,0)</f>
        <v>#N/A</v>
      </c>
      <c r="E3894" s="167"/>
      <c r="F3894" s="168" t="e">
        <f t="shared" si="16"/>
        <v>#N/A</v>
      </c>
      <c r="G3894" s="75"/>
      <c r="H3894" s="205"/>
    </row>
    <row r="3895" spans="1:8" ht="13.2">
      <c r="A3895" s="49"/>
      <c r="C3895" s="143" t="e">
        <f>IFERROR(VLOOKUP(B3895,'Thống kê'!$C$3:$D$970,2, FALSE),VLOOKUP(B3895,'Thống kê v2 CC'!$A$3:$D$1005,3, FALSE))</f>
        <v>#N/A</v>
      </c>
      <c r="D3895" s="166" t="e">
        <f>VLOOKUP(B3895,'Thống kê'!$C$3:$M$682,4,0)</f>
        <v>#N/A</v>
      </c>
      <c r="E3895" s="167"/>
      <c r="F3895" s="168" t="e">
        <f t="shared" si="16"/>
        <v>#N/A</v>
      </c>
      <c r="G3895" s="75"/>
      <c r="H3895" s="205"/>
    </row>
    <row r="3896" spans="1:8" ht="13.2">
      <c r="A3896" s="49"/>
      <c r="C3896" s="143" t="e">
        <f>IFERROR(VLOOKUP(B3896,'Thống kê'!$C$3:$D$970,2, FALSE),VLOOKUP(B3896,'Thống kê v2 CC'!$A$3:$D$1005,3, FALSE))</f>
        <v>#N/A</v>
      </c>
      <c r="D3896" s="166" t="e">
        <f>VLOOKUP(B3896,'Thống kê'!$C$3:$M$682,4,0)</f>
        <v>#N/A</v>
      </c>
      <c r="E3896" s="167"/>
      <c r="F3896" s="168" t="e">
        <f t="shared" si="16"/>
        <v>#N/A</v>
      </c>
      <c r="G3896" s="75"/>
      <c r="H3896" s="205"/>
    </row>
    <row r="3897" spans="1:8" ht="13.2">
      <c r="A3897" s="49"/>
      <c r="C3897" s="143" t="e">
        <f>IFERROR(VLOOKUP(B3897,'Thống kê'!$C$3:$D$970,2, FALSE),VLOOKUP(B3897,'Thống kê v2 CC'!$A$3:$D$1005,3, FALSE))</f>
        <v>#N/A</v>
      </c>
      <c r="D3897" s="166" t="e">
        <f>VLOOKUP(B3897,'Thống kê'!$C$3:$M$682,4,0)</f>
        <v>#N/A</v>
      </c>
      <c r="E3897" s="167"/>
      <c r="F3897" s="168" t="e">
        <f t="shared" si="16"/>
        <v>#N/A</v>
      </c>
      <c r="G3897" s="75"/>
      <c r="H3897" s="205"/>
    </row>
    <row r="3898" spans="1:8" ht="13.2">
      <c r="A3898" s="49"/>
      <c r="C3898" s="143" t="e">
        <f>IFERROR(VLOOKUP(B3898,'Thống kê'!$C$3:$D$970,2, FALSE),VLOOKUP(B3898,'Thống kê v2 CC'!$A$3:$D$1005,3, FALSE))</f>
        <v>#N/A</v>
      </c>
      <c r="D3898" s="166" t="e">
        <f>VLOOKUP(B3898,'Thống kê'!$C$3:$M$682,4,0)</f>
        <v>#N/A</v>
      </c>
      <c r="E3898" s="167"/>
      <c r="F3898" s="168" t="e">
        <f t="shared" si="16"/>
        <v>#N/A</v>
      </c>
      <c r="G3898" s="75"/>
      <c r="H3898" s="205"/>
    </row>
    <row r="3899" spans="1:8" ht="13.2">
      <c r="A3899" s="49"/>
      <c r="C3899" s="143" t="e">
        <f>IFERROR(VLOOKUP(B3899,'Thống kê'!$C$3:$D$970,2, FALSE),VLOOKUP(B3899,'Thống kê v2 CC'!$A$3:$D$1005,3, FALSE))</f>
        <v>#N/A</v>
      </c>
      <c r="D3899" s="166" t="e">
        <f>VLOOKUP(B3899,'Thống kê'!$C$3:$M$682,4,0)</f>
        <v>#N/A</v>
      </c>
      <c r="E3899" s="167"/>
      <c r="F3899" s="168" t="e">
        <f t="shared" si="16"/>
        <v>#N/A</v>
      </c>
      <c r="G3899" s="75"/>
      <c r="H3899" s="205"/>
    </row>
    <row r="3900" spans="1:8" ht="13.2">
      <c r="A3900" s="64"/>
      <c r="C3900" s="143" t="e">
        <f>IFERROR(VLOOKUP(B3900,'Thống kê'!$C$3:$D$970,2, FALSE),VLOOKUP(B3900,'Thống kê v2 CC'!$A$3:$D$1005,3, FALSE))</f>
        <v>#N/A</v>
      </c>
      <c r="D3900" s="166" t="e">
        <f>VLOOKUP(B3900,'Thống kê'!$C$3:$M$682,4,0)</f>
        <v>#N/A</v>
      </c>
      <c r="E3900" s="167"/>
      <c r="F3900" s="168" t="e">
        <f t="shared" si="16"/>
        <v>#N/A</v>
      </c>
      <c r="G3900" s="75"/>
      <c r="H3900" s="407"/>
    </row>
    <row r="3901" spans="1:8" ht="13.2">
      <c r="A3901" s="49"/>
      <c r="C3901" s="143" t="e">
        <f>IFERROR(VLOOKUP(B3901,'Thống kê'!$C$3:$D$970,2, FALSE),VLOOKUP(B3901,'Thống kê v2 CC'!$A$3:$D$1005,3, FALSE))</f>
        <v>#N/A</v>
      </c>
      <c r="D3901" s="166" t="e">
        <f>VLOOKUP(B3901,'Thống kê'!$C$3:$M$682,4,0)</f>
        <v>#N/A</v>
      </c>
      <c r="E3901" s="167"/>
      <c r="F3901" s="168" t="e">
        <f t="shared" si="16"/>
        <v>#N/A</v>
      </c>
      <c r="G3901" s="75"/>
      <c r="H3901" s="369"/>
    </row>
    <row r="3902" spans="1:8" ht="13.2">
      <c r="A3902" s="49"/>
      <c r="C3902" s="143" t="e">
        <f>IFERROR(VLOOKUP(B3902,'Thống kê'!$C$3:$D$970,2, FALSE),VLOOKUP(B3902,'Thống kê v2 CC'!$A$3:$D$1005,3, FALSE))</f>
        <v>#N/A</v>
      </c>
      <c r="D3902" s="166" t="e">
        <f>VLOOKUP(B3902,'Thống kê'!$C$3:$M$682,4,0)</f>
        <v>#N/A</v>
      </c>
      <c r="E3902" s="167"/>
      <c r="F3902" s="168" t="e">
        <f t="shared" si="16"/>
        <v>#N/A</v>
      </c>
      <c r="G3902" s="75"/>
      <c r="H3902" s="369"/>
    </row>
    <row r="3903" spans="1:8" ht="13.2">
      <c r="A3903" s="49"/>
      <c r="C3903" s="143" t="e">
        <f>IFERROR(VLOOKUP(B3903,'Thống kê'!$C$3:$D$970,2, FALSE),VLOOKUP(B3903,'Thống kê v2 CC'!$A$3:$D$1005,3, FALSE))</f>
        <v>#N/A</v>
      </c>
      <c r="D3903" s="166" t="e">
        <f>VLOOKUP(B3903,'Thống kê'!$C$3:$M$682,4,0)</f>
        <v>#N/A</v>
      </c>
      <c r="E3903" s="167"/>
      <c r="F3903" s="168" t="e">
        <f t="shared" si="16"/>
        <v>#N/A</v>
      </c>
      <c r="G3903" s="75"/>
      <c r="H3903" s="205"/>
    </row>
    <row r="3904" spans="1:8" ht="13.2">
      <c r="A3904" s="49"/>
      <c r="C3904" s="143" t="e">
        <f>IFERROR(VLOOKUP(B3904,'Thống kê'!$C$3:$D$970,2, FALSE),VLOOKUP(B3904,'Thống kê v2 CC'!$A$3:$D$1005,3, FALSE))</f>
        <v>#N/A</v>
      </c>
      <c r="D3904" s="166" t="e">
        <f>VLOOKUP(B3904,'Thống kê'!$C$3:$M$682,4,0)</f>
        <v>#N/A</v>
      </c>
      <c r="E3904" s="167"/>
      <c r="F3904" s="168" t="e">
        <f t="shared" si="16"/>
        <v>#N/A</v>
      </c>
      <c r="G3904" s="75"/>
      <c r="H3904" s="407"/>
    </row>
    <row r="3905" spans="1:8" ht="13.2">
      <c r="A3905" s="49"/>
      <c r="C3905" s="143" t="e">
        <f>IFERROR(VLOOKUP(B3905,'Thống kê'!$C$3:$D$970,2, FALSE),VLOOKUP(B3905,'Thống kê v2 CC'!$A$3:$D$1005,3, FALSE))</f>
        <v>#N/A</v>
      </c>
      <c r="D3905" s="166" t="e">
        <f>VLOOKUP(B3905,'Thống kê'!$C$3:$M$682,4,0)</f>
        <v>#N/A</v>
      </c>
      <c r="E3905" s="167"/>
      <c r="F3905" s="168" t="e">
        <f t="shared" si="16"/>
        <v>#N/A</v>
      </c>
      <c r="G3905" s="75"/>
      <c r="H3905" s="369"/>
    </row>
    <row r="3906" spans="1:8" ht="13.2">
      <c r="A3906" s="49"/>
      <c r="C3906" s="143" t="e">
        <f>IFERROR(VLOOKUP(B3906,'Thống kê'!$C$3:$D$970,2, FALSE),VLOOKUP(B3906,'Thống kê v2 CC'!$A$3:$D$1005,3, FALSE))</f>
        <v>#N/A</v>
      </c>
      <c r="D3906" s="166" t="e">
        <f>VLOOKUP(B3906,'Thống kê'!$C$3:$M$682,4,0)</f>
        <v>#N/A</v>
      </c>
      <c r="E3906" s="167"/>
      <c r="F3906" s="168" t="e">
        <f t="shared" si="16"/>
        <v>#N/A</v>
      </c>
      <c r="G3906" s="75"/>
      <c r="H3906" s="369"/>
    </row>
    <row r="3907" spans="1:8" ht="13.2">
      <c r="A3907" s="49"/>
      <c r="C3907" s="143" t="e">
        <f>IFERROR(VLOOKUP(B3907,'Thống kê'!$C$3:$D$970,2, FALSE),VLOOKUP(B3907,'Thống kê v2 CC'!$A$3:$D$1005,3, FALSE))</f>
        <v>#N/A</v>
      </c>
      <c r="D3907" s="166" t="e">
        <f>VLOOKUP(B3907,'Thống kê'!$C$3:$M$682,4,0)</f>
        <v>#N/A</v>
      </c>
      <c r="E3907" s="167"/>
      <c r="F3907" s="168" t="e">
        <f t="shared" si="16"/>
        <v>#N/A</v>
      </c>
      <c r="G3907" s="75"/>
      <c r="H3907" s="205"/>
    </row>
    <row r="3908" spans="1:8" ht="13.2">
      <c r="A3908" s="49"/>
      <c r="C3908" s="143" t="e">
        <f>IFERROR(VLOOKUP(B3908,'Thống kê'!$C$3:$D$970,2, FALSE),VLOOKUP(B3908,'Thống kê v2 CC'!$A$3:$D$1005,3, FALSE))</f>
        <v>#N/A</v>
      </c>
      <c r="D3908" s="166" t="e">
        <f>VLOOKUP(B3908,'Thống kê'!$C$3:$M$682,4,0)</f>
        <v>#N/A</v>
      </c>
      <c r="E3908" s="167"/>
      <c r="F3908" s="168" t="e">
        <f t="shared" si="16"/>
        <v>#N/A</v>
      </c>
      <c r="G3908" s="75"/>
      <c r="H3908" s="205"/>
    </row>
    <row r="3909" spans="1:8" ht="13.2">
      <c r="A3909" s="49"/>
      <c r="C3909" s="143" t="e">
        <f>IFERROR(VLOOKUP(B3909,'Thống kê'!$C$3:$D$970,2, FALSE),VLOOKUP(B3909,'Thống kê v2 CC'!$A$3:$D$1005,3, FALSE))</f>
        <v>#N/A</v>
      </c>
      <c r="D3909" s="166" t="e">
        <f>VLOOKUP(B3909,'Thống kê'!$C$3:$M$682,4,0)</f>
        <v>#N/A</v>
      </c>
      <c r="E3909" s="167"/>
      <c r="F3909" s="168" t="e">
        <f t="shared" si="16"/>
        <v>#N/A</v>
      </c>
      <c r="G3909" s="75"/>
      <c r="H3909" s="205"/>
    </row>
    <row r="3910" spans="1:8" ht="13.2">
      <c r="A3910" s="49"/>
      <c r="C3910" s="143" t="e">
        <f>IFERROR(VLOOKUP(B3910,'Thống kê'!$C$3:$D$970,2, FALSE),VLOOKUP(B3910,'Thống kê v2 CC'!$A$3:$D$1005,3, FALSE))</f>
        <v>#N/A</v>
      </c>
      <c r="D3910" s="166" t="e">
        <f>VLOOKUP(B3910,'Thống kê'!$C$3:$M$682,4,0)</f>
        <v>#N/A</v>
      </c>
      <c r="E3910" s="167"/>
      <c r="F3910" s="168" t="e">
        <f t="shared" si="16"/>
        <v>#N/A</v>
      </c>
      <c r="G3910" s="75"/>
      <c r="H3910" s="205"/>
    </row>
    <row r="3911" spans="1:8" ht="13.2">
      <c r="A3911" s="49"/>
      <c r="C3911" s="143" t="e">
        <f>IFERROR(VLOOKUP(B3911,'Thống kê'!$C$3:$D$970,2, FALSE),VLOOKUP(B3911,'Thống kê v2 CC'!$A$3:$D$1005,3, FALSE))</f>
        <v>#N/A</v>
      </c>
      <c r="D3911" s="166" t="e">
        <f>VLOOKUP(B3911,'Thống kê'!$C$3:$M$682,4,0)</f>
        <v>#N/A</v>
      </c>
      <c r="E3911" s="167"/>
      <c r="F3911" s="168" t="e">
        <f t="shared" si="16"/>
        <v>#N/A</v>
      </c>
      <c r="G3911" s="75"/>
      <c r="H3911" s="205"/>
    </row>
    <row r="3912" spans="1:8" ht="13.2">
      <c r="A3912" s="49"/>
      <c r="C3912" s="143" t="e">
        <f>IFERROR(VLOOKUP(B3912,'Thống kê'!$C$3:$D$970,2, FALSE),VLOOKUP(B3912,'Thống kê v2 CC'!$A$3:$D$1005,3, FALSE))</f>
        <v>#N/A</v>
      </c>
      <c r="D3912" s="166" t="e">
        <f>VLOOKUP(B3912,'Thống kê'!$C$3:$M$682,4,0)</f>
        <v>#N/A</v>
      </c>
      <c r="E3912" s="167"/>
      <c r="F3912" s="168" t="e">
        <f t="shared" si="16"/>
        <v>#N/A</v>
      </c>
      <c r="G3912" s="75"/>
      <c r="H3912" s="205"/>
    </row>
    <row r="3913" spans="1:8" ht="13.2">
      <c r="A3913" s="64"/>
      <c r="C3913" s="143" t="e">
        <f>IFERROR(VLOOKUP(B3913,'Thống kê'!$C$3:$D$970,2, FALSE),VLOOKUP(B3913,'Thống kê v2 CC'!$A$3:$D$1005,3, FALSE))</f>
        <v>#N/A</v>
      </c>
      <c r="D3913" s="166" t="e">
        <f>VLOOKUP(B3913,'Thống kê'!$C$3:$M$682,4,0)</f>
        <v>#N/A</v>
      </c>
      <c r="E3913" s="167"/>
      <c r="F3913" s="168" t="e">
        <f t="shared" si="16"/>
        <v>#N/A</v>
      </c>
      <c r="G3913" s="75"/>
      <c r="H3913" s="205"/>
    </row>
    <row r="3914" spans="1:8" ht="13.2">
      <c r="A3914" s="49"/>
      <c r="C3914" s="143" t="e">
        <f>IFERROR(VLOOKUP(B3914,'Thống kê'!$C$3:$D$970,2, FALSE),VLOOKUP(B3914,'Thống kê v2 CC'!$A$3:$D$1005,3, FALSE))</f>
        <v>#N/A</v>
      </c>
      <c r="D3914" s="166" t="e">
        <f>VLOOKUP(B3914,'Thống kê'!$C$3:$M$682,4,0)</f>
        <v>#N/A</v>
      </c>
      <c r="E3914" s="167"/>
      <c r="F3914" s="168" t="e">
        <f t="shared" si="16"/>
        <v>#N/A</v>
      </c>
      <c r="G3914" s="75"/>
      <c r="H3914" s="205"/>
    </row>
    <row r="3915" spans="1:8" ht="13.2">
      <c r="A3915" s="49"/>
      <c r="C3915" s="143" t="e">
        <f>IFERROR(VLOOKUP(B3915,'Thống kê'!$C$3:$D$970,2, FALSE),VLOOKUP(B3915,'Thống kê v2 CC'!$A$3:$D$1005,3, FALSE))</f>
        <v>#N/A</v>
      </c>
      <c r="D3915" s="166" t="e">
        <f>VLOOKUP(B3915,'Thống kê'!$C$3:$M$682,4,0)</f>
        <v>#N/A</v>
      </c>
      <c r="E3915" s="167"/>
      <c r="F3915" s="168" t="e">
        <f t="shared" si="16"/>
        <v>#N/A</v>
      </c>
      <c r="G3915" s="75"/>
      <c r="H3915" s="407"/>
    </row>
    <row r="3916" spans="1:8" ht="13.2">
      <c r="A3916" s="49"/>
      <c r="C3916" s="143" t="e">
        <f>IFERROR(VLOOKUP(B3916,'Thống kê'!$C$3:$D$970,2, FALSE),VLOOKUP(B3916,'Thống kê v2 CC'!$A$3:$D$1005,3, FALSE))</f>
        <v>#N/A</v>
      </c>
      <c r="D3916" s="166" t="e">
        <f>VLOOKUP(B3916,'Thống kê'!$C$3:$M$682,4,0)</f>
        <v>#N/A</v>
      </c>
      <c r="E3916" s="167"/>
      <c r="F3916" s="168" t="e">
        <f t="shared" si="16"/>
        <v>#N/A</v>
      </c>
      <c r="G3916" s="75"/>
      <c r="H3916" s="369"/>
    </row>
    <row r="3917" spans="1:8" ht="13.2">
      <c r="A3917" s="49"/>
      <c r="C3917" s="143" t="e">
        <f>IFERROR(VLOOKUP(B3917,'Thống kê'!$C$3:$D$970,2, FALSE),VLOOKUP(B3917,'Thống kê v2 CC'!$A$3:$D$1005,3, FALSE))</f>
        <v>#N/A</v>
      </c>
      <c r="D3917" s="166" t="e">
        <f>VLOOKUP(B3917,'Thống kê'!$C$3:$M$682,4,0)</f>
        <v>#N/A</v>
      </c>
      <c r="E3917" s="167"/>
      <c r="F3917" s="168" t="e">
        <f t="shared" si="16"/>
        <v>#N/A</v>
      </c>
      <c r="G3917" s="75"/>
      <c r="H3917" s="369"/>
    </row>
    <row r="3918" spans="1:8" ht="13.2">
      <c r="A3918" s="49"/>
      <c r="C3918" s="143" t="e">
        <f>IFERROR(VLOOKUP(B3918,'Thống kê'!$C$3:$D$970,2, FALSE),VLOOKUP(B3918,'Thống kê v2 CC'!$A$3:$D$1005,3, FALSE))</f>
        <v>#N/A</v>
      </c>
      <c r="D3918" s="166" t="e">
        <f>VLOOKUP(B3918,'Thống kê'!$C$3:$M$682,4,0)</f>
        <v>#N/A</v>
      </c>
      <c r="E3918" s="167"/>
      <c r="F3918" s="168" t="e">
        <f t="shared" si="16"/>
        <v>#N/A</v>
      </c>
      <c r="G3918" s="75"/>
      <c r="H3918" s="407"/>
    </row>
    <row r="3919" spans="1:8" ht="13.2">
      <c r="A3919" s="49"/>
      <c r="C3919" s="143" t="e">
        <f>IFERROR(VLOOKUP(B3919,'Thống kê'!$C$3:$D$970,2, FALSE),VLOOKUP(B3919,'Thống kê v2 CC'!$A$3:$D$1005,3, FALSE))</f>
        <v>#N/A</v>
      </c>
      <c r="D3919" s="166" t="e">
        <f>VLOOKUP(B3919,'Thống kê'!$C$3:$M$682,4,0)</f>
        <v>#N/A</v>
      </c>
      <c r="E3919" s="167"/>
      <c r="F3919" s="168" t="e">
        <f t="shared" si="16"/>
        <v>#N/A</v>
      </c>
      <c r="G3919" s="75"/>
      <c r="H3919" s="369"/>
    </row>
    <row r="3920" spans="1:8" ht="13.2">
      <c r="A3920" s="49"/>
      <c r="C3920" s="143" t="e">
        <f>IFERROR(VLOOKUP(B3920,'Thống kê'!$C$3:$D$970,2, FALSE),VLOOKUP(B3920,'Thống kê v2 CC'!$A$3:$D$1005,3, FALSE))</f>
        <v>#N/A</v>
      </c>
      <c r="D3920" s="166" t="e">
        <f>VLOOKUP(B3920,'Thống kê'!$C$3:$M$682,4,0)</f>
        <v>#N/A</v>
      </c>
      <c r="E3920" s="167"/>
      <c r="F3920" s="168" t="e">
        <f t="shared" si="16"/>
        <v>#N/A</v>
      </c>
      <c r="G3920" s="75"/>
      <c r="H3920" s="369"/>
    </row>
    <row r="3921" spans="1:8" ht="13.2">
      <c r="A3921" s="49"/>
      <c r="C3921" s="143" t="e">
        <f>IFERROR(VLOOKUP(B3921,'Thống kê'!$C$3:$D$970,2, FALSE),VLOOKUP(B3921,'Thống kê v2 CC'!$A$3:$D$1005,3, FALSE))</f>
        <v>#N/A</v>
      </c>
      <c r="D3921" s="166" t="e">
        <f>VLOOKUP(B3921,'Thống kê'!$C$3:$M$682,4,0)</f>
        <v>#N/A</v>
      </c>
      <c r="E3921" s="167"/>
      <c r="F3921" s="168" t="e">
        <f t="shared" si="16"/>
        <v>#N/A</v>
      </c>
      <c r="G3921" s="75"/>
      <c r="H3921" s="369"/>
    </row>
    <row r="3922" spans="1:8" ht="13.2">
      <c r="A3922" s="64"/>
      <c r="C3922" s="143" t="e">
        <f>IFERROR(VLOOKUP(B3922,'Thống kê'!$C$3:$D$970,2, FALSE),VLOOKUP(B3922,'Thống kê v2 CC'!$A$3:$D$1005,3, FALSE))</f>
        <v>#N/A</v>
      </c>
      <c r="D3922" s="166" t="e">
        <f>VLOOKUP(B3922,'Thống kê'!$C$3:$M$682,4,0)</f>
        <v>#N/A</v>
      </c>
      <c r="E3922" s="167"/>
      <c r="F3922" s="168" t="e">
        <f t="shared" si="16"/>
        <v>#N/A</v>
      </c>
      <c r="G3922" s="75"/>
      <c r="H3922" s="407"/>
    </row>
    <row r="3923" spans="1:8" ht="13.2">
      <c r="A3923" s="49"/>
      <c r="C3923" s="143" t="e">
        <f>IFERROR(VLOOKUP(B3923,'Thống kê'!$C$3:$D$970,2, FALSE),VLOOKUP(B3923,'Thống kê v2 CC'!$A$3:$D$1005,3, FALSE))</f>
        <v>#N/A</v>
      </c>
      <c r="D3923" s="166" t="e">
        <f>VLOOKUP(B3923,'Thống kê'!$C$3:$M$682,4,0)</f>
        <v>#N/A</v>
      </c>
      <c r="E3923" s="167"/>
      <c r="F3923" s="168" t="e">
        <f t="shared" si="16"/>
        <v>#N/A</v>
      </c>
      <c r="G3923" s="75"/>
      <c r="H3923" s="369"/>
    </row>
    <row r="3924" spans="1:8" ht="13.2">
      <c r="A3924" s="49"/>
      <c r="C3924" s="143" t="e">
        <f>IFERROR(VLOOKUP(B3924,'Thống kê'!$C$3:$D$970,2, FALSE),VLOOKUP(B3924,'Thống kê v2 CC'!$A$3:$D$1005,3, FALSE))</f>
        <v>#N/A</v>
      </c>
      <c r="D3924" s="166" t="e">
        <f>VLOOKUP(B3924,'Thống kê'!$C$3:$M$682,4,0)</f>
        <v>#N/A</v>
      </c>
      <c r="E3924" s="167"/>
      <c r="F3924" s="168" t="e">
        <f t="shared" si="16"/>
        <v>#N/A</v>
      </c>
      <c r="G3924" s="75"/>
      <c r="H3924" s="369"/>
    </row>
    <row r="3925" spans="1:8" ht="13.2">
      <c r="A3925" s="49"/>
      <c r="C3925" s="143" t="e">
        <f>IFERROR(VLOOKUP(B3925,'Thống kê'!$C$3:$D$970,2, FALSE),VLOOKUP(B3925,'Thống kê v2 CC'!$A$3:$D$1005,3, FALSE))</f>
        <v>#N/A</v>
      </c>
      <c r="D3925" s="166" t="e">
        <f>VLOOKUP(B3925,'Thống kê'!$C$3:$M$682,4,0)</f>
        <v>#N/A</v>
      </c>
      <c r="E3925" s="167"/>
      <c r="F3925" s="168" t="e">
        <f t="shared" si="16"/>
        <v>#N/A</v>
      </c>
      <c r="G3925" s="75"/>
      <c r="H3925" s="407"/>
    </row>
    <row r="3926" spans="1:8" ht="13.2">
      <c r="A3926" s="49"/>
      <c r="C3926" s="143" t="e">
        <f>IFERROR(VLOOKUP(B3926,'Thống kê'!$C$3:$D$970,2, FALSE),VLOOKUP(B3926,'Thống kê v2 CC'!$A$3:$D$1005,3, FALSE))</f>
        <v>#N/A</v>
      </c>
      <c r="D3926" s="166" t="e">
        <f>VLOOKUP(B3926,'Thống kê'!$C$3:$M$682,4,0)</f>
        <v>#N/A</v>
      </c>
      <c r="E3926" s="167"/>
      <c r="F3926" s="168" t="e">
        <f t="shared" si="16"/>
        <v>#N/A</v>
      </c>
      <c r="G3926" s="75"/>
      <c r="H3926" s="369"/>
    </row>
    <row r="3927" spans="1:8" ht="13.2">
      <c r="A3927" s="49"/>
      <c r="C3927" s="143" t="e">
        <f>IFERROR(VLOOKUP(B3927,'Thống kê'!$C$3:$D$970,2, FALSE),VLOOKUP(B3927,'Thống kê v2 CC'!$A$3:$D$1005,3, FALSE))</f>
        <v>#N/A</v>
      </c>
      <c r="D3927" s="166" t="e">
        <f>VLOOKUP(B3927,'Thống kê'!$C$3:$M$682,4,0)</f>
        <v>#N/A</v>
      </c>
      <c r="E3927" s="167"/>
      <c r="F3927" s="168" t="e">
        <f t="shared" si="16"/>
        <v>#N/A</v>
      </c>
      <c r="G3927" s="75"/>
      <c r="H3927" s="205"/>
    </row>
    <row r="3928" spans="1:8" ht="13.2">
      <c r="A3928" s="49"/>
      <c r="C3928" s="143" t="e">
        <f>IFERROR(VLOOKUP(B3928,'Thống kê'!$C$3:$D$970,2, FALSE),VLOOKUP(B3928,'Thống kê v2 CC'!$A$3:$D$1005,3, FALSE))</f>
        <v>#N/A</v>
      </c>
      <c r="D3928" s="166" t="e">
        <f>VLOOKUP(B3928,'Thống kê'!$C$3:$M$682,4,0)</f>
        <v>#N/A</v>
      </c>
      <c r="E3928" s="167"/>
      <c r="F3928" s="168" t="e">
        <f t="shared" si="16"/>
        <v>#N/A</v>
      </c>
      <c r="G3928" s="75"/>
      <c r="H3928" s="205"/>
    </row>
    <row r="3929" spans="1:8" ht="13.2">
      <c r="A3929" s="49"/>
      <c r="C3929" s="143" t="e">
        <f>IFERROR(VLOOKUP(B3929,'Thống kê'!$C$3:$D$970,2, FALSE),VLOOKUP(B3929,'Thống kê v2 CC'!$A$3:$D$1005,3, FALSE))</f>
        <v>#N/A</v>
      </c>
      <c r="D3929" s="166" t="e">
        <f>VLOOKUP(B3929,'Thống kê'!$C$3:$M$682,4,0)</f>
        <v>#N/A</v>
      </c>
      <c r="E3929" s="167"/>
      <c r="F3929" s="168" t="e">
        <f t="shared" si="16"/>
        <v>#N/A</v>
      </c>
      <c r="G3929" s="75"/>
      <c r="H3929" s="407"/>
    </row>
    <row r="3930" spans="1:8" ht="13.2">
      <c r="A3930" s="49"/>
      <c r="C3930" s="143" t="e">
        <f>IFERROR(VLOOKUP(B3930,'Thống kê'!$C$3:$D$970,2, FALSE),VLOOKUP(B3930,'Thống kê v2 CC'!$A$3:$D$1005,3, FALSE))</f>
        <v>#N/A</v>
      </c>
      <c r="D3930" s="166" t="e">
        <f>VLOOKUP(B3930,'Thống kê'!$C$3:$M$682,4,0)</f>
        <v>#N/A</v>
      </c>
      <c r="E3930" s="167"/>
      <c r="F3930" s="168" t="e">
        <f t="shared" si="16"/>
        <v>#N/A</v>
      </c>
      <c r="G3930" s="75"/>
      <c r="H3930" s="369"/>
    </row>
    <row r="3931" spans="1:8" ht="13.2">
      <c r="A3931" s="49"/>
      <c r="C3931" s="143" t="e">
        <f>IFERROR(VLOOKUP(B3931,'Thống kê'!$C$3:$D$970,2, FALSE),VLOOKUP(B3931,'Thống kê v2 CC'!$A$3:$D$1005,3, FALSE))</f>
        <v>#N/A</v>
      </c>
      <c r="D3931" s="166" t="e">
        <f>VLOOKUP(B3931,'Thống kê'!$C$3:$M$682,4,0)</f>
        <v>#N/A</v>
      </c>
      <c r="E3931" s="167"/>
      <c r="F3931" s="168" t="e">
        <f t="shared" si="16"/>
        <v>#N/A</v>
      </c>
      <c r="G3931" s="75"/>
      <c r="H3931" s="205"/>
    </row>
    <row r="3932" spans="1:8" ht="13.2">
      <c r="A3932" s="49"/>
      <c r="C3932" s="143" t="e">
        <f>IFERROR(VLOOKUP(B3932,'Thống kê'!$C$3:$D$970,2, FALSE),VLOOKUP(B3932,'Thống kê v2 CC'!$A$3:$D$1005,3, FALSE))</f>
        <v>#N/A</v>
      </c>
      <c r="D3932" s="166" t="e">
        <f>VLOOKUP(B3932,'Thống kê'!$C$3:$M$682,4,0)</f>
        <v>#N/A</v>
      </c>
      <c r="E3932" s="167"/>
      <c r="F3932" s="168" t="e">
        <f t="shared" si="16"/>
        <v>#N/A</v>
      </c>
      <c r="G3932" s="75"/>
      <c r="H3932" s="205"/>
    </row>
    <row r="3933" spans="1:8" ht="13.2">
      <c r="A3933" s="49"/>
      <c r="C3933" s="143" t="e">
        <f>IFERROR(VLOOKUP(B3933,'Thống kê'!$C$3:$D$970,2, FALSE),VLOOKUP(B3933,'Thống kê v2 CC'!$A$3:$D$1005,3, FALSE))</f>
        <v>#N/A</v>
      </c>
      <c r="D3933" s="166" t="e">
        <f>VLOOKUP(B3933,'Thống kê'!$C$3:$M$682,4,0)</f>
        <v>#N/A</v>
      </c>
      <c r="E3933" s="167"/>
      <c r="F3933" s="168" t="e">
        <f t="shared" si="16"/>
        <v>#N/A</v>
      </c>
      <c r="G3933" s="75"/>
      <c r="H3933" s="407"/>
    </row>
    <row r="3934" spans="1:8" ht="13.2">
      <c r="A3934" s="49"/>
      <c r="C3934" s="143" t="e">
        <f>IFERROR(VLOOKUP(B3934,'Thống kê'!$C$3:$D$970,2, FALSE),VLOOKUP(B3934,'Thống kê v2 CC'!$A$3:$D$1005,3, FALSE))</f>
        <v>#N/A</v>
      </c>
      <c r="D3934" s="166" t="e">
        <f>VLOOKUP(B3934,'Thống kê'!$C$3:$M$682,4,0)</f>
        <v>#N/A</v>
      </c>
      <c r="E3934" s="167"/>
      <c r="F3934" s="168" t="e">
        <f t="shared" si="16"/>
        <v>#N/A</v>
      </c>
      <c r="G3934" s="75"/>
      <c r="H3934" s="369"/>
    </row>
    <row r="3935" spans="1:8" ht="13.2">
      <c r="A3935" s="49"/>
      <c r="C3935" s="143" t="e">
        <f>IFERROR(VLOOKUP(B3935,'Thống kê'!$C$3:$D$970,2, FALSE),VLOOKUP(B3935,'Thống kê v2 CC'!$A$3:$D$1005,3, FALSE))</f>
        <v>#N/A</v>
      </c>
      <c r="D3935" s="166" t="e">
        <f>VLOOKUP(B3935,'Thống kê'!$C$3:$M$682,4,0)</f>
        <v>#N/A</v>
      </c>
      <c r="E3935" s="167"/>
      <c r="F3935" s="168" t="e">
        <f t="shared" si="16"/>
        <v>#N/A</v>
      </c>
      <c r="G3935" s="75"/>
      <c r="H3935" s="369"/>
    </row>
    <row r="3936" spans="1:8" ht="13.2">
      <c r="A3936" s="49"/>
      <c r="C3936" s="143" t="e">
        <f>IFERROR(VLOOKUP(B3936,'Thống kê'!$C$3:$D$970,2, FALSE),VLOOKUP(B3936,'Thống kê v2 CC'!$A$3:$D$1005,3, FALSE))</f>
        <v>#N/A</v>
      </c>
      <c r="D3936" s="166" t="e">
        <f>VLOOKUP(B3936,'Thống kê'!$C$3:$M$682,4,0)</f>
        <v>#N/A</v>
      </c>
      <c r="E3936" s="167"/>
      <c r="F3936" s="168" t="e">
        <f t="shared" si="16"/>
        <v>#N/A</v>
      </c>
      <c r="G3936" s="75"/>
      <c r="H3936" s="369"/>
    </row>
    <row r="3937" spans="1:8" ht="13.2">
      <c r="A3937" s="49"/>
      <c r="C3937" s="143" t="e">
        <f>IFERROR(VLOOKUP(B3937,'Thống kê'!$C$3:$D$970,2, FALSE),VLOOKUP(B3937,'Thống kê v2 CC'!$A$3:$D$1005,3, FALSE))</f>
        <v>#N/A</v>
      </c>
      <c r="D3937" s="166" t="e">
        <f>VLOOKUP(B3937,'Thống kê'!$C$3:$M$682,4,0)</f>
        <v>#N/A</v>
      </c>
      <c r="E3937" s="167"/>
      <c r="F3937" s="168" t="e">
        <f t="shared" si="16"/>
        <v>#N/A</v>
      </c>
      <c r="G3937" s="75"/>
      <c r="H3937" s="369"/>
    </row>
    <row r="3938" spans="1:8" ht="13.2">
      <c r="A3938" s="49"/>
      <c r="C3938" s="143" t="e">
        <f>IFERROR(VLOOKUP(B3938,'Thống kê'!$C$3:$D$970,2, FALSE),VLOOKUP(B3938,'Thống kê v2 CC'!$A$3:$D$1005,3, FALSE))</f>
        <v>#N/A</v>
      </c>
      <c r="D3938" s="166" t="e">
        <f>VLOOKUP(B3938,'Thống kê'!$C$3:$M$682,4,0)</f>
        <v>#N/A</v>
      </c>
      <c r="E3938" s="167"/>
      <c r="F3938" s="168" t="e">
        <f t="shared" si="16"/>
        <v>#N/A</v>
      </c>
      <c r="G3938" s="75"/>
      <c r="H3938" s="369"/>
    </row>
    <row r="3939" spans="1:8" ht="13.2">
      <c r="A3939" s="49"/>
      <c r="C3939" s="143" t="e">
        <f>IFERROR(VLOOKUP(B3939,'Thống kê'!$C$3:$D$970,2, FALSE),VLOOKUP(B3939,'Thống kê v2 CC'!$A$3:$D$1005,3, FALSE))</f>
        <v>#N/A</v>
      </c>
      <c r="D3939" s="166" t="e">
        <f>VLOOKUP(B3939,'Thống kê'!$C$3:$M$682,4,0)</f>
        <v>#N/A</v>
      </c>
      <c r="E3939" s="167"/>
      <c r="F3939" s="168" t="e">
        <f t="shared" si="16"/>
        <v>#N/A</v>
      </c>
      <c r="G3939" s="75"/>
      <c r="H3939" s="369"/>
    </row>
    <row r="3940" spans="1:8" ht="13.2">
      <c r="A3940" s="49"/>
      <c r="C3940" s="143" t="e">
        <f>IFERROR(VLOOKUP(B3940,'Thống kê'!$C$3:$D$970,2, FALSE),VLOOKUP(B3940,'Thống kê v2 CC'!$A$3:$D$1005,3, FALSE))</f>
        <v>#N/A</v>
      </c>
      <c r="D3940" s="166" t="e">
        <f>VLOOKUP(B3940,'Thống kê'!$C$3:$M$682,4,0)</f>
        <v>#N/A</v>
      </c>
      <c r="E3940" s="167"/>
      <c r="F3940" s="168" t="e">
        <f t="shared" si="16"/>
        <v>#N/A</v>
      </c>
      <c r="G3940" s="75"/>
      <c r="H3940" s="369"/>
    </row>
    <row r="3941" spans="1:8" ht="13.2">
      <c r="A3941" s="49"/>
      <c r="C3941" s="143" t="e">
        <f>IFERROR(VLOOKUP(B3941,'Thống kê'!$C$3:$D$970,2, FALSE),VLOOKUP(B3941,'Thống kê v2 CC'!$A$3:$D$1005,3, FALSE))</f>
        <v>#N/A</v>
      </c>
      <c r="D3941" s="166" t="e">
        <f>VLOOKUP(B3941,'Thống kê'!$C$3:$M$682,4,0)</f>
        <v>#N/A</v>
      </c>
      <c r="E3941" s="167"/>
      <c r="F3941" s="168" t="e">
        <f t="shared" si="16"/>
        <v>#N/A</v>
      </c>
      <c r="G3941" s="75"/>
      <c r="H3941" s="205"/>
    </row>
    <row r="3942" spans="1:8" ht="13.2">
      <c r="A3942" s="49"/>
      <c r="C3942" s="143" t="e">
        <f>IFERROR(VLOOKUP(B3942,'Thống kê'!$C$3:$D$970,2, FALSE),VLOOKUP(B3942,'Thống kê v2 CC'!$A$3:$D$1005,3, FALSE))</f>
        <v>#N/A</v>
      </c>
      <c r="D3942" s="166" t="e">
        <f>VLOOKUP(B3942,'Thống kê'!$C$3:$M$682,4,0)</f>
        <v>#N/A</v>
      </c>
      <c r="E3942" s="167"/>
      <c r="F3942" s="168" t="e">
        <f t="shared" si="16"/>
        <v>#N/A</v>
      </c>
      <c r="G3942" s="75"/>
      <c r="H3942" s="407"/>
    </row>
    <row r="3943" spans="1:8" ht="13.2">
      <c r="A3943" s="49"/>
      <c r="C3943" s="143" t="e">
        <f>IFERROR(VLOOKUP(B3943,'Thống kê'!$C$3:$D$970,2, FALSE),VLOOKUP(B3943,'Thống kê v2 CC'!$A$3:$D$1005,3, FALSE))</f>
        <v>#N/A</v>
      </c>
      <c r="D3943" s="166" t="e">
        <f>VLOOKUP(B3943,'Thống kê'!$C$3:$M$682,4,0)</f>
        <v>#N/A</v>
      </c>
      <c r="E3943" s="167"/>
      <c r="F3943" s="168" t="e">
        <f t="shared" si="16"/>
        <v>#N/A</v>
      </c>
      <c r="G3943" s="75"/>
      <c r="H3943" s="369"/>
    </row>
    <row r="3944" spans="1:8" ht="13.2">
      <c r="A3944" s="49"/>
      <c r="C3944" s="143" t="e">
        <f>IFERROR(VLOOKUP(B3944,'Thống kê'!$C$3:$D$970,2, FALSE),VLOOKUP(B3944,'Thống kê v2 CC'!$A$3:$D$1005,3, FALSE))</f>
        <v>#N/A</v>
      </c>
      <c r="D3944" s="166" t="e">
        <f>VLOOKUP(B3944,'Thống kê'!$C$3:$M$682,4,0)</f>
        <v>#N/A</v>
      </c>
      <c r="E3944" s="167"/>
      <c r="F3944" s="168" t="e">
        <f t="shared" si="16"/>
        <v>#N/A</v>
      </c>
      <c r="G3944" s="75"/>
      <c r="H3944" s="407"/>
    </row>
    <row r="3945" spans="1:8" ht="13.2">
      <c r="A3945" s="49"/>
      <c r="C3945" s="143" t="e">
        <f>IFERROR(VLOOKUP(B3945,'Thống kê'!$C$3:$D$970,2, FALSE),VLOOKUP(B3945,'Thống kê v2 CC'!$A$3:$D$1005,3, FALSE))</f>
        <v>#N/A</v>
      </c>
      <c r="D3945" s="166" t="e">
        <f>VLOOKUP(B3945,'Thống kê'!$C$3:$M$682,4,0)</f>
        <v>#N/A</v>
      </c>
      <c r="E3945" s="167"/>
      <c r="F3945" s="168" t="e">
        <f t="shared" si="16"/>
        <v>#N/A</v>
      </c>
      <c r="G3945" s="75"/>
      <c r="H3945" s="369"/>
    </row>
    <row r="3946" spans="1:8" ht="13.2">
      <c r="A3946" s="49"/>
      <c r="C3946" s="143" t="e">
        <f>IFERROR(VLOOKUP(B3946,'Thống kê'!$C$3:$D$970,2, FALSE),VLOOKUP(B3946,'Thống kê v2 CC'!$A$3:$D$1005,3, FALSE))</f>
        <v>#N/A</v>
      </c>
      <c r="D3946" s="166" t="e">
        <f>VLOOKUP(B3946,'Thống kê'!$C$3:$M$682,4,0)</f>
        <v>#N/A</v>
      </c>
      <c r="E3946" s="167"/>
      <c r="F3946" s="168" t="e">
        <f t="shared" si="16"/>
        <v>#N/A</v>
      </c>
      <c r="G3946" s="75"/>
      <c r="H3946" s="407"/>
    </row>
    <row r="3947" spans="1:8" ht="13.2">
      <c r="A3947" s="49"/>
      <c r="C3947" s="143" t="e">
        <f>IFERROR(VLOOKUP(B3947,'Thống kê'!$C$3:$D$970,2, FALSE),VLOOKUP(B3947,'Thống kê v2 CC'!$A$3:$D$1005,3, FALSE))</f>
        <v>#N/A</v>
      </c>
      <c r="D3947" s="166" t="e">
        <f>VLOOKUP(B3947,'Thống kê'!$C$3:$M$682,4,0)</f>
        <v>#N/A</v>
      </c>
      <c r="E3947" s="167"/>
      <c r="F3947" s="168" t="e">
        <f t="shared" si="16"/>
        <v>#N/A</v>
      </c>
      <c r="G3947" s="75"/>
      <c r="H3947" s="369"/>
    </row>
    <row r="3948" spans="1:8" ht="13.2">
      <c r="A3948" s="49"/>
      <c r="C3948" s="143" t="e">
        <f>IFERROR(VLOOKUP(B3948,'Thống kê'!$C$3:$D$970,2, FALSE),VLOOKUP(B3948,'Thống kê v2 CC'!$A$3:$D$1005,3, FALSE))</f>
        <v>#N/A</v>
      </c>
      <c r="D3948" s="166" t="e">
        <f>VLOOKUP(B3948,'Thống kê'!$C$3:$M$682,4,0)</f>
        <v>#N/A</v>
      </c>
      <c r="E3948" s="167"/>
      <c r="F3948" s="168" t="e">
        <f t="shared" si="16"/>
        <v>#N/A</v>
      </c>
      <c r="G3948" s="75"/>
      <c r="H3948" s="369"/>
    </row>
    <row r="3949" spans="1:8" ht="13.2">
      <c r="A3949" s="49"/>
      <c r="C3949" s="143" t="e">
        <f>IFERROR(VLOOKUP(B3949,'Thống kê'!$C$3:$D$970,2, FALSE),VLOOKUP(B3949,'Thống kê v2 CC'!$A$3:$D$1005,3, FALSE))</f>
        <v>#N/A</v>
      </c>
      <c r="D3949" s="166" t="e">
        <f>VLOOKUP(B3949,'Thống kê'!$C$3:$M$682,4,0)</f>
        <v>#N/A</v>
      </c>
      <c r="E3949" s="167"/>
      <c r="F3949" s="168" t="e">
        <f t="shared" si="16"/>
        <v>#N/A</v>
      </c>
      <c r="G3949" s="75"/>
      <c r="H3949" s="205"/>
    </row>
    <row r="3950" spans="1:8" ht="13.2">
      <c r="A3950" s="49"/>
      <c r="C3950" s="143" t="e">
        <f>IFERROR(VLOOKUP(B3950,'Thống kê'!$C$3:$D$970,2, FALSE),VLOOKUP(B3950,'Thống kê v2 CC'!$A$3:$D$1005,3, FALSE))</f>
        <v>#N/A</v>
      </c>
      <c r="D3950" s="166" t="e">
        <f>VLOOKUP(B3950,'Thống kê'!$C$3:$M$682,4,0)</f>
        <v>#N/A</v>
      </c>
      <c r="E3950" s="167"/>
      <c r="F3950" s="168" t="e">
        <f t="shared" si="16"/>
        <v>#N/A</v>
      </c>
      <c r="G3950" s="75"/>
      <c r="H3950" s="205"/>
    </row>
    <row r="3951" spans="1:8" ht="13.2">
      <c r="A3951" s="49"/>
      <c r="C3951" s="143" t="e">
        <f>IFERROR(VLOOKUP(B3951,'Thống kê'!$C$3:$D$970,2, FALSE),VLOOKUP(B3951,'Thống kê v2 CC'!$A$3:$D$1005,3, FALSE))</f>
        <v>#N/A</v>
      </c>
      <c r="D3951" s="166" t="e">
        <f>VLOOKUP(B3951,'Thống kê'!$C$3:$M$682,4,0)</f>
        <v>#N/A</v>
      </c>
      <c r="E3951" s="167"/>
      <c r="F3951" s="168" t="e">
        <f t="shared" si="16"/>
        <v>#N/A</v>
      </c>
      <c r="G3951" s="75"/>
      <c r="H3951" s="205"/>
    </row>
    <row r="3952" spans="1:8" ht="13.2">
      <c r="A3952" s="49"/>
      <c r="C3952" s="143" t="e">
        <f>IFERROR(VLOOKUP(B3952,'Thống kê'!$C$3:$D$970,2, FALSE),VLOOKUP(B3952,'Thống kê v2 CC'!$A$3:$D$1005,3, FALSE))</f>
        <v>#N/A</v>
      </c>
      <c r="D3952" s="166" t="e">
        <f>VLOOKUP(B3952,'Thống kê'!$C$3:$M$682,4,0)</f>
        <v>#N/A</v>
      </c>
      <c r="E3952" s="167"/>
      <c r="F3952" s="168" t="e">
        <f t="shared" si="16"/>
        <v>#N/A</v>
      </c>
      <c r="G3952" s="75"/>
      <c r="H3952" s="205"/>
    </row>
    <row r="3953" spans="1:8" ht="13.2">
      <c r="A3953" s="49"/>
      <c r="C3953" s="143" t="e">
        <f>IFERROR(VLOOKUP(B3953,'Thống kê'!$C$3:$D$970,2, FALSE),VLOOKUP(B3953,'Thống kê v2 CC'!$A$3:$D$1005,3, FALSE))</f>
        <v>#N/A</v>
      </c>
      <c r="D3953" s="166" t="e">
        <f>VLOOKUP(B3953,'Thống kê'!$C$3:$M$682,4,0)</f>
        <v>#N/A</v>
      </c>
      <c r="E3953" s="167"/>
      <c r="F3953" s="168" t="e">
        <f t="shared" si="16"/>
        <v>#N/A</v>
      </c>
      <c r="G3953" s="75"/>
      <c r="H3953" s="205"/>
    </row>
    <row r="3954" spans="1:8" ht="13.2">
      <c r="A3954" s="49"/>
      <c r="C3954" s="143" t="e">
        <f>IFERROR(VLOOKUP(B3954,'Thống kê'!$C$3:$D$970,2, FALSE),VLOOKUP(B3954,'Thống kê v2 CC'!$A$3:$D$1005,3, FALSE))</f>
        <v>#N/A</v>
      </c>
      <c r="D3954" s="166" t="e">
        <f>VLOOKUP(B3954,'Thống kê'!$C$3:$M$682,4,0)</f>
        <v>#N/A</v>
      </c>
      <c r="E3954" s="167"/>
      <c r="F3954" s="168" t="e">
        <f t="shared" si="16"/>
        <v>#N/A</v>
      </c>
      <c r="G3954" s="75"/>
      <c r="H3954" s="407"/>
    </row>
    <row r="3955" spans="1:8" ht="13.2">
      <c r="A3955" s="49"/>
      <c r="C3955" s="143" t="e">
        <f>IFERROR(VLOOKUP(B3955,'Thống kê'!$C$3:$D$970,2, FALSE),VLOOKUP(B3955,'Thống kê v2 CC'!$A$3:$D$1005,3, FALSE))</f>
        <v>#N/A</v>
      </c>
      <c r="D3955" s="166" t="e">
        <f>VLOOKUP(B3955,'Thống kê'!$C$3:$M$682,4,0)</f>
        <v>#N/A</v>
      </c>
      <c r="E3955" s="167"/>
      <c r="F3955" s="168" t="e">
        <f t="shared" si="16"/>
        <v>#N/A</v>
      </c>
      <c r="G3955" s="75"/>
      <c r="H3955" s="369"/>
    </row>
    <row r="3956" spans="1:8" ht="13.2">
      <c r="A3956" s="64"/>
      <c r="C3956" s="143" t="e">
        <f>IFERROR(VLOOKUP(B3956,'Thống kê'!$C$3:$D$970,2, FALSE),VLOOKUP(B3956,'Thống kê v2 CC'!$A$3:$D$1005,3, FALSE))</f>
        <v>#N/A</v>
      </c>
      <c r="D3956" s="166" t="e">
        <f>VLOOKUP(B3956,'Thống kê'!$C$3:$M$682,4,0)</f>
        <v>#N/A</v>
      </c>
      <c r="E3956" s="167"/>
      <c r="F3956" s="168" t="e">
        <f t="shared" si="16"/>
        <v>#N/A</v>
      </c>
      <c r="G3956" s="75"/>
      <c r="H3956" s="205"/>
    </row>
    <row r="3957" spans="1:8" ht="13.2">
      <c r="A3957" s="49"/>
      <c r="C3957" s="143" t="e">
        <f>IFERROR(VLOOKUP(B3957,'Thống kê'!$C$3:$D$970,2, FALSE),VLOOKUP(B3957,'Thống kê v2 CC'!$A$3:$D$1005,3, FALSE))</f>
        <v>#N/A</v>
      </c>
      <c r="D3957" s="166" t="e">
        <f>VLOOKUP(B3957,'Thống kê'!$C$3:$M$682,4,0)</f>
        <v>#N/A</v>
      </c>
      <c r="E3957" s="167"/>
      <c r="F3957" s="168" t="e">
        <f t="shared" si="16"/>
        <v>#N/A</v>
      </c>
      <c r="G3957" s="75"/>
      <c r="H3957" s="205"/>
    </row>
    <row r="3958" spans="1:8" ht="13.2">
      <c r="A3958" s="49"/>
      <c r="C3958" s="143" t="e">
        <f>IFERROR(VLOOKUP(B3958,'Thống kê'!$C$3:$D$970,2, FALSE),VLOOKUP(B3958,'Thống kê v2 CC'!$A$3:$D$1005,3, FALSE))</f>
        <v>#N/A</v>
      </c>
      <c r="D3958" s="166" t="e">
        <f>VLOOKUP(B3958,'Thống kê'!$C$3:$M$682,4,0)</f>
        <v>#N/A</v>
      </c>
      <c r="E3958" s="167"/>
      <c r="F3958" s="168" t="e">
        <f t="shared" si="16"/>
        <v>#N/A</v>
      </c>
      <c r="G3958" s="75"/>
      <c r="H3958" s="205"/>
    </row>
    <row r="3959" spans="1:8" ht="13.2">
      <c r="A3959" s="49"/>
      <c r="C3959" s="143" t="e">
        <f>IFERROR(VLOOKUP(B3959,'Thống kê'!$C$3:$D$970,2, FALSE),VLOOKUP(B3959,'Thống kê v2 CC'!$A$3:$D$1005,3, FALSE))</f>
        <v>#N/A</v>
      </c>
      <c r="D3959" s="166" t="e">
        <f>VLOOKUP(B3959,'Thống kê'!$C$3:$M$682,4,0)</f>
        <v>#N/A</v>
      </c>
      <c r="E3959" s="167"/>
      <c r="F3959" s="168" t="e">
        <f t="shared" si="16"/>
        <v>#N/A</v>
      </c>
      <c r="G3959" s="75"/>
      <c r="H3959" s="205"/>
    </row>
    <row r="3960" spans="1:8" ht="13.2">
      <c r="A3960" s="49"/>
      <c r="C3960" s="143" t="e">
        <f>IFERROR(VLOOKUP(B3960,'Thống kê'!$C$3:$D$970,2, FALSE),VLOOKUP(B3960,'Thống kê v2 CC'!$A$3:$D$1005,3, FALSE))</f>
        <v>#N/A</v>
      </c>
      <c r="D3960" s="166" t="e">
        <f>VLOOKUP(B3960,'Thống kê'!$C$3:$M$682,4,0)</f>
        <v>#N/A</v>
      </c>
      <c r="E3960" s="167"/>
      <c r="F3960" s="168" t="e">
        <f t="shared" si="16"/>
        <v>#N/A</v>
      </c>
      <c r="G3960" s="75"/>
      <c r="H3960" s="205"/>
    </row>
    <row r="3961" spans="1:8" ht="13.2">
      <c r="A3961" s="49"/>
      <c r="C3961" s="143" t="e">
        <f>IFERROR(VLOOKUP(B3961,'Thống kê'!$C$3:$D$970,2, FALSE),VLOOKUP(B3961,'Thống kê v2 CC'!$A$3:$D$1005,3, FALSE))</f>
        <v>#N/A</v>
      </c>
      <c r="D3961" s="166" t="e">
        <f>VLOOKUP(B3961,'Thống kê'!$C$3:$M$682,4,0)</f>
        <v>#N/A</v>
      </c>
      <c r="E3961" s="167"/>
      <c r="F3961" s="168" t="e">
        <f t="shared" si="16"/>
        <v>#N/A</v>
      </c>
      <c r="G3961" s="75"/>
      <c r="H3961" s="205"/>
    </row>
    <row r="3962" spans="1:8" ht="13.2">
      <c r="A3962" s="49"/>
      <c r="C3962" s="143" t="e">
        <f>IFERROR(VLOOKUP(B3962,'Thống kê'!$C$3:$D$970,2, FALSE),VLOOKUP(B3962,'Thống kê v2 CC'!$A$3:$D$1005,3, FALSE))</f>
        <v>#N/A</v>
      </c>
      <c r="D3962" s="166" t="e">
        <f>VLOOKUP(B3962,'Thống kê'!$C$3:$M$682,4,0)</f>
        <v>#N/A</v>
      </c>
      <c r="E3962" s="167"/>
      <c r="F3962" s="168" t="e">
        <f t="shared" si="16"/>
        <v>#N/A</v>
      </c>
      <c r="G3962" s="75"/>
      <c r="H3962" s="407"/>
    </row>
    <row r="3963" spans="1:8" ht="13.2">
      <c r="A3963" s="49"/>
      <c r="C3963" s="143" t="e">
        <f>IFERROR(VLOOKUP(B3963,'Thống kê'!$C$3:$D$970,2, FALSE),VLOOKUP(B3963,'Thống kê v2 CC'!$A$3:$D$1005,3, FALSE))</f>
        <v>#N/A</v>
      </c>
      <c r="D3963" s="166" t="e">
        <f>VLOOKUP(B3963,'Thống kê'!$C$3:$M$682,4,0)</f>
        <v>#N/A</v>
      </c>
      <c r="E3963" s="167"/>
      <c r="F3963" s="168" t="e">
        <f t="shared" si="16"/>
        <v>#N/A</v>
      </c>
      <c r="G3963" s="75"/>
      <c r="H3963" s="369"/>
    </row>
    <row r="3964" spans="1:8" ht="13.2">
      <c r="A3964" s="49"/>
      <c r="C3964" s="143" t="e">
        <f>IFERROR(VLOOKUP(B3964,'Thống kê'!$C$3:$D$970,2, FALSE),VLOOKUP(B3964,'Thống kê v2 CC'!$A$3:$D$1005,3, FALSE))</f>
        <v>#N/A</v>
      </c>
      <c r="D3964" s="166" t="e">
        <f>VLOOKUP(B3964,'Thống kê'!$C$3:$M$682,4,0)</f>
        <v>#N/A</v>
      </c>
      <c r="E3964" s="167"/>
      <c r="F3964" s="168" t="e">
        <f t="shared" si="16"/>
        <v>#N/A</v>
      </c>
      <c r="G3964" s="75"/>
      <c r="H3964" s="407"/>
    </row>
    <row r="3965" spans="1:8" ht="13.2">
      <c r="A3965" s="49"/>
      <c r="C3965" s="143" t="e">
        <f>IFERROR(VLOOKUP(B3965,'Thống kê'!$C$3:$D$970,2, FALSE),VLOOKUP(B3965,'Thống kê v2 CC'!$A$3:$D$1005,3, FALSE))</f>
        <v>#N/A</v>
      </c>
      <c r="D3965" s="166" t="e">
        <f>VLOOKUP(B3965,'Thống kê'!$C$3:$M$682,4,0)</f>
        <v>#N/A</v>
      </c>
      <c r="E3965" s="167"/>
      <c r="F3965" s="168" t="e">
        <f t="shared" si="16"/>
        <v>#N/A</v>
      </c>
      <c r="G3965" s="75"/>
      <c r="H3965" s="369"/>
    </row>
    <row r="3966" spans="1:8" ht="13.2">
      <c r="A3966" s="49"/>
      <c r="C3966" s="143" t="e">
        <f>IFERROR(VLOOKUP(B3966,'Thống kê'!$C$3:$D$970,2, FALSE),VLOOKUP(B3966,'Thống kê v2 CC'!$A$3:$D$1005,3, FALSE))</f>
        <v>#N/A</v>
      </c>
      <c r="D3966" s="166" t="e">
        <f>VLOOKUP(B3966,'Thống kê'!$C$3:$M$682,4,0)</f>
        <v>#N/A</v>
      </c>
      <c r="E3966" s="167"/>
      <c r="F3966" s="168" t="e">
        <f t="shared" si="16"/>
        <v>#N/A</v>
      </c>
      <c r="G3966" s="75"/>
      <c r="H3966" s="407"/>
    </row>
    <row r="3967" spans="1:8" ht="13.2">
      <c r="A3967" s="49"/>
      <c r="C3967" s="143" t="e">
        <f>IFERROR(VLOOKUP(B3967,'Thống kê'!$C$3:$D$970,2, FALSE),VLOOKUP(B3967,'Thống kê v2 CC'!$A$3:$D$1005,3, FALSE))</f>
        <v>#N/A</v>
      </c>
      <c r="D3967" s="166" t="e">
        <f>VLOOKUP(B3967,'Thống kê'!$C$3:$M$682,4,0)</f>
        <v>#N/A</v>
      </c>
      <c r="E3967" s="167"/>
      <c r="F3967" s="168" t="e">
        <f t="shared" si="16"/>
        <v>#N/A</v>
      </c>
      <c r="G3967" s="75"/>
      <c r="H3967" s="369"/>
    </row>
    <row r="3968" spans="1:8" ht="13.2">
      <c r="A3968" s="49"/>
      <c r="C3968" s="143" t="e">
        <f>IFERROR(VLOOKUP(B3968,'Thống kê'!$C$3:$D$970,2, FALSE),VLOOKUP(B3968,'Thống kê v2 CC'!$A$3:$D$1005,3, FALSE))</f>
        <v>#N/A</v>
      </c>
      <c r="D3968" s="166" t="e">
        <f>VLOOKUP(B3968,'Thống kê'!$C$3:$M$682,4,0)</f>
        <v>#N/A</v>
      </c>
      <c r="E3968" s="167"/>
      <c r="F3968" s="168" t="e">
        <f t="shared" si="16"/>
        <v>#N/A</v>
      </c>
      <c r="G3968" s="75"/>
      <c r="H3968" s="205"/>
    </row>
    <row r="3969" spans="1:8" ht="13.2">
      <c r="A3969" s="49"/>
      <c r="C3969" s="143" t="e">
        <f>IFERROR(VLOOKUP(B3969,'Thống kê'!$C$3:$D$970,2, FALSE),VLOOKUP(B3969,'Thống kê v2 CC'!$A$3:$D$1005,3, FALSE))</f>
        <v>#N/A</v>
      </c>
      <c r="D3969" s="166" t="e">
        <f>VLOOKUP(B3969,'Thống kê'!$C$3:$M$682,4,0)</f>
        <v>#N/A</v>
      </c>
      <c r="E3969" s="167"/>
      <c r="F3969" s="168" t="e">
        <f t="shared" si="16"/>
        <v>#N/A</v>
      </c>
      <c r="G3969" s="75"/>
      <c r="H3969" s="205"/>
    </row>
    <row r="3970" spans="1:8" ht="13.2">
      <c r="A3970" s="49"/>
      <c r="C3970" s="143" t="e">
        <f>IFERROR(VLOOKUP(B3970,'Thống kê'!$C$3:$D$970,2, FALSE),VLOOKUP(B3970,'Thống kê v2 CC'!$A$3:$D$1005,3, FALSE))</f>
        <v>#N/A</v>
      </c>
      <c r="D3970" s="166" t="e">
        <f>VLOOKUP(B3970,'Thống kê'!$C$3:$M$682,4,0)</f>
        <v>#N/A</v>
      </c>
      <c r="E3970" s="167"/>
      <c r="F3970" s="168" t="e">
        <f t="shared" si="16"/>
        <v>#N/A</v>
      </c>
      <c r="G3970" s="75"/>
      <c r="H3970" s="205"/>
    </row>
    <row r="3971" spans="1:8" ht="13.2">
      <c r="A3971" s="49"/>
      <c r="C3971" s="143" t="e">
        <f>IFERROR(VLOOKUP(B3971,'Thống kê'!$C$3:$D$970,2, FALSE),VLOOKUP(B3971,'Thống kê v2 CC'!$A$3:$D$1005,3, FALSE))</f>
        <v>#N/A</v>
      </c>
      <c r="D3971" s="166" t="e">
        <f>VLOOKUP(B3971,'Thống kê'!$C$3:$M$682,4,0)</f>
        <v>#N/A</v>
      </c>
      <c r="E3971" s="167"/>
      <c r="F3971" s="168" t="e">
        <f t="shared" si="16"/>
        <v>#N/A</v>
      </c>
      <c r="G3971" s="75"/>
      <c r="H3971" s="407"/>
    </row>
    <row r="3972" spans="1:8" ht="13.2">
      <c r="A3972" s="49"/>
      <c r="C3972" s="143" t="e">
        <f>IFERROR(VLOOKUP(B3972,'Thống kê'!$C$3:$D$970,2, FALSE),VLOOKUP(B3972,'Thống kê v2 CC'!$A$3:$D$1005,3, FALSE))</f>
        <v>#N/A</v>
      </c>
      <c r="D3972" s="166" t="e">
        <f>VLOOKUP(B3972,'Thống kê'!$C$3:$M$682,4,0)</f>
        <v>#N/A</v>
      </c>
      <c r="E3972" s="167"/>
      <c r="F3972" s="168" t="e">
        <f t="shared" si="16"/>
        <v>#N/A</v>
      </c>
      <c r="G3972" s="75"/>
      <c r="H3972" s="369"/>
    </row>
    <row r="3973" spans="1:8" ht="13.2">
      <c r="A3973" s="49"/>
      <c r="C3973" s="143" t="e">
        <f>IFERROR(VLOOKUP(B3973,'Thống kê'!$C$3:$D$970,2, FALSE),VLOOKUP(B3973,'Thống kê v2 CC'!$A$3:$D$1005,3, FALSE))</f>
        <v>#N/A</v>
      </c>
      <c r="D3973" s="166" t="e">
        <f>VLOOKUP(B3973,'Thống kê'!$C$3:$M$682,4,0)</f>
        <v>#N/A</v>
      </c>
      <c r="E3973" s="167"/>
      <c r="F3973" s="168" t="e">
        <f t="shared" si="16"/>
        <v>#N/A</v>
      </c>
      <c r="G3973" s="75"/>
      <c r="H3973" s="205"/>
    </row>
    <row r="3974" spans="1:8" ht="13.2">
      <c r="A3974" s="49"/>
      <c r="C3974" s="143" t="e">
        <f>IFERROR(VLOOKUP(B3974,'Thống kê'!$C$3:$D$970,2, FALSE),VLOOKUP(B3974,'Thống kê v2 CC'!$A$3:$D$1005,3, FALSE))</f>
        <v>#N/A</v>
      </c>
      <c r="D3974" s="166" t="e">
        <f>VLOOKUP(B3974,'Thống kê'!$C$3:$M$682,4,0)</f>
        <v>#N/A</v>
      </c>
      <c r="E3974" s="167"/>
      <c r="F3974" s="168" t="e">
        <f t="shared" si="16"/>
        <v>#N/A</v>
      </c>
      <c r="G3974" s="75"/>
      <c r="H3974" s="205"/>
    </row>
    <row r="3975" spans="1:8" ht="13.2">
      <c r="A3975" s="64"/>
      <c r="C3975" s="143" t="e">
        <f>IFERROR(VLOOKUP(B3975,'Thống kê'!$C$3:$D$970,2, FALSE),VLOOKUP(B3975,'Thống kê v2 CC'!$A$3:$D$1005,3, FALSE))</f>
        <v>#N/A</v>
      </c>
      <c r="D3975" s="166" t="e">
        <f>VLOOKUP(B3975,'Thống kê'!$C$3:$M$682,4,0)</f>
        <v>#N/A</v>
      </c>
      <c r="E3975" s="167"/>
      <c r="F3975" s="168" t="e">
        <f t="shared" si="16"/>
        <v>#N/A</v>
      </c>
      <c r="G3975" s="75"/>
      <c r="H3975" s="407"/>
    </row>
    <row r="3976" spans="1:8" ht="13.2">
      <c r="A3976" s="49"/>
      <c r="C3976" s="143" t="e">
        <f>IFERROR(VLOOKUP(B3976,'Thống kê'!$C$3:$D$970,2, FALSE),VLOOKUP(B3976,'Thống kê v2 CC'!$A$3:$D$1005,3, FALSE))</f>
        <v>#N/A</v>
      </c>
      <c r="D3976" s="166" t="e">
        <f>VLOOKUP(B3976,'Thống kê'!$C$3:$M$682,4,0)</f>
        <v>#N/A</v>
      </c>
      <c r="E3976" s="167"/>
      <c r="F3976" s="168" t="e">
        <f t="shared" si="16"/>
        <v>#N/A</v>
      </c>
      <c r="G3976" s="75"/>
      <c r="H3976" s="369"/>
    </row>
    <row r="3977" spans="1:8" ht="13.2">
      <c r="A3977" s="49"/>
      <c r="C3977" s="143" t="e">
        <f>IFERROR(VLOOKUP(B3977,'Thống kê'!$C$3:$D$970,2, FALSE),VLOOKUP(B3977,'Thống kê v2 CC'!$A$3:$D$1005,3, FALSE))</f>
        <v>#N/A</v>
      </c>
      <c r="D3977" s="166" t="e">
        <f>VLOOKUP(B3977,'Thống kê'!$C$3:$M$682,4,0)</f>
        <v>#N/A</v>
      </c>
      <c r="E3977" s="167"/>
      <c r="F3977" s="168" t="e">
        <f t="shared" si="16"/>
        <v>#N/A</v>
      </c>
      <c r="G3977" s="75"/>
      <c r="H3977" s="369"/>
    </row>
    <row r="3978" spans="1:8" ht="13.2">
      <c r="A3978" s="49"/>
      <c r="C3978" s="143" t="e">
        <f>IFERROR(VLOOKUP(B3978,'Thống kê'!$C$3:$D$970,2, FALSE),VLOOKUP(B3978,'Thống kê v2 CC'!$A$3:$D$1005,3, FALSE))</f>
        <v>#N/A</v>
      </c>
      <c r="D3978" s="166" t="e">
        <f>VLOOKUP(B3978,'Thống kê'!$C$3:$M$682,4,0)</f>
        <v>#N/A</v>
      </c>
      <c r="E3978" s="167"/>
      <c r="F3978" s="168" t="e">
        <f t="shared" si="16"/>
        <v>#N/A</v>
      </c>
      <c r="G3978" s="75"/>
      <c r="H3978" s="205"/>
    </row>
    <row r="3979" spans="1:8" ht="13.2">
      <c r="A3979" s="49"/>
      <c r="C3979" s="143" t="e">
        <f>IFERROR(VLOOKUP(B3979,'Thống kê'!$C$3:$D$970,2, FALSE),VLOOKUP(B3979,'Thống kê v2 CC'!$A$3:$D$1005,3, FALSE))</f>
        <v>#N/A</v>
      </c>
      <c r="D3979" s="166" t="e">
        <f>VLOOKUP(B3979,'Thống kê'!$C$3:$M$682,4,0)</f>
        <v>#N/A</v>
      </c>
      <c r="E3979" s="167"/>
      <c r="F3979" s="168" t="e">
        <f t="shared" si="16"/>
        <v>#N/A</v>
      </c>
      <c r="G3979" s="75"/>
      <c r="H3979" s="407"/>
    </row>
    <row r="3980" spans="1:8" ht="13.2">
      <c r="A3980" s="49"/>
      <c r="C3980" s="143" t="e">
        <f>IFERROR(VLOOKUP(B3980,'Thống kê'!$C$3:$D$970,2, FALSE),VLOOKUP(B3980,'Thống kê v2 CC'!$A$3:$D$1005,3, FALSE))</f>
        <v>#N/A</v>
      </c>
      <c r="D3980" s="166" t="e">
        <f>VLOOKUP(B3980,'Thống kê'!$C$3:$M$682,4,0)</f>
        <v>#N/A</v>
      </c>
      <c r="E3980" s="167"/>
      <c r="F3980" s="168" t="e">
        <f t="shared" si="16"/>
        <v>#N/A</v>
      </c>
      <c r="G3980" s="75"/>
      <c r="H3980" s="369"/>
    </row>
    <row r="3981" spans="1:8" ht="13.2">
      <c r="A3981" s="49"/>
      <c r="C3981" s="143" t="e">
        <f>IFERROR(VLOOKUP(B3981,'Thống kê'!$C$3:$D$970,2, FALSE),VLOOKUP(B3981,'Thống kê v2 CC'!$A$3:$D$1005,3, FALSE))</f>
        <v>#N/A</v>
      </c>
      <c r="D3981" s="166" t="e">
        <f>VLOOKUP(B3981,'Thống kê'!$C$3:$M$682,4,0)</f>
        <v>#N/A</v>
      </c>
      <c r="E3981" s="167"/>
      <c r="F3981" s="168" t="e">
        <f t="shared" si="16"/>
        <v>#N/A</v>
      </c>
      <c r="G3981" s="75"/>
      <c r="H3981" s="205"/>
    </row>
    <row r="3982" spans="1:8" ht="13.2">
      <c r="A3982" s="49"/>
      <c r="C3982" s="143" t="e">
        <f>IFERROR(VLOOKUP(B3982,'Thống kê'!$C$3:$D$970,2, FALSE),VLOOKUP(B3982,'Thống kê v2 CC'!$A$3:$D$1005,3, FALSE))</f>
        <v>#N/A</v>
      </c>
      <c r="D3982" s="166" t="e">
        <f>VLOOKUP(B3982,'Thống kê'!$C$3:$M$682,4,0)</f>
        <v>#N/A</v>
      </c>
      <c r="E3982" s="167"/>
      <c r="F3982" s="168" t="e">
        <f t="shared" si="16"/>
        <v>#N/A</v>
      </c>
      <c r="G3982" s="75"/>
      <c r="H3982" s="205"/>
    </row>
    <row r="3983" spans="1:8" ht="13.2">
      <c r="A3983" s="49"/>
      <c r="C3983" s="143" t="e">
        <f>IFERROR(VLOOKUP(B3983,'Thống kê'!$C$3:$D$970,2, FALSE),VLOOKUP(B3983,'Thống kê v2 CC'!$A$3:$D$1005,3, FALSE))</f>
        <v>#N/A</v>
      </c>
      <c r="D3983" s="166" t="e">
        <f>VLOOKUP(B3983,'Thống kê'!$C$3:$M$682,4,0)</f>
        <v>#N/A</v>
      </c>
      <c r="E3983" s="167"/>
      <c r="F3983" s="168" t="e">
        <f t="shared" si="16"/>
        <v>#N/A</v>
      </c>
      <c r="G3983" s="75"/>
      <c r="H3983" s="205"/>
    </row>
    <row r="3984" spans="1:8" ht="13.2">
      <c r="A3984" s="49"/>
      <c r="C3984" s="143" t="e">
        <f>IFERROR(VLOOKUP(B3984,'Thống kê'!$C$3:$D$970,2, FALSE),VLOOKUP(B3984,'Thống kê v2 CC'!$A$3:$D$1005,3, FALSE))</f>
        <v>#N/A</v>
      </c>
      <c r="D3984" s="166" t="e">
        <f>VLOOKUP(B3984,'Thống kê'!$C$3:$M$682,4,0)</f>
        <v>#N/A</v>
      </c>
      <c r="E3984" s="167"/>
      <c r="F3984" s="168" t="e">
        <f t="shared" si="16"/>
        <v>#N/A</v>
      </c>
      <c r="G3984" s="75"/>
      <c r="H3984" s="205"/>
    </row>
    <row r="3985" spans="1:8" ht="13.2">
      <c r="A3985" s="49"/>
      <c r="C3985" s="143" t="e">
        <f>IFERROR(VLOOKUP(B3985,'Thống kê'!$C$3:$D$970,2, FALSE),VLOOKUP(B3985,'Thống kê v2 CC'!$A$3:$D$1005,3, FALSE))</f>
        <v>#N/A</v>
      </c>
      <c r="D3985" s="166" t="e">
        <f>VLOOKUP(B3985,'Thống kê'!$C$3:$M$682,4,0)</f>
        <v>#N/A</v>
      </c>
      <c r="E3985" s="167"/>
      <c r="F3985" s="168" t="e">
        <f t="shared" si="16"/>
        <v>#N/A</v>
      </c>
      <c r="G3985" s="75"/>
      <c r="H3985" s="205"/>
    </row>
    <row r="3986" spans="1:8" ht="13.2">
      <c r="A3986" s="49"/>
      <c r="C3986" s="143" t="e">
        <f>IFERROR(VLOOKUP(B3986,'Thống kê'!$C$3:$D$970,2, FALSE),VLOOKUP(B3986,'Thống kê v2 CC'!$A$3:$D$1005,3, FALSE))</f>
        <v>#N/A</v>
      </c>
      <c r="D3986" s="166" t="e">
        <f>VLOOKUP(B3986,'Thống kê'!$C$3:$M$682,4,0)</f>
        <v>#N/A</v>
      </c>
      <c r="E3986" s="167"/>
      <c r="F3986" s="168" t="e">
        <f t="shared" si="16"/>
        <v>#N/A</v>
      </c>
      <c r="G3986" s="75"/>
      <c r="H3986" s="407"/>
    </row>
    <row r="3987" spans="1:8" ht="13.2">
      <c r="A3987" s="49"/>
      <c r="C3987" s="143" t="e">
        <f>IFERROR(VLOOKUP(B3987,'Thống kê'!$C$3:$D$970,2, FALSE),VLOOKUP(B3987,'Thống kê v2 CC'!$A$3:$D$1005,3, FALSE))</f>
        <v>#N/A</v>
      </c>
      <c r="D3987" s="166" t="e">
        <f>VLOOKUP(B3987,'Thống kê'!$C$3:$M$682,4,0)</f>
        <v>#N/A</v>
      </c>
      <c r="E3987" s="167"/>
      <c r="F3987" s="168" t="e">
        <f t="shared" si="16"/>
        <v>#N/A</v>
      </c>
      <c r="G3987" s="75"/>
      <c r="H3987" s="369"/>
    </row>
    <row r="3988" spans="1:8" ht="13.2">
      <c r="A3988" s="49"/>
      <c r="C3988" s="143" t="e">
        <f>IFERROR(VLOOKUP(B3988,'Thống kê'!$C$3:$D$970,2, FALSE),VLOOKUP(B3988,'Thống kê v2 CC'!$A$3:$D$1005,3, FALSE))</f>
        <v>#N/A</v>
      </c>
      <c r="D3988" s="166" t="e">
        <f>VLOOKUP(B3988,'Thống kê'!$C$3:$M$682,4,0)</f>
        <v>#N/A</v>
      </c>
      <c r="E3988" s="167"/>
      <c r="F3988" s="168" t="e">
        <f t="shared" si="16"/>
        <v>#N/A</v>
      </c>
      <c r="G3988" s="75"/>
      <c r="H3988" s="205"/>
    </row>
    <row r="3989" spans="1:8" ht="13.2">
      <c r="A3989" s="49"/>
      <c r="C3989" s="143" t="e">
        <f>IFERROR(VLOOKUP(B3989,'Thống kê'!$C$3:$D$970,2, FALSE),VLOOKUP(B3989,'Thống kê v2 CC'!$A$3:$D$1005,3, FALSE))</f>
        <v>#N/A</v>
      </c>
      <c r="D3989" s="166" t="e">
        <f>VLOOKUP(B3989,'Thống kê'!$C$3:$M$682,4,0)</f>
        <v>#N/A</v>
      </c>
      <c r="E3989" s="167"/>
      <c r="F3989" s="168" t="e">
        <f t="shared" si="16"/>
        <v>#N/A</v>
      </c>
      <c r="G3989" s="75"/>
      <c r="H3989" s="205"/>
    </row>
    <row r="3990" spans="1:8" ht="13.2">
      <c r="A3990" s="49"/>
      <c r="C3990" s="143" t="e">
        <f>IFERROR(VLOOKUP(B3990,'Thống kê'!$C$3:$D$970,2, FALSE),VLOOKUP(B3990,'Thống kê v2 CC'!$A$3:$D$1005,3, FALSE))</f>
        <v>#N/A</v>
      </c>
      <c r="D3990" s="166" t="e">
        <f>VLOOKUP(B3990,'Thống kê'!$C$3:$M$682,4,0)</f>
        <v>#N/A</v>
      </c>
      <c r="E3990" s="167"/>
      <c r="F3990" s="168" t="e">
        <f t="shared" si="16"/>
        <v>#N/A</v>
      </c>
      <c r="G3990" s="75"/>
      <c r="H3990" s="407"/>
    </row>
    <row r="3991" spans="1:8" ht="13.2">
      <c r="A3991" s="49"/>
      <c r="C3991" s="143" t="e">
        <f>IFERROR(VLOOKUP(B3991,'Thống kê'!$C$3:$D$970,2, FALSE),VLOOKUP(B3991,'Thống kê v2 CC'!$A$3:$D$1005,3, FALSE))</f>
        <v>#N/A</v>
      </c>
      <c r="D3991" s="166" t="e">
        <f>VLOOKUP(B3991,'Thống kê'!$C$3:$M$682,4,0)</f>
        <v>#N/A</v>
      </c>
      <c r="E3991" s="167"/>
      <c r="F3991" s="168" t="e">
        <f t="shared" si="16"/>
        <v>#N/A</v>
      </c>
      <c r="G3991" s="75"/>
      <c r="H3991" s="369"/>
    </row>
    <row r="3992" spans="1:8" ht="13.2">
      <c r="A3992" s="49"/>
      <c r="C3992" s="143" t="e">
        <f>IFERROR(VLOOKUP(B3992,'Thống kê'!$C$3:$D$970,2, FALSE),VLOOKUP(B3992,'Thống kê v2 CC'!$A$3:$D$1005,3, FALSE))</f>
        <v>#N/A</v>
      </c>
      <c r="D3992" s="166" t="e">
        <f>VLOOKUP(B3992,'Thống kê'!$C$3:$M$682,4,0)</f>
        <v>#N/A</v>
      </c>
      <c r="E3992" s="167"/>
      <c r="F3992" s="168" t="e">
        <f t="shared" si="16"/>
        <v>#N/A</v>
      </c>
      <c r="G3992" s="75"/>
      <c r="H3992" s="369"/>
    </row>
    <row r="3993" spans="1:8" ht="13.2">
      <c r="A3993" s="49"/>
      <c r="C3993" s="143" t="e">
        <f>IFERROR(VLOOKUP(B3993,'Thống kê'!$C$3:$D$970,2, FALSE),VLOOKUP(B3993,'Thống kê v2 CC'!$A$3:$D$1005,3, FALSE))</f>
        <v>#N/A</v>
      </c>
      <c r="D3993" s="166" t="e">
        <f>VLOOKUP(B3993,'Thống kê'!$C$3:$M$682,4,0)</f>
        <v>#N/A</v>
      </c>
      <c r="E3993" s="167"/>
      <c r="F3993" s="168" t="e">
        <f t="shared" si="16"/>
        <v>#N/A</v>
      </c>
      <c r="G3993" s="75"/>
      <c r="H3993" s="205"/>
    </row>
    <row r="3994" spans="1:8" ht="13.2">
      <c r="A3994" s="49"/>
      <c r="C3994" s="143" t="e">
        <f>IFERROR(VLOOKUP(B3994,'Thống kê'!$C$3:$D$970,2, FALSE),VLOOKUP(B3994,'Thống kê v2 CC'!$A$3:$D$1005,3, FALSE))</f>
        <v>#N/A</v>
      </c>
      <c r="D3994" s="166" t="e">
        <f>VLOOKUP(B3994,'Thống kê'!$C$3:$M$682,4,0)</f>
        <v>#N/A</v>
      </c>
      <c r="E3994" s="167"/>
      <c r="F3994" s="168" t="e">
        <f t="shared" si="16"/>
        <v>#N/A</v>
      </c>
      <c r="G3994" s="75"/>
      <c r="H3994" s="407"/>
    </row>
    <row r="3995" spans="1:8" ht="13.2">
      <c r="A3995" s="49"/>
      <c r="C3995" s="143" t="e">
        <f>IFERROR(VLOOKUP(B3995,'Thống kê'!$C$3:$D$970,2, FALSE),VLOOKUP(B3995,'Thống kê v2 CC'!$A$3:$D$1005,3, FALSE))</f>
        <v>#N/A</v>
      </c>
      <c r="D3995" s="166" t="e">
        <f>VLOOKUP(B3995,'Thống kê'!$C$3:$M$682,4,0)</f>
        <v>#N/A</v>
      </c>
      <c r="E3995" s="167"/>
      <c r="F3995" s="168" t="e">
        <f t="shared" si="16"/>
        <v>#N/A</v>
      </c>
      <c r="G3995" s="75"/>
      <c r="H3995" s="369"/>
    </row>
    <row r="3996" spans="1:8" ht="13.2">
      <c r="A3996" s="64"/>
      <c r="C3996" s="143" t="e">
        <f>IFERROR(VLOOKUP(B3996,'Thống kê'!$C$3:$D$970,2, FALSE),VLOOKUP(B3996,'Thống kê v2 CC'!$A$3:$D$1005,3, FALSE))</f>
        <v>#N/A</v>
      </c>
      <c r="D3996" s="166" t="e">
        <f>VLOOKUP(B3996,'Thống kê'!$C$3:$M$682,4,0)</f>
        <v>#N/A</v>
      </c>
      <c r="E3996" s="167"/>
      <c r="F3996" s="168" t="e">
        <f t="shared" si="16"/>
        <v>#N/A</v>
      </c>
      <c r="G3996" s="75"/>
      <c r="H3996" s="407"/>
    </row>
    <row r="3997" spans="1:8" ht="13.2">
      <c r="A3997" s="49"/>
      <c r="C3997" s="143" t="e">
        <f>IFERROR(VLOOKUP(B3997,'Thống kê'!$C$3:$D$970,2, FALSE),VLOOKUP(B3997,'Thống kê v2 CC'!$A$3:$D$1005,3, FALSE))</f>
        <v>#N/A</v>
      </c>
      <c r="D3997" s="166" t="e">
        <f>VLOOKUP(B3997,'Thống kê'!$C$3:$M$682,4,0)</f>
        <v>#N/A</v>
      </c>
      <c r="E3997" s="167"/>
      <c r="F3997" s="168" t="e">
        <f t="shared" si="16"/>
        <v>#N/A</v>
      </c>
      <c r="G3997" s="75"/>
      <c r="H3997" s="369"/>
    </row>
    <row r="3998" spans="1:8" ht="13.2">
      <c r="A3998" s="49"/>
      <c r="C3998" s="143" t="e">
        <f>IFERROR(VLOOKUP(B3998,'Thống kê'!$C$3:$D$970,2, FALSE),VLOOKUP(B3998,'Thống kê v2 CC'!$A$3:$D$1005,3, FALSE))</f>
        <v>#N/A</v>
      </c>
      <c r="D3998" s="166" t="e">
        <f>VLOOKUP(B3998,'Thống kê'!$C$3:$M$682,4,0)</f>
        <v>#N/A</v>
      </c>
      <c r="E3998" s="167"/>
      <c r="F3998" s="168" t="e">
        <f t="shared" si="16"/>
        <v>#N/A</v>
      </c>
      <c r="G3998" s="75"/>
      <c r="H3998" s="205"/>
    </row>
    <row r="3999" spans="1:8" ht="13.2">
      <c r="A3999" s="49"/>
      <c r="C3999" s="143" t="e">
        <f>IFERROR(VLOOKUP(B3999,'Thống kê'!$C$3:$D$970,2, FALSE),VLOOKUP(B3999,'Thống kê v2 CC'!$A$3:$D$1005,3, FALSE))</f>
        <v>#N/A</v>
      </c>
      <c r="D3999" s="166" t="e">
        <f>VLOOKUP(B3999,'Thống kê'!$C$3:$M$682,4,0)</f>
        <v>#N/A</v>
      </c>
      <c r="E3999" s="167"/>
      <c r="F3999" s="168" t="e">
        <f t="shared" si="16"/>
        <v>#N/A</v>
      </c>
      <c r="G3999" s="75"/>
      <c r="H3999" s="205"/>
    </row>
    <row r="4000" spans="1:8" ht="13.2">
      <c r="A4000" s="49"/>
      <c r="C4000" s="143" t="e">
        <f>IFERROR(VLOOKUP(B4000,'Thống kê'!$C$3:$D$970,2, FALSE),VLOOKUP(B4000,'Thống kê v2 CC'!$A$3:$D$1005,3, FALSE))</f>
        <v>#N/A</v>
      </c>
      <c r="D4000" s="166" t="e">
        <f>VLOOKUP(B4000,'Thống kê'!$C$3:$M$682,4,0)</f>
        <v>#N/A</v>
      </c>
      <c r="E4000" s="167"/>
      <c r="F4000" s="168" t="e">
        <f t="shared" si="16"/>
        <v>#N/A</v>
      </c>
      <c r="G4000" s="75"/>
      <c r="H4000" s="205"/>
    </row>
    <row r="4001" spans="1:8" ht="13.2">
      <c r="A4001" s="49"/>
      <c r="C4001" s="143" t="e">
        <f>IFERROR(VLOOKUP(B4001,'Thống kê'!$C$3:$D$970,2, FALSE),VLOOKUP(B4001,'Thống kê v2 CC'!$A$3:$D$1005,3, FALSE))</f>
        <v>#N/A</v>
      </c>
      <c r="D4001" s="166" t="e">
        <f>VLOOKUP(B4001,'Thống kê'!$C$3:$M$682,4,0)</f>
        <v>#N/A</v>
      </c>
      <c r="E4001" s="167"/>
      <c r="F4001" s="168" t="e">
        <f t="shared" si="16"/>
        <v>#N/A</v>
      </c>
      <c r="G4001" s="75"/>
      <c r="H4001" s="407"/>
    </row>
    <row r="4002" spans="1:8" ht="13.2">
      <c r="A4002" s="49"/>
      <c r="C4002" s="143" t="e">
        <f>IFERROR(VLOOKUP(B4002,'Thống kê'!$C$3:$D$970,2, FALSE),VLOOKUP(B4002,'Thống kê v2 CC'!$A$3:$D$1005,3, FALSE))</f>
        <v>#N/A</v>
      </c>
      <c r="D4002" s="166" t="e">
        <f>VLOOKUP(B4002,'Thống kê'!$C$3:$M$682,4,0)</f>
        <v>#N/A</v>
      </c>
      <c r="E4002" s="167"/>
      <c r="F4002" s="168" t="e">
        <f t="shared" si="16"/>
        <v>#N/A</v>
      </c>
      <c r="G4002" s="75"/>
      <c r="H4002" s="369"/>
    </row>
    <row r="4003" spans="1:8" ht="13.2">
      <c r="A4003" s="49"/>
      <c r="C4003" s="143" t="e">
        <f>IFERROR(VLOOKUP(B4003,'Thống kê'!$C$3:$D$970,2, FALSE),VLOOKUP(B4003,'Thống kê v2 CC'!$A$3:$D$1005,3, FALSE))</f>
        <v>#N/A</v>
      </c>
      <c r="D4003" s="166" t="e">
        <f>VLOOKUP(B4003,'Thống kê'!$C$3:$M$682,4,0)</f>
        <v>#N/A</v>
      </c>
      <c r="E4003" s="167"/>
      <c r="F4003" s="168" t="e">
        <f t="shared" si="16"/>
        <v>#N/A</v>
      </c>
      <c r="G4003" s="75"/>
      <c r="H4003" s="369"/>
    </row>
    <row r="4004" spans="1:8" ht="13.2">
      <c r="A4004" s="49"/>
      <c r="C4004" s="143" t="e">
        <f>IFERROR(VLOOKUP(B4004,'Thống kê'!$C$3:$D$970,2, FALSE),VLOOKUP(B4004,'Thống kê v2 CC'!$A$3:$D$1005,3, FALSE))</f>
        <v>#N/A</v>
      </c>
      <c r="D4004" s="166" t="e">
        <f>VLOOKUP(B4004,'Thống kê'!$C$3:$M$682,4,0)</f>
        <v>#N/A</v>
      </c>
      <c r="E4004" s="167"/>
      <c r="F4004" s="168" t="e">
        <f t="shared" si="16"/>
        <v>#N/A</v>
      </c>
      <c r="G4004" s="75"/>
      <c r="H4004" s="407"/>
    </row>
    <row r="4005" spans="1:8" ht="13.2">
      <c r="A4005" s="49"/>
      <c r="C4005" s="143" t="e">
        <f>IFERROR(VLOOKUP(B4005,'Thống kê'!$C$3:$D$970,2, FALSE),VLOOKUP(B4005,'Thống kê v2 CC'!$A$3:$D$1005,3, FALSE))</f>
        <v>#N/A</v>
      </c>
      <c r="D4005" s="166" t="e">
        <f>VLOOKUP(B4005,'Thống kê'!$C$3:$M$682,4,0)</f>
        <v>#N/A</v>
      </c>
      <c r="E4005" s="167"/>
      <c r="F4005" s="168" t="e">
        <f t="shared" si="16"/>
        <v>#N/A</v>
      </c>
      <c r="G4005" s="75"/>
      <c r="H4005" s="369"/>
    </row>
    <row r="4006" spans="1:8" ht="13.2">
      <c r="A4006" s="49"/>
      <c r="C4006" s="143" t="e">
        <f>IFERROR(VLOOKUP(B4006,'Thống kê'!$C$3:$D$970,2, FALSE),VLOOKUP(B4006,'Thống kê v2 CC'!$A$3:$D$1005,3, FALSE))</f>
        <v>#N/A</v>
      </c>
      <c r="D4006" s="166" t="e">
        <f>VLOOKUP(B4006,'Thống kê'!$C$3:$M$682,4,0)</f>
        <v>#N/A</v>
      </c>
      <c r="E4006" s="167"/>
      <c r="F4006" s="168" t="e">
        <f t="shared" si="16"/>
        <v>#N/A</v>
      </c>
      <c r="G4006" s="75"/>
      <c r="H4006" s="205"/>
    </row>
    <row r="4007" spans="1:8" ht="13.2">
      <c r="A4007" s="49"/>
      <c r="C4007" s="143" t="e">
        <f>IFERROR(VLOOKUP(B4007,'Thống kê'!$C$3:$D$970,2, FALSE),VLOOKUP(B4007,'Thống kê v2 CC'!$A$3:$D$1005,3, FALSE))</f>
        <v>#N/A</v>
      </c>
      <c r="D4007" s="166" t="e">
        <f>VLOOKUP(B4007,'Thống kê'!$C$3:$M$682,4,0)</f>
        <v>#N/A</v>
      </c>
      <c r="E4007" s="167"/>
      <c r="F4007" s="168" t="e">
        <f t="shared" si="16"/>
        <v>#N/A</v>
      </c>
      <c r="G4007" s="75"/>
      <c r="H4007" s="205"/>
    </row>
    <row r="4008" spans="1:8" ht="13.2">
      <c r="A4008" s="49"/>
      <c r="C4008" s="143" t="e">
        <f>IFERROR(VLOOKUP(B4008,'Thống kê'!$C$3:$D$970,2, FALSE),VLOOKUP(B4008,'Thống kê v2 CC'!$A$3:$D$1005,3, FALSE))</f>
        <v>#N/A</v>
      </c>
      <c r="D4008" s="166" t="e">
        <f>VLOOKUP(B4008,'Thống kê'!$C$3:$M$682,4,0)</f>
        <v>#N/A</v>
      </c>
      <c r="E4008" s="167"/>
      <c r="F4008" s="168" t="e">
        <f t="shared" si="16"/>
        <v>#N/A</v>
      </c>
      <c r="G4008" s="75"/>
      <c r="H4008" s="205"/>
    </row>
    <row r="4009" spans="1:8" ht="13.2">
      <c r="A4009" s="49"/>
      <c r="C4009" s="143" t="e">
        <f>IFERROR(VLOOKUP(B4009,'Thống kê'!$C$3:$D$970,2, FALSE),VLOOKUP(B4009,'Thống kê v2 CC'!$A$3:$D$1005,3, FALSE))</f>
        <v>#N/A</v>
      </c>
      <c r="D4009" s="166" t="e">
        <f>VLOOKUP(B4009,'Thống kê'!$C$3:$M$682,4,0)</f>
        <v>#N/A</v>
      </c>
      <c r="E4009" s="167"/>
      <c r="F4009" s="168" t="e">
        <f t="shared" si="16"/>
        <v>#N/A</v>
      </c>
      <c r="G4009" s="75"/>
      <c r="H4009" s="205"/>
    </row>
    <row r="4010" spans="1:8" ht="13.2">
      <c r="A4010" s="49"/>
      <c r="C4010" s="143" t="e">
        <f>IFERROR(VLOOKUP(B4010,'Thống kê'!$C$3:$D$970,2, FALSE),VLOOKUP(B4010,'Thống kê v2 CC'!$A$3:$D$1005,3, FALSE))</f>
        <v>#N/A</v>
      </c>
      <c r="D4010" s="166" t="e">
        <f>VLOOKUP(B4010,'Thống kê'!$C$3:$M$682,4,0)</f>
        <v>#N/A</v>
      </c>
      <c r="E4010" s="167"/>
      <c r="F4010" s="168" t="e">
        <f t="shared" si="16"/>
        <v>#N/A</v>
      </c>
      <c r="G4010" s="75"/>
      <c r="H4010" s="205"/>
    </row>
    <row r="4011" spans="1:8" ht="13.2">
      <c r="A4011" s="49"/>
      <c r="C4011" s="143" t="e">
        <f>IFERROR(VLOOKUP(B4011,'Thống kê'!$C$3:$D$970,2, FALSE),VLOOKUP(B4011,'Thống kê v2 CC'!$A$3:$D$1005,3, FALSE))</f>
        <v>#N/A</v>
      </c>
      <c r="D4011" s="166" t="e">
        <f>VLOOKUP(B4011,'Thống kê'!$C$3:$M$682,4,0)</f>
        <v>#N/A</v>
      </c>
      <c r="E4011" s="167"/>
      <c r="F4011" s="168" t="e">
        <f t="shared" si="16"/>
        <v>#N/A</v>
      </c>
      <c r="G4011" s="75"/>
      <c r="H4011" s="205"/>
    </row>
    <row r="4012" spans="1:8" ht="13.2">
      <c r="A4012" s="49"/>
      <c r="C4012" s="143" t="e">
        <f>IFERROR(VLOOKUP(B4012,'Thống kê'!$C$3:$D$970,2, FALSE),VLOOKUP(B4012,'Thống kê v2 CC'!$A$3:$D$1005,3, FALSE))</f>
        <v>#N/A</v>
      </c>
      <c r="D4012" s="166" t="e">
        <f>VLOOKUP(B4012,'Thống kê'!$C$3:$M$682,4,0)</f>
        <v>#N/A</v>
      </c>
      <c r="E4012" s="167"/>
      <c r="F4012" s="168" t="e">
        <f t="shared" si="16"/>
        <v>#N/A</v>
      </c>
      <c r="G4012" s="75"/>
      <c r="H4012" s="205"/>
    </row>
    <row r="4013" spans="1:8" ht="13.2">
      <c r="A4013" s="49"/>
      <c r="C4013" s="143" t="e">
        <f>IFERROR(VLOOKUP(B4013,'Thống kê'!$C$3:$D$970,2, FALSE),VLOOKUP(B4013,'Thống kê v2 CC'!$A$3:$D$1005,3, FALSE))</f>
        <v>#N/A</v>
      </c>
      <c r="D4013" s="166" t="e">
        <f>VLOOKUP(B4013,'Thống kê'!$C$3:$M$682,4,0)</f>
        <v>#N/A</v>
      </c>
      <c r="E4013" s="167"/>
      <c r="F4013" s="168" t="e">
        <f t="shared" si="16"/>
        <v>#N/A</v>
      </c>
      <c r="G4013" s="75"/>
      <c r="H4013" s="407"/>
    </row>
    <row r="4014" spans="1:8" ht="13.2">
      <c r="A4014" s="49"/>
      <c r="C4014" s="143" t="e">
        <f>IFERROR(VLOOKUP(B4014,'Thống kê'!$C$3:$D$970,2, FALSE),VLOOKUP(B4014,'Thống kê v2 CC'!$A$3:$D$1005,3, FALSE))</f>
        <v>#N/A</v>
      </c>
      <c r="D4014" s="166" t="e">
        <f>VLOOKUP(B4014,'Thống kê'!$C$3:$M$682,4,0)</f>
        <v>#N/A</v>
      </c>
      <c r="E4014" s="167"/>
      <c r="F4014" s="168" t="e">
        <f t="shared" si="16"/>
        <v>#N/A</v>
      </c>
      <c r="G4014" s="75"/>
      <c r="H4014" s="369"/>
    </row>
    <row r="4015" spans="1:8" ht="13.2">
      <c r="A4015" s="49"/>
      <c r="C4015" s="143" t="e">
        <f>IFERROR(VLOOKUP(B4015,'Thống kê'!$C$3:$D$970,2, FALSE),VLOOKUP(B4015,'Thống kê v2 CC'!$A$3:$D$1005,3, FALSE))</f>
        <v>#N/A</v>
      </c>
      <c r="D4015" s="166" t="e">
        <f>VLOOKUP(B4015,'Thống kê'!$C$3:$M$682,4,0)</f>
        <v>#N/A</v>
      </c>
      <c r="E4015" s="167"/>
      <c r="F4015" s="168" t="e">
        <f t="shared" si="16"/>
        <v>#N/A</v>
      </c>
      <c r="G4015" s="75"/>
      <c r="H4015" s="369"/>
    </row>
    <row r="4016" spans="1:8" ht="13.2">
      <c r="A4016" s="49"/>
      <c r="C4016" s="143" t="e">
        <f>IFERROR(VLOOKUP(B4016,'Thống kê'!$C$3:$D$970,2, FALSE),VLOOKUP(B4016,'Thống kê v2 CC'!$A$3:$D$1005,3, FALSE))</f>
        <v>#N/A</v>
      </c>
      <c r="D4016" s="166" t="e">
        <f>VLOOKUP(B4016,'Thống kê'!$C$3:$M$682,4,0)</f>
        <v>#N/A</v>
      </c>
      <c r="E4016" s="167"/>
      <c r="F4016" s="168" t="e">
        <f t="shared" si="16"/>
        <v>#N/A</v>
      </c>
      <c r="G4016" s="75"/>
      <c r="H4016" s="369"/>
    </row>
    <row r="4017" spans="1:8" ht="13.2">
      <c r="A4017" s="49"/>
      <c r="C4017" s="143" t="e">
        <f>VLOOKUP(B4017,'Thống kê'!$C$3:$D$669,2,0)</f>
        <v>#N/A</v>
      </c>
      <c r="D4017" s="166" t="e">
        <f>VLOOKUP(B4017,'Thống kê'!$C$3:$M$682,4,0)</f>
        <v>#N/A</v>
      </c>
      <c r="E4017" s="167"/>
      <c r="F4017" s="168" t="e">
        <f t="shared" si="16"/>
        <v>#N/A</v>
      </c>
      <c r="G4017" s="75"/>
      <c r="H4017" s="369"/>
    </row>
    <row r="4018" spans="1:8" ht="13.2">
      <c r="A4018" s="49"/>
      <c r="C4018" s="143" t="e">
        <f>VLOOKUP(B4018,'Thống kê'!$C$3:$D$669,2,0)</f>
        <v>#N/A</v>
      </c>
      <c r="D4018" s="166" t="e">
        <f>VLOOKUP(B4018,'Thống kê'!$C$3:$M$682,4,0)</f>
        <v>#N/A</v>
      </c>
      <c r="E4018" s="167"/>
      <c r="F4018" s="168" t="e">
        <f t="shared" si="16"/>
        <v>#N/A</v>
      </c>
      <c r="G4018" s="75"/>
      <c r="H4018" s="369"/>
    </row>
    <row r="4019" spans="1:8" ht="13.2">
      <c r="A4019" s="49"/>
      <c r="C4019" s="143" t="e">
        <f>VLOOKUP(B4019,'Thống kê'!$C$3:$D$669,2,0)</f>
        <v>#N/A</v>
      </c>
      <c r="D4019" s="166" t="e">
        <f>VLOOKUP(B4019,'Thống kê'!$C$3:$M$682,4,0)</f>
        <v>#N/A</v>
      </c>
      <c r="E4019" s="167"/>
      <c r="F4019" s="168" t="e">
        <f t="shared" si="16"/>
        <v>#N/A</v>
      </c>
      <c r="G4019" s="75"/>
      <c r="H4019" s="369"/>
    </row>
    <row r="4020" spans="1:8" ht="13.2">
      <c r="A4020" s="49"/>
      <c r="C4020" s="143" t="e">
        <f>VLOOKUP(B4020,'Thống kê'!$C$3:$D$669,2,0)</f>
        <v>#N/A</v>
      </c>
      <c r="D4020" s="166" t="e">
        <f>VLOOKUP(B4020,'Thống kê'!$C$3:$M$682,4,0)</f>
        <v>#N/A</v>
      </c>
      <c r="E4020" s="167"/>
      <c r="F4020" s="168" t="e">
        <f t="shared" si="16"/>
        <v>#N/A</v>
      </c>
      <c r="G4020" s="75"/>
      <c r="H4020" s="369"/>
    </row>
    <row r="4021" spans="1:8" ht="13.2">
      <c r="A4021" s="49"/>
      <c r="C4021" s="143" t="e">
        <f>VLOOKUP(B4021,'Thống kê'!$C$3:$D$669,2,0)</f>
        <v>#N/A</v>
      </c>
      <c r="D4021" s="166" t="e">
        <f>VLOOKUP(B4021,'Thống kê'!$C$3:$M$682,4,0)</f>
        <v>#N/A</v>
      </c>
      <c r="E4021" s="167"/>
      <c r="F4021" s="168" t="e">
        <f t="shared" si="16"/>
        <v>#N/A</v>
      </c>
      <c r="G4021" s="75"/>
      <c r="H4021" s="369"/>
    </row>
    <row r="4022" spans="1:8" ht="13.2">
      <c r="A4022" s="49"/>
      <c r="C4022" s="143" t="e">
        <f>VLOOKUP(B4022,'Thống kê'!$C$3:$D$669,2,0)</f>
        <v>#N/A</v>
      </c>
      <c r="D4022" s="166" t="e">
        <f>VLOOKUP(B4022,'Thống kê'!$C$3:$M$682,4,0)</f>
        <v>#N/A</v>
      </c>
      <c r="E4022" s="167"/>
      <c r="F4022" s="168" t="e">
        <f t="shared" si="16"/>
        <v>#N/A</v>
      </c>
      <c r="G4022" s="75"/>
      <c r="H4022" s="369"/>
    </row>
    <row r="4023" spans="1:8" ht="13.2">
      <c r="A4023" s="49"/>
      <c r="C4023" s="143" t="e">
        <f>VLOOKUP(B4023,'Thống kê'!$C$3:$D$669,2,0)</f>
        <v>#N/A</v>
      </c>
      <c r="D4023" s="166" t="e">
        <f>VLOOKUP(B4023,'Thống kê'!$C$3:$M$682,4,0)</f>
        <v>#N/A</v>
      </c>
      <c r="E4023" s="167"/>
      <c r="F4023" s="168" t="e">
        <f t="shared" si="16"/>
        <v>#N/A</v>
      </c>
      <c r="G4023" s="75"/>
      <c r="H4023" s="369"/>
    </row>
    <row r="4024" spans="1:8" ht="13.2">
      <c r="A4024" s="49"/>
      <c r="C4024" s="143" t="e">
        <f>VLOOKUP(B4024,'Thống kê'!$C$3:$D$669,2,0)</f>
        <v>#N/A</v>
      </c>
      <c r="D4024" s="166" t="e">
        <f>VLOOKUP(B4024,'Thống kê'!$C$3:$M$682,4,0)</f>
        <v>#N/A</v>
      </c>
      <c r="E4024" s="167"/>
      <c r="F4024" s="168" t="e">
        <f t="shared" si="16"/>
        <v>#N/A</v>
      </c>
      <c r="G4024" s="75"/>
      <c r="H4024" s="205"/>
    </row>
    <row r="4025" spans="1:8" ht="13.2">
      <c r="A4025" s="49"/>
      <c r="C4025" s="143" t="e">
        <f>VLOOKUP(B4025,'Thống kê'!$C$3:$D$669,2,0)</f>
        <v>#N/A</v>
      </c>
      <c r="D4025" s="166" t="e">
        <f>VLOOKUP(B4025,'Thống kê'!$C$3:$M$682,4,0)</f>
        <v>#N/A</v>
      </c>
      <c r="E4025" s="167"/>
      <c r="F4025" s="168" t="e">
        <f t="shared" si="16"/>
        <v>#N/A</v>
      </c>
      <c r="G4025" s="75"/>
      <c r="H4025" s="205"/>
    </row>
    <row r="4026" spans="1:8" ht="13.2">
      <c r="A4026" s="49"/>
      <c r="C4026" s="143" t="e">
        <f>VLOOKUP(B4026,'Thống kê'!$C$3:$D$669,2,0)</f>
        <v>#N/A</v>
      </c>
      <c r="D4026" s="166" t="e">
        <f>VLOOKUP(B4026,'Thống kê'!$C$3:$M$682,4,0)</f>
        <v>#N/A</v>
      </c>
      <c r="E4026" s="167"/>
      <c r="F4026" s="168" t="e">
        <f t="shared" si="16"/>
        <v>#N/A</v>
      </c>
      <c r="G4026" s="75"/>
      <c r="H4026" s="407"/>
    </row>
    <row r="4027" spans="1:8" ht="13.2">
      <c r="A4027" s="49"/>
      <c r="C4027" s="143" t="e">
        <f>VLOOKUP(B4027,'Thống kê'!$C$3:$D$669,2,0)</f>
        <v>#N/A</v>
      </c>
      <c r="D4027" s="166" t="e">
        <f>VLOOKUP(B4027,'Thống kê'!$C$3:$M$682,4,0)</f>
        <v>#N/A</v>
      </c>
      <c r="E4027" s="167"/>
      <c r="F4027" s="168" t="e">
        <f t="shared" si="16"/>
        <v>#N/A</v>
      </c>
      <c r="G4027" s="75"/>
      <c r="H4027" s="369"/>
    </row>
    <row r="4028" spans="1:8" ht="13.2">
      <c r="A4028" s="49"/>
      <c r="C4028" s="143" t="e">
        <f>VLOOKUP(B4028,'Thống kê'!$C$3:$D$669,2,0)</f>
        <v>#N/A</v>
      </c>
      <c r="D4028" s="166" t="e">
        <f>VLOOKUP(B4028,'Thống kê'!$C$3:$M$682,4,0)</f>
        <v>#N/A</v>
      </c>
      <c r="E4028" s="167"/>
      <c r="F4028" s="168" t="e">
        <f t="shared" si="16"/>
        <v>#N/A</v>
      </c>
      <c r="G4028" s="75"/>
      <c r="H4028" s="205"/>
    </row>
    <row r="4029" spans="1:8" ht="13.2">
      <c r="A4029" s="49"/>
      <c r="C4029" s="143" t="e">
        <f>VLOOKUP(B4029,'Thống kê'!$C$3:$D$669,2,0)</f>
        <v>#N/A</v>
      </c>
      <c r="D4029" s="166" t="e">
        <f>VLOOKUP(B4029,'Thống kê'!$C$3:$M$682,4,0)</f>
        <v>#N/A</v>
      </c>
      <c r="E4029" s="167"/>
      <c r="F4029" s="168" t="e">
        <f t="shared" si="16"/>
        <v>#N/A</v>
      </c>
      <c r="G4029" s="75"/>
      <c r="H4029" s="205"/>
    </row>
    <row r="4030" spans="1:8" ht="13.2">
      <c r="A4030" s="49"/>
      <c r="C4030" s="143" t="e">
        <f>VLOOKUP(B4030,'Thống kê'!$C$3:$D$669,2,0)</f>
        <v>#N/A</v>
      </c>
      <c r="D4030" s="166" t="e">
        <f>VLOOKUP(B4030,'Thống kê'!$C$3:$M$682,4,0)</f>
        <v>#N/A</v>
      </c>
      <c r="E4030" s="167"/>
      <c r="F4030" s="168" t="e">
        <f t="shared" si="16"/>
        <v>#N/A</v>
      </c>
      <c r="G4030" s="75"/>
      <c r="H4030" s="205"/>
    </row>
    <row r="4031" spans="1:8" ht="13.2">
      <c r="A4031" s="64"/>
      <c r="C4031" s="143" t="e">
        <f>VLOOKUP(B4031,'Thống kê'!$C$3:$D$669,2,0)</f>
        <v>#N/A</v>
      </c>
      <c r="D4031" s="166" t="e">
        <f>VLOOKUP(B4031,'Thống kê'!$C$3:$M$682,4,0)</f>
        <v>#N/A</v>
      </c>
      <c r="E4031" s="167"/>
      <c r="F4031" s="168" t="e">
        <f t="shared" si="16"/>
        <v>#N/A</v>
      </c>
      <c r="G4031" s="75"/>
      <c r="H4031" s="407"/>
    </row>
    <row r="4032" spans="1:8" ht="13.2">
      <c r="A4032" s="49"/>
      <c r="C4032" s="143" t="e">
        <f>VLOOKUP(B4032,'Thống kê'!$C$3:$D$669,2,0)</f>
        <v>#N/A</v>
      </c>
      <c r="D4032" s="166" t="e">
        <f>VLOOKUP(B4032,'Thống kê'!$C$3:$M$682,4,0)</f>
        <v>#N/A</v>
      </c>
      <c r="E4032" s="167"/>
      <c r="F4032" s="168" t="e">
        <f t="shared" si="16"/>
        <v>#N/A</v>
      </c>
      <c r="G4032" s="75"/>
      <c r="H4032" s="369"/>
    </row>
    <row r="4033" spans="1:8" ht="13.2">
      <c r="A4033" s="49"/>
      <c r="C4033" s="143" t="e">
        <f>VLOOKUP(B4033,'Thống kê'!$C$3:$D$669,2,0)</f>
        <v>#N/A</v>
      </c>
      <c r="D4033" s="166" t="e">
        <f>VLOOKUP(B4033,'Thống kê'!$C$3:$M$682,4,0)</f>
        <v>#N/A</v>
      </c>
      <c r="E4033" s="167"/>
      <c r="F4033" s="168" t="e">
        <f t="shared" si="16"/>
        <v>#N/A</v>
      </c>
      <c r="G4033" s="75"/>
      <c r="H4033" s="205"/>
    </row>
    <row r="4034" spans="1:8" ht="13.2">
      <c r="A4034" s="49"/>
      <c r="C4034" s="143" t="e">
        <f>VLOOKUP(B4034,'Thống kê'!$C$3:$D$669,2,0)</f>
        <v>#N/A</v>
      </c>
      <c r="D4034" s="166" t="e">
        <f>VLOOKUP(B4034,'Thống kê'!$C$3:$M$682,4,0)</f>
        <v>#N/A</v>
      </c>
      <c r="E4034" s="167"/>
      <c r="F4034" s="168" t="e">
        <f t="shared" si="16"/>
        <v>#N/A</v>
      </c>
      <c r="G4034" s="75"/>
      <c r="H4034" s="205"/>
    </row>
    <row r="4035" spans="1:8" ht="13.2">
      <c r="A4035" s="49"/>
      <c r="C4035" s="143" t="e">
        <f>VLOOKUP(B4035,'Thống kê'!$C$3:$D$669,2,0)</f>
        <v>#N/A</v>
      </c>
      <c r="D4035" s="166" t="e">
        <f>VLOOKUP(B4035,'Thống kê'!$C$3:$M$682,4,0)</f>
        <v>#N/A</v>
      </c>
      <c r="E4035" s="167"/>
      <c r="F4035" s="168" t="e">
        <f t="shared" si="16"/>
        <v>#N/A</v>
      </c>
      <c r="G4035" s="75"/>
      <c r="H4035" s="205"/>
    </row>
    <row r="4036" spans="1:8" ht="13.2">
      <c r="A4036" s="49"/>
      <c r="C4036" s="143" t="e">
        <f>VLOOKUP(B4036,'Thống kê'!$C$3:$D$669,2,0)</f>
        <v>#N/A</v>
      </c>
      <c r="D4036" s="166" t="e">
        <f>VLOOKUP(B4036,'Thống kê'!$C$3:$M$682,4,0)</f>
        <v>#N/A</v>
      </c>
      <c r="E4036" s="167"/>
      <c r="F4036" s="168" t="e">
        <f t="shared" si="16"/>
        <v>#N/A</v>
      </c>
      <c r="G4036" s="75"/>
      <c r="H4036" s="407"/>
    </row>
    <row r="4037" spans="1:8" ht="13.2">
      <c r="A4037" s="49"/>
      <c r="C4037" s="143" t="e">
        <f>VLOOKUP(B4037,'Thống kê'!$C$3:$D$669,2,0)</f>
        <v>#N/A</v>
      </c>
      <c r="D4037" s="166" t="e">
        <f>VLOOKUP(B4037,'Thống kê'!$C$3:$M$682,4,0)</f>
        <v>#N/A</v>
      </c>
      <c r="E4037" s="167"/>
      <c r="F4037" s="168" t="e">
        <f t="shared" si="16"/>
        <v>#N/A</v>
      </c>
      <c r="G4037" s="75"/>
      <c r="H4037" s="369"/>
    </row>
    <row r="4038" spans="1:8" ht="13.2">
      <c r="A4038" s="49"/>
      <c r="C4038" s="143" t="e">
        <f>VLOOKUP(B4038,'Thống kê'!$C$3:$D$669,2,0)</f>
        <v>#N/A</v>
      </c>
      <c r="D4038" s="166" t="e">
        <f>VLOOKUP(B4038,'Thống kê'!$C$3:$M$682,4,0)</f>
        <v>#N/A</v>
      </c>
      <c r="E4038" s="167"/>
      <c r="F4038" s="168" t="e">
        <f t="shared" si="16"/>
        <v>#N/A</v>
      </c>
      <c r="G4038" s="75"/>
      <c r="H4038" s="407"/>
    </row>
    <row r="4039" spans="1:8" ht="13.2">
      <c r="A4039" s="49"/>
      <c r="C4039" s="143" t="e">
        <f>VLOOKUP(B4039,'Thống kê'!$C$3:$D$669,2,0)</f>
        <v>#N/A</v>
      </c>
      <c r="D4039" s="166" t="e">
        <f>VLOOKUP(B4039,'Thống kê'!$C$3:$M$682,4,0)</f>
        <v>#N/A</v>
      </c>
      <c r="E4039" s="167"/>
      <c r="F4039" s="168" t="e">
        <f t="shared" si="16"/>
        <v>#N/A</v>
      </c>
      <c r="G4039" s="75"/>
      <c r="H4039" s="369"/>
    </row>
    <row r="4040" spans="1:8" ht="13.2">
      <c r="A4040" s="49"/>
      <c r="C4040" s="143" t="e">
        <f>VLOOKUP(B4040,'Thống kê'!$C$3:$D$669,2,0)</f>
        <v>#N/A</v>
      </c>
      <c r="D4040" s="166" t="e">
        <f>VLOOKUP(B4040,'Thống kê'!$C$3:$M$682,4,0)</f>
        <v>#N/A</v>
      </c>
      <c r="E4040" s="167"/>
      <c r="F4040" s="168" t="e">
        <f t="shared" si="16"/>
        <v>#N/A</v>
      </c>
      <c r="G4040" s="75"/>
      <c r="H4040" s="407"/>
    </row>
    <row r="4041" spans="1:8" ht="13.2">
      <c r="A4041" s="49"/>
      <c r="C4041" s="143" t="e">
        <f>VLOOKUP(B4041,'Thống kê'!$C$3:$D$669,2,0)</f>
        <v>#N/A</v>
      </c>
      <c r="D4041" s="166" t="e">
        <f>VLOOKUP(B4041,'Thống kê'!$C$3:$M$682,4,0)</f>
        <v>#N/A</v>
      </c>
      <c r="E4041" s="167"/>
      <c r="F4041" s="168" t="e">
        <f t="shared" si="16"/>
        <v>#N/A</v>
      </c>
      <c r="G4041" s="75"/>
      <c r="H4041" s="369"/>
    </row>
    <row r="4042" spans="1:8" ht="13.2">
      <c r="A4042" s="49"/>
      <c r="C4042" s="143" t="e">
        <f>VLOOKUP(B4042,'Thống kê'!$C$3:$D$669,2,0)</f>
        <v>#N/A</v>
      </c>
      <c r="D4042" s="166" t="e">
        <f>VLOOKUP(B4042,'Thống kê'!$C$3:$M$682,4,0)</f>
        <v>#N/A</v>
      </c>
      <c r="E4042" s="167"/>
      <c r="F4042" s="168" t="e">
        <f t="shared" si="16"/>
        <v>#N/A</v>
      </c>
      <c r="G4042" s="75"/>
      <c r="H4042" s="369"/>
    </row>
    <row r="4043" spans="1:8" ht="13.2">
      <c r="A4043" s="49"/>
      <c r="C4043" s="143" t="e">
        <f>VLOOKUP(B4043,'Thống kê'!$C$3:$D$669,2,0)</f>
        <v>#N/A</v>
      </c>
      <c r="D4043" s="166" t="e">
        <f>VLOOKUP(B4043,'Thống kê'!$C$3:$M$682,4,0)</f>
        <v>#N/A</v>
      </c>
      <c r="E4043" s="167"/>
      <c r="F4043" s="168" t="e">
        <f t="shared" si="16"/>
        <v>#N/A</v>
      </c>
      <c r="G4043" s="75"/>
      <c r="H4043" s="369"/>
    </row>
    <row r="4044" spans="1:8" ht="13.2">
      <c r="A4044" s="49"/>
      <c r="C4044" s="143" t="e">
        <f>VLOOKUP(B4044,'Thống kê'!$C$3:$D$669,2,0)</f>
        <v>#N/A</v>
      </c>
      <c r="D4044" s="166" t="e">
        <f>VLOOKUP(B4044,'Thống kê'!$C$3:$M$682,4,0)</f>
        <v>#N/A</v>
      </c>
      <c r="E4044" s="167"/>
      <c r="F4044" s="168" t="e">
        <f t="shared" si="16"/>
        <v>#N/A</v>
      </c>
      <c r="G4044" s="75"/>
      <c r="H4044" s="205"/>
    </row>
    <row r="4045" spans="1:8" ht="13.2">
      <c r="A4045" s="49"/>
      <c r="C4045" s="143" t="e">
        <f>VLOOKUP(B4045,'Thống kê'!$C$3:$D$669,2,0)</f>
        <v>#N/A</v>
      </c>
      <c r="D4045" s="166" t="e">
        <f>VLOOKUP(B4045,'Thống kê'!$C$3:$M$682,4,0)</f>
        <v>#N/A</v>
      </c>
      <c r="E4045" s="167"/>
      <c r="F4045" s="168" t="e">
        <f t="shared" si="16"/>
        <v>#N/A</v>
      </c>
      <c r="G4045" s="75"/>
      <c r="H4045" s="407"/>
    </row>
    <row r="4046" spans="1:8" ht="13.2">
      <c r="A4046" s="49"/>
      <c r="C4046" s="143" t="e">
        <f>VLOOKUP(B4046,'Thống kê'!$C$3:$D$669,2,0)</f>
        <v>#N/A</v>
      </c>
      <c r="D4046" s="166" t="e">
        <f>VLOOKUP(B4046,'Thống kê'!$C$3:$M$682,4,0)</f>
        <v>#N/A</v>
      </c>
      <c r="E4046" s="167"/>
      <c r="F4046" s="168" t="e">
        <f t="shared" si="16"/>
        <v>#N/A</v>
      </c>
      <c r="G4046" s="75"/>
      <c r="H4046" s="369"/>
    </row>
    <row r="4047" spans="1:8" ht="13.2">
      <c r="A4047" s="49"/>
      <c r="C4047" s="143" t="e">
        <f>VLOOKUP(B4047,'Thống kê'!$C$3:$D$669,2,0)</f>
        <v>#N/A</v>
      </c>
      <c r="D4047" s="166" t="e">
        <f>VLOOKUP(B4047,'Thống kê'!$C$3:$M$682,4,0)</f>
        <v>#N/A</v>
      </c>
      <c r="E4047" s="167"/>
      <c r="F4047" s="168" t="e">
        <f t="shared" si="16"/>
        <v>#N/A</v>
      </c>
      <c r="G4047" s="75"/>
      <c r="H4047" s="369"/>
    </row>
    <row r="4048" spans="1:8" ht="13.2">
      <c r="A4048" s="49"/>
      <c r="C4048" s="143" t="e">
        <f>VLOOKUP(B4048,'Thống kê'!$C$3:$D$669,2,0)</f>
        <v>#N/A</v>
      </c>
      <c r="D4048" s="166" t="e">
        <f>VLOOKUP(B4048,'Thống kê'!$C$3:$M$682,4,0)</f>
        <v>#N/A</v>
      </c>
      <c r="E4048" s="167"/>
      <c r="F4048" s="168" t="e">
        <f t="shared" si="16"/>
        <v>#N/A</v>
      </c>
      <c r="G4048" s="75"/>
      <c r="H4048" s="369"/>
    </row>
    <row r="4049" spans="1:8" ht="13.2">
      <c r="A4049" s="49"/>
      <c r="C4049" s="143" t="e">
        <f>VLOOKUP(B4049,'Thống kê'!$C$3:$D$669,2,0)</f>
        <v>#N/A</v>
      </c>
      <c r="D4049" s="166" t="e">
        <f>VLOOKUP(B4049,'Thống kê'!$C$3:$M$682,4,0)</f>
        <v>#N/A</v>
      </c>
      <c r="E4049" s="167"/>
      <c r="F4049" s="168" t="e">
        <f t="shared" si="16"/>
        <v>#N/A</v>
      </c>
      <c r="G4049" s="75"/>
      <c r="H4049" s="205"/>
    </row>
    <row r="4050" spans="1:8" ht="13.2">
      <c r="A4050" s="49"/>
      <c r="C4050" s="143" t="e">
        <f>VLOOKUP(B4050,'Thống kê'!$C$3:$D$669,2,0)</f>
        <v>#N/A</v>
      </c>
      <c r="D4050" s="166" t="e">
        <f>VLOOKUP(B4050,'Thống kê'!$C$3:$M$682,4,0)</f>
        <v>#N/A</v>
      </c>
      <c r="E4050" s="167"/>
      <c r="F4050" s="168" t="e">
        <f t="shared" si="16"/>
        <v>#N/A</v>
      </c>
      <c r="G4050" s="75"/>
      <c r="H4050" s="407"/>
    </row>
    <row r="4051" spans="1:8" ht="13.2">
      <c r="A4051" s="49"/>
      <c r="C4051" s="143" t="e">
        <f>VLOOKUP(B4051,'Thống kê'!$C$3:$D$669,2,0)</f>
        <v>#N/A</v>
      </c>
      <c r="D4051" s="166" t="e">
        <f>VLOOKUP(B4051,'Thống kê'!$C$3:$M$682,4,0)</f>
        <v>#N/A</v>
      </c>
      <c r="E4051" s="167"/>
      <c r="F4051" s="168" t="e">
        <f t="shared" si="16"/>
        <v>#N/A</v>
      </c>
      <c r="G4051" s="75"/>
      <c r="H4051" s="369"/>
    </row>
    <row r="4052" spans="1:8" ht="13.2">
      <c r="A4052" s="49"/>
      <c r="C4052" s="143" t="e">
        <f>VLOOKUP(B4052,'Thống kê'!$C$3:$D$669,2,0)</f>
        <v>#N/A</v>
      </c>
      <c r="D4052" s="166" t="e">
        <f>VLOOKUP(B4052,'Thống kê'!$C$3:$M$682,4,0)</f>
        <v>#N/A</v>
      </c>
      <c r="E4052" s="167"/>
      <c r="F4052" s="168" t="e">
        <f t="shared" si="16"/>
        <v>#N/A</v>
      </c>
      <c r="G4052" s="75"/>
      <c r="H4052" s="205"/>
    </row>
    <row r="4053" spans="1:8" ht="13.2">
      <c r="A4053" s="64"/>
      <c r="C4053" s="143" t="e">
        <f>VLOOKUP(B4053,'Thống kê'!$C$3:$D$669,2,0)</f>
        <v>#N/A</v>
      </c>
      <c r="D4053" s="166" t="e">
        <f>VLOOKUP(B4053,'Thống kê'!$C$3:$M$682,4,0)</f>
        <v>#N/A</v>
      </c>
      <c r="E4053" s="167"/>
      <c r="F4053" s="168" t="e">
        <f t="shared" si="16"/>
        <v>#N/A</v>
      </c>
      <c r="G4053" s="75"/>
      <c r="H4053" s="407"/>
    </row>
    <row r="4054" spans="1:8" ht="13.2">
      <c r="A4054" s="49"/>
      <c r="C4054" s="143" t="e">
        <f>VLOOKUP(B4054,'Thống kê'!$C$3:$D$669,2,0)</f>
        <v>#N/A</v>
      </c>
      <c r="D4054" s="166" t="e">
        <f>VLOOKUP(B4054,'Thống kê'!$C$3:$M$682,4,0)</f>
        <v>#N/A</v>
      </c>
      <c r="E4054" s="167"/>
      <c r="F4054" s="168" t="e">
        <f t="shared" si="16"/>
        <v>#N/A</v>
      </c>
      <c r="G4054" s="75"/>
      <c r="H4054" s="369"/>
    </row>
    <row r="4055" spans="1:8" ht="13.2">
      <c r="A4055" s="49"/>
      <c r="C4055" s="143" t="e">
        <f>VLOOKUP(B4055,'Thống kê'!$C$3:$D$669,2,0)</f>
        <v>#N/A</v>
      </c>
      <c r="D4055" s="166" t="e">
        <f>VLOOKUP(B4055,'Thống kê'!$C$3:$M$682,4,0)</f>
        <v>#N/A</v>
      </c>
      <c r="E4055" s="167"/>
      <c r="F4055" s="168" t="e">
        <f t="shared" si="16"/>
        <v>#N/A</v>
      </c>
      <c r="G4055" s="75"/>
      <c r="H4055" s="369"/>
    </row>
    <row r="4056" spans="1:8" ht="13.2">
      <c r="A4056" s="49"/>
      <c r="C4056" s="143" t="e">
        <f>VLOOKUP(B4056,'Thống kê'!$C$3:$D$669,2,0)</f>
        <v>#N/A</v>
      </c>
      <c r="D4056" s="166" t="e">
        <f>VLOOKUP(B4056,'Thống kê'!$C$3:$M$682,4,0)</f>
        <v>#N/A</v>
      </c>
      <c r="E4056" s="167"/>
      <c r="F4056" s="168" t="e">
        <f t="shared" si="16"/>
        <v>#N/A</v>
      </c>
      <c r="G4056" s="75"/>
      <c r="H4056" s="205"/>
    </row>
    <row r="4057" spans="1:8" ht="13.2">
      <c r="A4057" s="49"/>
      <c r="C4057" s="143" t="e">
        <f>VLOOKUP(B4057,'Thống kê'!$C$3:$D$669,2,0)</f>
        <v>#N/A</v>
      </c>
      <c r="D4057" s="166" t="e">
        <f>VLOOKUP(B4057,'Thống kê'!$C$3:$M$682,4,0)</f>
        <v>#N/A</v>
      </c>
      <c r="E4057" s="167"/>
      <c r="F4057" s="168" t="e">
        <f t="shared" si="16"/>
        <v>#N/A</v>
      </c>
      <c r="G4057" s="75"/>
      <c r="H4057" s="407"/>
    </row>
    <row r="4058" spans="1:8" ht="13.2">
      <c r="A4058" s="49"/>
      <c r="C4058" s="143" t="e">
        <f>VLOOKUP(B4058,'Thống kê'!$C$3:$D$669,2,0)</f>
        <v>#N/A</v>
      </c>
      <c r="D4058" s="166" t="e">
        <f>VLOOKUP(B4058,'Thống kê'!$C$3:$M$682,4,0)</f>
        <v>#N/A</v>
      </c>
      <c r="E4058" s="167"/>
      <c r="F4058" s="168" t="e">
        <f t="shared" si="16"/>
        <v>#N/A</v>
      </c>
      <c r="G4058" s="75"/>
      <c r="H4058" s="369"/>
    </row>
    <row r="4059" spans="1:8" ht="13.2">
      <c r="A4059" s="49"/>
      <c r="C4059" s="143" t="e">
        <f>VLOOKUP(B4059,'Thống kê'!$C$3:$D$669,2,0)</f>
        <v>#N/A</v>
      </c>
      <c r="D4059" s="166" t="e">
        <f>VLOOKUP(B4059,'Thống kê'!$C$3:$M$682,4,0)</f>
        <v>#N/A</v>
      </c>
      <c r="E4059" s="167"/>
      <c r="F4059" s="168" t="e">
        <f t="shared" si="16"/>
        <v>#N/A</v>
      </c>
      <c r="G4059" s="75"/>
      <c r="H4059" s="369"/>
    </row>
    <row r="4060" spans="1:8" ht="13.2">
      <c r="A4060" s="49"/>
      <c r="C4060" s="143" t="e">
        <f>VLOOKUP(B4060,'Thống kê'!$C$3:$D$669,2,0)</f>
        <v>#N/A</v>
      </c>
      <c r="D4060" s="166" t="e">
        <f>VLOOKUP(B4060,'Thống kê'!$C$3:$M$682,4,0)</f>
        <v>#N/A</v>
      </c>
      <c r="E4060" s="167"/>
      <c r="F4060" s="168" t="e">
        <f t="shared" si="16"/>
        <v>#N/A</v>
      </c>
      <c r="G4060" s="75"/>
      <c r="H4060" s="369"/>
    </row>
    <row r="4061" spans="1:8" ht="13.2">
      <c r="A4061" s="49"/>
      <c r="C4061" s="143" t="e">
        <f>VLOOKUP(B4061,'Thống kê'!$C$3:$D$669,2,0)</f>
        <v>#N/A</v>
      </c>
      <c r="D4061" s="166" t="e">
        <f>VLOOKUP(B4061,'Thống kê'!$C$3:$M$682,4,0)</f>
        <v>#N/A</v>
      </c>
      <c r="E4061" s="167"/>
      <c r="F4061" s="168" t="e">
        <f t="shared" si="16"/>
        <v>#N/A</v>
      </c>
      <c r="G4061" s="75"/>
      <c r="H4061" s="205"/>
    </row>
    <row r="4062" spans="1:8" ht="13.2">
      <c r="A4062" s="49"/>
      <c r="C4062" s="143" t="e">
        <f>VLOOKUP(B4062,'Thống kê'!$C$3:$D$669,2,0)</f>
        <v>#N/A</v>
      </c>
      <c r="D4062" s="166" t="e">
        <f>VLOOKUP(B4062,'Thống kê'!$C$3:$M$682,4,0)</f>
        <v>#N/A</v>
      </c>
      <c r="E4062" s="167"/>
      <c r="F4062" s="168" t="e">
        <f t="shared" si="16"/>
        <v>#N/A</v>
      </c>
      <c r="G4062" s="75"/>
      <c r="H4062" s="205"/>
    </row>
    <row r="4063" spans="1:8" ht="13.2">
      <c r="A4063" s="49"/>
      <c r="C4063" s="143" t="e">
        <f>VLOOKUP(B4063,'Thống kê'!$C$3:$D$669,2,0)</f>
        <v>#N/A</v>
      </c>
      <c r="D4063" s="166" t="e">
        <f>VLOOKUP(B4063,'Thống kê'!$C$3:$M$682,4,0)</f>
        <v>#N/A</v>
      </c>
      <c r="E4063" s="167"/>
      <c r="F4063" s="168" t="e">
        <f t="shared" si="16"/>
        <v>#N/A</v>
      </c>
      <c r="G4063" s="75"/>
      <c r="H4063" s="407"/>
    </row>
    <row r="4064" spans="1:8" ht="13.2">
      <c r="A4064" s="49"/>
      <c r="C4064" s="143" t="e">
        <f>VLOOKUP(B4064,'Thống kê'!$C$3:$D$669,2,0)</f>
        <v>#N/A</v>
      </c>
      <c r="D4064" s="166" t="e">
        <f>VLOOKUP(B4064,'Thống kê'!$C$3:$M$682,4,0)</f>
        <v>#N/A</v>
      </c>
      <c r="E4064" s="167"/>
      <c r="F4064" s="168" t="e">
        <f t="shared" si="16"/>
        <v>#N/A</v>
      </c>
      <c r="G4064" s="75"/>
      <c r="H4064" s="369"/>
    </row>
    <row r="4065" spans="1:8" ht="13.2">
      <c r="A4065" s="49"/>
      <c r="C4065" s="143" t="e">
        <f>VLOOKUP(B4065,'Thống kê'!$C$3:$D$669,2,0)</f>
        <v>#N/A</v>
      </c>
      <c r="D4065" s="166" t="e">
        <f>VLOOKUP(B4065,'Thống kê'!$C$3:$M$682,4,0)</f>
        <v>#N/A</v>
      </c>
      <c r="E4065" s="167"/>
      <c r="F4065" s="168" t="e">
        <f t="shared" si="16"/>
        <v>#N/A</v>
      </c>
      <c r="G4065" s="75"/>
      <c r="H4065" s="369"/>
    </row>
    <row r="4066" spans="1:8" ht="13.2">
      <c r="A4066" s="49"/>
      <c r="C4066" s="143" t="e">
        <f>VLOOKUP(B4066,'Thống kê'!$C$3:$D$669,2,0)</f>
        <v>#N/A</v>
      </c>
      <c r="D4066" s="166" t="e">
        <f>VLOOKUP(B4066,'Thống kê'!$C$3:$M$682,4,0)</f>
        <v>#N/A</v>
      </c>
      <c r="E4066" s="167"/>
      <c r="F4066" s="168" t="e">
        <f t="shared" si="16"/>
        <v>#N/A</v>
      </c>
      <c r="G4066" s="75"/>
      <c r="H4066" s="407"/>
    </row>
    <row r="4067" spans="1:8" ht="13.2">
      <c r="A4067" s="49"/>
      <c r="C4067" s="143" t="e">
        <f>VLOOKUP(B4067,'Thống kê'!$C$3:$D$669,2,0)</f>
        <v>#N/A</v>
      </c>
      <c r="D4067" s="166" t="e">
        <f>VLOOKUP(B4067,'Thống kê'!$C$3:$M$682,4,0)</f>
        <v>#N/A</v>
      </c>
      <c r="E4067" s="167"/>
      <c r="F4067" s="168" t="e">
        <f t="shared" si="16"/>
        <v>#N/A</v>
      </c>
      <c r="G4067" s="75"/>
      <c r="H4067" s="369"/>
    </row>
    <row r="4068" spans="1:8" ht="13.2">
      <c r="A4068" s="49"/>
      <c r="C4068" s="143" t="e">
        <f>VLOOKUP(B4068,'Thống kê'!$C$3:$D$669,2,0)</f>
        <v>#N/A</v>
      </c>
      <c r="D4068" s="166" t="e">
        <f>VLOOKUP(B4068,'Thống kê'!$C$3:$M$682,4,0)</f>
        <v>#N/A</v>
      </c>
      <c r="E4068" s="167"/>
      <c r="F4068" s="168" t="e">
        <f t="shared" si="16"/>
        <v>#N/A</v>
      </c>
      <c r="G4068" s="75"/>
      <c r="H4068" s="369"/>
    </row>
    <row r="4069" spans="1:8" ht="13.2">
      <c r="A4069" s="49"/>
      <c r="C4069" s="143" t="e">
        <f>VLOOKUP(B4069,'Thống kê'!$C$3:$D$669,2,0)</f>
        <v>#N/A</v>
      </c>
      <c r="D4069" s="166" t="e">
        <f>VLOOKUP(B4069,'Thống kê'!$C$3:$M$682,4,0)</f>
        <v>#N/A</v>
      </c>
      <c r="E4069" s="167"/>
      <c r="F4069" s="168" t="e">
        <f t="shared" si="16"/>
        <v>#N/A</v>
      </c>
      <c r="G4069" s="75"/>
      <c r="H4069" s="369"/>
    </row>
    <row r="4070" spans="1:8" ht="13.2">
      <c r="A4070" s="49"/>
      <c r="C4070" s="143" t="e">
        <f>VLOOKUP(B4070,'Thống kê'!$C$3:$D$669,2,0)</f>
        <v>#N/A</v>
      </c>
      <c r="D4070" s="166" t="e">
        <f>VLOOKUP(B4070,'Thống kê'!$C$3:$M$682,4,0)</f>
        <v>#N/A</v>
      </c>
      <c r="E4070" s="167"/>
      <c r="F4070" s="168" t="e">
        <f t="shared" si="16"/>
        <v>#N/A</v>
      </c>
      <c r="G4070" s="75"/>
      <c r="H4070" s="407"/>
    </row>
    <row r="4071" spans="1:8" ht="13.2">
      <c r="A4071" s="49"/>
      <c r="C4071" s="143" t="e">
        <f>VLOOKUP(B4071,'Thống kê'!$C$3:$D$669,2,0)</f>
        <v>#N/A</v>
      </c>
      <c r="D4071" s="166" t="e">
        <f>VLOOKUP(B4071,'Thống kê'!$C$3:$M$682,4,0)</f>
        <v>#N/A</v>
      </c>
      <c r="E4071" s="167"/>
      <c r="F4071" s="168" t="e">
        <f t="shared" si="16"/>
        <v>#N/A</v>
      </c>
      <c r="G4071" s="75"/>
      <c r="H4071" s="369"/>
    </row>
    <row r="4072" spans="1:8" ht="13.2">
      <c r="A4072" s="49"/>
      <c r="C4072" s="143" t="e">
        <f>VLOOKUP(B4072,'Thống kê'!$C$3:$D$669,2,0)</f>
        <v>#N/A</v>
      </c>
      <c r="D4072" s="166" t="e">
        <f>VLOOKUP(B4072,'Thống kê'!$C$3:$M$682,4,0)</f>
        <v>#N/A</v>
      </c>
      <c r="E4072" s="167"/>
      <c r="F4072" s="168" t="e">
        <f t="shared" si="16"/>
        <v>#N/A</v>
      </c>
      <c r="G4072" s="75"/>
      <c r="H4072" s="369"/>
    </row>
    <row r="4073" spans="1:8" ht="13.2">
      <c r="A4073" s="49"/>
      <c r="C4073" s="143" t="e">
        <f>VLOOKUP(B4073,'Thống kê'!$C$3:$D$669,2,0)</f>
        <v>#N/A</v>
      </c>
      <c r="D4073" s="166" t="e">
        <f>VLOOKUP(B4073,'Thống kê'!$C$3:$M$682,4,0)</f>
        <v>#N/A</v>
      </c>
      <c r="E4073" s="167"/>
      <c r="F4073" s="168" t="e">
        <f t="shared" si="16"/>
        <v>#N/A</v>
      </c>
      <c r="G4073" s="75"/>
      <c r="H4073" s="369"/>
    </row>
    <row r="4074" spans="1:8" ht="13.2">
      <c r="A4074" s="49"/>
      <c r="C4074" s="143" t="e">
        <f>VLOOKUP(B4074,'Thống kê'!$C$3:$D$669,2,0)</f>
        <v>#N/A</v>
      </c>
      <c r="D4074" s="166" t="e">
        <f>VLOOKUP(B4074,'Thống kê'!$C$3:$M$682,4,0)</f>
        <v>#N/A</v>
      </c>
      <c r="E4074" s="167"/>
      <c r="F4074" s="168" t="e">
        <f t="shared" si="16"/>
        <v>#N/A</v>
      </c>
      <c r="G4074" s="75"/>
      <c r="H4074" s="407"/>
    </row>
    <row r="4075" spans="1:8" ht="13.2">
      <c r="A4075" s="49"/>
      <c r="C4075" s="143" t="e">
        <f>VLOOKUP(B4075,'Thống kê'!$C$3:$D$669,2,0)</f>
        <v>#N/A</v>
      </c>
      <c r="D4075" s="166" t="e">
        <f>VLOOKUP(B4075,'Thống kê'!$C$3:$M$682,4,0)</f>
        <v>#N/A</v>
      </c>
      <c r="E4075" s="167"/>
      <c r="F4075" s="168" t="e">
        <f t="shared" si="16"/>
        <v>#N/A</v>
      </c>
      <c r="G4075" s="75"/>
      <c r="H4075" s="369"/>
    </row>
    <row r="4076" spans="1:8" ht="13.2">
      <c r="A4076" s="49"/>
      <c r="C4076" s="143" t="e">
        <f>VLOOKUP(B4076,'Thống kê'!$C$3:$D$669,2,0)</f>
        <v>#N/A</v>
      </c>
      <c r="D4076" s="166" t="e">
        <f>VLOOKUP(B4076,'Thống kê'!$C$3:$M$682,4,0)</f>
        <v>#N/A</v>
      </c>
      <c r="E4076" s="167"/>
      <c r="F4076" s="168" t="e">
        <f t="shared" si="16"/>
        <v>#N/A</v>
      </c>
      <c r="G4076" s="75"/>
      <c r="H4076" s="369"/>
    </row>
    <row r="4077" spans="1:8" ht="13.2">
      <c r="A4077" s="49"/>
      <c r="C4077" s="143" t="e">
        <f>VLOOKUP(B4077,'Thống kê'!$C$3:$D$669,2,0)</f>
        <v>#N/A</v>
      </c>
      <c r="D4077" s="166" t="e">
        <f>VLOOKUP(B4077,'Thống kê'!$C$3:$M$682,4,0)</f>
        <v>#N/A</v>
      </c>
      <c r="E4077" s="167"/>
      <c r="F4077" s="168" t="e">
        <f t="shared" si="16"/>
        <v>#N/A</v>
      </c>
      <c r="G4077" s="75"/>
      <c r="H4077" s="369"/>
    </row>
    <row r="4078" spans="1:8" ht="13.2">
      <c r="A4078" s="49"/>
      <c r="C4078" s="143" t="e">
        <f>VLOOKUP(B4078,'Thống kê'!$C$3:$D$669,2,0)</f>
        <v>#N/A</v>
      </c>
      <c r="D4078" s="166" t="e">
        <f>VLOOKUP(B4078,'Thống kê'!$C$3:$M$682,4,0)</f>
        <v>#N/A</v>
      </c>
      <c r="E4078" s="167"/>
      <c r="F4078" s="168" t="e">
        <f t="shared" si="16"/>
        <v>#N/A</v>
      </c>
      <c r="G4078" s="75"/>
      <c r="H4078" s="407"/>
    </row>
    <row r="4079" spans="1:8" ht="13.2">
      <c r="A4079" s="49"/>
      <c r="C4079" s="143" t="e">
        <f>VLOOKUP(B4079,'Thống kê'!$C$3:$D$669,2,0)</f>
        <v>#N/A</v>
      </c>
      <c r="D4079" s="166" t="e">
        <f>VLOOKUP(B4079,'Thống kê'!$C$3:$M$682,4,0)</f>
        <v>#N/A</v>
      </c>
      <c r="E4079" s="167"/>
      <c r="F4079" s="168" t="e">
        <f t="shared" si="16"/>
        <v>#N/A</v>
      </c>
      <c r="G4079" s="75"/>
      <c r="H4079" s="369"/>
    </row>
    <row r="4080" spans="1:8" ht="13.2">
      <c r="A4080" s="49"/>
      <c r="C4080" s="143" t="e">
        <f>VLOOKUP(B4080,'Thống kê'!$C$3:$D$669,2,0)</f>
        <v>#N/A</v>
      </c>
      <c r="D4080" s="166" t="e">
        <f>VLOOKUP(B4080,'Thống kê'!$C$3:$M$682,4,0)</f>
        <v>#N/A</v>
      </c>
      <c r="E4080" s="167"/>
      <c r="F4080" s="168" t="e">
        <f t="shared" si="16"/>
        <v>#N/A</v>
      </c>
      <c r="G4080" s="75"/>
      <c r="H4080" s="407"/>
    </row>
    <row r="4081" spans="1:8" ht="13.2">
      <c r="A4081" s="49"/>
      <c r="C4081" s="143" t="e">
        <f>VLOOKUP(B4081,'Thống kê'!$C$3:$D$669,2,0)</f>
        <v>#N/A</v>
      </c>
      <c r="D4081" s="166" t="e">
        <f>VLOOKUP(B4081,'Thống kê'!$C$3:$M$682,4,0)</f>
        <v>#N/A</v>
      </c>
      <c r="E4081" s="167"/>
      <c r="F4081" s="168" t="e">
        <f t="shared" si="16"/>
        <v>#N/A</v>
      </c>
      <c r="G4081" s="75"/>
      <c r="H4081" s="369"/>
    </row>
    <row r="4082" spans="1:8" ht="13.2">
      <c r="A4082" s="49"/>
      <c r="C4082" s="143" t="e">
        <f>VLOOKUP(B4082,'Thống kê'!$C$3:$D$669,2,0)</f>
        <v>#N/A</v>
      </c>
      <c r="D4082" s="166" t="e">
        <f>VLOOKUP(B4082,'Thống kê'!$C$3:$M$682,4,0)</f>
        <v>#N/A</v>
      </c>
      <c r="E4082" s="167"/>
      <c r="F4082" s="168" t="e">
        <f t="shared" si="16"/>
        <v>#N/A</v>
      </c>
      <c r="G4082" s="75"/>
      <c r="H4082" s="205"/>
    </row>
    <row r="4083" spans="1:8" ht="13.2">
      <c r="A4083" s="49"/>
      <c r="C4083" s="143" t="e">
        <f>VLOOKUP(B4083,'Thống kê'!$C$3:$D$669,2,0)</f>
        <v>#N/A</v>
      </c>
      <c r="D4083" s="166" t="e">
        <f>VLOOKUP(B4083,'Thống kê'!$C$3:$M$682,4,0)</f>
        <v>#N/A</v>
      </c>
      <c r="E4083" s="167"/>
      <c r="F4083" s="168" t="e">
        <f t="shared" si="16"/>
        <v>#N/A</v>
      </c>
      <c r="G4083" s="75"/>
      <c r="H4083" s="205"/>
    </row>
    <row r="4084" spans="1:8" ht="13.2">
      <c r="A4084" s="49"/>
      <c r="C4084" s="143" t="e">
        <f>VLOOKUP(B4084,'Thống kê'!$C$3:$D$669,2,0)</f>
        <v>#N/A</v>
      </c>
      <c r="D4084" s="166" t="e">
        <f>VLOOKUP(B4084,'Thống kê'!$C$3:$M$682,4,0)</f>
        <v>#N/A</v>
      </c>
      <c r="E4084" s="167"/>
      <c r="F4084" s="168" t="e">
        <f t="shared" si="16"/>
        <v>#N/A</v>
      </c>
      <c r="G4084" s="75"/>
      <c r="H4084" s="407"/>
    </row>
    <row r="4085" spans="1:8" ht="13.2">
      <c r="A4085" s="49"/>
      <c r="C4085" s="143" t="e">
        <f>VLOOKUP(B4085,'Thống kê'!$C$3:$D$669,2,0)</f>
        <v>#N/A</v>
      </c>
      <c r="D4085" s="166" t="e">
        <f>VLOOKUP(B4085,'Thống kê'!$C$3:$M$682,4,0)</f>
        <v>#N/A</v>
      </c>
      <c r="E4085" s="167"/>
      <c r="F4085" s="168" t="e">
        <f t="shared" si="16"/>
        <v>#N/A</v>
      </c>
      <c r="G4085" s="75"/>
      <c r="H4085" s="369"/>
    </row>
    <row r="4086" spans="1:8" ht="13.2">
      <c r="A4086" s="49"/>
      <c r="C4086" s="143" t="e">
        <f>VLOOKUP(B4086,'Thống kê'!$C$3:$D$669,2,0)</f>
        <v>#N/A</v>
      </c>
      <c r="D4086" s="166" t="e">
        <f>VLOOKUP(B4086,'Thống kê'!$C$3:$M$682,4,0)</f>
        <v>#N/A</v>
      </c>
      <c r="E4086" s="167"/>
      <c r="F4086" s="168" t="e">
        <f t="shared" si="16"/>
        <v>#N/A</v>
      </c>
      <c r="G4086" s="75"/>
      <c r="H4086" s="369"/>
    </row>
    <row r="4087" spans="1:8" ht="13.2">
      <c r="A4087" s="49"/>
      <c r="C4087" s="143" t="e">
        <f>VLOOKUP(B4087,'Thống kê'!$C$3:$D$669,2,0)</f>
        <v>#N/A</v>
      </c>
      <c r="D4087" s="166" t="e">
        <f>VLOOKUP(B4087,'Thống kê'!$C$3:$M$682,4,0)</f>
        <v>#N/A</v>
      </c>
      <c r="E4087" s="167"/>
      <c r="F4087" s="168" t="e">
        <f t="shared" si="16"/>
        <v>#N/A</v>
      </c>
      <c r="G4087" s="75"/>
      <c r="H4087" s="205"/>
    </row>
    <row r="4088" spans="1:8" ht="13.2">
      <c r="A4088" s="64"/>
      <c r="C4088" s="143" t="e">
        <f>VLOOKUP(B4088,'Thống kê'!$C$3:$D$669,2,0)</f>
        <v>#N/A</v>
      </c>
      <c r="D4088" s="166" t="e">
        <f>VLOOKUP(B4088,'Thống kê'!$C$3:$M$682,4,0)</f>
        <v>#N/A</v>
      </c>
      <c r="E4088" s="167"/>
      <c r="F4088" s="168" t="e">
        <f t="shared" si="16"/>
        <v>#N/A</v>
      </c>
      <c r="G4088" s="75"/>
      <c r="H4088" s="205"/>
    </row>
    <row r="4089" spans="1:8" ht="13.2">
      <c r="A4089" s="49"/>
      <c r="C4089" s="143" t="e">
        <f>VLOOKUP(B4089,'Thống kê'!$C$3:$D$669,2,0)</f>
        <v>#N/A</v>
      </c>
      <c r="D4089" s="166" t="e">
        <f>VLOOKUP(B4089,'Thống kê'!$C$3:$M$682,4,0)</f>
        <v>#N/A</v>
      </c>
      <c r="E4089" s="167"/>
      <c r="F4089" s="168" t="e">
        <f t="shared" si="16"/>
        <v>#N/A</v>
      </c>
      <c r="G4089" s="75"/>
      <c r="H4089" s="205"/>
    </row>
    <row r="4090" spans="1:8" ht="13.2">
      <c r="A4090" s="49"/>
      <c r="C4090" s="143" t="e">
        <f>VLOOKUP(B4090,'Thống kê'!$C$3:$D$669,2,0)</f>
        <v>#N/A</v>
      </c>
      <c r="D4090" s="166" t="e">
        <f>VLOOKUP(B4090,'Thống kê'!$C$3:$M$682,4,0)</f>
        <v>#N/A</v>
      </c>
      <c r="E4090" s="167"/>
      <c r="F4090" s="168" t="e">
        <f t="shared" si="16"/>
        <v>#N/A</v>
      </c>
      <c r="G4090" s="75"/>
      <c r="H4090" s="407"/>
    </row>
    <row r="4091" spans="1:8" ht="13.2">
      <c r="A4091" s="49"/>
      <c r="C4091" s="143" t="e">
        <f>VLOOKUP(B4091,'Thống kê'!$C$3:$D$669,2,0)</f>
        <v>#N/A</v>
      </c>
      <c r="D4091" s="166" t="e">
        <f>VLOOKUP(B4091,'Thống kê'!$C$3:$M$682,4,0)</f>
        <v>#N/A</v>
      </c>
      <c r="E4091" s="167"/>
      <c r="F4091" s="168" t="e">
        <f t="shared" si="16"/>
        <v>#N/A</v>
      </c>
      <c r="G4091" s="75"/>
      <c r="H4091" s="369"/>
    </row>
    <row r="4092" spans="1:8" ht="13.2">
      <c r="A4092" s="49"/>
      <c r="C4092" s="143" t="e">
        <f>VLOOKUP(B4092,'Thống kê'!$C$3:$D$669,2,0)</f>
        <v>#N/A</v>
      </c>
      <c r="D4092" s="166" t="e">
        <f>VLOOKUP(B4092,'Thống kê'!$C$3:$M$682,4,0)</f>
        <v>#N/A</v>
      </c>
      <c r="E4092" s="167"/>
      <c r="F4092" s="168" t="e">
        <f t="shared" si="16"/>
        <v>#N/A</v>
      </c>
      <c r="G4092" s="75"/>
      <c r="H4092" s="205"/>
    </row>
    <row r="4093" spans="1:8" ht="13.2">
      <c r="A4093" s="49"/>
      <c r="C4093" s="143" t="e">
        <f>VLOOKUP(B4093,'Thống kê'!$C$3:$D$669,2,0)</f>
        <v>#N/A</v>
      </c>
      <c r="D4093" s="166" t="e">
        <f>VLOOKUP(B4093,'Thống kê'!$C$3:$M$682,4,0)</f>
        <v>#N/A</v>
      </c>
      <c r="E4093" s="167"/>
      <c r="F4093" s="168" t="e">
        <f t="shared" si="16"/>
        <v>#N/A</v>
      </c>
      <c r="G4093" s="75"/>
      <c r="H4093" s="205"/>
    </row>
    <row r="4094" spans="1:8" ht="13.2">
      <c r="A4094" s="49"/>
      <c r="C4094" s="143" t="e">
        <f>VLOOKUP(B4094,'Thống kê'!$C$3:$D$669,2,0)</f>
        <v>#N/A</v>
      </c>
      <c r="D4094" s="166" t="e">
        <f>VLOOKUP(B4094,'Thống kê'!$C$3:$M$682,4,0)</f>
        <v>#N/A</v>
      </c>
      <c r="E4094" s="167"/>
      <c r="F4094" s="168" t="e">
        <f t="shared" si="16"/>
        <v>#N/A</v>
      </c>
      <c r="G4094" s="75"/>
      <c r="H4094" s="205"/>
    </row>
    <row r="4095" spans="1:8" ht="13.2">
      <c r="A4095" s="49"/>
      <c r="C4095" s="143" t="e">
        <f>VLOOKUP(B4095,'Thống kê'!$C$3:$D$669,2,0)</f>
        <v>#N/A</v>
      </c>
      <c r="D4095" s="166" t="e">
        <f>VLOOKUP(B4095,'Thống kê'!$C$3:$M$682,4,0)</f>
        <v>#N/A</v>
      </c>
      <c r="E4095" s="167"/>
      <c r="F4095" s="168" t="e">
        <f t="shared" si="16"/>
        <v>#N/A</v>
      </c>
      <c r="G4095" s="75"/>
      <c r="H4095" s="205"/>
    </row>
    <row r="4096" spans="1:8" ht="13.2">
      <c r="A4096" s="64"/>
      <c r="C4096" s="143" t="e">
        <f>VLOOKUP(B4096,'Thống kê'!$C$3:$D$669,2,0)</f>
        <v>#N/A</v>
      </c>
      <c r="D4096" s="166" t="e">
        <f>VLOOKUP(B4096,'Thống kê'!$C$3:$M$682,4,0)</f>
        <v>#N/A</v>
      </c>
      <c r="E4096" s="167"/>
      <c r="F4096" s="168" t="e">
        <f t="shared" si="16"/>
        <v>#N/A</v>
      </c>
      <c r="G4096" s="75"/>
      <c r="H4096" s="407"/>
    </row>
    <row r="4097" spans="1:8" ht="13.2">
      <c r="A4097" s="49"/>
      <c r="C4097" s="143" t="e">
        <f>VLOOKUP(B4097,'Thống kê'!$C$3:$D$669,2,0)</f>
        <v>#N/A</v>
      </c>
      <c r="D4097" s="166" t="e">
        <f>VLOOKUP(B4097,'Thống kê'!$C$3:$M$682,4,0)</f>
        <v>#N/A</v>
      </c>
      <c r="E4097" s="167"/>
      <c r="F4097" s="168" t="e">
        <f t="shared" si="16"/>
        <v>#N/A</v>
      </c>
      <c r="G4097" s="75"/>
      <c r="H4097" s="369"/>
    </row>
    <row r="4098" spans="1:8" ht="13.2">
      <c r="A4098" s="49"/>
      <c r="C4098" s="143" t="e">
        <f>VLOOKUP(B4098,'Thống kê'!$C$3:$D$669,2,0)</f>
        <v>#N/A</v>
      </c>
      <c r="D4098" s="166" t="e">
        <f>VLOOKUP(B4098,'Thống kê'!$C$3:$M$682,4,0)</f>
        <v>#N/A</v>
      </c>
      <c r="E4098" s="167"/>
      <c r="F4098" s="168" t="e">
        <f t="shared" si="16"/>
        <v>#N/A</v>
      </c>
      <c r="G4098" s="75"/>
      <c r="H4098" s="205"/>
    </row>
    <row r="4099" spans="1:8" ht="13.2">
      <c r="A4099" s="49"/>
      <c r="C4099" s="143" t="e">
        <f>VLOOKUP(B4099,'Thống kê'!$C$3:$D$669,2,0)</f>
        <v>#N/A</v>
      </c>
      <c r="D4099" s="166" t="e">
        <f>VLOOKUP(B4099,'Thống kê'!$C$3:$M$682,4,0)</f>
        <v>#N/A</v>
      </c>
      <c r="E4099" s="167"/>
      <c r="F4099" s="168" t="e">
        <f t="shared" si="16"/>
        <v>#N/A</v>
      </c>
      <c r="G4099" s="75"/>
      <c r="H4099" s="407"/>
    </row>
    <row r="4100" spans="1:8" ht="13.2">
      <c r="A4100" s="49"/>
      <c r="C4100" s="143" t="e">
        <f>VLOOKUP(B4100,'Thống kê'!$C$3:$D$669,2,0)</f>
        <v>#N/A</v>
      </c>
      <c r="D4100" s="166" t="e">
        <f>VLOOKUP(B4100,'Thống kê'!$C$3:$M$682,4,0)</f>
        <v>#N/A</v>
      </c>
      <c r="E4100" s="167"/>
      <c r="F4100" s="168" t="e">
        <f t="shared" si="16"/>
        <v>#N/A</v>
      </c>
      <c r="G4100" s="75"/>
      <c r="H4100" s="369"/>
    </row>
    <row r="4101" spans="1:8" ht="13.2">
      <c r="A4101" s="49"/>
      <c r="C4101" s="143" t="e">
        <f>VLOOKUP(B4101,'Thống kê'!$C$3:$D$669,2,0)</f>
        <v>#N/A</v>
      </c>
      <c r="D4101" s="166" t="e">
        <f>VLOOKUP(B4101,'Thống kê'!$C$3:$M$682,4,0)</f>
        <v>#N/A</v>
      </c>
      <c r="E4101" s="167"/>
      <c r="F4101" s="168" t="e">
        <f t="shared" si="16"/>
        <v>#N/A</v>
      </c>
      <c r="G4101" s="75"/>
      <c r="H4101" s="369"/>
    </row>
    <row r="4102" spans="1:8" ht="13.2">
      <c r="A4102" s="49"/>
      <c r="C4102" s="143" t="e">
        <f>VLOOKUP(B4102,'Thống kê'!$C$3:$D$669,2,0)</f>
        <v>#N/A</v>
      </c>
      <c r="D4102" s="166" t="e">
        <f>VLOOKUP(B4102,'Thống kê'!$C$3:$M$682,4,0)</f>
        <v>#N/A</v>
      </c>
      <c r="E4102" s="167"/>
      <c r="F4102" s="168" t="e">
        <f t="shared" si="16"/>
        <v>#N/A</v>
      </c>
      <c r="G4102" s="75"/>
      <c r="H4102" s="369"/>
    </row>
    <row r="4103" spans="1:8" ht="13.2">
      <c r="A4103" s="49"/>
      <c r="C4103" s="143" t="e">
        <f>VLOOKUP(B4103,'Thống kê'!$C$3:$D$669,2,0)</f>
        <v>#N/A</v>
      </c>
      <c r="D4103" s="166" t="e">
        <f>VLOOKUP(B4103,'Thống kê'!$C$3:$M$682,4,0)</f>
        <v>#N/A</v>
      </c>
      <c r="E4103" s="167"/>
      <c r="F4103" s="168" t="e">
        <f t="shared" si="16"/>
        <v>#N/A</v>
      </c>
      <c r="G4103" s="75"/>
      <c r="H4103" s="369"/>
    </row>
    <row r="4104" spans="1:8" ht="13.2">
      <c r="A4104" s="49"/>
      <c r="C4104" s="143" t="e">
        <f>VLOOKUP(B4104,'Thống kê'!$C$3:$D$669,2,0)</f>
        <v>#N/A</v>
      </c>
      <c r="D4104" s="166" t="e">
        <f>VLOOKUP(B4104,'Thống kê'!$C$3:$M$682,4,0)</f>
        <v>#N/A</v>
      </c>
      <c r="E4104" s="167"/>
      <c r="F4104" s="168" t="e">
        <f t="shared" si="16"/>
        <v>#N/A</v>
      </c>
      <c r="G4104" s="75"/>
      <c r="H4104" s="407"/>
    </row>
    <row r="4105" spans="1:8" ht="13.2">
      <c r="A4105" s="49"/>
      <c r="C4105" s="143" t="e">
        <f>VLOOKUP(B4105,'Thống kê'!$C$3:$D$669,2,0)</f>
        <v>#N/A</v>
      </c>
      <c r="D4105" s="166" t="e">
        <f>VLOOKUP(B4105,'Thống kê'!$C$3:$M$682,4,0)</f>
        <v>#N/A</v>
      </c>
      <c r="E4105" s="167"/>
      <c r="F4105" s="168" t="e">
        <f t="shared" si="16"/>
        <v>#N/A</v>
      </c>
      <c r="G4105" s="75"/>
      <c r="H4105" s="369"/>
    </row>
    <row r="4106" spans="1:8" ht="13.2">
      <c r="A4106" s="49"/>
      <c r="C4106" s="143" t="e">
        <f>VLOOKUP(B4106,'Thống kê'!$C$3:$D$669,2,0)</f>
        <v>#N/A</v>
      </c>
      <c r="D4106" s="166" t="e">
        <f>VLOOKUP(B4106,'Thống kê'!$C$3:$M$682,4,0)</f>
        <v>#N/A</v>
      </c>
      <c r="E4106" s="167"/>
      <c r="F4106" s="168" t="e">
        <f t="shared" si="16"/>
        <v>#N/A</v>
      </c>
      <c r="G4106" s="75"/>
      <c r="H4106" s="369"/>
    </row>
    <row r="4107" spans="1:8" ht="13.2">
      <c r="A4107" s="49"/>
      <c r="C4107" s="143" t="e">
        <f>VLOOKUP(B4107,'Thống kê'!$C$3:$D$669,2,0)</f>
        <v>#N/A</v>
      </c>
      <c r="D4107" s="166" t="e">
        <f>VLOOKUP(B4107,'Thống kê'!$C$3:$M$682,4,0)</f>
        <v>#N/A</v>
      </c>
      <c r="E4107" s="167"/>
      <c r="F4107" s="168" t="e">
        <f t="shared" si="16"/>
        <v>#N/A</v>
      </c>
      <c r="G4107" s="75"/>
      <c r="H4107" s="205"/>
    </row>
    <row r="4108" spans="1:8" ht="13.2">
      <c r="A4108" s="49"/>
      <c r="C4108" s="143" t="e">
        <f>VLOOKUP(B4108,'Thống kê'!$C$3:$D$669,2,0)</f>
        <v>#N/A</v>
      </c>
      <c r="D4108" s="166" t="e">
        <f>VLOOKUP(B4108,'Thống kê'!$C$3:$M$682,4,0)</f>
        <v>#N/A</v>
      </c>
      <c r="E4108" s="167"/>
      <c r="F4108" s="168" t="e">
        <f t="shared" si="16"/>
        <v>#N/A</v>
      </c>
      <c r="G4108" s="75"/>
      <c r="H4108" s="205"/>
    </row>
    <row r="4109" spans="1:8" ht="13.2">
      <c r="A4109" s="49"/>
      <c r="C4109" s="143" t="e">
        <f>VLOOKUP(B4109,'Thống kê'!$C$3:$D$669,2,0)</f>
        <v>#N/A</v>
      </c>
      <c r="D4109" s="166" t="e">
        <f>VLOOKUP(B4109,'Thống kê'!$C$3:$M$682,4,0)</f>
        <v>#N/A</v>
      </c>
      <c r="E4109" s="167"/>
      <c r="F4109" s="168" t="e">
        <f t="shared" si="16"/>
        <v>#N/A</v>
      </c>
      <c r="G4109" s="75"/>
      <c r="H4109" s="205"/>
    </row>
    <row r="4110" spans="1:8" ht="13.2">
      <c r="A4110" s="49"/>
      <c r="C4110" s="143" t="e">
        <f>VLOOKUP(B4110,'Thống kê'!$C$3:$D$669,2,0)</f>
        <v>#N/A</v>
      </c>
      <c r="D4110" s="166" t="e">
        <f>VLOOKUP(B4110,'Thống kê'!$C$3:$M$682,4,0)</f>
        <v>#N/A</v>
      </c>
      <c r="E4110" s="167"/>
      <c r="F4110" s="168" t="e">
        <f t="shared" si="16"/>
        <v>#N/A</v>
      </c>
      <c r="G4110" s="75"/>
      <c r="H4110" s="205"/>
    </row>
    <row r="4111" spans="1:8" ht="13.2">
      <c r="A4111" s="49"/>
      <c r="C4111" s="143" t="e">
        <f>VLOOKUP(B4111,'Thống kê'!$C$3:$D$669,2,0)</f>
        <v>#N/A</v>
      </c>
      <c r="D4111" s="166" t="e">
        <f>VLOOKUP(B4111,'Thống kê'!$C$3:$M$682,4,0)</f>
        <v>#N/A</v>
      </c>
      <c r="E4111" s="167"/>
      <c r="F4111" s="168" t="e">
        <f t="shared" si="16"/>
        <v>#N/A</v>
      </c>
      <c r="G4111" s="75"/>
      <c r="H4111" s="407"/>
    </row>
    <row r="4112" spans="1:8" ht="13.2">
      <c r="A4112" s="49"/>
      <c r="C4112" s="143" t="e">
        <f>VLOOKUP(B4112,'Thống kê'!$C$3:$D$669,2,0)</f>
        <v>#N/A</v>
      </c>
      <c r="D4112" s="166" t="e">
        <f>VLOOKUP(B4112,'Thống kê'!$C$3:$M$682,4,0)</f>
        <v>#N/A</v>
      </c>
      <c r="E4112" s="167"/>
      <c r="F4112" s="168" t="e">
        <f t="shared" si="16"/>
        <v>#N/A</v>
      </c>
      <c r="G4112" s="75"/>
      <c r="H4112" s="369"/>
    </row>
    <row r="4113" spans="1:8" ht="13.2">
      <c r="A4113" s="49"/>
      <c r="C4113" s="143" t="e">
        <f>VLOOKUP(B4113,'Thống kê'!$C$3:$D$669,2,0)</f>
        <v>#N/A</v>
      </c>
      <c r="D4113" s="166" t="e">
        <f>VLOOKUP(B4113,'Thống kê'!$C$3:$M$682,4,0)</f>
        <v>#N/A</v>
      </c>
      <c r="E4113" s="167"/>
      <c r="F4113" s="168" t="e">
        <f t="shared" si="16"/>
        <v>#N/A</v>
      </c>
      <c r="G4113" s="75"/>
      <c r="H4113" s="205"/>
    </row>
    <row r="4114" spans="1:8" ht="13.2">
      <c r="A4114" s="49"/>
      <c r="C4114" s="143" t="e">
        <f>VLOOKUP(B4114,'Thống kê'!$C$3:$D$669,2,0)</f>
        <v>#N/A</v>
      </c>
      <c r="D4114" s="166" t="e">
        <f>VLOOKUP(B4114,'Thống kê'!$C$3:$M$682,4,0)</f>
        <v>#N/A</v>
      </c>
      <c r="E4114" s="167"/>
      <c r="F4114" s="168" t="e">
        <f t="shared" si="16"/>
        <v>#N/A</v>
      </c>
      <c r="G4114" s="75"/>
      <c r="H4114" s="407"/>
    </row>
    <row r="4115" spans="1:8" ht="13.2">
      <c r="A4115" s="49"/>
      <c r="C4115" s="143" t="e">
        <f>VLOOKUP(B4115,'Thống kê'!$C$3:$D$669,2,0)</f>
        <v>#N/A</v>
      </c>
      <c r="D4115" s="166" t="e">
        <f>VLOOKUP(B4115,'Thống kê'!$C$3:$M$682,4,0)</f>
        <v>#N/A</v>
      </c>
      <c r="E4115" s="167"/>
      <c r="F4115" s="168" t="e">
        <f t="shared" si="16"/>
        <v>#N/A</v>
      </c>
      <c r="G4115" s="75"/>
      <c r="H4115" s="369"/>
    </row>
    <row r="4116" spans="1:8" ht="13.2">
      <c r="A4116" s="49"/>
      <c r="C4116" s="143" t="e">
        <f>VLOOKUP(B4116,'Thống kê'!$C$3:$D$669,2,0)</f>
        <v>#N/A</v>
      </c>
      <c r="D4116" s="166" t="e">
        <f>VLOOKUP(B4116,'Thống kê'!$C$3:$M$682,4,0)</f>
        <v>#N/A</v>
      </c>
      <c r="E4116" s="167"/>
      <c r="F4116" s="168" t="e">
        <f t="shared" si="16"/>
        <v>#N/A</v>
      </c>
      <c r="G4116" s="75"/>
      <c r="H4116" s="369"/>
    </row>
    <row r="4117" spans="1:8" ht="13.2">
      <c r="A4117" s="49"/>
      <c r="C4117" s="143" t="e">
        <f>VLOOKUP(B4117,'Thống kê'!$C$3:$D$669,2,0)</f>
        <v>#N/A</v>
      </c>
      <c r="D4117" s="166" t="e">
        <f>VLOOKUP(B4117,'Thống kê'!$C$3:$M$682,4,0)</f>
        <v>#N/A</v>
      </c>
      <c r="E4117" s="167"/>
      <c r="F4117" s="168" t="e">
        <f t="shared" si="16"/>
        <v>#N/A</v>
      </c>
      <c r="G4117" s="75"/>
      <c r="H4117" s="369"/>
    </row>
    <row r="4118" spans="1:8" ht="13.2">
      <c r="A4118" s="49"/>
      <c r="C4118" s="143" t="e">
        <f>VLOOKUP(B4118,'Thống kê'!$C$3:$D$669,2,0)</f>
        <v>#N/A</v>
      </c>
      <c r="D4118" s="166" t="e">
        <f>VLOOKUP(B4118,'Thống kê'!$C$3:$M$682,4,0)</f>
        <v>#N/A</v>
      </c>
      <c r="E4118" s="167"/>
      <c r="F4118" s="168" t="e">
        <f t="shared" si="16"/>
        <v>#N/A</v>
      </c>
      <c r="G4118" s="75"/>
      <c r="H4118" s="205"/>
    </row>
    <row r="4119" spans="1:8" ht="13.2">
      <c r="A4119" s="64"/>
      <c r="C4119" s="143" t="e">
        <f>VLOOKUP(B4119,'Thống kê'!$C$3:$D$669,2,0)</f>
        <v>#N/A</v>
      </c>
      <c r="D4119" s="166" t="e">
        <f>VLOOKUP(B4119,'Thống kê'!$C$3:$M$682,4,0)</f>
        <v>#N/A</v>
      </c>
      <c r="E4119" s="167"/>
      <c r="F4119" s="168" t="e">
        <f t="shared" si="16"/>
        <v>#N/A</v>
      </c>
      <c r="G4119" s="75"/>
      <c r="H4119" s="205"/>
    </row>
    <row r="4120" spans="1:8" ht="13.2">
      <c r="A4120" s="49"/>
      <c r="C4120" s="143" t="e">
        <f>VLOOKUP(B4120,'Thống kê'!$C$3:$D$669,2,0)</f>
        <v>#N/A</v>
      </c>
      <c r="D4120" s="166" t="e">
        <f>VLOOKUP(B4120,'Thống kê'!$C$3:$M$682,4,0)</f>
        <v>#N/A</v>
      </c>
      <c r="E4120" s="167"/>
      <c r="F4120" s="168" t="e">
        <f t="shared" si="16"/>
        <v>#N/A</v>
      </c>
      <c r="G4120" s="75"/>
      <c r="H4120" s="205"/>
    </row>
    <row r="4121" spans="1:8" ht="13.2">
      <c r="A4121" s="49"/>
      <c r="C4121" s="143" t="e">
        <f>VLOOKUP(B4121,'Thống kê'!$C$3:$D$669,2,0)</f>
        <v>#N/A</v>
      </c>
      <c r="D4121" s="166" t="e">
        <f>VLOOKUP(B4121,'Thống kê'!$C$3:$M$682,4,0)</f>
        <v>#N/A</v>
      </c>
      <c r="E4121" s="167"/>
      <c r="F4121" s="168" t="e">
        <f t="shared" si="16"/>
        <v>#N/A</v>
      </c>
      <c r="G4121" s="75"/>
      <c r="H4121" s="407"/>
    </row>
    <row r="4122" spans="1:8" ht="13.2">
      <c r="A4122" s="49"/>
      <c r="C4122" s="143" t="e">
        <f>VLOOKUP(B4122,'Thống kê'!$C$3:$D$669,2,0)</f>
        <v>#N/A</v>
      </c>
      <c r="D4122" s="166" t="e">
        <f>VLOOKUP(B4122,'Thống kê'!$C$3:$M$682,4,0)</f>
        <v>#N/A</v>
      </c>
      <c r="E4122" s="167"/>
      <c r="F4122" s="168" t="e">
        <f t="shared" si="16"/>
        <v>#N/A</v>
      </c>
      <c r="G4122" s="75"/>
      <c r="H4122" s="369"/>
    </row>
    <row r="4123" spans="1:8" ht="13.2">
      <c r="A4123" s="49"/>
      <c r="C4123" s="143" t="e">
        <f>VLOOKUP(B4123,'Thống kê'!$C$3:$D$669,2,0)</f>
        <v>#N/A</v>
      </c>
      <c r="D4123" s="166" t="e">
        <f>VLOOKUP(B4123,'Thống kê'!$C$3:$M$682,4,0)</f>
        <v>#N/A</v>
      </c>
      <c r="E4123" s="167"/>
      <c r="F4123" s="168" t="e">
        <f t="shared" si="16"/>
        <v>#N/A</v>
      </c>
      <c r="G4123" s="75"/>
      <c r="H4123" s="205"/>
    </row>
    <row r="4124" spans="1:8" ht="13.2">
      <c r="A4124" s="49"/>
      <c r="C4124" s="143" t="e">
        <f>VLOOKUP(B4124,'Thống kê'!$C$3:$D$669,2,0)</f>
        <v>#N/A</v>
      </c>
      <c r="D4124" s="166" t="e">
        <f>VLOOKUP(B4124,'Thống kê'!$C$3:$M$682,4,0)</f>
        <v>#N/A</v>
      </c>
      <c r="E4124" s="167"/>
      <c r="F4124" s="168" t="e">
        <f t="shared" si="16"/>
        <v>#N/A</v>
      </c>
      <c r="G4124" s="75"/>
      <c r="H4124" s="205"/>
    </row>
    <row r="4125" spans="1:8" ht="13.2">
      <c r="A4125" s="49"/>
      <c r="C4125" s="143" t="e">
        <f>VLOOKUP(B4125,'Thống kê'!$C$3:$D$669,2,0)</f>
        <v>#N/A</v>
      </c>
      <c r="D4125" s="166" t="e">
        <f>VLOOKUP(B4125,'Thống kê'!$C$3:$M$682,4,0)</f>
        <v>#N/A</v>
      </c>
      <c r="E4125" s="167"/>
      <c r="F4125" s="168" t="e">
        <f t="shared" si="16"/>
        <v>#N/A</v>
      </c>
      <c r="G4125" s="75"/>
      <c r="H4125" s="205"/>
    </row>
    <row r="4126" spans="1:8" ht="13.2">
      <c r="A4126" s="49"/>
      <c r="C4126" s="143" t="e">
        <f>VLOOKUP(B4126,'Thống kê'!$C$3:$D$669,2,0)</f>
        <v>#N/A</v>
      </c>
      <c r="D4126" s="166" t="e">
        <f>VLOOKUP(B4126,'Thống kê'!$C$3:$M$682,4,0)</f>
        <v>#N/A</v>
      </c>
      <c r="E4126" s="167"/>
      <c r="F4126" s="168" t="e">
        <f t="shared" si="16"/>
        <v>#N/A</v>
      </c>
      <c r="G4126" s="75"/>
      <c r="H4126" s="205"/>
    </row>
    <row r="4127" spans="1:8" ht="13.2">
      <c r="A4127" s="49"/>
      <c r="C4127" s="143" t="e">
        <f>VLOOKUP(B4127,'Thống kê'!$C$3:$D$669,2,0)</f>
        <v>#N/A</v>
      </c>
      <c r="D4127" s="166" t="e">
        <f>VLOOKUP(B4127,'Thống kê'!$C$3:$M$682,4,0)</f>
        <v>#N/A</v>
      </c>
      <c r="E4127" s="167"/>
      <c r="F4127" s="168" t="e">
        <f t="shared" si="16"/>
        <v>#N/A</v>
      </c>
      <c r="G4127" s="75"/>
      <c r="H4127" s="205"/>
    </row>
    <row r="4128" spans="1:8" ht="13.2">
      <c r="A4128" s="49"/>
      <c r="C4128" s="143" t="e">
        <f>VLOOKUP(B4128,'Thống kê'!$C$3:$D$669,2,0)</f>
        <v>#N/A</v>
      </c>
      <c r="D4128" s="166" t="e">
        <f>VLOOKUP(B4128,'Thống kê'!$C$3:$M$682,4,0)</f>
        <v>#N/A</v>
      </c>
      <c r="E4128" s="167"/>
      <c r="F4128" s="168" t="e">
        <f t="shared" si="16"/>
        <v>#N/A</v>
      </c>
      <c r="G4128" s="75"/>
      <c r="H4128" s="205"/>
    </row>
    <row r="4129" spans="1:8" ht="13.2">
      <c r="A4129" s="49"/>
      <c r="C4129" s="143" t="e">
        <f>VLOOKUP(B4129,'Thống kê'!$C$3:$D$669,2,0)</f>
        <v>#N/A</v>
      </c>
      <c r="D4129" s="166" t="e">
        <f>VLOOKUP(B4129,'Thống kê'!$C$3:$M$682,4,0)</f>
        <v>#N/A</v>
      </c>
      <c r="E4129" s="167"/>
      <c r="F4129" s="168" t="e">
        <f t="shared" si="16"/>
        <v>#N/A</v>
      </c>
      <c r="G4129" s="75"/>
      <c r="H4129" s="407"/>
    </row>
    <row r="4130" spans="1:8" ht="13.2">
      <c r="A4130" s="49"/>
      <c r="C4130" s="143" t="e">
        <f>VLOOKUP(B4130,'Thống kê'!$C$3:$D$669,2,0)</f>
        <v>#N/A</v>
      </c>
      <c r="D4130" s="166" t="e">
        <f>VLOOKUP(B4130,'Thống kê'!$C$3:$M$682,4,0)</f>
        <v>#N/A</v>
      </c>
      <c r="E4130" s="167"/>
      <c r="F4130" s="168" t="e">
        <f t="shared" si="16"/>
        <v>#N/A</v>
      </c>
      <c r="G4130" s="75"/>
      <c r="H4130" s="369"/>
    </row>
    <row r="4131" spans="1:8" ht="13.2">
      <c r="A4131" s="64"/>
      <c r="C4131" s="143" t="e">
        <f>VLOOKUP(B4131,'Thống kê'!$C$3:$D$669,2,0)</f>
        <v>#N/A</v>
      </c>
      <c r="D4131" s="166" t="e">
        <f>VLOOKUP(B4131,'Thống kê'!$C$3:$M$682,4,0)</f>
        <v>#N/A</v>
      </c>
      <c r="E4131" s="167"/>
      <c r="F4131" s="168" t="e">
        <f t="shared" si="16"/>
        <v>#N/A</v>
      </c>
      <c r="G4131" s="75"/>
      <c r="H4131" s="205"/>
    </row>
    <row r="4132" spans="1:8" ht="13.2">
      <c r="A4132" s="49"/>
      <c r="C4132" s="143" t="e">
        <f>VLOOKUP(B4132,'Thống kê'!$C$3:$D$669,2,0)</f>
        <v>#N/A</v>
      </c>
      <c r="D4132" s="166" t="e">
        <f>VLOOKUP(B4132,'Thống kê'!$C$3:$M$682,4,0)</f>
        <v>#N/A</v>
      </c>
      <c r="E4132" s="167"/>
      <c r="F4132" s="168" t="e">
        <f t="shared" si="16"/>
        <v>#N/A</v>
      </c>
      <c r="G4132" s="75"/>
      <c r="H4132" s="205"/>
    </row>
    <row r="4133" spans="1:8" ht="13.2">
      <c r="A4133" s="49"/>
      <c r="C4133" s="143" t="e">
        <f>VLOOKUP(B4133,'Thống kê'!$C$3:$D$669,2,0)</f>
        <v>#N/A</v>
      </c>
      <c r="D4133" s="166" t="e">
        <f>VLOOKUP(B4133,'Thống kê'!$C$3:$M$682,4,0)</f>
        <v>#N/A</v>
      </c>
      <c r="E4133" s="167"/>
      <c r="F4133" s="168" t="e">
        <f t="shared" si="16"/>
        <v>#N/A</v>
      </c>
      <c r="G4133" s="75"/>
      <c r="H4133" s="407"/>
    </row>
    <row r="4134" spans="1:8" ht="13.2">
      <c r="A4134" s="49"/>
      <c r="C4134" s="143" t="e">
        <f>VLOOKUP(B4134,'Thống kê'!$C$3:$D$669,2,0)</f>
        <v>#N/A</v>
      </c>
      <c r="D4134" s="166" t="e">
        <f>VLOOKUP(B4134,'Thống kê'!$C$3:$M$682,4,0)</f>
        <v>#N/A</v>
      </c>
      <c r="E4134" s="167"/>
      <c r="F4134" s="168" t="e">
        <f t="shared" si="16"/>
        <v>#N/A</v>
      </c>
      <c r="G4134" s="75"/>
      <c r="H4134" s="369"/>
    </row>
    <row r="4135" spans="1:8" ht="13.2">
      <c r="A4135" s="49"/>
      <c r="C4135" s="143" t="e">
        <f>VLOOKUP(B4135,'Thống kê'!$C$3:$D$669,2,0)</f>
        <v>#N/A</v>
      </c>
      <c r="D4135" s="166" t="e">
        <f>VLOOKUP(B4135,'Thống kê'!$C$3:$M$682,4,0)</f>
        <v>#N/A</v>
      </c>
      <c r="E4135" s="167"/>
      <c r="F4135" s="168" t="e">
        <f t="shared" ref="F4135:F4389" si="17">D4135*E4135</f>
        <v>#N/A</v>
      </c>
      <c r="G4135" s="75"/>
      <c r="H4135" s="369"/>
    </row>
    <row r="4136" spans="1:8" ht="13.2">
      <c r="A4136" s="49"/>
      <c r="C4136" s="143" t="e">
        <f>VLOOKUP(B4136,'Thống kê'!$C$3:$D$669,2,0)</f>
        <v>#N/A</v>
      </c>
      <c r="D4136" s="166" t="e">
        <f>VLOOKUP(B4136,'Thống kê'!$C$3:$M$682,4,0)</f>
        <v>#N/A</v>
      </c>
      <c r="E4136" s="167"/>
      <c r="F4136" s="168" t="e">
        <f t="shared" si="17"/>
        <v>#N/A</v>
      </c>
      <c r="G4136" s="75"/>
      <c r="H4136" s="369"/>
    </row>
    <row r="4137" spans="1:8" ht="13.2">
      <c r="A4137" s="49"/>
      <c r="C4137" s="143" t="e">
        <f>VLOOKUP(B4137,'Thống kê'!$C$3:$D$669,2,0)</f>
        <v>#N/A</v>
      </c>
      <c r="D4137" s="166" t="e">
        <f>VLOOKUP(B4137,'Thống kê'!$C$3:$M$682,4,0)</f>
        <v>#N/A</v>
      </c>
      <c r="E4137" s="167"/>
      <c r="F4137" s="168" t="e">
        <f t="shared" si="17"/>
        <v>#N/A</v>
      </c>
      <c r="G4137" s="75"/>
      <c r="H4137" s="369"/>
    </row>
    <row r="4138" spans="1:8" ht="13.2">
      <c r="A4138" s="49"/>
      <c r="C4138" s="143" t="e">
        <f>VLOOKUP(B4138,'Thống kê'!$C$3:$D$669,2,0)</f>
        <v>#N/A</v>
      </c>
      <c r="D4138" s="166" t="e">
        <f>VLOOKUP(B4138,'Thống kê'!$C$3:$M$682,4,0)</f>
        <v>#N/A</v>
      </c>
      <c r="E4138" s="167"/>
      <c r="F4138" s="168" t="e">
        <f t="shared" si="17"/>
        <v>#N/A</v>
      </c>
      <c r="G4138" s="75"/>
      <c r="H4138" s="369"/>
    </row>
    <row r="4139" spans="1:8" ht="13.2">
      <c r="A4139" s="49"/>
      <c r="C4139" s="143" t="e">
        <f>VLOOKUP(B4139,'Thống kê'!$C$3:$D$669,2,0)</f>
        <v>#N/A</v>
      </c>
      <c r="D4139" s="166" t="e">
        <f>VLOOKUP(B4139,'Thống kê'!$C$3:$M$682,4,0)</f>
        <v>#N/A</v>
      </c>
      <c r="E4139" s="167"/>
      <c r="F4139" s="168" t="e">
        <f t="shared" si="17"/>
        <v>#N/A</v>
      </c>
      <c r="G4139" s="75"/>
      <c r="H4139" s="205"/>
    </row>
    <row r="4140" spans="1:8" ht="13.2">
      <c r="A4140" s="64"/>
      <c r="C4140" s="143" t="e">
        <f>VLOOKUP(B4140,'Thống kê'!$C$3:$D$669,2,0)</f>
        <v>#N/A</v>
      </c>
      <c r="D4140" s="166" t="e">
        <f>VLOOKUP(B4140,'Thống kê'!$C$3:$M$682,4,0)</f>
        <v>#N/A</v>
      </c>
      <c r="E4140" s="167"/>
      <c r="F4140" s="168" t="e">
        <f t="shared" si="17"/>
        <v>#N/A</v>
      </c>
      <c r="G4140" s="75"/>
      <c r="H4140" s="205"/>
    </row>
    <row r="4141" spans="1:8" ht="13.2">
      <c r="A4141" s="49"/>
      <c r="C4141" s="143" t="e">
        <f>VLOOKUP(B4141,'Thống kê'!$C$3:$D$669,2,0)</f>
        <v>#N/A</v>
      </c>
      <c r="D4141" s="166" t="e">
        <f>VLOOKUP(B4141,'Thống kê'!$C$3:$M$682,4,0)</f>
        <v>#N/A</v>
      </c>
      <c r="E4141" s="167"/>
      <c r="F4141" s="168" t="e">
        <f t="shared" si="17"/>
        <v>#N/A</v>
      </c>
      <c r="G4141" s="75"/>
      <c r="H4141" s="205"/>
    </row>
    <row r="4142" spans="1:8" ht="13.2">
      <c r="A4142" s="49"/>
      <c r="C4142" s="143" t="e">
        <f>VLOOKUP(B4142,'Thống kê'!$C$3:$D$669,2,0)</f>
        <v>#N/A</v>
      </c>
      <c r="D4142" s="166" t="e">
        <f>VLOOKUP(B4142,'Thống kê'!$C$3:$M$682,4,0)</f>
        <v>#N/A</v>
      </c>
      <c r="E4142" s="167"/>
      <c r="F4142" s="168" t="e">
        <f t="shared" si="17"/>
        <v>#N/A</v>
      </c>
      <c r="G4142" s="75"/>
      <c r="H4142" s="205"/>
    </row>
    <row r="4143" spans="1:8" ht="13.2">
      <c r="A4143" s="49"/>
      <c r="C4143" s="143" t="e">
        <f>VLOOKUP(B4143,'Thống kê'!$C$3:$D$669,2,0)</f>
        <v>#N/A</v>
      </c>
      <c r="D4143" s="166" t="e">
        <f>VLOOKUP(B4143,'Thống kê'!$C$3:$M$682,4,0)</f>
        <v>#N/A</v>
      </c>
      <c r="E4143" s="167"/>
      <c r="F4143" s="168" t="e">
        <f t="shared" si="17"/>
        <v>#N/A</v>
      </c>
      <c r="G4143" s="75"/>
      <c r="H4143" s="205"/>
    </row>
    <row r="4144" spans="1:8" ht="13.2">
      <c r="A4144" s="49"/>
      <c r="C4144" s="143" t="e">
        <f>VLOOKUP(B4144,'Thống kê'!$C$3:$D$669,2,0)</f>
        <v>#N/A</v>
      </c>
      <c r="D4144" s="166" t="e">
        <f>VLOOKUP(B4144,'Thống kê'!$C$3:$M$682,4,0)</f>
        <v>#N/A</v>
      </c>
      <c r="E4144" s="167"/>
      <c r="F4144" s="168" t="e">
        <f t="shared" si="17"/>
        <v>#N/A</v>
      </c>
      <c r="G4144" s="75"/>
      <c r="H4144" s="407"/>
    </row>
    <row r="4145" spans="1:8" ht="13.2">
      <c r="A4145" s="49"/>
      <c r="C4145" s="143" t="e">
        <f>VLOOKUP(B4145,'Thống kê'!$C$3:$D$669,2,0)</f>
        <v>#N/A</v>
      </c>
      <c r="D4145" s="166" t="e">
        <f>VLOOKUP(B4145,'Thống kê'!$C$3:$M$682,4,0)</f>
        <v>#N/A</v>
      </c>
      <c r="E4145" s="167"/>
      <c r="F4145" s="168" t="e">
        <f t="shared" si="17"/>
        <v>#N/A</v>
      </c>
      <c r="G4145" s="75"/>
      <c r="H4145" s="369"/>
    </row>
    <row r="4146" spans="1:8" ht="13.2">
      <c r="A4146" s="49"/>
      <c r="C4146" s="143" t="e">
        <f>VLOOKUP(B4146,'Thống kê'!$C$3:$D$669,2,0)</f>
        <v>#N/A</v>
      </c>
      <c r="D4146" s="166" t="e">
        <f>VLOOKUP(B4146,'Thống kê'!$C$3:$M$682,4,0)</f>
        <v>#N/A</v>
      </c>
      <c r="E4146" s="167"/>
      <c r="F4146" s="168" t="e">
        <f t="shared" si="17"/>
        <v>#N/A</v>
      </c>
      <c r="G4146" s="75"/>
      <c r="H4146" s="369"/>
    </row>
    <row r="4147" spans="1:8" ht="13.2">
      <c r="A4147" s="49"/>
      <c r="C4147" s="143" t="e">
        <f>VLOOKUP(B4147,'Thống kê'!$C$3:$D$669,2,0)</f>
        <v>#N/A</v>
      </c>
      <c r="D4147" s="166" t="e">
        <f>VLOOKUP(B4147,'Thống kê'!$C$3:$M$682,4,0)</f>
        <v>#N/A</v>
      </c>
      <c r="E4147" s="167"/>
      <c r="F4147" s="168" t="e">
        <f t="shared" si="17"/>
        <v>#N/A</v>
      </c>
      <c r="G4147" s="75"/>
      <c r="H4147" s="205"/>
    </row>
    <row r="4148" spans="1:8" ht="13.2">
      <c r="A4148" s="49"/>
      <c r="C4148" s="143" t="e">
        <f>VLOOKUP(B4148,'Thống kê'!$C$3:$D$669,2,0)</f>
        <v>#N/A</v>
      </c>
      <c r="D4148" s="166" t="e">
        <f>VLOOKUP(B4148,'Thống kê'!$C$3:$M$682,4,0)</f>
        <v>#N/A</v>
      </c>
      <c r="E4148" s="167"/>
      <c r="F4148" s="168" t="e">
        <f t="shared" si="17"/>
        <v>#N/A</v>
      </c>
      <c r="G4148" s="75"/>
      <c r="H4148" s="205"/>
    </row>
    <row r="4149" spans="1:8" ht="13.2">
      <c r="A4149" s="49"/>
      <c r="C4149" s="143" t="e">
        <f>VLOOKUP(B4149,'Thống kê'!$C$3:$D$669,2,0)</f>
        <v>#N/A</v>
      </c>
      <c r="D4149" s="166" t="e">
        <f>VLOOKUP(B4149,'Thống kê'!$C$3:$M$682,4,0)</f>
        <v>#N/A</v>
      </c>
      <c r="E4149" s="167"/>
      <c r="F4149" s="168" t="e">
        <f t="shared" si="17"/>
        <v>#N/A</v>
      </c>
      <c r="G4149" s="75"/>
      <c r="H4149" s="205"/>
    </row>
    <row r="4150" spans="1:8" ht="13.2">
      <c r="A4150" s="49"/>
      <c r="C4150" s="143" t="e">
        <f>VLOOKUP(B4150,'Thống kê'!$C$3:$D$669,2,0)</f>
        <v>#N/A</v>
      </c>
      <c r="D4150" s="166" t="e">
        <f>VLOOKUP(B4150,'Thống kê'!$C$3:$M$682,4,0)</f>
        <v>#N/A</v>
      </c>
      <c r="E4150" s="167"/>
      <c r="F4150" s="168" t="e">
        <f t="shared" si="17"/>
        <v>#N/A</v>
      </c>
      <c r="G4150" s="75"/>
      <c r="H4150" s="407"/>
    </row>
    <row r="4151" spans="1:8" ht="13.2">
      <c r="A4151" s="49"/>
      <c r="C4151" s="143" t="e">
        <f>VLOOKUP(B4151,'Thống kê'!$C$3:$D$669,2,0)</f>
        <v>#N/A</v>
      </c>
      <c r="D4151" s="166" t="e">
        <f>VLOOKUP(B4151,'Thống kê'!$C$3:$M$682,4,0)</f>
        <v>#N/A</v>
      </c>
      <c r="E4151" s="167"/>
      <c r="F4151" s="168" t="e">
        <f t="shared" si="17"/>
        <v>#N/A</v>
      </c>
      <c r="G4151" s="75"/>
      <c r="H4151" s="369"/>
    </row>
    <row r="4152" spans="1:8" ht="13.2">
      <c r="A4152" s="49"/>
      <c r="C4152" s="143" t="e">
        <f>VLOOKUP(B4152,'Thống kê'!$C$3:$D$669,2,0)</f>
        <v>#N/A</v>
      </c>
      <c r="D4152" s="166" t="e">
        <f>VLOOKUP(B4152,'Thống kê'!$C$3:$M$682,4,0)</f>
        <v>#N/A</v>
      </c>
      <c r="E4152" s="167"/>
      <c r="F4152" s="168" t="e">
        <f t="shared" si="17"/>
        <v>#N/A</v>
      </c>
      <c r="G4152" s="75"/>
      <c r="H4152" s="205"/>
    </row>
    <row r="4153" spans="1:8" ht="13.2">
      <c r="A4153" s="49"/>
      <c r="C4153" s="143" t="e">
        <f>VLOOKUP(B4153,'Thống kê'!$C$3:$D$669,2,0)</f>
        <v>#N/A</v>
      </c>
      <c r="D4153" s="166" t="e">
        <f>VLOOKUP(B4153,'Thống kê'!$C$3:$M$682,4,0)</f>
        <v>#N/A</v>
      </c>
      <c r="E4153" s="167"/>
      <c r="F4153" s="168" t="e">
        <f t="shared" si="17"/>
        <v>#N/A</v>
      </c>
      <c r="G4153" s="75"/>
      <c r="H4153" s="205"/>
    </row>
    <row r="4154" spans="1:8" ht="13.2">
      <c r="A4154" s="49"/>
      <c r="C4154" s="143" t="e">
        <f>VLOOKUP(B4154,'Thống kê'!$C$3:$D$669,2,0)</f>
        <v>#N/A</v>
      </c>
      <c r="D4154" s="166" t="e">
        <f>VLOOKUP(B4154,'Thống kê'!$C$3:$M$682,4,0)</f>
        <v>#N/A</v>
      </c>
      <c r="E4154" s="167"/>
      <c r="F4154" s="168" t="e">
        <f t="shared" si="17"/>
        <v>#N/A</v>
      </c>
      <c r="G4154" s="75"/>
      <c r="H4154" s="407"/>
    </row>
    <row r="4155" spans="1:8" ht="13.2">
      <c r="A4155" s="49"/>
      <c r="C4155" s="143" t="e">
        <f>VLOOKUP(B4155,'Thống kê'!$C$3:$D$669,2,0)</f>
        <v>#N/A</v>
      </c>
      <c r="D4155" s="166" t="e">
        <f>VLOOKUP(B4155,'Thống kê'!$C$3:$M$682,4,0)</f>
        <v>#N/A</v>
      </c>
      <c r="E4155" s="167"/>
      <c r="F4155" s="168" t="e">
        <f t="shared" si="17"/>
        <v>#N/A</v>
      </c>
      <c r="G4155" s="75"/>
      <c r="H4155" s="369"/>
    </row>
    <row r="4156" spans="1:8" ht="13.2">
      <c r="A4156" s="49"/>
      <c r="C4156" s="143" t="e">
        <f>VLOOKUP(B4156,'Thống kê'!$C$3:$D$669,2,0)</f>
        <v>#N/A</v>
      </c>
      <c r="D4156" s="166" t="e">
        <f>VLOOKUP(B4156,'Thống kê'!$C$3:$M$682,4,0)</f>
        <v>#N/A</v>
      </c>
      <c r="E4156" s="167"/>
      <c r="F4156" s="168" t="e">
        <f t="shared" si="17"/>
        <v>#N/A</v>
      </c>
      <c r="G4156" s="75"/>
      <c r="H4156" s="369"/>
    </row>
    <row r="4157" spans="1:8" ht="13.2">
      <c r="A4157" s="49"/>
      <c r="C4157" s="143" t="e">
        <f>VLOOKUP(B4157,'Thống kê'!$C$3:$D$669,2,0)</f>
        <v>#N/A</v>
      </c>
      <c r="D4157" s="166" t="e">
        <f>VLOOKUP(B4157,'Thống kê'!$C$3:$M$682,4,0)</f>
        <v>#N/A</v>
      </c>
      <c r="E4157" s="167"/>
      <c r="F4157" s="168" t="e">
        <f t="shared" si="17"/>
        <v>#N/A</v>
      </c>
      <c r="G4157" s="75"/>
      <c r="H4157" s="205"/>
    </row>
    <row r="4158" spans="1:8" ht="13.2">
      <c r="A4158" s="49"/>
      <c r="C4158" s="143" t="e">
        <f>VLOOKUP(B4158,'Thống kê'!$C$3:$D$669,2,0)</f>
        <v>#N/A</v>
      </c>
      <c r="D4158" s="166" t="e">
        <f>VLOOKUP(B4158,'Thống kê'!$C$3:$M$682,4,0)</f>
        <v>#N/A</v>
      </c>
      <c r="E4158" s="167"/>
      <c r="F4158" s="168" t="e">
        <f t="shared" si="17"/>
        <v>#N/A</v>
      </c>
      <c r="G4158" s="75"/>
      <c r="H4158" s="407"/>
    </row>
    <row r="4159" spans="1:8" ht="13.2">
      <c r="A4159" s="49"/>
      <c r="C4159" s="143" t="e">
        <f>VLOOKUP(B4159,'Thống kê'!$C$3:$D$669,2,0)</f>
        <v>#N/A</v>
      </c>
      <c r="D4159" s="166" t="e">
        <f>VLOOKUP(B4159,'Thống kê'!$C$3:$M$682,4,0)</f>
        <v>#N/A</v>
      </c>
      <c r="E4159" s="167"/>
      <c r="F4159" s="168" t="e">
        <f t="shared" si="17"/>
        <v>#N/A</v>
      </c>
      <c r="G4159" s="75"/>
      <c r="H4159" s="369"/>
    </row>
    <row r="4160" spans="1:8" ht="13.2">
      <c r="A4160" s="49"/>
      <c r="C4160" s="143" t="e">
        <f>VLOOKUP(B4160,'Thống kê'!$C$3:$D$669,2,0)</f>
        <v>#N/A</v>
      </c>
      <c r="D4160" s="166" t="e">
        <f>VLOOKUP(B4160,'Thống kê'!$C$3:$M$682,4,0)</f>
        <v>#N/A</v>
      </c>
      <c r="E4160" s="167"/>
      <c r="F4160" s="168" t="e">
        <f t="shared" si="17"/>
        <v>#N/A</v>
      </c>
      <c r="G4160" s="75"/>
      <c r="H4160" s="205"/>
    </row>
    <row r="4161" spans="1:8" ht="13.2">
      <c r="A4161" s="49"/>
      <c r="C4161" s="143" t="e">
        <f>VLOOKUP(B4161,'Thống kê'!$C$3:$D$669,2,0)</f>
        <v>#N/A</v>
      </c>
      <c r="D4161" s="166" t="e">
        <f>VLOOKUP(B4161,'Thống kê'!$C$3:$M$682,4,0)</f>
        <v>#N/A</v>
      </c>
      <c r="E4161" s="167"/>
      <c r="F4161" s="168" t="e">
        <f t="shared" si="17"/>
        <v>#N/A</v>
      </c>
      <c r="G4161" s="75"/>
      <c r="H4161" s="205"/>
    </row>
    <row r="4162" spans="1:8" ht="13.2">
      <c r="A4162" s="49"/>
      <c r="C4162" s="143" t="e">
        <f>VLOOKUP(B4162,'Thống kê'!$C$3:$D$669,2,0)</f>
        <v>#N/A</v>
      </c>
      <c r="D4162" s="166" t="e">
        <f>VLOOKUP(B4162,'Thống kê'!$C$3:$M$682,4,0)</f>
        <v>#N/A</v>
      </c>
      <c r="E4162" s="167"/>
      <c r="F4162" s="168" t="e">
        <f t="shared" si="17"/>
        <v>#N/A</v>
      </c>
      <c r="G4162" s="75"/>
      <c r="H4162" s="407"/>
    </row>
    <row r="4163" spans="1:8" ht="13.2">
      <c r="A4163" s="49"/>
      <c r="C4163" s="143" t="e">
        <f>VLOOKUP(B4163,'Thống kê'!$C$3:$D$669,2,0)</f>
        <v>#N/A</v>
      </c>
      <c r="D4163" s="166" t="e">
        <f>VLOOKUP(B4163,'Thống kê'!$C$3:$M$682,4,0)</f>
        <v>#N/A</v>
      </c>
      <c r="E4163" s="167"/>
      <c r="F4163" s="168" t="e">
        <f t="shared" si="17"/>
        <v>#N/A</v>
      </c>
      <c r="G4163" s="75"/>
      <c r="H4163" s="369"/>
    </row>
    <row r="4164" spans="1:8" ht="13.2">
      <c r="A4164" s="49"/>
      <c r="C4164" s="143" t="e">
        <f>VLOOKUP(B4164,'Thống kê'!$C$3:$D$669,2,0)</f>
        <v>#N/A</v>
      </c>
      <c r="D4164" s="166" t="e">
        <f>VLOOKUP(B4164,'Thống kê'!$C$3:$M$682,4,0)</f>
        <v>#N/A</v>
      </c>
      <c r="E4164" s="167"/>
      <c r="F4164" s="168" t="e">
        <f t="shared" si="17"/>
        <v>#N/A</v>
      </c>
      <c r="G4164" s="75"/>
      <c r="H4164" s="205"/>
    </row>
    <row r="4165" spans="1:8" ht="13.2">
      <c r="A4165" s="49"/>
      <c r="C4165" s="143" t="e">
        <f>VLOOKUP(B4165,'Thống kê'!$C$3:$D$669,2,0)</f>
        <v>#N/A</v>
      </c>
      <c r="D4165" s="166" t="e">
        <f>VLOOKUP(B4165,'Thống kê'!$C$3:$M$682,4,0)</f>
        <v>#N/A</v>
      </c>
      <c r="E4165" s="167"/>
      <c r="F4165" s="168" t="e">
        <f t="shared" si="17"/>
        <v>#N/A</v>
      </c>
      <c r="G4165" s="75"/>
      <c r="H4165" s="205"/>
    </row>
    <row r="4166" spans="1:8" ht="13.2">
      <c r="A4166" s="49"/>
      <c r="C4166" s="143" t="e">
        <f>VLOOKUP(B4166,'Thống kê'!$C$3:$D$669,2,0)</f>
        <v>#N/A</v>
      </c>
      <c r="D4166" s="166" t="e">
        <f>VLOOKUP(B4166,'Thống kê'!$C$3:$M$682,4,0)</f>
        <v>#N/A</v>
      </c>
      <c r="E4166" s="167"/>
      <c r="F4166" s="168" t="e">
        <f t="shared" si="17"/>
        <v>#N/A</v>
      </c>
      <c r="G4166" s="75"/>
      <c r="H4166" s="407"/>
    </row>
    <row r="4167" spans="1:8" ht="13.2">
      <c r="A4167" s="49"/>
      <c r="C4167" s="143" t="e">
        <f>VLOOKUP(B4167,'Thống kê'!$C$3:$D$669,2,0)</f>
        <v>#N/A</v>
      </c>
      <c r="D4167" s="166" t="e">
        <f>VLOOKUP(B4167,'Thống kê'!$C$3:$M$682,4,0)</f>
        <v>#N/A</v>
      </c>
      <c r="E4167" s="167"/>
      <c r="F4167" s="168" t="e">
        <f t="shared" si="17"/>
        <v>#N/A</v>
      </c>
      <c r="G4167" s="75"/>
      <c r="H4167" s="369"/>
    </row>
    <row r="4168" spans="1:8" ht="13.2">
      <c r="A4168" s="49"/>
      <c r="C4168" s="143" t="e">
        <f>VLOOKUP(B4168,'Thống kê'!$C$3:$D$669,2,0)</f>
        <v>#N/A</v>
      </c>
      <c r="D4168" s="166" t="e">
        <f>VLOOKUP(B4168,'Thống kê'!$C$3:$M$682,4,0)</f>
        <v>#N/A</v>
      </c>
      <c r="E4168" s="167"/>
      <c r="F4168" s="168" t="e">
        <f t="shared" si="17"/>
        <v>#N/A</v>
      </c>
      <c r="G4168" s="75"/>
      <c r="H4168" s="205"/>
    </row>
    <row r="4169" spans="1:8" ht="13.2">
      <c r="A4169" s="49"/>
      <c r="C4169" s="143" t="e">
        <f>VLOOKUP(B4169,'Thống kê'!$C$3:$D$669,2,0)</f>
        <v>#N/A</v>
      </c>
      <c r="D4169" s="166" t="e">
        <f>VLOOKUP(B4169,'Thống kê'!$C$3:$M$682,4,0)</f>
        <v>#N/A</v>
      </c>
      <c r="E4169" s="167"/>
      <c r="F4169" s="168" t="e">
        <f t="shared" si="17"/>
        <v>#N/A</v>
      </c>
      <c r="G4169" s="75"/>
      <c r="H4169" s="205"/>
    </row>
    <row r="4170" spans="1:8" ht="13.2">
      <c r="A4170" s="49"/>
      <c r="C4170" s="143" t="e">
        <f>VLOOKUP(B4170,'Thống kê'!$C$3:$D$669,2,0)</f>
        <v>#N/A</v>
      </c>
      <c r="D4170" s="166" t="e">
        <f>VLOOKUP(B4170,'Thống kê'!$C$3:$M$682,4,0)</f>
        <v>#N/A</v>
      </c>
      <c r="E4170" s="167"/>
      <c r="F4170" s="168" t="e">
        <f t="shared" si="17"/>
        <v>#N/A</v>
      </c>
      <c r="G4170" s="75"/>
      <c r="H4170" s="407"/>
    </row>
    <row r="4171" spans="1:8" ht="13.2">
      <c r="A4171" s="49"/>
      <c r="C4171" s="143" t="e">
        <f>VLOOKUP(B4171,'Thống kê'!$C$3:$D$669,2,0)</f>
        <v>#N/A</v>
      </c>
      <c r="D4171" s="166" t="e">
        <f>VLOOKUP(B4171,'Thống kê'!$C$3:$M$682,4,0)</f>
        <v>#N/A</v>
      </c>
      <c r="E4171" s="167"/>
      <c r="F4171" s="168" t="e">
        <f t="shared" si="17"/>
        <v>#N/A</v>
      </c>
      <c r="G4171" s="75"/>
      <c r="H4171" s="369"/>
    </row>
    <row r="4172" spans="1:8" ht="13.2">
      <c r="A4172" s="49"/>
      <c r="C4172" s="143" t="e">
        <f>VLOOKUP(B4172,'Thống kê'!$C$3:$D$669,2,0)</f>
        <v>#N/A</v>
      </c>
      <c r="D4172" s="166" t="e">
        <f>VLOOKUP(B4172,'Thống kê'!$C$3:$M$682,4,0)</f>
        <v>#N/A</v>
      </c>
      <c r="E4172" s="167"/>
      <c r="F4172" s="168" t="e">
        <f t="shared" si="17"/>
        <v>#N/A</v>
      </c>
      <c r="G4172" s="75"/>
      <c r="H4172" s="369"/>
    </row>
    <row r="4173" spans="1:8" ht="13.2">
      <c r="A4173" s="49"/>
      <c r="C4173" s="143" t="e">
        <f>VLOOKUP(B4173,'Thống kê'!$C$3:$D$669,2,0)</f>
        <v>#N/A</v>
      </c>
      <c r="D4173" s="166" t="e">
        <f>VLOOKUP(B4173,'Thống kê'!$C$3:$M$682,4,0)</f>
        <v>#N/A</v>
      </c>
      <c r="E4173" s="167"/>
      <c r="F4173" s="168" t="e">
        <f t="shared" si="17"/>
        <v>#N/A</v>
      </c>
      <c r="G4173" s="75"/>
      <c r="H4173" s="205"/>
    </row>
    <row r="4174" spans="1:8" ht="13.2">
      <c r="A4174" s="49"/>
      <c r="C4174" s="143" t="e">
        <f>VLOOKUP(B4174,'Thống kê'!$C$3:$D$669,2,0)</f>
        <v>#N/A</v>
      </c>
      <c r="D4174" s="166" t="e">
        <f>VLOOKUP(B4174,'Thống kê'!$C$3:$M$682,4,0)</f>
        <v>#N/A</v>
      </c>
      <c r="E4174" s="167"/>
      <c r="F4174" s="168" t="e">
        <f t="shared" si="17"/>
        <v>#N/A</v>
      </c>
      <c r="G4174" s="75"/>
      <c r="H4174" s="407"/>
    </row>
    <row r="4175" spans="1:8" ht="13.2">
      <c r="A4175" s="49"/>
      <c r="C4175" s="143" t="e">
        <f>VLOOKUP(B4175,'Thống kê'!$C$3:$D$669,2,0)</f>
        <v>#N/A</v>
      </c>
      <c r="D4175" s="166" t="e">
        <f>VLOOKUP(B4175,'Thống kê'!$C$3:$M$682,4,0)</f>
        <v>#N/A</v>
      </c>
      <c r="E4175" s="167"/>
      <c r="F4175" s="168" t="e">
        <f t="shared" si="17"/>
        <v>#N/A</v>
      </c>
      <c r="G4175" s="75"/>
      <c r="H4175" s="369"/>
    </row>
    <row r="4176" spans="1:8" ht="13.2">
      <c r="A4176" s="64"/>
      <c r="C4176" s="143" t="e">
        <f>VLOOKUP(B4176,'Thống kê'!$C$3:$D$669,2,0)</f>
        <v>#N/A</v>
      </c>
      <c r="D4176" s="166" t="e">
        <f>VLOOKUP(B4176,'Thống kê'!$C$3:$M$682,4,0)</f>
        <v>#N/A</v>
      </c>
      <c r="E4176" s="167"/>
      <c r="F4176" s="168" t="e">
        <f t="shared" si="17"/>
        <v>#N/A</v>
      </c>
      <c r="G4176" s="75"/>
      <c r="H4176" s="407"/>
    </row>
    <row r="4177" spans="1:8" ht="13.2">
      <c r="A4177" s="49"/>
      <c r="C4177" s="143" t="e">
        <f>VLOOKUP(B4177,'Thống kê'!$C$3:$D$669,2,0)</f>
        <v>#N/A</v>
      </c>
      <c r="D4177" s="166" t="e">
        <f>VLOOKUP(B4177,'Thống kê'!$C$3:$M$682,4,0)</f>
        <v>#N/A</v>
      </c>
      <c r="E4177" s="167"/>
      <c r="F4177" s="168" t="e">
        <f t="shared" si="17"/>
        <v>#N/A</v>
      </c>
      <c r="G4177" s="75"/>
      <c r="H4177" s="369"/>
    </row>
    <row r="4178" spans="1:8" ht="13.2">
      <c r="A4178" s="49"/>
      <c r="C4178" s="143" t="e">
        <f>VLOOKUP(B4178,'Thống kê'!$C$3:$D$669,2,0)</f>
        <v>#N/A</v>
      </c>
      <c r="D4178" s="166" t="e">
        <f>VLOOKUP(B4178,'Thống kê'!$C$3:$M$682,4,0)</f>
        <v>#N/A</v>
      </c>
      <c r="E4178" s="167"/>
      <c r="F4178" s="168" t="e">
        <f t="shared" si="17"/>
        <v>#N/A</v>
      </c>
      <c r="G4178" s="75"/>
      <c r="H4178" s="205"/>
    </row>
    <row r="4179" spans="1:8" ht="13.2">
      <c r="A4179" s="49"/>
      <c r="C4179" s="143" t="e">
        <f>VLOOKUP(B4179,'Thống kê'!$C$3:$D$669,2,0)</f>
        <v>#N/A</v>
      </c>
      <c r="D4179" s="166" t="e">
        <f>VLOOKUP(B4179,'Thống kê'!$C$3:$M$682,4,0)</f>
        <v>#N/A</v>
      </c>
      <c r="E4179" s="167"/>
      <c r="F4179" s="168" t="e">
        <f t="shared" si="17"/>
        <v>#N/A</v>
      </c>
      <c r="G4179" s="75"/>
      <c r="H4179" s="205"/>
    </row>
    <row r="4180" spans="1:8" ht="13.2">
      <c r="A4180" s="49"/>
      <c r="C4180" s="143" t="e">
        <f>VLOOKUP(B4180,'Thống kê'!$C$3:$D$669,2,0)</f>
        <v>#N/A</v>
      </c>
      <c r="D4180" s="166" t="e">
        <f>VLOOKUP(B4180,'Thống kê'!$C$3:$M$682,4,0)</f>
        <v>#N/A</v>
      </c>
      <c r="E4180" s="167"/>
      <c r="F4180" s="168" t="e">
        <f t="shared" si="17"/>
        <v>#N/A</v>
      </c>
      <c r="G4180" s="75"/>
      <c r="H4180" s="407"/>
    </row>
    <row r="4181" spans="1:8" ht="13.2">
      <c r="A4181" s="49"/>
      <c r="C4181" s="143" t="e">
        <f>VLOOKUP(B4181,'Thống kê'!$C$3:$D$669,2,0)</f>
        <v>#N/A</v>
      </c>
      <c r="D4181" s="166" t="e">
        <f>VLOOKUP(B4181,'Thống kê'!$C$3:$M$682,4,0)</f>
        <v>#N/A</v>
      </c>
      <c r="E4181" s="167"/>
      <c r="F4181" s="168" t="e">
        <f t="shared" si="17"/>
        <v>#N/A</v>
      </c>
      <c r="G4181" s="75"/>
      <c r="H4181" s="369"/>
    </row>
    <row r="4182" spans="1:8" ht="13.2">
      <c r="A4182" s="49"/>
      <c r="C4182" s="143" t="e">
        <f>VLOOKUP(B4182,'Thống kê'!$C$3:$D$669,2,0)</f>
        <v>#N/A</v>
      </c>
      <c r="D4182" s="166" t="e">
        <f>VLOOKUP(B4182,'Thống kê'!$C$3:$M$682,4,0)</f>
        <v>#N/A</v>
      </c>
      <c r="E4182" s="167"/>
      <c r="F4182" s="168" t="e">
        <f t="shared" si="17"/>
        <v>#N/A</v>
      </c>
      <c r="G4182" s="75"/>
      <c r="H4182" s="205"/>
    </row>
    <row r="4183" spans="1:8" ht="13.2">
      <c r="A4183" s="49"/>
      <c r="C4183" s="143" t="e">
        <f>VLOOKUP(B4183,'Thống kê'!$C$3:$D$669,2,0)</f>
        <v>#N/A</v>
      </c>
      <c r="D4183" s="166" t="e">
        <f>VLOOKUP(B4183,'Thống kê'!$C$3:$M$682,4,0)</f>
        <v>#N/A</v>
      </c>
      <c r="E4183" s="167"/>
      <c r="F4183" s="168" t="e">
        <f t="shared" si="17"/>
        <v>#N/A</v>
      </c>
      <c r="G4183" s="75"/>
      <c r="H4183" s="407"/>
    </row>
    <row r="4184" spans="1:8" ht="13.2">
      <c r="A4184" s="49"/>
      <c r="C4184" s="143" t="e">
        <f>VLOOKUP(B4184,'Thống kê'!$C$3:$D$669,2,0)</f>
        <v>#N/A</v>
      </c>
      <c r="D4184" s="166" t="e">
        <f>VLOOKUP(B4184,'Thống kê'!$C$3:$M$682,4,0)</f>
        <v>#N/A</v>
      </c>
      <c r="E4184" s="167"/>
      <c r="F4184" s="168" t="e">
        <f t="shared" si="17"/>
        <v>#N/A</v>
      </c>
      <c r="G4184" s="75"/>
      <c r="H4184" s="369"/>
    </row>
    <row r="4185" spans="1:8" ht="13.2">
      <c r="A4185" s="49"/>
      <c r="C4185" s="143" t="e">
        <f>VLOOKUP(B4185,'Thống kê'!$C$3:$D$669,2,0)</f>
        <v>#N/A</v>
      </c>
      <c r="D4185" s="166" t="e">
        <f>VLOOKUP(B4185,'Thống kê'!$C$3:$M$682,4,0)</f>
        <v>#N/A</v>
      </c>
      <c r="E4185" s="167"/>
      <c r="F4185" s="168" t="e">
        <f t="shared" si="17"/>
        <v>#N/A</v>
      </c>
      <c r="G4185" s="75"/>
      <c r="H4185" s="369"/>
    </row>
    <row r="4186" spans="1:8" ht="13.2">
      <c r="A4186" s="49"/>
      <c r="C4186" s="143" t="e">
        <f>VLOOKUP(B4186,'Thống kê'!$C$3:$D$669,2,0)</f>
        <v>#N/A</v>
      </c>
      <c r="D4186" s="166" t="e">
        <f>VLOOKUP(B4186,'Thống kê'!$C$3:$M$682,4,0)</f>
        <v>#N/A</v>
      </c>
      <c r="E4186" s="167"/>
      <c r="F4186" s="168" t="e">
        <f t="shared" si="17"/>
        <v>#N/A</v>
      </c>
      <c r="G4186" s="75"/>
      <c r="H4186" s="205"/>
    </row>
    <row r="4187" spans="1:8" ht="13.2">
      <c r="A4187" s="49"/>
      <c r="C4187" s="143" t="e">
        <f>VLOOKUP(B4187,'Thống kê'!$C$3:$D$669,2,0)</f>
        <v>#N/A</v>
      </c>
      <c r="D4187" s="166" t="e">
        <f>VLOOKUP(B4187,'Thống kê'!$C$3:$M$682,4,0)</f>
        <v>#N/A</v>
      </c>
      <c r="E4187" s="167"/>
      <c r="F4187" s="168" t="e">
        <f t="shared" si="17"/>
        <v>#N/A</v>
      </c>
      <c r="G4187" s="75"/>
      <c r="H4187" s="407"/>
    </row>
    <row r="4188" spans="1:8" ht="13.2">
      <c r="A4188" s="49"/>
      <c r="C4188" s="143" t="e">
        <f>VLOOKUP(B4188,'Thống kê'!$C$3:$D$669,2,0)</f>
        <v>#N/A</v>
      </c>
      <c r="D4188" s="166" t="e">
        <f>VLOOKUP(B4188,'Thống kê'!$C$3:$M$682,4,0)</f>
        <v>#N/A</v>
      </c>
      <c r="E4188" s="167"/>
      <c r="F4188" s="168" t="e">
        <f t="shared" si="17"/>
        <v>#N/A</v>
      </c>
      <c r="G4188" s="75"/>
      <c r="H4188" s="369"/>
    </row>
    <row r="4189" spans="1:8" ht="13.2">
      <c r="A4189" s="49"/>
      <c r="C4189" s="143" t="e">
        <f>VLOOKUP(B4189,'Thống kê'!$C$3:$D$669,2,0)</f>
        <v>#N/A</v>
      </c>
      <c r="D4189" s="166" t="e">
        <f>VLOOKUP(B4189,'Thống kê'!$C$3:$M$682,4,0)</f>
        <v>#N/A</v>
      </c>
      <c r="E4189" s="167"/>
      <c r="F4189" s="168" t="e">
        <f t="shared" si="17"/>
        <v>#N/A</v>
      </c>
      <c r="G4189" s="75"/>
      <c r="H4189" s="407"/>
    </row>
    <row r="4190" spans="1:8" ht="13.2">
      <c r="A4190" s="49"/>
      <c r="C4190" s="143" t="e">
        <f>VLOOKUP(B4190,'Thống kê'!$C$3:$D$669,2,0)</f>
        <v>#N/A</v>
      </c>
      <c r="D4190" s="166" t="e">
        <f>VLOOKUP(B4190,'Thống kê'!$C$3:$M$682,4,0)</f>
        <v>#N/A</v>
      </c>
      <c r="E4190" s="167"/>
      <c r="F4190" s="168" t="e">
        <f t="shared" si="17"/>
        <v>#N/A</v>
      </c>
      <c r="G4190" s="75"/>
      <c r="H4190" s="369"/>
    </row>
    <row r="4191" spans="1:8" ht="13.2">
      <c r="A4191" s="49"/>
      <c r="C4191" s="143" t="e">
        <f>VLOOKUP(B4191,'Thống kê'!$C$3:$D$669,2,0)</f>
        <v>#N/A</v>
      </c>
      <c r="D4191" s="166" t="e">
        <f>VLOOKUP(B4191,'Thống kê'!$C$3:$M$682,4,0)</f>
        <v>#N/A</v>
      </c>
      <c r="E4191" s="167"/>
      <c r="F4191" s="168" t="e">
        <f t="shared" si="17"/>
        <v>#N/A</v>
      </c>
      <c r="G4191" s="75"/>
      <c r="H4191" s="407"/>
    </row>
    <row r="4192" spans="1:8" ht="13.2">
      <c r="A4192" s="49"/>
      <c r="C4192" s="143" t="e">
        <f>VLOOKUP(B4192,'Thống kê'!$C$3:$D$669,2,0)</f>
        <v>#N/A</v>
      </c>
      <c r="D4192" s="166" t="e">
        <f>VLOOKUP(B4192,'Thống kê'!$C$3:$M$682,4,0)</f>
        <v>#N/A</v>
      </c>
      <c r="E4192" s="167"/>
      <c r="F4192" s="168" t="e">
        <f t="shared" si="17"/>
        <v>#N/A</v>
      </c>
      <c r="G4192" s="75"/>
      <c r="H4192" s="369"/>
    </row>
    <row r="4193" spans="1:8" ht="13.2">
      <c r="A4193" s="49"/>
      <c r="C4193" s="143" t="e">
        <f>VLOOKUP(B4193,'Thống kê'!$C$3:$D$669,2,0)</f>
        <v>#N/A</v>
      </c>
      <c r="D4193" s="166" t="e">
        <f>VLOOKUP(B4193,'Thống kê'!$C$3:$M$682,4,0)</f>
        <v>#N/A</v>
      </c>
      <c r="E4193" s="167"/>
      <c r="F4193" s="168" t="e">
        <f t="shared" si="17"/>
        <v>#N/A</v>
      </c>
      <c r="G4193" s="75"/>
      <c r="H4193" s="369"/>
    </row>
    <row r="4194" spans="1:8" ht="13.2">
      <c r="A4194" s="49"/>
      <c r="C4194" s="143" t="e">
        <f>VLOOKUP(B4194,'Thống kê'!$C$3:$D$669,2,0)</f>
        <v>#N/A</v>
      </c>
      <c r="D4194" s="166" t="e">
        <f>VLOOKUP(B4194,'Thống kê'!$C$3:$M$682,4,0)</f>
        <v>#N/A</v>
      </c>
      <c r="E4194" s="167"/>
      <c r="F4194" s="168" t="e">
        <f t="shared" si="17"/>
        <v>#N/A</v>
      </c>
      <c r="G4194" s="75"/>
      <c r="H4194" s="369"/>
    </row>
    <row r="4195" spans="1:8" ht="13.2">
      <c r="A4195" s="64"/>
      <c r="C4195" s="143" t="e">
        <f>VLOOKUP(B4195,'Thống kê'!$C$3:$D$669,2,0)</f>
        <v>#N/A</v>
      </c>
      <c r="D4195" s="166" t="e">
        <f>VLOOKUP(B4195,'Thống kê'!$C$3:$M$682,4,0)</f>
        <v>#N/A</v>
      </c>
      <c r="E4195" s="167"/>
      <c r="F4195" s="168" t="e">
        <f t="shared" si="17"/>
        <v>#N/A</v>
      </c>
      <c r="G4195" s="75"/>
      <c r="H4195" s="407"/>
    </row>
    <row r="4196" spans="1:8" ht="13.2">
      <c r="A4196" s="49"/>
      <c r="C4196" s="143" t="e">
        <f>VLOOKUP(B4196,'Thống kê'!$C$3:$D$669,2,0)</f>
        <v>#N/A</v>
      </c>
      <c r="D4196" s="166" t="e">
        <f>VLOOKUP(B4196,'Thống kê'!$C$3:$M$682,4,0)</f>
        <v>#N/A</v>
      </c>
      <c r="E4196" s="167"/>
      <c r="F4196" s="168" t="e">
        <f t="shared" si="17"/>
        <v>#N/A</v>
      </c>
      <c r="G4196" s="75"/>
      <c r="H4196" s="369"/>
    </row>
    <row r="4197" spans="1:8" ht="13.2">
      <c r="A4197" s="49"/>
      <c r="C4197" s="143" t="e">
        <f>VLOOKUP(B4197,'Thống kê'!$C$3:$D$669,2,0)</f>
        <v>#N/A</v>
      </c>
      <c r="D4197" s="166" t="e">
        <f>VLOOKUP(B4197,'Thống kê'!$C$3:$M$682,4,0)</f>
        <v>#N/A</v>
      </c>
      <c r="E4197" s="167"/>
      <c r="F4197" s="168" t="e">
        <f t="shared" si="17"/>
        <v>#N/A</v>
      </c>
      <c r="G4197" s="75"/>
      <c r="H4197" s="205"/>
    </row>
    <row r="4198" spans="1:8" ht="13.2">
      <c r="A4198" s="49"/>
      <c r="C4198" s="143" t="e">
        <f>VLOOKUP(B4198,'Thống kê'!$C$3:$D$669,2,0)</f>
        <v>#N/A</v>
      </c>
      <c r="D4198" s="166" t="e">
        <f>VLOOKUP(B4198,'Thống kê'!$C$3:$M$682,4,0)</f>
        <v>#N/A</v>
      </c>
      <c r="E4198" s="167"/>
      <c r="F4198" s="168" t="e">
        <f t="shared" si="17"/>
        <v>#N/A</v>
      </c>
      <c r="G4198" s="75"/>
      <c r="H4198" s="407"/>
    </row>
    <row r="4199" spans="1:8" ht="13.2">
      <c r="A4199" s="49"/>
      <c r="C4199" s="143" t="e">
        <f>VLOOKUP(B4199,'Thống kê'!$C$3:$D$669,2,0)</f>
        <v>#N/A</v>
      </c>
      <c r="D4199" s="166" t="e">
        <f>VLOOKUP(B4199,'Thống kê'!$C$3:$M$682,4,0)</f>
        <v>#N/A</v>
      </c>
      <c r="E4199" s="167"/>
      <c r="F4199" s="168" t="e">
        <f t="shared" si="17"/>
        <v>#N/A</v>
      </c>
      <c r="G4199" s="75"/>
      <c r="H4199" s="369"/>
    </row>
    <row r="4200" spans="1:8" ht="13.2">
      <c r="A4200" s="49"/>
      <c r="C4200" s="143" t="e">
        <f>VLOOKUP(B4200,'Thống kê'!$C$3:$D$669,2,0)</f>
        <v>#N/A</v>
      </c>
      <c r="D4200" s="166" t="e">
        <f>VLOOKUP(B4200,'Thống kê'!$C$3:$M$682,4,0)</f>
        <v>#N/A</v>
      </c>
      <c r="E4200" s="167"/>
      <c r="F4200" s="168" t="e">
        <f t="shared" si="17"/>
        <v>#N/A</v>
      </c>
      <c r="G4200" s="75"/>
      <c r="H4200" s="407"/>
    </row>
    <row r="4201" spans="1:8" ht="13.2">
      <c r="A4201" s="49"/>
      <c r="C4201" s="143" t="e">
        <f>VLOOKUP(B4201,'Thống kê'!$C$3:$D$669,2,0)</f>
        <v>#N/A</v>
      </c>
      <c r="D4201" s="166" t="e">
        <f>VLOOKUP(B4201,'Thống kê'!$C$3:$M$682,4,0)</f>
        <v>#N/A</v>
      </c>
      <c r="E4201" s="167"/>
      <c r="F4201" s="168" t="e">
        <f t="shared" si="17"/>
        <v>#N/A</v>
      </c>
      <c r="G4201" s="75"/>
      <c r="H4201" s="369"/>
    </row>
    <row r="4202" spans="1:8" ht="13.2">
      <c r="A4202" s="49"/>
      <c r="C4202" s="143" t="e">
        <f>VLOOKUP(B4202,'Thống kê'!$C$3:$D$669,2,0)</f>
        <v>#N/A</v>
      </c>
      <c r="D4202" s="166" t="e">
        <f>VLOOKUP(B4202,'Thống kê'!$C$3:$M$682,4,0)</f>
        <v>#N/A</v>
      </c>
      <c r="E4202" s="167"/>
      <c r="F4202" s="168" t="e">
        <f t="shared" si="17"/>
        <v>#N/A</v>
      </c>
      <c r="G4202" s="75"/>
      <c r="H4202" s="205"/>
    </row>
    <row r="4203" spans="1:8" ht="13.2">
      <c r="A4203" s="49"/>
      <c r="C4203" s="143" t="e">
        <f>VLOOKUP(B4203,'Thống kê'!$C$3:$D$669,2,0)</f>
        <v>#N/A</v>
      </c>
      <c r="D4203" s="166" t="e">
        <f>VLOOKUP(B4203,'Thống kê'!$C$3:$M$682,4,0)</f>
        <v>#N/A</v>
      </c>
      <c r="E4203" s="167"/>
      <c r="F4203" s="168" t="e">
        <f t="shared" si="17"/>
        <v>#N/A</v>
      </c>
      <c r="G4203" s="75"/>
      <c r="H4203" s="205"/>
    </row>
    <row r="4204" spans="1:8" ht="13.2">
      <c r="A4204" s="49"/>
      <c r="C4204" s="143" t="e">
        <f>VLOOKUP(B4204,'Thống kê'!$C$3:$D$669,2,0)</f>
        <v>#N/A</v>
      </c>
      <c r="D4204" s="166" t="e">
        <f>VLOOKUP(B4204,'Thống kê'!$C$3:$M$682,4,0)</f>
        <v>#N/A</v>
      </c>
      <c r="E4204" s="167"/>
      <c r="F4204" s="168" t="e">
        <f t="shared" si="17"/>
        <v>#N/A</v>
      </c>
      <c r="G4204" s="75"/>
      <c r="H4204" s="407"/>
    </row>
    <row r="4205" spans="1:8" ht="13.2">
      <c r="A4205" s="49"/>
      <c r="C4205" s="143" t="e">
        <f>VLOOKUP(B4205,'Thống kê'!$C$3:$D$669,2,0)</f>
        <v>#N/A</v>
      </c>
      <c r="D4205" s="166" t="e">
        <f>VLOOKUP(B4205,'Thống kê'!$C$3:$M$682,4,0)</f>
        <v>#N/A</v>
      </c>
      <c r="E4205" s="167"/>
      <c r="F4205" s="168" t="e">
        <f t="shared" si="17"/>
        <v>#N/A</v>
      </c>
      <c r="G4205" s="75"/>
      <c r="H4205" s="369"/>
    </row>
    <row r="4206" spans="1:8" ht="13.2">
      <c r="A4206" s="49"/>
      <c r="C4206" s="143" t="e">
        <f>VLOOKUP(B4206,'Thống kê'!$C$3:$D$669,2,0)</f>
        <v>#N/A</v>
      </c>
      <c r="D4206" s="166" t="e">
        <f>VLOOKUP(B4206,'Thống kê'!$C$3:$M$682,4,0)</f>
        <v>#N/A</v>
      </c>
      <c r="E4206" s="167"/>
      <c r="F4206" s="168" t="e">
        <f t="shared" si="17"/>
        <v>#N/A</v>
      </c>
      <c r="G4206" s="75"/>
      <c r="H4206" s="407"/>
    </row>
    <row r="4207" spans="1:8" ht="13.2">
      <c r="A4207" s="49"/>
      <c r="C4207" s="143" t="e">
        <f>VLOOKUP(B4207,'Thống kê'!$C$3:$D$669,2,0)</f>
        <v>#N/A</v>
      </c>
      <c r="D4207" s="166" t="e">
        <f>VLOOKUP(B4207,'Thống kê'!$C$3:$M$682,4,0)</f>
        <v>#N/A</v>
      </c>
      <c r="E4207" s="167"/>
      <c r="F4207" s="168" t="e">
        <f t="shared" si="17"/>
        <v>#N/A</v>
      </c>
      <c r="G4207" s="75"/>
      <c r="H4207" s="369"/>
    </row>
    <row r="4208" spans="1:8" ht="13.2">
      <c r="A4208" s="64"/>
      <c r="C4208" s="143" t="e">
        <f>VLOOKUP(B4208,'Thống kê'!$C$3:$D$669,2,0)</f>
        <v>#N/A</v>
      </c>
      <c r="D4208" s="166" t="e">
        <f>VLOOKUP(B4208,'Thống kê'!$C$3:$M$682,4,0)</f>
        <v>#N/A</v>
      </c>
      <c r="E4208" s="167"/>
      <c r="F4208" s="168" t="e">
        <f t="shared" si="17"/>
        <v>#N/A</v>
      </c>
      <c r="G4208" s="75"/>
      <c r="H4208" s="205"/>
    </row>
    <row r="4209" spans="1:8" ht="13.2">
      <c r="A4209" s="49"/>
      <c r="C4209" s="143" t="e">
        <f>VLOOKUP(B4209,'Thống kê'!$C$3:$D$669,2,0)</f>
        <v>#N/A</v>
      </c>
      <c r="D4209" s="166" t="e">
        <f>VLOOKUP(B4209,'Thống kê'!$C$3:$M$682,4,0)</f>
        <v>#N/A</v>
      </c>
      <c r="E4209" s="167"/>
      <c r="F4209" s="168" t="e">
        <f t="shared" si="17"/>
        <v>#N/A</v>
      </c>
      <c r="G4209" s="75"/>
      <c r="H4209" s="205"/>
    </row>
    <row r="4210" spans="1:8" ht="13.2">
      <c r="A4210" s="49"/>
      <c r="C4210" s="143" t="e">
        <f>VLOOKUP(B4210,'Thống kê'!$C$3:$D$669,2,0)</f>
        <v>#N/A</v>
      </c>
      <c r="D4210" s="166" t="e">
        <f>VLOOKUP(B4210,'Thống kê'!$C$3:$M$682,4,0)</f>
        <v>#N/A</v>
      </c>
      <c r="E4210" s="167"/>
      <c r="F4210" s="168" t="e">
        <f t="shared" si="17"/>
        <v>#N/A</v>
      </c>
      <c r="G4210" s="75"/>
      <c r="H4210" s="205"/>
    </row>
    <row r="4211" spans="1:8" ht="13.2">
      <c r="A4211" s="49"/>
      <c r="C4211" s="143" t="e">
        <f>VLOOKUP(B4211,'Thống kê'!$C$3:$D$669,2,0)</f>
        <v>#N/A</v>
      </c>
      <c r="D4211" s="166" t="e">
        <f>VLOOKUP(B4211,'Thống kê'!$C$3:$M$682,4,0)</f>
        <v>#N/A</v>
      </c>
      <c r="E4211" s="167"/>
      <c r="F4211" s="168" t="e">
        <f t="shared" si="17"/>
        <v>#N/A</v>
      </c>
      <c r="G4211" s="75"/>
      <c r="H4211" s="205"/>
    </row>
    <row r="4212" spans="1:8" ht="13.2">
      <c r="A4212" s="49"/>
      <c r="C4212" s="143" t="e">
        <f>VLOOKUP(B4212,'Thống kê'!$C$3:$D$669,2,0)</f>
        <v>#N/A</v>
      </c>
      <c r="D4212" s="166" t="e">
        <f>VLOOKUP(B4212,'Thống kê'!$C$3:$M$682,4,0)</f>
        <v>#N/A</v>
      </c>
      <c r="E4212" s="167"/>
      <c r="F4212" s="168" t="e">
        <f t="shared" si="17"/>
        <v>#N/A</v>
      </c>
      <c r="G4212" s="75"/>
      <c r="H4212" s="407"/>
    </row>
    <row r="4213" spans="1:8" ht="13.2">
      <c r="A4213" s="49"/>
      <c r="C4213" s="143" t="e">
        <f>VLOOKUP(B4213,'Thống kê'!$C$3:$D$669,2,0)</f>
        <v>#N/A</v>
      </c>
      <c r="D4213" s="166" t="e">
        <f>VLOOKUP(B4213,'Thống kê'!$C$3:$M$682,4,0)</f>
        <v>#N/A</v>
      </c>
      <c r="E4213" s="167"/>
      <c r="F4213" s="168" t="e">
        <f t="shared" si="17"/>
        <v>#N/A</v>
      </c>
      <c r="G4213" s="75"/>
      <c r="H4213" s="369"/>
    </row>
    <row r="4214" spans="1:8" ht="13.2">
      <c r="A4214" s="49"/>
      <c r="C4214" s="143" t="e">
        <f>VLOOKUP(B4214,'Thống kê'!$C$3:$D$669,2,0)</f>
        <v>#N/A</v>
      </c>
      <c r="D4214" s="166" t="e">
        <f>VLOOKUP(B4214,'Thống kê'!$C$3:$M$682,4,0)</f>
        <v>#N/A</v>
      </c>
      <c r="E4214" s="167"/>
      <c r="F4214" s="168" t="e">
        <f t="shared" si="17"/>
        <v>#N/A</v>
      </c>
      <c r="G4214" s="75"/>
      <c r="H4214" s="369"/>
    </row>
    <row r="4215" spans="1:8" ht="13.2">
      <c r="A4215" s="49"/>
      <c r="C4215" s="143" t="e">
        <f>VLOOKUP(B4215,'Thống kê'!$C$3:$D$669,2,0)</f>
        <v>#N/A</v>
      </c>
      <c r="D4215" s="166" t="e">
        <f>VLOOKUP(B4215,'Thống kê'!$C$3:$M$682,4,0)</f>
        <v>#N/A</v>
      </c>
      <c r="E4215" s="167"/>
      <c r="F4215" s="168" t="e">
        <f t="shared" si="17"/>
        <v>#N/A</v>
      </c>
      <c r="G4215" s="75"/>
      <c r="H4215" s="205"/>
    </row>
    <row r="4216" spans="1:8" ht="13.2">
      <c r="A4216" s="49"/>
      <c r="C4216" s="143" t="e">
        <f>VLOOKUP(B4216,'Thống kê'!$C$3:$D$669,2,0)</f>
        <v>#N/A</v>
      </c>
      <c r="D4216" s="166" t="e">
        <f>VLOOKUP(B4216,'Thống kê'!$C$3:$M$682,4,0)</f>
        <v>#N/A</v>
      </c>
      <c r="E4216" s="167"/>
      <c r="F4216" s="168" t="e">
        <f t="shared" si="17"/>
        <v>#N/A</v>
      </c>
      <c r="G4216" s="75"/>
      <c r="H4216" s="205"/>
    </row>
    <row r="4217" spans="1:8" ht="13.2">
      <c r="A4217" s="49"/>
      <c r="C4217" s="143" t="e">
        <f>VLOOKUP(B4217,'Thống kê'!$C$3:$D$669,2,0)</f>
        <v>#N/A</v>
      </c>
      <c r="D4217" s="166" t="e">
        <f>VLOOKUP(B4217,'Thống kê'!$C$3:$M$682,4,0)</f>
        <v>#N/A</v>
      </c>
      <c r="E4217" s="167"/>
      <c r="F4217" s="168" t="e">
        <f t="shared" si="17"/>
        <v>#N/A</v>
      </c>
      <c r="G4217" s="75"/>
      <c r="H4217" s="407"/>
    </row>
    <row r="4218" spans="1:8" ht="13.2">
      <c r="A4218" s="64"/>
      <c r="C4218" s="143" t="e">
        <f>VLOOKUP(B4218,'Thống kê'!$C$3:$D$669,2,0)</f>
        <v>#N/A</v>
      </c>
      <c r="D4218" s="166" t="e">
        <f>VLOOKUP(B4218,'Thống kê'!$C$3:$M$682,4,0)</f>
        <v>#N/A</v>
      </c>
      <c r="E4218" s="167"/>
      <c r="F4218" s="168" t="e">
        <f t="shared" si="17"/>
        <v>#N/A</v>
      </c>
      <c r="G4218" s="75"/>
      <c r="H4218" s="369"/>
    </row>
    <row r="4219" spans="1:8" ht="13.2">
      <c r="A4219" s="49"/>
      <c r="C4219" s="143" t="e">
        <f>VLOOKUP(B4219,'Thống kê'!$C$3:$D$669,2,0)</f>
        <v>#N/A</v>
      </c>
      <c r="D4219" s="166" t="e">
        <f>VLOOKUP(B4219,'Thống kê'!$C$3:$M$682,4,0)</f>
        <v>#N/A</v>
      </c>
      <c r="E4219" s="167"/>
      <c r="F4219" s="168" t="e">
        <f t="shared" si="17"/>
        <v>#N/A</v>
      </c>
      <c r="G4219" s="75"/>
      <c r="H4219" s="205"/>
    </row>
    <row r="4220" spans="1:8" ht="13.2">
      <c r="A4220" s="49"/>
      <c r="C4220" s="143" t="e">
        <f>VLOOKUP(B4220,'Thống kê'!$C$3:$D$669,2,0)</f>
        <v>#N/A</v>
      </c>
      <c r="D4220" s="166" t="e">
        <f>VLOOKUP(B4220,'Thống kê'!$C$3:$M$682,4,0)</f>
        <v>#N/A</v>
      </c>
      <c r="E4220" s="167"/>
      <c r="F4220" s="168" t="e">
        <f t="shared" si="17"/>
        <v>#N/A</v>
      </c>
      <c r="G4220" s="75"/>
      <c r="H4220" s="205"/>
    </row>
    <row r="4221" spans="1:8" ht="13.2">
      <c r="A4221" s="49"/>
      <c r="C4221" s="143" t="e">
        <f>VLOOKUP(B4221,'Thống kê'!$C$3:$D$669,2,0)</f>
        <v>#N/A</v>
      </c>
      <c r="D4221" s="166" t="e">
        <f>VLOOKUP(B4221,'Thống kê'!$C$3:$M$682,4,0)</f>
        <v>#N/A</v>
      </c>
      <c r="E4221" s="167"/>
      <c r="F4221" s="168" t="e">
        <f t="shared" si="17"/>
        <v>#N/A</v>
      </c>
      <c r="G4221" s="75"/>
      <c r="H4221" s="205"/>
    </row>
    <row r="4222" spans="1:8" ht="13.2">
      <c r="A4222" s="49"/>
      <c r="C4222" s="143" t="e">
        <f>VLOOKUP(B4222,'Thống kê'!$C$3:$D$669,2,0)</f>
        <v>#N/A</v>
      </c>
      <c r="D4222" s="166" t="e">
        <f>VLOOKUP(B4222,'Thống kê'!$C$3:$M$682,4,0)</f>
        <v>#N/A</v>
      </c>
      <c r="E4222" s="167"/>
      <c r="F4222" s="168" t="e">
        <f t="shared" si="17"/>
        <v>#N/A</v>
      </c>
      <c r="G4222" s="75"/>
      <c r="H4222" s="205"/>
    </row>
    <row r="4223" spans="1:8" ht="13.2">
      <c r="A4223" s="49"/>
      <c r="C4223" s="143" t="e">
        <f>VLOOKUP(B4223,'Thống kê'!$C$3:$D$669,2,0)</f>
        <v>#N/A</v>
      </c>
      <c r="D4223" s="166" t="e">
        <f>VLOOKUP(B4223,'Thống kê'!$C$3:$M$682,4,0)</f>
        <v>#N/A</v>
      </c>
      <c r="E4223" s="167"/>
      <c r="F4223" s="168" t="e">
        <f t="shared" si="17"/>
        <v>#N/A</v>
      </c>
      <c r="G4223" s="75"/>
      <c r="H4223" s="407"/>
    </row>
    <row r="4224" spans="1:8" ht="13.2">
      <c r="A4224" s="49"/>
      <c r="C4224" s="143" t="e">
        <f>VLOOKUP(B4224,'Thống kê'!$C$3:$D$669,2,0)</f>
        <v>#N/A</v>
      </c>
      <c r="D4224" s="166" t="e">
        <f>VLOOKUP(B4224,'Thống kê'!$C$3:$M$682,4,0)</f>
        <v>#N/A</v>
      </c>
      <c r="E4224" s="167"/>
      <c r="F4224" s="168" t="e">
        <f t="shared" si="17"/>
        <v>#N/A</v>
      </c>
      <c r="G4224" s="75"/>
      <c r="H4224" s="369"/>
    </row>
    <row r="4225" spans="1:8" ht="13.2">
      <c r="A4225" s="49"/>
      <c r="C4225" s="143" t="e">
        <f>VLOOKUP(B4225,'Thống kê'!$C$3:$D$669,2,0)</f>
        <v>#N/A</v>
      </c>
      <c r="D4225" s="166" t="e">
        <f>VLOOKUP(B4225,'Thống kê'!$C$3:$M$682,4,0)</f>
        <v>#N/A</v>
      </c>
      <c r="E4225" s="167"/>
      <c r="F4225" s="168" t="e">
        <f t="shared" si="17"/>
        <v>#N/A</v>
      </c>
      <c r="G4225" s="75"/>
      <c r="H4225" s="407"/>
    </row>
    <row r="4226" spans="1:8" ht="13.2">
      <c r="A4226" s="49"/>
      <c r="C4226" s="143" t="e">
        <f>VLOOKUP(B4226,'Thống kê'!$C$3:$D$669,2,0)</f>
        <v>#N/A</v>
      </c>
      <c r="D4226" s="166" t="e">
        <f>VLOOKUP(B4226,'Thống kê'!$C$3:$M$682,4,0)</f>
        <v>#N/A</v>
      </c>
      <c r="E4226" s="167"/>
      <c r="F4226" s="168" t="e">
        <f t="shared" si="17"/>
        <v>#N/A</v>
      </c>
      <c r="G4226" s="75"/>
      <c r="H4226" s="369"/>
    </row>
    <row r="4227" spans="1:8" ht="13.2">
      <c r="A4227" s="49"/>
      <c r="C4227" s="143" t="e">
        <f>VLOOKUP(B4227,'Thống kê'!$C$3:$D$669,2,0)</f>
        <v>#N/A</v>
      </c>
      <c r="D4227" s="166" t="e">
        <f>VLOOKUP(B4227,'Thống kê'!$C$3:$M$682,4,0)</f>
        <v>#N/A</v>
      </c>
      <c r="E4227" s="167"/>
      <c r="F4227" s="168" t="e">
        <f t="shared" si="17"/>
        <v>#N/A</v>
      </c>
      <c r="G4227" s="75"/>
      <c r="H4227" s="369"/>
    </row>
    <row r="4228" spans="1:8" ht="13.2">
      <c r="A4228" s="49"/>
      <c r="C4228" s="143" t="e">
        <f>VLOOKUP(B4228,'Thống kê'!$C$3:$D$669,2,0)</f>
        <v>#N/A</v>
      </c>
      <c r="D4228" s="166" t="e">
        <f>VLOOKUP(B4228,'Thống kê'!$C$3:$M$682,4,0)</f>
        <v>#N/A</v>
      </c>
      <c r="E4228" s="167"/>
      <c r="F4228" s="168" t="e">
        <f t="shared" si="17"/>
        <v>#N/A</v>
      </c>
      <c r="G4228" s="75"/>
      <c r="H4228" s="369"/>
    </row>
    <row r="4229" spans="1:8" ht="13.2">
      <c r="A4229" s="49"/>
      <c r="C4229" s="143" t="e">
        <f>VLOOKUP(B4229,'Thống kê'!$C$3:$D$669,2,0)</f>
        <v>#N/A</v>
      </c>
      <c r="D4229" s="166" t="e">
        <f>VLOOKUP(B4229,'Thống kê'!$C$3:$M$682,4,0)</f>
        <v>#N/A</v>
      </c>
      <c r="E4229" s="167"/>
      <c r="F4229" s="168" t="e">
        <f t="shared" si="17"/>
        <v>#N/A</v>
      </c>
      <c r="G4229" s="75"/>
      <c r="H4229" s="369"/>
    </row>
    <row r="4230" spans="1:8" ht="13.2">
      <c r="A4230" s="49"/>
      <c r="C4230" s="143" t="e">
        <f>VLOOKUP(B4230,'Thống kê'!$C$3:$D$669,2,0)</f>
        <v>#N/A</v>
      </c>
      <c r="D4230" s="166" t="e">
        <f>VLOOKUP(B4230,'Thống kê'!$C$3:$M$682,4,0)</f>
        <v>#N/A</v>
      </c>
      <c r="E4230" s="167"/>
      <c r="F4230" s="168" t="e">
        <f t="shared" si="17"/>
        <v>#N/A</v>
      </c>
      <c r="G4230" s="75"/>
      <c r="H4230" s="407"/>
    </row>
    <row r="4231" spans="1:8" ht="13.2">
      <c r="A4231" s="49"/>
      <c r="C4231" s="143" t="e">
        <f>VLOOKUP(B4231,'Thống kê'!$C$3:$D$669,2,0)</f>
        <v>#N/A</v>
      </c>
      <c r="D4231" s="166" t="e">
        <f>VLOOKUP(B4231,'Thống kê'!$C$3:$M$682,4,0)</f>
        <v>#N/A</v>
      </c>
      <c r="E4231" s="167"/>
      <c r="F4231" s="168" t="e">
        <f t="shared" si="17"/>
        <v>#N/A</v>
      </c>
      <c r="G4231" s="75"/>
      <c r="H4231" s="369"/>
    </row>
    <row r="4232" spans="1:8" ht="13.2">
      <c r="A4232" s="64"/>
      <c r="C4232" s="143" t="e">
        <f>VLOOKUP(B4232,'Thống kê'!$C$3:$D$669,2,0)</f>
        <v>#N/A</v>
      </c>
      <c r="D4232" s="166" t="e">
        <f>VLOOKUP(B4232,'Thống kê'!$C$3:$M$682,4,0)</f>
        <v>#N/A</v>
      </c>
      <c r="E4232" s="167"/>
      <c r="F4232" s="168" t="e">
        <f t="shared" si="17"/>
        <v>#N/A</v>
      </c>
      <c r="G4232" s="75"/>
      <c r="H4232" s="407"/>
    </row>
    <row r="4233" spans="1:8" ht="13.2">
      <c r="A4233" s="49"/>
      <c r="C4233" s="143" t="e">
        <f>VLOOKUP(B4233,'Thống kê'!$C$3:$D$669,2,0)</f>
        <v>#N/A</v>
      </c>
      <c r="D4233" s="166" t="e">
        <f>VLOOKUP(B4233,'Thống kê'!$C$3:$M$682,4,0)</f>
        <v>#N/A</v>
      </c>
      <c r="E4233" s="167"/>
      <c r="F4233" s="168" t="e">
        <f t="shared" si="17"/>
        <v>#N/A</v>
      </c>
      <c r="G4233" s="75"/>
      <c r="H4233" s="369"/>
    </row>
    <row r="4234" spans="1:8" ht="13.2">
      <c r="A4234" s="49"/>
      <c r="C4234" s="143" t="e">
        <f>VLOOKUP(B4234,'Thống kê'!$C$3:$D$669,2,0)</f>
        <v>#N/A</v>
      </c>
      <c r="D4234" s="166" t="e">
        <f>VLOOKUP(B4234,'Thống kê'!$C$3:$M$682,4,0)</f>
        <v>#N/A</v>
      </c>
      <c r="E4234" s="167"/>
      <c r="F4234" s="168" t="e">
        <f t="shared" si="17"/>
        <v>#N/A</v>
      </c>
      <c r="G4234" s="75"/>
      <c r="H4234" s="407"/>
    </row>
    <row r="4235" spans="1:8" ht="13.2">
      <c r="A4235" s="49"/>
      <c r="C4235" s="143" t="e">
        <f>VLOOKUP(B4235,'Thống kê'!$C$3:$D$669,2,0)</f>
        <v>#N/A</v>
      </c>
      <c r="D4235" s="166" t="e">
        <f>VLOOKUP(B4235,'Thống kê'!$C$3:$M$682,4,0)</f>
        <v>#N/A</v>
      </c>
      <c r="E4235" s="167"/>
      <c r="F4235" s="168" t="e">
        <f t="shared" si="17"/>
        <v>#N/A</v>
      </c>
      <c r="G4235" s="75"/>
      <c r="H4235" s="369"/>
    </row>
    <row r="4236" spans="1:8" ht="13.2">
      <c r="A4236" s="49"/>
      <c r="C4236" s="143" t="e">
        <f>VLOOKUP(B4236,'Thống kê'!$C$3:$D$669,2,0)</f>
        <v>#N/A</v>
      </c>
      <c r="D4236" s="166" t="e">
        <f>VLOOKUP(B4236,'Thống kê'!$C$3:$M$682,4,0)</f>
        <v>#N/A</v>
      </c>
      <c r="E4236" s="167"/>
      <c r="F4236" s="168" t="e">
        <f t="shared" si="17"/>
        <v>#N/A</v>
      </c>
      <c r="G4236" s="75"/>
      <c r="H4236" s="407"/>
    </row>
    <row r="4237" spans="1:8" ht="13.2">
      <c r="A4237" s="49"/>
      <c r="C4237" s="143" t="e">
        <f>VLOOKUP(B4237,'Thống kê'!$C$3:$D$669,2,0)</f>
        <v>#N/A</v>
      </c>
      <c r="D4237" s="166" t="e">
        <f>VLOOKUP(B4237,'Thống kê'!$C$3:$M$682,4,0)</f>
        <v>#N/A</v>
      </c>
      <c r="E4237" s="167"/>
      <c r="F4237" s="168" t="e">
        <f t="shared" si="17"/>
        <v>#N/A</v>
      </c>
      <c r="G4237" s="75"/>
      <c r="H4237" s="369"/>
    </row>
    <row r="4238" spans="1:8" ht="13.2">
      <c r="A4238" s="49"/>
      <c r="C4238" s="143" t="e">
        <f>VLOOKUP(B4238,'Thống kê'!$C$3:$D$669,2,0)</f>
        <v>#N/A</v>
      </c>
      <c r="D4238" s="166" t="e">
        <f>VLOOKUP(B4238,'Thống kê'!$C$3:$M$682,4,0)</f>
        <v>#N/A</v>
      </c>
      <c r="E4238" s="167"/>
      <c r="F4238" s="168" t="e">
        <f t="shared" si="17"/>
        <v>#N/A</v>
      </c>
      <c r="G4238" s="75"/>
      <c r="H4238" s="205"/>
    </row>
    <row r="4239" spans="1:8" ht="13.2">
      <c r="A4239" s="49"/>
      <c r="C4239" s="143" t="e">
        <f>VLOOKUP(B4239,'Thống kê'!$C$3:$D$669,2,0)</f>
        <v>#N/A</v>
      </c>
      <c r="D4239" s="166" t="e">
        <f>VLOOKUP(B4239,'Thống kê'!$C$3:$M$682,4,0)</f>
        <v>#N/A</v>
      </c>
      <c r="E4239" s="167"/>
      <c r="F4239" s="168" t="e">
        <f t="shared" si="17"/>
        <v>#N/A</v>
      </c>
      <c r="G4239" s="75"/>
      <c r="H4239" s="407"/>
    </row>
    <row r="4240" spans="1:8" ht="13.2">
      <c r="A4240" s="49"/>
      <c r="C4240" s="143" t="e">
        <f>VLOOKUP(B4240,'Thống kê'!$C$3:$D$669,2,0)</f>
        <v>#N/A</v>
      </c>
      <c r="D4240" s="166" t="e">
        <f>VLOOKUP(B4240,'Thống kê'!$C$3:$M$682,4,0)</f>
        <v>#N/A</v>
      </c>
      <c r="E4240" s="167"/>
      <c r="F4240" s="168" t="e">
        <f t="shared" si="17"/>
        <v>#N/A</v>
      </c>
      <c r="G4240" s="75"/>
      <c r="H4240" s="369"/>
    </row>
    <row r="4241" spans="1:8" ht="13.2">
      <c r="A4241" s="49"/>
      <c r="C4241" s="143" t="e">
        <f>VLOOKUP(B4241,'Thống kê'!$C$3:$D$669,2,0)</f>
        <v>#N/A</v>
      </c>
      <c r="D4241" s="166" t="e">
        <f>VLOOKUP(B4241,'Thống kê'!$C$3:$M$682,4,0)</f>
        <v>#N/A</v>
      </c>
      <c r="E4241" s="167"/>
      <c r="F4241" s="168" t="e">
        <f t="shared" si="17"/>
        <v>#N/A</v>
      </c>
      <c r="G4241" s="75"/>
      <c r="H4241" s="407"/>
    </row>
    <row r="4242" spans="1:8" ht="13.2">
      <c r="A4242" s="49"/>
      <c r="C4242" s="143" t="e">
        <f>VLOOKUP(B4242,'Thống kê'!$C$3:$D$669,2,0)</f>
        <v>#N/A</v>
      </c>
      <c r="D4242" s="166" t="e">
        <f>VLOOKUP(B4242,'Thống kê'!$C$3:$M$682,4,0)</f>
        <v>#N/A</v>
      </c>
      <c r="E4242" s="167"/>
      <c r="F4242" s="168" t="e">
        <f t="shared" si="17"/>
        <v>#N/A</v>
      </c>
      <c r="G4242" s="75"/>
      <c r="H4242" s="369"/>
    </row>
    <row r="4243" spans="1:8" ht="13.2">
      <c r="A4243" s="49"/>
      <c r="C4243" s="143" t="e">
        <f>VLOOKUP(B4243,'Thống kê'!$C$3:$D$669,2,0)</f>
        <v>#N/A</v>
      </c>
      <c r="D4243" s="166" t="e">
        <f>VLOOKUP(B4243,'Thống kê'!$C$3:$M$682,4,0)</f>
        <v>#N/A</v>
      </c>
      <c r="E4243" s="167"/>
      <c r="F4243" s="168" t="e">
        <f t="shared" si="17"/>
        <v>#N/A</v>
      </c>
      <c r="G4243" s="75"/>
      <c r="H4243" s="369"/>
    </row>
    <row r="4244" spans="1:8" ht="13.2">
      <c r="A4244" s="49"/>
      <c r="C4244" s="143" t="e">
        <f>VLOOKUP(B4244,'Thống kê'!$C$3:$D$669,2,0)</f>
        <v>#N/A</v>
      </c>
      <c r="D4244" s="166" t="e">
        <f>VLOOKUP(B4244,'Thống kê'!$C$3:$M$682,4,0)</f>
        <v>#N/A</v>
      </c>
      <c r="E4244" s="167"/>
      <c r="F4244" s="168" t="e">
        <f t="shared" si="17"/>
        <v>#N/A</v>
      </c>
      <c r="G4244" s="75"/>
      <c r="H4244" s="205"/>
    </row>
    <row r="4245" spans="1:8" ht="13.2">
      <c r="A4245" s="49"/>
      <c r="C4245" s="143" t="e">
        <f>VLOOKUP(B4245,'Thống kê'!$C$3:$D$669,2,0)</f>
        <v>#N/A</v>
      </c>
      <c r="D4245" s="166" t="e">
        <f>VLOOKUP(B4245,'Thống kê'!$C$3:$M$682,4,0)</f>
        <v>#N/A</v>
      </c>
      <c r="E4245" s="167"/>
      <c r="F4245" s="168" t="e">
        <f t="shared" si="17"/>
        <v>#N/A</v>
      </c>
      <c r="G4245" s="75"/>
      <c r="H4245" s="205"/>
    </row>
    <row r="4246" spans="1:8" ht="13.2">
      <c r="A4246" s="64"/>
      <c r="C4246" s="143" t="e">
        <f>VLOOKUP(B4246,'Thống kê'!$C$3:$D$669,2,0)</f>
        <v>#N/A</v>
      </c>
      <c r="D4246" s="166" t="e">
        <f>VLOOKUP(B4246,'Thống kê'!$C$3:$M$682,4,0)</f>
        <v>#N/A</v>
      </c>
      <c r="E4246" s="167"/>
      <c r="F4246" s="168" t="e">
        <f t="shared" si="17"/>
        <v>#N/A</v>
      </c>
      <c r="G4246" s="75"/>
      <c r="H4246" s="205"/>
    </row>
    <row r="4247" spans="1:8" ht="13.2">
      <c r="A4247" s="49"/>
      <c r="C4247" s="143" t="e">
        <f>VLOOKUP(B4247,'Thống kê'!$C$3:$D$669,2,0)</f>
        <v>#N/A</v>
      </c>
      <c r="D4247" s="166" t="e">
        <f>VLOOKUP(B4247,'Thống kê'!$C$3:$M$682,4,0)</f>
        <v>#N/A</v>
      </c>
      <c r="E4247" s="167"/>
      <c r="F4247" s="168" t="e">
        <f t="shared" si="17"/>
        <v>#N/A</v>
      </c>
      <c r="G4247" s="75"/>
      <c r="H4247" s="205"/>
    </row>
    <row r="4248" spans="1:8" ht="13.2">
      <c r="A4248" s="49"/>
      <c r="C4248" s="143" t="e">
        <f>VLOOKUP(B4248,'Thống kê'!$C$3:$D$669,2,0)</f>
        <v>#N/A</v>
      </c>
      <c r="D4248" s="166" t="e">
        <f>VLOOKUP(B4248,'Thống kê'!$C$3:$M$682,4,0)</f>
        <v>#N/A</v>
      </c>
      <c r="E4248" s="167"/>
      <c r="F4248" s="168" t="e">
        <f t="shared" si="17"/>
        <v>#N/A</v>
      </c>
      <c r="G4248" s="75"/>
      <c r="H4248" s="205"/>
    </row>
    <row r="4249" spans="1:8" ht="13.2">
      <c r="A4249" s="49"/>
      <c r="C4249" s="143" t="e">
        <f>VLOOKUP(B4249,'Thống kê'!$C$3:$D$669,2,0)</f>
        <v>#N/A</v>
      </c>
      <c r="D4249" s="166" t="e">
        <f>VLOOKUP(B4249,'Thống kê'!$C$3:$M$682,4,0)</f>
        <v>#N/A</v>
      </c>
      <c r="E4249" s="167"/>
      <c r="F4249" s="168" t="e">
        <f t="shared" si="17"/>
        <v>#N/A</v>
      </c>
      <c r="G4249" s="75"/>
      <c r="H4249" s="407"/>
    </row>
    <row r="4250" spans="1:8" ht="13.2">
      <c r="A4250" s="49"/>
      <c r="C4250" s="143" t="e">
        <f>VLOOKUP(B4250,'Thống kê'!$C$3:$D$669,2,0)</f>
        <v>#N/A</v>
      </c>
      <c r="D4250" s="166" t="e">
        <f>VLOOKUP(B4250,'Thống kê'!$C$3:$M$682,4,0)</f>
        <v>#N/A</v>
      </c>
      <c r="E4250" s="167"/>
      <c r="F4250" s="168" t="e">
        <f t="shared" si="17"/>
        <v>#N/A</v>
      </c>
      <c r="G4250" s="75"/>
      <c r="H4250" s="369"/>
    </row>
    <row r="4251" spans="1:8" ht="13.2">
      <c r="A4251" s="49"/>
      <c r="C4251" s="143" t="e">
        <f>VLOOKUP(B4251,'Thống kê'!$C$3:$D$669,2,0)</f>
        <v>#N/A</v>
      </c>
      <c r="D4251" s="166" t="e">
        <f>VLOOKUP(B4251,'Thống kê'!$C$3:$M$682,4,0)</f>
        <v>#N/A</v>
      </c>
      <c r="E4251" s="167"/>
      <c r="F4251" s="168" t="e">
        <f t="shared" si="17"/>
        <v>#N/A</v>
      </c>
      <c r="G4251" s="75"/>
      <c r="H4251" s="407"/>
    </row>
    <row r="4252" spans="1:8" ht="13.2">
      <c r="A4252" s="49"/>
      <c r="C4252" s="143" t="e">
        <f>VLOOKUP(B4252,'Thống kê'!$C$3:$D$669,2,0)</f>
        <v>#N/A</v>
      </c>
      <c r="D4252" s="166" t="e">
        <f>VLOOKUP(B4252,'Thống kê'!$C$3:$M$682,4,0)</f>
        <v>#N/A</v>
      </c>
      <c r="E4252" s="167"/>
      <c r="F4252" s="168" t="e">
        <f t="shared" si="17"/>
        <v>#N/A</v>
      </c>
      <c r="G4252" s="75"/>
      <c r="H4252" s="369"/>
    </row>
    <row r="4253" spans="1:8" ht="13.2">
      <c r="A4253" s="49"/>
      <c r="C4253" s="143" t="e">
        <f>VLOOKUP(B4253,'Thống kê'!$C$3:$D$669,2,0)</f>
        <v>#N/A</v>
      </c>
      <c r="D4253" s="166" t="e">
        <f>VLOOKUP(B4253,'Thống kê'!$C$3:$M$682,4,0)</f>
        <v>#N/A</v>
      </c>
      <c r="E4253" s="167"/>
      <c r="F4253" s="168" t="e">
        <f t="shared" si="17"/>
        <v>#N/A</v>
      </c>
      <c r="G4253" s="75"/>
      <c r="H4253" s="407"/>
    </row>
    <row r="4254" spans="1:8" ht="13.2">
      <c r="A4254" s="49"/>
      <c r="C4254" s="143" t="e">
        <f>VLOOKUP(B4254,'Thống kê'!$C$3:$D$669,2,0)</f>
        <v>#N/A</v>
      </c>
      <c r="D4254" s="166" t="e">
        <f>VLOOKUP(B4254,'Thống kê'!$C$3:$M$682,4,0)</f>
        <v>#N/A</v>
      </c>
      <c r="E4254" s="167"/>
      <c r="F4254" s="168" t="e">
        <f t="shared" si="17"/>
        <v>#N/A</v>
      </c>
      <c r="G4254" s="75"/>
      <c r="H4254" s="369"/>
    </row>
    <row r="4255" spans="1:8" ht="13.2">
      <c r="A4255" s="49"/>
      <c r="C4255" s="143" t="e">
        <f>VLOOKUP(B4255,'Thống kê'!$C$3:$D$669,2,0)</f>
        <v>#N/A</v>
      </c>
      <c r="D4255" s="166" t="e">
        <f>VLOOKUP(B4255,'Thống kê'!$C$3:$M$682,4,0)</f>
        <v>#N/A</v>
      </c>
      <c r="E4255" s="167"/>
      <c r="F4255" s="168" t="e">
        <f t="shared" si="17"/>
        <v>#N/A</v>
      </c>
      <c r="G4255" s="75"/>
      <c r="H4255" s="369"/>
    </row>
    <row r="4256" spans="1:8" ht="13.2">
      <c r="A4256" s="49"/>
      <c r="C4256" s="143" t="e">
        <f>VLOOKUP(B4256,'Thống kê'!$C$3:$D$669,2,0)</f>
        <v>#N/A</v>
      </c>
      <c r="D4256" s="166" t="e">
        <f>VLOOKUP(B4256,'Thống kê'!$C$3:$M$682,4,0)</f>
        <v>#N/A</v>
      </c>
      <c r="E4256" s="167"/>
      <c r="F4256" s="168" t="e">
        <f t="shared" si="17"/>
        <v>#N/A</v>
      </c>
      <c r="G4256" s="75"/>
      <c r="H4256" s="369"/>
    </row>
    <row r="4257" spans="1:8" ht="13.2">
      <c r="A4257" s="49"/>
      <c r="C4257" s="143" t="e">
        <f>VLOOKUP(B4257,'Thống kê'!$C$3:$D$669,2,0)</f>
        <v>#N/A</v>
      </c>
      <c r="D4257" s="166" t="e">
        <f>VLOOKUP(B4257,'Thống kê'!$C$3:$M$682,4,0)</f>
        <v>#N/A</v>
      </c>
      <c r="E4257" s="167"/>
      <c r="F4257" s="168" t="e">
        <f t="shared" si="17"/>
        <v>#N/A</v>
      </c>
      <c r="G4257" s="75"/>
      <c r="H4257" s="369"/>
    </row>
    <row r="4258" spans="1:8" ht="13.2">
      <c r="A4258" s="49"/>
      <c r="C4258" s="143" t="e">
        <f>VLOOKUP(B4258,'Thống kê'!$C$3:$D$669,2,0)</f>
        <v>#N/A</v>
      </c>
      <c r="D4258" s="166" t="e">
        <f>VLOOKUP(B4258,'Thống kê'!$C$3:$M$682,4,0)</f>
        <v>#N/A</v>
      </c>
      <c r="E4258" s="167"/>
      <c r="F4258" s="168" t="e">
        <f t="shared" si="17"/>
        <v>#N/A</v>
      </c>
      <c r="G4258" s="75"/>
      <c r="H4258" s="205"/>
    </row>
    <row r="4259" spans="1:8" ht="13.2">
      <c r="A4259" s="49"/>
      <c r="C4259" s="143" t="e">
        <f>VLOOKUP(B4259,'Thống kê'!$C$3:$D$669,2,0)</f>
        <v>#N/A</v>
      </c>
      <c r="D4259" s="166" t="e">
        <f>VLOOKUP(B4259,'Thống kê'!$C$3:$M$682,4,0)</f>
        <v>#N/A</v>
      </c>
      <c r="E4259" s="167"/>
      <c r="F4259" s="168" t="e">
        <f t="shared" si="17"/>
        <v>#N/A</v>
      </c>
      <c r="G4259" s="75"/>
      <c r="H4259" s="407"/>
    </row>
    <row r="4260" spans="1:8" ht="13.2">
      <c r="A4260" s="49"/>
      <c r="C4260" s="143" t="e">
        <f>VLOOKUP(B4260,'Thống kê'!$C$3:$D$669,2,0)</f>
        <v>#N/A</v>
      </c>
      <c r="D4260" s="166" t="e">
        <f>VLOOKUP(B4260,'Thống kê'!$C$3:$M$682,4,0)</f>
        <v>#N/A</v>
      </c>
      <c r="E4260" s="167"/>
      <c r="F4260" s="168" t="e">
        <f t="shared" si="17"/>
        <v>#N/A</v>
      </c>
      <c r="G4260" s="75"/>
      <c r="H4260" s="369"/>
    </row>
    <row r="4261" spans="1:8" ht="13.2">
      <c r="A4261" s="49"/>
      <c r="C4261" s="143" t="e">
        <f>VLOOKUP(B4261,'Thống kê'!$C$3:$D$669,2,0)</f>
        <v>#N/A</v>
      </c>
      <c r="D4261" s="166" t="e">
        <f>VLOOKUP(B4261,'Thống kê'!$C$3:$M$682,4,0)</f>
        <v>#N/A</v>
      </c>
      <c r="E4261" s="167"/>
      <c r="F4261" s="168" t="e">
        <f t="shared" si="17"/>
        <v>#N/A</v>
      </c>
      <c r="G4261" s="75"/>
      <c r="H4261" s="407"/>
    </row>
    <row r="4262" spans="1:8" ht="13.2">
      <c r="A4262" s="49"/>
      <c r="C4262" s="143" t="e">
        <f>VLOOKUP(B4262,'Thống kê'!$C$3:$D$669,2,0)</f>
        <v>#N/A</v>
      </c>
      <c r="D4262" s="166" t="e">
        <f>VLOOKUP(B4262,'Thống kê'!$C$3:$M$682,4,0)</f>
        <v>#N/A</v>
      </c>
      <c r="E4262" s="167"/>
      <c r="F4262" s="168" t="e">
        <f t="shared" si="17"/>
        <v>#N/A</v>
      </c>
      <c r="G4262" s="75"/>
      <c r="H4262" s="369"/>
    </row>
    <row r="4263" spans="1:8" ht="13.2">
      <c r="A4263" s="49"/>
      <c r="C4263" s="143" t="e">
        <f>VLOOKUP(B4263,'Thống kê'!$C$3:$D$669,2,0)</f>
        <v>#N/A</v>
      </c>
      <c r="D4263" s="166" t="e">
        <f>VLOOKUP(B4263,'Thống kê'!$C$3:$M$682,4,0)</f>
        <v>#N/A</v>
      </c>
      <c r="E4263" s="167"/>
      <c r="F4263" s="168" t="e">
        <f t="shared" si="17"/>
        <v>#N/A</v>
      </c>
      <c r="G4263" s="75"/>
      <c r="H4263" s="369"/>
    </row>
    <row r="4264" spans="1:8" ht="13.2">
      <c r="A4264" s="49"/>
      <c r="C4264" s="143" t="e">
        <f>VLOOKUP(B4264,'Thống kê'!$C$3:$D$669,2,0)</f>
        <v>#N/A</v>
      </c>
      <c r="D4264" s="166" t="e">
        <f>VLOOKUP(B4264,'Thống kê'!$C$3:$M$682,4,0)</f>
        <v>#N/A</v>
      </c>
      <c r="E4264" s="167"/>
      <c r="F4264" s="168" t="e">
        <f t="shared" si="17"/>
        <v>#N/A</v>
      </c>
      <c r="G4264" s="75"/>
      <c r="H4264" s="369"/>
    </row>
    <row r="4265" spans="1:8" ht="13.2">
      <c r="A4265" s="49"/>
      <c r="C4265" s="143" t="e">
        <f>VLOOKUP(B4265,'Thống kê'!$C$3:$D$669,2,0)</f>
        <v>#N/A</v>
      </c>
      <c r="D4265" s="166" t="e">
        <f>VLOOKUP(B4265,'Thống kê'!$C$3:$M$682,4,0)</f>
        <v>#N/A</v>
      </c>
      <c r="E4265" s="167"/>
      <c r="F4265" s="168" t="e">
        <f t="shared" si="17"/>
        <v>#N/A</v>
      </c>
      <c r="G4265" s="75"/>
      <c r="H4265" s="369"/>
    </row>
    <row r="4266" spans="1:8" ht="13.2">
      <c r="A4266" s="49"/>
      <c r="C4266" s="143" t="e">
        <f>VLOOKUP(B4266,'Thống kê'!$C$3:$D$669,2,0)</f>
        <v>#N/A</v>
      </c>
      <c r="D4266" s="166" t="e">
        <f>VLOOKUP(B4266,'Thống kê'!$C$3:$M$682,4,0)</f>
        <v>#N/A</v>
      </c>
      <c r="E4266" s="167"/>
      <c r="F4266" s="168" t="e">
        <f t="shared" si="17"/>
        <v>#N/A</v>
      </c>
      <c r="G4266" s="75"/>
      <c r="H4266" s="407"/>
    </row>
    <row r="4267" spans="1:8" ht="13.2">
      <c r="A4267" s="49"/>
      <c r="C4267" s="143" t="e">
        <f>VLOOKUP(B4267,'Thống kê'!$C$3:$D$669,2,0)</f>
        <v>#N/A</v>
      </c>
      <c r="D4267" s="166" t="e">
        <f>VLOOKUP(B4267,'Thống kê'!$C$3:$M$682,4,0)</f>
        <v>#N/A</v>
      </c>
      <c r="E4267" s="167"/>
      <c r="F4267" s="168" t="e">
        <f t="shared" si="17"/>
        <v>#N/A</v>
      </c>
      <c r="G4267" s="75"/>
      <c r="H4267" s="369"/>
    </row>
    <row r="4268" spans="1:8" ht="13.2">
      <c r="A4268" s="49"/>
      <c r="C4268" s="143" t="e">
        <f>VLOOKUP(B4268,'Thống kê'!$C$3:$D$669,2,0)</f>
        <v>#N/A</v>
      </c>
      <c r="D4268" s="166" t="e">
        <f>VLOOKUP(B4268,'Thống kê'!$C$3:$M$682,4,0)</f>
        <v>#N/A</v>
      </c>
      <c r="E4268" s="167"/>
      <c r="F4268" s="168" t="e">
        <f t="shared" si="17"/>
        <v>#N/A</v>
      </c>
      <c r="G4268" s="75"/>
      <c r="H4268" s="205"/>
    </row>
    <row r="4269" spans="1:8" ht="13.2">
      <c r="A4269" s="49"/>
      <c r="C4269" s="143" t="e">
        <f>VLOOKUP(B4269,'Thống kê'!$C$3:$D$669,2,0)</f>
        <v>#N/A</v>
      </c>
      <c r="D4269" s="166" t="e">
        <f>VLOOKUP(B4269,'Thống kê'!$C$3:$M$682,4,0)</f>
        <v>#N/A</v>
      </c>
      <c r="E4269" s="167"/>
      <c r="F4269" s="168" t="e">
        <f t="shared" si="17"/>
        <v>#N/A</v>
      </c>
      <c r="G4269" s="75"/>
      <c r="H4269" s="407"/>
    </row>
    <row r="4270" spans="1:8" ht="13.2">
      <c r="A4270" s="49"/>
      <c r="C4270" s="143" t="e">
        <f>VLOOKUP(B4270,'Thống kê'!$C$3:$D$669,2,0)</f>
        <v>#N/A</v>
      </c>
      <c r="D4270" s="166" t="e">
        <f>VLOOKUP(B4270,'Thống kê'!$C$3:$M$682,4,0)</f>
        <v>#N/A</v>
      </c>
      <c r="E4270" s="167"/>
      <c r="F4270" s="168" t="e">
        <f t="shared" si="17"/>
        <v>#N/A</v>
      </c>
      <c r="G4270" s="75"/>
      <c r="H4270" s="369"/>
    </row>
    <row r="4271" spans="1:8" ht="13.2">
      <c r="A4271" s="49"/>
      <c r="C4271" s="143" t="e">
        <f>VLOOKUP(B4271,'Thống kê'!$C$3:$D$669,2,0)</f>
        <v>#N/A</v>
      </c>
      <c r="D4271" s="166" t="e">
        <f>VLOOKUP(B4271,'Thống kê'!$C$3:$M$682,4,0)</f>
        <v>#N/A</v>
      </c>
      <c r="E4271" s="167"/>
      <c r="F4271" s="168" t="e">
        <f t="shared" si="17"/>
        <v>#N/A</v>
      </c>
      <c r="G4271" s="75"/>
      <c r="H4271" s="205"/>
    </row>
    <row r="4272" spans="1:8" ht="13.2">
      <c r="A4272" s="49"/>
      <c r="C4272" s="143" t="e">
        <f>VLOOKUP(B4272,'Thống kê'!$C$3:$D$669,2,0)</f>
        <v>#N/A</v>
      </c>
      <c r="D4272" s="166" t="e">
        <f>VLOOKUP(B4272,'Thống kê'!$C$3:$M$682,4,0)</f>
        <v>#N/A</v>
      </c>
      <c r="E4272" s="167"/>
      <c r="F4272" s="168" t="e">
        <f t="shared" si="17"/>
        <v>#N/A</v>
      </c>
      <c r="G4272" s="75"/>
      <c r="H4272" s="407"/>
    </row>
    <row r="4273" spans="1:8" ht="13.2">
      <c r="A4273" s="49"/>
      <c r="C4273" s="143" t="e">
        <f>VLOOKUP(B4273,'Thống kê'!$C$3:$D$669,2,0)</f>
        <v>#N/A</v>
      </c>
      <c r="D4273" s="166" t="e">
        <f>VLOOKUP(B4273,'Thống kê'!$C$3:$M$682,4,0)</f>
        <v>#N/A</v>
      </c>
      <c r="E4273" s="167"/>
      <c r="F4273" s="168" t="e">
        <f t="shared" si="17"/>
        <v>#N/A</v>
      </c>
      <c r="G4273" s="75"/>
      <c r="H4273" s="369"/>
    </row>
    <row r="4274" spans="1:8" ht="13.2">
      <c r="A4274" s="49"/>
      <c r="C4274" s="143" t="e">
        <f>VLOOKUP(B4274,'Thống kê'!$C$3:$D$669,2,0)</f>
        <v>#N/A</v>
      </c>
      <c r="D4274" s="166" t="e">
        <f>VLOOKUP(B4274,'Thống kê'!$C$3:$M$682,4,0)</f>
        <v>#N/A</v>
      </c>
      <c r="E4274" s="167"/>
      <c r="F4274" s="168" t="e">
        <f t="shared" si="17"/>
        <v>#N/A</v>
      </c>
      <c r="G4274" s="75"/>
      <c r="H4274" s="205"/>
    </row>
    <row r="4275" spans="1:8" ht="13.2">
      <c r="A4275" s="49"/>
      <c r="C4275" s="143" t="e">
        <f>VLOOKUP(B4275,'Thống kê'!$C$3:$D$669,2,0)</f>
        <v>#N/A</v>
      </c>
      <c r="D4275" s="166" t="e">
        <f>VLOOKUP(B4275,'Thống kê'!$C$3:$M$682,4,0)</f>
        <v>#N/A</v>
      </c>
      <c r="E4275" s="167"/>
      <c r="F4275" s="168" t="e">
        <f t="shared" si="17"/>
        <v>#N/A</v>
      </c>
      <c r="G4275" s="75"/>
      <c r="H4275" s="205"/>
    </row>
    <row r="4276" spans="1:8" ht="13.2">
      <c r="A4276" s="49"/>
      <c r="C4276" s="143" t="e">
        <f>VLOOKUP(B4276,'Thống kê'!$C$3:$D$669,2,0)</f>
        <v>#N/A</v>
      </c>
      <c r="D4276" s="166" t="e">
        <f>VLOOKUP(B4276,'Thống kê'!$C$3:$M$682,4,0)</f>
        <v>#N/A</v>
      </c>
      <c r="E4276" s="167"/>
      <c r="F4276" s="168" t="e">
        <f t="shared" si="17"/>
        <v>#N/A</v>
      </c>
      <c r="G4276" s="75"/>
      <c r="H4276" s="407"/>
    </row>
    <row r="4277" spans="1:8" ht="13.2">
      <c r="A4277" s="49"/>
      <c r="C4277" s="143" t="e">
        <f>VLOOKUP(B4277,'Thống kê'!$C$3:$D$669,2,0)</f>
        <v>#N/A</v>
      </c>
      <c r="D4277" s="166" t="e">
        <f>VLOOKUP(B4277,'Thống kê'!$C$3:$M$682,4,0)</f>
        <v>#N/A</v>
      </c>
      <c r="E4277" s="167"/>
      <c r="F4277" s="168" t="e">
        <f t="shared" si="17"/>
        <v>#N/A</v>
      </c>
      <c r="G4277" s="75"/>
      <c r="H4277" s="369"/>
    </row>
    <row r="4278" spans="1:8" ht="13.2">
      <c r="A4278" s="64"/>
      <c r="C4278" s="143" t="e">
        <f>VLOOKUP(B4278,'Thống kê'!$C$3:$D$669,2,0)</f>
        <v>#N/A</v>
      </c>
      <c r="D4278" s="166" t="e">
        <f>VLOOKUP(B4278,'Thống kê'!$C$3:$M$682,4,0)</f>
        <v>#N/A</v>
      </c>
      <c r="E4278" s="167"/>
      <c r="F4278" s="168" t="e">
        <f t="shared" si="17"/>
        <v>#N/A</v>
      </c>
      <c r="G4278" s="75"/>
      <c r="H4278" s="407"/>
    </row>
    <row r="4279" spans="1:8" ht="13.2">
      <c r="A4279" s="49"/>
      <c r="C4279" s="143" t="e">
        <f>VLOOKUP(B4279,'Thống kê'!$C$3:$D$669,2,0)</f>
        <v>#N/A</v>
      </c>
      <c r="D4279" s="166" t="e">
        <f>VLOOKUP(B4279,'Thống kê'!$C$3:$M$682,4,0)</f>
        <v>#N/A</v>
      </c>
      <c r="E4279" s="167"/>
      <c r="F4279" s="168" t="e">
        <f t="shared" si="17"/>
        <v>#N/A</v>
      </c>
      <c r="G4279" s="75"/>
      <c r="H4279" s="369"/>
    </row>
    <row r="4280" spans="1:8" ht="13.2">
      <c r="A4280" s="49"/>
      <c r="C4280" s="143" t="e">
        <f>VLOOKUP(B4280,'Thống kê'!$C$3:$D$669,2,0)</f>
        <v>#N/A</v>
      </c>
      <c r="D4280" s="166" t="e">
        <f>VLOOKUP(B4280,'Thống kê'!$C$3:$M$682,4,0)</f>
        <v>#N/A</v>
      </c>
      <c r="E4280" s="167"/>
      <c r="F4280" s="168" t="e">
        <f t="shared" si="17"/>
        <v>#N/A</v>
      </c>
      <c r="G4280" s="75"/>
      <c r="H4280" s="407"/>
    </row>
    <row r="4281" spans="1:8" ht="13.2">
      <c r="A4281" s="49"/>
      <c r="C4281" s="143" t="e">
        <f>VLOOKUP(B4281,'Thống kê'!$C$3:$D$669,2,0)</f>
        <v>#N/A</v>
      </c>
      <c r="D4281" s="166" t="e">
        <f>VLOOKUP(B4281,'Thống kê'!$C$3:$M$682,4,0)</f>
        <v>#N/A</v>
      </c>
      <c r="E4281" s="167"/>
      <c r="F4281" s="168" t="e">
        <f t="shared" si="17"/>
        <v>#N/A</v>
      </c>
      <c r="G4281" s="75"/>
      <c r="H4281" s="369"/>
    </row>
    <row r="4282" spans="1:8" ht="13.2">
      <c r="A4282" s="49"/>
      <c r="C4282" s="143" t="e">
        <f>VLOOKUP(B4282,'Thống kê'!$C$3:$D$669,2,0)</f>
        <v>#N/A</v>
      </c>
      <c r="D4282" s="166" t="e">
        <f>VLOOKUP(B4282,'Thống kê'!$C$3:$M$682,4,0)</f>
        <v>#N/A</v>
      </c>
      <c r="E4282" s="167"/>
      <c r="F4282" s="168" t="e">
        <f t="shared" si="17"/>
        <v>#N/A</v>
      </c>
      <c r="G4282" s="75"/>
      <c r="H4282" s="407"/>
    </row>
    <row r="4283" spans="1:8" ht="13.2">
      <c r="A4283" s="49"/>
      <c r="C4283" s="143" t="e">
        <f>VLOOKUP(B4283,'Thống kê'!$C$3:$D$669,2,0)</f>
        <v>#N/A</v>
      </c>
      <c r="D4283" s="166" t="e">
        <f>VLOOKUP(B4283,'Thống kê'!$C$3:$M$682,4,0)</f>
        <v>#N/A</v>
      </c>
      <c r="E4283" s="167"/>
      <c r="F4283" s="168" t="e">
        <f t="shared" si="17"/>
        <v>#N/A</v>
      </c>
      <c r="G4283" s="75"/>
      <c r="H4283" s="369"/>
    </row>
    <row r="4284" spans="1:8" ht="13.2">
      <c r="A4284" s="49"/>
      <c r="C4284" s="143" t="e">
        <f>VLOOKUP(B4284,'Thống kê'!$C$3:$D$669,2,0)</f>
        <v>#N/A</v>
      </c>
      <c r="D4284" s="166" t="e">
        <f>VLOOKUP(B4284,'Thống kê'!$C$3:$M$682,4,0)</f>
        <v>#N/A</v>
      </c>
      <c r="E4284" s="167"/>
      <c r="F4284" s="168" t="e">
        <f t="shared" si="17"/>
        <v>#N/A</v>
      </c>
      <c r="G4284" s="75"/>
      <c r="H4284" s="407"/>
    </row>
    <row r="4285" spans="1:8" ht="13.2">
      <c r="A4285" s="49"/>
      <c r="C4285" s="143" t="e">
        <f>VLOOKUP(B4285,'Thống kê'!$C$3:$D$669,2,0)</f>
        <v>#N/A</v>
      </c>
      <c r="D4285" s="166" t="e">
        <f>VLOOKUP(B4285,'Thống kê'!$C$3:$M$682,4,0)</f>
        <v>#N/A</v>
      </c>
      <c r="E4285" s="167"/>
      <c r="F4285" s="168" t="e">
        <f t="shared" si="17"/>
        <v>#N/A</v>
      </c>
      <c r="G4285" s="75"/>
      <c r="H4285" s="369"/>
    </row>
    <row r="4286" spans="1:8" ht="13.2">
      <c r="A4286" s="49"/>
      <c r="C4286" s="143" t="e">
        <f>VLOOKUP(B4286,'Thống kê'!$C$3:$D$669,2,0)</f>
        <v>#N/A</v>
      </c>
      <c r="D4286" s="166" t="e">
        <f>VLOOKUP(B4286,'Thống kê'!$C$3:$M$682,4,0)</f>
        <v>#N/A</v>
      </c>
      <c r="E4286" s="167"/>
      <c r="F4286" s="168" t="e">
        <f t="shared" si="17"/>
        <v>#N/A</v>
      </c>
      <c r="G4286" s="75"/>
      <c r="H4286" s="407"/>
    </row>
    <row r="4287" spans="1:8" ht="13.2">
      <c r="A4287" s="49"/>
      <c r="C4287" s="143" t="e">
        <f>VLOOKUP(B4287,'Thống kê'!$C$3:$D$669,2,0)</f>
        <v>#N/A</v>
      </c>
      <c r="D4287" s="166" t="e">
        <f>VLOOKUP(B4287,'Thống kê'!$C$3:$M$682,4,0)</f>
        <v>#N/A</v>
      </c>
      <c r="E4287" s="167"/>
      <c r="F4287" s="168" t="e">
        <f t="shared" si="17"/>
        <v>#N/A</v>
      </c>
      <c r="G4287" s="75"/>
      <c r="H4287" s="369"/>
    </row>
    <row r="4288" spans="1:8" ht="13.2">
      <c r="A4288" s="49"/>
      <c r="C4288" s="143" t="e">
        <f>VLOOKUP(B4288,'Thống kê'!$C$3:$D$669,2,0)</f>
        <v>#N/A</v>
      </c>
      <c r="D4288" s="166" t="e">
        <f>VLOOKUP(B4288,'Thống kê'!$C$3:$M$682,4,0)</f>
        <v>#N/A</v>
      </c>
      <c r="E4288" s="167"/>
      <c r="F4288" s="168" t="e">
        <f t="shared" si="17"/>
        <v>#N/A</v>
      </c>
      <c r="G4288" s="75"/>
      <c r="H4288" s="369"/>
    </row>
    <row r="4289" spans="1:8" ht="13.2">
      <c r="A4289" s="49"/>
      <c r="C4289" s="143" t="e">
        <f>VLOOKUP(B4289,'Thống kê'!$C$3:$D$669,2,0)</f>
        <v>#N/A</v>
      </c>
      <c r="D4289" s="166" t="e">
        <f>VLOOKUP(B4289,'Thống kê'!$C$3:$M$682,4,0)</f>
        <v>#N/A</v>
      </c>
      <c r="E4289" s="167"/>
      <c r="F4289" s="168" t="e">
        <f t="shared" si="17"/>
        <v>#N/A</v>
      </c>
      <c r="G4289" s="75"/>
      <c r="H4289" s="369"/>
    </row>
    <row r="4290" spans="1:8" ht="13.2">
      <c r="A4290" s="49"/>
      <c r="C4290" s="143" t="e">
        <f>VLOOKUP(B4290,'Thống kê'!$C$3:$D$669,2,0)</f>
        <v>#N/A</v>
      </c>
      <c r="D4290" s="166" t="e">
        <f>VLOOKUP(B4290,'Thống kê'!$C$3:$M$682,4,0)</f>
        <v>#N/A</v>
      </c>
      <c r="E4290" s="167"/>
      <c r="F4290" s="168" t="e">
        <f t="shared" si="17"/>
        <v>#N/A</v>
      </c>
      <c r="G4290" s="75"/>
      <c r="H4290" s="369"/>
    </row>
    <row r="4291" spans="1:8" ht="13.2">
      <c r="A4291" s="49"/>
      <c r="C4291" s="143" t="e">
        <f>VLOOKUP(B4291,'Thống kê'!$C$3:$D$669,2,0)</f>
        <v>#N/A</v>
      </c>
      <c r="D4291" s="166" t="e">
        <f>VLOOKUP(B4291,'Thống kê'!$C$3:$M$682,4,0)</f>
        <v>#N/A</v>
      </c>
      <c r="E4291" s="167"/>
      <c r="F4291" s="168" t="e">
        <f t="shared" si="17"/>
        <v>#N/A</v>
      </c>
      <c r="G4291" s="75"/>
      <c r="H4291" s="369"/>
    </row>
    <row r="4292" spans="1:8" ht="13.2">
      <c r="A4292" s="49"/>
      <c r="C4292" s="143" t="e">
        <f>VLOOKUP(B4292,'Thống kê'!$C$3:$D$669,2,0)</f>
        <v>#N/A</v>
      </c>
      <c r="D4292" s="166" t="e">
        <f>VLOOKUP(B4292,'Thống kê'!$C$3:$M$682,4,0)</f>
        <v>#N/A</v>
      </c>
      <c r="E4292" s="167"/>
      <c r="F4292" s="168" t="e">
        <f t="shared" si="17"/>
        <v>#N/A</v>
      </c>
      <c r="G4292" s="75"/>
      <c r="H4292" s="205"/>
    </row>
    <row r="4293" spans="1:8" ht="13.2">
      <c r="A4293" s="49"/>
      <c r="C4293" s="143" t="e">
        <f>VLOOKUP(B4293,'Thống kê'!$C$3:$D$669,2,0)</f>
        <v>#N/A</v>
      </c>
      <c r="D4293" s="166" t="e">
        <f>VLOOKUP(B4293,'Thống kê'!$C$3:$M$682,4,0)</f>
        <v>#N/A</v>
      </c>
      <c r="E4293" s="167"/>
      <c r="F4293" s="168" t="e">
        <f t="shared" si="17"/>
        <v>#N/A</v>
      </c>
      <c r="G4293" s="75"/>
      <c r="H4293" s="407"/>
    </row>
    <row r="4294" spans="1:8" ht="13.2">
      <c r="A4294" s="49"/>
      <c r="C4294" s="143" t="e">
        <f>VLOOKUP(B4294,'Thống kê'!$C$3:$D$669,2,0)</f>
        <v>#N/A</v>
      </c>
      <c r="D4294" s="166" t="e">
        <f>VLOOKUP(B4294,'Thống kê'!$C$3:$M$682,4,0)</f>
        <v>#N/A</v>
      </c>
      <c r="E4294" s="167"/>
      <c r="F4294" s="168" t="e">
        <f t="shared" si="17"/>
        <v>#N/A</v>
      </c>
      <c r="G4294" s="75"/>
      <c r="H4294" s="369"/>
    </row>
    <row r="4295" spans="1:8" ht="13.2">
      <c r="A4295" s="49"/>
      <c r="C4295" s="143" t="e">
        <f>VLOOKUP(B4295,'Thống kê'!$C$3:$D$669,2,0)</f>
        <v>#N/A</v>
      </c>
      <c r="D4295" s="166" t="e">
        <f>VLOOKUP(B4295,'Thống kê'!$C$3:$M$682,4,0)</f>
        <v>#N/A</v>
      </c>
      <c r="E4295" s="167"/>
      <c r="F4295" s="168" t="e">
        <f t="shared" si="17"/>
        <v>#N/A</v>
      </c>
      <c r="G4295" s="75"/>
      <c r="H4295" s="369"/>
    </row>
    <row r="4296" spans="1:8" ht="13.2">
      <c r="A4296" s="49"/>
      <c r="C4296" s="143" t="e">
        <f>VLOOKUP(B4296,'Thống kê'!$C$3:$D$669,2,0)</f>
        <v>#N/A</v>
      </c>
      <c r="D4296" s="166" t="e">
        <f>VLOOKUP(B4296,'Thống kê'!$C$3:$M$682,4,0)</f>
        <v>#N/A</v>
      </c>
      <c r="E4296" s="167"/>
      <c r="F4296" s="168" t="e">
        <f t="shared" si="17"/>
        <v>#N/A</v>
      </c>
      <c r="G4296" s="75"/>
      <c r="H4296" s="369"/>
    </row>
    <row r="4297" spans="1:8" ht="13.2">
      <c r="A4297" s="49"/>
      <c r="C4297" s="143" t="e">
        <f>VLOOKUP(B4297,'Thống kê'!$C$3:$D$669,2,0)</f>
        <v>#N/A</v>
      </c>
      <c r="D4297" s="166" t="e">
        <f>VLOOKUP(B4297,'Thống kê'!$C$3:$M$682,4,0)</f>
        <v>#N/A</v>
      </c>
      <c r="E4297" s="167"/>
      <c r="F4297" s="168" t="e">
        <f t="shared" si="17"/>
        <v>#N/A</v>
      </c>
      <c r="G4297" s="75"/>
      <c r="H4297" s="407"/>
    </row>
    <row r="4298" spans="1:8" ht="13.2">
      <c r="A4298" s="49"/>
      <c r="C4298" s="143" t="e">
        <f>VLOOKUP(B4298,'Thống kê'!$C$3:$D$669,2,0)</f>
        <v>#N/A</v>
      </c>
      <c r="D4298" s="166" t="e">
        <f>VLOOKUP(B4298,'Thống kê'!$C$3:$M$682,4,0)</f>
        <v>#N/A</v>
      </c>
      <c r="E4298" s="167"/>
      <c r="F4298" s="168" t="e">
        <f t="shared" si="17"/>
        <v>#N/A</v>
      </c>
      <c r="G4298" s="75"/>
      <c r="H4298" s="369"/>
    </row>
    <row r="4299" spans="1:8" ht="13.2">
      <c r="A4299" s="49"/>
      <c r="C4299" s="143" t="e">
        <f>VLOOKUP(B4299,'Thống kê'!$C$3:$D$669,2,0)</f>
        <v>#N/A</v>
      </c>
      <c r="D4299" s="166" t="e">
        <f>VLOOKUP(B4299,'Thống kê'!$C$3:$M$682,4,0)</f>
        <v>#N/A</v>
      </c>
      <c r="E4299" s="167"/>
      <c r="F4299" s="168" t="e">
        <f t="shared" si="17"/>
        <v>#N/A</v>
      </c>
      <c r="G4299" s="75"/>
      <c r="H4299" s="205"/>
    </row>
    <row r="4300" spans="1:8" ht="13.2">
      <c r="A4300" s="49"/>
      <c r="C4300" s="143" t="e">
        <f>VLOOKUP(B4300,'Thống kê'!$C$3:$D$669,2,0)</f>
        <v>#N/A</v>
      </c>
      <c r="D4300" s="166" t="e">
        <f>VLOOKUP(B4300,'Thống kê'!$C$3:$M$682,4,0)</f>
        <v>#N/A</v>
      </c>
      <c r="E4300" s="167"/>
      <c r="F4300" s="168" t="e">
        <f t="shared" si="17"/>
        <v>#N/A</v>
      </c>
      <c r="G4300" s="75"/>
      <c r="H4300" s="407"/>
    </row>
    <row r="4301" spans="1:8" ht="13.2">
      <c r="A4301" s="49"/>
      <c r="C4301" s="143" t="e">
        <f>VLOOKUP(B4301,'Thống kê'!$C$3:$D$669,2,0)</f>
        <v>#N/A</v>
      </c>
      <c r="D4301" s="166" t="e">
        <f>VLOOKUP(B4301,'Thống kê'!$C$3:$M$682,4,0)</f>
        <v>#N/A</v>
      </c>
      <c r="E4301" s="167"/>
      <c r="F4301" s="168" t="e">
        <f t="shared" si="17"/>
        <v>#N/A</v>
      </c>
      <c r="G4301" s="75"/>
      <c r="H4301" s="369"/>
    </row>
    <row r="4302" spans="1:8" ht="13.2">
      <c r="A4302" s="49"/>
      <c r="C4302" s="143" t="e">
        <f>VLOOKUP(B4302,'Thống kê'!$C$3:$D$669,2,0)</f>
        <v>#N/A</v>
      </c>
      <c r="D4302" s="166" t="e">
        <f>VLOOKUP(B4302,'Thống kê'!$C$3:$M$682,4,0)</f>
        <v>#N/A</v>
      </c>
      <c r="E4302" s="167"/>
      <c r="F4302" s="168" t="e">
        <f t="shared" si="17"/>
        <v>#N/A</v>
      </c>
      <c r="G4302" s="75"/>
      <c r="H4302" s="369"/>
    </row>
    <row r="4303" spans="1:8" ht="13.2">
      <c r="A4303" s="49"/>
      <c r="C4303" s="143" t="e">
        <f>VLOOKUP(B4303,'Thống kê'!$C$3:$D$669,2,0)</f>
        <v>#N/A</v>
      </c>
      <c r="D4303" s="166" t="e">
        <f>VLOOKUP(B4303,'Thống kê'!$C$3:$M$682,4,0)</f>
        <v>#N/A</v>
      </c>
      <c r="E4303" s="167"/>
      <c r="F4303" s="168" t="e">
        <f t="shared" si="17"/>
        <v>#N/A</v>
      </c>
      <c r="G4303" s="75"/>
      <c r="H4303" s="407"/>
    </row>
    <row r="4304" spans="1:8" ht="13.2">
      <c r="A4304" s="49"/>
      <c r="C4304" s="143" t="e">
        <f>VLOOKUP(B4304,'Thống kê'!$C$3:$D$669,2,0)</f>
        <v>#N/A</v>
      </c>
      <c r="D4304" s="166" t="e">
        <f>VLOOKUP(B4304,'Thống kê'!$C$3:$M$682,4,0)</f>
        <v>#N/A</v>
      </c>
      <c r="E4304" s="167"/>
      <c r="F4304" s="168" t="e">
        <f t="shared" si="17"/>
        <v>#N/A</v>
      </c>
      <c r="G4304" s="75"/>
      <c r="H4304" s="369"/>
    </row>
    <row r="4305" spans="1:8" ht="13.2">
      <c r="A4305" s="49"/>
      <c r="C4305" s="143" t="e">
        <f>VLOOKUP(B4305,'Thống kê'!$C$3:$D$669,2,0)</f>
        <v>#N/A</v>
      </c>
      <c r="D4305" s="166" t="e">
        <f>VLOOKUP(B4305,'Thống kê'!$C$3:$M$682,4,0)</f>
        <v>#N/A</v>
      </c>
      <c r="E4305" s="167"/>
      <c r="F4305" s="168" t="e">
        <f t="shared" si="17"/>
        <v>#N/A</v>
      </c>
      <c r="G4305" s="75"/>
      <c r="H4305" s="369"/>
    </row>
    <row r="4306" spans="1:8" ht="13.2">
      <c r="A4306" s="49"/>
      <c r="C4306" s="143" t="e">
        <f>VLOOKUP(B4306,'Thống kê'!$C$3:$D$669,2,0)</f>
        <v>#N/A</v>
      </c>
      <c r="D4306" s="166" t="e">
        <f>VLOOKUP(B4306,'Thống kê'!$C$3:$M$682,4,0)</f>
        <v>#N/A</v>
      </c>
      <c r="E4306" s="167"/>
      <c r="F4306" s="168" t="e">
        <f t="shared" si="17"/>
        <v>#N/A</v>
      </c>
      <c r="G4306" s="75"/>
      <c r="H4306" s="205"/>
    </row>
    <row r="4307" spans="1:8" ht="13.2">
      <c r="A4307" s="49"/>
      <c r="C4307" s="143" t="e">
        <f>VLOOKUP(B4307,'Thống kê'!$C$3:$D$669,2,0)</f>
        <v>#N/A</v>
      </c>
      <c r="D4307" s="166" t="e">
        <f>VLOOKUP(B4307,'Thống kê'!$C$3:$M$682,4,0)</f>
        <v>#N/A</v>
      </c>
      <c r="E4307" s="167"/>
      <c r="F4307" s="168" t="e">
        <f t="shared" si="17"/>
        <v>#N/A</v>
      </c>
      <c r="G4307" s="75"/>
      <c r="H4307" s="205"/>
    </row>
    <row r="4308" spans="1:8" ht="13.2">
      <c r="A4308" s="49"/>
      <c r="C4308" s="143" t="e">
        <f>VLOOKUP(B4308,'Thống kê'!$C$3:$D$669,2,0)</f>
        <v>#N/A</v>
      </c>
      <c r="D4308" s="166" t="e">
        <f>VLOOKUP(B4308,'Thống kê'!$C$3:$M$682,4,0)</f>
        <v>#N/A</v>
      </c>
      <c r="E4308" s="167"/>
      <c r="F4308" s="168" t="e">
        <f t="shared" si="17"/>
        <v>#N/A</v>
      </c>
      <c r="G4308" s="75"/>
      <c r="H4308" s="205"/>
    </row>
    <row r="4309" spans="1:8" ht="13.2">
      <c r="A4309" s="49"/>
      <c r="C4309" s="143" t="e">
        <f>VLOOKUP(B4309,'Thống kê'!$C$3:$D$669,2,0)</f>
        <v>#N/A</v>
      </c>
      <c r="D4309" s="166" t="e">
        <f>VLOOKUP(B4309,'Thống kê'!$C$3:$M$682,4,0)</f>
        <v>#N/A</v>
      </c>
      <c r="E4309" s="167"/>
      <c r="F4309" s="168" t="e">
        <f t="shared" si="17"/>
        <v>#N/A</v>
      </c>
      <c r="G4309" s="75"/>
      <c r="H4309" s="205"/>
    </row>
    <row r="4310" spans="1:8" ht="13.2">
      <c r="A4310" s="64"/>
      <c r="C4310" s="143" t="e">
        <f>VLOOKUP(B4310,'Thống kê'!$C$3:$D$669,2,0)</f>
        <v>#N/A</v>
      </c>
      <c r="D4310" s="166" t="e">
        <f>VLOOKUP(B4310,'Thống kê'!$C$3:$M$682,4,0)</f>
        <v>#N/A</v>
      </c>
      <c r="E4310" s="167"/>
      <c r="F4310" s="168" t="e">
        <f t="shared" si="17"/>
        <v>#N/A</v>
      </c>
      <c r="G4310" s="75"/>
      <c r="H4310" s="205"/>
    </row>
    <row r="4311" spans="1:8" ht="13.2">
      <c r="A4311" s="49"/>
      <c r="C4311" s="143" t="e">
        <f>VLOOKUP(B4311,'Thống kê'!$C$3:$D$669,2,0)</f>
        <v>#N/A</v>
      </c>
      <c r="D4311" s="166" t="e">
        <f>VLOOKUP(B4311,'Thống kê'!$C$3:$M$682,4,0)</f>
        <v>#N/A</v>
      </c>
      <c r="E4311" s="167"/>
      <c r="F4311" s="168" t="e">
        <f t="shared" si="17"/>
        <v>#N/A</v>
      </c>
      <c r="G4311" s="75"/>
      <c r="H4311" s="407"/>
    </row>
    <row r="4312" spans="1:8" ht="13.2">
      <c r="A4312" s="49"/>
      <c r="C4312" s="143" t="e">
        <f>VLOOKUP(B4312,'Thống kê'!$C$3:$D$669,2,0)</f>
        <v>#N/A</v>
      </c>
      <c r="D4312" s="166" t="e">
        <f>VLOOKUP(B4312,'Thống kê'!$C$3:$M$682,4,0)</f>
        <v>#N/A</v>
      </c>
      <c r="E4312" s="167"/>
      <c r="F4312" s="168" t="e">
        <f t="shared" si="17"/>
        <v>#N/A</v>
      </c>
      <c r="G4312" s="75"/>
      <c r="H4312" s="369"/>
    </row>
    <row r="4313" spans="1:8" ht="13.2">
      <c r="A4313" s="49"/>
      <c r="C4313" s="143" t="e">
        <f>VLOOKUP(B4313,'Thống kê'!$C$3:$D$669,2,0)</f>
        <v>#N/A</v>
      </c>
      <c r="D4313" s="166" t="e">
        <f>VLOOKUP(B4313,'Thống kê'!$C$3:$M$682,4,0)</f>
        <v>#N/A</v>
      </c>
      <c r="E4313" s="167"/>
      <c r="F4313" s="168" t="e">
        <f t="shared" si="17"/>
        <v>#N/A</v>
      </c>
      <c r="G4313" s="75"/>
      <c r="H4313" s="205"/>
    </row>
    <row r="4314" spans="1:8" ht="13.2">
      <c r="A4314" s="49"/>
      <c r="C4314" s="143" t="e">
        <f>VLOOKUP(B4314,'Thống kê'!$C$3:$D$669,2,0)</f>
        <v>#N/A</v>
      </c>
      <c r="D4314" s="166" t="e">
        <f>VLOOKUP(B4314,'Thống kê'!$C$3:$M$682,4,0)</f>
        <v>#N/A</v>
      </c>
      <c r="E4314" s="167"/>
      <c r="F4314" s="168" t="e">
        <f t="shared" si="17"/>
        <v>#N/A</v>
      </c>
      <c r="G4314" s="75"/>
      <c r="H4314" s="407"/>
    </row>
    <row r="4315" spans="1:8" ht="13.2">
      <c r="A4315" s="49"/>
      <c r="C4315" s="143" t="e">
        <f>VLOOKUP(B4315,'Thống kê'!$C$3:$D$669,2,0)</f>
        <v>#N/A</v>
      </c>
      <c r="D4315" s="166" t="e">
        <f>VLOOKUP(B4315,'Thống kê'!$C$3:$M$682,4,0)</f>
        <v>#N/A</v>
      </c>
      <c r="E4315" s="167"/>
      <c r="F4315" s="168" t="e">
        <f t="shared" si="17"/>
        <v>#N/A</v>
      </c>
      <c r="G4315" s="75"/>
      <c r="H4315" s="369"/>
    </row>
    <row r="4316" spans="1:8" ht="13.2">
      <c r="A4316" s="49"/>
      <c r="C4316" s="143" t="e">
        <f>VLOOKUP(B4316,'Thống kê'!$C$3:$D$669,2,0)</f>
        <v>#N/A</v>
      </c>
      <c r="D4316" s="166" t="e">
        <f>VLOOKUP(B4316,'Thống kê'!$C$3:$M$682,4,0)</f>
        <v>#N/A</v>
      </c>
      <c r="E4316" s="167"/>
      <c r="F4316" s="168" t="e">
        <f t="shared" si="17"/>
        <v>#N/A</v>
      </c>
      <c r="G4316" s="75"/>
      <c r="H4316" s="369"/>
    </row>
    <row r="4317" spans="1:8" ht="13.2">
      <c r="A4317" s="49"/>
      <c r="C4317" s="143" t="e">
        <f>VLOOKUP(B4317,'Thống kê'!$C$3:$D$669,2,0)</f>
        <v>#N/A</v>
      </c>
      <c r="D4317" s="166" t="e">
        <f>VLOOKUP(B4317,'Thống kê'!$C$3:$M$682,4,0)</f>
        <v>#N/A</v>
      </c>
      <c r="E4317" s="167"/>
      <c r="F4317" s="168" t="e">
        <f t="shared" si="17"/>
        <v>#N/A</v>
      </c>
      <c r="G4317" s="75"/>
      <c r="H4317" s="369"/>
    </row>
    <row r="4318" spans="1:8" ht="13.2">
      <c r="A4318" s="49"/>
      <c r="C4318" s="143" t="e">
        <f>VLOOKUP(B4318,'Thống kê'!$C$3:$D$669,2,0)</f>
        <v>#N/A</v>
      </c>
      <c r="D4318" s="166" t="e">
        <f>VLOOKUP(B4318,'Thống kê'!$C$3:$M$682,4,0)</f>
        <v>#N/A</v>
      </c>
      <c r="E4318" s="167"/>
      <c r="F4318" s="168" t="e">
        <f t="shared" si="17"/>
        <v>#N/A</v>
      </c>
      <c r="G4318" s="75"/>
      <c r="H4318" s="205"/>
    </row>
    <row r="4319" spans="1:8" ht="13.2">
      <c r="A4319" s="49"/>
      <c r="C4319" s="143" t="e">
        <f>VLOOKUP(B4319,'Thống kê'!$C$3:$D$669,2,0)</f>
        <v>#N/A</v>
      </c>
      <c r="D4319" s="166" t="e">
        <f>VLOOKUP(B4319,'Thống kê'!$C$3:$M$682,4,0)</f>
        <v>#N/A</v>
      </c>
      <c r="E4319" s="167"/>
      <c r="F4319" s="168" t="e">
        <f t="shared" si="17"/>
        <v>#N/A</v>
      </c>
      <c r="G4319" s="75"/>
      <c r="H4319" s="205"/>
    </row>
    <row r="4320" spans="1:8" ht="13.2">
      <c r="A4320" s="49"/>
      <c r="C4320" s="143" t="e">
        <f>VLOOKUP(B4320,'Thống kê'!$C$3:$D$669,2,0)</f>
        <v>#N/A</v>
      </c>
      <c r="D4320" s="166" t="e">
        <f>VLOOKUP(B4320,'Thống kê'!$C$3:$M$682,4,0)</f>
        <v>#N/A</v>
      </c>
      <c r="E4320" s="167"/>
      <c r="F4320" s="168" t="e">
        <f t="shared" si="17"/>
        <v>#N/A</v>
      </c>
      <c r="G4320" s="75"/>
      <c r="H4320" s="205"/>
    </row>
    <row r="4321" spans="1:8" ht="13.2">
      <c r="A4321" s="49"/>
      <c r="C4321" s="143" t="e">
        <f>VLOOKUP(B4321,'Thống kê'!$C$3:$D$669,2,0)</f>
        <v>#N/A</v>
      </c>
      <c r="D4321" s="166" t="e">
        <f>VLOOKUP(B4321,'Thống kê'!$C$3:$M$682,4,0)</f>
        <v>#N/A</v>
      </c>
      <c r="E4321" s="167"/>
      <c r="F4321" s="168" t="e">
        <f t="shared" si="17"/>
        <v>#N/A</v>
      </c>
      <c r="G4321" s="75"/>
      <c r="H4321" s="407"/>
    </row>
    <row r="4322" spans="1:8" ht="13.2">
      <c r="A4322" s="49"/>
      <c r="C4322" s="143" t="e">
        <f>VLOOKUP(B4322,'Thống kê'!$C$3:$D$669,2,0)</f>
        <v>#N/A</v>
      </c>
      <c r="D4322" s="166" t="e">
        <f>VLOOKUP(B4322,'Thống kê'!$C$3:$M$682,4,0)</f>
        <v>#N/A</v>
      </c>
      <c r="E4322" s="167"/>
      <c r="F4322" s="168" t="e">
        <f t="shared" si="17"/>
        <v>#N/A</v>
      </c>
      <c r="G4322" s="75"/>
      <c r="H4322" s="369"/>
    </row>
    <row r="4323" spans="1:8" ht="13.2">
      <c r="A4323" s="49"/>
      <c r="C4323" s="143" t="e">
        <f>VLOOKUP(B4323,'Thống kê'!$C$3:$D$669,2,0)</f>
        <v>#N/A</v>
      </c>
      <c r="D4323" s="166" t="e">
        <f>VLOOKUP(B4323,'Thống kê'!$C$3:$M$682,4,0)</f>
        <v>#N/A</v>
      </c>
      <c r="E4323" s="167"/>
      <c r="F4323" s="168" t="e">
        <f t="shared" si="17"/>
        <v>#N/A</v>
      </c>
      <c r="G4323" s="75"/>
      <c r="H4323" s="407"/>
    </row>
    <row r="4324" spans="1:8" ht="13.2">
      <c r="A4324" s="49"/>
      <c r="C4324" s="143" t="e">
        <f>VLOOKUP(B4324,'Thống kê'!$C$3:$D$669,2,0)</f>
        <v>#N/A</v>
      </c>
      <c r="D4324" s="166" t="e">
        <f>VLOOKUP(B4324,'Thống kê'!$C$3:$M$682,4,0)</f>
        <v>#N/A</v>
      </c>
      <c r="E4324" s="167"/>
      <c r="F4324" s="168" t="e">
        <f t="shared" si="17"/>
        <v>#N/A</v>
      </c>
      <c r="G4324" s="75"/>
      <c r="H4324" s="369"/>
    </row>
    <row r="4325" spans="1:8" ht="13.2">
      <c r="A4325" s="49"/>
      <c r="C4325" s="143" t="e">
        <f>VLOOKUP(B4325,'Thống kê'!$C$3:$D$669,2,0)</f>
        <v>#N/A</v>
      </c>
      <c r="D4325" s="166" t="e">
        <f>VLOOKUP(B4325,'Thống kê'!$C$3:$M$682,4,0)</f>
        <v>#N/A</v>
      </c>
      <c r="E4325" s="167"/>
      <c r="F4325" s="168" t="e">
        <f t="shared" si="17"/>
        <v>#N/A</v>
      </c>
      <c r="G4325" s="75"/>
      <c r="H4325" s="407"/>
    </row>
    <row r="4326" spans="1:8" ht="13.2">
      <c r="A4326" s="49"/>
      <c r="C4326" s="143" t="e">
        <f>VLOOKUP(B4326,'Thống kê'!$C$3:$D$669,2,0)</f>
        <v>#N/A</v>
      </c>
      <c r="D4326" s="166" t="e">
        <f>VLOOKUP(B4326,'Thống kê'!$C$3:$M$682,4,0)</f>
        <v>#N/A</v>
      </c>
      <c r="E4326" s="167"/>
      <c r="F4326" s="168" t="e">
        <f t="shared" si="17"/>
        <v>#N/A</v>
      </c>
      <c r="G4326" s="75"/>
      <c r="H4326" s="369"/>
    </row>
    <row r="4327" spans="1:8" ht="13.2">
      <c r="A4327" s="49"/>
      <c r="C4327" s="143" t="e">
        <f>VLOOKUP(B4327,'Thống kê'!$C$3:$D$669,2,0)</f>
        <v>#N/A</v>
      </c>
      <c r="D4327" s="166" t="e">
        <f>VLOOKUP(B4327,'Thống kê'!$C$3:$M$682,4,0)</f>
        <v>#N/A</v>
      </c>
      <c r="E4327" s="167"/>
      <c r="F4327" s="168" t="e">
        <f t="shared" si="17"/>
        <v>#N/A</v>
      </c>
      <c r="G4327" s="75"/>
      <c r="H4327" s="407"/>
    </row>
    <row r="4328" spans="1:8" ht="13.2">
      <c r="A4328" s="49"/>
      <c r="C4328" s="143" t="e">
        <f>VLOOKUP(B4328,'Thống kê'!$C$3:$D$669,2,0)</f>
        <v>#N/A</v>
      </c>
      <c r="D4328" s="166" t="e">
        <f>VLOOKUP(B4328,'Thống kê'!$C$3:$M$682,4,0)</f>
        <v>#N/A</v>
      </c>
      <c r="E4328" s="167"/>
      <c r="F4328" s="168" t="e">
        <f t="shared" si="17"/>
        <v>#N/A</v>
      </c>
      <c r="G4328" s="75"/>
      <c r="H4328" s="369"/>
    </row>
    <row r="4329" spans="1:8" ht="13.2">
      <c r="A4329" s="49"/>
      <c r="C4329" s="143" t="e">
        <f>VLOOKUP(B4329,'Thống kê'!$C$3:$D$669,2,0)</f>
        <v>#N/A</v>
      </c>
      <c r="D4329" s="166" t="e">
        <f>VLOOKUP(B4329,'Thống kê'!$C$3:$M$682,4,0)</f>
        <v>#N/A</v>
      </c>
      <c r="E4329" s="167"/>
      <c r="F4329" s="168" t="e">
        <f t="shared" si="17"/>
        <v>#N/A</v>
      </c>
      <c r="G4329" s="75"/>
      <c r="H4329" s="369"/>
    </row>
    <row r="4330" spans="1:8" ht="13.2">
      <c r="A4330" s="49"/>
      <c r="C4330" s="143" t="e">
        <f>VLOOKUP(B4330,'Thống kê'!$C$3:$D$669,2,0)</f>
        <v>#N/A</v>
      </c>
      <c r="D4330" s="166" t="e">
        <f>VLOOKUP(B4330,'Thống kê'!$C$3:$M$682,4,0)</f>
        <v>#N/A</v>
      </c>
      <c r="E4330" s="167"/>
      <c r="F4330" s="168" t="e">
        <f t="shared" si="17"/>
        <v>#N/A</v>
      </c>
      <c r="G4330" s="75"/>
      <c r="H4330" s="407"/>
    </row>
    <row r="4331" spans="1:8" ht="13.2">
      <c r="A4331" s="49"/>
      <c r="C4331" s="143" t="e">
        <f>VLOOKUP(B4331,'Thống kê'!$C$3:$D$669,2,0)</f>
        <v>#N/A</v>
      </c>
      <c r="D4331" s="166" t="e">
        <f>VLOOKUP(B4331,'Thống kê'!$C$3:$M$682,4,0)</f>
        <v>#N/A</v>
      </c>
      <c r="E4331" s="167"/>
      <c r="F4331" s="168" t="e">
        <f t="shared" si="17"/>
        <v>#N/A</v>
      </c>
      <c r="G4331" s="75"/>
      <c r="H4331" s="369"/>
    </row>
    <row r="4332" spans="1:8" ht="13.2">
      <c r="A4332" s="49"/>
      <c r="C4332" s="143" t="e">
        <f>VLOOKUP(B4332,'Thống kê'!$C$3:$D$669,2,0)</f>
        <v>#N/A</v>
      </c>
      <c r="D4332" s="166" t="e">
        <f>VLOOKUP(B4332,'Thống kê'!$C$3:$M$682,4,0)</f>
        <v>#N/A</v>
      </c>
      <c r="E4332" s="167"/>
      <c r="F4332" s="168" t="e">
        <f t="shared" si="17"/>
        <v>#N/A</v>
      </c>
      <c r="G4332" s="75"/>
      <c r="H4332" s="407"/>
    </row>
    <row r="4333" spans="1:8" ht="13.2">
      <c r="A4333" s="49"/>
      <c r="C4333" s="143" t="e">
        <f>VLOOKUP(B4333,'Thống kê'!$C$3:$D$669,2,0)</f>
        <v>#N/A</v>
      </c>
      <c r="D4333" s="166" t="e">
        <f>VLOOKUP(B4333,'Thống kê'!$C$3:$M$682,4,0)</f>
        <v>#N/A</v>
      </c>
      <c r="E4333" s="167"/>
      <c r="F4333" s="168" t="e">
        <f t="shared" si="17"/>
        <v>#N/A</v>
      </c>
      <c r="G4333" s="75"/>
      <c r="H4333" s="369"/>
    </row>
    <row r="4334" spans="1:8" ht="13.2">
      <c r="A4334" s="49"/>
      <c r="C4334" s="143" t="e">
        <f>VLOOKUP(B4334,'Thống kê'!$C$3:$D$669,2,0)</f>
        <v>#N/A</v>
      </c>
      <c r="D4334" s="166" t="e">
        <f>VLOOKUP(B4334,'Thống kê'!$C$3:$M$682,4,0)</f>
        <v>#N/A</v>
      </c>
      <c r="E4334" s="167"/>
      <c r="F4334" s="168" t="e">
        <f t="shared" si="17"/>
        <v>#N/A</v>
      </c>
      <c r="G4334" s="75"/>
      <c r="H4334" s="205"/>
    </row>
    <row r="4335" spans="1:8" ht="13.2">
      <c r="A4335" s="49"/>
      <c r="C4335" s="143" t="e">
        <f>VLOOKUP(B4335,'Thống kê'!$C$3:$D$669,2,0)</f>
        <v>#N/A</v>
      </c>
      <c r="D4335" s="166" t="e">
        <f>VLOOKUP(B4335,'Thống kê'!$C$3:$M$682,4,0)</f>
        <v>#N/A</v>
      </c>
      <c r="E4335" s="167"/>
      <c r="F4335" s="168" t="e">
        <f t="shared" si="17"/>
        <v>#N/A</v>
      </c>
      <c r="G4335" s="75"/>
      <c r="H4335" s="205"/>
    </row>
    <row r="4336" spans="1:8" ht="13.2">
      <c r="A4336" s="49"/>
      <c r="C4336" s="143" t="e">
        <f>VLOOKUP(B4336,'Thống kê'!$C$3:$D$669,2,0)</f>
        <v>#N/A</v>
      </c>
      <c r="D4336" s="166" t="e">
        <f>VLOOKUP(B4336,'Thống kê'!$C$3:$M$682,4,0)</f>
        <v>#N/A</v>
      </c>
      <c r="E4336" s="167"/>
      <c r="F4336" s="168" t="e">
        <f t="shared" si="17"/>
        <v>#N/A</v>
      </c>
      <c r="G4336" s="75"/>
      <c r="H4336" s="407"/>
    </row>
    <row r="4337" spans="1:8" ht="13.2">
      <c r="A4337" s="49"/>
      <c r="C4337" s="143" t="e">
        <f>VLOOKUP(B4337,'Thống kê'!$C$3:$D$669,2,0)</f>
        <v>#N/A</v>
      </c>
      <c r="D4337" s="166" t="e">
        <f>VLOOKUP(B4337,'Thống kê'!$C$3:$M$682,4,0)</f>
        <v>#N/A</v>
      </c>
      <c r="E4337" s="167"/>
      <c r="F4337" s="168" t="e">
        <f t="shared" si="17"/>
        <v>#N/A</v>
      </c>
      <c r="G4337" s="75"/>
      <c r="H4337" s="369"/>
    </row>
    <row r="4338" spans="1:8" ht="13.2">
      <c r="A4338" s="49"/>
      <c r="C4338" s="143" t="e">
        <f>VLOOKUP(B4338,'Thống kê'!$C$3:$D$669,2,0)</f>
        <v>#N/A</v>
      </c>
      <c r="D4338" s="166" t="e">
        <f>VLOOKUP(B4338,'Thống kê'!$C$3:$M$682,4,0)</f>
        <v>#N/A</v>
      </c>
      <c r="E4338" s="167"/>
      <c r="F4338" s="168" t="e">
        <f t="shared" si="17"/>
        <v>#N/A</v>
      </c>
      <c r="G4338" s="75"/>
      <c r="H4338" s="407"/>
    </row>
    <row r="4339" spans="1:8" ht="13.2">
      <c r="A4339" s="49"/>
      <c r="C4339" s="143" t="e">
        <f>VLOOKUP(B4339,'Thống kê'!$C$3:$D$669,2,0)</f>
        <v>#N/A</v>
      </c>
      <c r="D4339" s="166" t="e">
        <f>VLOOKUP(B4339,'Thống kê'!$C$3:$M$682,4,0)</f>
        <v>#N/A</v>
      </c>
      <c r="E4339" s="167"/>
      <c r="F4339" s="168" t="e">
        <f t="shared" si="17"/>
        <v>#N/A</v>
      </c>
      <c r="G4339" s="75"/>
      <c r="H4339" s="369"/>
    </row>
    <row r="4340" spans="1:8" ht="13.2">
      <c r="A4340" s="49"/>
      <c r="C4340" s="143" t="e">
        <f>VLOOKUP(B4340,'Thống kê'!$C$3:$D$669,2,0)</f>
        <v>#N/A</v>
      </c>
      <c r="D4340" s="166" t="e">
        <f>VLOOKUP(B4340,'Thống kê'!$C$3:$M$682,4,0)</f>
        <v>#N/A</v>
      </c>
      <c r="E4340" s="167"/>
      <c r="F4340" s="168" t="e">
        <f t="shared" si="17"/>
        <v>#N/A</v>
      </c>
      <c r="G4340" s="75"/>
      <c r="H4340" s="407"/>
    </row>
    <row r="4341" spans="1:8" ht="13.2">
      <c r="A4341" s="49"/>
      <c r="C4341" s="143" t="e">
        <f>VLOOKUP(B4341,'Thống kê'!$C$3:$D$669,2,0)</f>
        <v>#N/A</v>
      </c>
      <c r="D4341" s="166" t="e">
        <f>VLOOKUP(B4341,'Thống kê'!$C$3:$M$682,4,0)</f>
        <v>#N/A</v>
      </c>
      <c r="E4341" s="167"/>
      <c r="F4341" s="168" t="e">
        <f t="shared" si="17"/>
        <v>#N/A</v>
      </c>
      <c r="G4341" s="75"/>
      <c r="H4341" s="369"/>
    </row>
    <row r="4342" spans="1:8" ht="13.2">
      <c r="A4342" s="49"/>
      <c r="C4342" s="143" t="e">
        <f>VLOOKUP(B4342,'Thống kê'!$C$3:$D$669,2,0)</f>
        <v>#N/A</v>
      </c>
      <c r="D4342" s="166" t="e">
        <f>VLOOKUP(B4342,'Thống kê'!$C$3:$M$682,4,0)</f>
        <v>#N/A</v>
      </c>
      <c r="E4342" s="167"/>
      <c r="F4342" s="168" t="e">
        <f t="shared" si="17"/>
        <v>#N/A</v>
      </c>
      <c r="G4342" s="75"/>
      <c r="H4342" s="407"/>
    </row>
    <row r="4343" spans="1:8" ht="13.2">
      <c r="A4343" s="49"/>
      <c r="C4343" s="143" t="e">
        <f>VLOOKUP(B4343,'Thống kê'!$C$3:$D$669,2,0)</f>
        <v>#N/A</v>
      </c>
      <c r="D4343" s="166" t="e">
        <f>VLOOKUP(B4343,'Thống kê'!$C$3:$M$682,4,0)</f>
        <v>#N/A</v>
      </c>
      <c r="E4343" s="167"/>
      <c r="F4343" s="168" t="e">
        <f t="shared" si="17"/>
        <v>#N/A</v>
      </c>
      <c r="G4343" s="75"/>
      <c r="H4343" s="369"/>
    </row>
    <row r="4344" spans="1:8" ht="13.2">
      <c r="A4344" s="49"/>
      <c r="C4344" s="143" t="e">
        <f>VLOOKUP(B4344,'Thống kê'!$C$3:$D$669,2,0)</f>
        <v>#N/A</v>
      </c>
      <c r="D4344" s="166" t="e">
        <f>VLOOKUP(B4344,'Thống kê'!$C$3:$M$682,4,0)</f>
        <v>#N/A</v>
      </c>
      <c r="E4344" s="167"/>
      <c r="F4344" s="168" t="e">
        <f t="shared" si="17"/>
        <v>#N/A</v>
      </c>
      <c r="G4344" s="75"/>
      <c r="H4344" s="369"/>
    </row>
    <row r="4345" spans="1:8" ht="13.2">
      <c r="A4345" s="49"/>
      <c r="C4345" s="143" t="e">
        <f>VLOOKUP(B4345,'Thống kê'!$C$3:$D$669,2,0)</f>
        <v>#N/A</v>
      </c>
      <c r="D4345" s="166" t="e">
        <f>VLOOKUP(B4345,'Thống kê'!$C$3:$M$682,4,0)</f>
        <v>#N/A</v>
      </c>
      <c r="E4345" s="167"/>
      <c r="F4345" s="168" t="e">
        <f t="shared" si="17"/>
        <v>#N/A</v>
      </c>
      <c r="G4345" s="75"/>
      <c r="H4345" s="369"/>
    </row>
    <row r="4346" spans="1:8" ht="13.2">
      <c r="A4346" s="49"/>
      <c r="C4346" s="143" t="e">
        <f>VLOOKUP(B4346,'Thống kê'!$C$3:$D$669,2,0)</f>
        <v>#N/A</v>
      </c>
      <c r="D4346" s="166" t="e">
        <f>VLOOKUP(B4346,'Thống kê'!$C$3:$M$682,4,0)</f>
        <v>#N/A</v>
      </c>
      <c r="E4346" s="167"/>
      <c r="F4346" s="168" t="e">
        <f t="shared" si="17"/>
        <v>#N/A</v>
      </c>
      <c r="G4346" s="75"/>
      <c r="H4346" s="407"/>
    </row>
    <row r="4347" spans="1:8" ht="13.2">
      <c r="A4347" s="49"/>
      <c r="C4347" s="143" t="e">
        <f>VLOOKUP(B4347,'Thống kê'!$C$3:$D$669,2,0)</f>
        <v>#N/A</v>
      </c>
      <c r="D4347" s="166" t="e">
        <f>VLOOKUP(B4347,'Thống kê'!$C$3:$M$682,4,0)</f>
        <v>#N/A</v>
      </c>
      <c r="E4347" s="167"/>
      <c r="F4347" s="168" t="e">
        <f t="shared" si="17"/>
        <v>#N/A</v>
      </c>
      <c r="G4347" s="75"/>
      <c r="H4347" s="369"/>
    </row>
    <row r="4348" spans="1:8" ht="13.2">
      <c r="A4348" s="49"/>
      <c r="C4348" s="143" t="e">
        <f>VLOOKUP(B4348,'Thống kê'!$C$3:$D$669,2,0)</f>
        <v>#N/A</v>
      </c>
      <c r="D4348" s="166" t="e">
        <f>VLOOKUP(B4348,'Thống kê'!$C$3:$M$682,4,0)</f>
        <v>#N/A</v>
      </c>
      <c r="E4348" s="167"/>
      <c r="F4348" s="168" t="e">
        <f t="shared" si="17"/>
        <v>#N/A</v>
      </c>
      <c r="G4348" s="75"/>
      <c r="H4348" s="369"/>
    </row>
    <row r="4349" spans="1:8" ht="13.2">
      <c r="A4349" s="49"/>
      <c r="C4349" s="143" t="e">
        <f>VLOOKUP(B4349,'Thống kê'!$C$3:$D$669,2,0)</f>
        <v>#N/A</v>
      </c>
      <c r="D4349" s="166" t="e">
        <f>VLOOKUP(B4349,'Thống kê'!$C$3:$M$682,4,0)</f>
        <v>#N/A</v>
      </c>
      <c r="E4349" s="167"/>
      <c r="F4349" s="168" t="e">
        <f t="shared" si="17"/>
        <v>#N/A</v>
      </c>
      <c r="G4349" s="75"/>
      <c r="H4349" s="205"/>
    </row>
    <row r="4350" spans="1:8" ht="13.2">
      <c r="A4350" s="49"/>
      <c r="C4350" s="143" t="e">
        <f>VLOOKUP(B4350,'Thống kê'!$C$3:$D$669,2,0)</f>
        <v>#N/A</v>
      </c>
      <c r="D4350" s="166" t="e">
        <f>VLOOKUP(B4350,'Thống kê'!$C$3:$M$682,4,0)</f>
        <v>#N/A</v>
      </c>
      <c r="E4350" s="167"/>
      <c r="F4350" s="168" t="e">
        <f t="shared" si="17"/>
        <v>#N/A</v>
      </c>
      <c r="G4350" s="75"/>
      <c r="H4350" s="205"/>
    </row>
    <row r="4351" spans="1:8" ht="13.2">
      <c r="A4351" s="49"/>
      <c r="C4351" s="143" t="e">
        <f>VLOOKUP(B4351,'Thống kê'!$C$3:$D$669,2,0)</f>
        <v>#N/A</v>
      </c>
      <c r="D4351" s="166" t="e">
        <f>VLOOKUP(B4351,'Thống kê'!$C$3:$M$682,4,0)</f>
        <v>#N/A</v>
      </c>
      <c r="E4351" s="167"/>
      <c r="F4351" s="168" t="e">
        <f t="shared" si="17"/>
        <v>#N/A</v>
      </c>
      <c r="G4351" s="75"/>
      <c r="H4351" s="407"/>
    </row>
    <row r="4352" spans="1:8" ht="13.2">
      <c r="A4352" s="49"/>
      <c r="C4352" s="143" t="e">
        <f>VLOOKUP(B4352,'Thống kê'!$C$3:$D$669,2,0)</f>
        <v>#N/A</v>
      </c>
      <c r="D4352" s="166" t="e">
        <f>VLOOKUP(B4352,'Thống kê'!$C$3:$M$682,4,0)</f>
        <v>#N/A</v>
      </c>
      <c r="E4352" s="167"/>
      <c r="F4352" s="168" t="e">
        <f t="shared" si="17"/>
        <v>#N/A</v>
      </c>
      <c r="G4352" s="75"/>
      <c r="H4352" s="369"/>
    </row>
    <row r="4353" spans="1:8" ht="13.2">
      <c r="A4353" s="49"/>
      <c r="C4353" s="143" t="e">
        <f>VLOOKUP(B4353,'Thống kê'!$C$3:$D$669,2,0)</f>
        <v>#N/A</v>
      </c>
      <c r="D4353" s="166" t="e">
        <f>VLOOKUP(B4353,'Thống kê'!$C$3:$M$682,4,0)</f>
        <v>#N/A</v>
      </c>
      <c r="E4353" s="167"/>
      <c r="F4353" s="168" t="e">
        <f t="shared" si="17"/>
        <v>#N/A</v>
      </c>
      <c r="G4353" s="75"/>
      <c r="H4353" s="407"/>
    </row>
    <row r="4354" spans="1:8" ht="13.2">
      <c r="A4354" s="49"/>
      <c r="C4354" s="143" t="e">
        <f>VLOOKUP(B4354,'Thống kê'!$C$3:$D$669,2,0)</f>
        <v>#N/A</v>
      </c>
      <c r="D4354" s="166" t="e">
        <f>VLOOKUP(B4354,'Thống kê'!$C$3:$M$682,4,0)</f>
        <v>#N/A</v>
      </c>
      <c r="E4354" s="167"/>
      <c r="F4354" s="168" t="e">
        <f t="shared" si="17"/>
        <v>#N/A</v>
      </c>
      <c r="G4354" s="75"/>
      <c r="H4354" s="369"/>
    </row>
    <row r="4355" spans="1:8" ht="13.2">
      <c r="A4355" s="49"/>
      <c r="C4355" s="143" t="e">
        <f>VLOOKUP(B4355,'Thống kê'!$C$3:$D$669,2,0)</f>
        <v>#N/A</v>
      </c>
      <c r="D4355" s="166" t="e">
        <f>VLOOKUP(B4355,'Thống kê'!$C$3:$M$682,4,0)</f>
        <v>#N/A</v>
      </c>
      <c r="E4355" s="167"/>
      <c r="F4355" s="168" t="e">
        <f t="shared" si="17"/>
        <v>#N/A</v>
      </c>
      <c r="G4355" s="75"/>
      <c r="H4355" s="205"/>
    </row>
    <row r="4356" spans="1:8" ht="13.2">
      <c r="A4356" s="49"/>
      <c r="C4356" s="143" t="e">
        <f>VLOOKUP(B4356,'Thống kê'!$C$3:$D$669,2,0)</f>
        <v>#N/A</v>
      </c>
      <c r="D4356" s="166" t="e">
        <f>VLOOKUP(B4356,'Thống kê'!$C$3:$M$682,4,0)</f>
        <v>#N/A</v>
      </c>
      <c r="E4356" s="167"/>
      <c r="F4356" s="168" t="e">
        <f t="shared" si="17"/>
        <v>#N/A</v>
      </c>
      <c r="G4356" s="75"/>
      <c r="H4356" s="205"/>
    </row>
    <row r="4357" spans="1:8" ht="13.2">
      <c r="A4357" s="49"/>
      <c r="C4357" s="143" t="e">
        <f>VLOOKUP(B4357,'Thống kê'!$C$3:$D$669,2,0)</f>
        <v>#N/A</v>
      </c>
      <c r="D4357" s="166" t="e">
        <f>VLOOKUP(B4357,'Thống kê'!$C$3:$M$682,4,0)</f>
        <v>#N/A</v>
      </c>
      <c r="E4357" s="167"/>
      <c r="F4357" s="168" t="e">
        <f t="shared" si="17"/>
        <v>#N/A</v>
      </c>
      <c r="G4357" s="75"/>
      <c r="H4357" s="407"/>
    </row>
    <row r="4358" spans="1:8" ht="13.2">
      <c r="A4358" s="49"/>
      <c r="C4358" s="143" t="e">
        <f>VLOOKUP(B4358,'Thống kê'!$C$3:$D$669,2,0)</f>
        <v>#N/A</v>
      </c>
      <c r="D4358" s="166" t="e">
        <f>VLOOKUP(B4358,'Thống kê'!$C$3:$M$682,4,0)</f>
        <v>#N/A</v>
      </c>
      <c r="E4358" s="167"/>
      <c r="F4358" s="168" t="e">
        <f t="shared" si="17"/>
        <v>#N/A</v>
      </c>
      <c r="G4358" s="75"/>
      <c r="H4358" s="369"/>
    </row>
    <row r="4359" spans="1:8" ht="13.2">
      <c r="A4359" s="49"/>
      <c r="C4359" s="143" t="e">
        <f>VLOOKUP(B4359,'Thống kê'!$C$3:$D$669,2,0)</f>
        <v>#N/A</v>
      </c>
      <c r="D4359" s="166" t="e">
        <f>VLOOKUP(B4359,'Thống kê'!$C$3:$M$682,4,0)</f>
        <v>#N/A</v>
      </c>
      <c r="E4359" s="167"/>
      <c r="F4359" s="168" t="e">
        <f t="shared" si="17"/>
        <v>#N/A</v>
      </c>
      <c r="G4359" s="75"/>
      <c r="H4359" s="205"/>
    </row>
    <row r="4360" spans="1:8" ht="13.2">
      <c r="A4360" s="49"/>
      <c r="C4360" s="143" t="e">
        <f>VLOOKUP(B4360,'Thống kê'!$C$3:$D$669,2,0)</f>
        <v>#N/A</v>
      </c>
      <c r="D4360" s="166" t="e">
        <f>VLOOKUP(B4360,'Thống kê'!$C$3:$M$682,4,0)</f>
        <v>#N/A</v>
      </c>
      <c r="E4360" s="167"/>
      <c r="F4360" s="168" t="e">
        <f t="shared" si="17"/>
        <v>#N/A</v>
      </c>
      <c r="G4360" s="75"/>
      <c r="H4360" s="407"/>
    </row>
    <row r="4361" spans="1:8" ht="13.2">
      <c r="A4361" s="49"/>
      <c r="C4361" s="143" t="e">
        <f>VLOOKUP(B4361,'Thống kê'!$C$3:$D$669,2,0)</f>
        <v>#N/A</v>
      </c>
      <c r="D4361" s="166" t="e">
        <f>VLOOKUP(B4361,'Thống kê'!$C$3:$M$682,4,0)</f>
        <v>#N/A</v>
      </c>
      <c r="E4361" s="167"/>
      <c r="F4361" s="168" t="e">
        <f t="shared" si="17"/>
        <v>#N/A</v>
      </c>
      <c r="G4361" s="75"/>
      <c r="H4361" s="369"/>
    </row>
    <row r="4362" spans="1:8" ht="13.2">
      <c r="A4362" s="49"/>
      <c r="C4362" s="143" t="e">
        <f>VLOOKUP(B4362,'Thống kê'!$C$3:$D$669,2,0)</f>
        <v>#N/A</v>
      </c>
      <c r="D4362" s="166" t="e">
        <f>VLOOKUP(B4362,'Thống kê'!$C$3:$M$682,4,0)</f>
        <v>#N/A</v>
      </c>
      <c r="E4362" s="167"/>
      <c r="F4362" s="168" t="e">
        <f t="shared" si="17"/>
        <v>#N/A</v>
      </c>
      <c r="G4362" s="75"/>
      <c r="H4362" s="407"/>
    </row>
    <row r="4363" spans="1:8" ht="13.2">
      <c r="A4363" s="49"/>
      <c r="C4363" s="143" t="e">
        <f>VLOOKUP(B4363,'Thống kê'!$C$3:$D$669,2,0)</f>
        <v>#N/A</v>
      </c>
      <c r="D4363" s="166" t="e">
        <f>VLOOKUP(B4363,'Thống kê'!$C$3:$M$682,4,0)</f>
        <v>#N/A</v>
      </c>
      <c r="E4363" s="167"/>
      <c r="F4363" s="168" t="e">
        <f t="shared" si="17"/>
        <v>#N/A</v>
      </c>
      <c r="G4363" s="75"/>
      <c r="H4363" s="369"/>
    </row>
    <row r="4364" spans="1:8" ht="13.2">
      <c r="A4364" s="49"/>
      <c r="C4364" s="143" t="e">
        <f>VLOOKUP(B4364,'Thống kê'!$C$3:$D$669,2,0)</f>
        <v>#N/A</v>
      </c>
      <c r="D4364" s="166" t="e">
        <f>VLOOKUP(B4364,'Thống kê'!$C$3:$M$682,4,0)</f>
        <v>#N/A</v>
      </c>
      <c r="E4364" s="167"/>
      <c r="F4364" s="168" t="e">
        <f t="shared" si="17"/>
        <v>#N/A</v>
      </c>
      <c r="G4364" s="75"/>
      <c r="H4364" s="369"/>
    </row>
    <row r="4365" spans="1:8" ht="13.2">
      <c r="A4365" s="64"/>
      <c r="C4365" s="143" t="e">
        <f>VLOOKUP(B4365,'Thống kê'!$C$3:$D$669,2,0)</f>
        <v>#N/A</v>
      </c>
      <c r="D4365" s="166" t="e">
        <f>VLOOKUP(B4365,'Thống kê'!$C$3:$M$682,4,0)</f>
        <v>#N/A</v>
      </c>
      <c r="E4365" s="167"/>
      <c r="F4365" s="168" t="e">
        <f t="shared" si="17"/>
        <v>#N/A</v>
      </c>
      <c r="G4365" s="75"/>
      <c r="H4365" s="205"/>
    </row>
    <row r="4366" spans="1:8" ht="13.2">
      <c r="A4366" s="49"/>
      <c r="C4366" s="143" t="e">
        <f>VLOOKUP(B4366,'Thống kê'!$C$3:$D$669,2,0)</f>
        <v>#N/A</v>
      </c>
      <c r="D4366" s="166" t="e">
        <f>VLOOKUP(B4366,'Thống kê'!$C$3:$M$682,4,0)</f>
        <v>#N/A</v>
      </c>
      <c r="E4366" s="167"/>
      <c r="F4366" s="168" t="e">
        <f t="shared" si="17"/>
        <v>#N/A</v>
      </c>
      <c r="G4366" s="75"/>
      <c r="H4366" s="205"/>
    </row>
    <row r="4367" spans="1:8" ht="13.2">
      <c r="A4367" s="49"/>
      <c r="C4367" s="143" t="e">
        <f>VLOOKUP(B4367,'Thống kê'!$C$3:$D$669,2,0)</f>
        <v>#N/A</v>
      </c>
      <c r="D4367" s="166" t="e">
        <f>VLOOKUP(B4367,'Thống kê'!$C$3:$M$682,4,0)</f>
        <v>#N/A</v>
      </c>
      <c r="E4367" s="167"/>
      <c r="F4367" s="168" t="e">
        <f t="shared" si="17"/>
        <v>#N/A</v>
      </c>
      <c r="G4367" s="75"/>
      <c r="H4367" s="205"/>
    </row>
    <row r="4368" spans="1:8" ht="13.2">
      <c r="A4368" s="49"/>
      <c r="C4368" s="143" t="e">
        <f>VLOOKUP(B4368,'Thống kê'!$C$3:$D$669,2,0)</f>
        <v>#N/A</v>
      </c>
      <c r="D4368" s="166" t="e">
        <f>VLOOKUP(B4368,'Thống kê'!$C$3:$M$682,4,0)</f>
        <v>#N/A</v>
      </c>
      <c r="E4368" s="167"/>
      <c r="F4368" s="168" t="e">
        <f t="shared" si="17"/>
        <v>#N/A</v>
      </c>
      <c r="G4368" s="75"/>
      <c r="H4368" s="407"/>
    </row>
    <row r="4369" spans="1:8" ht="13.2">
      <c r="A4369" s="49"/>
      <c r="C4369" s="143" t="e">
        <f>VLOOKUP(B4369,'Thống kê'!$C$3:$D$669,2,0)</f>
        <v>#N/A</v>
      </c>
      <c r="D4369" s="166" t="e">
        <f>VLOOKUP(B4369,'Thống kê'!$C$3:$M$682,4,0)</f>
        <v>#N/A</v>
      </c>
      <c r="E4369" s="167"/>
      <c r="F4369" s="168" t="e">
        <f t="shared" si="17"/>
        <v>#N/A</v>
      </c>
      <c r="G4369" s="75"/>
      <c r="H4369" s="369"/>
    </row>
    <row r="4370" spans="1:8" ht="13.2">
      <c r="A4370" s="49"/>
      <c r="C4370" s="143" t="e">
        <f>VLOOKUP(B4370,'Thống kê'!$C$3:$D$669,2,0)</f>
        <v>#N/A</v>
      </c>
      <c r="D4370" s="166" t="e">
        <f>VLOOKUP(B4370,'Thống kê'!$C$3:$M$682,4,0)</f>
        <v>#N/A</v>
      </c>
      <c r="E4370" s="167"/>
      <c r="F4370" s="168" t="e">
        <f t="shared" si="17"/>
        <v>#N/A</v>
      </c>
      <c r="G4370" s="75"/>
      <c r="H4370" s="407"/>
    </row>
    <row r="4371" spans="1:8" ht="13.2">
      <c r="A4371" s="49"/>
      <c r="C4371" s="143" t="e">
        <f>VLOOKUP(B4371,'Thống kê'!$C$3:$D$669,2,0)</f>
        <v>#N/A</v>
      </c>
      <c r="D4371" s="166" t="e">
        <f>VLOOKUP(B4371,'Thống kê'!$C$3:$M$682,4,0)</f>
        <v>#N/A</v>
      </c>
      <c r="E4371" s="167"/>
      <c r="F4371" s="168" t="e">
        <f t="shared" si="17"/>
        <v>#N/A</v>
      </c>
      <c r="G4371" s="75"/>
      <c r="H4371" s="369"/>
    </row>
    <row r="4372" spans="1:8" ht="13.2">
      <c r="A4372" s="49"/>
      <c r="C4372" s="143" t="e">
        <f>VLOOKUP(B4372,'Thống kê'!$C$3:$D$669,2,0)</f>
        <v>#N/A</v>
      </c>
      <c r="D4372" s="166" t="e">
        <f>VLOOKUP(B4372,'Thống kê'!$C$3:$M$682,4,0)</f>
        <v>#N/A</v>
      </c>
      <c r="E4372" s="167"/>
      <c r="F4372" s="168" t="e">
        <f t="shared" si="17"/>
        <v>#N/A</v>
      </c>
      <c r="G4372" s="75"/>
      <c r="H4372" s="205"/>
    </row>
    <row r="4373" spans="1:8" ht="13.2">
      <c r="A4373" s="49"/>
      <c r="C4373" s="143" t="e">
        <f>VLOOKUP(B4373,'Thống kê'!$C$3:$D$669,2,0)</f>
        <v>#N/A</v>
      </c>
      <c r="D4373" s="166" t="e">
        <f>VLOOKUP(B4373,'Thống kê'!$C$3:$M$682,4,0)</f>
        <v>#N/A</v>
      </c>
      <c r="E4373" s="167"/>
      <c r="F4373" s="168" t="e">
        <f t="shared" si="17"/>
        <v>#N/A</v>
      </c>
      <c r="G4373" s="75"/>
      <c r="H4373" s="205"/>
    </row>
    <row r="4374" spans="1:8" ht="13.2">
      <c r="A4374" s="49"/>
      <c r="C4374" s="143" t="e">
        <f>VLOOKUP(B4374,'Thống kê'!$C$3:$D$669,2,0)</f>
        <v>#N/A</v>
      </c>
      <c r="D4374" s="166" t="e">
        <f>VLOOKUP(B4374,'Thống kê'!$C$3:$M$682,4,0)</f>
        <v>#N/A</v>
      </c>
      <c r="E4374" s="167"/>
      <c r="F4374" s="168" t="e">
        <f t="shared" si="17"/>
        <v>#N/A</v>
      </c>
      <c r="G4374" s="75"/>
      <c r="H4374" s="407"/>
    </row>
    <row r="4375" spans="1:8" ht="13.2">
      <c r="A4375" s="49"/>
      <c r="C4375" s="143" t="e">
        <f>VLOOKUP(B4375,'Thống kê'!$C$3:$D$669,2,0)</f>
        <v>#N/A</v>
      </c>
      <c r="D4375" s="166" t="e">
        <f>VLOOKUP(B4375,'Thống kê'!$C$3:$M$682,4,0)</f>
        <v>#N/A</v>
      </c>
      <c r="E4375" s="167"/>
      <c r="F4375" s="168" t="e">
        <f t="shared" si="17"/>
        <v>#N/A</v>
      </c>
      <c r="G4375" s="75"/>
      <c r="H4375" s="369"/>
    </row>
    <row r="4376" spans="1:8" ht="13.2">
      <c r="A4376" s="49"/>
      <c r="C4376" s="143" t="e">
        <f>VLOOKUP(B4376,'Thống kê'!$C$3:$D$669,2,0)</f>
        <v>#N/A</v>
      </c>
      <c r="D4376" s="166" t="e">
        <f>VLOOKUP(B4376,'Thống kê'!$C$3:$M$682,4,0)</f>
        <v>#N/A</v>
      </c>
      <c r="E4376" s="167"/>
      <c r="F4376" s="168" t="e">
        <f t="shared" si="17"/>
        <v>#N/A</v>
      </c>
      <c r="G4376" s="75"/>
      <c r="H4376" s="407"/>
    </row>
    <row r="4377" spans="1:8" ht="13.2">
      <c r="A4377" s="49"/>
      <c r="C4377" s="143" t="e">
        <f>VLOOKUP(B4377,'Thống kê'!$C$3:$D$669,2,0)</f>
        <v>#N/A</v>
      </c>
      <c r="D4377" s="166" t="e">
        <f>VLOOKUP(B4377,'Thống kê'!$C$3:$M$682,4,0)</f>
        <v>#N/A</v>
      </c>
      <c r="E4377" s="167"/>
      <c r="F4377" s="168" t="e">
        <f t="shared" si="17"/>
        <v>#N/A</v>
      </c>
      <c r="G4377" s="75"/>
      <c r="H4377" s="369"/>
    </row>
    <row r="4378" spans="1:8" ht="13.2">
      <c r="A4378" s="49"/>
      <c r="C4378" s="143" t="e">
        <f>VLOOKUP(B4378,'Thống kê'!$C$3:$D$669,2,0)</f>
        <v>#N/A</v>
      </c>
      <c r="D4378" s="166" t="e">
        <f>VLOOKUP(B4378,'Thống kê'!$C$3:$M$682,4,0)</f>
        <v>#N/A</v>
      </c>
      <c r="E4378" s="167"/>
      <c r="F4378" s="168" t="e">
        <f t="shared" si="17"/>
        <v>#N/A</v>
      </c>
      <c r="G4378" s="75"/>
      <c r="H4378" s="407"/>
    </row>
    <row r="4379" spans="1:8" ht="13.2">
      <c r="A4379" s="49"/>
      <c r="C4379" s="143" t="e">
        <f>VLOOKUP(B4379,'Thống kê'!$C$3:$D$669,2,0)</f>
        <v>#N/A</v>
      </c>
      <c r="D4379" s="166" t="e">
        <f>VLOOKUP(B4379,'Thống kê'!$C$3:$M$682,4,0)</f>
        <v>#N/A</v>
      </c>
      <c r="E4379" s="167"/>
      <c r="F4379" s="168" t="e">
        <f t="shared" si="17"/>
        <v>#N/A</v>
      </c>
      <c r="G4379" s="75"/>
      <c r="H4379" s="369"/>
    </row>
    <row r="4380" spans="1:8" ht="13.2">
      <c r="A4380" s="49"/>
      <c r="C4380" s="143" t="e">
        <f>VLOOKUP(B4380,'Thống kê'!$C$3:$D$669,2,0)</f>
        <v>#N/A</v>
      </c>
      <c r="D4380" s="166" t="e">
        <f>VLOOKUP(B4380,'Thống kê'!$C$3:$M$682,4,0)</f>
        <v>#N/A</v>
      </c>
      <c r="E4380" s="167"/>
      <c r="F4380" s="168" t="e">
        <f t="shared" si="17"/>
        <v>#N/A</v>
      </c>
      <c r="G4380" s="75"/>
      <c r="H4380" s="407"/>
    </row>
    <row r="4381" spans="1:8" ht="13.2">
      <c r="A4381" s="49"/>
      <c r="C4381" s="143" t="e">
        <f>VLOOKUP(B4381,'Thống kê'!$C$3:$D$669,2,0)</f>
        <v>#N/A</v>
      </c>
      <c r="D4381" s="166" t="e">
        <f>VLOOKUP(B4381,'Thống kê'!$C$3:$M$682,4,0)</f>
        <v>#N/A</v>
      </c>
      <c r="E4381" s="167"/>
      <c r="F4381" s="168" t="e">
        <f t="shared" si="17"/>
        <v>#N/A</v>
      </c>
      <c r="G4381" s="75"/>
      <c r="H4381" s="369"/>
    </row>
    <row r="4382" spans="1:8" ht="13.2">
      <c r="A4382" s="49"/>
      <c r="C4382" s="143" t="e">
        <f>VLOOKUP(B4382,'Thống kê'!$C$3:$D$669,2,0)</f>
        <v>#N/A</v>
      </c>
      <c r="D4382" s="166" t="e">
        <f>VLOOKUP(B4382,'Thống kê'!$C$3:$M$682,4,0)</f>
        <v>#N/A</v>
      </c>
      <c r="E4382" s="167"/>
      <c r="F4382" s="168" t="e">
        <f t="shared" si="17"/>
        <v>#N/A</v>
      </c>
      <c r="G4382" s="75"/>
      <c r="H4382" s="369"/>
    </row>
    <row r="4383" spans="1:8" ht="13.2">
      <c r="A4383" s="49"/>
      <c r="C4383" s="143" t="e">
        <f>VLOOKUP(B4383,'Thống kê'!$C$3:$D$669,2,0)</f>
        <v>#N/A</v>
      </c>
      <c r="D4383" s="166" t="e">
        <f>VLOOKUP(B4383,'Thống kê'!$C$3:$M$682,4,0)</f>
        <v>#N/A</v>
      </c>
      <c r="E4383" s="167"/>
      <c r="F4383" s="168" t="e">
        <f t="shared" si="17"/>
        <v>#N/A</v>
      </c>
      <c r="G4383" s="75"/>
      <c r="H4383" s="407"/>
    </row>
    <row r="4384" spans="1:8" ht="13.2">
      <c r="A4384" s="49"/>
      <c r="C4384" s="143" t="e">
        <f>VLOOKUP(B4384,'Thống kê'!$C$3:$D$669,2,0)</f>
        <v>#N/A</v>
      </c>
      <c r="D4384" s="166" t="e">
        <f>VLOOKUP(B4384,'Thống kê'!$C$3:$M$682,4,0)</f>
        <v>#N/A</v>
      </c>
      <c r="E4384" s="167"/>
      <c r="F4384" s="168" t="e">
        <f t="shared" si="17"/>
        <v>#N/A</v>
      </c>
      <c r="G4384" s="75"/>
      <c r="H4384" s="369"/>
    </row>
    <row r="4385" spans="1:8" ht="13.2">
      <c r="A4385" s="49"/>
      <c r="C4385" s="143" t="e">
        <f>VLOOKUP(B4385,'Thống kê'!$C$3:$D$669,2,0)</f>
        <v>#N/A</v>
      </c>
      <c r="D4385" s="166" t="e">
        <f>VLOOKUP(B4385,'Thống kê'!$C$3:$M$682,4,0)</f>
        <v>#N/A</v>
      </c>
      <c r="E4385" s="167"/>
      <c r="F4385" s="168" t="e">
        <f t="shared" si="17"/>
        <v>#N/A</v>
      </c>
      <c r="G4385" s="75"/>
      <c r="H4385" s="369"/>
    </row>
    <row r="4386" spans="1:8" ht="13.2">
      <c r="A4386" s="49"/>
      <c r="C4386" s="143" t="e">
        <f>VLOOKUP(B4386,'Thống kê'!$C$3:$D$669,2,0)</f>
        <v>#N/A</v>
      </c>
      <c r="D4386" s="166" t="e">
        <f>VLOOKUP(B4386,'Thống kê'!$C$3:$M$682,4,0)</f>
        <v>#N/A</v>
      </c>
      <c r="E4386" s="167"/>
      <c r="F4386" s="168" t="e">
        <f t="shared" si="17"/>
        <v>#N/A</v>
      </c>
      <c r="G4386" s="75"/>
      <c r="H4386" s="205"/>
    </row>
    <row r="4387" spans="1:8" ht="13.2">
      <c r="A4387" s="49"/>
      <c r="C4387" s="143" t="e">
        <f>VLOOKUP(B4387,'Thống kê'!$C$3:$D$669,2,0)</f>
        <v>#N/A</v>
      </c>
      <c r="D4387" s="166" t="e">
        <f>VLOOKUP(B4387,'Thống kê'!$C$3:$M$682,4,0)</f>
        <v>#N/A</v>
      </c>
      <c r="E4387" s="167"/>
      <c r="F4387" s="168" t="e">
        <f t="shared" si="17"/>
        <v>#N/A</v>
      </c>
      <c r="G4387" s="75"/>
      <c r="H4387" s="205"/>
    </row>
    <row r="4388" spans="1:8" ht="13.2">
      <c r="A4388" s="49"/>
      <c r="C4388" s="143" t="e">
        <f>VLOOKUP(B4388,'Thống kê'!$C$3:$D$669,2,0)</f>
        <v>#N/A</v>
      </c>
      <c r="D4388" s="166" t="e">
        <f>VLOOKUP(B4388,'Thống kê'!$C$3:$M$682,4,0)</f>
        <v>#N/A</v>
      </c>
      <c r="E4388" s="167"/>
      <c r="F4388" s="168" t="e">
        <f t="shared" si="17"/>
        <v>#N/A</v>
      </c>
      <c r="G4388" s="75"/>
      <c r="H4388" s="407"/>
    </row>
    <row r="4389" spans="1:8" ht="13.2">
      <c r="A4389" s="49"/>
      <c r="C4389" s="143" t="e">
        <f>VLOOKUP(B4389,'Thống kê'!$C$3:$D$669,2,0)</f>
        <v>#N/A</v>
      </c>
      <c r="D4389" s="166" t="e">
        <f>VLOOKUP(B4389,'Thống kê'!$C$3:$M$682,4,0)</f>
        <v>#N/A</v>
      </c>
      <c r="E4389" s="167"/>
      <c r="F4389" s="168" t="e">
        <f t="shared" si="17"/>
        <v>#N/A</v>
      </c>
      <c r="G4389" s="75"/>
      <c r="H4389" s="369"/>
    </row>
    <row r="4390" spans="1:8" ht="13.2">
      <c r="A4390" s="49"/>
      <c r="C4390" s="143" t="e">
        <f>VLOOKUP(B4390,'Thống kê'!$C$3:$D$669,2,0)</f>
        <v>#N/A</v>
      </c>
      <c r="D4390" s="166" t="e">
        <f>VLOOKUP(B4390,'Thống kê'!$C$3:$M$682,4,0)</f>
        <v>#N/A</v>
      </c>
      <c r="E4390" s="167"/>
      <c r="F4390" s="168" t="e">
        <f t="shared" ref="F4390:F4644" si="18">D4390*E4390</f>
        <v>#N/A</v>
      </c>
      <c r="G4390" s="75"/>
      <c r="H4390" s="369"/>
    </row>
    <row r="4391" spans="1:8" ht="13.2">
      <c r="A4391" s="49"/>
      <c r="C4391" s="143" t="e">
        <f>VLOOKUP(B4391,'Thống kê'!$C$3:$D$669,2,0)</f>
        <v>#N/A</v>
      </c>
      <c r="D4391" s="166" t="e">
        <f>VLOOKUP(B4391,'Thống kê'!$C$3:$M$682,4,0)</f>
        <v>#N/A</v>
      </c>
      <c r="E4391" s="167"/>
      <c r="F4391" s="168" t="e">
        <f t="shared" si="18"/>
        <v>#N/A</v>
      </c>
      <c r="G4391" s="75"/>
      <c r="H4391" s="407"/>
    </row>
    <row r="4392" spans="1:8" ht="13.2">
      <c r="A4392" s="49"/>
      <c r="C4392" s="143" t="e">
        <f>VLOOKUP(B4392,'Thống kê'!$C$3:$D$669,2,0)</f>
        <v>#N/A</v>
      </c>
      <c r="D4392" s="166" t="e">
        <f>VLOOKUP(B4392,'Thống kê'!$C$3:$M$682,4,0)</f>
        <v>#N/A</v>
      </c>
      <c r="E4392" s="167"/>
      <c r="F4392" s="168" t="e">
        <f t="shared" si="18"/>
        <v>#N/A</v>
      </c>
      <c r="G4392" s="75"/>
      <c r="H4392" s="369"/>
    </row>
    <row r="4393" spans="1:8" ht="13.2">
      <c r="A4393" s="49"/>
      <c r="C4393" s="143" t="e">
        <f>VLOOKUP(B4393,'Thống kê'!$C$3:$D$669,2,0)</f>
        <v>#N/A</v>
      </c>
      <c r="D4393" s="166" t="e">
        <f>VLOOKUP(B4393,'Thống kê'!$C$3:$M$682,4,0)</f>
        <v>#N/A</v>
      </c>
      <c r="E4393" s="167"/>
      <c r="F4393" s="168" t="e">
        <f t="shared" si="18"/>
        <v>#N/A</v>
      </c>
      <c r="G4393" s="75"/>
      <c r="H4393" s="407"/>
    </row>
    <row r="4394" spans="1:8" ht="13.2">
      <c r="A4394" s="49"/>
      <c r="C4394" s="143" t="e">
        <f>VLOOKUP(B4394,'Thống kê'!$C$3:$D$669,2,0)</f>
        <v>#N/A</v>
      </c>
      <c r="D4394" s="166" t="e">
        <f>VLOOKUP(B4394,'Thống kê'!$C$3:$M$682,4,0)</f>
        <v>#N/A</v>
      </c>
      <c r="E4394" s="167"/>
      <c r="F4394" s="168" t="e">
        <f t="shared" si="18"/>
        <v>#N/A</v>
      </c>
      <c r="G4394" s="75"/>
      <c r="H4394" s="369"/>
    </row>
    <row r="4395" spans="1:8" ht="13.2">
      <c r="A4395" s="49"/>
      <c r="C4395" s="143" t="e">
        <f>VLOOKUP(B4395,'Thống kê'!$C$3:$D$669,2,0)</f>
        <v>#N/A</v>
      </c>
      <c r="D4395" s="166" t="e">
        <f>VLOOKUP(B4395,'Thống kê'!$C$3:$M$682,4,0)</f>
        <v>#N/A</v>
      </c>
      <c r="E4395" s="167"/>
      <c r="F4395" s="168" t="e">
        <f t="shared" si="18"/>
        <v>#N/A</v>
      </c>
      <c r="G4395" s="75"/>
      <c r="H4395" s="407"/>
    </row>
    <row r="4396" spans="1:8" ht="13.2">
      <c r="A4396" s="49"/>
      <c r="C4396" s="143" t="e">
        <f>VLOOKUP(B4396,'Thống kê'!$C$3:$D$669,2,0)</f>
        <v>#N/A</v>
      </c>
      <c r="D4396" s="166" t="e">
        <f>VLOOKUP(B4396,'Thống kê'!$C$3:$M$682,4,0)</f>
        <v>#N/A</v>
      </c>
      <c r="E4396" s="167"/>
      <c r="F4396" s="168" t="e">
        <f t="shared" si="18"/>
        <v>#N/A</v>
      </c>
      <c r="G4396" s="75"/>
      <c r="H4396" s="369"/>
    </row>
    <row r="4397" spans="1:8" ht="13.2">
      <c r="A4397" s="49"/>
      <c r="C4397" s="143" t="e">
        <f>VLOOKUP(B4397,'Thống kê'!$C$3:$D$669,2,0)</f>
        <v>#N/A</v>
      </c>
      <c r="D4397" s="166" t="e">
        <f>VLOOKUP(B4397,'Thống kê'!$C$3:$M$682,4,0)</f>
        <v>#N/A</v>
      </c>
      <c r="E4397" s="167"/>
      <c r="F4397" s="168" t="e">
        <f t="shared" si="18"/>
        <v>#N/A</v>
      </c>
      <c r="G4397" s="75"/>
      <c r="H4397" s="369"/>
    </row>
    <row r="4398" spans="1:8" ht="13.2">
      <c r="A4398" s="49"/>
      <c r="C4398" s="143" t="e">
        <f>VLOOKUP(B4398,'Thống kê'!$C$3:$D$669,2,0)</f>
        <v>#N/A</v>
      </c>
      <c r="D4398" s="166" t="e">
        <f>VLOOKUP(B4398,'Thống kê'!$C$3:$M$682,4,0)</f>
        <v>#N/A</v>
      </c>
      <c r="E4398" s="167"/>
      <c r="F4398" s="168" t="e">
        <f t="shared" si="18"/>
        <v>#N/A</v>
      </c>
      <c r="G4398" s="75"/>
      <c r="H4398" s="369"/>
    </row>
    <row r="4399" spans="1:8" ht="13.2">
      <c r="A4399" s="64"/>
      <c r="C4399" s="143" t="e">
        <f>VLOOKUP(B4399,'Thống kê'!$C$3:$D$669,2,0)</f>
        <v>#N/A</v>
      </c>
      <c r="D4399" s="166" t="e">
        <f>VLOOKUP(B4399,'Thống kê'!$C$3:$M$682,4,0)</f>
        <v>#N/A</v>
      </c>
      <c r="E4399" s="167"/>
      <c r="F4399" s="168" t="e">
        <f t="shared" si="18"/>
        <v>#N/A</v>
      </c>
      <c r="G4399" s="75"/>
      <c r="H4399" s="205"/>
    </row>
    <row r="4400" spans="1:8" ht="13.2">
      <c r="A4400" s="49"/>
      <c r="C4400" s="143" t="e">
        <f>VLOOKUP(B4400,'Thống kê'!$C$3:$D$669,2,0)</f>
        <v>#N/A</v>
      </c>
      <c r="D4400" s="166" t="e">
        <f>VLOOKUP(B4400,'Thống kê'!$C$3:$M$682,4,0)</f>
        <v>#N/A</v>
      </c>
      <c r="E4400" s="167"/>
      <c r="F4400" s="168" t="e">
        <f t="shared" si="18"/>
        <v>#N/A</v>
      </c>
      <c r="G4400" s="75"/>
      <c r="H4400" s="407"/>
    </row>
    <row r="4401" spans="1:8" ht="13.2">
      <c r="A4401" s="49"/>
      <c r="C4401" s="143" t="e">
        <f>VLOOKUP(B4401,'Thống kê'!$C$3:$D$669,2,0)</f>
        <v>#N/A</v>
      </c>
      <c r="D4401" s="166" t="e">
        <f>VLOOKUP(B4401,'Thống kê'!$C$3:$M$682,4,0)</f>
        <v>#N/A</v>
      </c>
      <c r="E4401" s="167"/>
      <c r="F4401" s="168" t="e">
        <f t="shared" si="18"/>
        <v>#N/A</v>
      </c>
      <c r="G4401" s="75"/>
      <c r="H4401" s="369"/>
    </row>
    <row r="4402" spans="1:8" ht="13.2">
      <c r="A4402" s="49"/>
      <c r="C4402" s="143" t="e">
        <f>VLOOKUP(B4402,'Thống kê'!$C$3:$D$669,2,0)</f>
        <v>#N/A</v>
      </c>
      <c r="D4402" s="166" t="e">
        <f>VLOOKUP(B4402,'Thống kê'!$C$3:$M$682,4,0)</f>
        <v>#N/A</v>
      </c>
      <c r="E4402" s="167"/>
      <c r="F4402" s="168" t="e">
        <f t="shared" si="18"/>
        <v>#N/A</v>
      </c>
      <c r="G4402" s="75"/>
      <c r="H4402" s="407"/>
    </row>
    <row r="4403" spans="1:8" ht="13.2">
      <c r="A4403" s="49"/>
      <c r="C4403" s="143" t="e">
        <f>VLOOKUP(B4403,'Thống kê'!$C$3:$D$669,2,0)</f>
        <v>#N/A</v>
      </c>
      <c r="D4403" s="166" t="e">
        <f>VLOOKUP(B4403,'Thống kê'!$C$3:$M$682,4,0)</f>
        <v>#N/A</v>
      </c>
      <c r="E4403" s="167"/>
      <c r="F4403" s="168" t="e">
        <f t="shared" si="18"/>
        <v>#N/A</v>
      </c>
      <c r="G4403" s="75"/>
      <c r="H4403" s="369"/>
    </row>
    <row r="4404" spans="1:8" ht="13.2">
      <c r="A4404" s="49"/>
      <c r="C4404" s="143" t="e">
        <f>VLOOKUP(B4404,'Thống kê'!$C$3:$D$669,2,0)</f>
        <v>#N/A</v>
      </c>
      <c r="D4404" s="166" t="e">
        <f>VLOOKUP(B4404,'Thống kê'!$C$3:$M$682,4,0)</f>
        <v>#N/A</v>
      </c>
      <c r="E4404" s="167"/>
      <c r="F4404" s="168" t="e">
        <f t="shared" si="18"/>
        <v>#N/A</v>
      </c>
      <c r="G4404" s="75"/>
      <c r="H4404" s="369"/>
    </row>
    <row r="4405" spans="1:8" ht="13.2">
      <c r="A4405" s="49"/>
      <c r="C4405" s="143" t="e">
        <f>VLOOKUP(B4405,'Thống kê'!$C$3:$D$669,2,0)</f>
        <v>#N/A</v>
      </c>
      <c r="D4405" s="166" t="e">
        <f>VLOOKUP(B4405,'Thống kê'!$C$3:$M$682,4,0)</f>
        <v>#N/A</v>
      </c>
      <c r="E4405" s="167"/>
      <c r="F4405" s="168" t="e">
        <f t="shared" si="18"/>
        <v>#N/A</v>
      </c>
      <c r="G4405" s="75"/>
      <c r="H4405" s="369"/>
    </row>
    <row r="4406" spans="1:8" ht="13.2">
      <c r="A4406" s="49"/>
      <c r="C4406" s="143" t="e">
        <f>VLOOKUP(B4406,'Thống kê'!$C$3:$D$669,2,0)</f>
        <v>#N/A</v>
      </c>
      <c r="D4406" s="166" t="e">
        <f>VLOOKUP(B4406,'Thống kê'!$C$3:$M$682,4,0)</f>
        <v>#N/A</v>
      </c>
      <c r="E4406" s="167"/>
      <c r="F4406" s="168" t="e">
        <f t="shared" si="18"/>
        <v>#N/A</v>
      </c>
      <c r="G4406" s="75"/>
      <c r="H4406" s="369"/>
    </row>
    <row r="4407" spans="1:8" ht="13.2">
      <c r="A4407" s="49"/>
      <c r="C4407" s="143" t="e">
        <f>VLOOKUP(B4407,'Thống kê'!$C$3:$D$669,2,0)</f>
        <v>#N/A</v>
      </c>
      <c r="D4407" s="166" t="e">
        <f>VLOOKUP(B4407,'Thống kê'!$C$3:$M$682,4,0)</f>
        <v>#N/A</v>
      </c>
      <c r="E4407" s="167"/>
      <c r="F4407" s="168" t="e">
        <f t="shared" si="18"/>
        <v>#N/A</v>
      </c>
      <c r="G4407" s="75"/>
      <c r="H4407" s="205"/>
    </row>
    <row r="4408" spans="1:8" ht="13.2">
      <c r="A4408" s="49"/>
      <c r="C4408" s="143" t="e">
        <f>VLOOKUP(B4408,'Thống kê'!$C$3:$D$669,2,0)</f>
        <v>#N/A</v>
      </c>
      <c r="D4408" s="166" t="e">
        <f>VLOOKUP(B4408,'Thống kê'!$C$3:$M$682,4,0)</f>
        <v>#N/A</v>
      </c>
      <c r="E4408" s="167"/>
      <c r="F4408" s="168" t="e">
        <f t="shared" si="18"/>
        <v>#N/A</v>
      </c>
      <c r="G4408" s="75"/>
      <c r="H4408" s="205"/>
    </row>
    <row r="4409" spans="1:8" ht="13.2">
      <c r="A4409" s="49"/>
      <c r="C4409" s="143" t="e">
        <f>VLOOKUP(B4409,'Thống kê'!$C$3:$D$669,2,0)</f>
        <v>#N/A</v>
      </c>
      <c r="D4409" s="166" t="e">
        <f>VLOOKUP(B4409,'Thống kê'!$C$3:$M$682,4,0)</f>
        <v>#N/A</v>
      </c>
      <c r="E4409" s="167"/>
      <c r="F4409" s="168" t="e">
        <f t="shared" si="18"/>
        <v>#N/A</v>
      </c>
      <c r="G4409" s="75"/>
      <c r="H4409" s="205"/>
    </row>
    <row r="4410" spans="1:8" ht="13.2">
      <c r="A4410" s="49"/>
      <c r="C4410" s="143" t="e">
        <f>VLOOKUP(B4410,'Thống kê'!$C$3:$D$669,2,0)</f>
        <v>#N/A</v>
      </c>
      <c r="D4410" s="166" t="e">
        <f>VLOOKUP(B4410,'Thống kê'!$C$3:$M$682,4,0)</f>
        <v>#N/A</v>
      </c>
      <c r="E4410" s="167"/>
      <c r="F4410" s="168" t="e">
        <f t="shared" si="18"/>
        <v>#N/A</v>
      </c>
      <c r="G4410" s="75"/>
      <c r="H4410" s="205"/>
    </row>
    <row r="4411" spans="1:8" ht="13.2">
      <c r="A4411" s="49"/>
      <c r="C4411" s="143" t="e">
        <f>VLOOKUP(B4411,'Thống kê'!$C$3:$D$669,2,0)</f>
        <v>#N/A</v>
      </c>
      <c r="D4411" s="166" t="e">
        <f>VLOOKUP(B4411,'Thống kê'!$C$3:$M$682,4,0)</f>
        <v>#N/A</v>
      </c>
      <c r="E4411" s="167"/>
      <c r="F4411" s="168" t="e">
        <f t="shared" si="18"/>
        <v>#N/A</v>
      </c>
      <c r="G4411" s="75"/>
      <c r="H4411" s="205"/>
    </row>
    <row r="4412" spans="1:8" ht="13.2">
      <c r="A4412" s="64"/>
      <c r="C4412" s="143" t="e">
        <f>VLOOKUP(B4412,'Thống kê'!$C$3:$D$669,2,0)</f>
        <v>#N/A</v>
      </c>
      <c r="D4412" s="166" t="e">
        <f>VLOOKUP(B4412,'Thống kê'!$C$3:$M$682,4,0)</f>
        <v>#N/A</v>
      </c>
      <c r="E4412" s="167"/>
      <c r="F4412" s="168" t="e">
        <f t="shared" si="18"/>
        <v>#N/A</v>
      </c>
      <c r="G4412" s="75"/>
      <c r="H4412" s="205"/>
    </row>
    <row r="4413" spans="1:8" ht="13.2">
      <c r="A4413" s="49"/>
      <c r="C4413" s="143" t="e">
        <f>VLOOKUP(B4413,'Thống kê'!$C$3:$D$669,2,0)</f>
        <v>#N/A</v>
      </c>
      <c r="D4413" s="166" t="e">
        <f>VLOOKUP(B4413,'Thống kê'!$C$3:$M$682,4,0)</f>
        <v>#N/A</v>
      </c>
      <c r="E4413" s="167"/>
      <c r="F4413" s="168" t="e">
        <f t="shared" si="18"/>
        <v>#N/A</v>
      </c>
      <c r="G4413" s="75"/>
      <c r="H4413" s="205"/>
    </row>
    <row r="4414" spans="1:8" ht="13.2">
      <c r="A4414" s="49"/>
      <c r="C4414" s="143" t="e">
        <f>VLOOKUP(B4414,'Thống kê'!$C$3:$D$669,2,0)</f>
        <v>#N/A</v>
      </c>
      <c r="D4414" s="166" t="e">
        <f>VLOOKUP(B4414,'Thống kê'!$C$3:$M$682,4,0)</f>
        <v>#N/A</v>
      </c>
      <c r="E4414" s="167"/>
      <c r="F4414" s="168" t="e">
        <f t="shared" si="18"/>
        <v>#N/A</v>
      </c>
      <c r="G4414" s="75"/>
      <c r="H4414" s="407"/>
    </row>
    <row r="4415" spans="1:8" ht="13.2">
      <c r="A4415" s="49"/>
      <c r="C4415" s="143" t="e">
        <f>VLOOKUP(B4415,'Thống kê'!$C$3:$D$669,2,0)</f>
        <v>#N/A</v>
      </c>
      <c r="D4415" s="166" t="e">
        <f>VLOOKUP(B4415,'Thống kê'!$C$3:$M$682,4,0)</f>
        <v>#N/A</v>
      </c>
      <c r="E4415" s="167"/>
      <c r="F4415" s="168" t="e">
        <f t="shared" si="18"/>
        <v>#N/A</v>
      </c>
      <c r="G4415" s="75"/>
      <c r="H4415" s="369"/>
    </row>
    <row r="4416" spans="1:8" ht="13.2">
      <c r="A4416" s="49"/>
      <c r="C4416" s="143" t="e">
        <f>VLOOKUP(B4416,'Thống kê'!$C$3:$D$669,2,0)</f>
        <v>#N/A</v>
      </c>
      <c r="D4416" s="166" t="e">
        <f>VLOOKUP(B4416,'Thống kê'!$C$3:$M$682,4,0)</f>
        <v>#N/A</v>
      </c>
      <c r="E4416" s="167"/>
      <c r="F4416" s="168" t="e">
        <f t="shared" si="18"/>
        <v>#N/A</v>
      </c>
      <c r="G4416" s="75"/>
      <c r="H4416" s="205"/>
    </row>
    <row r="4417" spans="1:8" ht="13.2">
      <c r="A4417" s="49"/>
      <c r="C4417" s="143" t="e">
        <f>VLOOKUP(B4417,'Thống kê'!$C$3:$D$669,2,0)</f>
        <v>#N/A</v>
      </c>
      <c r="D4417" s="166" t="e">
        <f>VLOOKUP(B4417,'Thống kê'!$C$3:$M$682,4,0)</f>
        <v>#N/A</v>
      </c>
      <c r="E4417" s="167"/>
      <c r="F4417" s="168" t="e">
        <f t="shared" si="18"/>
        <v>#N/A</v>
      </c>
      <c r="G4417" s="75"/>
      <c r="H4417" s="407"/>
    </row>
    <row r="4418" spans="1:8" ht="13.2">
      <c r="A4418" s="49"/>
      <c r="C4418" s="143" t="e">
        <f>VLOOKUP(B4418,'Thống kê'!$C$3:$D$669,2,0)</f>
        <v>#N/A</v>
      </c>
      <c r="D4418" s="166" t="e">
        <f>VLOOKUP(B4418,'Thống kê'!$C$3:$M$682,4,0)</f>
        <v>#N/A</v>
      </c>
      <c r="E4418" s="167"/>
      <c r="F4418" s="168" t="e">
        <f t="shared" si="18"/>
        <v>#N/A</v>
      </c>
      <c r="G4418" s="75"/>
      <c r="H4418" s="369"/>
    </row>
    <row r="4419" spans="1:8" ht="13.2">
      <c r="A4419" s="49"/>
      <c r="C4419" s="143" t="e">
        <f>VLOOKUP(B4419,'Thống kê'!$C$3:$D$669,2,0)</f>
        <v>#N/A</v>
      </c>
      <c r="D4419" s="166" t="e">
        <f>VLOOKUP(B4419,'Thống kê'!$C$3:$M$682,4,0)</f>
        <v>#N/A</v>
      </c>
      <c r="E4419" s="167"/>
      <c r="F4419" s="168" t="e">
        <f t="shared" si="18"/>
        <v>#N/A</v>
      </c>
      <c r="G4419" s="75"/>
      <c r="H4419" s="205"/>
    </row>
    <row r="4420" spans="1:8" ht="13.2">
      <c r="A4420" s="49"/>
      <c r="C4420" s="143" t="e">
        <f>VLOOKUP(B4420,'Thống kê'!$C$3:$D$669,2,0)</f>
        <v>#N/A</v>
      </c>
      <c r="D4420" s="166" t="e">
        <f>VLOOKUP(B4420,'Thống kê'!$C$3:$M$682,4,0)</f>
        <v>#N/A</v>
      </c>
      <c r="E4420" s="167"/>
      <c r="F4420" s="168" t="e">
        <f t="shared" si="18"/>
        <v>#N/A</v>
      </c>
      <c r="G4420" s="75"/>
      <c r="H4420" s="407"/>
    </row>
    <row r="4421" spans="1:8" ht="13.2">
      <c r="A4421" s="49"/>
      <c r="C4421" s="143" t="e">
        <f>VLOOKUP(B4421,'Thống kê'!$C$3:$D$669,2,0)</f>
        <v>#N/A</v>
      </c>
      <c r="D4421" s="166" t="e">
        <f>VLOOKUP(B4421,'Thống kê'!$C$3:$M$682,4,0)</f>
        <v>#N/A</v>
      </c>
      <c r="E4421" s="167"/>
      <c r="F4421" s="168" t="e">
        <f t="shared" si="18"/>
        <v>#N/A</v>
      </c>
      <c r="G4421" s="75"/>
      <c r="H4421" s="369"/>
    </row>
    <row r="4422" spans="1:8" ht="13.2">
      <c r="A4422" s="49"/>
      <c r="C4422" s="143" t="e">
        <f>VLOOKUP(B4422,'Thống kê'!$C$3:$D$669,2,0)</f>
        <v>#N/A</v>
      </c>
      <c r="D4422" s="166" t="e">
        <f>VLOOKUP(B4422,'Thống kê'!$C$3:$M$682,4,0)</f>
        <v>#N/A</v>
      </c>
      <c r="E4422" s="167"/>
      <c r="F4422" s="168" t="e">
        <f t="shared" si="18"/>
        <v>#N/A</v>
      </c>
      <c r="G4422" s="75"/>
      <c r="H4422" s="205"/>
    </row>
    <row r="4423" spans="1:8" ht="13.2">
      <c r="A4423" s="49"/>
      <c r="C4423" s="143" t="e">
        <f>VLOOKUP(B4423,'Thống kê'!$C$3:$D$669,2,0)</f>
        <v>#N/A</v>
      </c>
      <c r="D4423" s="166" t="e">
        <f>VLOOKUP(B4423,'Thống kê'!$C$3:$M$682,4,0)</f>
        <v>#N/A</v>
      </c>
      <c r="E4423" s="167"/>
      <c r="F4423" s="168" t="e">
        <f t="shared" si="18"/>
        <v>#N/A</v>
      </c>
      <c r="G4423" s="75"/>
      <c r="H4423" s="407"/>
    </row>
    <row r="4424" spans="1:8" ht="13.2">
      <c r="A4424" s="49"/>
      <c r="C4424" s="143" t="e">
        <f>VLOOKUP(B4424,'Thống kê'!$C$3:$D$669,2,0)</f>
        <v>#N/A</v>
      </c>
      <c r="D4424" s="166" t="e">
        <f>VLOOKUP(B4424,'Thống kê'!$C$3:$M$682,4,0)</f>
        <v>#N/A</v>
      </c>
      <c r="E4424" s="167"/>
      <c r="F4424" s="168" t="e">
        <f t="shared" si="18"/>
        <v>#N/A</v>
      </c>
      <c r="G4424" s="75"/>
      <c r="H4424" s="369"/>
    </row>
    <row r="4425" spans="1:8" ht="13.2">
      <c r="A4425" s="49"/>
      <c r="C4425" s="143" t="e">
        <f>VLOOKUP(B4425,'Thống kê'!$C$3:$D$669,2,0)</f>
        <v>#N/A</v>
      </c>
      <c r="D4425" s="166" t="e">
        <f>VLOOKUP(B4425,'Thống kê'!$C$3:$M$682,4,0)</f>
        <v>#N/A</v>
      </c>
      <c r="E4425" s="167"/>
      <c r="F4425" s="168" t="e">
        <f t="shared" si="18"/>
        <v>#N/A</v>
      </c>
      <c r="G4425" s="75"/>
      <c r="H4425" s="407"/>
    </row>
    <row r="4426" spans="1:8" ht="13.2">
      <c r="A4426" s="49"/>
      <c r="C4426" s="143" t="e">
        <f>VLOOKUP(B4426,'Thống kê'!$C$3:$D$669,2,0)</f>
        <v>#N/A</v>
      </c>
      <c r="D4426" s="166" t="e">
        <f>VLOOKUP(B4426,'Thống kê'!$C$3:$M$682,4,0)</f>
        <v>#N/A</v>
      </c>
      <c r="E4426" s="167"/>
      <c r="F4426" s="168" t="e">
        <f t="shared" si="18"/>
        <v>#N/A</v>
      </c>
      <c r="G4426" s="75"/>
      <c r="H4426" s="369"/>
    </row>
    <row r="4427" spans="1:8" ht="13.2">
      <c r="A4427" s="49"/>
      <c r="C4427" s="143" t="e">
        <f>VLOOKUP(B4427,'Thống kê'!$C$3:$D$669,2,0)</f>
        <v>#N/A</v>
      </c>
      <c r="D4427" s="166" t="e">
        <f>VLOOKUP(B4427,'Thống kê'!$C$3:$M$682,4,0)</f>
        <v>#N/A</v>
      </c>
      <c r="E4427" s="167"/>
      <c r="F4427" s="168" t="e">
        <f t="shared" si="18"/>
        <v>#N/A</v>
      </c>
      <c r="G4427" s="75"/>
      <c r="H4427" s="407"/>
    </row>
    <row r="4428" spans="1:8" ht="13.2">
      <c r="A4428" s="49"/>
      <c r="C4428" s="143" t="e">
        <f>VLOOKUP(B4428,'Thống kê'!$C$3:$D$669,2,0)</f>
        <v>#N/A</v>
      </c>
      <c r="D4428" s="166" t="e">
        <f>VLOOKUP(B4428,'Thống kê'!$C$3:$M$682,4,0)</f>
        <v>#N/A</v>
      </c>
      <c r="E4428" s="167"/>
      <c r="F4428" s="168" t="e">
        <f t="shared" si="18"/>
        <v>#N/A</v>
      </c>
      <c r="G4428" s="75"/>
      <c r="H4428" s="369"/>
    </row>
    <row r="4429" spans="1:8" ht="13.2">
      <c r="A4429" s="49"/>
      <c r="C4429" s="143" t="e">
        <f>VLOOKUP(B4429,'Thống kê'!$C$3:$D$669,2,0)</f>
        <v>#N/A</v>
      </c>
      <c r="D4429" s="166" t="e">
        <f>VLOOKUP(B4429,'Thống kê'!$C$3:$M$682,4,0)</f>
        <v>#N/A</v>
      </c>
      <c r="E4429" s="167"/>
      <c r="F4429" s="168" t="e">
        <f t="shared" si="18"/>
        <v>#N/A</v>
      </c>
      <c r="G4429" s="75"/>
      <c r="H4429" s="407"/>
    </row>
    <row r="4430" spans="1:8" ht="13.2">
      <c r="A4430" s="49"/>
      <c r="C4430" s="143" t="e">
        <f>VLOOKUP(B4430,'Thống kê'!$C$3:$D$669,2,0)</f>
        <v>#N/A</v>
      </c>
      <c r="D4430" s="166" t="e">
        <f>VLOOKUP(B4430,'Thống kê'!$C$3:$M$682,4,0)</f>
        <v>#N/A</v>
      </c>
      <c r="E4430" s="167"/>
      <c r="F4430" s="168" t="e">
        <f t="shared" si="18"/>
        <v>#N/A</v>
      </c>
      <c r="G4430" s="75"/>
      <c r="H4430" s="369"/>
    </row>
    <row r="4431" spans="1:8" ht="13.2">
      <c r="A4431" s="49"/>
      <c r="C4431" s="143" t="e">
        <f>VLOOKUP(B4431,'Thống kê'!$C$3:$D$669,2,0)</f>
        <v>#N/A</v>
      </c>
      <c r="D4431" s="166" t="e">
        <f>VLOOKUP(B4431,'Thống kê'!$C$3:$M$682,4,0)</f>
        <v>#N/A</v>
      </c>
      <c r="E4431" s="167"/>
      <c r="F4431" s="168" t="e">
        <f t="shared" si="18"/>
        <v>#N/A</v>
      </c>
      <c r="G4431" s="75"/>
      <c r="H4431" s="369"/>
    </row>
    <row r="4432" spans="1:8" ht="13.2">
      <c r="A4432" s="49"/>
      <c r="C4432" s="143" t="e">
        <f>VLOOKUP(B4432,'Thống kê'!$C$3:$D$669,2,0)</f>
        <v>#N/A</v>
      </c>
      <c r="D4432" s="166" t="e">
        <f>VLOOKUP(B4432,'Thống kê'!$C$3:$M$682,4,0)</f>
        <v>#N/A</v>
      </c>
      <c r="E4432" s="167"/>
      <c r="F4432" s="168" t="e">
        <f t="shared" si="18"/>
        <v>#N/A</v>
      </c>
      <c r="G4432" s="75"/>
      <c r="H4432" s="407"/>
    </row>
    <row r="4433" spans="1:8" ht="13.2">
      <c r="A4433" s="49"/>
      <c r="C4433" s="143" t="e">
        <f>VLOOKUP(B4433,'Thống kê'!$C$3:$D$669,2,0)</f>
        <v>#N/A</v>
      </c>
      <c r="D4433" s="166" t="e">
        <f>VLOOKUP(B4433,'Thống kê'!$C$3:$M$682,4,0)</f>
        <v>#N/A</v>
      </c>
      <c r="E4433" s="167"/>
      <c r="F4433" s="168" t="e">
        <f t="shared" si="18"/>
        <v>#N/A</v>
      </c>
      <c r="G4433" s="75"/>
      <c r="H4433" s="369"/>
    </row>
    <row r="4434" spans="1:8" ht="13.2">
      <c r="A4434" s="49"/>
      <c r="C4434" s="143" t="e">
        <f>VLOOKUP(B4434,'Thống kê'!$C$3:$D$669,2,0)</f>
        <v>#N/A</v>
      </c>
      <c r="D4434" s="166" t="e">
        <f>VLOOKUP(B4434,'Thống kê'!$C$3:$M$682,4,0)</f>
        <v>#N/A</v>
      </c>
      <c r="E4434" s="167"/>
      <c r="F4434" s="168" t="e">
        <f t="shared" si="18"/>
        <v>#N/A</v>
      </c>
      <c r="G4434" s="75"/>
      <c r="H4434" s="369"/>
    </row>
    <row r="4435" spans="1:8" ht="13.2">
      <c r="A4435" s="49"/>
      <c r="C4435" s="143" t="e">
        <f>VLOOKUP(B4435,'Thống kê'!$C$3:$D$669,2,0)</f>
        <v>#N/A</v>
      </c>
      <c r="D4435" s="166" t="e">
        <f>VLOOKUP(B4435,'Thống kê'!$C$3:$M$682,4,0)</f>
        <v>#N/A</v>
      </c>
      <c r="E4435" s="167"/>
      <c r="F4435" s="168" t="e">
        <f t="shared" si="18"/>
        <v>#N/A</v>
      </c>
      <c r="G4435" s="75"/>
      <c r="H4435" s="369"/>
    </row>
    <row r="4436" spans="1:8" ht="13.2">
      <c r="A4436" s="49"/>
      <c r="C4436" s="143" t="e">
        <f>VLOOKUP(B4436,'Thống kê'!$C$3:$D$669,2,0)</f>
        <v>#N/A</v>
      </c>
      <c r="D4436" s="166" t="e">
        <f>VLOOKUP(B4436,'Thống kê'!$C$3:$M$682,4,0)</f>
        <v>#N/A</v>
      </c>
      <c r="E4436" s="167"/>
      <c r="F4436" s="168" t="e">
        <f t="shared" si="18"/>
        <v>#N/A</v>
      </c>
      <c r="G4436" s="75"/>
      <c r="H4436" s="369"/>
    </row>
    <row r="4437" spans="1:8" ht="13.2">
      <c r="A4437" s="49"/>
      <c r="C4437" s="143" t="e">
        <f>VLOOKUP(B4437,'Thống kê'!$C$3:$D$669,2,0)</f>
        <v>#N/A</v>
      </c>
      <c r="D4437" s="166" t="e">
        <f>VLOOKUP(B4437,'Thống kê'!$C$3:$M$682,4,0)</f>
        <v>#N/A</v>
      </c>
      <c r="E4437" s="167"/>
      <c r="F4437" s="168" t="e">
        <f t="shared" si="18"/>
        <v>#N/A</v>
      </c>
      <c r="G4437" s="75"/>
      <c r="H4437" s="369"/>
    </row>
    <row r="4438" spans="1:8" ht="13.2">
      <c r="A4438" s="49"/>
      <c r="C4438" s="143" t="e">
        <f>VLOOKUP(B4438,'Thống kê'!$C$3:$D$669,2,0)</f>
        <v>#N/A</v>
      </c>
      <c r="D4438" s="166" t="e">
        <f>VLOOKUP(B4438,'Thống kê'!$C$3:$M$682,4,0)</f>
        <v>#N/A</v>
      </c>
      <c r="E4438" s="167"/>
      <c r="F4438" s="168" t="e">
        <f t="shared" si="18"/>
        <v>#N/A</v>
      </c>
      <c r="G4438" s="75"/>
      <c r="H4438" s="205"/>
    </row>
    <row r="4439" spans="1:8" ht="13.2">
      <c r="A4439" s="49"/>
      <c r="C4439" s="143" t="e">
        <f>VLOOKUP(B4439,'Thống kê'!$C$3:$D$669,2,0)</f>
        <v>#N/A</v>
      </c>
      <c r="D4439" s="166" t="e">
        <f>VLOOKUP(B4439,'Thống kê'!$C$3:$M$682,4,0)</f>
        <v>#N/A</v>
      </c>
      <c r="E4439" s="167"/>
      <c r="F4439" s="168" t="e">
        <f t="shared" si="18"/>
        <v>#N/A</v>
      </c>
      <c r="G4439" s="75"/>
      <c r="H4439" s="205"/>
    </row>
    <row r="4440" spans="1:8" ht="13.2">
      <c r="A4440" s="64"/>
      <c r="C4440" s="143" t="e">
        <f>VLOOKUP(B4440,'Thống kê'!$C$3:$D$669,2,0)</f>
        <v>#N/A</v>
      </c>
      <c r="D4440" s="166" t="e">
        <f>VLOOKUP(B4440,'Thống kê'!$C$3:$M$682,4,0)</f>
        <v>#N/A</v>
      </c>
      <c r="E4440" s="167"/>
      <c r="F4440" s="168" t="e">
        <f t="shared" si="18"/>
        <v>#N/A</v>
      </c>
      <c r="G4440" s="75"/>
      <c r="H4440" s="205"/>
    </row>
    <row r="4441" spans="1:8" ht="13.2">
      <c r="A4441" s="49"/>
      <c r="C4441" s="143" t="e">
        <f>VLOOKUP(B4441,'Thống kê'!$C$3:$D$669,2,0)</f>
        <v>#N/A</v>
      </c>
      <c r="D4441" s="166" t="e">
        <f>VLOOKUP(B4441,'Thống kê'!$C$3:$M$682,4,0)</f>
        <v>#N/A</v>
      </c>
      <c r="E4441" s="167"/>
      <c r="F4441" s="168" t="e">
        <f t="shared" si="18"/>
        <v>#N/A</v>
      </c>
      <c r="G4441" s="75"/>
      <c r="H4441" s="407"/>
    </row>
    <row r="4442" spans="1:8" ht="13.2">
      <c r="A4442" s="49"/>
      <c r="C4442" s="143" t="e">
        <f>VLOOKUP(B4442,'Thống kê'!$C$3:$D$669,2,0)</f>
        <v>#N/A</v>
      </c>
      <c r="D4442" s="166" t="e">
        <f>VLOOKUP(B4442,'Thống kê'!$C$3:$M$682,4,0)</f>
        <v>#N/A</v>
      </c>
      <c r="E4442" s="167"/>
      <c r="F4442" s="168" t="e">
        <f t="shared" si="18"/>
        <v>#N/A</v>
      </c>
      <c r="G4442" s="75"/>
      <c r="H4442" s="369"/>
    </row>
    <row r="4443" spans="1:8" ht="13.2">
      <c r="A4443" s="49"/>
      <c r="C4443" s="143" t="e">
        <f>VLOOKUP(B4443,'Thống kê'!$C$3:$D$669,2,0)</f>
        <v>#N/A</v>
      </c>
      <c r="D4443" s="166" t="e">
        <f>VLOOKUP(B4443,'Thống kê'!$C$3:$M$682,4,0)</f>
        <v>#N/A</v>
      </c>
      <c r="E4443" s="167"/>
      <c r="F4443" s="168" t="e">
        <f t="shared" si="18"/>
        <v>#N/A</v>
      </c>
      <c r="G4443" s="75"/>
      <c r="H4443" s="369"/>
    </row>
    <row r="4444" spans="1:8" ht="13.2">
      <c r="A4444" s="49"/>
      <c r="C4444" s="143" t="e">
        <f>VLOOKUP(B4444,'Thống kê'!$C$3:$D$669,2,0)</f>
        <v>#N/A</v>
      </c>
      <c r="D4444" s="166" t="e">
        <f>VLOOKUP(B4444,'Thống kê'!$C$3:$M$682,4,0)</f>
        <v>#N/A</v>
      </c>
      <c r="E4444" s="167"/>
      <c r="F4444" s="168" t="e">
        <f t="shared" si="18"/>
        <v>#N/A</v>
      </c>
      <c r="G4444" s="75"/>
      <c r="H4444" s="369"/>
    </row>
    <row r="4445" spans="1:8" ht="13.2">
      <c r="A4445" s="49"/>
      <c r="C4445" s="143" t="e">
        <f>VLOOKUP(B4445,'Thống kê'!$C$3:$D$669,2,0)</f>
        <v>#N/A</v>
      </c>
      <c r="D4445" s="166" t="e">
        <f>VLOOKUP(B4445,'Thống kê'!$C$3:$M$682,4,0)</f>
        <v>#N/A</v>
      </c>
      <c r="E4445" s="167"/>
      <c r="F4445" s="168" t="e">
        <f t="shared" si="18"/>
        <v>#N/A</v>
      </c>
      <c r="G4445" s="75"/>
      <c r="H4445" s="205"/>
    </row>
    <row r="4446" spans="1:8" ht="13.2">
      <c r="A4446" s="49"/>
      <c r="C4446" s="143" t="e">
        <f>VLOOKUP(B4446,'Thống kê'!$C$3:$D$669,2,0)</f>
        <v>#N/A</v>
      </c>
      <c r="D4446" s="166" t="e">
        <f>VLOOKUP(B4446,'Thống kê'!$C$3:$M$682,4,0)</f>
        <v>#N/A</v>
      </c>
      <c r="E4446" s="167"/>
      <c r="F4446" s="168" t="e">
        <f t="shared" si="18"/>
        <v>#N/A</v>
      </c>
      <c r="G4446" s="75"/>
      <c r="H4446" s="407"/>
    </row>
    <row r="4447" spans="1:8" ht="13.2">
      <c r="A4447" s="49"/>
      <c r="C4447" s="143" t="e">
        <f>VLOOKUP(B4447,'Thống kê'!$C$3:$D$669,2,0)</f>
        <v>#N/A</v>
      </c>
      <c r="D4447" s="166" t="e">
        <f>VLOOKUP(B4447,'Thống kê'!$C$3:$M$682,4,0)</f>
        <v>#N/A</v>
      </c>
      <c r="E4447" s="167"/>
      <c r="F4447" s="168" t="e">
        <f t="shared" si="18"/>
        <v>#N/A</v>
      </c>
      <c r="G4447" s="75"/>
      <c r="H4447" s="369"/>
    </row>
    <row r="4448" spans="1:8" ht="13.2">
      <c r="A4448" s="49"/>
      <c r="C4448" s="143" t="e">
        <f>VLOOKUP(B4448,'Thống kê'!$C$3:$D$669,2,0)</f>
        <v>#N/A</v>
      </c>
      <c r="D4448" s="166" t="e">
        <f>VLOOKUP(B4448,'Thống kê'!$C$3:$M$682,4,0)</f>
        <v>#N/A</v>
      </c>
      <c r="E4448" s="167"/>
      <c r="F4448" s="168" t="e">
        <f t="shared" si="18"/>
        <v>#N/A</v>
      </c>
      <c r="G4448" s="75"/>
      <c r="H4448" s="205"/>
    </row>
    <row r="4449" spans="1:8" ht="13.2">
      <c r="A4449" s="49"/>
      <c r="C4449" s="143" t="e">
        <f>VLOOKUP(B4449,'Thống kê'!$C$3:$D$669,2,0)</f>
        <v>#N/A</v>
      </c>
      <c r="D4449" s="166" t="e">
        <f>VLOOKUP(B4449,'Thống kê'!$C$3:$M$682,4,0)</f>
        <v>#N/A</v>
      </c>
      <c r="E4449" s="167"/>
      <c r="F4449" s="168" t="e">
        <f t="shared" si="18"/>
        <v>#N/A</v>
      </c>
      <c r="G4449" s="75"/>
      <c r="H4449" s="205"/>
    </row>
    <row r="4450" spans="1:8" ht="13.2">
      <c r="A4450" s="49"/>
      <c r="C4450" s="143" t="e">
        <f>VLOOKUP(B4450,'Thống kê'!$C$3:$D$669,2,0)</f>
        <v>#N/A</v>
      </c>
      <c r="D4450" s="166" t="e">
        <f>VLOOKUP(B4450,'Thống kê'!$C$3:$M$682,4,0)</f>
        <v>#N/A</v>
      </c>
      <c r="E4450" s="167"/>
      <c r="F4450" s="168" t="e">
        <f t="shared" si="18"/>
        <v>#N/A</v>
      </c>
      <c r="G4450" s="75"/>
      <c r="H4450" s="205"/>
    </row>
    <row r="4451" spans="1:8" ht="13.2">
      <c r="A4451" s="49"/>
      <c r="C4451" s="143" t="e">
        <f>VLOOKUP(B4451,'Thống kê'!$C$3:$D$669,2,0)</f>
        <v>#N/A</v>
      </c>
      <c r="D4451" s="166" t="e">
        <f>VLOOKUP(B4451,'Thống kê'!$C$3:$M$682,4,0)</f>
        <v>#N/A</v>
      </c>
      <c r="E4451" s="167"/>
      <c r="F4451" s="168" t="e">
        <f t="shared" si="18"/>
        <v>#N/A</v>
      </c>
      <c r="G4451" s="75"/>
      <c r="H4451" s="407"/>
    </row>
    <row r="4452" spans="1:8" ht="13.2">
      <c r="A4452" s="49"/>
      <c r="C4452" s="143" t="e">
        <f>VLOOKUP(B4452,'Thống kê'!$C$3:$D$669,2,0)</f>
        <v>#N/A</v>
      </c>
      <c r="D4452" s="166" t="e">
        <f>VLOOKUP(B4452,'Thống kê'!$C$3:$M$682,4,0)</f>
        <v>#N/A</v>
      </c>
      <c r="E4452" s="167"/>
      <c r="F4452" s="168" t="e">
        <f t="shared" si="18"/>
        <v>#N/A</v>
      </c>
      <c r="G4452" s="75"/>
      <c r="H4452" s="369"/>
    </row>
    <row r="4453" spans="1:8" ht="13.2">
      <c r="A4453" s="64"/>
      <c r="C4453" s="143" t="e">
        <f>VLOOKUP(B4453,'Thống kê'!$C$3:$D$669,2,0)</f>
        <v>#N/A</v>
      </c>
      <c r="D4453" s="166" t="e">
        <f>VLOOKUP(B4453,'Thống kê'!$C$3:$M$682,4,0)</f>
        <v>#N/A</v>
      </c>
      <c r="E4453" s="167"/>
      <c r="F4453" s="168" t="e">
        <f t="shared" si="18"/>
        <v>#N/A</v>
      </c>
      <c r="G4453" s="75"/>
      <c r="H4453" s="407"/>
    </row>
    <row r="4454" spans="1:8" ht="13.2">
      <c r="A4454" s="49"/>
      <c r="C4454" s="143" t="e">
        <f>VLOOKUP(B4454,'Thống kê'!$C$3:$D$669,2,0)</f>
        <v>#N/A</v>
      </c>
      <c r="D4454" s="166" t="e">
        <f>VLOOKUP(B4454,'Thống kê'!$C$3:$M$682,4,0)</f>
        <v>#N/A</v>
      </c>
      <c r="E4454" s="167"/>
      <c r="F4454" s="168" t="e">
        <f t="shared" si="18"/>
        <v>#N/A</v>
      </c>
      <c r="G4454" s="75"/>
      <c r="H4454" s="369"/>
    </row>
    <row r="4455" spans="1:8" ht="13.2">
      <c r="A4455" s="49"/>
      <c r="C4455" s="143" t="e">
        <f>VLOOKUP(B4455,'Thống kê'!$C$3:$D$669,2,0)</f>
        <v>#N/A</v>
      </c>
      <c r="D4455" s="166" t="e">
        <f>VLOOKUP(B4455,'Thống kê'!$C$3:$M$682,4,0)</f>
        <v>#N/A</v>
      </c>
      <c r="E4455" s="167"/>
      <c r="F4455" s="168" t="e">
        <f t="shared" si="18"/>
        <v>#N/A</v>
      </c>
      <c r="G4455" s="75"/>
      <c r="H4455" s="205"/>
    </row>
    <row r="4456" spans="1:8" ht="13.2">
      <c r="A4456" s="49"/>
      <c r="C4456" s="143" t="e">
        <f>VLOOKUP(B4456,'Thống kê'!$C$3:$D$669,2,0)</f>
        <v>#N/A</v>
      </c>
      <c r="D4456" s="166" t="e">
        <f>VLOOKUP(B4456,'Thống kê'!$C$3:$M$682,4,0)</f>
        <v>#N/A</v>
      </c>
      <c r="E4456" s="167"/>
      <c r="F4456" s="168" t="e">
        <f t="shared" si="18"/>
        <v>#N/A</v>
      </c>
      <c r="G4456" s="75"/>
      <c r="H4456" s="205"/>
    </row>
    <row r="4457" spans="1:8" ht="13.2">
      <c r="A4457" s="49"/>
      <c r="C4457" s="143" t="e">
        <f>VLOOKUP(B4457,'Thống kê'!$C$3:$D$669,2,0)</f>
        <v>#N/A</v>
      </c>
      <c r="D4457" s="166" t="e">
        <f>VLOOKUP(B4457,'Thống kê'!$C$3:$M$682,4,0)</f>
        <v>#N/A</v>
      </c>
      <c r="E4457" s="167"/>
      <c r="F4457" s="168" t="e">
        <f t="shared" si="18"/>
        <v>#N/A</v>
      </c>
      <c r="G4457" s="75"/>
      <c r="H4457" s="205"/>
    </row>
    <row r="4458" spans="1:8" ht="13.2">
      <c r="A4458" s="49"/>
      <c r="C4458" s="143" t="e">
        <f>VLOOKUP(B4458,'Thống kê'!$C$3:$D$669,2,0)</f>
        <v>#N/A</v>
      </c>
      <c r="D4458" s="166" t="e">
        <f>VLOOKUP(B4458,'Thống kê'!$C$3:$M$682,4,0)</f>
        <v>#N/A</v>
      </c>
      <c r="E4458" s="167"/>
      <c r="F4458" s="168" t="e">
        <f t="shared" si="18"/>
        <v>#N/A</v>
      </c>
      <c r="G4458" s="75"/>
      <c r="H4458" s="205"/>
    </row>
    <row r="4459" spans="1:8" ht="13.2">
      <c r="A4459" s="49"/>
      <c r="C4459" s="143" t="e">
        <f>VLOOKUP(B4459,'Thống kê'!$C$3:$D$669,2,0)</f>
        <v>#N/A</v>
      </c>
      <c r="D4459" s="166" t="e">
        <f>VLOOKUP(B4459,'Thống kê'!$C$3:$M$682,4,0)</f>
        <v>#N/A</v>
      </c>
      <c r="E4459" s="167"/>
      <c r="F4459" s="168" t="e">
        <f t="shared" si="18"/>
        <v>#N/A</v>
      </c>
      <c r="G4459" s="75"/>
      <c r="H4459" s="407"/>
    </row>
    <row r="4460" spans="1:8" ht="13.2">
      <c r="A4460" s="49"/>
      <c r="C4460" s="143" t="e">
        <f>VLOOKUP(B4460,'Thống kê'!$C$3:$D$669,2,0)</f>
        <v>#N/A</v>
      </c>
      <c r="D4460" s="166" t="e">
        <f>VLOOKUP(B4460,'Thống kê'!$C$3:$M$682,4,0)</f>
        <v>#N/A</v>
      </c>
      <c r="E4460" s="167"/>
      <c r="F4460" s="168" t="e">
        <f t="shared" si="18"/>
        <v>#N/A</v>
      </c>
      <c r="G4460" s="75"/>
      <c r="H4460" s="369"/>
    </row>
    <row r="4461" spans="1:8" ht="13.2">
      <c r="A4461" s="49"/>
      <c r="C4461" s="143" t="e">
        <f>VLOOKUP(B4461,'Thống kê'!$C$3:$D$669,2,0)</f>
        <v>#N/A</v>
      </c>
      <c r="D4461" s="166" t="e">
        <f>VLOOKUP(B4461,'Thống kê'!$C$3:$M$682,4,0)</f>
        <v>#N/A</v>
      </c>
      <c r="E4461" s="167"/>
      <c r="F4461" s="168" t="e">
        <f t="shared" si="18"/>
        <v>#N/A</v>
      </c>
      <c r="G4461" s="75"/>
      <c r="H4461" s="369"/>
    </row>
    <row r="4462" spans="1:8" ht="13.2">
      <c r="A4462" s="49"/>
      <c r="C4462" s="143" t="e">
        <f>VLOOKUP(B4462,'Thống kê'!$C$3:$D$669,2,0)</f>
        <v>#N/A</v>
      </c>
      <c r="D4462" s="166" t="e">
        <f>VLOOKUP(B4462,'Thống kê'!$C$3:$M$682,4,0)</f>
        <v>#N/A</v>
      </c>
      <c r="E4462" s="167"/>
      <c r="F4462" s="168" t="e">
        <f t="shared" si="18"/>
        <v>#N/A</v>
      </c>
      <c r="G4462" s="75"/>
      <c r="H4462" s="407"/>
    </row>
    <row r="4463" spans="1:8" ht="13.2">
      <c r="A4463" s="49"/>
      <c r="C4463" s="143" t="e">
        <f>VLOOKUP(B4463,'Thống kê'!$C$3:$D$669,2,0)</f>
        <v>#N/A</v>
      </c>
      <c r="D4463" s="166" t="e">
        <f>VLOOKUP(B4463,'Thống kê'!$C$3:$M$682,4,0)</f>
        <v>#N/A</v>
      </c>
      <c r="E4463" s="167"/>
      <c r="F4463" s="168" t="e">
        <f t="shared" si="18"/>
        <v>#N/A</v>
      </c>
      <c r="G4463" s="75"/>
      <c r="H4463" s="369"/>
    </row>
    <row r="4464" spans="1:8" ht="13.2">
      <c r="A4464" s="49"/>
      <c r="C4464" s="143" t="e">
        <f>VLOOKUP(B4464,'Thống kê'!$C$3:$D$669,2,0)</f>
        <v>#N/A</v>
      </c>
      <c r="D4464" s="166" t="e">
        <f>VLOOKUP(B4464,'Thống kê'!$C$3:$M$682,4,0)</f>
        <v>#N/A</v>
      </c>
      <c r="E4464" s="167"/>
      <c r="F4464" s="168" t="e">
        <f t="shared" si="18"/>
        <v>#N/A</v>
      </c>
      <c r="G4464" s="75"/>
      <c r="H4464" s="205"/>
    </row>
    <row r="4465" spans="1:8" ht="13.2">
      <c r="A4465" s="64"/>
      <c r="C4465" s="143" t="e">
        <f>VLOOKUP(B4465,'Thống kê'!$C$3:$D$669,2,0)</f>
        <v>#N/A</v>
      </c>
      <c r="D4465" s="166" t="e">
        <f>VLOOKUP(B4465,'Thống kê'!$C$3:$M$682,4,0)</f>
        <v>#N/A</v>
      </c>
      <c r="E4465" s="167"/>
      <c r="F4465" s="168" t="e">
        <f t="shared" si="18"/>
        <v>#N/A</v>
      </c>
      <c r="G4465" s="75"/>
      <c r="H4465" s="407"/>
    </row>
    <row r="4466" spans="1:8" ht="13.2">
      <c r="A4466" s="49"/>
      <c r="C4466" s="143" t="e">
        <f>VLOOKUP(B4466,'Thống kê'!$C$3:$D$669,2,0)</f>
        <v>#N/A</v>
      </c>
      <c r="D4466" s="166" t="e">
        <f>VLOOKUP(B4466,'Thống kê'!$C$3:$M$682,4,0)</f>
        <v>#N/A</v>
      </c>
      <c r="E4466" s="167"/>
      <c r="F4466" s="168" t="e">
        <f t="shared" si="18"/>
        <v>#N/A</v>
      </c>
      <c r="G4466" s="75"/>
      <c r="H4466" s="369"/>
    </row>
    <row r="4467" spans="1:8" ht="13.2">
      <c r="A4467" s="49"/>
      <c r="C4467" s="143" t="e">
        <f>VLOOKUP(B4467,'Thống kê'!$C$3:$D$669,2,0)</f>
        <v>#N/A</v>
      </c>
      <c r="D4467" s="166" t="e">
        <f>VLOOKUP(B4467,'Thống kê'!$C$3:$M$682,4,0)</f>
        <v>#N/A</v>
      </c>
      <c r="E4467" s="167"/>
      <c r="F4467" s="168" t="e">
        <f t="shared" si="18"/>
        <v>#N/A</v>
      </c>
      <c r="G4467" s="75"/>
      <c r="H4467" s="205"/>
    </row>
    <row r="4468" spans="1:8" ht="13.2">
      <c r="A4468" s="49"/>
      <c r="C4468" s="143" t="e">
        <f>VLOOKUP(B4468,'Thống kê'!$C$3:$D$669,2,0)</f>
        <v>#N/A</v>
      </c>
      <c r="D4468" s="166" t="e">
        <f>VLOOKUP(B4468,'Thống kê'!$C$3:$M$682,4,0)</f>
        <v>#N/A</v>
      </c>
      <c r="E4468" s="167"/>
      <c r="F4468" s="168" t="e">
        <f t="shared" si="18"/>
        <v>#N/A</v>
      </c>
      <c r="G4468" s="75"/>
      <c r="H4468" s="205"/>
    </row>
    <row r="4469" spans="1:8" ht="13.2">
      <c r="A4469" s="49"/>
      <c r="C4469" s="143" t="e">
        <f>VLOOKUP(B4469,'Thống kê'!$C$3:$D$669,2,0)</f>
        <v>#N/A</v>
      </c>
      <c r="D4469" s="166" t="e">
        <f>VLOOKUP(B4469,'Thống kê'!$C$3:$M$682,4,0)</f>
        <v>#N/A</v>
      </c>
      <c r="E4469" s="167"/>
      <c r="F4469" s="168" t="e">
        <f t="shared" si="18"/>
        <v>#N/A</v>
      </c>
      <c r="G4469" s="75"/>
      <c r="H4469" s="205"/>
    </row>
    <row r="4470" spans="1:8" ht="13.2">
      <c r="A4470" s="49"/>
      <c r="C4470" s="143" t="e">
        <f>VLOOKUP(B4470,'Thống kê'!$C$3:$D$669,2,0)</f>
        <v>#N/A</v>
      </c>
      <c r="D4470" s="166" t="e">
        <f>VLOOKUP(B4470,'Thống kê'!$C$3:$M$682,4,0)</f>
        <v>#N/A</v>
      </c>
      <c r="E4470" s="167"/>
      <c r="F4470" s="168" t="e">
        <f t="shared" si="18"/>
        <v>#N/A</v>
      </c>
      <c r="G4470" s="75"/>
      <c r="H4470" s="205"/>
    </row>
    <row r="4471" spans="1:8" ht="13.2">
      <c r="A4471" s="49"/>
      <c r="C4471" s="143" t="e">
        <f>VLOOKUP(B4471,'Thống kê'!$C$3:$D$669,2,0)</f>
        <v>#N/A</v>
      </c>
      <c r="D4471" s="166" t="e">
        <f>VLOOKUP(B4471,'Thống kê'!$C$3:$M$682,4,0)</f>
        <v>#N/A</v>
      </c>
      <c r="E4471" s="167"/>
      <c r="F4471" s="168" t="e">
        <f t="shared" si="18"/>
        <v>#N/A</v>
      </c>
      <c r="G4471" s="75"/>
      <c r="H4471" s="407"/>
    </row>
    <row r="4472" spans="1:8" ht="13.2">
      <c r="A4472" s="49"/>
      <c r="C4472" s="143" t="e">
        <f>VLOOKUP(B4472,'Thống kê'!$C$3:$D$669,2,0)</f>
        <v>#N/A</v>
      </c>
      <c r="D4472" s="166" t="e">
        <f>VLOOKUP(B4472,'Thống kê'!$C$3:$M$682,4,0)</f>
        <v>#N/A</v>
      </c>
      <c r="E4472" s="167"/>
      <c r="F4472" s="168" t="e">
        <f t="shared" si="18"/>
        <v>#N/A</v>
      </c>
      <c r="G4472" s="75"/>
      <c r="H4472" s="369"/>
    </row>
    <row r="4473" spans="1:8" ht="13.2">
      <c r="A4473" s="49"/>
      <c r="C4473" s="143" t="e">
        <f>VLOOKUP(B4473,'Thống kê'!$C$3:$D$669,2,0)</f>
        <v>#N/A</v>
      </c>
      <c r="D4473" s="166" t="e">
        <f>VLOOKUP(B4473,'Thống kê'!$C$3:$M$682,4,0)</f>
        <v>#N/A</v>
      </c>
      <c r="E4473" s="167"/>
      <c r="F4473" s="168" t="e">
        <f t="shared" si="18"/>
        <v>#N/A</v>
      </c>
      <c r="G4473" s="75"/>
      <c r="H4473" s="407"/>
    </row>
    <row r="4474" spans="1:8" ht="13.2">
      <c r="A4474" s="49"/>
      <c r="C4474" s="143" t="e">
        <f>VLOOKUP(B4474,'Thống kê'!$C$3:$D$669,2,0)</f>
        <v>#N/A</v>
      </c>
      <c r="D4474" s="166" t="e">
        <f>VLOOKUP(B4474,'Thống kê'!$C$3:$M$682,4,0)</f>
        <v>#N/A</v>
      </c>
      <c r="E4474" s="167"/>
      <c r="F4474" s="168" t="e">
        <f t="shared" si="18"/>
        <v>#N/A</v>
      </c>
      <c r="G4474" s="75"/>
      <c r="H4474" s="369"/>
    </row>
    <row r="4475" spans="1:8" ht="13.2">
      <c r="A4475" s="49"/>
      <c r="C4475" s="143" t="e">
        <f>VLOOKUP(B4475,'Thống kê'!$C$3:$D$669,2,0)</f>
        <v>#N/A</v>
      </c>
      <c r="D4475" s="166" t="e">
        <f>VLOOKUP(B4475,'Thống kê'!$C$3:$M$682,4,0)</f>
        <v>#N/A</v>
      </c>
      <c r="E4475" s="167"/>
      <c r="F4475" s="168" t="e">
        <f t="shared" si="18"/>
        <v>#N/A</v>
      </c>
      <c r="G4475" s="75"/>
      <c r="H4475" s="407"/>
    </row>
    <row r="4476" spans="1:8" ht="13.2">
      <c r="A4476" s="49"/>
      <c r="C4476" s="143" t="e">
        <f>VLOOKUP(B4476,'Thống kê'!$C$3:$D$669,2,0)</f>
        <v>#N/A</v>
      </c>
      <c r="D4476" s="166" t="e">
        <f>VLOOKUP(B4476,'Thống kê'!$C$3:$M$682,4,0)</f>
        <v>#N/A</v>
      </c>
      <c r="E4476" s="167"/>
      <c r="F4476" s="168" t="e">
        <f t="shared" si="18"/>
        <v>#N/A</v>
      </c>
      <c r="G4476" s="75"/>
      <c r="H4476" s="369"/>
    </row>
    <row r="4477" spans="1:8" ht="13.2">
      <c r="A4477" s="49"/>
      <c r="C4477" s="143" t="e">
        <f>VLOOKUP(B4477,'Thống kê'!$C$3:$D$669,2,0)</f>
        <v>#N/A</v>
      </c>
      <c r="D4477" s="166" t="e">
        <f>VLOOKUP(B4477,'Thống kê'!$C$3:$M$682,4,0)</f>
        <v>#N/A</v>
      </c>
      <c r="E4477" s="167"/>
      <c r="F4477" s="168" t="e">
        <f t="shared" si="18"/>
        <v>#N/A</v>
      </c>
      <c r="G4477" s="75"/>
      <c r="H4477" s="205"/>
    </row>
    <row r="4478" spans="1:8" ht="13.2">
      <c r="A4478" s="49"/>
      <c r="C4478" s="143" t="e">
        <f>VLOOKUP(B4478,'Thống kê'!$C$3:$D$669,2,0)</f>
        <v>#N/A</v>
      </c>
      <c r="D4478" s="166" t="e">
        <f>VLOOKUP(B4478,'Thống kê'!$C$3:$M$682,4,0)</f>
        <v>#N/A</v>
      </c>
      <c r="E4478" s="167"/>
      <c r="F4478" s="168" t="e">
        <f t="shared" si="18"/>
        <v>#N/A</v>
      </c>
      <c r="G4478" s="75"/>
      <c r="H4478" s="205"/>
    </row>
    <row r="4479" spans="1:8" ht="13.2">
      <c r="A4479" s="49"/>
      <c r="C4479" s="143" t="e">
        <f>VLOOKUP(B4479,'Thống kê'!$C$3:$D$669,2,0)</f>
        <v>#N/A</v>
      </c>
      <c r="D4479" s="166" t="e">
        <f>VLOOKUP(B4479,'Thống kê'!$C$3:$M$682,4,0)</f>
        <v>#N/A</v>
      </c>
      <c r="E4479" s="167"/>
      <c r="F4479" s="168" t="e">
        <f t="shared" si="18"/>
        <v>#N/A</v>
      </c>
      <c r="G4479" s="75"/>
      <c r="H4479" s="205"/>
    </row>
    <row r="4480" spans="1:8" ht="13.2">
      <c r="A4480" s="49"/>
      <c r="C4480" s="143" t="e">
        <f>VLOOKUP(B4480,'Thống kê'!$C$3:$D$669,2,0)</f>
        <v>#N/A</v>
      </c>
      <c r="D4480" s="166" t="e">
        <f>VLOOKUP(B4480,'Thống kê'!$C$3:$M$682,4,0)</f>
        <v>#N/A</v>
      </c>
      <c r="E4480" s="167"/>
      <c r="F4480" s="168" t="e">
        <f t="shared" si="18"/>
        <v>#N/A</v>
      </c>
      <c r="G4480" s="75"/>
      <c r="H4480" s="205"/>
    </row>
    <row r="4481" spans="1:8" ht="13.2">
      <c r="A4481" s="49"/>
      <c r="C4481" s="143" t="e">
        <f>VLOOKUP(B4481,'Thống kê'!$C$3:$D$669,2,0)</f>
        <v>#N/A</v>
      </c>
      <c r="D4481" s="166" t="e">
        <f>VLOOKUP(B4481,'Thống kê'!$C$3:$M$682,4,0)</f>
        <v>#N/A</v>
      </c>
      <c r="E4481" s="167"/>
      <c r="F4481" s="168" t="e">
        <f t="shared" si="18"/>
        <v>#N/A</v>
      </c>
      <c r="G4481" s="75"/>
      <c r="H4481" s="205"/>
    </row>
    <row r="4482" spans="1:8" ht="13.2">
      <c r="A4482" s="49"/>
      <c r="C4482" s="143" t="e">
        <f>VLOOKUP(B4482,'Thống kê'!$C$3:$D$669,2,0)</f>
        <v>#N/A</v>
      </c>
      <c r="D4482" s="166" t="e">
        <f>VLOOKUP(B4482,'Thống kê'!$C$3:$M$682,4,0)</f>
        <v>#N/A</v>
      </c>
      <c r="E4482" s="167"/>
      <c r="F4482" s="168" t="e">
        <f t="shared" si="18"/>
        <v>#N/A</v>
      </c>
      <c r="G4482" s="75"/>
      <c r="H4482" s="205"/>
    </row>
    <row r="4483" spans="1:8" ht="13.2">
      <c r="A4483" s="49"/>
      <c r="C4483" s="143" t="e">
        <f>VLOOKUP(B4483,'Thống kê'!$C$3:$D$669,2,0)</f>
        <v>#N/A</v>
      </c>
      <c r="D4483" s="166" t="e">
        <f>VLOOKUP(B4483,'Thống kê'!$C$3:$M$682,4,0)</f>
        <v>#N/A</v>
      </c>
      <c r="E4483" s="167"/>
      <c r="F4483" s="168" t="e">
        <f t="shared" si="18"/>
        <v>#N/A</v>
      </c>
      <c r="G4483" s="75"/>
      <c r="H4483" s="407"/>
    </row>
    <row r="4484" spans="1:8" ht="13.2">
      <c r="A4484" s="49"/>
      <c r="C4484" s="143" t="e">
        <f>VLOOKUP(B4484,'Thống kê'!$C$3:$D$669,2,0)</f>
        <v>#N/A</v>
      </c>
      <c r="D4484" s="166" t="e">
        <f>VLOOKUP(B4484,'Thống kê'!$C$3:$M$682,4,0)</f>
        <v>#N/A</v>
      </c>
      <c r="E4484" s="167"/>
      <c r="F4484" s="168" t="e">
        <f t="shared" si="18"/>
        <v>#N/A</v>
      </c>
      <c r="G4484" s="75"/>
      <c r="H4484" s="369"/>
    </row>
    <row r="4485" spans="1:8" ht="13.2">
      <c r="A4485" s="49"/>
      <c r="C4485" s="143" t="e">
        <f>VLOOKUP(B4485,'Thống kê'!$C$3:$D$669,2,0)</f>
        <v>#N/A</v>
      </c>
      <c r="D4485" s="166" t="e">
        <f>VLOOKUP(B4485,'Thống kê'!$C$3:$M$682,4,0)</f>
        <v>#N/A</v>
      </c>
      <c r="E4485" s="167"/>
      <c r="F4485" s="168" t="e">
        <f t="shared" si="18"/>
        <v>#N/A</v>
      </c>
      <c r="G4485" s="75"/>
      <c r="H4485" s="205"/>
    </row>
    <row r="4486" spans="1:8" ht="13.2">
      <c r="A4486" s="49"/>
      <c r="C4486" s="143" t="e">
        <f>VLOOKUP(B4486,'Thống kê'!$C$3:$D$669,2,0)</f>
        <v>#N/A</v>
      </c>
      <c r="D4486" s="166" t="e">
        <f>VLOOKUP(B4486,'Thống kê'!$C$3:$M$682,4,0)</f>
        <v>#N/A</v>
      </c>
      <c r="E4486" s="167"/>
      <c r="F4486" s="168" t="e">
        <f t="shared" si="18"/>
        <v>#N/A</v>
      </c>
      <c r="G4486" s="75"/>
      <c r="H4486" s="205"/>
    </row>
    <row r="4487" spans="1:8" ht="13.2">
      <c r="A4487" s="49"/>
      <c r="C4487" s="143" t="e">
        <f>VLOOKUP(B4487,'Thống kê'!$C$3:$D$669,2,0)</f>
        <v>#N/A</v>
      </c>
      <c r="D4487" s="166" t="e">
        <f>VLOOKUP(B4487,'Thống kê'!$C$3:$M$682,4,0)</f>
        <v>#N/A</v>
      </c>
      <c r="E4487" s="167"/>
      <c r="F4487" s="168" t="e">
        <f t="shared" si="18"/>
        <v>#N/A</v>
      </c>
      <c r="G4487" s="75"/>
      <c r="H4487" s="205"/>
    </row>
    <row r="4488" spans="1:8" ht="13.2">
      <c r="A4488" s="64"/>
      <c r="C4488" s="143" t="e">
        <f>VLOOKUP(B4488,'Thống kê'!$C$3:$D$669,2,0)</f>
        <v>#N/A</v>
      </c>
      <c r="D4488" s="166" t="e">
        <f>VLOOKUP(B4488,'Thống kê'!$C$3:$M$682,4,0)</f>
        <v>#N/A</v>
      </c>
      <c r="E4488" s="167"/>
      <c r="F4488" s="168" t="e">
        <f t="shared" si="18"/>
        <v>#N/A</v>
      </c>
      <c r="G4488" s="75"/>
      <c r="H4488" s="407"/>
    </row>
    <row r="4489" spans="1:8" ht="13.2">
      <c r="A4489" s="49"/>
      <c r="C4489" s="143" t="e">
        <f>VLOOKUP(B4489,'Thống kê'!$C$3:$D$669,2,0)</f>
        <v>#N/A</v>
      </c>
      <c r="D4489" s="166" t="e">
        <f>VLOOKUP(B4489,'Thống kê'!$C$3:$M$682,4,0)</f>
        <v>#N/A</v>
      </c>
      <c r="E4489" s="167"/>
      <c r="F4489" s="168" t="e">
        <f t="shared" si="18"/>
        <v>#N/A</v>
      </c>
      <c r="G4489" s="75"/>
      <c r="H4489" s="369"/>
    </row>
    <row r="4490" spans="1:8" ht="13.2">
      <c r="A4490" s="49"/>
      <c r="C4490" s="143" t="e">
        <f>VLOOKUP(B4490,'Thống kê'!$C$3:$D$669,2,0)</f>
        <v>#N/A</v>
      </c>
      <c r="D4490" s="166" t="e">
        <f>VLOOKUP(B4490,'Thống kê'!$C$3:$M$682,4,0)</f>
        <v>#N/A</v>
      </c>
      <c r="E4490" s="167"/>
      <c r="F4490" s="168" t="e">
        <f t="shared" si="18"/>
        <v>#N/A</v>
      </c>
      <c r="G4490" s="75"/>
      <c r="H4490" s="369"/>
    </row>
    <row r="4491" spans="1:8" ht="13.2">
      <c r="A4491" s="49"/>
      <c r="C4491" s="143" t="e">
        <f>VLOOKUP(B4491,'Thống kê'!$C$3:$D$669,2,0)</f>
        <v>#N/A</v>
      </c>
      <c r="D4491" s="166" t="e">
        <f>VLOOKUP(B4491,'Thống kê'!$C$3:$M$682,4,0)</f>
        <v>#N/A</v>
      </c>
      <c r="E4491" s="167"/>
      <c r="F4491" s="168" t="e">
        <f t="shared" si="18"/>
        <v>#N/A</v>
      </c>
      <c r="G4491" s="75"/>
      <c r="H4491" s="369"/>
    </row>
    <row r="4492" spans="1:8" ht="13.2">
      <c r="A4492" s="49"/>
      <c r="C4492" s="143" t="e">
        <f>VLOOKUP(B4492,'Thống kê'!$C$3:$D$669,2,0)</f>
        <v>#N/A</v>
      </c>
      <c r="D4492" s="166" t="e">
        <f>VLOOKUP(B4492,'Thống kê'!$C$3:$M$682,4,0)</f>
        <v>#N/A</v>
      </c>
      <c r="E4492" s="167"/>
      <c r="F4492" s="168" t="e">
        <f t="shared" si="18"/>
        <v>#N/A</v>
      </c>
      <c r="G4492" s="75"/>
      <c r="H4492" s="205"/>
    </row>
    <row r="4493" spans="1:8" ht="13.2">
      <c r="A4493" s="49"/>
      <c r="C4493" s="143" t="e">
        <f>VLOOKUP(B4493,'Thống kê'!$C$3:$D$669,2,0)</f>
        <v>#N/A</v>
      </c>
      <c r="D4493" s="166" t="e">
        <f>VLOOKUP(B4493,'Thống kê'!$C$3:$M$682,4,0)</f>
        <v>#N/A</v>
      </c>
      <c r="E4493" s="167"/>
      <c r="F4493" s="168" t="e">
        <f t="shared" si="18"/>
        <v>#N/A</v>
      </c>
      <c r="G4493" s="75"/>
      <c r="H4493" s="205"/>
    </row>
    <row r="4494" spans="1:8" ht="13.2">
      <c r="A4494" s="49"/>
      <c r="C4494" s="143" t="e">
        <f>VLOOKUP(B4494,'Thống kê'!$C$3:$D$669,2,0)</f>
        <v>#N/A</v>
      </c>
      <c r="D4494" s="166" t="e">
        <f>VLOOKUP(B4494,'Thống kê'!$C$3:$M$682,4,0)</f>
        <v>#N/A</v>
      </c>
      <c r="E4494" s="167"/>
      <c r="F4494" s="168" t="e">
        <f t="shared" si="18"/>
        <v>#N/A</v>
      </c>
      <c r="G4494" s="75"/>
      <c r="H4494" s="205"/>
    </row>
    <row r="4495" spans="1:8" ht="13.2">
      <c r="A4495" s="49"/>
      <c r="C4495" s="143" t="e">
        <f>VLOOKUP(B4495,'Thống kê'!$C$3:$D$669,2,0)</f>
        <v>#N/A</v>
      </c>
      <c r="D4495" s="166" t="e">
        <f>VLOOKUP(B4495,'Thống kê'!$C$3:$M$682,4,0)</f>
        <v>#N/A</v>
      </c>
      <c r="E4495" s="167"/>
      <c r="F4495" s="168" t="e">
        <f t="shared" si="18"/>
        <v>#N/A</v>
      </c>
      <c r="G4495" s="75"/>
      <c r="H4495" s="205"/>
    </row>
    <row r="4496" spans="1:8" ht="13.2">
      <c r="A4496" s="49"/>
      <c r="C4496" s="143" t="e">
        <f>VLOOKUP(B4496,'Thống kê'!$C$3:$D$669,2,0)</f>
        <v>#N/A</v>
      </c>
      <c r="D4496" s="166" t="e">
        <f>VLOOKUP(B4496,'Thống kê'!$C$3:$M$682,4,0)</f>
        <v>#N/A</v>
      </c>
      <c r="E4496" s="167"/>
      <c r="F4496" s="168" t="e">
        <f t="shared" si="18"/>
        <v>#N/A</v>
      </c>
      <c r="G4496" s="75"/>
      <c r="H4496" s="205"/>
    </row>
    <row r="4497" spans="1:8" ht="13.2">
      <c r="A4497" s="49"/>
      <c r="C4497" s="143" t="e">
        <f>VLOOKUP(B4497,'Thống kê'!$C$3:$D$669,2,0)</f>
        <v>#N/A</v>
      </c>
      <c r="D4497" s="166" t="e">
        <f>VLOOKUP(B4497,'Thống kê'!$C$3:$M$682,4,0)</f>
        <v>#N/A</v>
      </c>
      <c r="E4497" s="167"/>
      <c r="F4497" s="168" t="e">
        <f t="shared" si="18"/>
        <v>#N/A</v>
      </c>
      <c r="G4497" s="75"/>
      <c r="H4497" s="407"/>
    </row>
    <row r="4498" spans="1:8" ht="13.2">
      <c r="A4498" s="49"/>
      <c r="C4498" s="143" t="e">
        <f>VLOOKUP(B4498,'Thống kê'!$C$3:$D$669,2,0)</f>
        <v>#N/A</v>
      </c>
      <c r="D4498" s="166" t="e">
        <f>VLOOKUP(B4498,'Thống kê'!$C$3:$M$682,4,0)</f>
        <v>#N/A</v>
      </c>
      <c r="E4498" s="167"/>
      <c r="F4498" s="168" t="e">
        <f t="shared" si="18"/>
        <v>#N/A</v>
      </c>
      <c r="G4498" s="75"/>
      <c r="H4498" s="369"/>
    </row>
    <row r="4499" spans="1:8" ht="13.2">
      <c r="A4499" s="49"/>
      <c r="C4499" s="143" t="e">
        <f>VLOOKUP(B4499,'Thống kê'!$C$3:$D$669,2,0)</f>
        <v>#N/A</v>
      </c>
      <c r="D4499" s="166" t="e">
        <f>VLOOKUP(B4499,'Thống kê'!$C$3:$M$682,4,0)</f>
        <v>#N/A</v>
      </c>
      <c r="E4499" s="167"/>
      <c r="F4499" s="168" t="e">
        <f t="shared" si="18"/>
        <v>#N/A</v>
      </c>
      <c r="G4499" s="75"/>
      <c r="H4499" s="369"/>
    </row>
    <row r="4500" spans="1:8" ht="13.2">
      <c r="A4500" s="49"/>
      <c r="C4500" s="143" t="e">
        <f>VLOOKUP(B4500,'Thống kê'!$C$3:$D$669,2,0)</f>
        <v>#N/A</v>
      </c>
      <c r="D4500" s="166" t="e">
        <f>VLOOKUP(B4500,'Thống kê'!$C$3:$M$682,4,0)</f>
        <v>#N/A</v>
      </c>
      <c r="E4500" s="167"/>
      <c r="F4500" s="168" t="e">
        <f t="shared" si="18"/>
        <v>#N/A</v>
      </c>
      <c r="G4500" s="75"/>
      <c r="H4500" s="407"/>
    </row>
    <row r="4501" spans="1:8" ht="13.2">
      <c r="A4501" s="49"/>
      <c r="C4501" s="143" t="e">
        <f>VLOOKUP(B4501,'Thống kê'!$C$3:$D$669,2,0)</f>
        <v>#N/A</v>
      </c>
      <c r="D4501" s="166" t="e">
        <f>VLOOKUP(B4501,'Thống kê'!$C$3:$M$682,4,0)</f>
        <v>#N/A</v>
      </c>
      <c r="E4501" s="167"/>
      <c r="F4501" s="168" t="e">
        <f t="shared" si="18"/>
        <v>#N/A</v>
      </c>
      <c r="G4501" s="75"/>
      <c r="H4501" s="369"/>
    </row>
    <row r="4502" spans="1:8" ht="13.2">
      <c r="A4502" s="49"/>
      <c r="C4502" s="143" t="e">
        <f>VLOOKUP(B4502,'Thống kê'!$C$3:$D$669,2,0)</f>
        <v>#N/A</v>
      </c>
      <c r="D4502" s="166" t="e">
        <f>VLOOKUP(B4502,'Thống kê'!$C$3:$M$682,4,0)</f>
        <v>#N/A</v>
      </c>
      <c r="E4502" s="167"/>
      <c r="F4502" s="168" t="e">
        <f t="shared" si="18"/>
        <v>#N/A</v>
      </c>
      <c r="G4502" s="75"/>
      <c r="H4502" s="205"/>
    </row>
    <row r="4503" spans="1:8" ht="13.2">
      <c r="A4503" s="64"/>
      <c r="C4503" s="143" t="e">
        <f>VLOOKUP(B4503,'Thống kê'!$C$3:$D$669,2,0)</f>
        <v>#N/A</v>
      </c>
      <c r="D4503" s="166" t="e">
        <f>VLOOKUP(B4503,'Thống kê'!$C$3:$M$682,4,0)</f>
        <v>#N/A</v>
      </c>
      <c r="E4503" s="167"/>
      <c r="F4503" s="168" t="e">
        <f t="shared" si="18"/>
        <v>#N/A</v>
      </c>
      <c r="G4503" s="75"/>
      <c r="H4503" s="205"/>
    </row>
    <row r="4504" spans="1:8" ht="13.2">
      <c r="A4504" s="49"/>
      <c r="C4504" s="143" t="e">
        <f>VLOOKUP(B4504,'Thống kê'!$C$3:$D$669,2,0)</f>
        <v>#N/A</v>
      </c>
      <c r="D4504" s="166" t="e">
        <f>VLOOKUP(B4504,'Thống kê'!$C$3:$M$682,4,0)</f>
        <v>#N/A</v>
      </c>
      <c r="E4504" s="167"/>
      <c r="F4504" s="168" t="e">
        <f t="shared" si="18"/>
        <v>#N/A</v>
      </c>
      <c r="G4504" s="75"/>
      <c r="H4504" s="205"/>
    </row>
    <row r="4505" spans="1:8" ht="13.2">
      <c r="A4505" s="49"/>
      <c r="C4505" s="143" t="e">
        <f>VLOOKUP(B4505,'Thống kê'!$C$3:$D$669,2,0)</f>
        <v>#N/A</v>
      </c>
      <c r="D4505" s="166" t="e">
        <f>VLOOKUP(B4505,'Thống kê'!$C$3:$M$682,4,0)</f>
        <v>#N/A</v>
      </c>
      <c r="E4505" s="167"/>
      <c r="F4505" s="168" t="e">
        <f t="shared" si="18"/>
        <v>#N/A</v>
      </c>
      <c r="G4505" s="75"/>
      <c r="H4505" s="205"/>
    </row>
    <row r="4506" spans="1:8" ht="13.2">
      <c r="A4506" s="49"/>
      <c r="C4506" s="143" t="e">
        <f>VLOOKUP(B4506,'Thống kê'!$C$3:$D$669,2,0)</f>
        <v>#N/A</v>
      </c>
      <c r="D4506" s="166" t="e">
        <f>VLOOKUP(B4506,'Thống kê'!$C$3:$M$682,4,0)</f>
        <v>#N/A</v>
      </c>
      <c r="E4506" s="167"/>
      <c r="F4506" s="168" t="e">
        <f t="shared" si="18"/>
        <v>#N/A</v>
      </c>
      <c r="G4506" s="75"/>
      <c r="H4506" s="205"/>
    </row>
    <row r="4507" spans="1:8" ht="13.2">
      <c r="A4507" s="49"/>
      <c r="C4507" s="143" t="e">
        <f>VLOOKUP(B4507,'Thống kê'!$C$3:$D$669,2,0)</f>
        <v>#N/A</v>
      </c>
      <c r="D4507" s="166" t="e">
        <f>VLOOKUP(B4507,'Thống kê'!$C$3:$M$682,4,0)</f>
        <v>#N/A</v>
      </c>
      <c r="E4507" s="167"/>
      <c r="F4507" s="168" t="e">
        <f t="shared" si="18"/>
        <v>#N/A</v>
      </c>
      <c r="G4507" s="75"/>
      <c r="H4507" s="205"/>
    </row>
    <row r="4508" spans="1:8" ht="13.2">
      <c r="A4508" s="49"/>
      <c r="C4508" s="143" t="e">
        <f>VLOOKUP(B4508,'Thống kê'!$C$3:$D$669,2,0)</f>
        <v>#N/A</v>
      </c>
      <c r="D4508" s="166" t="e">
        <f>VLOOKUP(B4508,'Thống kê'!$C$3:$M$682,4,0)</f>
        <v>#N/A</v>
      </c>
      <c r="E4508" s="167"/>
      <c r="F4508" s="168" t="e">
        <f t="shared" si="18"/>
        <v>#N/A</v>
      </c>
      <c r="G4508" s="75"/>
      <c r="H4508" s="205"/>
    </row>
    <row r="4509" spans="1:8" ht="13.2">
      <c r="A4509" s="64"/>
      <c r="C4509" s="143" t="e">
        <f>VLOOKUP(B4509,'Thống kê'!$C$3:$D$669,2,0)</f>
        <v>#N/A</v>
      </c>
      <c r="D4509" s="166" t="e">
        <f>VLOOKUP(B4509,'Thống kê'!$C$3:$M$682,4,0)</f>
        <v>#N/A</v>
      </c>
      <c r="E4509" s="167"/>
      <c r="F4509" s="168" t="e">
        <f t="shared" si="18"/>
        <v>#N/A</v>
      </c>
      <c r="G4509" s="75"/>
      <c r="H4509" s="205"/>
    </row>
    <row r="4510" spans="1:8" ht="13.2">
      <c r="A4510" s="49"/>
      <c r="C4510" s="143" t="e">
        <f>VLOOKUP(B4510,'Thống kê'!$C$3:$D$669,2,0)</f>
        <v>#N/A</v>
      </c>
      <c r="D4510" s="166" t="e">
        <f>VLOOKUP(B4510,'Thống kê'!$C$3:$M$682,4,0)</f>
        <v>#N/A</v>
      </c>
      <c r="E4510" s="167"/>
      <c r="F4510" s="168" t="e">
        <f t="shared" si="18"/>
        <v>#N/A</v>
      </c>
      <c r="G4510" s="75"/>
      <c r="H4510" s="407"/>
    </row>
    <row r="4511" spans="1:8" ht="13.2">
      <c r="A4511" s="49"/>
      <c r="C4511" s="143" t="e">
        <f>VLOOKUP(B4511,'Thống kê'!$C$3:$D$669,2,0)</f>
        <v>#N/A</v>
      </c>
      <c r="D4511" s="166" t="e">
        <f>VLOOKUP(B4511,'Thống kê'!$C$3:$M$682,4,0)</f>
        <v>#N/A</v>
      </c>
      <c r="E4511" s="167"/>
      <c r="F4511" s="168" t="e">
        <f t="shared" si="18"/>
        <v>#N/A</v>
      </c>
      <c r="G4511" s="75"/>
      <c r="H4511" s="369"/>
    </row>
    <row r="4512" spans="1:8" ht="13.2">
      <c r="A4512" s="49"/>
      <c r="C4512" s="143" t="e">
        <f>VLOOKUP(B4512,'Thống kê'!$C$3:$D$669,2,0)</f>
        <v>#N/A</v>
      </c>
      <c r="D4512" s="166" t="e">
        <f>VLOOKUP(B4512,'Thống kê'!$C$3:$M$682,4,0)</f>
        <v>#N/A</v>
      </c>
      <c r="E4512" s="167"/>
      <c r="F4512" s="168" t="e">
        <f t="shared" si="18"/>
        <v>#N/A</v>
      </c>
      <c r="G4512" s="75"/>
      <c r="H4512" s="205"/>
    </row>
    <row r="4513" spans="1:8" ht="13.2">
      <c r="A4513" s="49"/>
      <c r="C4513" s="143" t="e">
        <f>VLOOKUP(B4513,'Thống kê'!$C$3:$D$669,2,0)</f>
        <v>#N/A</v>
      </c>
      <c r="D4513" s="166" t="e">
        <f>VLOOKUP(B4513,'Thống kê'!$C$3:$M$682,4,0)</f>
        <v>#N/A</v>
      </c>
      <c r="E4513" s="167"/>
      <c r="F4513" s="168" t="e">
        <f t="shared" si="18"/>
        <v>#N/A</v>
      </c>
      <c r="G4513" s="75"/>
      <c r="H4513" s="407"/>
    </row>
    <row r="4514" spans="1:8" ht="13.2">
      <c r="A4514" s="49"/>
      <c r="C4514" s="143" t="e">
        <f>VLOOKUP(B4514,'Thống kê'!$C$3:$D$669,2,0)</f>
        <v>#N/A</v>
      </c>
      <c r="D4514" s="166" t="e">
        <f>VLOOKUP(B4514,'Thống kê'!$C$3:$M$682,4,0)</f>
        <v>#N/A</v>
      </c>
      <c r="E4514" s="167"/>
      <c r="F4514" s="168" t="e">
        <f t="shared" si="18"/>
        <v>#N/A</v>
      </c>
      <c r="G4514" s="75"/>
      <c r="H4514" s="369"/>
    </row>
    <row r="4515" spans="1:8" ht="13.2">
      <c r="A4515" s="49"/>
      <c r="C4515" s="143" t="e">
        <f>VLOOKUP(B4515,'Thống kê'!$C$3:$D$669,2,0)</f>
        <v>#N/A</v>
      </c>
      <c r="D4515" s="166" t="e">
        <f>VLOOKUP(B4515,'Thống kê'!$C$3:$M$682,4,0)</f>
        <v>#N/A</v>
      </c>
      <c r="E4515" s="167"/>
      <c r="F4515" s="168" t="e">
        <f t="shared" si="18"/>
        <v>#N/A</v>
      </c>
      <c r="G4515" s="75"/>
      <c r="H4515" s="205"/>
    </row>
    <row r="4516" spans="1:8" ht="13.2">
      <c r="A4516" s="49"/>
      <c r="C4516" s="143" t="e">
        <f>VLOOKUP(B4516,'Thống kê'!$C$3:$D$669,2,0)</f>
        <v>#N/A</v>
      </c>
      <c r="D4516" s="166" t="e">
        <f>VLOOKUP(B4516,'Thống kê'!$C$3:$M$682,4,0)</f>
        <v>#N/A</v>
      </c>
      <c r="E4516" s="167"/>
      <c r="F4516" s="168" t="e">
        <f t="shared" si="18"/>
        <v>#N/A</v>
      </c>
      <c r="G4516" s="75"/>
      <c r="H4516" s="205"/>
    </row>
    <row r="4517" spans="1:8" ht="13.2">
      <c r="A4517" s="64"/>
      <c r="C4517" s="143" t="e">
        <f>VLOOKUP(B4517,'Thống kê'!$C$3:$D$669,2,0)</f>
        <v>#N/A</v>
      </c>
      <c r="D4517" s="166" t="e">
        <f>VLOOKUP(B4517,'Thống kê'!$C$3:$M$682,4,0)</f>
        <v>#N/A</v>
      </c>
      <c r="E4517" s="167"/>
      <c r="F4517" s="168" t="e">
        <f t="shared" si="18"/>
        <v>#N/A</v>
      </c>
      <c r="G4517" s="75"/>
      <c r="H4517" s="205"/>
    </row>
    <row r="4518" spans="1:8" ht="13.2">
      <c r="A4518" s="49"/>
      <c r="C4518" s="143" t="e">
        <f>VLOOKUP(B4518,'Thống kê'!$C$3:$D$669,2,0)</f>
        <v>#N/A</v>
      </c>
      <c r="D4518" s="166" t="e">
        <f>VLOOKUP(B4518,'Thống kê'!$C$3:$M$682,4,0)</f>
        <v>#N/A</v>
      </c>
      <c r="E4518" s="167"/>
      <c r="F4518" s="168" t="e">
        <f t="shared" si="18"/>
        <v>#N/A</v>
      </c>
      <c r="G4518" s="75"/>
      <c r="H4518" s="407"/>
    </row>
    <row r="4519" spans="1:8" ht="13.2">
      <c r="A4519" s="49"/>
      <c r="C4519" s="143" t="e">
        <f>VLOOKUP(B4519,'Thống kê'!$C$3:$D$669,2,0)</f>
        <v>#N/A</v>
      </c>
      <c r="D4519" s="166" t="e">
        <f>VLOOKUP(B4519,'Thống kê'!$C$3:$M$682,4,0)</f>
        <v>#N/A</v>
      </c>
      <c r="E4519" s="167"/>
      <c r="F4519" s="168" t="e">
        <f t="shared" si="18"/>
        <v>#N/A</v>
      </c>
      <c r="G4519" s="75"/>
      <c r="H4519" s="369"/>
    </row>
    <row r="4520" spans="1:8" ht="13.2">
      <c r="A4520" s="49"/>
      <c r="C4520" s="143" t="e">
        <f>VLOOKUP(B4520,'Thống kê'!$C$3:$D$669,2,0)</f>
        <v>#N/A</v>
      </c>
      <c r="D4520" s="166" t="e">
        <f>VLOOKUP(B4520,'Thống kê'!$C$3:$M$682,4,0)</f>
        <v>#N/A</v>
      </c>
      <c r="E4520" s="167"/>
      <c r="F4520" s="168" t="e">
        <f t="shared" si="18"/>
        <v>#N/A</v>
      </c>
      <c r="G4520" s="75"/>
      <c r="H4520" s="407"/>
    </row>
    <row r="4521" spans="1:8" ht="13.2">
      <c r="A4521" s="49"/>
      <c r="C4521" s="143" t="e">
        <f>VLOOKUP(B4521,'Thống kê'!$C$3:$D$669,2,0)</f>
        <v>#N/A</v>
      </c>
      <c r="D4521" s="166" t="e">
        <f>VLOOKUP(B4521,'Thống kê'!$C$3:$M$682,4,0)</f>
        <v>#N/A</v>
      </c>
      <c r="E4521" s="167"/>
      <c r="F4521" s="168" t="e">
        <f t="shared" si="18"/>
        <v>#N/A</v>
      </c>
      <c r="G4521" s="75"/>
      <c r="H4521" s="369"/>
    </row>
    <row r="4522" spans="1:8" ht="13.2">
      <c r="A4522" s="49"/>
      <c r="C4522" s="143" t="e">
        <f>VLOOKUP(B4522,'Thống kê'!$C$3:$D$669,2,0)</f>
        <v>#N/A</v>
      </c>
      <c r="D4522" s="166" t="e">
        <f>VLOOKUP(B4522,'Thống kê'!$C$3:$M$682,4,0)</f>
        <v>#N/A</v>
      </c>
      <c r="E4522" s="167"/>
      <c r="F4522" s="168" t="e">
        <f t="shared" si="18"/>
        <v>#N/A</v>
      </c>
      <c r="G4522" s="75"/>
      <c r="H4522" s="369"/>
    </row>
    <row r="4523" spans="1:8" ht="13.2">
      <c r="A4523" s="49"/>
      <c r="C4523" s="143" t="e">
        <f>VLOOKUP(B4523,'Thống kê'!$C$3:$D$669,2,0)</f>
        <v>#N/A</v>
      </c>
      <c r="D4523" s="166" t="e">
        <f>VLOOKUP(B4523,'Thống kê'!$C$3:$M$682,4,0)</f>
        <v>#N/A</v>
      </c>
      <c r="E4523" s="167"/>
      <c r="F4523" s="168" t="e">
        <f t="shared" si="18"/>
        <v>#N/A</v>
      </c>
      <c r="G4523" s="75"/>
      <c r="H4523" s="407"/>
    </row>
    <row r="4524" spans="1:8" ht="13.2">
      <c r="A4524" s="49"/>
      <c r="C4524" s="143" t="e">
        <f>VLOOKUP(B4524,'Thống kê'!$C$3:$D$669,2,0)</f>
        <v>#N/A</v>
      </c>
      <c r="D4524" s="166" t="e">
        <f>VLOOKUP(B4524,'Thống kê'!$C$3:$M$682,4,0)</f>
        <v>#N/A</v>
      </c>
      <c r="E4524" s="167"/>
      <c r="F4524" s="168" t="e">
        <f t="shared" si="18"/>
        <v>#N/A</v>
      </c>
      <c r="G4524" s="75"/>
      <c r="H4524" s="369"/>
    </row>
    <row r="4525" spans="1:8" ht="13.2">
      <c r="A4525" s="49"/>
      <c r="C4525" s="143" t="e">
        <f>VLOOKUP(B4525,'Thống kê'!$C$3:$D$669,2,0)</f>
        <v>#N/A</v>
      </c>
      <c r="D4525" s="166" t="e">
        <f>VLOOKUP(B4525,'Thống kê'!$C$3:$M$682,4,0)</f>
        <v>#N/A</v>
      </c>
      <c r="E4525" s="167"/>
      <c r="F4525" s="168" t="e">
        <f t="shared" si="18"/>
        <v>#N/A</v>
      </c>
      <c r="G4525" s="75"/>
      <c r="H4525" s="369"/>
    </row>
    <row r="4526" spans="1:8" ht="13.2">
      <c r="A4526" s="49"/>
      <c r="C4526" s="143" t="e">
        <f>VLOOKUP(B4526,'Thống kê'!$C$3:$D$669,2,0)</f>
        <v>#N/A</v>
      </c>
      <c r="D4526" s="166" t="e">
        <f>VLOOKUP(B4526,'Thống kê'!$C$3:$M$682,4,0)</f>
        <v>#N/A</v>
      </c>
      <c r="E4526" s="167"/>
      <c r="F4526" s="168" t="e">
        <f t="shared" si="18"/>
        <v>#N/A</v>
      </c>
      <c r="G4526" s="75"/>
      <c r="H4526" s="369"/>
    </row>
    <row r="4527" spans="1:8" ht="13.2">
      <c r="A4527" s="49"/>
      <c r="C4527" s="143" t="e">
        <f>VLOOKUP(B4527,'Thống kê'!$C$3:$D$669,2,0)</f>
        <v>#N/A</v>
      </c>
      <c r="D4527" s="166" t="e">
        <f>VLOOKUP(B4527,'Thống kê'!$C$3:$M$682,4,0)</f>
        <v>#N/A</v>
      </c>
      <c r="E4527" s="167"/>
      <c r="F4527" s="168" t="e">
        <f t="shared" si="18"/>
        <v>#N/A</v>
      </c>
      <c r="G4527" s="75"/>
      <c r="H4527" s="407"/>
    </row>
    <row r="4528" spans="1:8" ht="13.2">
      <c r="A4528" s="49"/>
      <c r="C4528" s="143" t="e">
        <f>VLOOKUP(B4528,'Thống kê'!$C$3:$D$669,2,0)</f>
        <v>#N/A</v>
      </c>
      <c r="D4528" s="166" t="e">
        <f>VLOOKUP(B4528,'Thống kê'!$C$3:$M$682,4,0)</f>
        <v>#N/A</v>
      </c>
      <c r="E4528" s="167"/>
      <c r="F4528" s="168" t="e">
        <f t="shared" si="18"/>
        <v>#N/A</v>
      </c>
      <c r="G4528" s="75"/>
      <c r="H4528" s="369"/>
    </row>
    <row r="4529" spans="1:8" ht="13.2">
      <c r="A4529" s="49"/>
      <c r="C4529" s="143" t="e">
        <f>VLOOKUP(B4529,'Thống kê'!$C$3:$D$669,2,0)</f>
        <v>#N/A</v>
      </c>
      <c r="D4529" s="166" t="e">
        <f>VLOOKUP(B4529,'Thống kê'!$C$3:$M$682,4,0)</f>
        <v>#N/A</v>
      </c>
      <c r="E4529" s="167"/>
      <c r="F4529" s="168" t="e">
        <f t="shared" si="18"/>
        <v>#N/A</v>
      </c>
      <c r="G4529" s="75"/>
      <c r="H4529" s="205"/>
    </row>
    <row r="4530" spans="1:8" ht="13.2">
      <c r="A4530" s="49"/>
      <c r="C4530" s="143" t="e">
        <f>VLOOKUP(B4530,'Thống kê'!$C$3:$D$669,2,0)</f>
        <v>#N/A</v>
      </c>
      <c r="D4530" s="166" t="e">
        <f>VLOOKUP(B4530,'Thống kê'!$C$3:$M$682,4,0)</f>
        <v>#N/A</v>
      </c>
      <c r="E4530" s="167"/>
      <c r="F4530" s="168" t="e">
        <f t="shared" si="18"/>
        <v>#N/A</v>
      </c>
      <c r="G4530" s="75"/>
      <c r="H4530" s="205"/>
    </row>
    <row r="4531" spans="1:8" ht="13.2">
      <c r="A4531" s="49"/>
      <c r="C4531" s="143" t="e">
        <f>VLOOKUP(B4531,'Thống kê'!$C$3:$D$669,2,0)</f>
        <v>#N/A</v>
      </c>
      <c r="D4531" s="166" t="e">
        <f>VLOOKUP(B4531,'Thống kê'!$C$3:$M$682,4,0)</f>
        <v>#N/A</v>
      </c>
      <c r="E4531" s="167"/>
      <c r="F4531" s="168" t="e">
        <f t="shared" si="18"/>
        <v>#N/A</v>
      </c>
      <c r="G4531" s="75"/>
      <c r="H4531" s="407"/>
    </row>
    <row r="4532" spans="1:8" ht="13.2">
      <c r="A4532" s="49"/>
      <c r="C4532" s="143" t="e">
        <f>VLOOKUP(B4532,'Thống kê'!$C$3:$D$669,2,0)</f>
        <v>#N/A</v>
      </c>
      <c r="D4532" s="166" t="e">
        <f>VLOOKUP(B4532,'Thống kê'!$C$3:$M$682,4,0)</f>
        <v>#N/A</v>
      </c>
      <c r="E4532" s="167"/>
      <c r="F4532" s="168" t="e">
        <f t="shared" si="18"/>
        <v>#N/A</v>
      </c>
      <c r="G4532" s="75"/>
      <c r="H4532" s="369"/>
    </row>
    <row r="4533" spans="1:8" ht="13.2">
      <c r="A4533" s="49"/>
      <c r="C4533" s="143" t="e">
        <f>VLOOKUP(B4533,'Thống kê'!$C$3:$D$669,2,0)</f>
        <v>#N/A</v>
      </c>
      <c r="D4533" s="166" t="e">
        <f>VLOOKUP(B4533,'Thống kê'!$C$3:$M$682,4,0)</f>
        <v>#N/A</v>
      </c>
      <c r="E4533" s="167"/>
      <c r="F4533" s="168" t="e">
        <f t="shared" si="18"/>
        <v>#N/A</v>
      </c>
      <c r="G4533" s="75"/>
      <c r="H4533" s="369"/>
    </row>
    <row r="4534" spans="1:8" ht="13.2">
      <c r="A4534" s="49"/>
      <c r="C4534" s="143" t="e">
        <f>VLOOKUP(B4534,'Thống kê'!$C$3:$D$669,2,0)</f>
        <v>#N/A</v>
      </c>
      <c r="D4534" s="166" t="e">
        <f>VLOOKUP(B4534,'Thống kê'!$C$3:$M$682,4,0)</f>
        <v>#N/A</v>
      </c>
      <c r="E4534" s="167"/>
      <c r="F4534" s="168" t="e">
        <f t="shared" si="18"/>
        <v>#N/A</v>
      </c>
      <c r="G4534" s="75"/>
      <c r="H4534" s="369"/>
    </row>
    <row r="4535" spans="1:8" ht="13.2">
      <c r="A4535" s="49"/>
      <c r="C4535" s="143" t="e">
        <f>VLOOKUP(B4535,'Thống kê'!$C$3:$D$669,2,0)</f>
        <v>#N/A</v>
      </c>
      <c r="D4535" s="166" t="e">
        <f>VLOOKUP(B4535,'Thống kê'!$C$3:$M$682,4,0)</f>
        <v>#N/A</v>
      </c>
      <c r="E4535" s="167"/>
      <c r="F4535" s="168" t="e">
        <f t="shared" si="18"/>
        <v>#N/A</v>
      </c>
      <c r="G4535" s="75"/>
      <c r="H4535" s="369"/>
    </row>
    <row r="4536" spans="1:8" ht="13.2">
      <c r="A4536" s="64"/>
      <c r="C4536" s="143" t="e">
        <f>VLOOKUP(B4536,'Thống kê'!$C$3:$D$669,2,0)</f>
        <v>#N/A</v>
      </c>
      <c r="D4536" s="166" t="e">
        <f>VLOOKUP(B4536,'Thống kê'!$C$3:$M$682,4,0)</f>
        <v>#N/A</v>
      </c>
      <c r="E4536" s="167"/>
      <c r="F4536" s="168" t="e">
        <f t="shared" si="18"/>
        <v>#N/A</v>
      </c>
      <c r="G4536" s="75"/>
      <c r="H4536" s="205"/>
    </row>
    <row r="4537" spans="1:8" ht="13.2">
      <c r="A4537" s="49"/>
      <c r="C4537" s="143" t="e">
        <f>VLOOKUP(B4537,'Thống kê'!$C$3:$D$669,2,0)</f>
        <v>#N/A</v>
      </c>
      <c r="D4537" s="166" t="e">
        <f>VLOOKUP(B4537,'Thống kê'!$C$3:$M$682,4,0)</f>
        <v>#N/A</v>
      </c>
      <c r="E4537" s="167"/>
      <c r="F4537" s="168" t="e">
        <f t="shared" si="18"/>
        <v>#N/A</v>
      </c>
      <c r="G4537" s="75"/>
      <c r="H4537" s="407"/>
    </row>
    <row r="4538" spans="1:8" ht="13.2">
      <c r="A4538" s="49"/>
      <c r="C4538" s="143" t="e">
        <f>VLOOKUP(B4538,'Thống kê'!$C$3:$D$669,2,0)</f>
        <v>#N/A</v>
      </c>
      <c r="D4538" s="166" t="e">
        <f>VLOOKUP(B4538,'Thống kê'!$C$3:$M$682,4,0)</f>
        <v>#N/A</v>
      </c>
      <c r="E4538" s="167"/>
      <c r="F4538" s="168" t="e">
        <f t="shared" si="18"/>
        <v>#N/A</v>
      </c>
      <c r="G4538" s="75"/>
      <c r="H4538" s="369"/>
    </row>
    <row r="4539" spans="1:8" ht="13.2">
      <c r="A4539" s="49"/>
      <c r="C4539" s="143" t="e">
        <f>VLOOKUP(B4539,'Thống kê'!$C$3:$D$669,2,0)</f>
        <v>#N/A</v>
      </c>
      <c r="D4539" s="166" t="e">
        <f>VLOOKUP(B4539,'Thống kê'!$C$3:$M$682,4,0)</f>
        <v>#N/A</v>
      </c>
      <c r="E4539" s="167"/>
      <c r="F4539" s="168" t="e">
        <f t="shared" si="18"/>
        <v>#N/A</v>
      </c>
      <c r="G4539" s="75"/>
      <c r="H4539" s="369"/>
    </row>
    <row r="4540" spans="1:8" ht="13.2">
      <c r="A4540" s="49"/>
      <c r="C4540" s="143" t="e">
        <f>VLOOKUP(B4540,'Thống kê'!$C$3:$D$669,2,0)</f>
        <v>#N/A</v>
      </c>
      <c r="D4540" s="166" t="e">
        <f>VLOOKUP(B4540,'Thống kê'!$C$3:$M$682,4,0)</f>
        <v>#N/A</v>
      </c>
      <c r="E4540" s="167"/>
      <c r="F4540" s="168" t="e">
        <f t="shared" si="18"/>
        <v>#N/A</v>
      </c>
      <c r="G4540" s="75"/>
      <c r="H4540" s="407"/>
    </row>
    <row r="4541" spans="1:8" ht="13.2">
      <c r="A4541" s="49"/>
      <c r="C4541" s="143" t="e">
        <f>VLOOKUP(B4541,'Thống kê'!$C$3:$D$669,2,0)</f>
        <v>#N/A</v>
      </c>
      <c r="D4541" s="166" t="e">
        <f>VLOOKUP(B4541,'Thống kê'!$C$3:$M$682,4,0)</f>
        <v>#N/A</v>
      </c>
      <c r="E4541" s="167"/>
      <c r="F4541" s="168" t="e">
        <f t="shared" si="18"/>
        <v>#N/A</v>
      </c>
      <c r="G4541" s="75"/>
      <c r="H4541" s="369"/>
    </row>
    <row r="4542" spans="1:8" ht="13.2">
      <c r="A4542" s="49"/>
      <c r="C4542" s="143" t="e">
        <f>VLOOKUP(B4542,'Thống kê'!$C$3:$D$669,2,0)</f>
        <v>#N/A</v>
      </c>
      <c r="D4542" s="166" t="e">
        <f>VLOOKUP(B4542,'Thống kê'!$C$3:$M$682,4,0)</f>
        <v>#N/A</v>
      </c>
      <c r="E4542" s="167"/>
      <c r="F4542" s="168" t="e">
        <f t="shared" si="18"/>
        <v>#N/A</v>
      </c>
      <c r="G4542" s="75"/>
      <c r="H4542" s="369"/>
    </row>
    <row r="4543" spans="1:8" ht="13.2">
      <c r="A4543" s="49"/>
      <c r="C4543" s="143" t="e">
        <f>VLOOKUP(B4543,'Thống kê'!$C$3:$D$669,2,0)</f>
        <v>#N/A</v>
      </c>
      <c r="D4543" s="166" t="e">
        <f>VLOOKUP(B4543,'Thống kê'!$C$3:$M$682,4,0)</f>
        <v>#N/A</v>
      </c>
      <c r="E4543" s="167"/>
      <c r="F4543" s="168" t="e">
        <f t="shared" si="18"/>
        <v>#N/A</v>
      </c>
      <c r="G4543" s="75"/>
      <c r="H4543" s="205"/>
    </row>
    <row r="4544" spans="1:8" ht="13.2">
      <c r="A4544" s="64"/>
      <c r="C4544" s="143" t="e">
        <f>VLOOKUP(B4544,'Thống kê'!$C$3:$D$669,2,0)</f>
        <v>#N/A</v>
      </c>
      <c r="D4544" s="166" t="e">
        <f>VLOOKUP(B4544,'Thống kê'!$C$3:$M$682,4,0)</f>
        <v>#N/A</v>
      </c>
      <c r="E4544" s="167"/>
      <c r="F4544" s="168" t="e">
        <f t="shared" si="18"/>
        <v>#N/A</v>
      </c>
      <c r="G4544" s="75"/>
      <c r="H4544" s="205"/>
    </row>
    <row r="4545" spans="1:8" ht="13.2">
      <c r="A4545" s="49"/>
      <c r="C4545" s="143" t="e">
        <f>VLOOKUP(B4545,'Thống kê'!$C$3:$D$669,2,0)</f>
        <v>#N/A</v>
      </c>
      <c r="D4545" s="166" t="e">
        <f>VLOOKUP(B4545,'Thống kê'!$C$3:$M$682,4,0)</f>
        <v>#N/A</v>
      </c>
      <c r="E4545" s="167"/>
      <c r="F4545" s="168" t="e">
        <f t="shared" si="18"/>
        <v>#N/A</v>
      </c>
      <c r="G4545" s="75"/>
      <c r="H4545" s="205"/>
    </row>
    <row r="4546" spans="1:8" ht="13.2">
      <c r="A4546" s="49"/>
      <c r="C4546" s="143" t="e">
        <f>VLOOKUP(B4546,'Thống kê'!$C$3:$D$669,2,0)</f>
        <v>#N/A</v>
      </c>
      <c r="D4546" s="166" t="e">
        <f>VLOOKUP(B4546,'Thống kê'!$C$3:$M$682,4,0)</f>
        <v>#N/A</v>
      </c>
      <c r="E4546" s="167"/>
      <c r="F4546" s="168" t="e">
        <f t="shared" si="18"/>
        <v>#N/A</v>
      </c>
      <c r="G4546" s="75"/>
      <c r="H4546" s="205"/>
    </row>
    <row r="4547" spans="1:8" ht="13.2">
      <c r="A4547" s="49"/>
      <c r="C4547" s="143" t="e">
        <f>VLOOKUP(B4547,'Thống kê'!$C$3:$D$669,2,0)</f>
        <v>#N/A</v>
      </c>
      <c r="D4547" s="166" t="e">
        <f>VLOOKUP(B4547,'Thống kê'!$C$3:$M$682,4,0)</f>
        <v>#N/A</v>
      </c>
      <c r="E4547" s="167"/>
      <c r="F4547" s="168" t="e">
        <f t="shared" si="18"/>
        <v>#N/A</v>
      </c>
      <c r="G4547" s="75"/>
      <c r="H4547" s="205"/>
    </row>
    <row r="4548" spans="1:8" ht="13.2">
      <c r="A4548" s="49"/>
      <c r="C4548" s="143" t="e">
        <f>VLOOKUP(B4548,'Thống kê'!$C$3:$D$669,2,0)</f>
        <v>#N/A</v>
      </c>
      <c r="D4548" s="166" t="e">
        <f>VLOOKUP(B4548,'Thống kê'!$C$3:$M$682,4,0)</f>
        <v>#N/A</v>
      </c>
      <c r="E4548" s="167"/>
      <c r="F4548" s="168" t="e">
        <f t="shared" si="18"/>
        <v>#N/A</v>
      </c>
      <c r="G4548" s="75"/>
      <c r="H4548" s="205"/>
    </row>
    <row r="4549" spans="1:8" ht="13.2">
      <c r="A4549" s="64"/>
      <c r="C4549" s="143" t="e">
        <f>VLOOKUP(B4549,'Thống kê'!$C$3:$D$669,2,0)</f>
        <v>#N/A</v>
      </c>
      <c r="D4549" s="166" t="e">
        <f>VLOOKUP(B4549,'Thống kê'!$C$3:$M$682,4,0)</f>
        <v>#N/A</v>
      </c>
      <c r="E4549" s="167"/>
      <c r="F4549" s="168" t="e">
        <f t="shared" si="18"/>
        <v>#N/A</v>
      </c>
      <c r="G4549" s="75"/>
      <c r="H4549" s="205"/>
    </row>
    <row r="4550" spans="1:8" ht="13.2">
      <c r="A4550" s="49"/>
      <c r="C4550" s="143" t="e">
        <f>VLOOKUP(B4550,'Thống kê'!$C$3:$D$669,2,0)</f>
        <v>#N/A</v>
      </c>
      <c r="D4550" s="166" t="e">
        <f>VLOOKUP(B4550,'Thống kê'!$C$3:$M$682,4,0)</f>
        <v>#N/A</v>
      </c>
      <c r="E4550" s="167"/>
      <c r="F4550" s="168" t="e">
        <f t="shared" si="18"/>
        <v>#N/A</v>
      </c>
      <c r="G4550" s="75"/>
      <c r="H4550" s="205"/>
    </row>
    <row r="4551" spans="1:8" ht="13.2">
      <c r="A4551" s="49"/>
      <c r="C4551" s="143" t="e">
        <f>VLOOKUP(B4551,'Thống kê'!$C$3:$D$669,2,0)</f>
        <v>#N/A</v>
      </c>
      <c r="D4551" s="166" t="e">
        <f>VLOOKUP(B4551,'Thống kê'!$C$3:$M$682,4,0)</f>
        <v>#N/A</v>
      </c>
      <c r="E4551" s="167"/>
      <c r="F4551" s="168" t="e">
        <f t="shared" si="18"/>
        <v>#N/A</v>
      </c>
      <c r="G4551" s="75"/>
      <c r="H4551" s="407"/>
    </row>
    <row r="4552" spans="1:8" ht="13.2">
      <c r="A4552" s="49"/>
      <c r="C4552" s="143" t="e">
        <f>VLOOKUP(B4552,'Thống kê'!$C$3:$D$669,2,0)</f>
        <v>#N/A</v>
      </c>
      <c r="D4552" s="166" t="e">
        <f>VLOOKUP(B4552,'Thống kê'!$C$3:$M$682,4,0)</f>
        <v>#N/A</v>
      </c>
      <c r="E4552" s="167"/>
      <c r="F4552" s="168" t="e">
        <f t="shared" si="18"/>
        <v>#N/A</v>
      </c>
      <c r="G4552" s="75"/>
      <c r="H4552" s="369"/>
    </row>
    <row r="4553" spans="1:8" ht="13.2">
      <c r="A4553" s="49"/>
      <c r="C4553" s="143" t="e">
        <f>VLOOKUP(B4553,'Thống kê'!$C$3:$D$669,2,0)</f>
        <v>#N/A</v>
      </c>
      <c r="D4553" s="166" t="e">
        <f>VLOOKUP(B4553,'Thống kê'!$C$3:$M$682,4,0)</f>
        <v>#N/A</v>
      </c>
      <c r="E4553" s="167"/>
      <c r="F4553" s="168" t="e">
        <f t="shared" si="18"/>
        <v>#N/A</v>
      </c>
      <c r="G4553" s="75"/>
      <c r="H4553" s="407"/>
    </row>
    <row r="4554" spans="1:8" ht="13.2">
      <c r="A4554" s="49"/>
      <c r="C4554" s="143" t="e">
        <f>VLOOKUP(B4554,'Thống kê'!$C$3:$D$669,2,0)</f>
        <v>#N/A</v>
      </c>
      <c r="D4554" s="166" t="e">
        <f>VLOOKUP(B4554,'Thống kê'!$C$3:$M$682,4,0)</f>
        <v>#N/A</v>
      </c>
      <c r="E4554" s="167"/>
      <c r="F4554" s="168" t="e">
        <f t="shared" si="18"/>
        <v>#N/A</v>
      </c>
      <c r="G4554" s="75"/>
      <c r="H4554" s="369"/>
    </row>
    <row r="4555" spans="1:8" ht="13.2">
      <c r="A4555" s="49"/>
      <c r="C4555" s="143" t="e">
        <f>VLOOKUP(B4555,'Thống kê'!$C$3:$D$669,2,0)</f>
        <v>#N/A</v>
      </c>
      <c r="D4555" s="166" t="e">
        <f>VLOOKUP(B4555,'Thống kê'!$C$3:$M$682,4,0)</f>
        <v>#N/A</v>
      </c>
      <c r="E4555" s="167"/>
      <c r="F4555" s="168" t="e">
        <f t="shared" si="18"/>
        <v>#N/A</v>
      </c>
      <c r="G4555" s="75"/>
      <c r="H4555" s="205"/>
    </row>
    <row r="4556" spans="1:8" ht="13.2">
      <c r="A4556" s="49"/>
      <c r="C4556" s="143" t="e">
        <f>VLOOKUP(B4556,'Thống kê'!$C$3:$D$669,2,0)</f>
        <v>#N/A</v>
      </c>
      <c r="D4556" s="166" t="e">
        <f>VLOOKUP(B4556,'Thống kê'!$C$3:$M$682,4,0)</f>
        <v>#N/A</v>
      </c>
      <c r="E4556" s="167"/>
      <c r="F4556" s="168" t="e">
        <f t="shared" si="18"/>
        <v>#N/A</v>
      </c>
      <c r="G4556" s="75"/>
      <c r="H4556" s="205"/>
    </row>
    <row r="4557" spans="1:8" ht="13.2">
      <c r="A4557" s="49"/>
      <c r="C4557" s="143" t="e">
        <f>VLOOKUP(B4557,'Thống kê'!$C$3:$D$669,2,0)</f>
        <v>#N/A</v>
      </c>
      <c r="D4557" s="166" t="e">
        <f>VLOOKUP(B4557,'Thống kê'!$C$3:$M$682,4,0)</f>
        <v>#N/A</v>
      </c>
      <c r="E4557" s="167"/>
      <c r="F4557" s="168" t="e">
        <f t="shared" si="18"/>
        <v>#N/A</v>
      </c>
      <c r="G4557" s="75"/>
      <c r="H4557" s="205"/>
    </row>
    <row r="4558" spans="1:8" ht="13.2">
      <c r="A4558" s="49"/>
      <c r="C4558" s="143" t="e">
        <f>VLOOKUP(B4558,'Thống kê'!$C$3:$D$669,2,0)</f>
        <v>#N/A</v>
      </c>
      <c r="D4558" s="166" t="e">
        <f>VLOOKUP(B4558,'Thống kê'!$C$3:$M$682,4,0)</f>
        <v>#N/A</v>
      </c>
      <c r="E4558" s="167"/>
      <c r="F4558" s="168" t="e">
        <f t="shared" si="18"/>
        <v>#N/A</v>
      </c>
      <c r="G4558" s="75"/>
      <c r="H4558" s="407"/>
    </row>
    <row r="4559" spans="1:8" ht="13.2">
      <c r="A4559" s="49"/>
      <c r="C4559" s="143" t="e">
        <f>VLOOKUP(B4559,'Thống kê'!$C$3:$D$669,2,0)</f>
        <v>#N/A</v>
      </c>
      <c r="D4559" s="166" t="e">
        <f>VLOOKUP(B4559,'Thống kê'!$C$3:$M$682,4,0)</f>
        <v>#N/A</v>
      </c>
      <c r="E4559" s="167"/>
      <c r="F4559" s="168" t="e">
        <f t="shared" si="18"/>
        <v>#N/A</v>
      </c>
      <c r="G4559" s="75"/>
      <c r="H4559" s="369"/>
    </row>
    <row r="4560" spans="1:8" ht="13.2">
      <c r="A4560" s="49"/>
      <c r="C4560" s="143" t="e">
        <f>VLOOKUP(B4560,'Thống kê'!$C$3:$D$669,2,0)</f>
        <v>#N/A</v>
      </c>
      <c r="D4560" s="166" t="e">
        <f>VLOOKUP(B4560,'Thống kê'!$C$3:$M$682,4,0)</f>
        <v>#N/A</v>
      </c>
      <c r="E4560" s="167"/>
      <c r="F4560" s="168" t="e">
        <f t="shared" si="18"/>
        <v>#N/A</v>
      </c>
      <c r="G4560" s="75"/>
      <c r="H4560" s="407"/>
    </row>
    <row r="4561" spans="1:8" ht="13.2">
      <c r="A4561" s="49"/>
      <c r="C4561" s="143" t="e">
        <f>VLOOKUP(B4561,'Thống kê'!$C$3:$D$669,2,0)</f>
        <v>#N/A</v>
      </c>
      <c r="D4561" s="166" t="e">
        <f>VLOOKUP(B4561,'Thống kê'!$C$3:$M$682,4,0)</f>
        <v>#N/A</v>
      </c>
      <c r="E4561" s="167"/>
      <c r="F4561" s="168" t="e">
        <f t="shared" si="18"/>
        <v>#N/A</v>
      </c>
      <c r="G4561" s="75"/>
      <c r="H4561" s="369"/>
    </row>
    <row r="4562" spans="1:8" ht="13.2">
      <c r="A4562" s="49"/>
      <c r="C4562" s="143" t="e">
        <f>VLOOKUP(B4562,'Thống kê'!$C$3:$D$669,2,0)</f>
        <v>#N/A</v>
      </c>
      <c r="D4562" s="166" t="e">
        <f>VLOOKUP(B4562,'Thống kê'!$C$3:$M$682,4,0)</f>
        <v>#N/A</v>
      </c>
      <c r="E4562" s="167"/>
      <c r="F4562" s="168" t="e">
        <f t="shared" si="18"/>
        <v>#N/A</v>
      </c>
      <c r="G4562" s="75"/>
      <c r="H4562" s="369"/>
    </row>
    <row r="4563" spans="1:8" ht="13.2">
      <c r="A4563" s="49"/>
      <c r="C4563" s="143" t="e">
        <f>VLOOKUP(B4563,'Thống kê'!$C$3:$D$669,2,0)</f>
        <v>#N/A</v>
      </c>
      <c r="D4563" s="166" t="e">
        <f>VLOOKUP(B4563,'Thống kê'!$C$3:$M$682,4,0)</f>
        <v>#N/A</v>
      </c>
      <c r="E4563" s="167"/>
      <c r="F4563" s="168" t="e">
        <f t="shared" si="18"/>
        <v>#N/A</v>
      </c>
      <c r="G4563" s="75"/>
      <c r="H4563" s="369"/>
    </row>
    <row r="4564" spans="1:8" ht="13.2">
      <c r="A4564" s="49"/>
      <c r="C4564" s="143" t="e">
        <f>VLOOKUP(B4564,'Thống kê'!$C$3:$D$669,2,0)</f>
        <v>#N/A</v>
      </c>
      <c r="D4564" s="166" t="e">
        <f>VLOOKUP(B4564,'Thống kê'!$C$3:$M$682,4,0)</f>
        <v>#N/A</v>
      </c>
      <c r="E4564" s="167"/>
      <c r="F4564" s="168" t="e">
        <f t="shared" si="18"/>
        <v>#N/A</v>
      </c>
      <c r="G4564" s="75"/>
      <c r="H4564" s="205"/>
    </row>
    <row r="4565" spans="1:8" ht="13.2">
      <c r="A4565" s="49"/>
      <c r="C4565" s="143" t="e">
        <f>VLOOKUP(B4565,'Thống kê'!$C$3:$D$669,2,0)</f>
        <v>#N/A</v>
      </c>
      <c r="D4565" s="166" t="e">
        <f>VLOOKUP(B4565,'Thống kê'!$C$3:$M$682,4,0)</f>
        <v>#N/A</v>
      </c>
      <c r="E4565" s="167"/>
      <c r="F4565" s="168" t="e">
        <f t="shared" si="18"/>
        <v>#N/A</v>
      </c>
      <c r="G4565" s="75"/>
      <c r="H4565" s="407"/>
    </row>
    <row r="4566" spans="1:8" ht="13.2">
      <c r="A4566" s="49"/>
      <c r="C4566" s="143" t="e">
        <f>VLOOKUP(B4566,'Thống kê'!$C$3:$D$669,2,0)</f>
        <v>#N/A</v>
      </c>
      <c r="D4566" s="166" t="e">
        <f>VLOOKUP(B4566,'Thống kê'!$C$3:$M$682,4,0)</f>
        <v>#N/A</v>
      </c>
      <c r="E4566" s="167"/>
      <c r="F4566" s="168" t="e">
        <f t="shared" si="18"/>
        <v>#N/A</v>
      </c>
      <c r="G4566" s="75"/>
      <c r="H4566" s="369"/>
    </row>
    <row r="4567" spans="1:8" ht="13.2">
      <c r="A4567" s="49"/>
      <c r="C4567" s="143" t="e">
        <f>VLOOKUP(B4567,'Thống kê'!$C$3:$D$669,2,0)</f>
        <v>#N/A</v>
      </c>
      <c r="D4567" s="166" t="e">
        <f>VLOOKUP(B4567,'Thống kê'!$C$3:$M$682,4,0)</f>
        <v>#N/A</v>
      </c>
      <c r="E4567" s="167"/>
      <c r="F4567" s="168" t="e">
        <f t="shared" si="18"/>
        <v>#N/A</v>
      </c>
      <c r="G4567" s="75"/>
      <c r="H4567" s="369"/>
    </row>
    <row r="4568" spans="1:8" ht="13.2">
      <c r="A4568" s="49"/>
      <c r="C4568" s="143" t="e">
        <f>VLOOKUP(B4568,'Thống kê'!$C$3:$D$669,2,0)</f>
        <v>#N/A</v>
      </c>
      <c r="D4568" s="166" t="e">
        <f>VLOOKUP(B4568,'Thống kê'!$C$3:$M$682,4,0)</f>
        <v>#N/A</v>
      </c>
      <c r="E4568" s="167"/>
      <c r="F4568" s="168" t="e">
        <f t="shared" si="18"/>
        <v>#N/A</v>
      </c>
      <c r="G4568" s="75"/>
      <c r="H4568" s="205"/>
    </row>
    <row r="4569" spans="1:8" ht="13.2">
      <c r="A4569" s="49"/>
      <c r="C4569" s="143" t="e">
        <f>VLOOKUP(B4569,'Thống kê'!$C$3:$D$669,2,0)</f>
        <v>#N/A</v>
      </c>
      <c r="D4569" s="166" t="e">
        <f>VLOOKUP(B4569,'Thống kê'!$C$3:$M$682,4,0)</f>
        <v>#N/A</v>
      </c>
      <c r="E4569" s="167"/>
      <c r="F4569" s="168" t="e">
        <f t="shared" si="18"/>
        <v>#N/A</v>
      </c>
      <c r="G4569" s="75"/>
      <c r="H4569" s="407"/>
    </row>
    <row r="4570" spans="1:8" ht="13.2">
      <c r="A4570" s="49"/>
      <c r="C4570" s="143" t="e">
        <f>VLOOKUP(B4570,'Thống kê'!$C$3:$D$669,2,0)</f>
        <v>#N/A</v>
      </c>
      <c r="D4570" s="166" t="e">
        <f>VLOOKUP(B4570,'Thống kê'!$C$3:$M$682,4,0)</f>
        <v>#N/A</v>
      </c>
      <c r="E4570" s="167"/>
      <c r="F4570" s="168" t="e">
        <f t="shared" si="18"/>
        <v>#N/A</v>
      </c>
      <c r="G4570" s="75"/>
      <c r="H4570" s="369"/>
    </row>
    <row r="4571" spans="1:8" ht="13.2">
      <c r="A4571" s="49"/>
      <c r="C4571" s="143" t="e">
        <f>VLOOKUP(B4571,'Thống kê'!$C$3:$D$669,2,0)</f>
        <v>#N/A</v>
      </c>
      <c r="D4571" s="166" t="e">
        <f>VLOOKUP(B4571,'Thống kê'!$C$3:$M$682,4,0)</f>
        <v>#N/A</v>
      </c>
      <c r="E4571" s="167"/>
      <c r="F4571" s="168" t="e">
        <f t="shared" si="18"/>
        <v>#N/A</v>
      </c>
      <c r="G4571" s="75"/>
      <c r="H4571" s="407"/>
    </row>
    <row r="4572" spans="1:8" ht="13.2">
      <c r="A4572" s="49"/>
      <c r="C4572" s="143" t="e">
        <f>VLOOKUP(B4572,'Thống kê'!$C$3:$D$669,2,0)</f>
        <v>#N/A</v>
      </c>
      <c r="D4572" s="166" t="e">
        <f>VLOOKUP(B4572,'Thống kê'!$C$3:$M$682,4,0)</f>
        <v>#N/A</v>
      </c>
      <c r="E4572" s="167"/>
      <c r="F4572" s="168" t="e">
        <f t="shared" si="18"/>
        <v>#N/A</v>
      </c>
      <c r="G4572" s="75"/>
      <c r="H4572" s="369"/>
    </row>
    <row r="4573" spans="1:8" ht="13.2">
      <c r="A4573" s="49"/>
      <c r="C4573" s="143" t="e">
        <f>VLOOKUP(B4573,'Thống kê'!$C$3:$D$669,2,0)</f>
        <v>#N/A</v>
      </c>
      <c r="D4573" s="166" t="e">
        <f>VLOOKUP(B4573,'Thống kê'!$C$3:$M$682,4,0)</f>
        <v>#N/A</v>
      </c>
      <c r="E4573" s="167"/>
      <c r="F4573" s="168" t="e">
        <f t="shared" si="18"/>
        <v>#N/A</v>
      </c>
      <c r="G4573" s="75"/>
      <c r="H4573" s="407"/>
    </row>
    <row r="4574" spans="1:8" ht="13.2">
      <c r="A4574" s="49"/>
      <c r="C4574" s="143" t="e">
        <f>VLOOKUP(B4574,'Thống kê'!$C$3:$D$669,2,0)</f>
        <v>#N/A</v>
      </c>
      <c r="D4574" s="166" t="e">
        <f>VLOOKUP(B4574,'Thống kê'!$C$3:$M$682,4,0)</f>
        <v>#N/A</v>
      </c>
      <c r="E4574" s="167"/>
      <c r="F4574" s="168" t="e">
        <f t="shared" si="18"/>
        <v>#N/A</v>
      </c>
      <c r="G4574" s="75"/>
      <c r="H4574" s="369"/>
    </row>
    <row r="4575" spans="1:8" ht="13.2">
      <c r="A4575" s="49"/>
      <c r="C4575" s="143" t="e">
        <f>VLOOKUP(B4575,'Thống kê'!$C$3:$D$669,2,0)</f>
        <v>#N/A</v>
      </c>
      <c r="D4575" s="166" t="e">
        <f>VLOOKUP(B4575,'Thống kê'!$C$3:$M$682,4,0)</f>
        <v>#N/A</v>
      </c>
      <c r="E4575" s="167"/>
      <c r="F4575" s="168" t="e">
        <f t="shared" si="18"/>
        <v>#N/A</v>
      </c>
      <c r="G4575" s="75"/>
      <c r="H4575" s="407"/>
    </row>
    <row r="4576" spans="1:8" ht="13.2">
      <c r="A4576" s="49"/>
      <c r="C4576" s="143" t="e">
        <f>VLOOKUP(B4576,'Thống kê'!$C$3:$D$669,2,0)</f>
        <v>#N/A</v>
      </c>
      <c r="D4576" s="166" t="e">
        <f>VLOOKUP(B4576,'Thống kê'!$C$3:$M$682,4,0)</f>
        <v>#N/A</v>
      </c>
      <c r="E4576" s="167"/>
      <c r="F4576" s="168" t="e">
        <f t="shared" si="18"/>
        <v>#N/A</v>
      </c>
      <c r="G4576" s="75"/>
      <c r="H4576" s="369"/>
    </row>
    <row r="4577" spans="1:8" ht="13.2">
      <c r="A4577" s="49"/>
      <c r="C4577" s="143" t="e">
        <f>VLOOKUP(B4577,'Thống kê'!$C$3:$D$669,2,0)</f>
        <v>#N/A</v>
      </c>
      <c r="D4577" s="166" t="e">
        <f>VLOOKUP(B4577,'Thống kê'!$C$3:$M$682,4,0)</f>
        <v>#N/A</v>
      </c>
      <c r="E4577" s="167"/>
      <c r="F4577" s="168" t="e">
        <f t="shared" si="18"/>
        <v>#N/A</v>
      </c>
      <c r="G4577" s="75"/>
      <c r="H4577" s="407"/>
    </row>
    <row r="4578" spans="1:8" ht="13.2">
      <c r="A4578" s="49"/>
      <c r="C4578" s="143" t="e">
        <f>VLOOKUP(B4578,'Thống kê'!$C$3:$D$669,2,0)</f>
        <v>#N/A</v>
      </c>
      <c r="D4578" s="166" t="e">
        <f>VLOOKUP(B4578,'Thống kê'!$C$3:$M$682,4,0)</f>
        <v>#N/A</v>
      </c>
      <c r="E4578" s="167"/>
      <c r="F4578" s="168" t="e">
        <f t="shared" si="18"/>
        <v>#N/A</v>
      </c>
      <c r="G4578" s="75"/>
      <c r="H4578" s="369"/>
    </row>
    <row r="4579" spans="1:8" ht="13.2">
      <c r="A4579" s="49"/>
      <c r="C4579" s="143" t="e">
        <f>VLOOKUP(B4579,'Thống kê'!$C$3:$D$669,2,0)</f>
        <v>#N/A</v>
      </c>
      <c r="D4579" s="166" t="e">
        <f>VLOOKUP(B4579,'Thống kê'!$C$3:$M$682,4,0)</f>
        <v>#N/A</v>
      </c>
      <c r="E4579" s="167"/>
      <c r="F4579" s="168" t="e">
        <f t="shared" si="18"/>
        <v>#N/A</v>
      </c>
      <c r="G4579" s="75"/>
      <c r="H4579" s="369"/>
    </row>
    <row r="4580" spans="1:8" ht="13.2">
      <c r="A4580" s="49"/>
      <c r="C4580" s="143" t="e">
        <f>VLOOKUP(B4580,'Thống kê'!$C$3:$D$669,2,0)</f>
        <v>#N/A</v>
      </c>
      <c r="D4580" s="166" t="e">
        <f>VLOOKUP(B4580,'Thống kê'!$C$3:$M$682,4,0)</f>
        <v>#N/A</v>
      </c>
      <c r="E4580" s="167"/>
      <c r="F4580" s="168" t="e">
        <f t="shared" si="18"/>
        <v>#N/A</v>
      </c>
      <c r="G4580" s="75"/>
      <c r="H4580" s="369"/>
    </row>
    <row r="4581" spans="1:8" ht="13.2">
      <c r="A4581" s="49"/>
      <c r="C4581" s="143" t="e">
        <f>VLOOKUP(B4581,'Thống kê'!$C$3:$D$669,2,0)</f>
        <v>#N/A</v>
      </c>
      <c r="D4581" s="166" t="e">
        <f>VLOOKUP(B4581,'Thống kê'!$C$3:$M$682,4,0)</f>
        <v>#N/A</v>
      </c>
      <c r="E4581" s="167"/>
      <c r="F4581" s="168" t="e">
        <f t="shared" si="18"/>
        <v>#N/A</v>
      </c>
      <c r="G4581" s="75"/>
      <c r="H4581" s="205"/>
    </row>
    <row r="4582" spans="1:8" ht="13.2">
      <c r="A4582" s="49"/>
      <c r="C4582" s="143" t="e">
        <f>VLOOKUP(B4582,'Thống kê'!$C$3:$D$669,2,0)</f>
        <v>#N/A</v>
      </c>
      <c r="D4582" s="166" t="e">
        <f>VLOOKUP(B4582,'Thống kê'!$C$3:$M$682,4,0)</f>
        <v>#N/A</v>
      </c>
      <c r="E4582" s="167"/>
      <c r="F4582" s="168" t="e">
        <f t="shared" si="18"/>
        <v>#N/A</v>
      </c>
      <c r="G4582" s="75"/>
      <c r="H4582" s="205"/>
    </row>
    <row r="4583" spans="1:8" ht="13.2">
      <c r="A4583" s="49"/>
      <c r="C4583" s="143" t="e">
        <f>VLOOKUP(B4583,'Thống kê'!$C$3:$D$669,2,0)</f>
        <v>#N/A</v>
      </c>
      <c r="D4583" s="166" t="e">
        <f>VLOOKUP(B4583,'Thống kê'!$C$3:$M$682,4,0)</f>
        <v>#N/A</v>
      </c>
      <c r="E4583" s="167"/>
      <c r="F4583" s="168" t="e">
        <f t="shared" si="18"/>
        <v>#N/A</v>
      </c>
      <c r="G4583" s="75"/>
      <c r="H4583" s="407"/>
    </row>
    <row r="4584" spans="1:8" ht="13.2">
      <c r="A4584" s="49"/>
      <c r="C4584" s="143" t="e">
        <f>VLOOKUP(B4584,'Thống kê'!$C$3:$D$669,2,0)</f>
        <v>#N/A</v>
      </c>
      <c r="D4584" s="166" t="e">
        <f>VLOOKUP(B4584,'Thống kê'!$C$3:$M$682,4,0)</f>
        <v>#N/A</v>
      </c>
      <c r="E4584" s="167"/>
      <c r="F4584" s="168" t="e">
        <f t="shared" si="18"/>
        <v>#N/A</v>
      </c>
      <c r="G4584" s="75"/>
      <c r="H4584" s="369"/>
    </row>
    <row r="4585" spans="1:8" ht="13.2">
      <c r="A4585" s="49"/>
      <c r="C4585" s="143" t="e">
        <f>VLOOKUP(B4585,'Thống kê'!$C$3:$D$669,2,0)</f>
        <v>#N/A</v>
      </c>
      <c r="D4585" s="166" t="e">
        <f>VLOOKUP(B4585,'Thống kê'!$C$3:$M$682,4,0)</f>
        <v>#N/A</v>
      </c>
      <c r="E4585" s="167"/>
      <c r="F4585" s="168" t="e">
        <f t="shared" si="18"/>
        <v>#N/A</v>
      </c>
      <c r="G4585" s="75"/>
      <c r="H4585" s="205"/>
    </row>
    <row r="4586" spans="1:8" ht="13.2">
      <c r="A4586" s="49"/>
      <c r="C4586" s="143" t="e">
        <f>VLOOKUP(B4586,'Thống kê'!$C$3:$D$669,2,0)</f>
        <v>#N/A</v>
      </c>
      <c r="D4586" s="166" t="e">
        <f>VLOOKUP(B4586,'Thống kê'!$C$3:$M$682,4,0)</f>
        <v>#N/A</v>
      </c>
      <c r="E4586" s="167"/>
      <c r="F4586" s="168" t="e">
        <f t="shared" si="18"/>
        <v>#N/A</v>
      </c>
      <c r="G4586" s="75"/>
      <c r="H4586" s="407"/>
    </row>
    <row r="4587" spans="1:8" ht="13.2">
      <c r="A4587" s="49"/>
      <c r="C4587" s="143" t="e">
        <f>VLOOKUP(B4587,'Thống kê'!$C$3:$D$669,2,0)</f>
        <v>#N/A</v>
      </c>
      <c r="D4587" s="166" t="e">
        <f>VLOOKUP(B4587,'Thống kê'!$C$3:$M$682,4,0)</f>
        <v>#N/A</v>
      </c>
      <c r="E4587" s="167"/>
      <c r="F4587" s="168" t="e">
        <f t="shared" si="18"/>
        <v>#N/A</v>
      </c>
      <c r="G4587" s="75"/>
      <c r="H4587" s="369"/>
    </row>
    <row r="4588" spans="1:8" ht="13.2">
      <c r="A4588" s="49"/>
      <c r="C4588" s="143" t="e">
        <f>VLOOKUP(B4588,'Thống kê'!$C$3:$D$669,2,0)</f>
        <v>#N/A</v>
      </c>
      <c r="D4588" s="166" t="e">
        <f>VLOOKUP(B4588,'Thống kê'!$C$3:$M$682,4,0)</f>
        <v>#N/A</v>
      </c>
      <c r="E4588" s="167"/>
      <c r="F4588" s="168" t="e">
        <f t="shared" si="18"/>
        <v>#N/A</v>
      </c>
      <c r="G4588" s="75"/>
      <c r="H4588" s="407"/>
    </row>
    <row r="4589" spans="1:8" ht="13.2">
      <c r="A4589" s="49"/>
      <c r="C4589" s="143" t="e">
        <f>VLOOKUP(B4589,'Thống kê'!$C$3:$D$669,2,0)</f>
        <v>#N/A</v>
      </c>
      <c r="D4589" s="166" t="e">
        <f>VLOOKUP(B4589,'Thống kê'!$C$3:$M$682,4,0)</f>
        <v>#N/A</v>
      </c>
      <c r="E4589" s="167"/>
      <c r="F4589" s="168" t="e">
        <f t="shared" si="18"/>
        <v>#N/A</v>
      </c>
      <c r="G4589" s="75"/>
      <c r="H4589" s="369"/>
    </row>
    <row r="4590" spans="1:8" ht="13.2">
      <c r="A4590" s="49"/>
      <c r="C4590" s="143" t="e">
        <f>VLOOKUP(B4590,'Thống kê'!$C$3:$D$669,2,0)</f>
        <v>#N/A</v>
      </c>
      <c r="D4590" s="166" t="e">
        <f>VLOOKUP(B4590,'Thống kê'!$C$3:$M$682,4,0)</f>
        <v>#N/A</v>
      </c>
      <c r="E4590" s="167"/>
      <c r="F4590" s="168" t="e">
        <f t="shared" si="18"/>
        <v>#N/A</v>
      </c>
      <c r="G4590" s="75"/>
      <c r="H4590" s="407"/>
    </row>
    <row r="4591" spans="1:8" ht="13.2">
      <c r="A4591" s="49"/>
      <c r="C4591" s="143" t="e">
        <f>VLOOKUP(B4591,'Thống kê'!$C$3:$D$669,2,0)</f>
        <v>#N/A</v>
      </c>
      <c r="D4591" s="166" t="e">
        <f>VLOOKUP(B4591,'Thống kê'!$C$3:$M$682,4,0)</f>
        <v>#N/A</v>
      </c>
      <c r="E4591" s="167"/>
      <c r="F4591" s="168" t="e">
        <f t="shared" si="18"/>
        <v>#N/A</v>
      </c>
      <c r="G4591" s="75"/>
      <c r="H4591" s="369"/>
    </row>
    <row r="4592" spans="1:8" ht="13.2">
      <c r="A4592" s="49"/>
      <c r="C4592" s="143" t="e">
        <f>VLOOKUP(B4592,'Thống kê'!$C$3:$D$669,2,0)</f>
        <v>#N/A</v>
      </c>
      <c r="D4592" s="166" t="e">
        <f>VLOOKUP(B4592,'Thống kê'!$C$3:$M$682,4,0)</f>
        <v>#N/A</v>
      </c>
      <c r="E4592" s="167"/>
      <c r="F4592" s="168" t="e">
        <f t="shared" si="18"/>
        <v>#N/A</v>
      </c>
      <c r="G4592" s="75"/>
      <c r="H4592" s="369"/>
    </row>
    <row r="4593" spans="1:8" ht="13.2">
      <c r="A4593" s="49"/>
      <c r="C4593" s="143" t="e">
        <f>VLOOKUP(B4593,'Thống kê'!$C$3:$D$669,2,0)</f>
        <v>#N/A</v>
      </c>
      <c r="D4593" s="166" t="e">
        <f>VLOOKUP(B4593,'Thống kê'!$C$3:$M$682,4,0)</f>
        <v>#N/A</v>
      </c>
      <c r="E4593" s="167"/>
      <c r="F4593" s="168" t="e">
        <f t="shared" si="18"/>
        <v>#N/A</v>
      </c>
      <c r="G4593" s="75"/>
      <c r="H4593" s="369"/>
    </row>
    <row r="4594" spans="1:8" ht="13.2">
      <c r="A4594" s="49"/>
      <c r="C4594" s="143" t="e">
        <f>VLOOKUP(B4594,'Thống kê'!$C$3:$D$669,2,0)</f>
        <v>#N/A</v>
      </c>
      <c r="D4594" s="166" t="e">
        <f>VLOOKUP(B4594,'Thống kê'!$C$3:$M$682,4,0)</f>
        <v>#N/A</v>
      </c>
      <c r="E4594" s="167"/>
      <c r="F4594" s="168" t="e">
        <f t="shared" si="18"/>
        <v>#N/A</v>
      </c>
      <c r="G4594" s="75"/>
      <c r="H4594" s="205"/>
    </row>
    <row r="4595" spans="1:8" ht="13.2">
      <c r="A4595" s="49"/>
      <c r="C4595" s="143" t="e">
        <f>VLOOKUP(B4595,'Thống kê'!$C$3:$D$669,2,0)</f>
        <v>#N/A</v>
      </c>
      <c r="D4595" s="166" t="e">
        <f>VLOOKUP(B4595,'Thống kê'!$C$3:$M$682,4,0)</f>
        <v>#N/A</v>
      </c>
      <c r="E4595" s="167"/>
      <c r="F4595" s="168" t="e">
        <f t="shared" si="18"/>
        <v>#N/A</v>
      </c>
      <c r="G4595" s="75"/>
      <c r="H4595" s="205"/>
    </row>
    <row r="4596" spans="1:8" ht="13.2">
      <c r="A4596" s="49"/>
      <c r="C4596" s="143" t="e">
        <f>VLOOKUP(B4596,'Thống kê'!$C$3:$D$669,2,0)</f>
        <v>#N/A</v>
      </c>
      <c r="D4596" s="166" t="e">
        <f>VLOOKUP(B4596,'Thống kê'!$C$3:$M$682,4,0)</f>
        <v>#N/A</v>
      </c>
      <c r="E4596" s="167"/>
      <c r="F4596" s="168" t="e">
        <f t="shared" si="18"/>
        <v>#N/A</v>
      </c>
      <c r="G4596" s="75"/>
      <c r="H4596" s="407"/>
    </row>
    <row r="4597" spans="1:8" ht="13.2">
      <c r="A4597" s="49"/>
      <c r="C4597" s="143" t="e">
        <f>VLOOKUP(B4597,'Thống kê'!$C$3:$D$669,2,0)</f>
        <v>#N/A</v>
      </c>
      <c r="D4597" s="166" t="e">
        <f>VLOOKUP(B4597,'Thống kê'!$C$3:$M$682,4,0)</f>
        <v>#N/A</v>
      </c>
      <c r="E4597" s="167"/>
      <c r="F4597" s="168" t="e">
        <f t="shared" si="18"/>
        <v>#N/A</v>
      </c>
      <c r="G4597" s="75"/>
      <c r="H4597" s="369"/>
    </row>
    <row r="4598" spans="1:8" ht="13.2">
      <c r="A4598" s="49"/>
      <c r="C4598" s="143" t="e">
        <f>VLOOKUP(B4598,'Thống kê'!$C$3:$D$669,2,0)</f>
        <v>#N/A</v>
      </c>
      <c r="D4598" s="166" t="e">
        <f>VLOOKUP(B4598,'Thống kê'!$C$3:$M$682,4,0)</f>
        <v>#N/A</v>
      </c>
      <c r="E4598" s="167"/>
      <c r="F4598" s="168" t="e">
        <f t="shared" si="18"/>
        <v>#N/A</v>
      </c>
      <c r="G4598" s="75"/>
      <c r="H4598" s="205"/>
    </row>
    <row r="4599" spans="1:8" ht="13.2">
      <c r="A4599" s="64"/>
      <c r="C4599" s="143" t="e">
        <f>VLOOKUP(B4599,'Thống kê'!$C$3:$D$669,2,0)</f>
        <v>#N/A</v>
      </c>
      <c r="D4599" s="166" t="e">
        <f>VLOOKUP(B4599,'Thống kê'!$C$3:$M$682,4,0)</f>
        <v>#N/A</v>
      </c>
      <c r="E4599" s="167"/>
      <c r="F4599" s="168" t="e">
        <f t="shared" si="18"/>
        <v>#N/A</v>
      </c>
      <c r="G4599" s="75"/>
      <c r="H4599" s="407"/>
    </row>
    <row r="4600" spans="1:8" ht="13.2">
      <c r="A4600" s="49"/>
      <c r="C4600" s="143" t="e">
        <f>VLOOKUP(B4600,'Thống kê'!$C$3:$D$669,2,0)</f>
        <v>#N/A</v>
      </c>
      <c r="D4600" s="166" t="e">
        <f>VLOOKUP(B4600,'Thống kê'!$C$3:$M$682,4,0)</f>
        <v>#N/A</v>
      </c>
      <c r="E4600" s="167"/>
      <c r="F4600" s="168" t="e">
        <f t="shared" si="18"/>
        <v>#N/A</v>
      </c>
      <c r="G4600" s="75"/>
      <c r="H4600" s="369"/>
    </row>
    <row r="4601" spans="1:8" ht="13.2">
      <c r="A4601" s="49"/>
      <c r="C4601" s="143" t="e">
        <f>VLOOKUP(B4601,'Thống kê'!$C$3:$D$669,2,0)</f>
        <v>#N/A</v>
      </c>
      <c r="D4601" s="166" t="e">
        <f>VLOOKUP(B4601,'Thống kê'!$C$3:$M$682,4,0)</f>
        <v>#N/A</v>
      </c>
      <c r="E4601" s="167"/>
      <c r="F4601" s="168" t="e">
        <f t="shared" si="18"/>
        <v>#N/A</v>
      </c>
      <c r="G4601" s="75"/>
      <c r="H4601" s="369"/>
    </row>
    <row r="4602" spans="1:8" ht="13.2">
      <c r="A4602" s="49"/>
      <c r="C4602" s="143" t="e">
        <f>VLOOKUP(B4602,'Thống kê'!$C$3:$D$669,2,0)</f>
        <v>#N/A</v>
      </c>
      <c r="D4602" s="166" t="e">
        <f>VLOOKUP(B4602,'Thống kê'!$C$3:$M$682,4,0)</f>
        <v>#N/A</v>
      </c>
      <c r="E4602" s="167"/>
      <c r="F4602" s="168" t="e">
        <f t="shared" si="18"/>
        <v>#N/A</v>
      </c>
      <c r="G4602" s="75"/>
      <c r="H4602" s="369"/>
    </row>
    <row r="4603" spans="1:8" ht="13.2">
      <c r="A4603" s="49"/>
      <c r="C4603" s="143" t="e">
        <f>VLOOKUP(B4603,'Thống kê'!$C$3:$D$669,2,0)</f>
        <v>#N/A</v>
      </c>
      <c r="D4603" s="166" t="e">
        <f>VLOOKUP(B4603,'Thống kê'!$C$3:$M$682,4,0)</f>
        <v>#N/A</v>
      </c>
      <c r="E4603" s="167"/>
      <c r="F4603" s="168" t="e">
        <f t="shared" si="18"/>
        <v>#N/A</v>
      </c>
      <c r="G4603" s="75"/>
      <c r="H4603" s="407"/>
    </row>
    <row r="4604" spans="1:8" ht="13.2">
      <c r="A4604" s="49"/>
      <c r="C4604" s="143" t="e">
        <f>VLOOKUP(B4604,'Thống kê'!$C$3:$D$669,2,0)</f>
        <v>#N/A</v>
      </c>
      <c r="D4604" s="166" t="e">
        <f>VLOOKUP(B4604,'Thống kê'!$C$3:$M$682,4,0)</f>
        <v>#N/A</v>
      </c>
      <c r="E4604" s="167"/>
      <c r="F4604" s="168" t="e">
        <f t="shared" si="18"/>
        <v>#N/A</v>
      </c>
      <c r="G4604" s="75"/>
      <c r="H4604" s="369"/>
    </row>
    <row r="4605" spans="1:8" ht="13.2">
      <c r="A4605" s="49"/>
      <c r="C4605" s="143" t="e">
        <f>VLOOKUP(B4605,'Thống kê'!$C$3:$D$669,2,0)</f>
        <v>#N/A</v>
      </c>
      <c r="D4605" s="166" t="e">
        <f>VLOOKUP(B4605,'Thống kê'!$C$3:$M$682,4,0)</f>
        <v>#N/A</v>
      </c>
      <c r="E4605" s="167"/>
      <c r="F4605" s="168" t="e">
        <f t="shared" si="18"/>
        <v>#N/A</v>
      </c>
      <c r="G4605" s="75"/>
      <c r="H4605" s="205"/>
    </row>
    <row r="4606" spans="1:8" ht="13.2">
      <c r="A4606" s="49"/>
      <c r="C4606" s="143" t="e">
        <f>VLOOKUP(B4606,'Thống kê'!$C$3:$D$669,2,0)</f>
        <v>#N/A</v>
      </c>
      <c r="D4606" s="166" t="e">
        <f>VLOOKUP(B4606,'Thống kê'!$C$3:$M$682,4,0)</f>
        <v>#N/A</v>
      </c>
      <c r="E4606" s="167"/>
      <c r="F4606" s="168" t="e">
        <f t="shared" si="18"/>
        <v>#N/A</v>
      </c>
      <c r="G4606" s="75"/>
      <c r="H4606" s="205"/>
    </row>
    <row r="4607" spans="1:8" ht="13.2">
      <c r="A4607" s="49"/>
      <c r="C4607" s="143" t="e">
        <f>VLOOKUP(B4607,'Thống kê'!$C$3:$D$669,2,0)</f>
        <v>#N/A</v>
      </c>
      <c r="D4607" s="166" t="e">
        <f>VLOOKUP(B4607,'Thống kê'!$C$3:$M$682,4,0)</f>
        <v>#N/A</v>
      </c>
      <c r="E4607" s="167"/>
      <c r="F4607" s="168" t="e">
        <f t="shared" si="18"/>
        <v>#N/A</v>
      </c>
      <c r="G4607" s="75"/>
      <c r="H4607" s="205"/>
    </row>
    <row r="4608" spans="1:8" ht="13.2">
      <c r="A4608" s="49"/>
      <c r="C4608" s="143" t="e">
        <f>VLOOKUP(B4608,'Thống kê'!$C$3:$D$669,2,0)</f>
        <v>#N/A</v>
      </c>
      <c r="D4608" s="166" t="e">
        <f>VLOOKUP(B4608,'Thống kê'!$C$3:$M$682,4,0)</f>
        <v>#N/A</v>
      </c>
      <c r="E4608" s="167"/>
      <c r="F4608" s="168" t="e">
        <f t="shared" si="18"/>
        <v>#N/A</v>
      </c>
      <c r="G4608" s="75"/>
      <c r="H4608" s="205"/>
    </row>
    <row r="4609" spans="1:8" ht="13.2">
      <c r="A4609" s="49"/>
      <c r="C4609" s="143" t="e">
        <f>VLOOKUP(B4609,'Thống kê'!$C$3:$D$669,2,0)</f>
        <v>#N/A</v>
      </c>
      <c r="D4609" s="166" t="e">
        <f>VLOOKUP(B4609,'Thống kê'!$C$3:$M$682,4,0)</f>
        <v>#N/A</v>
      </c>
      <c r="E4609" s="167"/>
      <c r="F4609" s="168" t="e">
        <f t="shared" si="18"/>
        <v>#N/A</v>
      </c>
      <c r="G4609" s="75"/>
      <c r="H4609" s="407"/>
    </row>
    <row r="4610" spans="1:8" ht="13.2">
      <c r="A4610" s="49"/>
      <c r="C4610" s="143" t="e">
        <f>VLOOKUP(B4610,'Thống kê'!$C$3:$D$669,2,0)</f>
        <v>#N/A</v>
      </c>
      <c r="D4610" s="166" t="e">
        <f>VLOOKUP(B4610,'Thống kê'!$C$3:$M$682,4,0)</f>
        <v>#N/A</v>
      </c>
      <c r="E4610" s="167"/>
      <c r="F4610" s="168" t="e">
        <f t="shared" si="18"/>
        <v>#N/A</v>
      </c>
      <c r="G4610" s="75"/>
      <c r="H4610" s="369"/>
    </row>
    <row r="4611" spans="1:8" ht="13.2">
      <c r="A4611" s="49"/>
      <c r="C4611" s="143" t="e">
        <f>VLOOKUP(B4611,'Thống kê'!$C$3:$D$669,2,0)</f>
        <v>#N/A</v>
      </c>
      <c r="D4611" s="166" t="e">
        <f>VLOOKUP(B4611,'Thống kê'!$C$3:$M$682,4,0)</f>
        <v>#N/A</v>
      </c>
      <c r="E4611" s="167"/>
      <c r="F4611" s="168" t="e">
        <f t="shared" si="18"/>
        <v>#N/A</v>
      </c>
      <c r="G4611" s="75"/>
      <c r="H4611" s="205"/>
    </row>
    <row r="4612" spans="1:8" ht="13.2">
      <c r="A4612" s="49"/>
      <c r="C4612" s="143" t="e">
        <f>VLOOKUP(B4612,'Thống kê'!$C$3:$D$669,2,0)</f>
        <v>#N/A</v>
      </c>
      <c r="D4612" s="166" t="e">
        <f>VLOOKUP(B4612,'Thống kê'!$C$3:$M$682,4,0)</f>
        <v>#N/A</v>
      </c>
      <c r="E4612" s="167"/>
      <c r="F4612" s="168" t="e">
        <f t="shared" si="18"/>
        <v>#N/A</v>
      </c>
      <c r="G4612" s="75"/>
      <c r="H4612" s="205"/>
    </row>
    <row r="4613" spans="1:8" ht="13.2">
      <c r="A4613" s="49"/>
      <c r="C4613" s="143" t="e">
        <f>VLOOKUP(B4613,'Thống kê'!$C$3:$D$669,2,0)</f>
        <v>#N/A</v>
      </c>
      <c r="D4613" s="166" t="e">
        <f>VLOOKUP(B4613,'Thống kê'!$C$3:$M$682,4,0)</f>
        <v>#N/A</v>
      </c>
      <c r="E4613" s="167"/>
      <c r="F4613" s="168" t="e">
        <f t="shared" si="18"/>
        <v>#N/A</v>
      </c>
      <c r="G4613" s="75"/>
      <c r="H4613" s="205"/>
    </row>
    <row r="4614" spans="1:8" ht="13.2">
      <c r="A4614" s="49"/>
      <c r="C4614" s="143" t="e">
        <f>VLOOKUP(B4614,'Thống kê'!$C$3:$D$669,2,0)</f>
        <v>#N/A</v>
      </c>
      <c r="D4614" s="166" t="e">
        <f>VLOOKUP(B4614,'Thống kê'!$C$3:$M$682,4,0)</f>
        <v>#N/A</v>
      </c>
      <c r="E4614" s="167"/>
      <c r="F4614" s="168" t="e">
        <f t="shared" si="18"/>
        <v>#N/A</v>
      </c>
      <c r="G4614" s="75"/>
      <c r="H4614" s="407"/>
    </row>
    <row r="4615" spans="1:8" ht="13.2">
      <c r="A4615" s="49"/>
      <c r="C4615" s="143" t="e">
        <f>VLOOKUP(B4615,'Thống kê'!$C$3:$D$669,2,0)</f>
        <v>#N/A</v>
      </c>
      <c r="D4615" s="166" t="e">
        <f>VLOOKUP(B4615,'Thống kê'!$C$3:$M$682,4,0)</f>
        <v>#N/A</v>
      </c>
      <c r="E4615" s="167"/>
      <c r="F4615" s="168" t="e">
        <f t="shared" si="18"/>
        <v>#N/A</v>
      </c>
      <c r="G4615" s="75"/>
      <c r="H4615" s="369"/>
    </row>
    <row r="4616" spans="1:8" ht="13.2">
      <c r="A4616" s="49"/>
      <c r="C4616" s="143" t="e">
        <f>VLOOKUP(B4616,'Thống kê'!$C$3:$D$669,2,0)</f>
        <v>#N/A</v>
      </c>
      <c r="D4616" s="166" t="e">
        <f>VLOOKUP(B4616,'Thống kê'!$C$3:$M$682,4,0)</f>
        <v>#N/A</v>
      </c>
      <c r="E4616" s="167"/>
      <c r="F4616" s="168" t="e">
        <f t="shared" si="18"/>
        <v>#N/A</v>
      </c>
      <c r="G4616" s="75"/>
      <c r="H4616" s="369"/>
    </row>
    <row r="4617" spans="1:8" ht="13.2">
      <c r="A4617" s="64"/>
      <c r="C4617" s="143" t="e">
        <f>VLOOKUP(B4617,'Thống kê'!$C$3:$D$669,2,0)</f>
        <v>#N/A</v>
      </c>
      <c r="D4617" s="166" t="e">
        <f>VLOOKUP(B4617,'Thống kê'!$C$3:$M$682,4,0)</f>
        <v>#N/A</v>
      </c>
      <c r="E4617" s="167"/>
      <c r="F4617" s="168" t="e">
        <f t="shared" si="18"/>
        <v>#N/A</v>
      </c>
      <c r="G4617" s="75"/>
      <c r="H4617" s="205"/>
    </row>
    <row r="4618" spans="1:8" ht="13.2">
      <c r="A4618" s="49"/>
      <c r="C4618" s="143" t="e">
        <f>VLOOKUP(B4618,'Thống kê'!$C$3:$D$669,2,0)</f>
        <v>#N/A</v>
      </c>
      <c r="D4618" s="166" t="e">
        <f>VLOOKUP(B4618,'Thống kê'!$C$3:$M$682,4,0)</f>
        <v>#N/A</v>
      </c>
      <c r="E4618" s="167"/>
      <c r="F4618" s="168" t="e">
        <f t="shared" si="18"/>
        <v>#N/A</v>
      </c>
      <c r="G4618" s="75"/>
      <c r="H4618" s="205"/>
    </row>
    <row r="4619" spans="1:8" ht="13.2">
      <c r="A4619" s="49"/>
      <c r="C4619" s="143" t="e">
        <f>VLOOKUP(B4619,'Thống kê'!$C$3:$D$669,2,0)</f>
        <v>#N/A</v>
      </c>
      <c r="D4619" s="166" t="e">
        <f>VLOOKUP(B4619,'Thống kê'!$C$3:$M$682,4,0)</f>
        <v>#N/A</v>
      </c>
      <c r="E4619" s="167"/>
      <c r="F4619" s="168" t="e">
        <f t="shared" si="18"/>
        <v>#N/A</v>
      </c>
      <c r="G4619" s="75"/>
      <c r="H4619" s="407"/>
    </row>
    <row r="4620" spans="1:8" ht="13.2">
      <c r="A4620" s="49"/>
      <c r="C4620" s="143" t="e">
        <f>VLOOKUP(B4620,'Thống kê'!$C$3:$D$669,2,0)</f>
        <v>#N/A</v>
      </c>
      <c r="D4620" s="166" t="e">
        <f>VLOOKUP(B4620,'Thống kê'!$C$3:$M$682,4,0)</f>
        <v>#N/A</v>
      </c>
      <c r="E4620" s="167"/>
      <c r="F4620" s="168" t="e">
        <f t="shared" si="18"/>
        <v>#N/A</v>
      </c>
      <c r="G4620" s="75"/>
      <c r="H4620" s="369"/>
    </row>
    <row r="4621" spans="1:8" ht="13.2">
      <c r="A4621" s="49"/>
      <c r="C4621" s="143" t="e">
        <f>VLOOKUP(B4621,'Thống kê'!$C$3:$D$669,2,0)</f>
        <v>#N/A</v>
      </c>
      <c r="D4621" s="166" t="e">
        <f>VLOOKUP(B4621,'Thống kê'!$C$3:$M$682,4,0)</f>
        <v>#N/A</v>
      </c>
      <c r="E4621" s="167"/>
      <c r="F4621" s="168" t="e">
        <f t="shared" si="18"/>
        <v>#N/A</v>
      </c>
      <c r="G4621" s="75"/>
      <c r="H4621" s="205"/>
    </row>
    <row r="4622" spans="1:8" ht="13.2">
      <c r="A4622" s="49"/>
      <c r="C4622" s="143" t="e">
        <f>VLOOKUP(B4622,'Thống kê'!$C$3:$D$669,2,0)</f>
        <v>#N/A</v>
      </c>
      <c r="D4622" s="166" t="e">
        <f>VLOOKUP(B4622,'Thống kê'!$C$3:$M$682,4,0)</f>
        <v>#N/A</v>
      </c>
      <c r="E4622" s="167"/>
      <c r="F4622" s="168" t="e">
        <f t="shared" si="18"/>
        <v>#N/A</v>
      </c>
      <c r="G4622" s="75"/>
      <c r="H4622" s="205"/>
    </row>
    <row r="4623" spans="1:8" ht="13.2">
      <c r="A4623" s="49"/>
      <c r="C4623" s="143" t="e">
        <f>VLOOKUP(B4623,'Thống kê'!$C$3:$D$669,2,0)</f>
        <v>#N/A</v>
      </c>
      <c r="D4623" s="166" t="e">
        <f>VLOOKUP(B4623,'Thống kê'!$C$3:$M$682,4,0)</f>
        <v>#N/A</v>
      </c>
      <c r="E4623" s="167"/>
      <c r="F4623" s="168" t="e">
        <f t="shared" si="18"/>
        <v>#N/A</v>
      </c>
      <c r="G4623" s="75"/>
      <c r="H4623" s="407"/>
    </row>
    <row r="4624" spans="1:8" ht="13.2">
      <c r="A4624" s="49"/>
      <c r="C4624" s="143" t="e">
        <f>VLOOKUP(B4624,'Thống kê'!$C$3:$D$669,2,0)</f>
        <v>#N/A</v>
      </c>
      <c r="D4624" s="166" t="e">
        <f>VLOOKUP(B4624,'Thống kê'!$C$3:$M$682,4,0)</f>
        <v>#N/A</v>
      </c>
      <c r="E4624" s="167"/>
      <c r="F4624" s="168" t="e">
        <f t="shared" si="18"/>
        <v>#N/A</v>
      </c>
      <c r="G4624" s="75"/>
      <c r="H4624" s="369"/>
    </row>
    <row r="4625" spans="1:8" ht="13.2">
      <c r="A4625" s="64"/>
      <c r="C4625" s="143" t="e">
        <f>VLOOKUP(B4625,'Thống kê'!$C$3:$D$669,2,0)</f>
        <v>#N/A</v>
      </c>
      <c r="D4625" s="166" t="e">
        <f>VLOOKUP(B4625,'Thống kê'!$C$3:$M$682,4,0)</f>
        <v>#N/A</v>
      </c>
      <c r="E4625" s="167"/>
      <c r="F4625" s="168" t="e">
        <f t="shared" si="18"/>
        <v>#N/A</v>
      </c>
      <c r="G4625" s="75"/>
      <c r="H4625" s="205"/>
    </row>
    <row r="4626" spans="1:8" ht="13.2">
      <c r="A4626" s="49"/>
      <c r="C4626" s="143" t="e">
        <f>VLOOKUP(B4626,'Thống kê'!$C$3:$D$669,2,0)</f>
        <v>#N/A</v>
      </c>
      <c r="D4626" s="166" t="e">
        <f>VLOOKUP(B4626,'Thống kê'!$C$3:$M$682,4,0)</f>
        <v>#N/A</v>
      </c>
      <c r="E4626" s="167"/>
      <c r="F4626" s="168" t="e">
        <f t="shared" si="18"/>
        <v>#N/A</v>
      </c>
      <c r="G4626" s="75"/>
      <c r="H4626" s="205"/>
    </row>
    <row r="4627" spans="1:8" ht="13.2">
      <c r="A4627" s="49"/>
      <c r="C4627" s="143" t="e">
        <f>VLOOKUP(B4627,'Thống kê'!$C$3:$D$669,2,0)</f>
        <v>#N/A</v>
      </c>
      <c r="D4627" s="166" t="e">
        <f>VLOOKUP(B4627,'Thống kê'!$C$3:$M$682,4,0)</f>
        <v>#N/A</v>
      </c>
      <c r="E4627" s="167"/>
      <c r="F4627" s="168" t="e">
        <f t="shared" si="18"/>
        <v>#N/A</v>
      </c>
      <c r="G4627" s="75"/>
      <c r="H4627" s="407"/>
    </row>
    <row r="4628" spans="1:8" ht="13.2">
      <c r="A4628" s="49"/>
      <c r="C4628" s="143" t="e">
        <f>VLOOKUP(B4628,'Thống kê'!$C$3:$D$669,2,0)</f>
        <v>#N/A</v>
      </c>
      <c r="D4628" s="166" t="e">
        <f>VLOOKUP(B4628,'Thống kê'!$C$3:$M$682,4,0)</f>
        <v>#N/A</v>
      </c>
      <c r="E4628" s="167"/>
      <c r="F4628" s="168" t="e">
        <f t="shared" si="18"/>
        <v>#N/A</v>
      </c>
      <c r="G4628" s="75"/>
      <c r="H4628" s="369"/>
    </row>
    <row r="4629" spans="1:8" ht="13.2">
      <c r="A4629" s="49"/>
      <c r="C4629" s="143" t="e">
        <f>VLOOKUP(B4629,'Thống kê'!$C$3:$D$669,2,0)</f>
        <v>#N/A</v>
      </c>
      <c r="D4629" s="166" t="e">
        <f>VLOOKUP(B4629,'Thống kê'!$C$3:$M$682,4,0)</f>
        <v>#N/A</v>
      </c>
      <c r="E4629" s="167"/>
      <c r="F4629" s="168" t="e">
        <f t="shared" si="18"/>
        <v>#N/A</v>
      </c>
      <c r="G4629" s="75"/>
      <c r="H4629" s="369"/>
    </row>
    <row r="4630" spans="1:8" ht="13.2">
      <c r="A4630" s="49"/>
      <c r="C4630" s="143" t="e">
        <f>VLOOKUP(B4630,'Thống kê'!$C$3:$D$669,2,0)</f>
        <v>#N/A</v>
      </c>
      <c r="D4630" s="166" t="e">
        <f>VLOOKUP(B4630,'Thống kê'!$C$3:$M$682,4,0)</f>
        <v>#N/A</v>
      </c>
      <c r="E4630" s="167"/>
      <c r="F4630" s="168" t="e">
        <f t="shared" si="18"/>
        <v>#N/A</v>
      </c>
      <c r="G4630" s="75"/>
      <c r="H4630" s="369"/>
    </row>
    <row r="4631" spans="1:8" ht="13.2">
      <c r="A4631" s="49"/>
      <c r="C4631" s="143" t="e">
        <f>VLOOKUP(B4631,'Thống kê'!$C$3:$D$669,2,0)</f>
        <v>#N/A</v>
      </c>
      <c r="D4631" s="166" t="e">
        <f>VLOOKUP(B4631,'Thống kê'!$C$3:$M$682,4,0)</f>
        <v>#N/A</v>
      </c>
      <c r="E4631" s="167"/>
      <c r="F4631" s="168" t="e">
        <f t="shared" si="18"/>
        <v>#N/A</v>
      </c>
      <c r="G4631" s="75"/>
      <c r="H4631" s="369"/>
    </row>
    <row r="4632" spans="1:8" ht="13.2">
      <c r="A4632" s="49"/>
      <c r="C4632" s="143" t="e">
        <f>VLOOKUP(B4632,'Thống kê'!$C$3:$D$669,2,0)</f>
        <v>#N/A</v>
      </c>
      <c r="D4632" s="166" t="e">
        <f>VLOOKUP(B4632,'Thống kê'!$C$3:$M$682,4,0)</f>
        <v>#N/A</v>
      </c>
      <c r="E4632" s="167"/>
      <c r="F4632" s="168" t="e">
        <f t="shared" si="18"/>
        <v>#N/A</v>
      </c>
      <c r="G4632" s="75"/>
      <c r="H4632" s="369"/>
    </row>
    <row r="4633" spans="1:8" ht="13.2">
      <c r="A4633" s="49"/>
      <c r="C4633" s="143" t="e">
        <f>VLOOKUP(B4633,'Thống kê'!$C$3:$D$669,2,0)</f>
        <v>#N/A</v>
      </c>
      <c r="D4633" s="166" t="e">
        <f>VLOOKUP(B4633,'Thống kê'!$C$3:$M$682,4,0)</f>
        <v>#N/A</v>
      </c>
      <c r="E4633" s="167"/>
      <c r="F4633" s="168" t="e">
        <f t="shared" si="18"/>
        <v>#N/A</v>
      </c>
      <c r="G4633" s="75"/>
      <c r="H4633" s="369"/>
    </row>
    <row r="4634" spans="1:8" ht="13.2">
      <c r="A4634" s="49"/>
      <c r="C4634" s="143" t="e">
        <f>VLOOKUP(B4634,'Thống kê'!$C$3:$D$669,2,0)</f>
        <v>#N/A</v>
      </c>
      <c r="D4634" s="166" t="e">
        <f>VLOOKUP(B4634,'Thống kê'!$C$3:$M$682,4,0)</f>
        <v>#N/A</v>
      </c>
      <c r="E4634" s="167"/>
      <c r="F4634" s="168" t="e">
        <f t="shared" si="18"/>
        <v>#N/A</v>
      </c>
      <c r="G4634" s="75"/>
      <c r="H4634" s="205"/>
    </row>
    <row r="4635" spans="1:8" ht="13.2">
      <c r="A4635" s="49"/>
      <c r="C4635" s="143" t="e">
        <f>VLOOKUP(B4635,'Thống kê'!$C$3:$D$669,2,0)</f>
        <v>#N/A</v>
      </c>
      <c r="D4635" s="166" t="e">
        <f>VLOOKUP(B4635,'Thống kê'!$C$3:$M$682,4,0)</f>
        <v>#N/A</v>
      </c>
      <c r="E4635" s="167"/>
      <c r="F4635" s="168" t="e">
        <f t="shared" si="18"/>
        <v>#N/A</v>
      </c>
      <c r="G4635" s="75"/>
      <c r="H4635" s="205"/>
    </row>
    <row r="4636" spans="1:8" ht="13.2">
      <c r="A4636" s="49"/>
      <c r="C4636" s="143" t="e">
        <f>VLOOKUP(B4636,'Thống kê'!$C$3:$D$669,2,0)</f>
        <v>#N/A</v>
      </c>
      <c r="D4636" s="166" t="e">
        <f>VLOOKUP(B4636,'Thống kê'!$C$3:$M$682,4,0)</f>
        <v>#N/A</v>
      </c>
      <c r="E4636" s="167"/>
      <c r="F4636" s="168" t="e">
        <f t="shared" si="18"/>
        <v>#N/A</v>
      </c>
      <c r="G4636" s="75"/>
      <c r="H4636" s="205"/>
    </row>
    <row r="4637" spans="1:8" ht="13.2">
      <c r="A4637" s="49"/>
      <c r="C4637" s="143" t="e">
        <f>VLOOKUP(B4637,'Thống kê'!$C$3:$D$669,2,0)</f>
        <v>#N/A</v>
      </c>
      <c r="D4637" s="166" t="e">
        <f>VLOOKUP(B4637,'Thống kê'!$C$3:$M$682,4,0)</f>
        <v>#N/A</v>
      </c>
      <c r="E4637" s="167"/>
      <c r="F4637" s="168" t="e">
        <f t="shared" si="18"/>
        <v>#N/A</v>
      </c>
      <c r="G4637" s="75"/>
      <c r="H4637" s="407"/>
    </row>
    <row r="4638" spans="1:8" ht="13.2">
      <c r="A4638" s="49"/>
      <c r="C4638" s="143" t="e">
        <f>VLOOKUP(B4638,'Thống kê'!$C$3:$D$669,2,0)</f>
        <v>#N/A</v>
      </c>
      <c r="D4638" s="166" t="e">
        <f>VLOOKUP(B4638,'Thống kê'!$C$3:$M$682,4,0)</f>
        <v>#N/A</v>
      </c>
      <c r="E4638" s="167"/>
      <c r="F4638" s="168" t="e">
        <f t="shared" si="18"/>
        <v>#N/A</v>
      </c>
      <c r="G4638" s="75"/>
      <c r="H4638" s="369"/>
    </row>
    <row r="4639" spans="1:8" ht="13.2">
      <c r="A4639" s="49"/>
      <c r="C4639" s="143" t="e">
        <f>VLOOKUP(B4639,'Thống kê'!$C$3:$D$669,2,0)</f>
        <v>#N/A</v>
      </c>
      <c r="D4639" s="166" t="e">
        <f>VLOOKUP(B4639,'Thống kê'!$C$3:$M$682,4,0)</f>
        <v>#N/A</v>
      </c>
      <c r="E4639" s="167"/>
      <c r="F4639" s="168" t="e">
        <f t="shared" si="18"/>
        <v>#N/A</v>
      </c>
      <c r="G4639" s="75"/>
      <c r="H4639" s="205"/>
    </row>
    <row r="4640" spans="1:8" ht="13.2">
      <c r="A4640" s="49"/>
      <c r="C4640" s="143" t="e">
        <f>VLOOKUP(B4640,'Thống kê'!$C$3:$D$669,2,0)</f>
        <v>#N/A</v>
      </c>
      <c r="D4640" s="166" t="e">
        <f>VLOOKUP(B4640,'Thống kê'!$C$3:$M$682,4,0)</f>
        <v>#N/A</v>
      </c>
      <c r="E4640" s="167"/>
      <c r="F4640" s="168" t="e">
        <f t="shared" si="18"/>
        <v>#N/A</v>
      </c>
      <c r="G4640" s="75"/>
      <c r="H4640" s="407"/>
    </row>
    <row r="4641" spans="1:8" ht="13.2">
      <c r="A4641" s="49"/>
      <c r="C4641" s="143" t="e">
        <f>VLOOKUP(B4641,'Thống kê'!$C$3:$D$669,2,0)</f>
        <v>#N/A</v>
      </c>
      <c r="D4641" s="166" t="e">
        <f>VLOOKUP(B4641,'Thống kê'!$C$3:$M$682,4,0)</f>
        <v>#N/A</v>
      </c>
      <c r="E4641" s="167"/>
      <c r="F4641" s="168" t="e">
        <f t="shared" si="18"/>
        <v>#N/A</v>
      </c>
      <c r="G4641" s="75"/>
      <c r="H4641" s="369"/>
    </row>
    <row r="4642" spans="1:8" ht="13.2">
      <c r="A4642" s="49"/>
      <c r="C4642" s="143" t="e">
        <f>VLOOKUP(B4642,'Thống kê'!$C$3:$D$669,2,0)</f>
        <v>#N/A</v>
      </c>
      <c r="D4642" s="166" t="e">
        <f>VLOOKUP(B4642,'Thống kê'!$C$3:$M$682,4,0)</f>
        <v>#N/A</v>
      </c>
      <c r="E4642" s="167"/>
      <c r="F4642" s="168" t="e">
        <f t="shared" si="18"/>
        <v>#N/A</v>
      </c>
      <c r="G4642" s="75"/>
      <c r="H4642" s="369"/>
    </row>
    <row r="4643" spans="1:8" ht="13.2">
      <c r="A4643" s="49"/>
      <c r="C4643" s="143" t="e">
        <f>VLOOKUP(B4643,'Thống kê'!$C$3:$D$669,2,0)</f>
        <v>#N/A</v>
      </c>
      <c r="D4643" s="166" t="e">
        <f>VLOOKUP(B4643,'Thống kê'!$C$3:$M$682,4,0)</f>
        <v>#N/A</v>
      </c>
      <c r="E4643" s="167"/>
      <c r="F4643" s="168" t="e">
        <f t="shared" si="18"/>
        <v>#N/A</v>
      </c>
      <c r="G4643" s="75"/>
      <c r="H4643" s="407"/>
    </row>
    <row r="4644" spans="1:8" ht="13.2">
      <c r="A4644" s="49"/>
      <c r="C4644" s="143" t="e">
        <f>VLOOKUP(B4644,'Thống kê'!$C$3:$D$669,2,0)</f>
        <v>#N/A</v>
      </c>
      <c r="D4644" s="166" t="e">
        <f>VLOOKUP(B4644,'Thống kê'!$C$3:$M$682,4,0)</f>
        <v>#N/A</v>
      </c>
      <c r="E4644" s="167"/>
      <c r="F4644" s="168" t="e">
        <f t="shared" si="18"/>
        <v>#N/A</v>
      </c>
      <c r="G4644" s="75"/>
      <c r="H4644" s="369"/>
    </row>
    <row r="4645" spans="1:8" ht="13.2">
      <c r="A4645" s="49"/>
      <c r="C4645" s="143" t="e">
        <f>VLOOKUP(B4645,'Thống kê'!$C$3:$D$669,2,0)</f>
        <v>#N/A</v>
      </c>
      <c r="D4645" s="166" t="e">
        <f>VLOOKUP(B4645,'Thống kê'!$C$3:$M$682,4,0)</f>
        <v>#N/A</v>
      </c>
      <c r="E4645" s="167"/>
      <c r="F4645" s="168" t="e">
        <f t="shared" ref="F4645:F4899" si="19">D4645*E4645</f>
        <v>#N/A</v>
      </c>
      <c r="G4645" s="75"/>
      <c r="H4645" s="205"/>
    </row>
    <row r="4646" spans="1:8" ht="13.2">
      <c r="A4646" s="49"/>
      <c r="C4646" s="143" t="e">
        <f>VLOOKUP(B4646,'Thống kê'!$C$3:$D$669,2,0)</f>
        <v>#N/A</v>
      </c>
      <c r="D4646" s="166" t="e">
        <f>VLOOKUP(B4646,'Thống kê'!$C$3:$M$682,4,0)</f>
        <v>#N/A</v>
      </c>
      <c r="E4646" s="167"/>
      <c r="F4646" s="168" t="e">
        <f t="shared" si="19"/>
        <v>#N/A</v>
      </c>
      <c r="G4646" s="75"/>
      <c r="H4646" s="205"/>
    </row>
    <row r="4647" spans="1:8" ht="13.2">
      <c r="A4647" s="49"/>
      <c r="C4647" s="143" t="e">
        <f>VLOOKUP(B4647,'Thống kê'!$C$3:$D$669,2,0)</f>
        <v>#N/A</v>
      </c>
      <c r="D4647" s="166" t="e">
        <f>VLOOKUP(B4647,'Thống kê'!$C$3:$M$682,4,0)</f>
        <v>#N/A</v>
      </c>
      <c r="E4647" s="167"/>
      <c r="F4647" s="168" t="e">
        <f t="shared" si="19"/>
        <v>#N/A</v>
      </c>
      <c r="G4647" s="75"/>
      <c r="H4647" s="205"/>
    </row>
    <row r="4648" spans="1:8" ht="13.2">
      <c r="A4648" s="49"/>
      <c r="C4648" s="143" t="e">
        <f>VLOOKUP(B4648,'Thống kê'!$C$3:$D$669,2,0)</f>
        <v>#N/A</v>
      </c>
      <c r="D4648" s="166" t="e">
        <f>VLOOKUP(B4648,'Thống kê'!$C$3:$M$682,4,0)</f>
        <v>#N/A</v>
      </c>
      <c r="E4648" s="167"/>
      <c r="F4648" s="168" t="e">
        <f t="shared" si="19"/>
        <v>#N/A</v>
      </c>
      <c r="G4648" s="75"/>
      <c r="H4648" s="205"/>
    </row>
    <row r="4649" spans="1:8" ht="13.2">
      <c r="A4649" s="64"/>
      <c r="C4649" s="143" t="e">
        <f>VLOOKUP(B4649,'Thống kê'!$C$3:$D$669,2,0)</f>
        <v>#N/A</v>
      </c>
      <c r="D4649" s="166" t="e">
        <f>VLOOKUP(B4649,'Thống kê'!$C$3:$M$682,4,0)</f>
        <v>#N/A</v>
      </c>
      <c r="E4649" s="167"/>
      <c r="F4649" s="168" t="e">
        <f t="shared" si="19"/>
        <v>#N/A</v>
      </c>
      <c r="G4649" s="75"/>
      <c r="H4649" s="407"/>
    </row>
    <row r="4650" spans="1:8" ht="13.2">
      <c r="A4650" s="49"/>
      <c r="C4650" s="143" t="e">
        <f>VLOOKUP(B4650,'Thống kê'!$C$3:$D$669,2,0)</f>
        <v>#N/A</v>
      </c>
      <c r="D4650" s="166" t="e">
        <f>VLOOKUP(B4650,'Thống kê'!$C$3:$M$682,4,0)</f>
        <v>#N/A</v>
      </c>
      <c r="E4650" s="167"/>
      <c r="F4650" s="168" t="e">
        <f t="shared" si="19"/>
        <v>#N/A</v>
      </c>
      <c r="G4650" s="75"/>
      <c r="H4650" s="369"/>
    </row>
    <row r="4651" spans="1:8" ht="13.2">
      <c r="A4651" s="49"/>
      <c r="C4651" s="143" t="e">
        <f>VLOOKUP(B4651,'Thống kê'!$C$3:$D$669,2,0)</f>
        <v>#N/A</v>
      </c>
      <c r="D4651" s="166" t="e">
        <f>VLOOKUP(B4651,'Thống kê'!$C$3:$M$682,4,0)</f>
        <v>#N/A</v>
      </c>
      <c r="E4651" s="167"/>
      <c r="F4651" s="168" t="e">
        <f t="shared" si="19"/>
        <v>#N/A</v>
      </c>
      <c r="G4651" s="75"/>
      <c r="H4651" s="369"/>
    </row>
    <row r="4652" spans="1:8" ht="13.2">
      <c r="A4652" s="49"/>
      <c r="C4652" s="143" t="e">
        <f>VLOOKUP(B4652,'Thống kê'!$C$3:$D$669,2,0)</f>
        <v>#N/A</v>
      </c>
      <c r="D4652" s="166" t="e">
        <f>VLOOKUP(B4652,'Thống kê'!$C$3:$M$682,4,0)</f>
        <v>#N/A</v>
      </c>
      <c r="E4652" s="167"/>
      <c r="F4652" s="168" t="e">
        <f t="shared" si="19"/>
        <v>#N/A</v>
      </c>
      <c r="G4652" s="75"/>
      <c r="H4652" s="369"/>
    </row>
    <row r="4653" spans="1:8" ht="13.2">
      <c r="A4653" s="49"/>
      <c r="C4653" s="143" t="e">
        <f>VLOOKUP(B4653,'Thống kê'!$C$3:$D$669,2,0)</f>
        <v>#N/A</v>
      </c>
      <c r="D4653" s="166" t="e">
        <f>VLOOKUP(B4653,'Thống kê'!$C$3:$M$682,4,0)</f>
        <v>#N/A</v>
      </c>
      <c r="E4653" s="167"/>
      <c r="F4653" s="168" t="e">
        <f t="shared" si="19"/>
        <v>#N/A</v>
      </c>
      <c r="G4653" s="75"/>
      <c r="H4653" s="369"/>
    </row>
    <row r="4654" spans="1:8" ht="13.2">
      <c r="A4654" s="49"/>
      <c r="C4654" s="143" t="e">
        <f>VLOOKUP(B4654,'Thống kê'!$C$3:$D$669,2,0)</f>
        <v>#N/A</v>
      </c>
      <c r="D4654" s="166" t="e">
        <f>VLOOKUP(B4654,'Thống kê'!$C$3:$M$682,4,0)</f>
        <v>#N/A</v>
      </c>
      <c r="E4654" s="167"/>
      <c r="F4654" s="168" t="e">
        <f t="shared" si="19"/>
        <v>#N/A</v>
      </c>
      <c r="G4654" s="75"/>
      <c r="H4654" s="369"/>
    </row>
    <row r="4655" spans="1:8" ht="13.2">
      <c r="A4655" s="49"/>
      <c r="C4655" s="143" t="e">
        <f>VLOOKUP(B4655,'Thống kê'!$C$3:$D$669,2,0)</f>
        <v>#N/A</v>
      </c>
      <c r="D4655" s="166" t="e">
        <f>VLOOKUP(B4655,'Thống kê'!$C$3:$M$682,4,0)</f>
        <v>#N/A</v>
      </c>
      <c r="E4655" s="167"/>
      <c r="F4655" s="168" t="e">
        <f t="shared" si="19"/>
        <v>#N/A</v>
      </c>
      <c r="G4655" s="75"/>
      <c r="H4655" s="369"/>
    </row>
    <row r="4656" spans="1:8" ht="13.2">
      <c r="A4656" s="49"/>
      <c r="C4656" s="143" t="e">
        <f>VLOOKUP(B4656,'Thống kê'!$C$3:$D$669,2,0)</f>
        <v>#N/A</v>
      </c>
      <c r="D4656" s="166" t="e">
        <f>VLOOKUP(B4656,'Thống kê'!$C$3:$M$682,4,0)</f>
        <v>#N/A</v>
      </c>
      <c r="E4656" s="167"/>
      <c r="F4656" s="168" t="e">
        <f t="shared" si="19"/>
        <v>#N/A</v>
      </c>
      <c r="G4656" s="75"/>
      <c r="H4656" s="369"/>
    </row>
    <row r="4657" spans="1:8" ht="13.2">
      <c r="A4657" s="49"/>
      <c r="C4657" s="143" t="e">
        <f>VLOOKUP(B4657,'Thống kê'!$C$3:$D$669,2,0)</f>
        <v>#N/A</v>
      </c>
      <c r="D4657" s="166" t="e">
        <f>VLOOKUP(B4657,'Thống kê'!$C$3:$M$682,4,0)</f>
        <v>#N/A</v>
      </c>
      <c r="E4657" s="167"/>
      <c r="F4657" s="168" t="e">
        <f t="shared" si="19"/>
        <v>#N/A</v>
      </c>
      <c r="G4657" s="75"/>
      <c r="H4657" s="369"/>
    </row>
    <row r="4658" spans="1:8" ht="13.2">
      <c r="A4658" s="49"/>
      <c r="C4658" s="143" t="e">
        <f>VLOOKUP(B4658,'Thống kê'!$C$3:$D$669,2,0)</f>
        <v>#N/A</v>
      </c>
      <c r="D4658" s="166" t="e">
        <f>VLOOKUP(B4658,'Thống kê'!$C$3:$M$682,4,0)</f>
        <v>#N/A</v>
      </c>
      <c r="E4658" s="167"/>
      <c r="F4658" s="168" t="e">
        <f t="shared" si="19"/>
        <v>#N/A</v>
      </c>
      <c r="G4658" s="75"/>
      <c r="H4658" s="369"/>
    </row>
    <row r="4659" spans="1:8" ht="13.2">
      <c r="A4659" s="49"/>
      <c r="C4659" s="143" t="e">
        <f>VLOOKUP(B4659,'Thống kê'!$C$3:$D$669,2,0)</f>
        <v>#N/A</v>
      </c>
      <c r="D4659" s="166" t="e">
        <f>VLOOKUP(B4659,'Thống kê'!$C$3:$M$682,4,0)</f>
        <v>#N/A</v>
      </c>
      <c r="E4659" s="167"/>
      <c r="F4659" s="168" t="e">
        <f t="shared" si="19"/>
        <v>#N/A</v>
      </c>
      <c r="G4659" s="75"/>
      <c r="H4659" s="407"/>
    </row>
    <row r="4660" spans="1:8" ht="13.2">
      <c r="A4660" s="49"/>
      <c r="C4660" s="143" t="e">
        <f>VLOOKUP(B4660,'Thống kê'!$C$3:$D$669,2,0)</f>
        <v>#N/A</v>
      </c>
      <c r="D4660" s="166" t="e">
        <f>VLOOKUP(B4660,'Thống kê'!$C$3:$M$682,4,0)</f>
        <v>#N/A</v>
      </c>
      <c r="E4660" s="167"/>
      <c r="F4660" s="168" t="e">
        <f t="shared" si="19"/>
        <v>#N/A</v>
      </c>
      <c r="G4660" s="75"/>
      <c r="H4660" s="369"/>
    </row>
    <row r="4661" spans="1:8" ht="13.2">
      <c r="A4661" s="49"/>
      <c r="C4661" s="143" t="e">
        <f>VLOOKUP(B4661,'Thống kê'!$C$3:$D$669,2,0)</f>
        <v>#N/A</v>
      </c>
      <c r="D4661" s="166" t="e">
        <f>VLOOKUP(B4661,'Thống kê'!$C$3:$M$682,4,0)</f>
        <v>#N/A</v>
      </c>
      <c r="E4661" s="167"/>
      <c r="F4661" s="168" t="e">
        <f t="shared" si="19"/>
        <v>#N/A</v>
      </c>
      <c r="G4661" s="75"/>
      <c r="H4661" s="205"/>
    </row>
    <row r="4662" spans="1:8" ht="13.2">
      <c r="A4662" s="49"/>
      <c r="C4662" s="143" t="e">
        <f>VLOOKUP(B4662,'Thống kê'!$C$3:$D$669,2,0)</f>
        <v>#N/A</v>
      </c>
      <c r="D4662" s="166" t="e">
        <f>VLOOKUP(B4662,'Thống kê'!$C$3:$M$682,4,0)</f>
        <v>#N/A</v>
      </c>
      <c r="E4662" s="167"/>
      <c r="F4662" s="168" t="e">
        <f t="shared" si="19"/>
        <v>#N/A</v>
      </c>
      <c r="G4662" s="75"/>
      <c r="H4662" s="407"/>
    </row>
    <row r="4663" spans="1:8" ht="13.2">
      <c r="A4663" s="49"/>
      <c r="C4663" s="143" t="e">
        <f>VLOOKUP(B4663,'Thống kê'!$C$3:$D$669,2,0)</f>
        <v>#N/A</v>
      </c>
      <c r="D4663" s="166" t="e">
        <f>VLOOKUP(B4663,'Thống kê'!$C$3:$M$682,4,0)</f>
        <v>#N/A</v>
      </c>
      <c r="E4663" s="167"/>
      <c r="F4663" s="168" t="e">
        <f t="shared" si="19"/>
        <v>#N/A</v>
      </c>
      <c r="G4663" s="75"/>
      <c r="H4663" s="369"/>
    </row>
    <row r="4664" spans="1:8" ht="13.2">
      <c r="A4664" s="49"/>
      <c r="C4664" s="143" t="e">
        <f>VLOOKUP(B4664,'Thống kê'!$C$3:$D$669,2,0)</f>
        <v>#N/A</v>
      </c>
      <c r="D4664" s="166" t="e">
        <f>VLOOKUP(B4664,'Thống kê'!$C$3:$M$682,4,0)</f>
        <v>#N/A</v>
      </c>
      <c r="E4664" s="167"/>
      <c r="F4664" s="168" t="e">
        <f t="shared" si="19"/>
        <v>#N/A</v>
      </c>
      <c r="G4664" s="75"/>
      <c r="H4664" s="205"/>
    </row>
    <row r="4665" spans="1:8" ht="13.2">
      <c r="A4665" s="64"/>
      <c r="C4665" s="143" t="e">
        <f>VLOOKUP(B4665,'Thống kê'!$C$3:$D$669,2,0)</f>
        <v>#N/A</v>
      </c>
      <c r="D4665" s="166" t="e">
        <f>VLOOKUP(B4665,'Thống kê'!$C$3:$M$682,4,0)</f>
        <v>#N/A</v>
      </c>
      <c r="E4665" s="167"/>
      <c r="F4665" s="168" t="e">
        <f t="shared" si="19"/>
        <v>#N/A</v>
      </c>
      <c r="G4665" s="75"/>
      <c r="H4665" s="205"/>
    </row>
    <row r="4666" spans="1:8" ht="13.2">
      <c r="A4666" s="49"/>
      <c r="C4666" s="143" t="e">
        <f>VLOOKUP(B4666,'Thống kê'!$C$3:$D$669,2,0)</f>
        <v>#N/A</v>
      </c>
      <c r="D4666" s="166" t="e">
        <f>VLOOKUP(B4666,'Thống kê'!$C$3:$M$682,4,0)</f>
        <v>#N/A</v>
      </c>
      <c r="E4666" s="167"/>
      <c r="F4666" s="168" t="e">
        <f t="shared" si="19"/>
        <v>#N/A</v>
      </c>
      <c r="G4666" s="75"/>
      <c r="H4666" s="205"/>
    </row>
    <row r="4667" spans="1:8" ht="13.2">
      <c r="A4667" s="49"/>
      <c r="C4667" s="143" t="e">
        <f>VLOOKUP(B4667,'Thống kê'!$C$3:$D$669,2,0)</f>
        <v>#N/A</v>
      </c>
      <c r="D4667" s="166" t="e">
        <f>VLOOKUP(B4667,'Thống kê'!$C$3:$M$682,4,0)</f>
        <v>#N/A</v>
      </c>
      <c r="E4667" s="167"/>
      <c r="F4667" s="168" t="e">
        <f t="shared" si="19"/>
        <v>#N/A</v>
      </c>
      <c r="G4667" s="75"/>
      <c r="H4667" s="205"/>
    </row>
    <row r="4668" spans="1:8" ht="13.2">
      <c r="A4668" s="49"/>
      <c r="C4668" s="143" t="e">
        <f>VLOOKUP(B4668,'Thống kê'!$C$3:$D$669,2,0)</f>
        <v>#N/A</v>
      </c>
      <c r="D4668" s="166" t="e">
        <f>VLOOKUP(B4668,'Thống kê'!$C$3:$M$682,4,0)</f>
        <v>#N/A</v>
      </c>
      <c r="E4668" s="167"/>
      <c r="F4668" s="168" t="e">
        <f t="shared" si="19"/>
        <v>#N/A</v>
      </c>
      <c r="G4668" s="75"/>
      <c r="H4668" s="407"/>
    </row>
    <row r="4669" spans="1:8" ht="13.2">
      <c r="A4669" s="49"/>
      <c r="C4669" s="143" t="e">
        <f>VLOOKUP(B4669,'Thống kê'!$C$3:$D$669,2,0)</f>
        <v>#N/A</v>
      </c>
      <c r="D4669" s="166" t="e">
        <f>VLOOKUP(B4669,'Thống kê'!$C$3:$M$682,4,0)</f>
        <v>#N/A</v>
      </c>
      <c r="E4669" s="167"/>
      <c r="F4669" s="168" t="e">
        <f t="shared" si="19"/>
        <v>#N/A</v>
      </c>
      <c r="G4669" s="75"/>
      <c r="H4669" s="369"/>
    </row>
    <row r="4670" spans="1:8" ht="13.2">
      <c r="A4670" s="49"/>
      <c r="C4670" s="143" t="e">
        <f>VLOOKUP(B4670,'Thống kê'!$C$3:$D$669,2,0)</f>
        <v>#N/A</v>
      </c>
      <c r="D4670" s="166" t="e">
        <f>VLOOKUP(B4670,'Thống kê'!$C$3:$M$682,4,0)</f>
        <v>#N/A</v>
      </c>
      <c r="E4670" s="167"/>
      <c r="F4670" s="168" t="e">
        <f t="shared" si="19"/>
        <v>#N/A</v>
      </c>
      <c r="G4670" s="75"/>
      <c r="H4670" s="369"/>
    </row>
    <row r="4671" spans="1:8" ht="13.2">
      <c r="A4671" s="49"/>
      <c r="C4671" s="143" t="e">
        <f>VLOOKUP(B4671,'Thống kê'!$C$3:$D$669,2,0)</f>
        <v>#N/A</v>
      </c>
      <c r="D4671" s="166" t="e">
        <f>VLOOKUP(B4671,'Thống kê'!$C$3:$M$682,4,0)</f>
        <v>#N/A</v>
      </c>
      <c r="E4671" s="167"/>
      <c r="F4671" s="168" t="e">
        <f t="shared" si="19"/>
        <v>#N/A</v>
      </c>
      <c r="G4671" s="75"/>
      <c r="H4671" s="369"/>
    </row>
    <row r="4672" spans="1:8" ht="13.2">
      <c r="A4672" s="49"/>
      <c r="C4672" s="143" t="e">
        <f>VLOOKUP(B4672,'Thống kê'!$C$3:$D$669,2,0)</f>
        <v>#N/A</v>
      </c>
      <c r="D4672" s="166" t="e">
        <f>VLOOKUP(B4672,'Thống kê'!$C$3:$M$682,4,0)</f>
        <v>#N/A</v>
      </c>
      <c r="E4672" s="167"/>
      <c r="F4672" s="168" t="e">
        <f t="shared" si="19"/>
        <v>#N/A</v>
      </c>
      <c r="G4672" s="75"/>
      <c r="H4672" s="369"/>
    </row>
    <row r="4673" spans="1:8" ht="13.2">
      <c r="A4673" s="49"/>
      <c r="C4673" s="143" t="e">
        <f>VLOOKUP(B4673,'Thống kê'!$C$3:$D$669,2,0)</f>
        <v>#N/A</v>
      </c>
      <c r="D4673" s="166" t="e">
        <f>VLOOKUP(B4673,'Thống kê'!$C$3:$M$682,4,0)</f>
        <v>#N/A</v>
      </c>
      <c r="E4673" s="167"/>
      <c r="F4673" s="168" t="e">
        <f t="shared" si="19"/>
        <v>#N/A</v>
      </c>
      <c r="G4673" s="75"/>
      <c r="H4673" s="369"/>
    </row>
    <row r="4674" spans="1:8" ht="13.2">
      <c r="A4674" s="49"/>
      <c r="C4674" s="143" t="e">
        <f>VLOOKUP(B4674,'Thống kê'!$C$3:$D$669,2,0)</f>
        <v>#N/A</v>
      </c>
      <c r="D4674" s="166" t="e">
        <f>VLOOKUP(B4674,'Thống kê'!$C$3:$M$682,4,0)</f>
        <v>#N/A</v>
      </c>
      <c r="E4674" s="167"/>
      <c r="F4674" s="168" t="e">
        <f t="shared" si="19"/>
        <v>#N/A</v>
      </c>
      <c r="G4674" s="75"/>
      <c r="H4674" s="407"/>
    </row>
    <row r="4675" spans="1:8" ht="13.2">
      <c r="A4675" s="49"/>
      <c r="C4675" s="143" t="e">
        <f>VLOOKUP(B4675,'Thống kê'!$C$3:$D$669,2,0)</f>
        <v>#N/A</v>
      </c>
      <c r="D4675" s="166" t="e">
        <f>VLOOKUP(B4675,'Thống kê'!$C$3:$M$682,4,0)</f>
        <v>#N/A</v>
      </c>
      <c r="E4675" s="167"/>
      <c r="F4675" s="168" t="e">
        <f t="shared" si="19"/>
        <v>#N/A</v>
      </c>
      <c r="G4675" s="75"/>
      <c r="H4675" s="369"/>
    </row>
    <row r="4676" spans="1:8" ht="13.2">
      <c r="A4676" s="49"/>
      <c r="C4676" s="143" t="e">
        <f>VLOOKUP(B4676,'Thống kê'!$C$3:$D$669,2,0)</f>
        <v>#N/A</v>
      </c>
      <c r="D4676" s="166" t="e">
        <f>VLOOKUP(B4676,'Thống kê'!$C$3:$M$682,4,0)</f>
        <v>#N/A</v>
      </c>
      <c r="E4676" s="167"/>
      <c r="F4676" s="168" t="e">
        <f t="shared" si="19"/>
        <v>#N/A</v>
      </c>
      <c r="G4676" s="75"/>
      <c r="H4676" s="369"/>
    </row>
    <row r="4677" spans="1:8" ht="13.2">
      <c r="A4677" s="49"/>
      <c r="C4677" s="143" t="e">
        <f>VLOOKUP(B4677,'Thống kê'!$C$3:$D$669,2,0)</f>
        <v>#N/A</v>
      </c>
      <c r="D4677" s="166" t="e">
        <f>VLOOKUP(B4677,'Thống kê'!$C$3:$M$682,4,0)</f>
        <v>#N/A</v>
      </c>
      <c r="E4677" s="167"/>
      <c r="F4677" s="168" t="e">
        <f t="shared" si="19"/>
        <v>#N/A</v>
      </c>
      <c r="G4677" s="75"/>
      <c r="H4677" s="369"/>
    </row>
    <row r="4678" spans="1:8" ht="13.2">
      <c r="A4678" s="49"/>
      <c r="C4678" s="143" t="e">
        <f>VLOOKUP(B4678,'Thống kê'!$C$3:$D$669,2,0)</f>
        <v>#N/A</v>
      </c>
      <c r="D4678" s="166" t="e">
        <f>VLOOKUP(B4678,'Thống kê'!$C$3:$M$682,4,0)</f>
        <v>#N/A</v>
      </c>
      <c r="E4678" s="167"/>
      <c r="F4678" s="168" t="e">
        <f t="shared" si="19"/>
        <v>#N/A</v>
      </c>
      <c r="G4678" s="75"/>
      <c r="H4678" s="205"/>
    </row>
    <row r="4679" spans="1:8" ht="13.2">
      <c r="A4679" s="64"/>
      <c r="C4679" s="143" t="e">
        <f>VLOOKUP(B4679,'Thống kê'!$C$3:$D$669,2,0)</f>
        <v>#N/A</v>
      </c>
      <c r="D4679" s="166" t="e">
        <f>VLOOKUP(B4679,'Thống kê'!$C$3:$M$682,4,0)</f>
        <v>#N/A</v>
      </c>
      <c r="E4679" s="167"/>
      <c r="F4679" s="168" t="e">
        <f t="shared" si="19"/>
        <v>#N/A</v>
      </c>
      <c r="G4679" s="75"/>
      <c r="H4679" s="205"/>
    </row>
    <row r="4680" spans="1:8" ht="13.2">
      <c r="A4680" s="49"/>
      <c r="C4680" s="143" t="e">
        <f>VLOOKUP(B4680,'Thống kê'!$C$3:$D$669,2,0)</f>
        <v>#N/A</v>
      </c>
      <c r="D4680" s="166" t="e">
        <f>VLOOKUP(B4680,'Thống kê'!$C$3:$M$682,4,0)</f>
        <v>#N/A</v>
      </c>
      <c r="E4680" s="167"/>
      <c r="F4680" s="168" t="e">
        <f t="shared" si="19"/>
        <v>#N/A</v>
      </c>
      <c r="G4680" s="75"/>
      <c r="H4680" s="407"/>
    </row>
    <row r="4681" spans="1:8" ht="13.2">
      <c r="A4681" s="49"/>
      <c r="C4681" s="143" t="e">
        <f>VLOOKUP(B4681,'Thống kê'!$C$3:$D$669,2,0)</f>
        <v>#N/A</v>
      </c>
      <c r="D4681" s="166" t="e">
        <f>VLOOKUP(B4681,'Thống kê'!$C$3:$M$682,4,0)</f>
        <v>#N/A</v>
      </c>
      <c r="E4681" s="167"/>
      <c r="F4681" s="168" t="e">
        <f t="shared" si="19"/>
        <v>#N/A</v>
      </c>
      <c r="G4681" s="75"/>
      <c r="H4681" s="369"/>
    </row>
    <row r="4682" spans="1:8" ht="13.2">
      <c r="A4682" s="49"/>
      <c r="C4682" s="143" t="e">
        <f>VLOOKUP(B4682,'Thống kê'!$C$3:$D$669,2,0)</f>
        <v>#N/A</v>
      </c>
      <c r="D4682" s="166" t="e">
        <f>VLOOKUP(B4682,'Thống kê'!$C$3:$M$682,4,0)</f>
        <v>#N/A</v>
      </c>
      <c r="E4682" s="167"/>
      <c r="F4682" s="168" t="e">
        <f t="shared" si="19"/>
        <v>#N/A</v>
      </c>
      <c r="G4682" s="75"/>
      <c r="H4682" s="205"/>
    </row>
    <row r="4683" spans="1:8" ht="13.2">
      <c r="A4683" s="49"/>
      <c r="C4683" s="143" t="e">
        <f>VLOOKUP(B4683,'Thống kê'!$C$3:$D$669,2,0)</f>
        <v>#N/A</v>
      </c>
      <c r="D4683" s="166" t="e">
        <f>VLOOKUP(B4683,'Thống kê'!$C$3:$M$682,4,0)</f>
        <v>#N/A</v>
      </c>
      <c r="E4683" s="167"/>
      <c r="F4683" s="168" t="e">
        <f t="shared" si="19"/>
        <v>#N/A</v>
      </c>
      <c r="G4683" s="75"/>
      <c r="H4683" s="407"/>
    </row>
    <row r="4684" spans="1:8" ht="13.2">
      <c r="A4684" s="49"/>
      <c r="C4684" s="143" t="e">
        <f>VLOOKUP(B4684,'Thống kê'!$C$3:$D$669,2,0)</f>
        <v>#N/A</v>
      </c>
      <c r="D4684" s="166" t="e">
        <f>VLOOKUP(B4684,'Thống kê'!$C$3:$M$682,4,0)</f>
        <v>#N/A</v>
      </c>
      <c r="E4684" s="167"/>
      <c r="F4684" s="168" t="e">
        <f t="shared" si="19"/>
        <v>#N/A</v>
      </c>
      <c r="G4684" s="75"/>
      <c r="H4684" s="369"/>
    </row>
    <row r="4685" spans="1:8" ht="13.2">
      <c r="A4685" s="49"/>
      <c r="C4685" s="143" t="e">
        <f>VLOOKUP(B4685,'Thống kê'!$C$3:$D$669,2,0)</f>
        <v>#N/A</v>
      </c>
      <c r="D4685" s="166" t="e">
        <f>VLOOKUP(B4685,'Thống kê'!$C$3:$M$682,4,0)</f>
        <v>#N/A</v>
      </c>
      <c r="E4685" s="167"/>
      <c r="F4685" s="168" t="e">
        <f t="shared" si="19"/>
        <v>#N/A</v>
      </c>
      <c r="G4685" s="75"/>
      <c r="H4685" s="205"/>
    </row>
    <row r="4686" spans="1:8" ht="13.2">
      <c r="A4686" s="49"/>
      <c r="C4686" s="143" t="e">
        <f>VLOOKUP(B4686,'Thống kê'!$C$3:$D$669,2,0)</f>
        <v>#N/A</v>
      </c>
      <c r="D4686" s="166" t="e">
        <f>VLOOKUP(B4686,'Thống kê'!$C$3:$M$682,4,0)</f>
        <v>#N/A</v>
      </c>
      <c r="E4686" s="167"/>
      <c r="F4686" s="168" t="e">
        <f t="shared" si="19"/>
        <v>#N/A</v>
      </c>
      <c r="G4686" s="75"/>
      <c r="H4686" s="407"/>
    </row>
    <row r="4687" spans="1:8" ht="13.2">
      <c r="A4687" s="49"/>
      <c r="C4687" s="143" t="e">
        <f>VLOOKUP(B4687,'Thống kê'!$C$3:$D$669,2,0)</f>
        <v>#N/A</v>
      </c>
      <c r="D4687" s="166" t="e">
        <f>VLOOKUP(B4687,'Thống kê'!$C$3:$M$682,4,0)</f>
        <v>#N/A</v>
      </c>
      <c r="E4687" s="167"/>
      <c r="F4687" s="168" t="e">
        <f t="shared" si="19"/>
        <v>#N/A</v>
      </c>
      <c r="G4687" s="75"/>
      <c r="H4687" s="369"/>
    </row>
    <row r="4688" spans="1:8" ht="13.2">
      <c r="A4688" s="64"/>
      <c r="C4688" s="143" t="e">
        <f>VLOOKUP(B4688,'Thống kê'!$C$3:$D$669,2,0)</f>
        <v>#N/A</v>
      </c>
      <c r="D4688" s="166" t="e">
        <f>VLOOKUP(B4688,'Thống kê'!$C$3:$M$682,4,0)</f>
        <v>#N/A</v>
      </c>
      <c r="E4688" s="167"/>
      <c r="F4688" s="168" t="e">
        <f t="shared" si="19"/>
        <v>#N/A</v>
      </c>
      <c r="G4688" s="75"/>
      <c r="H4688" s="205"/>
    </row>
    <row r="4689" spans="1:8" ht="13.2">
      <c r="A4689" s="49"/>
      <c r="C4689" s="143" t="e">
        <f>VLOOKUP(B4689,'Thống kê'!$C$3:$D$669,2,0)</f>
        <v>#N/A</v>
      </c>
      <c r="D4689" s="166" t="e">
        <f>VLOOKUP(B4689,'Thống kê'!$C$3:$M$682,4,0)</f>
        <v>#N/A</v>
      </c>
      <c r="E4689" s="167"/>
      <c r="F4689" s="168" t="e">
        <f t="shared" si="19"/>
        <v>#N/A</v>
      </c>
      <c r="G4689" s="75"/>
      <c r="H4689" s="205"/>
    </row>
    <row r="4690" spans="1:8" ht="13.2">
      <c r="A4690" s="49"/>
      <c r="C4690" s="143" t="e">
        <f>VLOOKUP(B4690,'Thống kê'!$C$3:$D$669,2,0)</f>
        <v>#N/A</v>
      </c>
      <c r="D4690" s="166" t="e">
        <f>VLOOKUP(B4690,'Thống kê'!$C$3:$M$682,4,0)</f>
        <v>#N/A</v>
      </c>
      <c r="E4690" s="167"/>
      <c r="F4690" s="168" t="e">
        <f t="shared" si="19"/>
        <v>#N/A</v>
      </c>
      <c r="G4690" s="75"/>
      <c r="H4690" s="205"/>
    </row>
    <row r="4691" spans="1:8" ht="13.2">
      <c r="A4691" s="49"/>
      <c r="C4691" s="143" t="e">
        <f>VLOOKUP(B4691,'Thống kê'!$C$3:$D$669,2,0)</f>
        <v>#N/A</v>
      </c>
      <c r="D4691" s="166" t="e">
        <f>VLOOKUP(B4691,'Thống kê'!$C$3:$M$682,4,0)</f>
        <v>#N/A</v>
      </c>
      <c r="E4691" s="167"/>
      <c r="F4691" s="168" t="e">
        <f t="shared" si="19"/>
        <v>#N/A</v>
      </c>
      <c r="G4691" s="75"/>
      <c r="H4691" s="205"/>
    </row>
    <row r="4692" spans="1:8" ht="13.2">
      <c r="A4692" s="64"/>
      <c r="C4692" s="143" t="e">
        <f>VLOOKUP(B4692,'Thống kê'!$C$3:$D$669,2,0)</f>
        <v>#N/A</v>
      </c>
      <c r="D4692" s="166" t="e">
        <f>VLOOKUP(B4692,'Thống kê'!$C$3:$M$682,4,0)</f>
        <v>#N/A</v>
      </c>
      <c r="E4692" s="167"/>
      <c r="F4692" s="168" t="e">
        <f t="shared" si="19"/>
        <v>#N/A</v>
      </c>
      <c r="G4692" s="75"/>
      <c r="H4692" s="407"/>
    </row>
    <row r="4693" spans="1:8" ht="13.2">
      <c r="A4693" s="49"/>
      <c r="C4693" s="143" t="e">
        <f>VLOOKUP(B4693,'Thống kê'!$C$3:$D$669,2,0)</f>
        <v>#N/A</v>
      </c>
      <c r="D4693" s="166" t="e">
        <f>VLOOKUP(B4693,'Thống kê'!$C$3:$M$682,4,0)</f>
        <v>#N/A</v>
      </c>
      <c r="E4693" s="167"/>
      <c r="F4693" s="168" t="e">
        <f t="shared" si="19"/>
        <v>#N/A</v>
      </c>
      <c r="G4693" s="75"/>
      <c r="H4693" s="369"/>
    </row>
    <row r="4694" spans="1:8" ht="13.2">
      <c r="A4694" s="49"/>
      <c r="C4694" s="143" t="e">
        <f>VLOOKUP(B4694,'Thống kê'!$C$3:$D$669,2,0)</f>
        <v>#N/A</v>
      </c>
      <c r="D4694" s="166" t="e">
        <f>VLOOKUP(B4694,'Thống kê'!$C$3:$M$682,4,0)</f>
        <v>#N/A</v>
      </c>
      <c r="E4694" s="167"/>
      <c r="F4694" s="168" t="e">
        <f t="shared" si="19"/>
        <v>#N/A</v>
      </c>
      <c r="G4694" s="75"/>
      <c r="H4694" s="369"/>
    </row>
    <row r="4695" spans="1:8" ht="13.2">
      <c r="A4695" s="49"/>
      <c r="C4695" s="143" t="e">
        <f>VLOOKUP(B4695,'Thống kê'!$C$3:$D$669,2,0)</f>
        <v>#N/A</v>
      </c>
      <c r="D4695" s="166" t="e">
        <f>VLOOKUP(B4695,'Thống kê'!$C$3:$M$682,4,0)</f>
        <v>#N/A</v>
      </c>
      <c r="E4695" s="167"/>
      <c r="F4695" s="168" t="e">
        <f t="shared" si="19"/>
        <v>#N/A</v>
      </c>
      <c r="G4695" s="75"/>
      <c r="H4695" s="369"/>
    </row>
    <row r="4696" spans="1:8" ht="13.2">
      <c r="A4696" s="49"/>
      <c r="C4696" s="143" t="e">
        <f>VLOOKUP(B4696,'Thống kê'!$C$3:$D$669,2,0)</f>
        <v>#N/A</v>
      </c>
      <c r="D4696" s="166" t="e">
        <f>VLOOKUP(B4696,'Thống kê'!$C$3:$M$682,4,0)</f>
        <v>#N/A</v>
      </c>
      <c r="E4696" s="167"/>
      <c r="F4696" s="168" t="e">
        <f t="shared" si="19"/>
        <v>#N/A</v>
      </c>
      <c r="G4696" s="75"/>
      <c r="H4696" s="407"/>
    </row>
    <row r="4697" spans="1:8" ht="13.2">
      <c r="A4697" s="49"/>
      <c r="C4697" s="143" t="e">
        <f>VLOOKUP(B4697,'Thống kê'!$C$3:$D$669,2,0)</f>
        <v>#N/A</v>
      </c>
      <c r="D4697" s="166" t="e">
        <f>VLOOKUP(B4697,'Thống kê'!$C$3:$M$682,4,0)</f>
        <v>#N/A</v>
      </c>
      <c r="E4697" s="167"/>
      <c r="F4697" s="168" t="e">
        <f t="shared" si="19"/>
        <v>#N/A</v>
      </c>
      <c r="G4697" s="75"/>
      <c r="H4697" s="369"/>
    </row>
    <row r="4698" spans="1:8" ht="13.2">
      <c r="A4698" s="49"/>
      <c r="C4698" s="143" t="e">
        <f>VLOOKUP(B4698,'Thống kê'!$C$3:$D$669,2,0)</f>
        <v>#N/A</v>
      </c>
      <c r="D4698" s="166" t="e">
        <f>VLOOKUP(B4698,'Thống kê'!$C$3:$M$682,4,0)</f>
        <v>#N/A</v>
      </c>
      <c r="E4698" s="167"/>
      <c r="F4698" s="168" t="e">
        <f t="shared" si="19"/>
        <v>#N/A</v>
      </c>
      <c r="G4698" s="75"/>
      <c r="H4698" s="407"/>
    </row>
    <row r="4699" spans="1:8" ht="13.2">
      <c r="A4699" s="49"/>
      <c r="C4699" s="143" t="e">
        <f>VLOOKUP(B4699,'Thống kê'!$C$3:$D$669,2,0)</f>
        <v>#N/A</v>
      </c>
      <c r="D4699" s="166" t="e">
        <f>VLOOKUP(B4699,'Thống kê'!$C$3:$M$682,4,0)</f>
        <v>#N/A</v>
      </c>
      <c r="E4699" s="167"/>
      <c r="F4699" s="168" t="e">
        <f t="shared" si="19"/>
        <v>#N/A</v>
      </c>
      <c r="G4699" s="75"/>
      <c r="H4699" s="369"/>
    </row>
    <row r="4700" spans="1:8" ht="13.2">
      <c r="A4700" s="49"/>
      <c r="C4700" s="143" t="e">
        <f>VLOOKUP(B4700,'Thống kê'!$C$3:$D$669,2,0)</f>
        <v>#N/A</v>
      </c>
      <c r="D4700" s="166" t="e">
        <f>VLOOKUP(B4700,'Thống kê'!$C$3:$M$682,4,0)</f>
        <v>#N/A</v>
      </c>
      <c r="E4700" s="167"/>
      <c r="F4700" s="168" t="e">
        <f t="shared" si="19"/>
        <v>#N/A</v>
      </c>
      <c r="G4700" s="75"/>
      <c r="H4700" s="205"/>
    </row>
    <row r="4701" spans="1:8" ht="13.2">
      <c r="A4701" s="49"/>
      <c r="C4701" s="143" t="e">
        <f>VLOOKUP(B4701,'Thống kê'!$C$3:$D$669,2,0)</f>
        <v>#N/A</v>
      </c>
      <c r="D4701" s="166" t="e">
        <f>VLOOKUP(B4701,'Thống kê'!$C$3:$M$682,4,0)</f>
        <v>#N/A</v>
      </c>
      <c r="E4701" s="167"/>
      <c r="F4701" s="168" t="e">
        <f t="shared" si="19"/>
        <v>#N/A</v>
      </c>
      <c r="G4701" s="75"/>
      <c r="H4701" s="205"/>
    </row>
    <row r="4702" spans="1:8" ht="13.2">
      <c r="A4702" s="64"/>
      <c r="C4702" s="143" t="e">
        <f>VLOOKUP(B4702,'Thống kê'!$C$3:$D$669,2,0)</f>
        <v>#N/A</v>
      </c>
      <c r="D4702" s="166" t="e">
        <f>VLOOKUP(B4702,'Thống kê'!$C$3:$M$682,4,0)</f>
        <v>#N/A</v>
      </c>
      <c r="E4702" s="167"/>
      <c r="F4702" s="168" t="e">
        <f t="shared" si="19"/>
        <v>#N/A</v>
      </c>
      <c r="G4702" s="75"/>
      <c r="H4702" s="407"/>
    </row>
    <row r="4703" spans="1:8" ht="13.2">
      <c r="A4703" s="49"/>
      <c r="C4703" s="143" t="e">
        <f>VLOOKUP(B4703,'Thống kê'!$C$3:$D$669,2,0)</f>
        <v>#N/A</v>
      </c>
      <c r="D4703" s="166" t="e">
        <f>VLOOKUP(B4703,'Thống kê'!$C$3:$M$682,4,0)</f>
        <v>#N/A</v>
      </c>
      <c r="E4703" s="167"/>
      <c r="F4703" s="168" t="e">
        <f t="shared" si="19"/>
        <v>#N/A</v>
      </c>
      <c r="G4703" s="75"/>
      <c r="H4703" s="369"/>
    </row>
    <row r="4704" spans="1:8" ht="13.2">
      <c r="A4704" s="49"/>
      <c r="C4704" s="143" t="e">
        <f>VLOOKUP(B4704,'Thống kê'!$C$3:$D$669,2,0)</f>
        <v>#N/A</v>
      </c>
      <c r="D4704" s="166" t="e">
        <f>VLOOKUP(B4704,'Thống kê'!$C$3:$M$682,4,0)</f>
        <v>#N/A</v>
      </c>
      <c r="E4704" s="167"/>
      <c r="F4704" s="168" t="e">
        <f t="shared" si="19"/>
        <v>#N/A</v>
      </c>
      <c r="G4704" s="75"/>
      <c r="H4704" s="369"/>
    </row>
    <row r="4705" spans="1:8" ht="13.2">
      <c r="A4705" s="49"/>
      <c r="C4705" s="143" t="e">
        <f>VLOOKUP(B4705,'Thống kê'!$C$3:$D$669,2,0)</f>
        <v>#N/A</v>
      </c>
      <c r="D4705" s="166" t="e">
        <f>VLOOKUP(B4705,'Thống kê'!$C$3:$M$682,4,0)</f>
        <v>#N/A</v>
      </c>
      <c r="E4705" s="167"/>
      <c r="F4705" s="168" t="e">
        <f t="shared" si="19"/>
        <v>#N/A</v>
      </c>
      <c r="G4705" s="75"/>
      <c r="H4705" s="369"/>
    </row>
    <row r="4706" spans="1:8" ht="13.2">
      <c r="A4706" s="64"/>
      <c r="C4706" s="143" t="e">
        <f>VLOOKUP(B4706,'Thống kê'!$C$3:$D$669,2,0)</f>
        <v>#N/A</v>
      </c>
      <c r="D4706" s="166" t="e">
        <f>VLOOKUP(B4706,'Thống kê'!$C$3:$M$682,4,0)</f>
        <v>#N/A</v>
      </c>
      <c r="E4706" s="167"/>
      <c r="F4706" s="168" t="e">
        <f t="shared" si="19"/>
        <v>#N/A</v>
      </c>
      <c r="G4706" s="75"/>
      <c r="H4706" s="205"/>
    </row>
    <row r="4707" spans="1:8" ht="13.2">
      <c r="A4707" s="49"/>
      <c r="C4707" s="143" t="e">
        <f>VLOOKUP(B4707,'Thống kê'!$C$3:$D$669,2,0)</f>
        <v>#N/A</v>
      </c>
      <c r="D4707" s="166" t="e">
        <f>VLOOKUP(B4707,'Thống kê'!$C$3:$M$682,4,0)</f>
        <v>#N/A</v>
      </c>
      <c r="E4707" s="167"/>
      <c r="F4707" s="168" t="e">
        <f t="shared" si="19"/>
        <v>#N/A</v>
      </c>
      <c r="G4707" s="75"/>
      <c r="H4707" s="205"/>
    </row>
    <row r="4708" spans="1:8" ht="13.2">
      <c r="A4708" s="49"/>
      <c r="C4708" s="143" t="e">
        <f>VLOOKUP(B4708,'Thống kê'!$C$3:$D$669,2,0)</f>
        <v>#N/A</v>
      </c>
      <c r="D4708" s="166" t="e">
        <f>VLOOKUP(B4708,'Thống kê'!$C$3:$M$682,4,0)</f>
        <v>#N/A</v>
      </c>
      <c r="E4708" s="167"/>
      <c r="F4708" s="168" t="e">
        <f t="shared" si="19"/>
        <v>#N/A</v>
      </c>
      <c r="G4708" s="75"/>
      <c r="H4708" s="407"/>
    </row>
    <row r="4709" spans="1:8" ht="13.2">
      <c r="A4709" s="49"/>
      <c r="C4709" s="143" t="e">
        <f>VLOOKUP(B4709,'Thống kê'!$C$3:$D$669,2,0)</f>
        <v>#N/A</v>
      </c>
      <c r="D4709" s="166" t="e">
        <f>VLOOKUP(B4709,'Thống kê'!$C$3:$M$682,4,0)</f>
        <v>#N/A</v>
      </c>
      <c r="E4709" s="167"/>
      <c r="F4709" s="168" t="e">
        <f t="shared" si="19"/>
        <v>#N/A</v>
      </c>
      <c r="G4709" s="75"/>
      <c r="H4709" s="369"/>
    </row>
    <row r="4710" spans="1:8" ht="13.2">
      <c r="A4710" s="49"/>
      <c r="C4710" s="143" t="e">
        <f>VLOOKUP(B4710,'Thống kê'!$C$3:$D$669,2,0)</f>
        <v>#N/A</v>
      </c>
      <c r="D4710" s="166" t="e">
        <f>VLOOKUP(B4710,'Thống kê'!$C$3:$M$682,4,0)</f>
        <v>#N/A</v>
      </c>
      <c r="E4710" s="167"/>
      <c r="F4710" s="168" t="e">
        <f t="shared" si="19"/>
        <v>#N/A</v>
      </c>
      <c r="G4710" s="75"/>
      <c r="H4710" s="205"/>
    </row>
    <row r="4711" spans="1:8" ht="13.2">
      <c r="A4711" s="49"/>
      <c r="C4711" s="143" t="e">
        <f>VLOOKUP(B4711,'Thống kê'!$C$3:$D$669,2,0)</f>
        <v>#N/A</v>
      </c>
      <c r="D4711" s="166" t="e">
        <f>VLOOKUP(B4711,'Thống kê'!$C$3:$M$682,4,0)</f>
        <v>#N/A</v>
      </c>
      <c r="E4711" s="167"/>
      <c r="F4711" s="168" t="e">
        <f t="shared" si="19"/>
        <v>#N/A</v>
      </c>
      <c r="G4711" s="75"/>
      <c r="H4711" s="407"/>
    </row>
    <row r="4712" spans="1:8" ht="13.2">
      <c r="A4712" s="49"/>
      <c r="C4712" s="143" t="e">
        <f>VLOOKUP(B4712,'Thống kê'!$C$3:$D$669,2,0)</f>
        <v>#N/A</v>
      </c>
      <c r="D4712" s="166" t="e">
        <f>VLOOKUP(B4712,'Thống kê'!$C$3:$M$682,4,0)</f>
        <v>#N/A</v>
      </c>
      <c r="E4712" s="167"/>
      <c r="F4712" s="168" t="e">
        <f t="shared" si="19"/>
        <v>#N/A</v>
      </c>
      <c r="G4712" s="75"/>
      <c r="H4712" s="369"/>
    </row>
    <row r="4713" spans="1:8" ht="13.2">
      <c r="A4713" s="49"/>
      <c r="C4713" s="143" t="e">
        <f>VLOOKUP(B4713,'Thống kê'!$C$3:$D$669,2,0)</f>
        <v>#N/A</v>
      </c>
      <c r="D4713" s="166" t="e">
        <f>VLOOKUP(B4713,'Thống kê'!$C$3:$M$682,4,0)</f>
        <v>#N/A</v>
      </c>
      <c r="E4713" s="167"/>
      <c r="F4713" s="168" t="e">
        <f t="shared" si="19"/>
        <v>#N/A</v>
      </c>
      <c r="G4713" s="75"/>
      <c r="H4713" s="205"/>
    </row>
    <row r="4714" spans="1:8" ht="13.2">
      <c r="A4714" s="49"/>
      <c r="C4714" s="143" t="e">
        <f>VLOOKUP(B4714,'Thống kê'!$C$3:$D$669,2,0)</f>
        <v>#N/A</v>
      </c>
      <c r="D4714" s="166" t="e">
        <f>VLOOKUP(B4714,'Thống kê'!$C$3:$M$682,4,0)</f>
        <v>#N/A</v>
      </c>
      <c r="E4714" s="167"/>
      <c r="F4714" s="168" t="e">
        <f t="shared" si="19"/>
        <v>#N/A</v>
      </c>
      <c r="G4714" s="75"/>
      <c r="H4714" s="205"/>
    </row>
    <row r="4715" spans="1:8" ht="13.2">
      <c r="A4715" s="49"/>
      <c r="C4715" s="143" t="e">
        <f>VLOOKUP(B4715,'Thống kê'!$C$3:$D$669,2,0)</f>
        <v>#N/A</v>
      </c>
      <c r="D4715" s="166" t="e">
        <f>VLOOKUP(B4715,'Thống kê'!$C$3:$M$682,4,0)</f>
        <v>#N/A</v>
      </c>
      <c r="E4715" s="167"/>
      <c r="F4715" s="168" t="e">
        <f t="shared" si="19"/>
        <v>#N/A</v>
      </c>
      <c r="G4715" s="75"/>
      <c r="H4715" s="205"/>
    </row>
    <row r="4716" spans="1:8" ht="13.2">
      <c r="A4716" s="49"/>
      <c r="C4716" s="143" t="e">
        <f>VLOOKUP(B4716,'Thống kê'!$C$3:$D$669,2,0)</f>
        <v>#N/A</v>
      </c>
      <c r="D4716" s="166" t="e">
        <f>VLOOKUP(B4716,'Thống kê'!$C$3:$M$682,4,0)</f>
        <v>#N/A</v>
      </c>
      <c r="E4716" s="167"/>
      <c r="F4716" s="168" t="e">
        <f t="shared" si="19"/>
        <v>#N/A</v>
      </c>
      <c r="G4716" s="75"/>
      <c r="H4716" s="205"/>
    </row>
    <row r="4717" spans="1:8" ht="13.2">
      <c r="A4717" s="49"/>
      <c r="C4717" s="143" t="e">
        <f>VLOOKUP(B4717,'Thống kê'!$C$3:$D$669,2,0)</f>
        <v>#N/A</v>
      </c>
      <c r="D4717" s="166" t="e">
        <f>VLOOKUP(B4717,'Thống kê'!$C$3:$M$682,4,0)</f>
        <v>#N/A</v>
      </c>
      <c r="E4717" s="167"/>
      <c r="F4717" s="168" t="e">
        <f t="shared" si="19"/>
        <v>#N/A</v>
      </c>
      <c r="G4717" s="75"/>
      <c r="H4717" s="205"/>
    </row>
    <row r="4718" spans="1:8" ht="13.2">
      <c r="A4718" s="49"/>
      <c r="C4718" s="143" t="e">
        <f>VLOOKUP(B4718,'Thống kê'!$C$3:$D$669,2,0)</f>
        <v>#N/A</v>
      </c>
      <c r="D4718" s="166" t="e">
        <f>VLOOKUP(B4718,'Thống kê'!$C$3:$M$682,4,0)</f>
        <v>#N/A</v>
      </c>
      <c r="E4718" s="167"/>
      <c r="F4718" s="168" t="e">
        <f t="shared" si="19"/>
        <v>#N/A</v>
      </c>
      <c r="G4718" s="75"/>
      <c r="H4718" s="407"/>
    </row>
    <row r="4719" spans="1:8" ht="13.2">
      <c r="A4719" s="49"/>
      <c r="C4719" s="143" t="e">
        <f>VLOOKUP(B4719,'Thống kê'!$C$3:$D$669,2,0)</f>
        <v>#N/A</v>
      </c>
      <c r="D4719" s="166" t="e">
        <f>VLOOKUP(B4719,'Thống kê'!$C$3:$M$682,4,0)</f>
        <v>#N/A</v>
      </c>
      <c r="E4719" s="167"/>
      <c r="F4719" s="168" t="e">
        <f t="shared" si="19"/>
        <v>#N/A</v>
      </c>
      <c r="G4719" s="75"/>
      <c r="H4719" s="369"/>
    </row>
    <row r="4720" spans="1:8" ht="13.2">
      <c r="A4720" s="49"/>
      <c r="C4720" s="143" t="e">
        <f>VLOOKUP(B4720,'Thống kê'!$C$3:$D$669,2,0)</f>
        <v>#N/A</v>
      </c>
      <c r="D4720" s="166" t="e">
        <f>VLOOKUP(B4720,'Thống kê'!$C$3:$M$682,4,0)</f>
        <v>#N/A</v>
      </c>
      <c r="E4720" s="167"/>
      <c r="F4720" s="168" t="e">
        <f t="shared" si="19"/>
        <v>#N/A</v>
      </c>
      <c r="G4720" s="75"/>
      <c r="H4720" s="205"/>
    </row>
    <row r="4721" spans="1:8" ht="13.2">
      <c r="A4721" s="49"/>
      <c r="C4721" s="143" t="e">
        <f>VLOOKUP(B4721,'Thống kê'!$C$3:$D$669,2,0)</f>
        <v>#N/A</v>
      </c>
      <c r="D4721" s="166" t="e">
        <f>VLOOKUP(B4721,'Thống kê'!$C$3:$M$682,4,0)</f>
        <v>#N/A</v>
      </c>
      <c r="E4721" s="167"/>
      <c r="F4721" s="168" t="e">
        <f t="shared" si="19"/>
        <v>#N/A</v>
      </c>
      <c r="G4721" s="75"/>
      <c r="H4721" s="407"/>
    </row>
    <row r="4722" spans="1:8" ht="13.2">
      <c r="A4722" s="49"/>
      <c r="C4722" s="143" t="e">
        <f>VLOOKUP(B4722,'Thống kê'!$C$3:$D$669,2,0)</f>
        <v>#N/A</v>
      </c>
      <c r="D4722" s="166" t="e">
        <f>VLOOKUP(B4722,'Thống kê'!$C$3:$M$682,4,0)</f>
        <v>#N/A</v>
      </c>
      <c r="E4722" s="167"/>
      <c r="F4722" s="168" t="e">
        <f t="shared" si="19"/>
        <v>#N/A</v>
      </c>
      <c r="G4722" s="75"/>
      <c r="H4722" s="369"/>
    </row>
    <row r="4723" spans="1:8" ht="13.2">
      <c r="A4723" s="49"/>
      <c r="C4723" s="143" t="e">
        <f>VLOOKUP(B4723,'Thống kê'!$C$3:$D$669,2,0)</f>
        <v>#N/A</v>
      </c>
      <c r="D4723" s="166" t="e">
        <f>VLOOKUP(B4723,'Thống kê'!$C$3:$M$682,4,0)</f>
        <v>#N/A</v>
      </c>
      <c r="E4723" s="167"/>
      <c r="F4723" s="168" t="e">
        <f t="shared" si="19"/>
        <v>#N/A</v>
      </c>
      <c r="G4723" s="75"/>
      <c r="H4723" s="205"/>
    </row>
    <row r="4724" spans="1:8" ht="13.2">
      <c r="A4724" s="64"/>
      <c r="C4724" s="143" t="e">
        <f>VLOOKUP(B4724,'Thống kê'!$C$3:$D$669,2,0)</f>
        <v>#N/A</v>
      </c>
      <c r="D4724" s="166" t="e">
        <f>VLOOKUP(B4724,'Thống kê'!$C$3:$M$682,4,0)</f>
        <v>#N/A</v>
      </c>
      <c r="E4724" s="167"/>
      <c r="F4724" s="168" t="e">
        <f t="shared" si="19"/>
        <v>#N/A</v>
      </c>
      <c r="G4724" s="75"/>
      <c r="H4724" s="407"/>
    </row>
    <row r="4725" spans="1:8" ht="13.2">
      <c r="A4725" s="49"/>
      <c r="C4725" s="143" t="e">
        <f>VLOOKUP(B4725,'Thống kê'!$C$3:$D$669,2,0)</f>
        <v>#N/A</v>
      </c>
      <c r="D4725" s="166" t="e">
        <f>VLOOKUP(B4725,'Thống kê'!$C$3:$M$682,4,0)</f>
        <v>#N/A</v>
      </c>
      <c r="E4725" s="167"/>
      <c r="F4725" s="168" t="e">
        <f t="shared" si="19"/>
        <v>#N/A</v>
      </c>
      <c r="G4725" s="75"/>
      <c r="H4725" s="369"/>
    </row>
    <row r="4726" spans="1:8" ht="13.2">
      <c r="A4726" s="49"/>
      <c r="C4726" s="143" t="e">
        <f>VLOOKUP(B4726,'Thống kê'!$C$3:$D$669,2,0)</f>
        <v>#N/A</v>
      </c>
      <c r="D4726" s="166" t="e">
        <f>VLOOKUP(B4726,'Thống kê'!$C$3:$M$682,4,0)</f>
        <v>#N/A</v>
      </c>
      <c r="E4726" s="167"/>
      <c r="F4726" s="168" t="e">
        <f t="shared" si="19"/>
        <v>#N/A</v>
      </c>
      <c r="G4726" s="75"/>
      <c r="H4726" s="205"/>
    </row>
    <row r="4727" spans="1:8" ht="13.2">
      <c r="A4727" s="49"/>
      <c r="C4727" s="143" t="e">
        <f>VLOOKUP(B4727,'Thống kê'!$C$3:$D$669,2,0)</f>
        <v>#N/A</v>
      </c>
      <c r="D4727" s="166" t="e">
        <f>VLOOKUP(B4727,'Thống kê'!$C$3:$M$682,4,0)</f>
        <v>#N/A</v>
      </c>
      <c r="E4727" s="167"/>
      <c r="F4727" s="168" t="e">
        <f t="shared" si="19"/>
        <v>#N/A</v>
      </c>
      <c r="G4727" s="75"/>
      <c r="H4727" s="205"/>
    </row>
    <row r="4728" spans="1:8" ht="13.2">
      <c r="A4728" s="49"/>
      <c r="C4728" s="143" t="e">
        <f>VLOOKUP(B4728,'Thống kê'!$C$3:$D$669,2,0)</f>
        <v>#N/A</v>
      </c>
      <c r="D4728" s="166" t="e">
        <f>VLOOKUP(B4728,'Thống kê'!$C$3:$M$682,4,0)</f>
        <v>#N/A</v>
      </c>
      <c r="E4728" s="167"/>
      <c r="F4728" s="168" t="e">
        <f t="shared" si="19"/>
        <v>#N/A</v>
      </c>
      <c r="G4728" s="75"/>
      <c r="H4728" s="407"/>
    </row>
    <row r="4729" spans="1:8" ht="13.2">
      <c r="A4729" s="49"/>
      <c r="C4729" s="143" t="e">
        <f>VLOOKUP(B4729,'Thống kê'!$C$3:$D$669,2,0)</f>
        <v>#N/A</v>
      </c>
      <c r="D4729" s="166" t="e">
        <f>VLOOKUP(B4729,'Thống kê'!$C$3:$M$682,4,0)</f>
        <v>#N/A</v>
      </c>
      <c r="E4729" s="167"/>
      <c r="F4729" s="168" t="e">
        <f t="shared" si="19"/>
        <v>#N/A</v>
      </c>
      <c r="G4729" s="75"/>
      <c r="H4729" s="369"/>
    </row>
    <row r="4730" spans="1:8" ht="13.2">
      <c r="A4730" s="49"/>
      <c r="C4730" s="143" t="e">
        <f>VLOOKUP(B4730,'Thống kê'!$C$3:$D$669,2,0)</f>
        <v>#N/A</v>
      </c>
      <c r="D4730" s="166" t="e">
        <f>VLOOKUP(B4730,'Thống kê'!$C$3:$M$682,4,0)</f>
        <v>#N/A</v>
      </c>
      <c r="E4730" s="167"/>
      <c r="F4730" s="168" t="e">
        <f t="shared" si="19"/>
        <v>#N/A</v>
      </c>
      <c r="G4730" s="75"/>
      <c r="H4730" s="369"/>
    </row>
    <row r="4731" spans="1:8" ht="13.2">
      <c r="A4731" s="49"/>
      <c r="C4731" s="143" t="e">
        <f>VLOOKUP(B4731,'Thống kê'!$C$3:$D$669,2,0)</f>
        <v>#N/A</v>
      </c>
      <c r="D4731" s="166" t="e">
        <f>VLOOKUP(B4731,'Thống kê'!$C$3:$M$682,4,0)</f>
        <v>#N/A</v>
      </c>
      <c r="E4731" s="167"/>
      <c r="F4731" s="168" t="e">
        <f t="shared" si="19"/>
        <v>#N/A</v>
      </c>
      <c r="G4731" s="75"/>
      <c r="H4731" s="205"/>
    </row>
    <row r="4732" spans="1:8" ht="13.2">
      <c r="A4732" s="49"/>
      <c r="C4732" s="143" t="e">
        <f>VLOOKUP(B4732,'Thống kê'!$C$3:$D$669,2,0)</f>
        <v>#N/A</v>
      </c>
      <c r="D4732" s="166" t="e">
        <f>VLOOKUP(B4732,'Thống kê'!$C$3:$M$682,4,0)</f>
        <v>#N/A</v>
      </c>
      <c r="E4732" s="167"/>
      <c r="F4732" s="168" t="e">
        <f t="shared" si="19"/>
        <v>#N/A</v>
      </c>
      <c r="G4732" s="75"/>
      <c r="H4732" s="407"/>
    </row>
    <row r="4733" spans="1:8" ht="13.2">
      <c r="A4733" s="49"/>
      <c r="C4733" s="143" t="e">
        <f>VLOOKUP(B4733,'Thống kê'!$C$3:$D$669,2,0)</f>
        <v>#N/A</v>
      </c>
      <c r="D4733" s="166" t="e">
        <f>VLOOKUP(B4733,'Thống kê'!$C$3:$M$682,4,0)</f>
        <v>#N/A</v>
      </c>
      <c r="E4733" s="167"/>
      <c r="F4733" s="168" t="e">
        <f t="shared" si="19"/>
        <v>#N/A</v>
      </c>
      <c r="G4733" s="75"/>
      <c r="H4733" s="369"/>
    </row>
    <row r="4734" spans="1:8" ht="13.2">
      <c r="A4734" s="64"/>
      <c r="C4734" s="143" t="e">
        <f>VLOOKUP(B4734,'Thống kê'!$C$3:$D$669,2,0)</f>
        <v>#N/A</v>
      </c>
      <c r="D4734" s="166" t="e">
        <f>VLOOKUP(B4734,'Thống kê'!$C$3:$M$682,4,0)</f>
        <v>#N/A</v>
      </c>
      <c r="E4734" s="167"/>
      <c r="F4734" s="168" t="e">
        <f t="shared" si="19"/>
        <v>#N/A</v>
      </c>
      <c r="G4734" s="75"/>
      <c r="H4734" s="407"/>
    </row>
    <row r="4735" spans="1:8" ht="13.2">
      <c r="A4735" s="49"/>
      <c r="C4735" s="143" t="e">
        <f>VLOOKUP(B4735,'Thống kê'!$C$3:$D$669,2,0)</f>
        <v>#N/A</v>
      </c>
      <c r="D4735" s="166" t="e">
        <f>VLOOKUP(B4735,'Thống kê'!$C$3:$M$682,4,0)</f>
        <v>#N/A</v>
      </c>
      <c r="E4735" s="167"/>
      <c r="F4735" s="168" t="e">
        <f t="shared" si="19"/>
        <v>#N/A</v>
      </c>
      <c r="G4735" s="75"/>
      <c r="H4735" s="369"/>
    </row>
    <row r="4736" spans="1:8" ht="13.2">
      <c r="A4736" s="64"/>
      <c r="C4736" s="143" t="e">
        <f>VLOOKUP(B4736,'Thống kê'!$C$3:$D$669,2,0)</f>
        <v>#N/A</v>
      </c>
      <c r="D4736" s="166" t="e">
        <f>VLOOKUP(B4736,'Thống kê'!$C$3:$M$682,4,0)</f>
        <v>#N/A</v>
      </c>
      <c r="E4736" s="167"/>
      <c r="F4736" s="168" t="e">
        <f t="shared" si="19"/>
        <v>#N/A</v>
      </c>
      <c r="G4736" s="75"/>
      <c r="H4736" s="407"/>
    </row>
    <row r="4737" spans="1:8" ht="13.2">
      <c r="A4737" s="49"/>
      <c r="C4737" s="143" t="e">
        <f>VLOOKUP(B4737,'Thống kê'!$C$3:$D$669,2,0)</f>
        <v>#N/A</v>
      </c>
      <c r="D4737" s="166" t="e">
        <f>VLOOKUP(B4737,'Thống kê'!$C$3:$M$682,4,0)</f>
        <v>#N/A</v>
      </c>
      <c r="E4737" s="167"/>
      <c r="F4737" s="168" t="e">
        <f t="shared" si="19"/>
        <v>#N/A</v>
      </c>
      <c r="G4737" s="75"/>
      <c r="H4737" s="369"/>
    </row>
    <row r="4738" spans="1:8" ht="13.2">
      <c r="A4738" s="49"/>
      <c r="C4738" s="143" t="e">
        <f>VLOOKUP(B4738,'Thống kê'!$C$3:$D$669,2,0)</f>
        <v>#N/A</v>
      </c>
      <c r="D4738" s="166" t="e">
        <f>VLOOKUP(B4738,'Thống kê'!$C$3:$M$682,4,0)</f>
        <v>#N/A</v>
      </c>
      <c r="E4738" s="167"/>
      <c r="F4738" s="168" t="e">
        <f t="shared" si="19"/>
        <v>#N/A</v>
      </c>
      <c r="G4738" s="75"/>
      <c r="H4738" s="369"/>
    </row>
    <row r="4739" spans="1:8" ht="13.2">
      <c r="A4739" s="49"/>
      <c r="C4739" s="143" t="e">
        <f>VLOOKUP(B4739,'Thống kê'!$C$3:$D$669,2,0)</f>
        <v>#N/A</v>
      </c>
      <c r="D4739" s="166" t="e">
        <f>VLOOKUP(B4739,'Thống kê'!$C$3:$M$682,4,0)</f>
        <v>#N/A</v>
      </c>
      <c r="E4739" s="167"/>
      <c r="F4739" s="168" t="e">
        <f t="shared" si="19"/>
        <v>#N/A</v>
      </c>
      <c r="G4739" s="75"/>
      <c r="H4739" s="205"/>
    </row>
    <row r="4740" spans="1:8" ht="13.2">
      <c r="A4740" s="64"/>
      <c r="C4740" s="143" t="e">
        <f>VLOOKUP(B4740,'Thống kê'!$C$3:$D$669,2,0)</f>
        <v>#N/A</v>
      </c>
      <c r="D4740" s="166" t="e">
        <f>VLOOKUP(B4740,'Thống kê'!$C$3:$M$682,4,0)</f>
        <v>#N/A</v>
      </c>
      <c r="E4740" s="167"/>
      <c r="F4740" s="168" t="e">
        <f t="shared" si="19"/>
        <v>#N/A</v>
      </c>
      <c r="G4740" s="75"/>
      <c r="H4740" s="205"/>
    </row>
    <row r="4741" spans="1:8" ht="13.2">
      <c r="A4741" s="49"/>
      <c r="C4741" s="143" t="e">
        <f>VLOOKUP(B4741,'Thống kê'!$C$3:$D$669,2,0)</f>
        <v>#N/A</v>
      </c>
      <c r="D4741" s="166" t="e">
        <f>VLOOKUP(B4741,'Thống kê'!$C$3:$M$682,4,0)</f>
        <v>#N/A</v>
      </c>
      <c r="E4741" s="167"/>
      <c r="F4741" s="168" t="e">
        <f t="shared" si="19"/>
        <v>#N/A</v>
      </c>
      <c r="G4741" s="75"/>
      <c r="H4741" s="407"/>
    </row>
    <row r="4742" spans="1:8" ht="13.2">
      <c r="A4742" s="49"/>
      <c r="C4742" s="143" t="e">
        <f>VLOOKUP(B4742,'Thống kê'!$C$3:$D$669,2,0)</f>
        <v>#N/A</v>
      </c>
      <c r="D4742" s="166" t="e">
        <f>VLOOKUP(B4742,'Thống kê'!$C$3:$M$682,4,0)</f>
        <v>#N/A</v>
      </c>
      <c r="E4742" s="167"/>
      <c r="F4742" s="168" t="e">
        <f t="shared" si="19"/>
        <v>#N/A</v>
      </c>
      <c r="G4742" s="75"/>
      <c r="H4742" s="369"/>
    </row>
    <row r="4743" spans="1:8" ht="13.2">
      <c r="A4743" s="49"/>
      <c r="C4743" s="143" t="e">
        <f>VLOOKUP(B4743,'Thống kê'!$C$3:$D$669,2,0)</f>
        <v>#N/A</v>
      </c>
      <c r="D4743" s="166" t="e">
        <f>VLOOKUP(B4743,'Thống kê'!$C$3:$M$682,4,0)</f>
        <v>#N/A</v>
      </c>
      <c r="E4743" s="167"/>
      <c r="F4743" s="168" t="e">
        <f t="shared" si="19"/>
        <v>#N/A</v>
      </c>
      <c r="G4743" s="75"/>
      <c r="H4743" s="369"/>
    </row>
    <row r="4744" spans="1:8" ht="13.2">
      <c r="A4744" s="64"/>
      <c r="C4744" s="143" t="e">
        <f>VLOOKUP(B4744,'Thống kê'!$C$3:$D$669,2,0)</f>
        <v>#N/A</v>
      </c>
      <c r="D4744" s="166" t="e">
        <f>VLOOKUP(B4744,'Thống kê'!$C$3:$M$682,4,0)</f>
        <v>#N/A</v>
      </c>
      <c r="E4744" s="167"/>
      <c r="F4744" s="168" t="e">
        <f t="shared" si="19"/>
        <v>#N/A</v>
      </c>
      <c r="G4744" s="75"/>
      <c r="H4744" s="205"/>
    </row>
    <row r="4745" spans="1:8" ht="13.2">
      <c r="A4745" s="49"/>
      <c r="C4745" s="143" t="e">
        <f>VLOOKUP(B4745,'Thống kê'!$C$3:$D$669,2,0)</f>
        <v>#N/A</v>
      </c>
      <c r="D4745" s="166" t="e">
        <f>VLOOKUP(B4745,'Thống kê'!$C$3:$M$682,4,0)</f>
        <v>#N/A</v>
      </c>
      <c r="E4745" s="167"/>
      <c r="F4745" s="168" t="e">
        <f t="shared" si="19"/>
        <v>#N/A</v>
      </c>
      <c r="G4745" s="75"/>
      <c r="H4745" s="205"/>
    </row>
    <row r="4746" spans="1:8" ht="13.2">
      <c r="A4746" s="49"/>
      <c r="C4746" s="143" t="e">
        <f>VLOOKUP(B4746,'Thống kê'!$C$3:$D$669,2,0)</f>
        <v>#N/A</v>
      </c>
      <c r="D4746" s="166" t="e">
        <f>VLOOKUP(B4746,'Thống kê'!$C$3:$M$682,4,0)</f>
        <v>#N/A</v>
      </c>
      <c r="E4746" s="167"/>
      <c r="F4746" s="168" t="e">
        <f t="shared" si="19"/>
        <v>#N/A</v>
      </c>
      <c r="G4746" s="75"/>
      <c r="H4746" s="205"/>
    </row>
    <row r="4747" spans="1:8" ht="13.2">
      <c r="A4747" s="49"/>
      <c r="C4747" s="143" t="e">
        <f>VLOOKUP(B4747,'Thống kê'!$C$3:$D$669,2,0)</f>
        <v>#N/A</v>
      </c>
      <c r="D4747" s="166" t="e">
        <f>VLOOKUP(B4747,'Thống kê'!$C$3:$M$682,4,0)</f>
        <v>#N/A</v>
      </c>
      <c r="E4747" s="167"/>
      <c r="F4747" s="168" t="e">
        <f t="shared" si="19"/>
        <v>#N/A</v>
      </c>
      <c r="G4747" s="75"/>
      <c r="H4747" s="205"/>
    </row>
    <row r="4748" spans="1:8" ht="13.2">
      <c r="A4748" s="49"/>
      <c r="C4748" s="143" t="e">
        <f>VLOOKUP(B4748,'Thống kê'!$C$3:$D$669,2,0)</f>
        <v>#N/A</v>
      </c>
      <c r="D4748" s="166" t="e">
        <f>VLOOKUP(B4748,'Thống kê'!$C$3:$M$682,4,0)</f>
        <v>#N/A</v>
      </c>
      <c r="E4748" s="167"/>
      <c r="F4748" s="168" t="e">
        <f t="shared" si="19"/>
        <v>#N/A</v>
      </c>
      <c r="G4748" s="75"/>
      <c r="H4748" s="407"/>
    </row>
    <row r="4749" spans="1:8" ht="13.2">
      <c r="A4749" s="49"/>
      <c r="C4749" s="143" t="e">
        <f>VLOOKUP(B4749,'Thống kê'!$C$3:$D$669,2,0)</f>
        <v>#N/A</v>
      </c>
      <c r="D4749" s="166" t="e">
        <f>VLOOKUP(B4749,'Thống kê'!$C$3:$M$682,4,0)</f>
        <v>#N/A</v>
      </c>
      <c r="E4749" s="167"/>
      <c r="F4749" s="168" t="e">
        <f t="shared" si="19"/>
        <v>#N/A</v>
      </c>
      <c r="G4749" s="75"/>
      <c r="H4749" s="369"/>
    </row>
    <row r="4750" spans="1:8" ht="13.2">
      <c r="A4750" s="49"/>
      <c r="C4750" s="143" t="e">
        <f>VLOOKUP(B4750,'Thống kê'!$C$3:$D$669,2,0)</f>
        <v>#N/A</v>
      </c>
      <c r="D4750" s="166" t="e">
        <f>VLOOKUP(B4750,'Thống kê'!$C$3:$M$682,4,0)</f>
        <v>#N/A</v>
      </c>
      <c r="E4750" s="167"/>
      <c r="F4750" s="168" t="e">
        <f t="shared" si="19"/>
        <v>#N/A</v>
      </c>
      <c r="G4750" s="75"/>
      <c r="H4750" s="205"/>
    </row>
    <row r="4751" spans="1:8" ht="13.2">
      <c r="A4751" s="49"/>
      <c r="C4751" s="143" t="e">
        <f>VLOOKUP(B4751,'Thống kê'!$C$3:$D$669,2,0)</f>
        <v>#N/A</v>
      </c>
      <c r="D4751" s="166" t="e">
        <f>VLOOKUP(B4751,'Thống kê'!$C$3:$M$682,4,0)</f>
        <v>#N/A</v>
      </c>
      <c r="E4751" s="167"/>
      <c r="F4751" s="168" t="e">
        <f t="shared" si="19"/>
        <v>#N/A</v>
      </c>
      <c r="G4751" s="75"/>
      <c r="H4751" s="205"/>
    </row>
    <row r="4752" spans="1:8" ht="13.2">
      <c r="A4752" s="64"/>
      <c r="C4752" s="143" t="e">
        <f>VLOOKUP(B4752,'Thống kê'!$C$3:$D$669,2,0)</f>
        <v>#N/A</v>
      </c>
      <c r="D4752" s="166" t="e">
        <f>VLOOKUP(B4752,'Thống kê'!$C$3:$M$682,4,0)</f>
        <v>#N/A</v>
      </c>
      <c r="E4752" s="167"/>
      <c r="F4752" s="168" t="e">
        <f t="shared" si="19"/>
        <v>#N/A</v>
      </c>
      <c r="G4752" s="75"/>
      <c r="H4752" s="205"/>
    </row>
    <row r="4753" spans="1:8" ht="13.2">
      <c r="A4753" s="49"/>
      <c r="C4753" s="143" t="e">
        <f>VLOOKUP(B4753,'Thống kê'!$C$3:$D$669,2,0)</f>
        <v>#N/A</v>
      </c>
      <c r="D4753" s="166" t="e">
        <f>VLOOKUP(B4753,'Thống kê'!$C$3:$M$682,4,0)</f>
        <v>#N/A</v>
      </c>
      <c r="E4753" s="167"/>
      <c r="F4753" s="168" t="e">
        <f t="shared" si="19"/>
        <v>#N/A</v>
      </c>
      <c r="G4753" s="75"/>
      <c r="H4753" s="407"/>
    </row>
    <row r="4754" spans="1:8" ht="13.2">
      <c r="A4754" s="49"/>
      <c r="C4754" s="143" t="e">
        <f>VLOOKUP(B4754,'Thống kê'!$C$3:$D$669,2,0)</f>
        <v>#N/A</v>
      </c>
      <c r="D4754" s="166" t="e">
        <f>VLOOKUP(B4754,'Thống kê'!$C$3:$M$682,4,0)</f>
        <v>#N/A</v>
      </c>
      <c r="E4754" s="167"/>
      <c r="F4754" s="168" t="e">
        <f t="shared" si="19"/>
        <v>#N/A</v>
      </c>
      <c r="G4754" s="75"/>
      <c r="H4754" s="369"/>
    </row>
    <row r="4755" spans="1:8" ht="13.2">
      <c r="A4755" s="49"/>
      <c r="C4755" s="143" t="e">
        <f>VLOOKUP(B4755,'Thống kê'!$C$3:$D$669,2,0)</f>
        <v>#N/A</v>
      </c>
      <c r="D4755" s="166" t="e">
        <f>VLOOKUP(B4755,'Thống kê'!$C$3:$M$682,4,0)</f>
        <v>#N/A</v>
      </c>
      <c r="E4755" s="167"/>
      <c r="F4755" s="168" t="e">
        <f t="shared" si="19"/>
        <v>#N/A</v>
      </c>
      <c r="G4755" s="75"/>
      <c r="H4755" s="205"/>
    </row>
    <row r="4756" spans="1:8" ht="13.2">
      <c r="A4756" s="64"/>
      <c r="C4756" s="143" t="e">
        <f>VLOOKUP(B4756,'Thống kê'!$C$3:$D$669,2,0)</f>
        <v>#N/A</v>
      </c>
      <c r="D4756" s="166" t="e">
        <f>VLOOKUP(B4756,'Thống kê'!$C$3:$M$682,4,0)</f>
        <v>#N/A</v>
      </c>
      <c r="E4756" s="167"/>
      <c r="F4756" s="168" t="e">
        <f t="shared" si="19"/>
        <v>#N/A</v>
      </c>
      <c r="G4756" s="75"/>
      <c r="H4756" s="205"/>
    </row>
    <row r="4757" spans="1:8" ht="13.2">
      <c r="A4757" s="49"/>
      <c r="C4757" s="143" t="e">
        <f>VLOOKUP(B4757,'Thống kê'!$C$3:$D$669,2,0)</f>
        <v>#N/A</v>
      </c>
      <c r="D4757" s="166" t="e">
        <f>VLOOKUP(B4757,'Thống kê'!$C$3:$M$682,4,0)</f>
        <v>#N/A</v>
      </c>
      <c r="E4757" s="167"/>
      <c r="F4757" s="168" t="e">
        <f t="shared" si="19"/>
        <v>#N/A</v>
      </c>
      <c r="G4757" s="75"/>
      <c r="H4757" s="407"/>
    </row>
    <row r="4758" spans="1:8" ht="13.2">
      <c r="A4758" s="49"/>
      <c r="C4758" s="143" t="e">
        <f>VLOOKUP(B4758,'Thống kê'!$C$3:$D$669,2,0)</f>
        <v>#N/A</v>
      </c>
      <c r="D4758" s="166" t="e">
        <f>VLOOKUP(B4758,'Thống kê'!$C$3:$M$682,4,0)</f>
        <v>#N/A</v>
      </c>
      <c r="E4758" s="167"/>
      <c r="F4758" s="168" t="e">
        <f t="shared" si="19"/>
        <v>#N/A</v>
      </c>
      <c r="G4758" s="75"/>
      <c r="H4758" s="369"/>
    </row>
    <row r="4759" spans="1:8" ht="13.2">
      <c r="A4759" s="49"/>
      <c r="C4759" s="143" t="e">
        <f>VLOOKUP(B4759,'Thống kê'!$C$3:$D$669,2,0)</f>
        <v>#N/A</v>
      </c>
      <c r="D4759" s="166" t="e">
        <f>VLOOKUP(B4759,'Thống kê'!$C$3:$M$682,4,0)</f>
        <v>#N/A</v>
      </c>
      <c r="E4759" s="167"/>
      <c r="F4759" s="168" t="e">
        <f t="shared" si="19"/>
        <v>#N/A</v>
      </c>
      <c r="G4759" s="75"/>
      <c r="H4759" s="205"/>
    </row>
    <row r="4760" spans="1:8" ht="13.2">
      <c r="A4760" s="49"/>
      <c r="C4760" s="143" t="e">
        <f>VLOOKUP(B4760,'Thống kê'!$C$3:$D$669,2,0)</f>
        <v>#N/A</v>
      </c>
      <c r="D4760" s="166" t="e">
        <f>VLOOKUP(B4760,'Thống kê'!$C$3:$M$682,4,0)</f>
        <v>#N/A</v>
      </c>
      <c r="E4760" s="167"/>
      <c r="F4760" s="168" t="e">
        <f t="shared" si="19"/>
        <v>#N/A</v>
      </c>
      <c r="G4760" s="75"/>
      <c r="H4760" s="205"/>
    </row>
    <row r="4761" spans="1:8" ht="13.2">
      <c r="A4761" s="49"/>
      <c r="C4761" s="143" t="e">
        <f>VLOOKUP(B4761,'Thống kê'!$C$3:$D$669,2,0)</f>
        <v>#N/A</v>
      </c>
      <c r="D4761" s="166" t="e">
        <f>VLOOKUP(B4761,'Thống kê'!$C$3:$M$682,4,0)</f>
        <v>#N/A</v>
      </c>
      <c r="E4761" s="167"/>
      <c r="F4761" s="168" t="e">
        <f t="shared" si="19"/>
        <v>#N/A</v>
      </c>
      <c r="G4761" s="75"/>
      <c r="H4761" s="407"/>
    </row>
    <row r="4762" spans="1:8" ht="13.2">
      <c r="A4762" s="49"/>
      <c r="C4762" s="143" t="e">
        <f>VLOOKUP(B4762,'Thống kê'!$C$3:$D$669,2,0)</f>
        <v>#N/A</v>
      </c>
      <c r="D4762" s="166" t="e">
        <f>VLOOKUP(B4762,'Thống kê'!$C$3:$M$682,4,0)</f>
        <v>#N/A</v>
      </c>
      <c r="E4762" s="167"/>
      <c r="F4762" s="168" t="e">
        <f t="shared" si="19"/>
        <v>#N/A</v>
      </c>
      <c r="G4762" s="75"/>
      <c r="H4762" s="369"/>
    </row>
    <row r="4763" spans="1:8" ht="13.2">
      <c r="A4763" s="64"/>
      <c r="C4763" s="143" t="e">
        <f>VLOOKUP(B4763,'Thống kê'!$C$3:$D$669,2,0)</f>
        <v>#N/A</v>
      </c>
      <c r="D4763" s="166" t="e">
        <f>VLOOKUP(B4763,'Thống kê'!$C$3:$M$682,4,0)</f>
        <v>#N/A</v>
      </c>
      <c r="E4763" s="167"/>
      <c r="F4763" s="168" t="e">
        <f t="shared" si="19"/>
        <v>#N/A</v>
      </c>
      <c r="G4763" s="75"/>
      <c r="H4763" s="205"/>
    </row>
    <row r="4764" spans="1:8" ht="13.2">
      <c r="A4764" s="49"/>
      <c r="C4764" s="143" t="e">
        <f>VLOOKUP(B4764,'Thống kê'!$C$3:$D$669,2,0)</f>
        <v>#N/A</v>
      </c>
      <c r="D4764" s="166" t="e">
        <f>VLOOKUP(B4764,'Thống kê'!$C$3:$M$682,4,0)</f>
        <v>#N/A</v>
      </c>
      <c r="E4764" s="167"/>
      <c r="F4764" s="168" t="e">
        <f t="shared" si="19"/>
        <v>#N/A</v>
      </c>
      <c r="G4764" s="75"/>
      <c r="H4764" s="205"/>
    </row>
    <row r="4765" spans="1:8" ht="13.2">
      <c r="A4765" s="49"/>
      <c r="C4765" s="143" t="e">
        <f>VLOOKUP(B4765,'Thống kê'!$C$3:$D$669,2,0)</f>
        <v>#N/A</v>
      </c>
      <c r="D4765" s="166" t="e">
        <f>VLOOKUP(B4765,'Thống kê'!$C$3:$M$682,4,0)</f>
        <v>#N/A</v>
      </c>
      <c r="E4765" s="167"/>
      <c r="F4765" s="168" t="e">
        <f t="shared" si="19"/>
        <v>#N/A</v>
      </c>
      <c r="G4765" s="75"/>
      <c r="H4765" s="205"/>
    </row>
    <row r="4766" spans="1:8" ht="13.2">
      <c r="A4766" s="49"/>
      <c r="C4766" s="143" t="e">
        <f>VLOOKUP(B4766,'Thống kê'!$C$3:$D$669,2,0)</f>
        <v>#N/A</v>
      </c>
      <c r="D4766" s="166" t="e">
        <f>VLOOKUP(B4766,'Thống kê'!$C$3:$M$682,4,0)</f>
        <v>#N/A</v>
      </c>
      <c r="E4766" s="167"/>
      <c r="F4766" s="168" t="e">
        <f t="shared" si="19"/>
        <v>#N/A</v>
      </c>
      <c r="G4766" s="75"/>
      <c r="H4766" s="205"/>
    </row>
    <row r="4767" spans="1:8" ht="13.2">
      <c r="A4767" s="49"/>
      <c r="C4767" s="143" t="e">
        <f>VLOOKUP(B4767,'Thống kê'!$C$3:$D$669,2,0)</f>
        <v>#N/A</v>
      </c>
      <c r="D4767" s="166" t="e">
        <f>VLOOKUP(B4767,'Thống kê'!$C$3:$M$682,4,0)</f>
        <v>#N/A</v>
      </c>
      <c r="E4767" s="167"/>
      <c r="F4767" s="168" t="e">
        <f t="shared" si="19"/>
        <v>#N/A</v>
      </c>
      <c r="G4767" s="75"/>
      <c r="H4767" s="205"/>
    </row>
    <row r="4768" spans="1:8" ht="13.2">
      <c r="A4768" s="49"/>
      <c r="C4768" s="143" t="e">
        <f>VLOOKUP(B4768,'Thống kê'!$C$3:$D$669,2,0)</f>
        <v>#N/A</v>
      </c>
      <c r="D4768" s="166" t="e">
        <f>VLOOKUP(B4768,'Thống kê'!$C$3:$M$682,4,0)</f>
        <v>#N/A</v>
      </c>
      <c r="E4768" s="167"/>
      <c r="F4768" s="168" t="e">
        <f t="shared" si="19"/>
        <v>#N/A</v>
      </c>
      <c r="G4768" s="75"/>
      <c r="H4768" s="407"/>
    </row>
    <row r="4769" spans="1:8" ht="13.2">
      <c r="A4769" s="49"/>
      <c r="C4769" s="143" t="e">
        <f>VLOOKUP(B4769,'Thống kê'!$C$3:$D$669,2,0)</f>
        <v>#N/A</v>
      </c>
      <c r="D4769" s="166" t="e">
        <f>VLOOKUP(B4769,'Thống kê'!$C$3:$M$682,4,0)</f>
        <v>#N/A</v>
      </c>
      <c r="E4769" s="167"/>
      <c r="F4769" s="168" t="e">
        <f t="shared" si="19"/>
        <v>#N/A</v>
      </c>
      <c r="G4769" s="75"/>
      <c r="H4769" s="369"/>
    </row>
    <row r="4770" spans="1:8" ht="13.2">
      <c r="A4770" s="49"/>
      <c r="C4770" s="143" t="e">
        <f>VLOOKUP(B4770,'Thống kê'!$C$3:$D$669,2,0)</f>
        <v>#N/A</v>
      </c>
      <c r="D4770" s="166" t="e">
        <f>VLOOKUP(B4770,'Thống kê'!$C$3:$M$682,4,0)</f>
        <v>#N/A</v>
      </c>
      <c r="E4770" s="167"/>
      <c r="F4770" s="168" t="e">
        <f t="shared" si="19"/>
        <v>#N/A</v>
      </c>
      <c r="G4770" s="75"/>
      <c r="H4770" s="369"/>
    </row>
    <row r="4771" spans="1:8" ht="13.2">
      <c r="A4771" s="49"/>
      <c r="C4771" s="143" t="e">
        <f>VLOOKUP(B4771,'Thống kê'!$C$3:$D$669,2,0)</f>
        <v>#N/A</v>
      </c>
      <c r="D4771" s="166" t="e">
        <f>VLOOKUP(B4771,'Thống kê'!$C$3:$M$682,4,0)</f>
        <v>#N/A</v>
      </c>
      <c r="E4771" s="167"/>
      <c r="F4771" s="168" t="e">
        <f t="shared" si="19"/>
        <v>#N/A</v>
      </c>
      <c r="G4771" s="75"/>
      <c r="H4771" s="407"/>
    </row>
    <row r="4772" spans="1:8" ht="13.2">
      <c r="A4772" s="49"/>
      <c r="C4772" s="143" t="e">
        <f>VLOOKUP(B4772,'Thống kê'!$C$3:$D$669,2,0)</f>
        <v>#N/A</v>
      </c>
      <c r="D4772" s="166" t="e">
        <f>VLOOKUP(B4772,'Thống kê'!$C$3:$M$682,4,0)</f>
        <v>#N/A</v>
      </c>
      <c r="E4772" s="167"/>
      <c r="F4772" s="168" t="e">
        <f t="shared" si="19"/>
        <v>#N/A</v>
      </c>
      <c r="G4772" s="75"/>
      <c r="H4772" s="369"/>
    </row>
    <row r="4773" spans="1:8" ht="13.2">
      <c r="A4773" s="49"/>
      <c r="C4773" s="143" t="e">
        <f>VLOOKUP(B4773,'Thống kê'!$C$3:$D$669,2,0)</f>
        <v>#N/A</v>
      </c>
      <c r="D4773" s="166" t="e">
        <f>VLOOKUP(B4773,'Thống kê'!$C$3:$M$682,4,0)</f>
        <v>#N/A</v>
      </c>
      <c r="E4773" s="167"/>
      <c r="F4773" s="168" t="e">
        <f t="shared" si="19"/>
        <v>#N/A</v>
      </c>
      <c r="G4773" s="75"/>
      <c r="H4773" s="205"/>
    </row>
    <row r="4774" spans="1:8" ht="13.2">
      <c r="A4774" s="49"/>
      <c r="C4774" s="143" t="e">
        <f>VLOOKUP(B4774,'Thống kê'!$C$3:$D$669,2,0)</f>
        <v>#N/A</v>
      </c>
      <c r="D4774" s="166" t="e">
        <f>VLOOKUP(B4774,'Thống kê'!$C$3:$M$682,4,0)</f>
        <v>#N/A</v>
      </c>
      <c r="E4774" s="167"/>
      <c r="F4774" s="168" t="e">
        <f t="shared" si="19"/>
        <v>#N/A</v>
      </c>
      <c r="G4774" s="75"/>
      <c r="H4774" s="205"/>
    </row>
    <row r="4775" spans="1:8" ht="13.2">
      <c r="A4775" s="49"/>
      <c r="C4775" s="143" t="e">
        <f>VLOOKUP(B4775,'Thống kê'!$C$3:$D$669,2,0)</f>
        <v>#N/A</v>
      </c>
      <c r="D4775" s="166" t="e">
        <f>VLOOKUP(B4775,'Thống kê'!$C$3:$M$682,4,0)</f>
        <v>#N/A</v>
      </c>
      <c r="E4775" s="167"/>
      <c r="F4775" s="168" t="e">
        <f t="shared" si="19"/>
        <v>#N/A</v>
      </c>
      <c r="G4775" s="75"/>
      <c r="H4775" s="205"/>
    </row>
    <row r="4776" spans="1:8" ht="13.2">
      <c r="A4776" s="49"/>
      <c r="C4776" s="143" t="e">
        <f>VLOOKUP(B4776,'Thống kê'!$C$3:$D$669,2,0)</f>
        <v>#N/A</v>
      </c>
      <c r="D4776" s="166" t="e">
        <f>VLOOKUP(B4776,'Thống kê'!$C$3:$M$682,4,0)</f>
        <v>#N/A</v>
      </c>
      <c r="E4776" s="167"/>
      <c r="F4776" s="168" t="e">
        <f t="shared" si="19"/>
        <v>#N/A</v>
      </c>
      <c r="G4776" s="75"/>
      <c r="H4776" s="205"/>
    </row>
    <row r="4777" spans="1:8" ht="13.2">
      <c r="A4777" s="49"/>
      <c r="C4777" s="143" t="e">
        <f>VLOOKUP(B4777,'Thống kê'!$C$3:$D$669,2,0)</f>
        <v>#N/A</v>
      </c>
      <c r="D4777" s="166" t="e">
        <f>VLOOKUP(B4777,'Thống kê'!$C$3:$M$682,4,0)</f>
        <v>#N/A</v>
      </c>
      <c r="E4777" s="167"/>
      <c r="F4777" s="168" t="e">
        <f t="shared" si="19"/>
        <v>#N/A</v>
      </c>
      <c r="G4777" s="75"/>
      <c r="H4777" s="205"/>
    </row>
    <row r="4778" spans="1:8" ht="13.2">
      <c r="A4778" s="49"/>
      <c r="C4778" s="143" t="e">
        <f>VLOOKUP(B4778,'Thống kê'!$C$3:$D$669,2,0)</f>
        <v>#N/A</v>
      </c>
      <c r="D4778" s="166" t="e">
        <f>VLOOKUP(B4778,'Thống kê'!$C$3:$M$682,4,0)</f>
        <v>#N/A</v>
      </c>
      <c r="E4778" s="167"/>
      <c r="F4778" s="168" t="e">
        <f t="shared" si="19"/>
        <v>#N/A</v>
      </c>
      <c r="G4778" s="75"/>
      <c r="H4778" s="205"/>
    </row>
    <row r="4779" spans="1:8" ht="13.2">
      <c r="A4779" s="49"/>
      <c r="C4779" s="143" t="e">
        <f>VLOOKUP(B4779,'Thống kê'!$C$3:$D$669,2,0)</f>
        <v>#N/A</v>
      </c>
      <c r="D4779" s="166" t="e">
        <f>VLOOKUP(B4779,'Thống kê'!$C$3:$M$682,4,0)</f>
        <v>#N/A</v>
      </c>
      <c r="E4779" s="167"/>
      <c r="F4779" s="168" t="e">
        <f t="shared" si="19"/>
        <v>#N/A</v>
      </c>
      <c r="G4779" s="75"/>
      <c r="H4779" s="205"/>
    </row>
    <row r="4780" spans="1:8" ht="13.2">
      <c r="A4780" s="49"/>
      <c r="C4780" s="143" t="e">
        <f>VLOOKUP(B4780,'Thống kê'!$C$3:$D$669,2,0)</f>
        <v>#N/A</v>
      </c>
      <c r="D4780" s="166" t="e">
        <f>VLOOKUP(B4780,'Thống kê'!$C$3:$M$682,4,0)</f>
        <v>#N/A</v>
      </c>
      <c r="E4780" s="167"/>
      <c r="F4780" s="168" t="e">
        <f t="shared" si="19"/>
        <v>#N/A</v>
      </c>
      <c r="G4780" s="75"/>
      <c r="H4780" s="407"/>
    </row>
    <row r="4781" spans="1:8" ht="13.2">
      <c r="A4781" s="49"/>
      <c r="C4781" s="143" t="e">
        <f>VLOOKUP(B4781,'Thống kê'!$C$3:$D$669,2,0)</f>
        <v>#N/A</v>
      </c>
      <c r="D4781" s="166" t="e">
        <f>VLOOKUP(B4781,'Thống kê'!$C$3:$M$682,4,0)</f>
        <v>#N/A</v>
      </c>
      <c r="E4781" s="167"/>
      <c r="F4781" s="168" t="e">
        <f t="shared" si="19"/>
        <v>#N/A</v>
      </c>
      <c r="G4781" s="75"/>
      <c r="H4781" s="369"/>
    </row>
    <row r="4782" spans="1:8" ht="13.2">
      <c r="A4782" s="49"/>
      <c r="C4782" s="143" t="e">
        <f>VLOOKUP(B4782,'Thống kê'!$C$3:$D$669,2,0)</f>
        <v>#N/A</v>
      </c>
      <c r="D4782" s="166" t="e">
        <f>VLOOKUP(B4782,'Thống kê'!$C$3:$M$682,4,0)</f>
        <v>#N/A</v>
      </c>
      <c r="E4782" s="167"/>
      <c r="F4782" s="168" t="e">
        <f t="shared" si="19"/>
        <v>#N/A</v>
      </c>
      <c r="G4782" s="75"/>
      <c r="H4782" s="205"/>
    </row>
    <row r="4783" spans="1:8" ht="13.2">
      <c r="A4783" s="49"/>
      <c r="C4783" s="143" t="e">
        <f>VLOOKUP(B4783,'Thống kê'!$C$3:$D$669,2,0)</f>
        <v>#N/A</v>
      </c>
      <c r="D4783" s="166" t="e">
        <f>VLOOKUP(B4783,'Thống kê'!$C$3:$M$682,4,0)</f>
        <v>#N/A</v>
      </c>
      <c r="E4783" s="167"/>
      <c r="F4783" s="168" t="e">
        <f t="shared" si="19"/>
        <v>#N/A</v>
      </c>
      <c r="G4783" s="75"/>
      <c r="H4783" s="407"/>
    </row>
    <row r="4784" spans="1:8" ht="13.2">
      <c r="A4784" s="49"/>
      <c r="C4784" s="143" t="e">
        <f>VLOOKUP(B4784,'Thống kê'!$C$3:$D$669,2,0)</f>
        <v>#N/A</v>
      </c>
      <c r="D4784" s="166" t="e">
        <f>VLOOKUP(B4784,'Thống kê'!$C$3:$M$682,4,0)</f>
        <v>#N/A</v>
      </c>
      <c r="E4784" s="167"/>
      <c r="F4784" s="168" t="e">
        <f t="shared" si="19"/>
        <v>#N/A</v>
      </c>
      <c r="G4784" s="75"/>
      <c r="H4784" s="369"/>
    </row>
    <row r="4785" spans="1:8" ht="13.2">
      <c r="A4785" s="49"/>
      <c r="C4785" s="143" t="e">
        <f>VLOOKUP(B4785,'Thống kê'!$C$3:$D$669,2,0)</f>
        <v>#N/A</v>
      </c>
      <c r="D4785" s="166" t="e">
        <f>VLOOKUP(B4785,'Thống kê'!$C$3:$M$682,4,0)</f>
        <v>#N/A</v>
      </c>
      <c r="E4785" s="167"/>
      <c r="F4785" s="168" t="e">
        <f t="shared" si="19"/>
        <v>#N/A</v>
      </c>
      <c r="G4785" s="75"/>
      <c r="H4785" s="205"/>
    </row>
    <row r="4786" spans="1:8" ht="13.2">
      <c r="A4786" s="49"/>
      <c r="C4786" s="143" t="e">
        <f>VLOOKUP(B4786,'Thống kê'!$C$3:$D$669,2,0)</f>
        <v>#N/A</v>
      </c>
      <c r="D4786" s="166" t="e">
        <f>VLOOKUP(B4786,'Thống kê'!$C$3:$M$682,4,0)</f>
        <v>#N/A</v>
      </c>
      <c r="E4786" s="167"/>
      <c r="F4786" s="168" t="e">
        <f t="shared" si="19"/>
        <v>#N/A</v>
      </c>
      <c r="G4786" s="75"/>
      <c r="H4786" s="407"/>
    </row>
    <row r="4787" spans="1:8" ht="13.2">
      <c r="A4787" s="49"/>
      <c r="C4787" s="143" t="e">
        <f>VLOOKUP(B4787,'Thống kê'!$C$3:$D$669,2,0)</f>
        <v>#N/A</v>
      </c>
      <c r="D4787" s="166" t="e">
        <f>VLOOKUP(B4787,'Thống kê'!$C$3:$M$682,4,0)</f>
        <v>#N/A</v>
      </c>
      <c r="E4787" s="167"/>
      <c r="F4787" s="168" t="e">
        <f t="shared" si="19"/>
        <v>#N/A</v>
      </c>
      <c r="G4787" s="75"/>
      <c r="H4787" s="369"/>
    </row>
    <row r="4788" spans="1:8" ht="13.2">
      <c r="A4788" s="49"/>
      <c r="C4788" s="143" t="e">
        <f>VLOOKUP(B4788,'Thống kê'!$C$3:$D$669,2,0)</f>
        <v>#N/A</v>
      </c>
      <c r="D4788" s="166" t="e">
        <f>VLOOKUP(B4788,'Thống kê'!$C$3:$M$682,4,0)</f>
        <v>#N/A</v>
      </c>
      <c r="E4788" s="167"/>
      <c r="F4788" s="168" t="e">
        <f t="shared" si="19"/>
        <v>#N/A</v>
      </c>
      <c r="G4788" s="75"/>
      <c r="H4788" s="205"/>
    </row>
    <row r="4789" spans="1:8" ht="13.2">
      <c r="A4789" s="49"/>
      <c r="C4789" s="143" t="e">
        <f>VLOOKUP(B4789,'Thống kê'!$C$3:$D$669,2,0)</f>
        <v>#N/A</v>
      </c>
      <c r="D4789" s="166" t="e">
        <f>VLOOKUP(B4789,'Thống kê'!$C$3:$M$682,4,0)</f>
        <v>#N/A</v>
      </c>
      <c r="E4789" s="167"/>
      <c r="F4789" s="168" t="e">
        <f t="shared" si="19"/>
        <v>#N/A</v>
      </c>
      <c r="G4789" s="75"/>
      <c r="H4789" s="205"/>
    </row>
    <row r="4790" spans="1:8" ht="13.2">
      <c r="A4790" s="49"/>
      <c r="C4790" s="143" t="e">
        <f>VLOOKUP(B4790,'Thống kê'!$C$3:$D$669,2,0)</f>
        <v>#N/A</v>
      </c>
      <c r="D4790" s="166" t="e">
        <f>VLOOKUP(B4790,'Thống kê'!$C$3:$M$682,4,0)</f>
        <v>#N/A</v>
      </c>
      <c r="E4790" s="167"/>
      <c r="F4790" s="168" t="e">
        <f t="shared" si="19"/>
        <v>#N/A</v>
      </c>
      <c r="G4790" s="75"/>
      <c r="H4790" s="205"/>
    </row>
    <row r="4791" spans="1:8" ht="13.2">
      <c r="A4791" s="49"/>
      <c r="C4791" s="143" t="e">
        <f>VLOOKUP(B4791,'Thống kê'!$C$3:$D$669,2,0)</f>
        <v>#N/A</v>
      </c>
      <c r="D4791" s="166" t="e">
        <f>VLOOKUP(B4791,'Thống kê'!$C$3:$M$682,4,0)</f>
        <v>#N/A</v>
      </c>
      <c r="E4791" s="167"/>
      <c r="F4791" s="168" t="e">
        <f t="shared" si="19"/>
        <v>#N/A</v>
      </c>
      <c r="G4791" s="75"/>
      <c r="H4791" s="407"/>
    </row>
    <row r="4792" spans="1:8" ht="13.2">
      <c r="A4792" s="49"/>
      <c r="C4792" s="143" t="e">
        <f>VLOOKUP(B4792,'Thống kê'!$C$3:$D$669,2,0)</f>
        <v>#N/A</v>
      </c>
      <c r="D4792" s="166" t="e">
        <f>VLOOKUP(B4792,'Thống kê'!$C$3:$M$682,4,0)</f>
        <v>#N/A</v>
      </c>
      <c r="E4792" s="167"/>
      <c r="F4792" s="168" t="e">
        <f t="shared" si="19"/>
        <v>#N/A</v>
      </c>
      <c r="G4792" s="75"/>
      <c r="H4792" s="369"/>
    </row>
    <row r="4793" spans="1:8" ht="13.2">
      <c r="A4793" s="49"/>
      <c r="C4793" s="143" t="e">
        <f>VLOOKUP(B4793,'Thống kê'!$C$3:$D$669,2,0)</f>
        <v>#N/A</v>
      </c>
      <c r="D4793" s="166" t="e">
        <f>VLOOKUP(B4793,'Thống kê'!$C$3:$M$682,4,0)</f>
        <v>#N/A</v>
      </c>
      <c r="E4793" s="167"/>
      <c r="F4793" s="168" t="e">
        <f t="shared" si="19"/>
        <v>#N/A</v>
      </c>
      <c r="G4793" s="75"/>
      <c r="H4793" s="205"/>
    </row>
    <row r="4794" spans="1:8" ht="13.2">
      <c r="A4794" s="49"/>
      <c r="C4794" s="143" t="e">
        <f>VLOOKUP(B4794,'Thống kê'!$C$3:$D$669,2,0)</f>
        <v>#N/A</v>
      </c>
      <c r="D4794" s="166" t="e">
        <f>VLOOKUP(B4794,'Thống kê'!$C$3:$M$682,4,0)</f>
        <v>#N/A</v>
      </c>
      <c r="E4794" s="167"/>
      <c r="F4794" s="168" t="e">
        <f t="shared" si="19"/>
        <v>#N/A</v>
      </c>
      <c r="G4794" s="75"/>
      <c r="H4794" s="205"/>
    </row>
    <row r="4795" spans="1:8" ht="13.2">
      <c r="A4795" s="64"/>
      <c r="C4795" s="143" t="e">
        <f>VLOOKUP(B4795,'Thống kê'!$C$3:$D$669,2,0)</f>
        <v>#N/A</v>
      </c>
      <c r="D4795" s="166" t="e">
        <f>VLOOKUP(B4795,'Thống kê'!$C$3:$M$682,4,0)</f>
        <v>#N/A</v>
      </c>
      <c r="E4795" s="167"/>
      <c r="F4795" s="168" t="e">
        <f t="shared" si="19"/>
        <v>#N/A</v>
      </c>
      <c r="G4795" s="75"/>
      <c r="H4795" s="205"/>
    </row>
    <row r="4796" spans="1:8" ht="13.2">
      <c r="A4796" s="49"/>
      <c r="C4796" s="143" t="e">
        <f>VLOOKUP(B4796,'Thống kê'!$C$3:$D$669,2,0)</f>
        <v>#N/A</v>
      </c>
      <c r="D4796" s="166" t="e">
        <f>VLOOKUP(B4796,'Thống kê'!$C$3:$M$682,4,0)</f>
        <v>#N/A</v>
      </c>
      <c r="E4796" s="167"/>
      <c r="F4796" s="168" t="e">
        <f t="shared" si="19"/>
        <v>#N/A</v>
      </c>
      <c r="G4796" s="75"/>
      <c r="H4796" s="205"/>
    </row>
    <row r="4797" spans="1:8" ht="13.2">
      <c r="A4797" s="49"/>
      <c r="C4797" s="143" t="e">
        <f>VLOOKUP(B4797,'Thống kê'!$C$3:$D$669,2,0)</f>
        <v>#N/A</v>
      </c>
      <c r="D4797" s="166" t="e">
        <f>VLOOKUP(B4797,'Thống kê'!$C$3:$M$682,4,0)</f>
        <v>#N/A</v>
      </c>
      <c r="E4797" s="167"/>
      <c r="F4797" s="168" t="e">
        <f t="shared" si="19"/>
        <v>#N/A</v>
      </c>
      <c r="G4797" s="75"/>
      <c r="H4797" s="205"/>
    </row>
    <row r="4798" spans="1:8" ht="13.2">
      <c r="A4798" s="49"/>
      <c r="C4798" s="143" t="e">
        <f>VLOOKUP(B4798,'Thống kê'!$C$3:$D$669,2,0)</f>
        <v>#N/A</v>
      </c>
      <c r="D4798" s="166" t="e">
        <f>VLOOKUP(B4798,'Thống kê'!$C$3:$M$682,4,0)</f>
        <v>#N/A</v>
      </c>
      <c r="E4798" s="167"/>
      <c r="F4798" s="168" t="e">
        <f t="shared" si="19"/>
        <v>#N/A</v>
      </c>
      <c r="G4798" s="75"/>
      <c r="H4798" s="407"/>
    </row>
    <row r="4799" spans="1:8" ht="13.2">
      <c r="A4799" s="49"/>
      <c r="C4799" s="143" t="e">
        <f>VLOOKUP(B4799,'Thống kê'!$C$3:$D$669,2,0)</f>
        <v>#N/A</v>
      </c>
      <c r="D4799" s="166" t="e">
        <f>VLOOKUP(B4799,'Thống kê'!$C$3:$M$682,4,0)</f>
        <v>#N/A</v>
      </c>
      <c r="E4799" s="167"/>
      <c r="F4799" s="168" t="e">
        <f t="shared" si="19"/>
        <v>#N/A</v>
      </c>
      <c r="G4799" s="75"/>
      <c r="H4799" s="369"/>
    </row>
    <row r="4800" spans="1:8" ht="13.2">
      <c r="A4800" s="49"/>
      <c r="C4800" s="143" t="e">
        <f>VLOOKUP(B4800,'Thống kê'!$C$3:$D$669,2,0)</f>
        <v>#N/A</v>
      </c>
      <c r="D4800" s="166" t="e">
        <f>VLOOKUP(B4800,'Thống kê'!$C$3:$M$682,4,0)</f>
        <v>#N/A</v>
      </c>
      <c r="E4800" s="167"/>
      <c r="F4800" s="168" t="e">
        <f t="shared" si="19"/>
        <v>#N/A</v>
      </c>
      <c r="G4800" s="75"/>
      <c r="H4800" s="407"/>
    </row>
    <row r="4801" spans="1:8" ht="13.2">
      <c r="A4801" s="49"/>
      <c r="C4801" s="143" t="e">
        <f>VLOOKUP(B4801,'Thống kê'!$C$3:$D$669,2,0)</f>
        <v>#N/A</v>
      </c>
      <c r="D4801" s="166" t="e">
        <f>VLOOKUP(B4801,'Thống kê'!$C$3:$M$682,4,0)</f>
        <v>#N/A</v>
      </c>
      <c r="E4801" s="167"/>
      <c r="F4801" s="168" t="e">
        <f t="shared" si="19"/>
        <v>#N/A</v>
      </c>
      <c r="G4801" s="75"/>
      <c r="H4801" s="369"/>
    </row>
    <row r="4802" spans="1:8" ht="13.2">
      <c r="A4802" s="49"/>
      <c r="C4802" s="143" t="e">
        <f>VLOOKUP(B4802,'Thống kê'!$C$3:$D$669,2,0)</f>
        <v>#N/A</v>
      </c>
      <c r="D4802" s="166" t="e">
        <f>VLOOKUP(B4802,'Thống kê'!$C$3:$M$682,4,0)</f>
        <v>#N/A</v>
      </c>
      <c r="E4802" s="167"/>
      <c r="F4802" s="168" t="e">
        <f t="shared" si="19"/>
        <v>#N/A</v>
      </c>
      <c r="G4802" s="75"/>
      <c r="H4802" s="369"/>
    </row>
    <row r="4803" spans="1:8" ht="13.2">
      <c r="A4803" s="49"/>
      <c r="C4803" s="143" t="e">
        <f>VLOOKUP(B4803,'Thống kê'!$C$3:$D$669,2,0)</f>
        <v>#N/A</v>
      </c>
      <c r="D4803" s="166" t="e">
        <f>VLOOKUP(B4803,'Thống kê'!$C$3:$M$682,4,0)</f>
        <v>#N/A</v>
      </c>
      <c r="E4803" s="167"/>
      <c r="F4803" s="168" t="e">
        <f t="shared" si="19"/>
        <v>#N/A</v>
      </c>
      <c r="G4803" s="75"/>
      <c r="H4803" s="205"/>
    </row>
    <row r="4804" spans="1:8" ht="13.2">
      <c r="A4804" s="1"/>
      <c r="C4804" s="143" t="e">
        <f>VLOOKUP(B4804,'Thống kê'!$C$3:$D$669,2,0)</f>
        <v>#N/A</v>
      </c>
      <c r="D4804" s="166" t="e">
        <f>VLOOKUP(B4804,'Thống kê'!$C$3:$M$682,4,0)</f>
        <v>#N/A</v>
      </c>
      <c r="E4804" s="167"/>
      <c r="F4804" s="168" t="e">
        <f t="shared" si="19"/>
        <v>#N/A</v>
      </c>
      <c r="G4804" s="75"/>
      <c r="H4804" s="407"/>
    </row>
    <row r="4805" spans="1:8" ht="13.2">
      <c r="A4805" s="49"/>
      <c r="C4805" s="143" t="e">
        <f>VLOOKUP(B4805,'Thống kê'!$C$3:$D$669,2,0)</f>
        <v>#N/A</v>
      </c>
      <c r="D4805" s="166" t="e">
        <f>VLOOKUP(B4805,'Thống kê'!$C$3:$M$682,4,0)</f>
        <v>#N/A</v>
      </c>
      <c r="E4805" s="167"/>
      <c r="F4805" s="168" t="e">
        <f t="shared" si="19"/>
        <v>#N/A</v>
      </c>
      <c r="G4805" s="75"/>
      <c r="H4805" s="369"/>
    </row>
    <row r="4806" spans="1:8" ht="13.2">
      <c r="A4806" s="49"/>
      <c r="C4806" s="143" t="e">
        <f>VLOOKUP(B4806,'Thống kê'!$C$3:$D$669,2,0)</f>
        <v>#N/A</v>
      </c>
      <c r="D4806" s="166" t="e">
        <f>VLOOKUP(B4806,'Thống kê'!$C$3:$M$682,4,0)</f>
        <v>#N/A</v>
      </c>
      <c r="E4806" s="167"/>
      <c r="F4806" s="168" t="e">
        <f t="shared" si="19"/>
        <v>#N/A</v>
      </c>
      <c r="G4806" s="75"/>
      <c r="H4806" s="369"/>
    </row>
    <row r="4807" spans="1:8" ht="13.2">
      <c r="A4807" s="49"/>
      <c r="C4807" s="143" t="e">
        <f>VLOOKUP(B4807,'Thống kê'!$C$3:$D$669,2,0)</f>
        <v>#N/A</v>
      </c>
      <c r="D4807" s="166" t="e">
        <f>VLOOKUP(B4807,'Thống kê'!$C$3:$M$682,4,0)</f>
        <v>#N/A</v>
      </c>
      <c r="E4807" s="167"/>
      <c r="F4807" s="168" t="e">
        <f t="shared" si="19"/>
        <v>#N/A</v>
      </c>
      <c r="G4807" s="75"/>
      <c r="H4807" s="369"/>
    </row>
    <row r="4808" spans="1:8" ht="13.2">
      <c r="A4808" s="49"/>
      <c r="C4808" s="143" t="e">
        <f>VLOOKUP(B4808,'Thống kê'!$C$3:$D$669,2,0)</f>
        <v>#N/A</v>
      </c>
      <c r="D4808" s="166" t="e">
        <f>VLOOKUP(B4808,'Thống kê'!$C$3:$M$682,4,0)</f>
        <v>#N/A</v>
      </c>
      <c r="E4808" s="167"/>
      <c r="F4808" s="168" t="e">
        <f t="shared" si="19"/>
        <v>#N/A</v>
      </c>
      <c r="G4808" s="75"/>
      <c r="H4808" s="205"/>
    </row>
    <row r="4809" spans="1:8" ht="13.2">
      <c r="A4809" s="49"/>
      <c r="C4809" s="143" t="e">
        <f>VLOOKUP(B4809,'Thống kê'!$C$3:$D$669,2,0)</f>
        <v>#N/A</v>
      </c>
      <c r="D4809" s="166" t="e">
        <f>VLOOKUP(B4809,'Thống kê'!$C$3:$M$682,4,0)</f>
        <v>#N/A</v>
      </c>
      <c r="E4809" s="167"/>
      <c r="F4809" s="168" t="e">
        <f t="shared" si="19"/>
        <v>#N/A</v>
      </c>
      <c r="G4809" s="75"/>
      <c r="H4809" s="205"/>
    </row>
    <row r="4810" spans="1:8" ht="13.2">
      <c r="A4810" s="49"/>
      <c r="C4810" s="143" t="e">
        <f>VLOOKUP(B4810,'Thống kê'!$C$3:$D$669,2,0)</f>
        <v>#N/A</v>
      </c>
      <c r="D4810" s="166" t="e">
        <f>VLOOKUP(B4810,'Thống kê'!$C$3:$M$682,4,0)</f>
        <v>#N/A</v>
      </c>
      <c r="E4810" s="167"/>
      <c r="F4810" s="168" t="e">
        <f t="shared" si="19"/>
        <v>#N/A</v>
      </c>
      <c r="G4810" s="75"/>
      <c r="H4810" s="205"/>
    </row>
    <row r="4811" spans="1:8" ht="13.2">
      <c r="A4811" s="49"/>
      <c r="C4811" s="143" t="e">
        <f>VLOOKUP(B4811,'Thống kê'!$C$3:$D$669,2,0)</f>
        <v>#N/A</v>
      </c>
      <c r="D4811" s="166" t="e">
        <f>VLOOKUP(B4811,'Thống kê'!$C$3:$M$682,4,0)</f>
        <v>#N/A</v>
      </c>
      <c r="E4811" s="167"/>
      <c r="F4811" s="168" t="e">
        <f t="shared" si="19"/>
        <v>#N/A</v>
      </c>
      <c r="G4811" s="75"/>
      <c r="H4811" s="205"/>
    </row>
    <row r="4812" spans="1:8" ht="13.2">
      <c r="A4812" s="49"/>
      <c r="C4812" s="143" t="e">
        <f>VLOOKUP(B4812,'Thống kê'!$C$3:$D$669,2,0)</f>
        <v>#N/A</v>
      </c>
      <c r="D4812" s="166" t="e">
        <f>VLOOKUP(B4812,'Thống kê'!$C$3:$M$682,4,0)</f>
        <v>#N/A</v>
      </c>
      <c r="E4812" s="167"/>
      <c r="F4812" s="168" t="e">
        <f t="shared" si="19"/>
        <v>#N/A</v>
      </c>
      <c r="G4812" s="75"/>
      <c r="H4812" s="205"/>
    </row>
    <row r="4813" spans="1:8" ht="13.2">
      <c r="A4813" s="49"/>
      <c r="C4813" s="143" t="e">
        <f>VLOOKUP(B4813,'Thống kê'!$C$3:$D$669,2,0)</f>
        <v>#N/A</v>
      </c>
      <c r="D4813" s="166" t="e">
        <f>VLOOKUP(B4813,'Thống kê'!$C$3:$M$682,4,0)</f>
        <v>#N/A</v>
      </c>
      <c r="E4813" s="167"/>
      <c r="F4813" s="168" t="e">
        <f t="shared" si="19"/>
        <v>#N/A</v>
      </c>
      <c r="G4813" s="75"/>
      <c r="H4813" s="205"/>
    </row>
    <row r="4814" spans="1:8" ht="13.2">
      <c r="A4814" s="49"/>
      <c r="C4814" s="143" t="e">
        <f>VLOOKUP(B4814,'Thống kê'!$C$3:$D$669,2,0)</f>
        <v>#N/A</v>
      </c>
      <c r="D4814" s="166" t="e">
        <f>VLOOKUP(B4814,'Thống kê'!$C$3:$M$682,4,0)</f>
        <v>#N/A</v>
      </c>
      <c r="E4814" s="167"/>
      <c r="F4814" s="168" t="e">
        <f t="shared" si="19"/>
        <v>#N/A</v>
      </c>
      <c r="G4814" s="75"/>
      <c r="H4814" s="205"/>
    </row>
    <row r="4815" spans="1:8" ht="13.2">
      <c r="A4815" s="49"/>
      <c r="C4815" s="143" t="e">
        <f>VLOOKUP(B4815,'Thống kê'!$C$3:$D$669,2,0)</f>
        <v>#N/A</v>
      </c>
      <c r="D4815" s="166" t="e">
        <f>VLOOKUP(B4815,'Thống kê'!$C$3:$M$682,4,0)</f>
        <v>#N/A</v>
      </c>
      <c r="E4815" s="167"/>
      <c r="F4815" s="168" t="e">
        <f t="shared" si="19"/>
        <v>#N/A</v>
      </c>
      <c r="G4815" s="75"/>
      <c r="H4815" s="205"/>
    </row>
    <row r="4816" spans="1:8" ht="13.2">
      <c r="A4816" s="49"/>
      <c r="C4816" s="143" t="e">
        <f>VLOOKUP(B4816,'Thống kê'!$C$3:$D$669,2,0)</f>
        <v>#N/A</v>
      </c>
      <c r="D4816" s="166" t="e">
        <f>VLOOKUP(B4816,'Thống kê'!$C$3:$M$682,4,0)</f>
        <v>#N/A</v>
      </c>
      <c r="E4816" s="167"/>
      <c r="F4816" s="168" t="e">
        <f t="shared" si="19"/>
        <v>#N/A</v>
      </c>
      <c r="G4816" s="75"/>
      <c r="H4816" s="205"/>
    </row>
    <row r="4817" spans="1:8" ht="13.2">
      <c r="A4817" s="49"/>
      <c r="C4817" s="143" t="e">
        <f>VLOOKUP(B4817,'Thống kê'!$C$3:$D$669,2,0)</f>
        <v>#N/A</v>
      </c>
      <c r="D4817" s="166" t="e">
        <f>VLOOKUP(B4817,'Thống kê'!$C$3:$M$682,4,0)</f>
        <v>#N/A</v>
      </c>
      <c r="E4817" s="167"/>
      <c r="F4817" s="168" t="e">
        <f t="shared" si="19"/>
        <v>#N/A</v>
      </c>
      <c r="G4817" s="75"/>
      <c r="H4817" s="407"/>
    </row>
    <row r="4818" spans="1:8" ht="13.2">
      <c r="A4818" s="49"/>
      <c r="C4818" s="143" t="e">
        <f>VLOOKUP(B4818,'Thống kê'!$C$3:$D$669,2,0)</f>
        <v>#N/A</v>
      </c>
      <c r="D4818" s="166" t="e">
        <f>VLOOKUP(B4818,'Thống kê'!$C$3:$M$682,4,0)</f>
        <v>#N/A</v>
      </c>
      <c r="E4818" s="167"/>
      <c r="F4818" s="168" t="e">
        <f t="shared" si="19"/>
        <v>#N/A</v>
      </c>
      <c r="G4818" s="75"/>
      <c r="H4818" s="369"/>
    </row>
    <row r="4819" spans="1:8" ht="13.2">
      <c r="A4819" s="49"/>
      <c r="C4819" s="143" t="e">
        <f>VLOOKUP(B4819,'Thống kê'!$C$3:$D$669,2,0)</f>
        <v>#N/A</v>
      </c>
      <c r="D4819" s="166" t="e">
        <f>VLOOKUP(B4819,'Thống kê'!$C$3:$M$682,4,0)</f>
        <v>#N/A</v>
      </c>
      <c r="E4819" s="167"/>
      <c r="F4819" s="168" t="e">
        <f t="shared" si="19"/>
        <v>#N/A</v>
      </c>
      <c r="G4819" s="75"/>
      <c r="H4819" s="369"/>
    </row>
    <row r="4820" spans="1:8" ht="13.2">
      <c r="A4820" s="49"/>
      <c r="C4820" s="143" t="e">
        <f>VLOOKUP(B4820,'Thống kê'!$C$3:$D$669,2,0)</f>
        <v>#N/A</v>
      </c>
      <c r="D4820" s="166" t="e">
        <f>VLOOKUP(B4820,'Thống kê'!$C$3:$M$682,4,0)</f>
        <v>#N/A</v>
      </c>
      <c r="E4820" s="167"/>
      <c r="F4820" s="168" t="e">
        <f t="shared" si="19"/>
        <v>#N/A</v>
      </c>
      <c r="G4820" s="75"/>
      <c r="H4820" s="369"/>
    </row>
    <row r="4821" spans="1:8" ht="13.2">
      <c r="A4821" s="49"/>
      <c r="C4821" s="143" t="e">
        <f>VLOOKUP(B4821,'Thống kê'!$C$3:$D$669,2,0)</f>
        <v>#N/A</v>
      </c>
      <c r="D4821" s="166" t="e">
        <f>VLOOKUP(B4821,'Thống kê'!$C$3:$M$682,4,0)</f>
        <v>#N/A</v>
      </c>
      <c r="E4821" s="167"/>
      <c r="F4821" s="168" t="e">
        <f t="shared" si="19"/>
        <v>#N/A</v>
      </c>
      <c r="G4821" s="75"/>
      <c r="H4821" s="205"/>
    </row>
    <row r="4822" spans="1:8" ht="13.2">
      <c r="A4822" s="49"/>
      <c r="C4822" s="143" t="e">
        <f>VLOOKUP(B4822,'Thống kê'!$C$3:$D$669,2,0)</f>
        <v>#N/A</v>
      </c>
      <c r="D4822" s="166" t="e">
        <f>VLOOKUP(B4822,'Thống kê'!$C$3:$M$682,4,0)</f>
        <v>#N/A</v>
      </c>
      <c r="E4822" s="167"/>
      <c r="F4822" s="168" t="e">
        <f t="shared" si="19"/>
        <v>#N/A</v>
      </c>
      <c r="G4822" s="75"/>
      <c r="H4822" s="407"/>
    </row>
    <row r="4823" spans="1:8" ht="13.2">
      <c r="A4823" s="49"/>
      <c r="C4823" s="143" t="e">
        <f>VLOOKUP(B4823,'Thống kê'!$C$3:$D$669,2,0)</f>
        <v>#N/A</v>
      </c>
      <c r="D4823" s="166" t="e">
        <f>VLOOKUP(B4823,'Thống kê'!$C$3:$M$682,4,0)</f>
        <v>#N/A</v>
      </c>
      <c r="E4823" s="167"/>
      <c r="F4823" s="168" t="e">
        <f t="shared" si="19"/>
        <v>#N/A</v>
      </c>
      <c r="G4823" s="75"/>
      <c r="H4823" s="369"/>
    </row>
    <row r="4824" spans="1:8" ht="13.2">
      <c r="A4824" s="49"/>
      <c r="C4824" s="143" t="e">
        <f>VLOOKUP(B4824,'Thống kê'!$C$3:$D$669,2,0)</f>
        <v>#N/A</v>
      </c>
      <c r="D4824" s="166" t="e">
        <f>VLOOKUP(B4824,'Thống kê'!$C$3:$M$682,4,0)</f>
        <v>#N/A</v>
      </c>
      <c r="E4824" s="167"/>
      <c r="F4824" s="168" t="e">
        <f t="shared" si="19"/>
        <v>#N/A</v>
      </c>
      <c r="G4824" s="75"/>
      <c r="H4824" s="369"/>
    </row>
    <row r="4825" spans="1:8" ht="13.2">
      <c r="A4825" s="49"/>
      <c r="C4825" s="143" t="e">
        <f>VLOOKUP(B4825,'Thống kê'!$C$3:$D$669,2,0)</f>
        <v>#N/A</v>
      </c>
      <c r="D4825" s="166" t="e">
        <f>VLOOKUP(B4825,'Thống kê'!$C$3:$M$682,4,0)</f>
        <v>#N/A</v>
      </c>
      <c r="E4825" s="167"/>
      <c r="F4825" s="168" t="e">
        <f t="shared" si="19"/>
        <v>#N/A</v>
      </c>
      <c r="G4825" s="75"/>
      <c r="H4825" s="369"/>
    </row>
    <row r="4826" spans="1:8" ht="13.2">
      <c r="A4826" s="49"/>
      <c r="C4826" s="143" t="e">
        <f>VLOOKUP(B4826,'Thống kê'!$C$3:$D$669,2,0)</f>
        <v>#N/A</v>
      </c>
      <c r="D4826" s="166" t="e">
        <f>VLOOKUP(B4826,'Thống kê'!$C$3:$M$682,4,0)</f>
        <v>#N/A</v>
      </c>
      <c r="E4826" s="167"/>
      <c r="F4826" s="168" t="e">
        <f t="shared" si="19"/>
        <v>#N/A</v>
      </c>
      <c r="G4826" s="75"/>
      <c r="H4826" s="407"/>
    </row>
    <row r="4827" spans="1:8" ht="13.2">
      <c r="A4827" s="49"/>
      <c r="C4827" s="143" t="e">
        <f>VLOOKUP(B4827,'Thống kê'!$C$3:$D$669,2,0)</f>
        <v>#N/A</v>
      </c>
      <c r="D4827" s="166" t="e">
        <f>VLOOKUP(B4827,'Thống kê'!$C$3:$M$682,4,0)</f>
        <v>#N/A</v>
      </c>
      <c r="E4827" s="167"/>
      <c r="F4827" s="168" t="e">
        <f t="shared" si="19"/>
        <v>#N/A</v>
      </c>
      <c r="G4827" s="75"/>
      <c r="H4827" s="369"/>
    </row>
    <row r="4828" spans="1:8" ht="13.2">
      <c r="A4828" s="49"/>
      <c r="C4828" s="143" t="e">
        <f>VLOOKUP(B4828,'Thống kê'!$C$3:$D$669,2,0)</f>
        <v>#N/A</v>
      </c>
      <c r="D4828" s="166" t="e">
        <f>VLOOKUP(B4828,'Thống kê'!$C$3:$M$682,4,0)</f>
        <v>#N/A</v>
      </c>
      <c r="E4828" s="167"/>
      <c r="F4828" s="168" t="e">
        <f t="shared" si="19"/>
        <v>#N/A</v>
      </c>
      <c r="G4828" s="75"/>
      <c r="H4828" s="407"/>
    </row>
    <row r="4829" spans="1:8" ht="13.2">
      <c r="A4829" s="49"/>
      <c r="C4829" s="143" t="e">
        <f>VLOOKUP(B4829,'Thống kê'!$C$3:$D$669,2,0)</f>
        <v>#N/A</v>
      </c>
      <c r="D4829" s="166" t="e">
        <f>VLOOKUP(B4829,'Thống kê'!$C$3:$M$682,4,0)</f>
        <v>#N/A</v>
      </c>
      <c r="E4829" s="167"/>
      <c r="F4829" s="168" t="e">
        <f t="shared" si="19"/>
        <v>#N/A</v>
      </c>
      <c r="G4829" s="75"/>
      <c r="H4829" s="369"/>
    </row>
    <row r="4830" spans="1:8" ht="13.2">
      <c r="A4830" s="49"/>
      <c r="C4830" s="143" t="e">
        <f>VLOOKUP(B4830,'Thống kê'!$C$3:$D$669,2,0)</f>
        <v>#N/A</v>
      </c>
      <c r="D4830" s="166" t="e">
        <f>VLOOKUP(B4830,'Thống kê'!$C$3:$M$682,4,0)</f>
        <v>#N/A</v>
      </c>
      <c r="E4830" s="167"/>
      <c r="F4830" s="168" t="e">
        <f t="shared" si="19"/>
        <v>#N/A</v>
      </c>
      <c r="G4830" s="75"/>
      <c r="H4830" s="369"/>
    </row>
    <row r="4831" spans="1:8" ht="13.2">
      <c r="A4831" s="49"/>
      <c r="C4831" s="143" t="e">
        <f>VLOOKUP(B4831,'Thống kê'!$C$3:$D$669,2,0)</f>
        <v>#N/A</v>
      </c>
      <c r="D4831" s="166" t="e">
        <f>VLOOKUP(B4831,'Thống kê'!$C$3:$M$682,4,0)</f>
        <v>#N/A</v>
      </c>
      <c r="E4831" s="167"/>
      <c r="F4831" s="168" t="e">
        <f t="shared" si="19"/>
        <v>#N/A</v>
      </c>
      <c r="G4831" s="75"/>
      <c r="H4831" s="369"/>
    </row>
    <row r="4832" spans="1:8" ht="13.2">
      <c r="A4832" s="49"/>
      <c r="C4832" s="143" t="e">
        <f>VLOOKUP(B4832,'Thống kê'!$C$3:$D$669,2,0)</f>
        <v>#N/A</v>
      </c>
      <c r="D4832" s="166" t="e">
        <f>VLOOKUP(B4832,'Thống kê'!$C$3:$M$682,4,0)</f>
        <v>#N/A</v>
      </c>
      <c r="E4832" s="167"/>
      <c r="F4832" s="168" t="e">
        <f t="shared" si="19"/>
        <v>#N/A</v>
      </c>
      <c r="G4832" s="75"/>
      <c r="H4832" s="369"/>
    </row>
    <row r="4833" spans="1:8" ht="13.2">
      <c r="A4833" s="49"/>
      <c r="C4833" s="143" t="e">
        <f>VLOOKUP(B4833,'Thống kê'!$C$3:$D$669,2,0)</f>
        <v>#N/A</v>
      </c>
      <c r="D4833" s="166" t="e">
        <f>VLOOKUP(B4833,'Thống kê'!$C$3:$M$682,4,0)</f>
        <v>#N/A</v>
      </c>
      <c r="E4833" s="167"/>
      <c r="F4833" s="168" t="e">
        <f t="shared" si="19"/>
        <v>#N/A</v>
      </c>
      <c r="G4833" s="75"/>
      <c r="H4833" s="205"/>
    </row>
    <row r="4834" spans="1:8" ht="13.2">
      <c r="A4834" s="49"/>
      <c r="C4834" s="143" t="e">
        <f>VLOOKUP(B4834,'Thống kê'!$C$3:$D$669,2,0)</f>
        <v>#N/A</v>
      </c>
      <c r="D4834" s="166" t="e">
        <f>VLOOKUP(B4834,'Thống kê'!$C$3:$M$682,4,0)</f>
        <v>#N/A</v>
      </c>
      <c r="E4834" s="167"/>
      <c r="F4834" s="168" t="e">
        <f t="shared" si="19"/>
        <v>#N/A</v>
      </c>
      <c r="G4834" s="75"/>
      <c r="H4834" s="205"/>
    </row>
    <row r="4835" spans="1:8" ht="13.2">
      <c r="A4835" s="49"/>
      <c r="C4835" s="143" t="e">
        <f>VLOOKUP(B4835,'Thống kê'!$C$3:$D$669,2,0)</f>
        <v>#N/A</v>
      </c>
      <c r="D4835" s="166" t="e">
        <f>VLOOKUP(B4835,'Thống kê'!$C$3:$M$682,4,0)</f>
        <v>#N/A</v>
      </c>
      <c r="E4835" s="167"/>
      <c r="F4835" s="168" t="e">
        <f t="shared" si="19"/>
        <v>#N/A</v>
      </c>
      <c r="G4835" s="75"/>
      <c r="H4835" s="205"/>
    </row>
    <row r="4836" spans="1:8" ht="13.2">
      <c r="A4836" s="49"/>
      <c r="C4836" s="143" t="e">
        <f>VLOOKUP(B4836,'Thống kê'!$C$3:$D$669,2,0)</f>
        <v>#N/A</v>
      </c>
      <c r="D4836" s="166" t="e">
        <f>VLOOKUP(B4836,'Thống kê'!$C$3:$M$682,4,0)</f>
        <v>#N/A</v>
      </c>
      <c r="E4836" s="167"/>
      <c r="F4836" s="168" t="e">
        <f t="shared" si="19"/>
        <v>#N/A</v>
      </c>
      <c r="G4836" s="75"/>
      <c r="H4836" s="407"/>
    </row>
    <row r="4837" spans="1:8" ht="13.2">
      <c r="A4837" s="49"/>
      <c r="C4837" s="143" t="e">
        <f>VLOOKUP(B4837,'Thống kê'!$C$3:$D$669,2,0)</f>
        <v>#N/A</v>
      </c>
      <c r="D4837" s="166" t="e">
        <f>VLOOKUP(B4837,'Thống kê'!$C$3:$M$682,4,0)</f>
        <v>#N/A</v>
      </c>
      <c r="E4837" s="167"/>
      <c r="F4837" s="168" t="e">
        <f t="shared" si="19"/>
        <v>#N/A</v>
      </c>
      <c r="G4837" s="75"/>
      <c r="H4837" s="369"/>
    </row>
    <row r="4838" spans="1:8" ht="13.2">
      <c r="A4838" s="49"/>
      <c r="C4838" s="143" t="e">
        <f>VLOOKUP(B4838,'Thống kê'!$C$3:$D$669,2,0)</f>
        <v>#N/A</v>
      </c>
      <c r="D4838" s="166" t="e">
        <f>VLOOKUP(B4838,'Thống kê'!$C$3:$M$682,4,0)</f>
        <v>#N/A</v>
      </c>
      <c r="E4838" s="167"/>
      <c r="F4838" s="168" t="e">
        <f t="shared" si="19"/>
        <v>#N/A</v>
      </c>
      <c r="G4838" s="75"/>
      <c r="H4838" s="369"/>
    </row>
    <row r="4839" spans="1:8" ht="13.2">
      <c r="A4839" s="49"/>
      <c r="C4839" s="143" t="e">
        <f>VLOOKUP(B4839,'Thống kê'!$C$3:$D$669,2,0)</f>
        <v>#N/A</v>
      </c>
      <c r="D4839" s="166" t="e">
        <f>VLOOKUP(B4839,'Thống kê'!$C$3:$M$682,4,0)</f>
        <v>#N/A</v>
      </c>
      <c r="E4839" s="167"/>
      <c r="F4839" s="168" t="e">
        <f t="shared" si="19"/>
        <v>#N/A</v>
      </c>
      <c r="G4839" s="75"/>
      <c r="H4839" s="369"/>
    </row>
    <row r="4840" spans="1:8" ht="13.2">
      <c r="A4840" s="49"/>
      <c r="C4840" s="143" t="e">
        <f>VLOOKUP(B4840,'Thống kê'!$C$3:$D$669,2,0)</f>
        <v>#N/A</v>
      </c>
      <c r="D4840" s="166" t="e">
        <f>VLOOKUP(B4840,'Thống kê'!$C$3:$M$682,4,0)</f>
        <v>#N/A</v>
      </c>
      <c r="E4840" s="167"/>
      <c r="F4840" s="168" t="e">
        <f t="shared" si="19"/>
        <v>#N/A</v>
      </c>
      <c r="G4840" s="75"/>
      <c r="H4840" s="369"/>
    </row>
    <row r="4841" spans="1:8" ht="13.2">
      <c r="A4841" s="49"/>
      <c r="C4841" s="143" t="e">
        <f>VLOOKUP(B4841,'Thống kê'!$C$3:$D$669,2,0)</f>
        <v>#N/A</v>
      </c>
      <c r="D4841" s="166" t="e">
        <f>VLOOKUP(B4841,'Thống kê'!$C$3:$M$682,4,0)</f>
        <v>#N/A</v>
      </c>
      <c r="E4841" s="167"/>
      <c r="F4841" s="168" t="e">
        <f t="shared" si="19"/>
        <v>#N/A</v>
      </c>
      <c r="G4841" s="75"/>
      <c r="H4841" s="407"/>
    </row>
    <row r="4842" spans="1:8" ht="13.2">
      <c r="A4842" s="49"/>
      <c r="C4842" s="143" t="e">
        <f>VLOOKUP(B4842,'Thống kê'!$C$3:$D$669,2,0)</f>
        <v>#N/A</v>
      </c>
      <c r="D4842" s="166" t="e">
        <f>VLOOKUP(B4842,'Thống kê'!$C$3:$M$682,4,0)</f>
        <v>#N/A</v>
      </c>
      <c r="E4842" s="167"/>
      <c r="F4842" s="168" t="e">
        <f t="shared" si="19"/>
        <v>#N/A</v>
      </c>
      <c r="G4842" s="75"/>
      <c r="H4842" s="369"/>
    </row>
    <row r="4843" spans="1:8" ht="13.2">
      <c r="A4843" s="49"/>
      <c r="C4843" s="143" t="e">
        <f>VLOOKUP(B4843,'Thống kê'!$C$3:$D$669,2,0)</f>
        <v>#N/A</v>
      </c>
      <c r="D4843" s="166" t="e">
        <f>VLOOKUP(B4843,'Thống kê'!$C$3:$M$682,4,0)</f>
        <v>#N/A</v>
      </c>
      <c r="E4843" s="167"/>
      <c r="F4843" s="168" t="e">
        <f t="shared" si="19"/>
        <v>#N/A</v>
      </c>
      <c r="G4843" s="75"/>
      <c r="H4843" s="369"/>
    </row>
    <row r="4844" spans="1:8" ht="13.2">
      <c r="A4844" s="49"/>
      <c r="C4844" s="143" t="e">
        <f>VLOOKUP(B4844,'Thống kê'!$C$3:$D$669,2,0)</f>
        <v>#N/A</v>
      </c>
      <c r="D4844" s="166" t="e">
        <f>VLOOKUP(B4844,'Thống kê'!$C$3:$M$682,4,0)</f>
        <v>#N/A</v>
      </c>
      <c r="E4844" s="167"/>
      <c r="F4844" s="168" t="e">
        <f t="shared" si="19"/>
        <v>#N/A</v>
      </c>
      <c r="G4844" s="75"/>
      <c r="H4844" s="407"/>
    </row>
    <row r="4845" spans="1:8" ht="13.2">
      <c r="A4845" s="49"/>
      <c r="C4845" s="143" t="e">
        <f>VLOOKUP(B4845,'Thống kê'!$C$3:$D$669,2,0)</f>
        <v>#N/A</v>
      </c>
      <c r="D4845" s="166" t="e">
        <f>VLOOKUP(B4845,'Thống kê'!$C$3:$M$682,4,0)</f>
        <v>#N/A</v>
      </c>
      <c r="E4845" s="167"/>
      <c r="F4845" s="168" t="e">
        <f t="shared" si="19"/>
        <v>#N/A</v>
      </c>
      <c r="G4845" s="75"/>
      <c r="H4845" s="369"/>
    </row>
    <row r="4846" spans="1:8" ht="13.2">
      <c r="A4846" s="49"/>
      <c r="C4846" s="143" t="e">
        <f>VLOOKUP(B4846,'Thống kê'!$C$3:$D$669,2,0)</f>
        <v>#N/A</v>
      </c>
      <c r="D4846" s="166" t="e">
        <f>VLOOKUP(B4846,'Thống kê'!$C$3:$M$682,4,0)</f>
        <v>#N/A</v>
      </c>
      <c r="E4846" s="167"/>
      <c r="F4846" s="168" t="e">
        <f t="shared" si="19"/>
        <v>#N/A</v>
      </c>
      <c r="G4846" s="75"/>
      <c r="H4846" s="369"/>
    </row>
    <row r="4847" spans="1:8" ht="13.2">
      <c r="A4847" s="49"/>
      <c r="C4847" s="143" t="e">
        <f>VLOOKUP(B4847,'Thống kê'!$C$3:$D$669,2,0)</f>
        <v>#N/A</v>
      </c>
      <c r="D4847" s="166" t="e">
        <f>VLOOKUP(B4847,'Thống kê'!$C$3:$M$682,4,0)</f>
        <v>#N/A</v>
      </c>
      <c r="E4847" s="167"/>
      <c r="F4847" s="168" t="e">
        <f t="shared" si="19"/>
        <v>#N/A</v>
      </c>
      <c r="G4847" s="75"/>
      <c r="H4847" s="369"/>
    </row>
    <row r="4848" spans="1:8" ht="13.2">
      <c r="A4848" s="49"/>
      <c r="C4848" s="143" t="e">
        <f>VLOOKUP(B4848,'Thống kê'!$C$3:$D$669,2,0)</f>
        <v>#N/A</v>
      </c>
      <c r="D4848" s="166" t="e">
        <f>VLOOKUP(B4848,'Thống kê'!$C$3:$M$682,4,0)</f>
        <v>#N/A</v>
      </c>
      <c r="E4848" s="167"/>
      <c r="F4848" s="168" t="e">
        <f t="shared" si="19"/>
        <v>#N/A</v>
      </c>
      <c r="G4848" s="75"/>
      <c r="H4848" s="205"/>
    </row>
    <row r="4849" spans="1:8" ht="13.2">
      <c r="A4849" s="49"/>
      <c r="C4849" s="143" t="e">
        <f>VLOOKUP(B4849,'Thống kê'!$C$3:$D$669,2,0)</f>
        <v>#N/A</v>
      </c>
      <c r="D4849" s="166" t="e">
        <f>VLOOKUP(B4849,'Thống kê'!$C$3:$M$682,4,0)</f>
        <v>#N/A</v>
      </c>
      <c r="E4849" s="167"/>
      <c r="F4849" s="168" t="e">
        <f t="shared" si="19"/>
        <v>#N/A</v>
      </c>
      <c r="G4849" s="75"/>
      <c r="H4849" s="205"/>
    </row>
    <row r="4850" spans="1:8" ht="13.2">
      <c r="A4850" s="49"/>
      <c r="C4850" s="143" t="e">
        <f>VLOOKUP(B4850,'Thống kê'!$C$3:$D$669,2,0)</f>
        <v>#N/A</v>
      </c>
      <c r="D4850" s="166" t="e">
        <f>VLOOKUP(B4850,'Thống kê'!$C$3:$M$682,4,0)</f>
        <v>#N/A</v>
      </c>
      <c r="E4850" s="167"/>
      <c r="F4850" s="168" t="e">
        <f t="shared" si="19"/>
        <v>#N/A</v>
      </c>
      <c r="G4850" s="75"/>
      <c r="H4850" s="205"/>
    </row>
    <row r="4851" spans="1:8" ht="13.2">
      <c r="A4851" s="49"/>
      <c r="C4851" s="143" t="e">
        <f>VLOOKUP(B4851,'Thống kê'!$C$3:$D$669,2,0)</f>
        <v>#N/A</v>
      </c>
      <c r="D4851" s="166" t="e">
        <f>VLOOKUP(B4851,'Thống kê'!$C$3:$M$682,4,0)</f>
        <v>#N/A</v>
      </c>
      <c r="E4851" s="167"/>
      <c r="F4851" s="168" t="e">
        <f t="shared" si="19"/>
        <v>#N/A</v>
      </c>
      <c r="G4851" s="75"/>
      <c r="H4851" s="407"/>
    </row>
    <row r="4852" spans="1:8" ht="13.2">
      <c r="A4852" s="49"/>
      <c r="C4852" s="143" t="e">
        <f>VLOOKUP(B4852,'Thống kê'!$C$3:$D$669,2,0)</f>
        <v>#N/A</v>
      </c>
      <c r="D4852" s="166" t="e">
        <f>VLOOKUP(B4852,'Thống kê'!$C$3:$M$682,4,0)</f>
        <v>#N/A</v>
      </c>
      <c r="E4852" s="167"/>
      <c r="F4852" s="168" t="e">
        <f t="shared" si="19"/>
        <v>#N/A</v>
      </c>
      <c r="G4852" s="75"/>
      <c r="H4852" s="369"/>
    </row>
    <row r="4853" spans="1:8" ht="13.2">
      <c r="A4853" s="49"/>
      <c r="C4853" s="143" t="e">
        <f>VLOOKUP(B4853,'Thống kê'!$C$3:$D$669,2,0)</f>
        <v>#N/A</v>
      </c>
      <c r="D4853" s="166" t="e">
        <f>VLOOKUP(B4853,'Thống kê'!$C$3:$M$682,4,0)</f>
        <v>#N/A</v>
      </c>
      <c r="E4853" s="167"/>
      <c r="F4853" s="168" t="e">
        <f t="shared" si="19"/>
        <v>#N/A</v>
      </c>
      <c r="G4853" s="75"/>
      <c r="H4853" s="205"/>
    </row>
    <row r="4854" spans="1:8" ht="13.2">
      <c r="A4854" s="49"/>
      <c r="C4854" s="143" t="e">
        <f>VLOOKUP(B4854,'Thống kê'!$C$3:$D$669,2,0)</f>
        <v>#N/A</v>
      </c>
      <c r="D4854" s="166" t="e">
        <f>VLOOKUP(B4854,'Thống kê'!$C$3:$M$682,4,0)</f>
        <v>#N/A</v>
      </c>
      <c r="E4854" s="167"/>
      <c r="F4854" s="168" t="e">
        <f t="shared" si="19"/>
        <v>#N/A</v>
      </c>
      <c r="G4854" s="75"/>
      <c r="H4854" s="205"/>
    </row>
    <row r="4855" spans="1:8" ht="13.2">
      <c r="A4855" s="49"/>
      <c r="C4855" s="143" t="e">
        <f>VLOOKUP(B4855,'Thống kê'!$C$3:$D$669,2,0)</f>
        <v>#N/A</v>
      </c>
      <c r="D4855" s="166" t="e">
        <f>VLOOKUP(B4855,'Thống kê'!$C$3:$M$682,4,0)</f>
        <v>#N/A</v>
      </c>
      <c r="E4855" s="167"/>
      <c r="F4855" s="168" t="e">
        <f t="shared" si="19"/>
        <v>#N/A</v>
      </c>
      <c r="G4855" s="75"/>
      <c r="H4855" s="205"/>
    </row>
    <row r="4856" spans="1:8" ht="13.2">
      <c r="A4856" s="64"/>
      <c r="C4856" s="143" t="e">
        <f>VLOOKUP(B4856,'Thống kê'!$C$3:$D$669,2,0)</f>
        <v>#N/A</v>
      </c>
      <c r="D4856" s="166" t="e">
        <f>VLOOKUP(B4856,'Thống kê'!$C$3:$M$682,4,0)</f>
        <v>#N/A</v>
      </c>
      <c r="E4856" s="167"/>
      <c r="F4856" s="168" t="e">
        <f t="shared" si="19"/>
        <v>#N/A</v>
      </c>
      <c r="G4856" s="75"/>
      <c r="H4856" s="205"/>
    </row>
    <row r="4857" spans="1:8" ht="13.2">
      <c r="A4857" s="49"/>
      <c r="C4857" s="143" t="e">
        <f>VLOOKUP(B4857,'Thống kê'!$C$3:$D$669,2,0)</f>
        <v>#N/A</v>
      </c>
      <c r="D4857" s="166" t="e">
        <f>VLOOKUP(B4857,'Thống kê'!$C$3:$M$682,4,0)</f>
        <v>#N/A</v>
      </c>
      <c r="E4857" s="167"/>
      <c r="F4857" s="168" t="e">
        <f t="shared" si="19"/>
        <v>#N/A</v>
      </c>
      <c r="G4857" s="75"/>
      <c r="H4857" s="407"/>
    </row>
    <row r="4858" spans="1:8" ht="13.2">
      <c r="A4858" s="49"/>
      <c r="C4858" s="143" t="e">
        <f>VLOOKUP(B4858,'Thống kê'!$C$3:$D$669,2,0)</f>
        <v>#N/A</v>
      </c>
      <c r="D4858" s="166" t="e">
        <f>VLOOKUP(B4858,'Thống kê'!$C$3:$M$682,4,0)</f>
        <v>#N/A</v>
      </c>
      <c r="E4858" s="167"/>
      <c r="F4858" s="168" t="e">
        <f t="shared" si="19"/>
        <v>#N/A</v>
      </c>
      <c r="G4858" s="75"/>
      <c r="H4858" s="369"/>
    </row>
    <row r="4859" spans="1:8" ht="13.2">
      <c r="A4859" s="49"/>
      <c r="C4859" s="143" t="e">
        <f>VLOOKUP(B4859,'Thống kê'!$C$3:$D$669,2,0)</f>
        <v>#N/A</v>
      </c>
      <c r="D4859" s="166" t="e">
        <f>VLOOKUP(B4859,'Thống kê'!$C$3:$M$682,4,0)</f>
        <v>#N/A</v>
      </c>
      <c r="E4859" s="167"/>
      <c r="F4859" s="168" t="e">
        <f t="shared" si="19"/>
        <v>#N/A</v>
      </c>
      <c r="G4859" s="75"/>
      <c r="H4859" s="205"/>
    </row>
    <row r="4860" spans="1:8" ht="13.2">
      <c r="A4860" s="49"/>
      <c r="C4860" s="143" t="e">
        <f>VLOOKUP(B4860,'Thống kê'!$C$3:$D$669,2,0)</f>
        <v>#N/A</v>
      </c>
      <c r="D4860" s="166" t="e">
        <f>VLOOKUP(B4860,'Thống kê'!$C$3:$M$682,4,0)</f>
        <v>#N/A</v>
      </c>
      <c r="E4860" s="167"/>
      <c r="F4860" s="168" t="e">
        <f t="shared" si="19"/>
        <v>#N/A</v>
      </c>
      <c r="G4860" s="75"/>
      <c r="H4860" s="205"/>
    </row>
    <row r="4861" spans="1:8" ht="13.2">
      <c r="A4861" s="49"/>
      <c r="C4861" s="143" t="e">
        <f>VLOOKUP(B4861,'Thống kê'!$C$3:$D$669,2,0)</f>
        <v>#N/A</v>
      </c>
      <c r="D4861" s="166" t="e">
        <f>VLOOKUP(B4861,'Thống kê'!$C$3:$M$682,4,0)</f>
        <v>#N/A</v>
      </c>
      <c r="E4861" s="167"/>
      <c r="F4861" s="168" t="e">
        <f t="shared" si="19"/>
        <v>#N/A</v>
      </c>
      <c r="G4861" s="75"/>
      <c r="H4861" s="205"/>
    </row>
    <row r="4862" spans="1:8" ht="13.2">
      <c r="A4862" s="64"/>
      <c r="C4862" s="143" t="e">
        <f>VLOOKUP(B4862,'Thống kê'!$C$3:$D$669,2,0)</f>
        <v>#N/A</v>
      </c>
      <c r="D4862" s="166" t="e">
        <f>VLOOKUP(B4862,'Thống kê'!$C$3:$M$682,4,0)</f>
        <v>#N/A</v>
      </c>
      <c r="E4862" s="167"/>
      <c r="F4862" s="168" t="e">
        <f t="shared" si="19"/>
        <v>#N/A</v>
      </c>
      <c r="G4862" s="75"/>
      <c r="H4862" s="205"/>
    </row>
    <row r="4863" spans="1:8" ht="13.2">
      <c r="A4863" s="49"/>
      <c r="C4863" s="143" t="e">
        <f>VLOOKUP(B4863,'Thống kê'!$C$3:$D$669,2,0)</f>
        <v>#N/A</v>
      </c>
      <c r="D4863" s="166" t="e">
        <f>VLOOKUP(B4863,'Thống kê'!$C$3:$M$682,4,0)</f>
        <v>#N/A</v>
      </c>
      <c r="E4863" s="167"/>
      <c r="F4863" s="168" t="e">
        <f t="shared" si="19"/>
        <v>#N/A</v>
      </c>
      <c r="G4863" s="75"/>
      <c r="H4863" s="205"/>
    </row>
    <row r="4864" spans="1:8" ht="13.2">
      <c r="A4864" s="49"/>
      <c r="C4864" s="143" t="e">
        <f>VLOOKUP(B4864,'Thống kê'!$C$3:$D$669,2,0)</f>
        <v>#N/A</v>
      </c>
      <c r="D4864" s="166" t="e">
        <f>VLOOKUP(B4864,'Thống kê'!$C$3:$M$682,4,0)</f>
        <v>#N/A</v>
      </c>
      <c r="E4864" s="167"/>
      <c r="F4864" s="168" t="e">
        <f t="shared" si="19"/>
        <v>#N/A</v>
      </c>
      <c r="G4864" s="75"/>
      <c r="H4864" s="205"/>
    </row>
    <row r="4865" spans="1:8" ht="13.2">
      <c r="A4865" s="49"/>
      <c r="C4865" s="143" t="e">
        <f>VLOOKUP(B4865,'Thống kê'!$C$3:$D$669,2,0)</f>
        <v>#N/A</v>
      </c>
      <c r="D4865" s="166" t="e">
        <f>VLOOKUP(B4865,'Thống kê'!$C$3:$M$682,4,0)</f>
        <v>#N/A</v>
      </c>
      <c r="E4865" s="167"/>
      <c r="F4865" s="168" t="e">
        <f t="shared" si="19"/>
        <v>#N/A</v>
      </c>
      <c r="G4865" s="75"/>
      <c r="H4865" s="205"/>
    </row>
    <row r="4866" spans="1:8" ht="13.2">
      <c r="A4866" s="49"/>
      <c r="C4866" s="143" t="e">
        <f>VLOOKUP(B4866,'Thống kê'!$C$3:$D$669,2,0)</f>
        <v>#N/A</v>
      </c>
      <c r="D4866" s="166" t="e">
        <f>VLOOKUP(B4866,'Thống kê'!$C$3:$M$682,4,0)</f>
        <v>#N/A</v>
      </c>
      <c r="E4866" s="167"/>
      <c r="F4866" s="168" t="e">
        <f t="shared" si="19"/>
        <v>#N/A</v>
      </c>
      <c r="G4866" s="75"/>
      <c r="H4866" s="205"/>
    </row>
    <row r="4867" spans="1:8" ht="13.2">
      <c r="A4867" s="49"/>
      <c r="C4867" s="143" t="e">
        <f>VLOOKUP(B4867,'Thống kê'!$C$3:$D$669,2,0)</f>
        <v>#N/A</v>
      </c>
      <c r="D4867" s="166" t="e">
        <f>VLOOKUP(B4867,'Thống kê'!$C$3:$M$682,4,0)</f>
        <v>#N/A</v>
      </c>
      <c r="E4867" s="167"/>
      <c r="F4867" s="168" t="e">
        <f t="shared" si="19"/>
        <v>#N/A</v>
      </c>
      <c r="G4867" s="75"/>
      <c r="H4867" s="205"/>
    </row>
    <row r="4868" spans="1:8" ht="13.2">
      <c r="A4868" s="49"/>
      <c r="C4868" s="143" t="e">
        <f>VLOOKUP(B4868,'Thống kê'!$C$3:$D$669,2,0)</f>
        <v>#N/A</v>
      </c>
      <c r="D4868" s="166" t="e">
        <f>VLOOKUP(B4868,'Thống kê'!$C$3:$M$682,4,0)</f>
        <v>#N/A</v>
      </c>
      <c r="E4868" s="167"/>
      <c r="F4868" s="168" t="e">
        <f t="shared" si="19"/>
        <v>#N/A</v>
      </c>
      <c r="G4868" s="75"/>
      <c r="H4868" s="205"/>
    </row>
    <row r="4869" spans="1:8" ht="13.2">
      <c r="A4869" s="49"/>
      <c r="C4869" s="143" t="e">
        <f>VLOOKUP(B4869,'Thống kê'!$C$3:$D$669,2,0)</f>
        <v>#N/A</v>
      </c>
      <c r="D4869" s="166" t="e">
        <f>VLOOKUP(B4869,'Thống kê'!$C$3:$M$682,4,0)</f>
        <v>#N/A</v>
      </c>
      <c r="E4869" s="167"/>
      <c r="F4869" s="168" t="e">
        <f t="shared" si="19"/>
        <v>#N/A</v>
      </c>
      <c r="G4869" s="75"/>
      <c r="H4869" s="407"/>
    </row>
    <row r="4870" spans="1:8" ht="13.2">
      <c r="A4870" s="49"/>
      <c r="C4870" s="143" t="e">
        <f>VLOOKUP(B4870,'Thống kê'!$C$3:$D$669,2,0)</f>
        <v>#N/A</v>
      </c>
      <c r="D4870" s="166" t="e">
        <f>VLOOKUP(B4870,'Thống kê'!$C$3:$M$682,4,0)</f>
        <v>#N/A</v>
      </c>
      <c r="E4870" s="167"/>
      <c r="F4870" s="168" t="e">
        <f t="shared" si="19"/>
        <v>#N/A</v>
      </c>
      <c r="G4870" s="75"/>
      <c r="H4870" s="369"/>
    </row>
    <row r="4871" spans="1:8" ht="13.2">
      <c r="A4871" s="49"/>
      <c r="C4871" s="143" t="e">
        <f>VLOOKUP(B4871,'Thống kê'!$C$3:$D$669,2,0)</f>
        <v>#N/A</v>
      </c>
      <c r="D4871" s="166" t="e">
        <f>VLOOKUP(B4871,'Thống kê'!$C$3:$M$682,4,0)</f>
        <v>#N/A</v>
      </c>
      <c r="E4871" s="167"/>
      <c r="F4871" s="168" t="e">
        <f t="shared" si="19"/>
        <v>#N/A</v>
      </c>
      <c r="G4871" s="75"/>
      <c r="H4871" s="205"/>
    </row>
    <row r="4872" spans="1:8" ht="13.2">
      <c r="A4872" s="49"/>
      <c r="C4872" s="143" t="e">
        <f>VLOOKUP(B4872,'Thống kê'!$C$3:$D$669,2,0)</f>
        <v>#N/A</v>
      </c>
      <c r="D4872" s="166" t="e">
        <f>VLOOKUP(B4872,'Thống kê'!$C$3:$M$682,4,0)</f>
        <v>#N/A</v>
      </c>
      <c r="E4872" s="167"/>
      <c r="F4872" s="168" t="e">
        <f t="shared" si="19"/>
        <v>#N/A</v>
      </c>
      <c r="G4872" s="75"/>
      <c r="H4872" s="407"/>
    </row>
    <row r="4873" spans="1:8" ht="13.2">
      <c r="A4873" s="49"/>
      <c r="C4873" s="143" t="e">
        <f>VLOOKUP(B4873,'Thống kê'!$C$3:$D$669,2,0)</f>
        <v>#N/A</v>
      </c>
      <c r="D4873" s="166" t="e">
        <f>VLOOKUP(B4873,'Thống kê'!$C$3:$M$682,4,0)</f>
        <v>#N/A</v>
      </c>
      <c r="E4873" s="167"/>
      <c r="F4873" s="168" t="e">
        <f t="shared" si="19"/>
        <v>#N/A</v>
      </c>
      <c r="G4873" s="75"/>
      <c r="H4873" s="369"/>
    </row>
    <row r="4874" spans="1:8" ht="13.2">
      <c r="A4874" s="49"/>
      <c r="C4874" s="143" t="e">
        <f>VLOOKUP(B4874,'Thống kê'!$C$3:$D$669,2,0)</f>
        <v>#N/A</v>
      </c>
      <c r="D4874" s="166" t="e">
        <f>VLOOKUP(B4874,'Thống kê'!$C$3:$M$682,4,0)</f>
        <v>#N/A</v>
      </c>
      <c r="E4874" s="167"/>
      <c r="F4874" s="168" t="e">
        <f t="shared" si="19"/>
        <v>#N/A</v>
      </c>
      <c r="G4874" s="75"/>
      <c r="H4874" s="369"/>
    </row>
    <row r="4875" spans="1:8" ht="13.2">
      <c r="A4875" s="49"/>
      <c r="C4875" s="143" t="e">
        <f>VLOOKUP(B4875,'Thống kê'!$C$3:$D$669,2,0)</f>
        <v>#N/A</v>
      </c>
      <c r="D4875" s="166" t="e">
        <f>VLOOKUP(B4875,'Thống kê'!$C$3:$M$682,4,0)</f>
        <v>#N/A</v>
      </c>
      <c r="E4875" s="167"/>
      <c r="F4875" s="168" t="e">
        <f t="shared" si="19"/>
        <v>#N/A</v>
      </c>
      <c r="G4875" s="75"/>
      <c r="H4875" s="369"/>
    </row>
    <row r="4876" spans="1:8" ht="13.2">
      <c r="A4876" s="49"/>
      <c r="C4876" s="143" t="e">
        <f>VLOOKUP(B4876,'Thống kê'!$C$3:$D$669,2,0)</f>
        <v>#N/A</v>
      </c>
      <c r="D4876" s="166" t="e">
        <f>VLOOKUP(B4876,'Thống kê'!$C$3:$M$682,4,0)</f>
        <v>#N/A</v>
      </c>
      <c r="E4876" s="167"/>
      <c r="F4876" s="168" t="e">
        <f t="shared" si="19"/>
        <v>#N/A</v>
      </c>
      <c r="G4876" s="75"/>
      <c r="H4876" s="369"/>
    </row>
    <row r="4877" spans="1:8" ht="13.2">
      <c r="A4877" s="49"/>
      <c r="C4877" s="143" t="e">
        <f>VLOOKUP(B4877,'Thống kê'!$C$3:$D$669,2,0)</f>
        <v>#N/A</v>
      </c>
      <c r="D4877" s="166" t="e">
        <f>VLOOKUP(B4877,'Thống kê'!$C$3:$M$682,4,0)</f>
        <v>#N/A</v>
      </c>
      <c r="E4877" s="167"/>
      <c r="F4877" s="168" t="e">
        <f t="shared" si="19"/>
        <v>#N/A</v>
      </c>
      <c r="G4877" s="75"/>
      <c r="H4877" s="407"/>
    </row>
    <row r="4878" spans="1:8" ht="13.2">
      <c r="A4878" s="49"/>
      <c r="C4878" s="143" t="e">
        <f>VLOOKUP(B4878,'Thống kê'!$C$3:$D$669,2,0)</f>
        <v>#N/A</v>
      </c>
      <c r="D4878" s="166" t="e">
        <f>VLOOKUP(B4878,'Thống kê'!$C$3:$M$682,4,0)</f>
        <v>#N/A</v>
      </c>
      <c r="E4878" s="167"/>
      <c r="F4878" s="168" t="e">
        <f t="shared" si="19"/>
        <v>#N/A</v>
      </c>
      <c r="G4878" s="75"/>
      <c r="H4878" s="369"/>
    </row>
    <row r="4879" spans="1:8" ht="13.2">
      <c r="A4879" s="49"/>
      <c r="C4879" s="143" t="e">
        <f>VLOOKUP(B4879,'Thống kê'!$C$3:$D$669,2,0)</f>
        <v>#N/A</v>
      </c>
      <c r="D4879" s="166" t="e">
        <f>VLOOKUP(B4879,'Thống kê'!$C$3:$M$682,4,0)</f>
        <v>#N/A</v>
      </c>
      <c r="E4879" s="167"/>
      <c r="F4879" s="168" t="e">
        <f t="shared" si="19"/>
        <v>#N/A</v>
      </c>
      <c r="G4879" s="75"/>
      <c r="H4879" s="369"/>
    </row>
    <row r="4880" spans="1:8" ht="13.2">
      <c r="A4880" s="49"/>
      <c r="C4880" s="143" t="e">
        <f>VLOOKUP(B4880,'Thống kê'!$C$3:$D$669,2,0)</f>
        <v>#N/A</v>
      </c>
      <c r="D4880" s="166" t="e">
        <f>VLOOKUP(B4880,'Thống kê'!$C$3:$M$682,4,0)</f>
        <v>#N/A</v>
      </c>
      <c r="E4880" s="167"/>
      <c r="F4880" s="168" t="e">
        <f t="shared" si="19"/>
        <v>#N/A</v>
      </c>
      <c r="G4880" s="75"/>
      <c r="H4880" s="369"/>
    </row>
    <row r="4881" spans="1:8" ht="13.2">
      <c r="A4881" s="49"/>
      <c r="C4881" s="143" t="e">
        <f>VLOOKUP(B4881,'Thống kê'!$C$3:$D$669,2,0)</f>
        <v>#N/A</v>
      </c>
      <c r="D4881" s="166" t="e">
        <f>VLOOKUP(B4881,'Thống kê'!$C$3:$M$682,4,0)</f>
        <v>#N/A</v>
      </c>
      <c r="E4881" s="167"/>
      <c r="F4881" s="168" t="e">
        <f t="shared" si="19"/>
        <v>#N/A</v>
      </c>
      <c r="G4881" s="75"/>
      <c r="H4881" s="369"/>
    </row>
    <row r="4882" spans="1:8" ht="13.2">
      <c r="A4882" s="64"/>
      <c r="C4882" s="143" t="e">
        <f>VLOOKUP(B4882,'Thống kê'!$C$3:$D$669,2,0)</f>
        <v>#N/A</v>
      </c>
      <c r="D4882" s="166" t="e">
        <f>VLOOKUP(B4882,'Thống kê'!$C$3:$M$682,4,0)</f>
        <v>#N/A</v>
      </c>
      <c r="E4882" s="167"/>
      <c r="F4882" s="168" t="e">
        <f t="shared" si="19"/>
        <v>#N/A</v>
      </c>
      <c r="G4882" s="75"/>
      <c r="H4882" s="407"/>
    </row>
    <row r="4883" spans="1:8" ht="13.2">
      <c r="A4883" s="49"/>
      <c r="C4883" s="143" t="e">
        <f>VLOOKUP(B4883,'Thống kê'!$C$3:$D$669,2,0)</f>
        <v>#N/A</v>
      </c>
      <c r="D4883" s="166" t="e">
        <f>VLOOKUP(B4883,'Thống kê'!$C$3:$M$682,4,0)</f>
        <v>#N/A</v>
      </c>
      <c r="E4883" s="167"/>
      <c r="F4883" s="168" t="e">
        <f t="shared" si="19"/>
        <v>#N/A</v>
      </c>
      <c r="G4883" s="75"/>
      <c r="H4883" s="369"/>
    </row>
    <row r="4884" spans="1:8" ht="13.2">
      <c r="A4884" s="49"/>
      <c r="C4884" s="143" t="e">
        <f>VLOOKUP(B4884,'Thống kê'!$C$3:$D$669,2,0)</f>
        <v>#N/A</v>
      </c>
      <c r="D4884" s="166" t="e">
        <f>VLOOKUP(B4884,'Thống kê'!$C$3:$M$682,4,0)</f>
        <v>#N/A</v>
      </c>
      <c r="E4884" s="167"/>
      <c r="F4884" s="168" t="e">
        <f t="shared" si="19"/>
        <v>#N/A</v>
      </c>
      <c r="G4884" s="75"/>
      <c r="H4884" s="407"/>
    </row>
    <row r="4885" spans="1:8" ht="13.2">
      <c r="A4885" s="49"/>
      <c r="C4885" s="143" t="e">
        <f>VLOOKUP(B4885,'Thống kê'!$C$3:$D$669,2,0)</f>
        <v>#N/A</v>
      </c>
      <c r="D4885" s="166" t="e">
        <f>VLOOKUP(B4885,'Thống kê'!$C$3:$M$682,4,0)</f>
        <v>#N/A</v>
      </c>
      <c r="E4885" s="167"/>
      <c r="F4885" s="168" t="e">
        <f t="shared" si="19"/>
        <v>#N/A</v>
      </c>
      <c r="G4885" s="75"/>
      <c r="H4885" s="369"/>
    </row>
    <row r="4886" spans="1:8" ht="13.2">
      <c r="A4886" s="49"/>
      <c r="C4886" s="143" t="e">
        <f>VLOOKUP(B4886,'Thống kê'!$C$3:$D$669,2,0)</f>
        <v>#N/A</v>
      </c>
      <c r="D4886" s="166" t="e">
        <f>VLOOKUP(B4886,'Thống kê'!$C$3:$M$682,4,0)</f>
        <v>#N/A</v>
      </c>
      <c r="E4886" s="167"/>
      <c r="F4886" s="168" t="e">
        <f t="shared" si="19"/>
        <v>#N/A</v>
      </c>
      <c r="G4886" s="75"/>
      <c r="H4886" s="205"/>
    </row>
    <row r="4887" spans="1:8" ht="13.2">
      <c r="A4887" s="49"/>
      <c r="C4887" s="143" t="e">
        <f>VLOOKUP(B4887,'Thống kê'!$C$3:$D$669,2,0)</f>
        <v>#N/A</v>
      </c>
      <c r="D4887" s="166" t="e">
        <f>VLOOKUP(B4887,'Thống kê'!$C$3:$M$682,4,0)</f>
        <v>#N/A</v>
      </c>
      <c r="E4887" s="167"/>
      <c r="F4887" s="168" t="e">
        <f t="shared" si="19"/>
        <v>#N/A</v>
      </c>
      <c r="G4887" s="75"/>
      <c r="H4887" s="205"/>
    </row>
    <row r="4888" spans="1:8" ht="13.2">
      <c r="A4888" s="49"/>
      <c r="C4888" s="143" t="e">
        <f>VLOOKUP(B4888,'Thống kê'!$C$3:$D$669,2,0)</f>
        <v>#N/A</v>
      </c>
      <c r="D4888" s="166" t="e">
        <f>VLOOKUP(B4888,'Thống kê'!$C$3:$M$682,4,0)</f>
        <v>#N/A</v>
      </c>
      <c r="E4888" s="167"/>
      <c r="F4888" s="168" t="e">
        <f t="shared" si="19"/>
        <v>#N/A</v>
      </c>
      <c r="G4888" s="75"/>
      <c r="H4888" s="407"/>
    </row>
    <row r="4889" spans="1:8" ht="13.2">
      <c r="A4889" s="49"/>
      <c r="C4889" s="143" t="e">
        <f>VLOOKUP(B4889,'Thống kê'!$C$3:$D$669,2,0)</f>
        <v>#N/A</v>
      </c>
      <c r="D4889" s="166" t="e">
        <f>VLOOKUP(B4889,'Thống kê'!$C$3:$M$682,4,0)</f>
        <v>#N/A</v>
      </c>
      <c r="E4889" s="167"/>
      <c r="F4889" s="168" t="e">
        <f t="shared" si="19"/>
        <v>#N/A</v>
      </c>
      <c r="G4889" s="75"/>
      <c r="H4889" s="369"/>
    </row>
    <row r="4890" spans="1:8" ht="13.2">
      <c r="A4890" s="64"/>
      <c r="C4890" s="143" t="e">
        <f>VLOOKUP(B4890,'Thống kê'!$C$3:$D$669,2,0)</f>
        <v>#N/A</v>
      </c>
      <c r="D4890" s="166" t="e">
        <f>VLOOKUP(B4890,'Thống kê'!$C$3:$M$682,4,0)</f>
        <v>#N/A</v>
      </c>
      <c r="E4890" s="167"/>
      <c r="F4890" s="168" t="e">
        <f t="shared" si="19"/>
        <v>#N/A</v>
      </c>
      <c r="G4890" s="75"/>
      <c r="H4890" s="407"/>
    </row>
    <row r="4891" spans="1:8" ht="13.2">
      <c r="A4891" s="49"/>
      <c r="C4891" s="143" t="e">
        <f>VLOOKUP(B4891,'Thống kê'!$C$3:$D$669,2,0)</f>
        <v>#N/A</v>
      </c>
      <c r="D4891" s="166" t="e">
        <f>VLOOKUP(B4891,'Thống kê'!$C$3:$M$682,4,0)</f>
        <v>#N/A</v>
      </c>
      <c r="E4891" s="167"/>
      <c r="F4891" s="168" t="e">
        <f t="shared" si="19"/>
        <v>#N/A</v>
      </c>
      <c r="G4891" s="75"/>
      <c r="H4891" s="369"/>
    </row>
    <row r="4892" spans="1:8" ht="13.2">
      <c r="A4892" s="64"/>
      <c r="C4892" s="143" t="e">
        <f>VLOOKUP(B4892,'Thống kê'!$C$3:$D$669,2,0)</f>
        <v>#N/A</v>
      </c>
      <c r="D4892" s="166" t="e">
        <f>VLOOKUP(B4892,'Thống kê'!$C$3:$M$682,4,0)</f>
        <v>#N/A</v>
      </c>
      <c r="E4892" s="167"/>
      <c r="F4892" s="168" t="e">
        <f t="shared" si="19"/>
        <v>#N/A</v>
      </c>
      <c r="G4892" s="75"/>
      <c r="H4892" s="205"/>
    </row>
    <row r="4893" spans="1:8" ht="13.2">
      <c r="A4893" s="49"/>
      <c r="C4893" s="143" t="e">
        <f>VLOOKUP(B4893,'Thống kê'!$C$3:$D$669,2,0)</f>
        <v>#N/A</v>
      </c>
      <c r="D4893" s="166" t="e">
        <f>VLOOKUP(B4893,'Thống kê'!$C$3:$M$682,4,0)</f>
        <v>#N/A</v>
      </c>
      <c r="E4893" s="167"/>
      <c r="F4893" s="168" t="e">
        <f t="shared" si="19"/>
        <v>#N/A</v>
      </c>
      <c r="G4893" s="75"/>
      <c r="H4893" s="407"/>
    </row>
    <row r="4894" spans="1:8" ht="13.2">
      <c r="A4894" s="49"/>
      <c r="C4894" s="143" t="e">
        <f>VLOOKUP(B4894,'Thống kê'!$C$3:$D$669,2,0)</f>
        <v>#N/A</v>
      </c>
      <c r="D4894" s="166" t="e">
        <f>VLOOKUP(B4894,'Thống kê'!$C$3:$M$682,4,0)</f>
        <v>#N/A</v>
      </c>
      <c r="E4894" s="167"/>
      <c r="F4894" s="168" t="e">
        <f t="shared" si="19"/>
        <v>#N/A</v>
      </c>
      <c r="G4894" s="75"/>
      <c r="H4894" s="369"/>
    </row>
    <row r="4895" spans="1:8" ht="13.2">
      <c r="A4895" s="49"/>
      <c r="C4895" s="143" t="e">
        <f>VLOOKUP(B4895,'Thống kê'!$C$3:$D$669,2,0)</f>
        <v>#N/A</v>
      </c>
      <c r="D4895" s="166" t="e">
        <f>VLOOKUP(B4895,'Thống kê'!$C$3:$M$682,4,0)</f>
        <v>#N/A</v>
      </c>
      <c r="E4895" s="167"/>
      <c r="F4895" s="168" t="e">
        <f t="shared" si="19"/>
        <v>#N/A</v>
      </c>
      <c r="G4895" s="75"/>
      <c r="H4895" s="205"/>
    </row>
    <row r="4896" spans="1:8" ht="13.2">
      <c r="A4896" s="49"/>
      <c r="C4896" s="143" t="e">
        <f>VLOOKUP(B4896,'Thống kê'!$C$3:$D$669,2,0)</f>
        <v>#N/A</v>
      </c>
      <c r="D4896" s="166" t="e">
        <f>VLOOKUP(B4896,'Thống kê'!$C$3:$M$682,4,0)</f>
        <v>#N/A</v>
      </c>
      <c r="E4896" s="167"/>
      <c r="F4896" s="168" t="e">
        <f t="shared" si="19"/>
        <v>#N/A</v>
      </c>
      <c r="G4896" s="75"/>
      <c r="H4896" s="205"/>
    </row>
    <row r="4897" spans="1:8" ht="13.2">
      <c r="A4897" s="49"/>
      <c r="C4897" s="143" t="e">
        <f>VLOOKUP(B4897,'Thống kê'!$C$3:$D$669,2,0)</f>
        <v>#N/A</v>
      </c>
      <c r="D4897" s="166" t="e">
        <f>VLOOKUP(B4897,'Thống kê'!$C$3:$M$682,4,0)</f>
        <v>#N/A</v>
      </c>
      <c r="E4897" s="167"/>
      <c r="F4897" s="168" t="e">
        <f t="shared" si="19"/>
        <v>#N/A</v>
      </c>
      <c r="G4897" s="75"/>
      <c r="H4897" s="205"/>
    </row>
    <row r="4898" spans="1:8" ht="13.2">
      <c r="A4898" s="49"/>
      <c r="C4898" s="143" t="e">
        <f>VLOOKUP(B4898,'Thống kê'!$C$3:$D$669,2,0)</f>
        <v>#N/A</v>
      </c>
      <c r="D4898" s="166" t="e">
        <f>VLOOKUP(B4898,'Thống kê'!$C$3:$M$682,4,0)</f>
        <v>#N/A</v>
      </c>
      <c r="E4898" s="167"/>
      <c r="F4898" s="168" t="e">
        <f t="shared" si="19"/>
        <v>#N/A</v>
      </c>
      <c r="G4898" s="75"/>
      <c r="H4898" s="205"/>
    </row>
    <row r="4899" spans="1:8" ht="13.2">
      <c r="A4899" s="49"/>
      <c r="C4899" s="143" t="e">
        <f>VLOOKUP(B4899,'Thống kê'!$C$3:$D$669,2,0)</f>
        <v>#N/A</v>
      </c>
      <c r="D4899" s="166" t="e">
        <f>VLOOKUP(B4899,'Thống kê'!$C$3:$M$682,4,0)</f>
        <v>#N/A</v>
      </c>
      <c r="E4899" s="167"/>
      <c r="F4899" s="168" t="e">
        <f t="shared" si="19"/>
        <v>#N/A</v>
      </c>
      <c r="G4899" s="75"/>
      <c r="H4899" s="205"/>
    </row>
    <row r="4900" spans="1:8" ht="13.2">
      <c r="A4900" s="49"/>
      <c r="C4900" s="143" t="e">
        <f>VLOOKUP(B4900,'Thống kê'!$C$3:$D$669,2,0)</f>
        <v>#N/A</v>
      </c>
      <c r="D4900" s="166" t="e">
        <f>VLOOKUP(B4900,'Thống kê'!$C$3:$M$682,4,0)</f>
        <v>#N/A</v>
      </c>
      <c r="E4900" s="167"/>
      <c r="F4900" s="168" t="e">
        <f t="shared" ref="F4900:F5006" si="20">D4900*E4900</f>
        <v>#N/A</v>
      </c>
      <c r="G4900" s="75"/>
      <c r="H4900" s="205"/>
    </row>
    <row r="4901" spans="1:8" ht="13.2">
      <c r="A4901" s="49"/>
      <c r="C4901" s="143" t="e">
        <f>VLOOKUP(B4901,'Thống kê'!$C$3:$D$669,2,0)</f>
        <v>#N/A</v>
      </c>
      <c r="D4901" s="166" t="e">
        <f>VLOOKUP(B4901,'Thống kê'!$C$3:$M$682,4,0)</f>
        <v>#N/A</v>
      </c>
      <c r="E4901" s="167"/>
      <c r="F4901" s="168" t="e">
        <f t="shared" si="20"/>
        <v>#N/A</v>
      </c>
      <c r="G4901" s="75"/>
      <c r="H4901" s="205"/>
    </row>
    <row r="4902" spans="1:8" ht="13.2">
      <c r="A4902" s="49"/>
      <c r="C4902" s="143" t="e">
        <f>VLOOKUP(B4902,'Thống kê'!$C$3:$D$669,2,0)</f>
        <v>#N/A</v>
      </c>
      <c r="D4902" s="166" t="e">
        <f>VLOOKUP(B4902,'Thống kê'!$C$3:$M$682,4,0)</f>
        <v>#N/A</v>
      </c>
      <c r="E4902" s="167"/>
      <c r="F4902" s="168" t="e">
        <f t="shared" si="20"/>
        <v>#N/A</v>
      </c>
      <c r="G4902" s="75"/>
      <c r="H4902" s="407"/>
    </row>
    <row r="4903" spans="1:8" ht="13.2">
      <c r="A4903" s="49"/>
      <c r="C4903" s="143" t="e">
        <f>VLOOKUP(B4903,'Thống kê'!$C$3:$D$669,2,0)</f>
        <v>#N/A</v>
      </c>
      <c r="D4903" s="166" t="e">
        <f>VLOOKUP(B4903,'Thống kê'!$C$3:$M$682,4,0)</f>
        <v>#N/A</v>
      </c>
      <c r="E4903" s="167"/>
      <c r="F4903" s="168" t="e">
        <f t="shared" si="20"/>
        <v>#N/A</v>
      </c>
      <c r="G4903" s="75"/>
      <c r="H4903" s="369"/>
    </row>
    <row r="4904" spans="1:8" ht="13.2">
      <c r="A4904" s="49"/>
      <c r="C4904" s="143" t="e">
        <f>VLOOKUP(B4904,'Thống kê'!$C$3:$D$669,2,0)</f>
        <v>#N/A</v>
      </c>
      <c r="D4904" s="166" t="e">
        <f>VLOOKUP(B4904,'Thống kê'!$C$3:$M$682,4,0)</f>
        <v>#N/A</v>
      </c>
      <c r="E4904" s="167"/>
      <c r="F4904" s="168" t="e">
        <f t="shared" si="20"/>
        <v>#N/A</v>
      </c>
      <c r="G4904" s="75"/>
      <c r="H4904" s="369"/>
    </row>
    <row r="4905" spans="1:8" ht="13.2">
      <c r="A4905" s="49"/>
      <c r="C4905" s="143" t="e">
        <f>VLOOKUP(B4905,'Thống kê'!$C$3:$D$669,2,0)</f>
        <v>#N/A</v>
      </c>
      <c r="D4905" s="166" t="e">
        <f>VLOOKUP(B4905,'Thống kê'!$C$3:$M$682,4,0)</f>
        <v>#N/A</v>
      </c>
      <c r="E4905" s="167"/>
      <c r="F4905" s="168" t="e">
        <f t="shared" si="20"/>
        <v>#N/A</v>
      </c>
      <c r="G4905" s="75"/>
      <c r="H4905" s="369"/>
    </row>
    <row r="4906" spans="1:8" ht="13.2">
      <c r="A4906" s="49"/>
      <c r="C4906" s="143" t="e">
        <f>VLOOKUP(B4906,'Thống kê'!$C$3:$D$669,2,0)</f>
        <v>#N/A</v>
      </c>
      <c r="D4906" s="166" t="e">
        <f>VLOOKUP(B4906,'Thống kê'!$C$3:$M$682,4,0)</f>
        <v>#N/A</v>
      </c>
      <c r="E4906" s="167"/>
      <c r="F4906" s="168" t="e">
        <f t="shared" si="20"/>
        <v>#N/A</v>
      </c>
      <c r="G4906" s="75"/>
      <c r="H4906" s="407"/>
    </row>
    <row r="4907" spans="1:8" ht="13.2">
      <c r="A4907" s="49"/>
      <c r="C4907" s="143" t="e">
        <f>VLOOKUP(B4907,'Thống kê'!$C$3:$D$669,2,0)</f>
        <v>#N/A</v>
      </c>
      <c r="D4907" s="166" t="e">
        <f>VLOOKUP(B4907,'Thống kê'!$C$3:$M$682,4,0)</f>
        <v>#N/A</v>
      </c>
      <c r="E4907" s="167"/>
      <c r="F4907" s="168" t="e">
        <f t="shared" si="20"/>
        <v>#N/A</v>
      </c>
      <c r="G4907" s="75"/>
      <c r="H4907" s="369"/>
    </row>
    <row r="4908" spans="1:8" ht="13.2">
      <c r="A4908" s="49"/>
      <c r="C4908" s="143" t="e">
        <f>VLOOKUP(B4908,'Thống kê'!$C$3:$D$669,2,0)</f>
        <v>#N/A</v>
      </c>
      <c r="D4908" s="166" t="e">
        <f>VLOOKUP(B4908,'Thống kê'!$C$3:$M$682,4,0)</f>
        <v>#N/A</v>
      </c>
      <c r="E4908" s="167"/>
      <c r="F4908" s="168" t="e">
        <f t="shared" si="20"/>
        <v>#N/A</v>
      </c>
      <c r="G4908" s="75"/>
      <c r="H4908" s="205"/>
    </row>
    <row r="4909" spans="1:8" ht="13.2">
      <c r="A4909" s="49"/>
      <c r="C4909" s="143" t="e">
        <f>VLOOKUP(B4909,'Thống kê'!$C$3:$D$669,2,0)</f>
        <v>#N/A</v>
      </c>
      <c r="D4909" s="166" t="e">
        <f>VLOOKUP(B4909,'Thống kê'!$C$3:$M$682,4,0)</f>
        <v>#N/A</v>
      </c>
      <c r="E4909" s="167"/>
      <c r="F4909" s="168" t="e">
        <f t="shared" si="20"/>
        <v>#N/A</v>
      </c>
      <c r="G4909" s="75"/>
      <c r="H4909" s="407"/>
    </row>
    <row r="4910" spans="1:8" ht="13.2">
      <c r="A4910" s="49"/>
      <c r="C4910" s="143" t="e">
        <f>VLOOKUP(B4910,'Thống kê'!$C$3:$D$669,2,0)</f>
        <v>#N/A</v>
      </c>
      <c r="D4910" s="166" t="e">
        <f>VLOOKUP(B4910,'Thống kê'!$C$3:$M$682,4,0)</f>
        <v>#N/A</v>
      </c>
      <c r="E4910" s="167"/>
      <c r="F4910" s="168" t="e">
        <f t="shared" si="20"/>
        <v>#N/A</v>
      </c>
      <c r="G4910" s="75"/>
      <c r="H4910" s="369"/>
    </row>
    <row r="4911" spans="1:8" ht="13.2">
      <c r="A4911" s="49"/>
      <c r="C4911" s="143" t="e">
        <f>VLOOKUP(B4911,'Thống kê'!$C$3:$D$669,2,0)</f>
        <v>#N/A</v>
      </c>
      <c r="D4911" s="166" t="e">
        <f>VLOOKUP(B4911,'Thống kê'!$C$3:$M$682,4,0)</f>
        <v>#N/A</v>
      </c>
      <c r="E4911" s="167"/>
      <c r="F4911" s="168" t="e">
        <f t="shared" si="20"/>
        <v>#N/A</v>
      </c>
      <c r="G4911" s="75"/>
      <c r="H4911" s="205"/>
    </row>
    <row r="4912" spans="1:8" ht="13.2">
      <c r="A4912" s="49"/>
      <c r="C4912" s="143" t="e">
        <f>VLOOKUP(B4912,'Thống kê'!$C$3:$D$669,2,0)</f>
        <v>#N/A</v>
      </c>
      <c r="D4912" s="166" t="e">
        <f>VLOOKUP(B4912,'Thống kê'!$C$3:$M$682,4,0)</f>
        <v>#N/A</v>
      </c>
      <c r="E4912" s="167"/>
      <c r="F4912" s="168" t="e">
        <f t="shared" si="20"/>
        <v>#N/A</v>
      </c>
      <c r="G4912" s="75"/>
      <c r="H4912" s="407"/>
    </row>
    <row r="4913" spans="1:8" ht="13.2">
      <c r="A4913" s="49"/>
      <c r="C4913" s="143" t="e">
        <f>VLOOKUP(B4913,'Thống kê'!$C$3:$D$669,2,0)</f>
        <v>#N/A</v>
      </c>
      <c r="D4913" s="166" t="e">
        <f>VLOOKUP(B4913,'Thống kê'!$C$3:$M$682,4,0)</f>
        <v>#N/A</v>
      </c>
      <c r="E4913" s="167"/>
      <c r="F4913" s="168" t="e">
        <f t="shared" si="20"/>
        <v>#N/A</v>
      </c>
      <c r="G4913" s="75"/>
      <c r="H4913" s="369"/>
    </row>
    <row r="4914" spans="1:8" ht="13.2">
      <c r="A4914" s="49"/>
      <c r="C4914" s="143" t="e">
        <f>VLOOKUP(B4914,'Thống kê'!$C$3:$D$669,2,0)</f>
        <v>#N/A</v>
      </c>
      <c r="D4914" s="166" t="e">
        <f>VLOOKUP(B4914,'Thống kê'!$C$3:$M$682,4,0)</f>
        <v>#N/A</v>
      </c>
      <c r="E4914" s="167"/>
      <c r="F4914" s="168" t="e">
        <f t="shared" si="20"/>
        <v>#N/A</v>
      </c>
      <c r="G4914" s="75"/>
      <c r="H4914" s="369"/>
    </row>
    <row r="4915" spans="1:8" ht="13.2">
      <c r="A4915" s="49"/>
      <c r="C4915" s="143" t="e">
        <f>VLOOKUP(B4915,'Thống kê'!$C$3:$D$669,2,0)</f>
        <v>#N/A</v>
      </c>
      <c r="D4915" s="166" t="e">
        <f>VLOOKUP(B4915,'Thống kê'!$C$3:$M$682,4,0)</f>
        <v>#N/A</v>
      </c>
      <c r="E4915" s="167"/>
      <c r="F4915" s="168" t="e">
        <f t="shared" si="20"/>
        <v>#N/A</v>
      </c>
      <c r="G4915" s="75"/>
      <c r="H4915" s="205"/>
    </row>
    <row r="4916" spans="1:8" ht="13.2">
      <c r="A4916" s="49"/>
      <c r="C4916" s="143" t="e">
        <f>VLOOKUP(B4916,'Thống kê'!$C$3:$D$669,2,0)</f>
        <v>#N/A</v>
      </c>
      <c r="D4916" s="166" t="e">
        <f>VLOOKUP(B4916,'Thống kê'!$C$3:$M$682,4,0)</f>
        <v>#N/A</v>
      </c>
      <c r="E4916" s="167"/>
      <c r="F4916" s="168" t="e">
        <f t="shared" si="20"/>
        <v>#N/A</v>
      </c>
      <c r="G4916" s="75"/>
      <c r="H4916" s="205"/>
    </row>
    <row r="4917" spans="1:8" ht="13.2">
      <c r="A4917" s="49"/>
      <c r="C4917" s="143" t="e">
        <f>VLOOKUP(B4917,'Thống kê'!$C$3:$D$669,2,0)</f>
        <v>#N/A</v>
      </c>
      <c r="D4917" s="166" t="e">
        <f>VLOOKUP(B4917,'Thống kê'!$C$3:$M$682,4,0)</f>
        <v>#N/A</v>
      </c>
      <c r="E4917" s="167"/>
      <c r="F4917" s="168" t="e">
        <f t="shared" si="20"/>
        <v>#N/A</v>
      </c>
      <c r="G4917" s="75"/>
      <c r="H4917" s="205"/>
    </row>
    <row r="4918" spans="1:8" ht="13.2">
      <c r="A4918" s="49"/>
      <c r="C4918" s="143" t="e">
        <f>VLOOKUP(B4918,'Thống kê'!$C$3:$D$669,2,0)</f>
        <v>#N/A</v>
      </c>
      <c r="D4918" s="166" t="e">
        <f>VLOOKUP(B4918,'Thống kê'!$C$3:$M$682,4,0)</f>
        <v>#N/A</v>
      </c>
      <c r="E4918" s="167"/>
      <c r="F4918" s="168" t="e">
        <f t="shared" si="20"/>
        <v>#N/A</v>
      </c>
      <c r="G4918" s="75"/>
      <c r="H4918" s="407"/>
    </row>
    <row r="4919" spans="1:8" ht="13.2">
      <c r="A4919" s="49"/>
      <c r="C4919" s="143" t="e">
        <f>VLOOKUP(B4919,'Thống kê'!$C$3:$D$669,2,0)</f>
        <v>#N/A</v>
      </c>
      <c r="D4919" s="166" t="e">
        <f>VLOOKUP(B4919,'Thống kê'!$C$3:$M$682,4,0)</f>
        <v>#N/A</v>
      </c>
      <c r="E4919" s="167"/>
      <c r="F4919" s="168" t="e">
        <f t="shared" si="20"/>
        <v>#N/A</v>
      </c>
      <c r="G4919" s="75"/>
      <c r="H4919" s="369"/>
    </row>
    <row r="4920" spans="1:8" ht="13.2">
      <c r="A4920" s="49"/>
      <c r="C4920" s="143" t="e">
        <f>VLOOKUP(B4920,'Thống kê'!$C$3:$D$669,2,0)</f>
        <v>#N/A</v>
      </c>
      <c r="D4920" s="166" t="e">
        <f>VLOOKUP(B4920,'Thống kê'!$C$3:$M$682,4,0)</f>
        <v>#N/A</v>
      </c>
      <c r="E4920" s="167"/>
      <c r="F4920" s="168" t="e">
        <f t="shared" si="20"/>
        <v>#N/A</v>
      </c>
      <c r="G4920" s="75"/>
      <c r="H4920" s="369"/>
    </row>
    <row r="4921" spans="1:8" ht="13.2">
      <c r="A4921" s="49"/>
      <c r="C4921" s="143" t="e">
        <f>VLOOKUP(B4921,'Thống kê'!$C$3:$D$669,2,0)</f>
        <v>#N/A</v>
      </c>
      <c r="D4921" s="166" t="e">
        <f>VLOOKUP(B4921,'Thống kê'!$C$3:$M$682,4,0)</f>
        <v>#N/A</v>
      </c>
      <c r="E4921" s="167"/>
      <c r="F4921" s="168" t="e">
        <f t="shared" si="20"/>
        <v>#N/A</v>
      </c>
      <c r="G4921" s="75"/>
      <c r="H4921" s="369"/>
    </row>
    <row r="4922" spans="1:8" ht="13.2">
      <c r="A4922" s="49"/>
      <c r="C4922" s="143" t="e">
        <f>VLOOKUP(B4922,'Thống kê'!$C$3:$D$669,2,0)</f>
        <v>#N/A</v>
      </c>
      <c r="D4922" s="166" t="e">
        <f>VLOOKUP(B4922,'Thống kê'!$C$3:$M$682,4,0)</f>
        <v>#N/A</v>
      </c>
      <c r="E4922" s="167"/>
      <c r="F4922" s="168" t="e">
        <f t="shared" si="20"/>
        <v>#N/A</v>
      </c>
      <c r="G4922" s="75"/>
      <c r="H4922" s="369"/>
    </row>
    <row r="4923" spans="1:8" ht="13.2">
      <c r="A4923" s="49"/>
      <c r="C4923" s="143" t="e">
        <f>VLOOKUP(B4923,'Thống kê'!$C$3:$D$669,2,0)</f>
        <v>#N/A</v>
      </c>
      <c r="D4923" s="166" t="e">
        <f>VLOOKUP(B4923,'Thống kê'!$C$3:$M$682,4,0)</f>
        <v>#N/A</v>
      </c>
      <c r="E4923" s="167"/>
      <c r="F4923" s="168" t="e">
        <f t="shared" si="20"/>
        <v>#N/A</v>
      </c>
      <c r="G4923" s="75"/>
      <c r="H4923" s="205"/>
    </row>
    <row r="4924" spans="1:8" ht="13.2">
      <c r="A4924" s="49"/>
      <c r="C4924" s="143" t="e">
        <f>VLOOKUP(B4924,'Thống kê'!$C$3:$D$669,2,0)</f>
        <v>#N/A</v>
      </c>
      <c r="D4924" s="166" t="e">
        <f>VLOOKUP(B4924,'Thống kê'!$C$3:$M$682,4,0)</f>
        <v>#N/A</v>
      </c>
      <c r="E4924" s="167"/>
      <c r="F4924" s="168" t="e">
        <f t="shared" si="20"/>
        <v>#N/A</v>
      </c>
      <c r="G4924" s="75"/>
      <c r="H4924" s="205"/>
    </row>
    <row r="4925" spans="1:8" ht="13.2">
      <c r="A4925" s="49"/>
      <c r="C4925" s="143" t="e">
        <f>VLOOKUP(B4925,'Thống kê'!$C$3:$D$669,2,0)</f>
        <v>#N/A</v>
      </c>
      <c r="D4925" s="166" t="e">
        <f>VLOOKUP(B4925,'Thống kê'!$C$3:$M$682,4,0)</f>
        <v>#N/A</v>
      </c>
      <c r="E4925" s="167"/>
      <c r="F4925" s="168" t="e">
        <f t="shared" si="20"/>
        <v>#N/A</v>
      </c>
      <c r="G4925" s="75"/>
      <c r="H4925" s="407"/>
    </row>
    <row r="4926" spans="1:8" ht="13.2">
      <c r="A4926" s="49"/>
      <c r="C4926" s="143" t="e">
        <f>VLOOKUP(B4926,'Thống kê'!$C$3:$D$669,2,0)</f>
        <v>#N/A</v>
      </c>
      <c r="D4926" s="166" t="e">
        <f>VLOOKUP(B4926,'Thống kê'!$C$3:$M$682,4,0)</f>
        <v>#N/A</v>
      </c>
      <c r="E4926" s="167"/>
      <c r="F4926" s="168" t="e">
        <f t="shared" si="20"/>
        <v>#N/A</v>
      </c>
      <c r="G4926" s="75"/>
      <c r="H4926" s="369"/>
    </row>
    <row r="4927" spans="1:8" ht="13.2">
      <c r="A4927" s="49"/>
      <c r="C4927" s="143" t="e">
        <f>VLOOKUP(B4927,'Thống kê'!$C$3:$D$669,2,0)</f>
        <v>#N/A</v>
      </c>
      <c r="D4927" s="166" t="e">
        <f>VLOOKUP(B4927,'Thống kê'!$C$3:$M$682,4,0)</f>
        <v>#N/A</v>
      </c>
      <c r="E4927" s="167"/>
      <c r="F4927" s="168" t="e">
        <f t="shared" si="20"/>
        <v>#N/A</v>
      </c>
      <c r="G4927" s="75"/>
      <c r="H4927" s="369"/>
    </row>
    <row r="4928" spans="1:8" ht="13.2">
      <c r="A4928" s="49"/>
      <c r="C4928" s="143" t="e">
        <f>VLOOKUP(B4928,'Thống kê'!$C$3:$D$669,2,0)</f>
        <v>#N/A</v>
      </c>
      <c r="D4928" s="166" t="e">
        <f>VLOOKUP(B4928,'Thống kê'!$C$3:$M$682,4,0)</f>
        <v>#N/A</v>
      </c>
      <c r="E4928" s="167"/>
      <c r="F4928" s="168" t="e">
        <f t="shared" si="20"/>
        <v>#N/A</v>
      </c>
      <c r="G4928" s="75"/>
      <c r="H4928" s="369"/>
    </row>
    <row r="4929" spans="1:8" ht="13.2">
      <c r="A4929" s="49"/>
      <c r="C4929" s="143" t="e">
        <f>VLOOKUP(B4929,'Thống kê'!$C$3:$D$669,2,0)</f>
        <v>#N/A</v>
      </c>
      <c r="D4929" s="166" t="e">
        <f>VLOOKUP(B4929,'Thống kê'!$C$3:$M$682,4,0)</f>
        <v>#N/A</v>
      </c>
      <c r="E4929" s="167"/>
      <c r="F4929" s="168" t="e">
        <f t="shared" si="20"/>
        <v>#N/A</v>
      </c>
      <c r="G4929" s="75"/>
      <c r="H4929" s="369"/>
    </row>
    <row r="4930" spans="1:8" ht="13.2">
      <c r="A4930" s="49"/>
      <c r="C4930" s="143" t="e">
        <f>VLOOKUP(B4930,'Thống kê'!$C$3:$D$669,2,0)</f>
        <v>#N/A</v>
      </c>
      <c r="D4930" s="166" t="e">
        <f>VLOOKUP(B4930,'Thống kê'!$C$3:$M$682,4,0)</f>
        <v>#N/A</v>
      </c>
      <c r="E4930" s="167"/>
      <c r="F4930" s="168" t="e">
        <f t="shared" si="20"/>
        <v>#N/A</v>
      </c>
      <c r="G4930" s="75"/>
      <c r="H4930" s="369"/>
    </row>
    <row r="4931" spans="1:8" ht="13.2">
      <c r="A4931" s="49"/>
      <c r="C4931" s="143" t="e">
        <f>VLOOKUP(B4931,'Thống kê'!$C$3:$D$669,2,0)</f>
        <v>#N/A</v>
      </c>
      <c r="D4931" s="166" t="e">
        <f>VLOOKUP(B4931,'Thống kê'!$C$3:$M$682,4,0)</f>
        <v>#N/A</v>
      </c>
      <c r="E4931" s="167"/>
      <c r="F4931" s="168" t="e">
        <f t="shared" si="20"/>
        <v>#N/A</v>
      </c>
      <c r="G4931" s="75"/>
      <c r="H4931" s="369"/>
    </row>
    <row r="4932" spans="1:8" ht="13.2">
      <c r="A4932" s="49"/>
      <c r="C4932" s="143" t="e">
        <f>VLOOKUP(B4932,'Thống kê'!$C$3:$D$669,2,0)</f>
        <v>#N/A</v>
      </c>
      <c r="D4932" s="166" t="e">
        <f>VLOOKUP(B4932,'Thống kê'!$C$3:$M$682,4,0)</f>
        <v>#N/A</v>
      </c>
      <c r="E4932" s="167"/>
      <c r="F4932" s="168" t="e">
        <f t="shared" si="20"/>
        <v>#N/A</v>
      </c>
      <c r="G4932" s="75"/>
      <c r="H4932" s="369"/>
    </row>
    <row r="4933" spans="1:8" ht="13.2">
      <c r="A4933" s="49"/>
      <c r="C4933" s="143" t="e">
        <f>VLOOKUP(B4933,'Thống kê'!$C$3:$D$669,2,0)</f>
        <v>#N/A</v>
      </c>
      <c r="D4933" s="166" t="e">
        <f>VLOOKUP(B4933,'Thống kê'!$C$3:$M$682,4,0)</f>
        <v>#N/A</v>
      </c>
      <c r="E4933" s="167"/>
      <c r="F4933" s="168" t="e">
        <f t="shared" si="20"/>
        <v>#N/A</v>
      </c>
      <c r="G4933" s="75"/>
      <c r="H4933" s="369"/>
    </row>
    <row r="4934" spans="1:8" ht="13.2">
      <c r="A4934" s="49"/>
      <c r="C4934" s="143" t="e">
        <f>VLOOKUP(B4934,'Thống kê'!$C$3:$D$669,2,0)</f>
        <v>#N/A</v>
      </c>
      <c r="D4934" s="166" t="e">
        <f>VLOOKUP(B4934,'Thống kê'!$C$3:$M$682,4,0)</f>
        <v>#N/A</v>
      </c>
      <c r="E4934" s="167"/>
      <c r="F4934" s="168" t="e">
        <f t="shared" si="20"/>
        <v>#N/A</v>
      </c>
      <c r="G4934" s="75"/>
      <c r="H4934" s="369"/>
    </row>
    <row r="4935" spans="1:8" ht="13.2">
      <c r="A4935" s="49"/>
      <c r="C4935" s="143" t="e">
        <f>VLOOKUP(B4935,'Thống kê'!$C$3:$D$669,2,0)</f>
        <v>#N/A</v>
      </c>
      <c r="D4935" s="166" t="e">
        <f>VLOOKUP(B4935,'Thống kê'!$C$3:$M$682,4,0)</f>
        <v>#N/A</v>
      </c>
      <c r="E4935" s="167"/>
      <c r="F4935" s="168" t="e">
        <f t="shared" si="20"/>
        <v>#N/A</v>
      </c>
      <c r="G4935" s="75"/>
      <c r="H4935" s="369"/>
    </row>
    <row r="4936" spans="1:8" ht="13.2">
      <c r="A4936" s="49"/>
      <c r="C4936" s="143" t="e">
        <f>VLOOKUP(B4936,'Thống kê'!$C$3:$D$669,2,0)</f>
        <v>#N/A</v>
      </c>
      <c r="D4936" s="166" t="e">
        <f>VLOOKUP(B4936,'Thống kê'!$C$3:$M$682,4,0)</f>
        <v>#N/A</v>
      </c>
      <c r="E4936" s="167"/>
      <c r="F4936" s="168" t="e">
        <f t="shared" si="20"/>
        <v>#N/A</v>
      </c>
      <c r="G4936" s="75"/>
      <c r="H4936" s="369"/>
    </row>
    <row r="4937" spans="1:8" ht="13.2">
      <c r="A4937" s="49"/>
      <c r="C4937" s="143" t="e">
        <f>VLOOKUP(B4937,'Thống kê'!$C$3:$D$669,2,0)</f>
        <v>#N/A</v>
      </c>
      <c r="D4937" s="166" t="e">
        <f>VLOOKUP(B4937,'Thống kê'!$C$3:$M$682,4,0)</f>
        <v>#N/A</v>
      </c>
      <c r="E4937" s="167"/>
      <c r="F4937" s="168" t="e">
        <f t="shared" si="20"/>
        <v>#N/A</v>
      </c>
      <c r="G4937" s="75"/>
      <c r="H4937" s="369"/>
    </row>
    <row r="4938" spans="1:8" ht="13.2">
      <c r="A4938" s="49"/>
      <c r="C4938" s="143" t="e">
        <f>VLOOKUP(B4938,'Thống kê'!$C$3:$D$669,2,0)</f>
        <v>#N/A</v>
      </c>
      <c r="D4938" s="166" t="e">
        <f>VLOOKUP(B4938,'Thống kê'!$C$3:$M$682,4,0)</f>
        <v>#N/A</v>
      </c>
      <c r="E4938" s="167"/>
      <c r="F4938" s="168" t="e">
        <f t="shared" si="20"/>
        <v>#N/A</v>
      </c>
      <c r="G4938" s="75"/>
      <c r="H4938" s="369"/>
    </row>
    <row r="4939" spans="1:8" ht="13.2">
      <c r="A4939" s="49"/>
      <c r="C4939" s="143" t="e">
        <f>VLOOKUP(B4939,'Thống kê'!$C$3:$D$669,2,0)</f>
        <v>#N/A</v>
      </c>
      <c r="D4939" s="166" t="e">
        <f>VLOOKUP(B4939,'Thống kê'!$C$3:$M$682,4,0)</f>
        <v>#N/A</v>
      </c>
      <c r="E4939" s="167"/>
      <c r="F4939" s="168" t="e">
        <f t="shared" si="20"/>
        <v>#N/A</v>
      </c>
      <c r="G4939" s="75"/>
      <c r="H4939" s="369"/>
    </row>
    <row r="4940" spans="1:8" ht="13.2">
      <c r="A4940" s="49"/>
      <c r="C4940" s="143" t="e">
        <f>VLOOKUP(B4940,'Thống kê'!$C$3:$D$669,2,0)</f>
        <v>#N/A</v>
      </c>
      <c r="D4940" s="166" t="e">
        <f>VLOOKUP(B4940,'Thống kê'!$C$3:$M$682,4,0)</f>
        <v>#N/A</v>
      </c>
      <c r="E4940" s="167"/>
      <c r="F4940" s="168" t="e">
        <f t="shared" si="20"/>
        <v>#N/A</v>
      </c>
      <c r="G4940" s="75"/>
      <c r="H4940" s="369"/>
    </row>
    <row r="4941" spans="1:8" ht="13.2">
      <c r="A4941" s="49"/>
      <c r="C4941" s="143" t="e">
        <f>VLOOKUP(B4941,'Thống kê'!$C$3:$D$669,2,0)</f>
        <v>#N/A</v>
      </c>
      <c r="D4941" s="166" t="e">
        <f>VLOOKUP(B4941,'Thống kê'!$C$3:$M$682,4,0)</f>
        <v>#N/A</v>
      </c>
      <c r="E4941" s="167"/>
      <c r="F4941" s="168" t="e">
        <f t="shared" si="20"/>
        <v>#N/A</v>
      </c>
      <c r="G4941" s="75"/>
      <c r="H4941" s="369"/>
    </row>
    <row r="4942" spans="1:8" ht="13.2">
      <c r="A4942" s="49"/>
      <c r="C4942" s="143" t="e">
        <f>VLOOKUP(B4942,'Thống kê'!$C$3:$D$669,2,0)</f>
        <v>#N/A</v>
      </c>
      <c r="D4942" s="166" t="e">
        <f>VLOOKUP(B4942,'Thống kê'!$C$3:$M$682,4,0)</f>
        <v>#N/A</v>
      </c>
      <c r="E4942" s="167"/>
      <c r="F4942" s="168" t="e">
        <f t="shared" si="20"/>
        <v>#N/A</v>
      </c>
      <c r="G4942" s="75"/>
      <c r="H4942" s="369"/>
    </row>
    <row r="4943" spans="1:8" ht="13.2">
      <c r="A4943" s="49"/>
      <c r="C4943" s="143" t="e">
        <f>VLOOKUP(B4943,'Thống kê'!$C$3:$D$669,2,0)</f>
        <v>#N/A</v>
      </c>
      <c r="D4943" s="166" t="e">
        <f>VLOOKUP(B4943,'Thống kê'!$C$3:$M$682,4,0)</f>
        <v>#N/A</v>
      </c>
      <c r="E4943" s="167"/>
      <c r="F4943" s="168" t="e">
        <f t="shared" si="20"/>
        <v>#N/A</v>
      </c>
      <c r="G4943" s="75"/>
      <c r="H4943" s="369"/>
    </row>
    <row r="4944" spans="1:8" ht="13.2">
      <c r="A4944" s="49"/>
      <c r="C4944" s="143" t="e">
        <f>VLOOKUP(B4944,'Thống kê'!$C$3:$D$669,2,0)</f>
        <v>#N/A</v>
      </c>
      <c r="D4944" s="166" t="e">
        <f>VLOOKUP(B4944,'Thống kê'!$C$3:$M$682,4,0)</f>
        <v>#N/A</v>
      </c>
      <c r="E4944" s="167"/>
      <c r="F4944" s="168" t="e">
        <f t="shared" si="20"/>
        <v>#N/A</v>
      </c>
      <c r="G4944" s="75"/>
      <c r="H4944" s="369"/>
    </row>
    <row r="4945" spans="1:8" ht="13.2">
      <c r="A4945" s="49"/>
      <c r="C4945" s="143" t="e">
        <f>VLOOKUP(B4945,'Thống kê'!$C$3:$D$669,2,0)</f>
        <v>#N/A</v>
      </c>
      <c r="D4945" s="166" t="e">
        <f>VLOOKUP(B4945,'Thống kê'!$C$3:$M$682,4,0)</f>
        <v>#N/A</v>
      </c>
      <c r="E4945" s="167"/>
      <c r="F4945" s="168" t="e">
        <f t="shared" si="20"/>
        <v>#N/A</v>
      </c>
      <c r="G4945" s="75"/>
      <c r="H4945" s="369"/>
    </row>
    <row r="4946" spans="1:8" ht="13.2">
      <c r="A4946" s="49"/>
      <c r="C4946" s="143" t="e">
        <f>VLOOKUP(B4946,'Thống kê'!$C$3:$D$669,2,0)</f>
        <v>#N/A</v>
      </c>
      <c r="D4946" s="166" t="e">
        <f>VLOOKUP(B4946,'Thống kê'!$C$3:$M$682,4,0)</f>
        <v>#N/A</v>
      </c>
      <c r="E4946" s="167"/>
      <c r="F4946" s="168" t="e">
        <f t="shared" si="20"/>
        <v>#N/A</v>
      </c>
      <c r="G4946" s="75"/>
      <c r="H4946" s="369"/>
    </row>
    <row r="4947" spans="1:8" ht="13.2">
      <c r="A4947" s="49"/>
      <c r="C4947" s="143" t="e">
        <f>VLOOKUP(B4947,'Thống kê'!$C$3:$D$669,2,0)</f>
        <v>#N/A</v>
      </c>
      <c r="D4947" s="166" t="e">
        <f>VLOOKUP(B4947,'Thống kê'!$C$3:$M$682,4,0)</f>
        <v>#N/A</v>
      </c>
      <c r="E4947" s="167"/>
      <c r="F4947" s="168" t="e">
        <f t="shared" si="20"/>
        <v>#N/A</v>
      </c>
      <c r="G4947" s="75"/>
      <c r="H4947" s="369"/>
    </row>
    <row r="4948" spans="1:8" ht="13.2">
      <c r="A4948" s="49"/>
      <c r="C4948" s="143" t="e">
        <f>VLOOKUP(B4948,'Thống kê'!$C$3:$D$669,2,0)</f>
        <v>#N/A</v>
      </c>
      <c r="D4948" s="166" t="e">
        <f>VLOOKUP(B4948,'Thống kê'!$C$3:$M$682,4,0)</f>
        <v>#N/A</v>
      </c>
      <c r="E4948" s="167"/>
      <c r="F4948" s="168" t="e">
        <f t="shared" si="20"/>
        <v>#N/A</v>
      </c>
      <c r="G4948" s="75"/>
      <c r="H4948" s="369"/>
    </row>
    <row r="4949" spans="1:8" ht="13.2">
      <c r="A4949" s="64"/>
      <c r="C4949" s="143" t="e">
        <f>VLOOKUP(B4949,'Thống kê'!$C$3:$D$669,2,0)</f>
        <v>#N/A</v>
      </c>
      <c r="D4949" s="166" t="e">
        <f>VLOOKUP(B4949,'Thống kê'!$C$3:$M$682,4,0)</f>
        <v>#N/A</v>
      </c>
      <c r="E4949" s="167"/>
      <c r="F4949" s="168" t="e">
        <f t="shared" si="20"/>
        <v>#N/A</v>
      </c>
      <c r="G4949" s="75"/>
      <c r="H4949" s="205"/>
    </row>
    <row r="4950" spans="1:8" ht="13.2">
      <c r="A4950" s="49"/>
      <c r="C4950" s="143" t="e">
        <f>VLOOKUP(B4950,'Thống kê'!$C$3:$D$669,2,0)</f>
        <v>#N/A</v>
      </c>
      <c r="D4950" s="166" t="e">
        <f>VLOOKUP(B4950,'Thống kê'!$C$3:$M$682,4,0)</f>
        <v>#N/A</v>
      </c>
      <c r="E4950" s="167"/>
      <c r="F4950" s="168" t="e">
        <f t="shared" si="20"/>
        <v>#N/A</v>
      </c>
      <c r="G4950" s="75"/>
      <c r="H4950" s="205"/>
    </row>
    <row r="4951" spans="1:8" ht="13.2">
      <c r="A4951" s="49"/>
      <c r="C4951" s="143" t="e">
        <f>VLOOKUP(B4951,'Thống kê'!$C$3:$D$669,2,0)</f>
        <v>#N/A</v>
      </c>
      <c r="D4951" s="166" t="e">
        <f>VLOOKUP(B4951,'Thống kê'!$C$3:$M$682,4,0)</f>
        <v>#N/A</v>
      </c>
      <c r="E4951" s="167"/>
      <c r="F4951" s="168" t="e">
        <f t="shared" si="20"/>
        <v>#N/A</v>
      </c>
      <c r="G4951" s="75"/>
      <c r="H4951" s="205"/>
    </row>
    <row r="4952" spans="1:8" ht="13.2">
      <c r="A4952" s="49"/>
      <c r="C4952" s="143" t="e">
        <f>VLOOKUP(B4952,'Thống kê'!$C$3:$D$669,2,0)</f>
        <v>#N/A</v>
      </c>
      <c r="D4952" s="166" t="e">
        <f>VLOOKUP(B4952,'Thống kê'!$C$3:$M$682,4,0)</f>
        <v>#N/A</v>
      </c>
      <c r="E4952" s="167"/>
      <c r="F4952" s="168" t="e">
        <f t="shared" si="20"/>
        <v>#N/A</v>
      </c>
      <c r="G4952" s="75"/>
      <c r="H4952" s="205"/>
    </row>
    <row r="4953" spans="1:8" ht="13.2">
      <c r="A4953" s="49"/>
      <c r="C4953" s="143" t="e">
        <f>VLOOKUP(B4953,'Thống kê'!$C$3:$D$669,2,0)</f>
        <v>#N/A</v>
      </c>
      <c r="D4953" s="166" t="e">
        <f>VLOOKUP(B4953,'Thống kê'!$C$3:$M$682,4,0)</f>
        <v>#N/A</v>
      </c>
      <c r="E4953" s="167"/>
      <c r="F4953" s="168" t="e">
        <f t="shared" si="20"/>
        <v>#N/A</v>
      </c>
      <c r="G4953" s="75"/>
      <c r="H4953" s="205"/>
    </row>
    <row r="4954" spans="1:8" ht="13.2">
      <c r="A4954" s="49"/>
      <c r="C4954" s="143" t="e">
        <f>VLOOKUP(B4954,'Thống kê'!$C$3:$D$669,2,0)</f>
        <v>#N/A</v>
      </c>
      <c r="D4954" s="166" t="e">
        <f>VLOOKUP(B4954,'Thống kê'!$C$3:$M$682,4,0)</f>
        <v>#N/A</v>
      </c>
      <c r="E4954" s="167"/>
      <c r="F4954" s="168" t="e">
        <f t="shared" si="20"/>
        <v>#N/A</v>
      </c>
      <c r="G4954" s="75"/>
      <c r="H4954" s="407"/>
    </row>
    <row r="4955" spans="1:8" ht="13.2">
      <c r="A4955" s="49"/>
      <c r="C4955" s="143" t="e">
        <f>VLOOKUP(B4955,'Thống kê'!$C$3:$D$669,2,0)</f>
        <v>#N/A</v>
      </c>
      <c r="D4955" s="166" t="e">
        <f>VLOOKUP(B4955,'Thống kê'!$C$3:$M$682,4,0)</f>
        <v>#N/A</v>
      </c>
      <c r="E4955" s="167"/>
      <c r="F4955" s="168" t="e">
        <f t="shared" si="20"/>
        <v>#N/A</v>
      </c>
      <c r="G4955" s="75"/>
      <c r="H4955" s="369"/>
    </row>
    <row r="4956" spans="1:8" ht="13.2">
      <c r="A4956" s="49"/>
      <c r="C4956" s="143" t="e">
        <f>VLOOKUP(B4956,'Thống kê'!$C$3:$D$669,2,0)</f>
        <v>#N/A</v>
      </c>
      <c r="D4956" s="166" t="e">
        <f>VLOOKUP(B4956,'Thống kê'!$C$3:$M$682,4,0)</f>
        <v>#N/A</v>
      </c>
      <c r="E4956" s="167"/>
      <c r="F4956" s="168" t="e">
        <f t="shared" si="20"/>
        <v>#N/A</v>
      </c>
      <c r="G4956" s="75"/>
      <c r="H4956" s="369"/>
    </row>
    <row r="4957" spans="1:8" ht="13.2">
      <c r="A4957" s="49"/>
      <c r="C4957" s="143" t="e">
        <f>VLOOKUP(B4957,'Thống kê'!$C$3:$D$669,2,0)</f>
        <v>#N/A</v>
      </c>
      <c r="D4957" s="166" t="e">
        <f>VLOOKUP(B4957,'Thống kê'!$C$3:$M$682,4,0)</f>
        <v>#N/A</v>
      </c>
      <c r="E4957" s="167"/>
      <c r="F4957" s="168" t="e">
        <f t="shared" si="20"/>
        <v>#N/A</v>
      </c>
      <c r="G4957" s="75"/>
      <c r="H4957" s="407"/>
    </row>
    <row r="4958" spans="1:8" ht="13.2">
      <c r="A4958" s="49"/>
      <c r="C4958" s="143" t="e">
        <f>VLOOKUP(B4958,'Thống kê'!$C$3:$D$669,2,0)</f>
        <v>#N/A</v>
      </c>
      <c r="D4958" s="166" t="e">
        <f>VLOOKUP(B4958,'Thống kê'!$C$3:$M$682,4,0)</f>
        <v>#N/A</v>
      </c>
      <c r="E4958" s="167"/>
      <c r="F4958" s="168" t="e">
        <f t="shared" si="20"/>
        <v>#N/A</v>
      </c>
      <c r="G4958" s="75"/>
      <c r="H4958" s="369"/>
    </row>
    <row r="4959" spans="1:8" ht="13.2">
      <c r="A4959" s="64"/>
      <c r="C4959" s="143" t="e">
        <f>VLOOKUP(B4959,'Thống kê'!$C$3:$D$669,2,0)</f>
        <v>#N/A</v>
      </c>
      <c r="D4959" s="166" t="e">
        <f>VLOOKUP(B4959,'Thống kê'!$C$3:$M$682,4,0)</f>
        <v>#N/A</v>
      </c>
      <c r="E4959" s="167"/>
      <c r="F4959" s="168" t="e">
        <f t="shared" si="20"/>
        <v>#N/A</v>
      </c>
      <c r="G4959" s="75"/>
      <c r="H4959" s="205"/>
    </row>
    <row r="4960" spans="1:8" ht="13.2">
      <c r="A4960" s="49"/>
      <c r="C4960" s="143" t="e">
        <f>VLOOKUP(B4960,'Thống kê'!$C$3:$D$669,2,0)</f>
        <v>#N/A</v>
      </c>
      <c r="D4960" s="166" t="e">
        <f>VLOOKUP(B4960,'Thống kê'!$C$3:$M$682,4,0)</f>
        <v>#N/A</v>
      </c>
      <c r="E4960" s="167"/>
      <c r="F4960" s="168" t="e">
        <f t="shared" si="20"/>
        <v>#N/A</v>
      </c>
      <c r="G4960" s="75"/>
      <c r="H4960" s="205"/>
    </row>
    <row r="4961" spans="1:8" ht="13.2">
      <c r="A4961" s="49"/>
      <c r="C4961" s="143" t="e">
        <f>VLOOKUP(B4961,'Thống kê'!$C$3:$D$669,2,0)</f>
        <v>#N/A</v>
      </c>
      <c r="D4961" s="166" t="e">
        <f>VLOOKUP(B4961,'Thống kê'!$C$3:$M$682,4,0)</f>
        <v>#N/A</v>
      </c>
      <c r="E4961" s="167"/>
      <c r="F4961" s="168" t="e">
        <f t="shared" si="20"/>
        <v>#N/A</v>
      </c>
      <c r="G4961" s="75"/>
      <c r="H4961" s="205"/>
    </row>
    <row r="4962" spans="1:8" ht="13.2">
      <c r="A4962" s="49"/>
      <c r="C4962" s="143" t="e">
        <f>VLOOKUP(B4962,'Thống kê'!$C$3:$D$669,2,0)</f>
        <v>#N/A</v>
      </c>
      <c r="D4962" s="166" t="e">
        <f>VLOOKUP(B4962,'Thống kê'!$C$3:$M$682,4,0)</f>
        <v>#N/A</v>
      </c>
      <c r="E4962" s="167"/>
      <c r="F4962" s="168" t="e">
        <f t="shared" si="20"/>
        <v>#N/A</v>
      </c>
      <c r="G4962" s="75"/>
      <c r="H4962" s="205"/>
    </row>
    <row r="4963" spans="1:8" ht="13.2">
      <c r="A4963" s="49"/>
      <c r="C4963" s="143" t="e">
        <f>VLOOKUP(B4963,'Thống kê'!$C$3:$D$669,2,0)</f>
        <v>#N/A</v>
      </c>
      <c r="D4963" s="166" t="e">
        <f>VLOOKUP(B4963,'Thống kê'!$C$3:$M$682,4,0)</f>
        <v>#N/A</v>
      </c>
      <c r="E4963" s="167"/>
      <c r="F4963" s="168" t="e">
        <f t="shared" si="20"/>
        <v>#N/A</v>
      </c>
      <c r="G4963" s="75"/>
      <c r="H4963" s="205"/>
    </row>
    <row r="4964" spans="1:8" ht="13.2">
      <c r="A4964" s="49"/>
      <c r="C4964" s="143" t="e">
        <f>VLOOKUP(B4964,'Thống kê'!$C$3:$D$669,2,0)</f>
        <v>#N/A</v>
      </c>
      <c r="D4964" s="166" t="e">
        <f>VLOOKUP(B4964,'Thống kê'!$C$3:$M$682,4,0)</f>
        <v>#N/A</v>
      </c>
      <c r="E4964" s="167"/>
      <c r="F4964" s="168" t="e">
        <f t="shared" si="20"/>
        <v>#N/A</v>
      </c>
      <c r="G4964" s="75"/>
      <c r="H4964" s="205"/>
    </row>
    <row r="4965" spans="1:8" ht="13.2">
      <c r="A4965" s="49"/>
      <c r="C4965" s="143" t="e">
        <f>VLOOKUP(B4965,'Thống kê'!$C$3:$D$669,2,0)</f>
        <v>#N/A</v>
      </c>
      <c r="D4965" s="166" t="e">
        <f>VLOOKUP(B4965,'Thống kê'!$C$3:$M$682,4,0)</f>
        <v>#N/A</v>
      </c>
      <c r="E4965" s="167"/>
      <c r="F4965" s="168" t="e">
        <f t="shared" si="20"/>
        <v>#N/A</v>
      </c>
      <c r="G4965" s="75"/>
      <c r="H4965" s="205"/>
    </row>
    <row r="4966" spans="1:8" ht="13.2">
      <c r="A4966" s="49"/>
      <c r="C4966" s="143" t="e">
        <f>VLOOKUP(B4966,'Thống kê'!$C$3:$D$669,2,0)</f>
        <v>#N/A</v>
      </c>
      <c r="D4966" s="166" t="e">
        <f>VLOOKUP(B4966,'Thống kê'!$C$3:$M$682,4,0)</f>
        <v>#N/A</v>
      </c>
      <c r="E4966" s="167"/>
      <c r="F4966" s="168" t="e">
        <f t="shared" si="20"/>
        <v>#N/A</v>
      </c>
      <c r="G4966" s="75"/>
      <c r="H4966" s="205"/>
    </row>
    <row r="4967" spans="1:8" ht="13.2">
      <c r="A4967" s="49"/>
      <c r="C4967" s="143" t="e">
        <f>VLOOKUP(B4967,'Thống kê'!$C$3:$D$669,2,0)</f>
        <v>#N/A</v>
      </c>
      <c r="D4967" s="166" t="e">
        <f>VLOOKUP(B4967,'Thống kê'!$C$3:$M$682,4,0)</f>
        <v>#N/A</v>
      </c>
      <c r="E4967" s="167"/>
      <c r="F4967" s="168" t="e">
        <f t="shared" si="20"/>
        <v>#N/A</v>
      </c>
      <c r="G4967" s="75"/>
      <c r="H4967" s="205"/>
    </row>
    <row r="4968" spans="1:8" ht="13.2">
      <c r="A4968" s="49"/>
      <c r="C4968" s="143" t="e">
        <f>VLOOKUP(B4968,'Thống kê'!$C$3:$D$669,2,0)</f>
        <v>#N/A</v>
      </c>
      <c r="D4968" s="166" t="e">
        <f>VLOOKUP(B4968,'Thống kê'!$C$3:$M$682,4,0)</f>
        <v>#N/A</v>
      </c>
      <c r="E4968" s="167"/>
      <c r="F4968" s="168" t="e">
        <f t="shared" si="20"/>
        <v>#N/A</v>
      </c>
      <c r="G4968" s="75"/>
      <c r="H4968" s="407"/>
    </row>
    <row r="4969" spans="1:8" ht="13.2">
      <c r="A4969" s="49"/>
      <c r="C4969" s="143" t="e">
        <f>VLOOKUP(B4969,'Thống kê'!$C$3:$D$669,2,0)</f>
        <v>#N/A</v>
      </c>
      <c r="D4969" s="166" t="e">
        <f>VLOOKUP(B4969,'Thống kê'!$C$3:$M$682,4,0)</f>
        <v>#N/A</v>
      </c>
      <c r="E4969" s="167"/>
      <c r="F4969" s="168" t="e">
        <f t="shared" si="20"/>
        <v>#N/A</v>
      </c>
      <c r="G4969" s="75"/>
      <c r="H4969" s="369"/>
    </row>
    <row r="4970" spans="1:8" ht="13.2">
      <c r="A4970" s="49"/>
      <c r="C4970" s="143" t="e">
        <f>VLOOKUP(B4970,'Thống kê'!$C$3:$D$669,2,0)</f>
        <v>#N/A</v>
      </c>
      <c r="D4970" s="166" t="e">
        <f>VLOOKUP(B4970,'Thống kê'!$C$3:$M$682,4,0)</f>
        <v>#N/A</v>
      </c>
      <c r="E4970" s="167"/>
      <c r="F4970" s="168" t="e">
        <f t="shared" si="20"/>
        <v>#N/A</v>
      </c>
      <c r="G4970" s="75"/>
      <c r="H4970" s="369"/>
    </row>
    <row r="4971" spans="1:8" ht="13.2">
      <c r="A4971" s="49"/>
      <c r="C4971" s="143" t="e">
        <f>VLOOKUP(B4971,'Thống kê'!$C$3:$D$669,2,0)</f>
        <v>#N/A</v>
      </c>
      <c r="D4971" s="166" t="e">
        <f>VLOOKUP(B4971,'Thống kê'!$C$3:$M$682,4,0)</f>
        <v>#N/A</v>
      </c>
      <c r="E4971" s="167"/>
      <c r="F4971" s="168" t="e">
        <f t="shared" si="20"/>
        <v>#N/A</v>
      </c>
      <c r="G4971" s="75"/>
      <c r="H4971" s="205"/>
    </row>
    <row r="4972" spans="1:8" ht="13.2">
      <c r="A4972" s="49"/>
      <c r="C4972" s="143" t="e">
        <f>VLOOKUP(B4972,'Thống kê'!$C$3:$D$669,2,0)</f>
        <v>#N/A</v>
      </c>
      <c r="D4972" s="166" t="e">
        <f>VLOOKUP(B4972,'Thống kê'!$C$3:$M$682,4,0)</f>
        <v>#N/A</v>
      </c>
      <c r="E4972" s="167"/>
      <c r="F4972" s="168" t="e">
        <f t="shared" si="20"/>
        <v>#N/A</v>
      </c>
      <c r="G4972" s="75"/>
      <c r="H4972" s="407"/>
    </row>
    <row r="4973" spans="1:8" ht="13.2">
      <c r="A4973" s="49"/>
      <c r="C4973" s="143" t="e">
        <f>VLOOKUP(B4973,'Thống kê'!$C$3:$D$669,2,0)</f>
        <v>#N/A</v>
      </c>
      <c r="D4973" s="166" t="e">
        <f>VLOOKUP(B4973,'Thống kê'!$C$3:$M$682,4,0)</f>
        <v>#N/A</v>
      </c>
      <c r="E4973" s="167"/>
      <c r="F4973" s="168" t="e">
        <f t="shared" si="20"/>
        <v>#N/A</v>
      </c>
      <c r="G4973" s="75"/>
      <c r="H4973" s="369"/>
    </row>
    <row r="4974" spans="1:8" ht="13.2">
      <c r="A4974" s="64"/>
      <c r="C4974" s="143" t="e">
        <f>VLOOKUP(B4974,'Thống kê'!$C$3:$D$669,2,0)</f>
        <v>#N/A</v>
      </c>
      <c r="D4974" s="166" t="e">
        <f>VLOOKUP(B4974,'Thống kê'!$C$3:$M$682,4,0)</f>
        <v>#N/A</v>
      </c>
      <c r="E4974" s="167"/>
      <c r="F4974" s="168" t="e">
        <f t="shared" si="20"/>
        <v>#N/A</v>
      </c>
      <c r="G4974" s="75"/>
      <c r="H4974" s="205"/>
    </row>
    <row r="4975" spans="1:8" ht="13.2">
      <c r="A4975" s="49"/>
      <c r="C4975" s="143" t="e">
        <f>VLOOKUP(B4975,'Thống kê'!$C$3:$D$669,2,0)</f>
        <v>#N/A</v>
      </c>
      <c r="D4975" s="166" t="e">
        <f>VLOOKUP(B4975,'Thống kê'!$C$3:$M$682,4,0)</f>
        <v>#N/A</v>
      </c>
      <c r="E4975" s="167"/>
      <c r="F4975" s="168" t="e">
        <f t="shared" si="20"/>
        <v>#N/A</v>
      </c>
      <c r="G4975" s="75"/>
      <c r="H4975" s="205"/>
    </row>
    <row r="4976" spans="1:8" ht="13.2">
      <c r="A4976" s="49"/>
      <c r="C4976" s="143" t="e">
        <f>VLOOKUP(B4976,'Thống kê'!$C$3:$D$669,2,0)</f>
        <v>#N/A</v>
      </c>
      <c r="D4976" s="166" t="e">
        <f>VLOOKUP(B4976,'Thống kê'!$C$3:$M$682,4,0)</f>
        <v>#N/A</v>
      </c>
      <c r="E4976" s="167"/>
      <c r="F4976" s="168" t="e">
        <f t="shared" si="20"/>
        <v>#N/A</v>
      </c>
      <c r="G4976" s="75"/>
      <c r="H4976" s="205"/>
    </row>
    <row r="4977" spans="1:8" ht="13.2">
      <c r="A4977" s="64"/>
      <c r="C4977" s="143" t="e">
        <f>VLOOKUP(B4977,'Thống kê'!$C$3:$D$669,2,0)</f>
        <v>#N/A</v>
      </c>
      <c r="D4977" s="166" t="e">
        <f>VLOOKUP(B4977,'Thống kê'!$C$3:$M$682,4,0)</f>
        <v>#N/A</v>
      </c>
      <c r="E4977" s="167"/>
      <c r="F4977" s="168" t="e">
        <f t="shared" si="20"/>
        <v>#N/A</v>
      </c>
      <c r="G4977" s="75"/>
      <c r="H4977" s="407"/>
    </row>
    <row r="4978" spans="1:8" ht="13.2">
      <c r="A4978" s="49"/>
      <c r="C4978" s="143" t="e">
        <f>VLOOKUP(B4978,'Thống kê'!$C$3:$D$669,2,0)</f>
        <v>#N/A</v>
      </c>
      <c r="D4978" s="166" t="e">
        <f>VLOOKUP(B4978,'Thống kê'!$C$3:$M$682,4,0)</f>
        <v>#N/A</v>
      </c>
      <c r="E4978" s="167"/>
      <c r="F4978" s="168" t="e">
        <f t="shared" si="20"/>
        <v>#N/A</v>
      </c>
      <c r="G4978" s="75"/>
      <c r="H4978" s="369"/>
    </row>
    <row r="4979" spans="1:8" ht="13.2">
      <c r="A4979" s="49"/>
      <c r="C4979" s="143" t="e">
        <f>VLOOKUP(B4979,'Thống kê'!$C$3:$D$669,2,0)</f>
        <v>#N/A</v>
      </c>
      <c r="D4979" s="166" t="e">
        <f>VLOOKUP(B4979,'Thống kê'!$C$3:$M$682,4,0)</f>
        <v>#N/A</v>
      </c>
      <c r="E4979" s="167"/>
      <c r="F4979" s="168" t="e">
        <f t="shared" si="20"/>
        <v>#N/A</v>
      </c>
      <c r="G4979" s="75"/>
      <c r="H4979" s="369"/>
    </row>
    <row r="4980" spans="1:8" ht="13.2">
      <c r="A4980" s="49"/>
      <c r="C4980" s="143" t="e">
        <f>VLOOKUP(B4980,'Thống kê'!$C$3:$D$669,2,0)</f>
        <v>#N/A</v>
      </c>
      <c r="D4980" s="166" t="e">
        <f>VLOOKUP(B4980,'Thống kê'!$C$3:$M$682,4,0)</f>
        <v>#N/A</v>
      </c>
      <c r="E4980" s="167"/>
      <c r="F4980" s="168" t="e">
        <f t="shared" si="20"/>
        <v>#N/A</v>
      </c>
      <c r="G4980" s="75"/>
      <c r="H4980" s="205"/>
    </row>
    <row r="4981" spans="1:8" ht="13.2">
      <c r="A4981" s="49"/>
      <c r="C4981" s="143" t="e">
        <f>VLOOKUP(B4981,'Thống kê'!$C$3:$D$669,2,0)</f>
        <v>#N/A</v>
      </c>
      <c r="D4981" s="166" t="e">
        <f>VLOOKUP(B4981,'Thống kê'!$C$3:$M$682,4,0)</f>
        <v>#N/A</v>
      </c>
      <c r="E4981" s="167"/>
      <c r="F4981" s="168" t="e">
        <f t="shared" si="20"/>
        <v>#N/A</v>
      </c>
      <c r="G4981" s="75"/>
      <c r="H4981" s="407"/>
    </row>
    <row r="4982" spans="1:8" ht="13.2">
      <c r="A4982" s="49"/>
      <c r="C4982" s="143" t="e">
        <f>VLOOKUP(B4982,'Thống kê'!$C$3:$D$669,2,0)</f>
        <v>#N/A</v>
      </c>
      <c r="D4982" s="166" t="e">
        <f>VLOOKUP(B4982,'Thống kê'!$C$3:$M$682,4,0)</f>
        <v>#N/A</v>
      </c>
      <c r="E4982" s="167"/>
      <c r="F4982" s="168" t="e">
        <f t="shared" si="20"/>
        <v>#N/A</v>
      </c>
      <c r="G4982" s="75"/>
      <c r="H4982" s="369"/>
    </row>
    <row r="4983" spans="1:8" ht="13.2">
      <c r="A4983" s="49"/>
      <c r="C4983" s="143" t="e">
        <f>VLOOKUP(B4983,'Thống kê'!$C$3:$D$669,2,0)</f>
        <v>#N/A</v>
      </c>
      <c r="D4983" s="166" t="e">
        <f>VLOOKUP(B4983,'Thống kê'!$C$3:$M$682,4,0)</f>
        <v>#N/A</v>
      </c>
      <c r="E4983" s="167"/>
      <c r="F4983" s="168" t="e">
        <f t="shared" si="20"/>
        <v>#N/A</v>
      </c>
      <c r="G4983" s="75"/>
      <c r="H4983" s="369"/>
    </row>
    <row r="4984" spans="1:8" ht="13.2">
      <c r="A4984" s="49"/>
      <c r="C4984" s="143" t="e">
        <f>VLOOKUP(B4984,'Thống kê'!$C$3:$D$669,2,0)</f>
        <v>#N/A</v>
      </c>
      <c r="D4984" s="166" t="e">
        <f>VLOOKUP(B4984,'Thống kê'!$C$3:$M$682,4,0)</f>
        <v>#N/A</v>
      </c>
      <c r="E4984" s="167"/>
      <c r="F4984" s="168" t="e">
        <f t="shared" si="20"/>
        <v>#N/A</v>
      </c>
      <c r="G4984" s="75"/>
      <c r="H4984" s="407"/>
    </row>
    <row r="4985" spans="1:8" ht="13.2">
      <c r="A4985" s="49"/>
      <c r="C4985" s="143" t="e">
        <f>VLOOKUP(B4985,'Thống kê'!$C$3:$D$669,2,0)</f>
        <v>#N/A</v>
      </c>
      <c r="D4985" s="166" t="e">
        <f>VLOOKUP(B4985,'Thống kê'!$C$3:$M$682,4,0)</f>
        <v>#N/A</v>
      </c>
      <c r="E4985" s="167"/>
      <c r="F4985" s="168" t="e">
        <f t="shared" si="20"/>
        <v>#N/A</v>
      </c>
      <c r="G4985" s="75"/>
      <c r="H4985" s="369"/>
    </row>
    <row r="4986" spans="1:8" ht="13.2">
      <c r="A4986" s="49"/>
      <c r="C4986" s="143" t="e">
        <f>VLOOKUP(B4986,'Thống kê'!$C$3:$D$669,2,0)</f>
        <v>#N/A</v>
      </c>
      <c r="D4986" s="166" t="e">
        <f>VLOOKUP(B4986,'Thống kê'!$C$3:$M$682,4,0)</f>
        <v>#N/A</v>
      </c>
      <c r="E4986" s="167"/>
      <c r="F4986" s="168" t="e">
        <f t="shared" si="20"/>
        <v>#N/A</v>
      </c>
      <c r="G4986" s="75"/>
      <c r="H4986" s="407"/>
    </row>
    <row r="4987" spans="1:8" ht="13.2">
      <c r="A4987" s="49"/>
      <c r="C4987" s="143" t="e">
        <f>VLOOKUP(B4987,'Thống kê'!$C$3:$D$669,2,0)</f>
        <v>#N/A</v>
      </c>
      <c r="D4987" s="166" t="e">
        <f>VLOOKUP(B4987,'Thống kê'!$C$3:$M$682,4,0)</f>
        <v>#N/A</v>
      </c>
      <c r="E4987" s="167"/>
      <c r="F4987" s="168" t="e">
        <f t="shared" si="20"/>
        <v>#N/A</v>
      </c>
      <c r="G4987" s="75"/>
      <c r="H4987" s="369"/>
    </row>
    <row r="4988" spans="1:8" ht="13.2">
      <c r="A4988" s="49"/>
      <c r="C4988" s="143" t="e">
        <f>VLOOKUP(B4988,'Thống kê'!$C$3:$D$669,2,0)</f>
        <v>#N/A</v>
      </c>
      <c r="D4988" s="166" t="e">
        <f>VLOOKUP(B4988,'Thống kê'!$C$3:$M$682,4,0)</f>
        <v>#N/A</v>
      </c>
      <c r="E4988" s="167"/>
      <c r="F4988" s="168" t="e">
        <f t="shared" si="20"/>
        <v>#N/A</v>
      </c>
      <c r="G4988" s="75"/>
      <c r="H4988" s="369"/>
    </row>
    <row r="4989" spans="1:8" ht="13.2">
      <c r="A4989" s="49"/>
      <c r="C4989" s="143" t="e">
        <f>VLOOKUP(B4989,'Thống kê'!$C$3:$D$669,2,0)</f>
        <v>#N/A</v>
      </c>
      <c r="D4989" s="166" t="e">
        <f>VLOOKUP(B4989,'Thống kê'!$C$3:$M$682,4,0)</f>
        <v>#N/A</v>
      </c>
      <c r="E4989" s="167"/>
      <c r="F4989" s="168" t="e">
        <f t="shared" si="20"/>
        <v>#N/A</v>
      </c>
      <c r="G4989" s="75"/>
      <c r="H4989" s="407"/>
    </row>
    <row r="4990" spans="1:8" ht="13.2">
      <c r="A4990" s="49"/>
      <c r="C4990" s="143" t="e">
        <f>VLOOKUP(B4990,'Thống kê'!$C$3:$D$669,2,0)</f>
        <v>#N/A</v>
      </c>
      <c r="D4990" s="166" t="e">
        <f>VLOOKUP(B4990,'Thống kê'!$C$3:$M$682,4,0)</f>
        <v>#N/A</v>
      </c>
      <c r="E4990" s="167"/>
      <c r="F4990" s="168" t="e">
        <f t="shared" si="20"/>
        <v>#N/A</v>
      </c>
      <c r="G4990" s="75"/>
      <c r="H4990" s="369"/>
    </row>
    <row r="4991" spans="1:8" ht="13.2">
      <c r="A4991" s="49"/>
      <c r="C4991" s="143" t="e">
        <f>VLOOKUP(B4991,'Thống kê'!$C$3:$D$669,2,0)</f>
        <v>#N/A</v>
      </c>
      <c r="D4991" s="166" t="e">
        <f>VLOOKUP(B4991,'Thống kê'!$C$3:$M$682,4,0)</f>
        <v>#N/A</v>
      </c>
      <c r="E4991" s="167"/>
      <c r="F4991" s="168" t="e">
        <f t="shared" si="20"/>
        <v>#N/A</v>
      </c>
      <c r="G4991" s="75"/>
      <c r="H4991" s="407"/>
    </row>
    <row r="4992" spans="1:8" ht="13.2">
      <c r="A4992" s="49"/>
      <c r="C4992" s="143" t="e">
        <f>VLOOKUP(B4992,'Thống kê'!$C$3:$D$669,2,0)</f>
        <v>#N/A</v>
      </c>
      <c r="D4992" s="166" t="e">
        <f>VLOOKUP(B4992,'Thống kê'!$C$3:$M$682,4,0)</f>
        <v>#N/A</v>
      </c>
      <c r="E4992" s="167"/>
      <c r="F4992" s="168" t="e">
        <f t="shared" si="20"/>
        <v>#N/A</v>
      </c>
      <c r="G4992" s="75"/>
      <c r="H4992" s="369"/>
    </row>
    <row r="4993" spans="1:8" ht="13.2">
      <c r="A4993" s="49"/>
      <c r="C4993" s="143" t="e">
        <f>VLOOKUP(B4993,'Thống kê'!$C$3:$D$669,2,0)</f>
        <v>#N/A</v>
      </c>
      <c r="D4993" s="166" t="e">
        <f>VLOOKUP(B4993,'Thống kê'!$C$3:$M$682,4,0)</f>
        <v>#N/A</v>
      </c>
      <c r="E4993" s="167"/>
      <c r="F4993" s="168" t="e">
        <f t="shared" si="20"/>
        <v>#N/A</v>
      </c>
      <c r="G4993" s="75"/>
      <c r="H4993" s="369"/>
    </row>
    <row r="4994" spans="1:8" ht="13.2">
      <c r="A4994" s="49"/>
      <c r="C4994" s="143" t="e">
        <f>VLOOKUP(B4994,'Thống kê'!$C$3:$D$669,2,0)</f>
        <v>#N/A</v>
      </c>
      <c r="D4994" s="166" t="e">
        <f>VLOOKUP(B4994,'Thống kê'!$C$3:$M$682,4,0)</f>
        <v>#N/A</v>
      </c>
      <c r="E4994" s="167"/>
      <c r="F4994" s="168" t="e">
        <f t="shared" si="20"/>
        <v>#N/A</v>
      </c>
      <c r="G4994" s="75"/>
      <c r="H4994" s="205"/>
    </row>
    <row r="4995" spans="1:8" ht="13.2">
      <c r="A4995" s="49"/>
      <c r="C4995" s="143" t="e">
        <f>VLOOKUP(B4995,'Thống kê'!$C$3:$D$669,2,0)</f>
        <v>#N/A</v>
      </c>
      <c r="D4995" s="166" t="e">
        <f>VLOOKUP(B4995,'Thống kê'!$C$3:$M$682,4,0)</f>
        <v>#N/A</v>
      </c>
      <c r="E4995" s="167"/>
      <c r="F4995" s="168" t="e">
        <f t="shared" si="20"/>
        <v>#N/A</v>
      </c>
      <c r="G4995" s="75"/>
      <c r="H4995" s="205"/>
    </row>
    <row r="4996" spans="1:8" ht="13.2">
      <c r="A4996" s="49"/>
      <c r="C4996" s="143" t="e">
        <f>VLOOKUP(B4996,'Thống kê'!$C$3:$D$669,2,0)</f>
        <v>#N/A</v>
      </c>
      <c r="D4996" s="166" t="e">
        <f>VLOOKUP(B4996,'Thống kê'!$C$3:$M$682,4,0)</f>
        <v>#N/A</v>
      </c>
      <c r="E4996" s="167"/>
      <c r="F4996" s="168" t="e">
        <f t="shared" si="20"/>
        <v>#N/A</v>
      </c>
      <c r="G4996" s="75"/>
      <c r="H4996" s="205"/>
    </row>
    <row r="4997" spans="1:8" ht="13.2">
      <c r="A4997" s="49"/>
      <c r="C4997" s="143" t="e">
        <f>VLOOKUP(B4997,'Thống kê'!$C$3:$D$669,2,0)</f>
        <v>#N/A</v>
      </c>
      <c r="D4997" s="166" t="e">
        <f>VLOOKUP(B4997,'Thống kê'!$C$3:$M$682,4,0)</f>
        <v>#N/A</v>
      </c>
      <c r="E4997" s="167"/>
      <c r="F4997" s="168" t="e">
        <f t="shared" si="20"/>
        <v>#N/A</v>
      </c>
      <c r="G4997" s="75"/>
      <c r="H4997" s="205"/>
    </row>
    <row r="4998" spans="1:8" ht="13.2">
      <c r="A4998" s="49"/>
      <c r="C4998" s="143" t="e">
        <f>VLOOKUP(B4998,'Thống kê'!$C$3:$D$669,2,0)</f>
        <v>#N/A</v>
      </c>
      <c r="D4998" s="166" t="e">
        <f>VLOOKUP(B4998,'Thống kê'!$C$3:$M$682,4,0)</f>
        <v>#N/A</v>
      </c>
      <c r="E4998" s="167"/>
      <c r="F4998" s="168" t="e">
        <f t="shared" si="20"/>
        <v>#N/A</v>
      </c>
      <c r="G4998" s="75"/>
      <c r="H4998" s="205"/>
    </row>
    <row r="4999" spans="1:8" ht="13.2">
      <c r="A4999" s="49"/>
      <c r="C4999" s="143" t="e">
        <f>VLOOKUP(B4999,'Thống kê'!$C$3:$D$669,2,0)</f>
        <v>#N/A</v>
      </c>
      <c r="D4999" s="166" t="e">
        <f>VLOOKUP(B4999,'Thống kê'!$C$3:$M$682,4,0)</f>
        <v>#N/A</v>
      </c>
      <c r="E4999" s="167"/>
      <c r="F4999" s="168" t="e">
        <f t="shared" si="20"/>
        <v>#N/A</v>
      </c>
      <c r="G4999" s="75"/>
      <c r="H4999" s="205"/>
    </row>
    <row r="5000" spans="1:8" ht="13.2">
      <c r="A5000" s="49"/>
      <c r="C5000" s="143" t="e">
        <f>VLOOKUP(B5000,'Thống kê'!$C$3:$D$669,2,0)</f>
        <v>#N/A</v>
      </c>
      <c r="D5000" s="166" t="e">
        <f>VLOOKUP(B5000,'Thống kê'!$C$3:$M$682,4,0)</f>
        <v>#N/A</v>
      </c>
      <c r="E5000" s="167"/>
      <c r="F5000" s="168" t="e">
        <f t="shared" si="20"/>
        <v>#N/A</v>
      </c>
      <c r="G5000" s="75"/>
      <c r="H5000" s="205"/>
    </row>
    <row r="5001" spans="1:8" ht="13.2">
      <c r="A5001" s="49"/>
      <c r="C5001" s="143" t="e">
        <f>VLOOKUP(B5001,'Thống kê'!$C$3:$D$669,2,0)</f>
        <v>#N/A</v>
      </c>
      <c r="D5001" s="166" t="e">
        <f>VLOOKUP(B5001,'Thống kê'!$C$3:$M$682,4,0)</f>
        <v>#N/A</v>
      </c>
      <c r="E5001" s="167"/>
      <c r="F5001" s="168" t="e">
        <f t="shared" si="20"/>
        <v>#N/A</v>
      </c>
      <c r="G5001" s="75"/>
      <c r="H5001" s="205"/>
    </row>
    <row r="5002" spans="1:8" ht="13.2">
      <c r="A5002" s="49"/>
      <c r="C5002" s="143" t="e">
        <f>VLOOKUP(B5002,'Thống kê'!$C$3:$D$669,2,0)</f>
        <v>#N/A</v>
      </c>
      <c r="D5002" s="166" t="e">
        <f>VLOOKUP(B5002,'Thống kê'!$C$3:$M$682,4,0)</f>
        <v>#N/A</v>
      </c>
      <c r="E5002" s="167"/>
      <c r="F5002" s="168" t="e">
        <f t="shared" si="20"/>
        <v>#N/A</v>
      </c>
      <c r="G5002" s="75"/>
      <c r="H5002" s="205"/>
    </row>
    <row r="5003" spans="1:8" ht="13.2">
      <c r="A5003" s="49"/>
      <c r="C5003" s="143" t="e">
        <f>VLOOKUP(B5003,'Thống kê'!$C$3:$D$669,2,0)</f>
        <v>#N/A</v>
      </c>
      <c r="D5003" s="166" t="e">
        <f>VLOOKUP(B5003,'Thống kê'!$C$3:$M$682,4,0)</f>
        <v>#N/A</v>
      </c>
      <c r="E5003" s="167"/>
      <c r="F5003" s="168" t="e">
        <f t="shared" si="20"/>
        <v>#N/A</v>
      </c>
      <c r="G5003" s="75"/>
      <c r="H5003" s="205"/>
    </row>
    <row r="5004" spans="1:8" ht="13.2">
      <c r="A5004" s="49"/>
      <c r="C5004" s="143" t="e">
        <f>VLOOKUP(B5004,'Thống kê'!$C$3:$D$669,2,0)</f>
        <v>#N/A</v>
      </c>
      <c r="D5004" s="166" t="e">
        <f>VLOOKUP(B5004,'Thống kê'!$C$3:$M$682,4,0)</f>
        <v>#N/A</v>
      </c>
      <c r="E5004" s="167"/>
      <c r="F5004" s="168" t="e">
        <f t="shared" si="20"/>
        <v>#N/A</v>
      </c>
      <c r="G5004" s="75"/>
      <c r="H5004" s="205"/>
    </row>
    <row r="5005" spans="1:8" ht="13.2">
      <c r="A5005" s="49"/>
      <c r="C5005" s="143" t="e">
        <f>VLOOKUP(B5005,'Thống kê'!$C$3:$D$669,2,0)</f>
        <v>#N/A</v>
      </c>
      <c r="D5005" s="166" t="e">
        <f>VLOOKUP(B5005,'Thống kê'!$C$3:$M$682,4,0)</f>
        <v>#N/A</v>
      </c>
      <c r="E5005" s="167"/>
      <c r="F5005" s="168" t="e">
        <f t="shared" si="20"/>
        <v>#N/A</v>
      </c>
      <c r="G5005" s="75"/>
      <c r="H5005" s="205"/>
    </row>
    <row r="5006" spans="1:8" ht="13.2">
      <c r="A5006" s="49"/>
      <c r="C5006" s="143" t="e">
        <f>VLOOKUP(B5006,'Thống kê'!$C$3:$D$669,2,0)</f>
        <v>#N/A</v>
      </c>
      <c r="D5006" s="166" t="e">
        <f>VLOOKUP(B5006,'Thống kê'!$C$3:$M$682,4,0)</f>
        <v>#N/A</v>
      </c>
      <c r="E5006" s="167"/>
      <c r="F5006" s="168" t="e">
        <f t="shared" si="20"/>
        <v>#N/A</v>
      </c>
      <c r="G5006" s="75"/>
      <c r="H5006" s="205"/>
    </row>
  </sheetData>
  <mergeCells count="1150">
    <mergeCell ref="H3962:H3963"/>
    <mergeCell ref="H3964:H3965"/>
    <mergeCell ref="H3966:H3967"/>
    <mergeCell ref="H3971:H3972"/>
    <mergeCell ref="H3975:H3977"/>
    <mergeCell ref="H3979:H3980"/>
    <mergeCell ref="H3865:H3866"/>
    <mergeCell ref="H3872:H3873"/>
    <mergeCell ref="H3876:H3877"/>
    <mergeCell ref="H3881:H3884"/>
    <mergeCell ref="H3886:H3888"/>
    <mergeCell ref="H3900:H3902"/>
    <mergeCell ref="H3904:H3906"/>
    <mergeCell ref="H3915:H3917"/>
    <mergeCell ref="H3918:H3921"/>
    <mergeCell ref="H3922:H3924"/>
    <mergeCell ref="H3925:H3926"/>
    <mergeCell ref="H3929:H3930"/>
    <mergeCell ref="H3933:H3940"/>
    <mergeCell ref="H3942:H3943"/>
    <mergeCell ref="H3944:H3945"/>
    <mergeCell ref="H3946:H3948"/>
    <mergeCell ref="H3954:H3955"/>
    <mergeCell ref="H3804:H3806"/>
    <mergeCell ref="H3807:H3808"/>
    <mergeCell ref="H3809:H3812"/>
    <mergeCell ref="H3814:H3815"/>
    <mergeCell ref="H3816:H3817"/>
    <mergeCell ref="H3818:H3819"/>
    <mergeCell ref="H3821:H3825"/>
    <mergeCell ref="H3828:H3830"/>
    <mergeCell ref="H3831:H3832"/>
    <mergeCell ref="H3833:H3838"/>
    <mergeCell ref="H3841:H3843"/>
    <mergeCell ref="H3845:H3846"/>
    <mergeCell ref="H3847:H3850"/>
    <mergeCell ref="H3851:H3852"/>
    <mergeCell ref="H3853:H3854"/>
    <mergeCell ref="H3858:H3859"/>
    <mergeCell ref="H3861:H3862"/>
    <mergeCell ref="H3549:H3550"/>
    <mergeCell ref="H3753:H3754"/>
    <mergeCell ref="H3755:H3756"/>
    <mergeCell ref="H3757:H3759"/>
    <mergeCell ref="H3761:H3762"/>
    <mergeCell ref="H3763:H3766"/>
    <mergeCell ref="H3767:H3769"/>
    <mergeCell ref="H3771:H3777"/>
    <mergeCell ref="H3778:H3779"/>
    <mergeCell ref="H3780:H3782"/>
    <mergeCell ref="H3783:H3784"/>
    <mergeCell ref="H3786:H3787"/>
    <mergeCell ref="H3788:H3790"/>
    <mergeCell ref="H3792:H3793"/>
    <mergeCell ref="H3794:H3796"/>
    <mergeCell ref="H3797:H3798"/>
    <mergeCell ref="H3799:H3802"/>
    <mergeCell ref="H3727:H3728"/>
    <mergeCell ref="H3730:H3731"/>
    <mergeCell ref="H3733:H3734"/>
    <mergeCell ref="H3735:H3742"/>
    <mergeCell ref="H3744:H3748"/>
    <mergeCell ref="H3750:H3751"/>
    <mergeCell ref="H3283:H3287"/>
    <mergeCell ref="H3289:H3291"/>
    <mergeCell ref="H3293:H3294"/>
    <mergeCell ref="H3295:H3296"/>
    <mergeCell ref="H3298:H3301"/>
    <mergeCell ref="H3304:H3305"/>
    <mergeCell ref="H3306:H3308"/>
    <mergeCell ref="H3310:H3331"/>
    <mergeCell ref="H3333:H3334"/>
    <mergeCell ref="H3339:H3341"/>
    <mergeCell ref="H3342:H3343"/>
    <mergeCell ref="H3344:H3349"/>
    <mergeCell ref="H3351:H3352"/>
    <mergeCell ref="H3353:H3354"/>
    <mergeCell ref="H3357:H3364"/>
    <mergeCell ref="H3366:H3369"/>
    <mergeCell ref="H3370:H3371"/>
    <mergeCell ref="H3372:H3373"/>
    <mergeCell ref="H3375:H3383"/>
    <mergeCell ref="H3384:H3385"/>
    <mergeCell ref="H3400:H3401"/>
    <mergeCell ref="H3404:H3405"/>
    <mergeCell ref="H3408:H3409"/>
    <mergeCell ref="H3411:H3412"/>
    <mergeCell ref="H3417:H3418"/>
    <mergeCell ref="H3420:H3426"/>
    <mergeCell ref="H3568:H3569"/>
    <mergeCell ref="H3571:H3572"/>
    <mergeCell ref="H3575:H3579"/>
    <mergeCell ref="H3581:H3586"/>
    <mergeCell ref="H3587:H3589"/>
    <mergeCell ref="H3591:H3592"/>
    <mergeCell ref="H3593:H3594"/>
    <mergeCell ref="H3603:H3604"/>
    <mergeCell ref="H3605:H3606"/>
    <mergeCell ref="H3615:H3616"/>
    <mergeCell ref="H3617:H3618"/>
    <mergeCell ref="H3620:H3621"/>
    <mergeCell ref="H3622:H3623"/>
    <mergeCell ref="H3627:H3629"/>
    <mergeCell ref="H3635:H3637"/>
    <mergeCell ref="H3641:H3642"/>
    <mergeCell ref="H3643:H3644"/>
    <mergeCell ref="H3200:H3204"/>
    <mergeCell ref="H3208:H3210"/>
    <mergeCell ref="H3214:H3215"/>
    <mergeCell ref="H3218:H3219"/>
    <mergeCell ref="H3221:H3223"/>
    <mergeCell ref="H3232:H3233"/>
    <mergeCell ref="H3234:H3236"/>
    <mergeCell ref="H3240:H3241"/>
    <mergeCell ref="H3257:H3259"/>
    <mergeCell ref="H3268:H3270"/>
    <mergeCell ref="H3272:H3278"/>
    <mergeCell ref="H3279:H3280"/>
    <mergeCell ref="H3551:H3552"/>
    <mergeCell ref="H3553:H3554"/>
    <mergeCell ref="H3557:H3558"/>
    <mergeCell ref="H3560:H3561"/>
    <mergeCell ref="H3566:H3567"/>
    <mergeCell ref="H3427:H3429"/>
    <mergeCell ref="H3430:H3431"/>
    <mergeCell ref="H3434:H3435"/>
    <mergeCell ref="H3436:H3437"/>
    <mergeCell ref="H3442:H3444"/>
    <mergeCell ref="H3445:H3448"/>
    <mergeCell ref="H3455:H3457"/>
    <mergeCell ref="H3480:H3481"/>
    <mergeCell ref="H3486:H3487"/>
    <mergeCell ref="H3493:H3495"/>
    <mergeCell ref="H3518:H3519"/>
    <mergeCell ref="H3520:H3521"/>
    <mergeCell ref="H3526:H3527"/>
    <mergeCell ref="H3528:H3532"/>
    <mergeCell ref="H3541:H3542"/>
    <mergeCell ref="H3102:H3111"/>
    <mergeCell ref="H3112:H3114"/>
    <mergeCell ref="H3117:H3121"/>
    <mergeCell ref="H3125:H3126"/>
    <mergeCell ref="H3127:H3129"/>
    <mergeCell ref="H3131:H3133"/>
    <mergeCell ref="H3145:H3148"/>
    <mergeCell ref="H3149:H3150"/>
    <mergeCell ref="H3154:H3155"/>
    <mergeCell ref="H3156:H3157"/>
    <mergeCell ref="H3163:H3164"/>
    <mergeCell ref="H3167:H3168"/>
    <mergeCell ref="H3171:H3173"/>
    <mergeCell ref="H3183:H3185"/>
    <mergeCell ref="H3189:H3192"/>
    <mergeCell ref="H3193:H3194"/>
    <mergeCell ref="H3197:H3198"/>
    <mergeCell ref="H3038:H3040"/>
    <mergeCell ref="H3041:H3043"/>
    <mergeCell ref="H3044:H3046"/>
    <mergeCell ref="H3047:H3048"/>
    <mergeCell ref="H3049:H3052"/>
    <mergeCell ref="H3053:H3054"/>
    <mergeCell ref="H3055:H3056"/>
    <mergeCell ref="H3058:H3060"/>
    <mergeCell ref="H3062:H3065"/>
    <mergeCell ref="H3067:H3068"/>
    <mergeCell ref="H3077:H3079"/>
    <mergeCell ref="H3086:H3087"/>
    <mergeCell ref="H3089:H3090"/>
    <mergeCell ref="H3091:H3092"/>
    <mergeCell ref="H3094:H3096"/>
    <mergeCell ref="H3097:H3098"/>
    <mergeCell ref="H3100:H3101"/>
    <mergeCell ref="H2906:H2908"/>
    <mergeCell ref="H2909:H2911"/>
    <mergeCell ref="H2912:H2914"/>
    <mergeCell ref="H2915:H2916"/>
    <mergeCell ref="H2919:H2920"/>
    <mergeCell ref="H2922:H2925"/>
    <mergeCell ref="H2926:H2928"/>
    <mergeCell ref="H2993:H2994"/>
    <mergeCell ref="H2995:H2996"/>
    <mergeCell ref="H2997:H3005"/>
    <mergeCell ref="H3006:H3008"/>
    <mergeCell ref="H3016:H3017"/>
    <mergeCell ref="H3018:H3019"/>
    <mergeCell ref="H3021:H3022"/>
    <mergeCell ref="H3023:H3024"/>
    <mergeCell ref="H3028:H3029"/>
    <mergeCell ref="H3036:H3037"/>
    <mergeCell ref="H2842:H2844"/>
    <mergeCell ref="H2846:H2847"/>
    <mergeCell ref="H2852:H2854"/>
    <mergeCell ref="H2855:H2858"/>
    <mergeCell ref="H2860:H2861"/>
    <mergeCell ref="H2862:H2863"/>
    <mergeCell ref="H2864:H2866"/>
    <mergeCell ref="H2868:H2870"/>
    <mergeCell ref="H2871:H2875"/>
    <mergeCell ref="H2878:H2879"/>
    <mergeCell ref="H2880:H2881"/>
    <mergeCell ref="H2882:H2886"/>
    <mergeCell ref="H2888:H2892"/>
    <mergeCell ref="H2893:H2894"/>
    <mergeCell ref="H2896:H2899"/>
    <mergeCell ref="H2900:H2902"/>
    <mergeCell ref="H2903:H2905"/>
    <mergeCell ref="H2766:H2767"/>
    <mergeCell ref="H2768:H2769"/>
    <mergeCell ref="H2770:H2774"/>
    <mergeCell ref="H2778:H2779"/>
    <mergeCell ref="H2780:H2783"/>
    <mergeCell ref="H2784:H2786"/>
    <mergeCell ref="H2788:H2789"/>
    <mergeCell ref="H2790:H2792"/>
    <mergeCell ref="H2795:H2799"/>
    <mergeCell ref="H2807:H2808"/>
    <mergeCell ref="H2810:H2812"/>
    <mergeCell ref="H2815:H2817"/>
    <mergeCell ref="H2818:H2819"/>
    <mergeCell ref="H2820:H2821"/>
    <mergeCell ref="H2822:H2824"/>
    <mergeCell ref="H2825:H2826"/>
    <mergeCell ref="H2835:H2837"/>
    <mergeCell ref="H4711:H4712"/>
    <mergeCell ref="H4718:H4719"/>
    <mergeCell ref="H4721:H4722"/>
    <mergeCell ref="H4724:H4725"/>
    <mergeCell ref="H4728:H4730"/>
    <mergeCell ref="H4732:H4733"/>
    <mergeCell ref="H4734:H4735"/>
    <mergeCell ref="H4736:H4738"/>
    <mergeCell ref="H4741:H4743"/>
    <mergeCell ref="H4748:H4749"/>
    <mergeCell ref="H4753:H4754"/>
    <mergeCell ref="H4757:H4758"/>
    <mergeCell ref="H4761:H4762"/>
    <mergeCell ref="H4768:H4770"/>
    <mergeCell ref="H4771:H4772"/>
    <mergeCell ref="H4780:H4781"/>
    <mergeCell ref="H4783:H4784"/>
    <mergeCell ref="H4627:H4633"/>
    <mergeCell ref="H4637:H4638"/>
    <mergeCell ref="H4640:H4642"/>
    <mergeCell ref="H4643:H4644"/>
    <mergeCell ref="H4649:H4658"/>
    <mergeCell ref="H4659:H4660"/>
    <mergeCell ref="H4662:H4663"/>
    <mergeCell ref="H4668:H4673"/>
    <mergeCell ref="H4674:H4677"/>
    <mergeCell ref="H4680:H4681"/>
    <mergeCell ref="H4683:H4684"/>
    <mergeCell ref="H4686:H4687"/>
    <mergeCell ref="H4692:H4695"/>
    <mergeCell ref="H4696:H4697"/>
    <mergeCell ref="H4698:H4699"/>
    <mergeCell ref="H4702:H4705"/>
    <mergeCell ref="H4708:H4709"/>
    <mergeCell ref="H4884:H4885"/>
    <mergeCell ref="H4888:H4889"/>
    <mergeCell ref="H4890:H4891"/>
    <mergeCell ref="H4893:H4894"/>
    <mergeCell ref="H4902:H4905"/>
    <mergeCell ref="H4906:H4907"/>
    <mergeCell ref="H4909:H4910"/>
    <mergeCell ref="H4912:H4914"/>
    <mergeCell ref="H4918:H4922"/>
    <mergeCell ref="H4925:H4948"/>
    <mergeCell ref="H4986:H4988"/>
    <mergeCell ref="H4989:H4990"/>
    <mergeCell ref="H4991:H4993"/>
    <mergeCell ref="H4954:H4956"/>
    <mergeCell ref="H4957:H4958"/>
    <mergeCell ref="H4968:H4970"/>
    <mergeCell ref="H4972:H4973"/>
    <mergeCell ref="H4977:H4979"/>
    <mergeCell ref="H4981:H4983"/>
    <mergeCell ref="H4984:H4985"/>
    <mergeCell ref="H4791:H4792"/>
    <mergeCell ref="H4798:H4799"/>
    <mergeCell ref="H4800:H4802"/>
    <mergeCell ref="H4804:H4807"/>
    <mergeCell ref="H4817:H4820"/>
    <mergeCell ref="H4822:H4825"/>
    <mergeCell ref="H4826:H4827"/>
    <mergeCell ref="H4828:H4832"/>
    <mergeCell ref="H4836:H4840"/>
    <mergeCell ref="H4841:H4843"/>
    <mergeCell ref="H4844:H4847"/>
    <mergeCell ref="H4851:H4852"/>
    <mergeCell ref="H4857:H4858"/>
    <mergeCell ref="H4869:H4870"/>
    <mergeCell ref="H4872:H4876"/>
    <mergeCell ref="H4877:H4881"/>
    <mergeCell ref="H4882:H4883"/>
    <mergeCell ref="H4500:H4501"/>
    <mergeCell ref="H4510:H4511"/>
    <mergeCell ref="H4513:H4514"/>
    <mergeCell ref="H4518:H4519"/>
    <mergeCell ref="H4520:H4522"/>
    <mergeCell ref="H4523:H4526"/>
    <mergeCell ref="H4527:H4528"/>
    <mergeCell ref="H4531:H4535"/>
    <mergeCell ref="H4537:H4539"/>
    <mergeCell ref="H4540:H4542"/>
    <mergeCell ref="H4551:H4552"/>
    <mergeCell ref="H4553:H4554"/>
    <mergeCell ref="H4558:H4559"/>
    <mergeCell ref="H4560:H4563"/>
    <mergeCell ref="H4565:H4567"/>
    <mergeCell ref="H4569:H4570"/>
    <mergeCell ref="H4786:H4787"/>
    <mergeCell ref="H4571:H4572"/>
    <mergeCell ref="H4573:H4574"/>
    <mergeCell ref="H4575:H4576"/>
    <mergeCell ref="H4577:H4580"/>
    <mergeCell ref="H4583:H4584"/>
    <mergeCell ref="H4586:H4587"/>
    <mergeCell ref="H4588:H4589"/>
    <mergeCell ref="H4590:H4593"/>
    <mergeCell ref="H4596:H4597"/>
    <mergeCell ref="H4599:H4602"/>
    <mergeCell ref="H4603:H4604"/>
    <mergeCell ref="H4609:H4610"/>
    <mergeCell ref="H4614:H4616"/>
    <mergeCell ref="H4619:H4620"/>
    <mergeCell ref="H4623:H4624"/>
    <mergeCell ref="H4425:H4426"/>
    <mergeCell ref="H4427:H4428"/>
    <mergeCell ref="H4429:H4431"/>
    <mergeCell ref="H4432:H4437"/>
    <mergeCell ref="H4441:H4444"/>
    <mergeCell ref="H4446:H4447"/>
    <mergeCell ref="H4451:H4452"/>
    <mergeCell ref="H4453:H4454"/>
    <mergeCell ref="H4459:H4461"/>
    <mergeCell ref="H4462:H4463"/>
    <mergeCell ref="H4465:H4466"/>
    <mergeCell ref="H4471:H4472"/>
    <mergeCell ref="H4473:H4474"/>
    <mergeCell ref="H4475:H4476"/>
    <mergeCell ref="H4483:H4484"/>
    <mergeCell ref="H4488:H4491"/>
    <mergeCell ref="H4497:H4499"/>
    <mergeCell ref="H4368:H4369"/>
    <mergeCell ref="H4370:H4371"/>
    <mergeCell ref="H4374:H4375"/>
    <mergeCell ref="H4376:H4377"/>
    <mergeCell ref="H4378:H4379"/>
    <mergeCell ref="H4380:H4382"/>
    <mergeCell ref="H4383:H4385"/>
    <mergeCell ref="H4388:H4390"/>
    <mergeCell ref="H4391:H4392"/>
    <mergeCell ref="H4393:H4394"/>
    <mergeCell ref="H4395:H4398"/>
    <mergeCell ref="H4400:H4401"/>
    <mergeCell ref="H4402:H4406"/>
    <mergeCell ref="H4414:H4415"/>
    <mergeCell ref="H4417:H4418"/>
    <mergeCell ref="H4420:H4421"/>
    <mergeCell ref="H4423:H4424"/>
    <mergeCell ref="H4314:H4317"/>
    <mergeCell ref="H4321:H4322"/>
    <mergeCell ref="H4323:H4324"/>
    <mergeCell ref="H4325:H4326"/>
    <mergeCell ref="H4327:H4329"/>
    <mergeCell ref="H4330:H4331"/>
    <mergeCell ref="H4332:H4333"/>
    <mergeCell ref="H4336:H4337"/>
    <mergeCell ref="H4338:H4339"/>
    <mergeCell ref="H4340:H4341"/>
    <mergeCell ref="H4342:H4345"/>
    <mergeCell ref="H4346:H4348"/>
    <mergeCell ref="H4351:H4352"/>
    <mergeCell ref="H4353:H4354"/>
    <mergeCell ref="H4357:H4358"/>
    <mergeCell ref="H4360:H4361"/>
    <mergeCell ref="H4362:H4364"/>
    <mergeCell ref="H4253:H4257"/>
    <mergeCell ref="H4259:H4260"/>
    <mergeCell ref="H4261:H4265"/>
    <mergeCell ref="H4266:H4267"/>
    <mergeCell ref="H4269:H4270"/>
    <mergeCell ref="H4272:H4273"/>
    <mergeCell ref="H4276:H4277"/>
    <mergeCell ref="H4278:H4279"/>
    <mergeCell ref="H4280:H4281"/>
    <mergeCell ref="H4282:H4283"/>
    <mergeCell ref="H4284:H4285"/>
    <mergeCell ref="H4286:H4291"/>
    <mergeCell ref="H4293:H4296"/>
    <mergeCell ref="H4297:H4298"/>
    <mergeCell ref="H4300:H4302"/>
    <mergeCell ref="H4303:H4305"/>
    <mergeCell ref="H4311:H4312"/>
    <mergeCell ref="H4195:H4196"/>
    <mergeCell ref="H4198:H4199"/>
    <mergeCell ref="H4200:H4201"/>
    <mergeCell ref="H4204:H4205"/>
    <mergeCell ref="H4206:H4207"/>
    <mergeCell ref="H4212:H4214"/>
    <mergeCell ref="H4217:H4218"/>
    <mergeCell ref="H4223:H4224"/>
    <mergeCell ref="H4225:H4229"/>
    <mergeCell ref="H4230:H4231"/>
    <mergeCell ref="H4232:H4233"/>
    <mergeCell ref="H4234:H4235"/>
    <mergeCell ref="H4236:H4237"/>
    <mergeCell ref="H4239:H4240"/>
    <mergeCell ref="H4241:H4243"/>
    <mergeCell ref="H4249:H4250"/>
    <mergeCell ref="H4251:H4252"/>
    <mergeCell ref="H4121:H4122"/>
    <mergeCell ref="H4129:H4130"/>
    <mergeCell ref="H4133:H4138"/>
    <mergeCell ref="H4144:H4146"/>
    <mergeCell ref="H4150:H4151"/>
    <mergeCell ref="H4154:H4156"/>
    <mergeCell ref="H4158:H4159"/>
    <mergeCell ref="H4162:H4163"/>
    <mergeCell ref="H4166:H4167"/>
    <mergeCell ref="H4170:H4172"/>
    <mergeCell ref="H4174:H4175"/>
    <mergeCell ref="H4176:H4177"/>
    <mergeCell ref="H4180:H4181"/>
    <mergeCell ref="H4183:H4185"/>
    <mergeCell ref="H4187:H4188"/>
    <mergeCell ref="H4189:H4190"/>
    <mergeCell ref="H4191:H4194"/>
    <mergeCell ref="H4045:H4048"/>
    <mergeCell ref="H4050:H4051"/>
    <mergeCell ref="H4053:H4055"/>
    <mergeCell ref="H4057:H4060"/>
    <mergeCell ref="H4063:H4065"/>
    <mergeCell ref="H4066:H4069"/>
    <mergeCell ref="H4070:H4073"/>
    <mergeCell ref="H4074:H4077"/>
    <mergeCell ref="H4078:H4079"/>
    <mergeCell ref="H4080:H4081"/>
    <mergeCell ref="H4084:H4086"/>
    <mergeCell ref="H4090:H4091"/>
    <mergeCell ref="H4096:H4097"/>
    <mergeCell ref="H4099:H4103"/>
    <mergeCell ref="H4104:H4106"/>
    <mergeCell ref="H4111:H4112"/>
    <mergeCell ref="H4114:H4117"/>
    <mergeCell ref="H2747:H2748"/>
    <mergeCell ref="H2749:H2750"/>
    <mergeCell ref="H2754:H2755"/>
    <mergeCell ref="H2756:H2758"/>
    <mergeCell ref="H2761:H2762"/>
    <mergeCell ref="H3986:H3987"/>
    <mergeCell ref="H3990:H3992"/>
    <mergeCell ref="H3994:H3995"/>
    <mergeCell ref="H3996:H3997"/>
    <mergeCell ref="H4001:H4003"/>
    <mergeCell ref="H4004:H4005"/>
    <mergeCell ref="H4013:H4023"/>
    <mergeCell ref="H4026:H4027"/>
    <mergeCell ref="H4031:H4032"/>
    <mergeCell ref="H4036:H4037"/>
    <mergeCell ref="H4038:H4039"/>
    <mergeCell ref="H4040:H4043"/>
    <mergeCell ref="H2932:H2937"/>
    <mergeCell ref="H2939:H2941"/>
    <mergeCell ref="H2947:H2948"/>
    <mergeCell ref="H2951:H2952"/>
    <mergeCell ref="H2954:H2957"/>
    <mergeCell ref="H2960:H2961"/>
    <mergeCell ref="H2962:H2964"/>
    <mergeCell ref="H2965:H2967"/>
    <mergeCell ref="H2969:H2972"/>
    <mergeCell ref="H2975:H2976"/>
    <mergeCell ref="H2977:H2978"/>
    <mergeCell ref="H2979:H2980"/>
    <mergeCell ref="H2983:H2984"/>
    <mergeCell ref="H2987:H2988"/>
    <mergeCell ref="H2764:H2765"/>
    <mergeCell ref="H2658:H2661"/>
    <mergeCell ref="H2665:H2666"/>
    <mergeCell ref="H2670:H2676"/>
    <mergeCell ref="H2677:H2688"/>
    <mergeCell ref="H2699:H2700"/>
    <mergeCell ref="H2701:H2703"/>
    <mergeCell ref="H2704:H2706"/>
    <mergeCell ref="H2715:H2716"/>
    <mergeCell ref="H2717:H2718"/>
    <mergeCell ref="H2727:H2728"/>
    <mergeCell ref="H2729:H2731"/>
    <mergeCell ref="H2732:H2733"/>
    <mergeCell ref="H2734:H2737"/>
    <mergeCell ref="H2739:H2740"/>
    <mergeCell ref="H2741:H2742"/>
    <mergeCell ref="H2743:H2744"/>
    <mergeCell ref="H2745:H2746"/>
    <mergeCell ref="H2592:H2594"/>
    <mergeCell ref="H2598:H2599"/>
    <mergeCell ref="H2600:H2604"/>
    <mergeCell ref="H2605:H2606"/>
    <mergeCell ref="H2608:H2610"/>
    <mergeCell ref="H2611:H2612"/>
    <mergeCell ref="H2619:H2620"/>
    <mergeCell ref="H2621:H2622"/>
    <mergeCell ref="H2623:H2624"/>
    <mergeCell ref="H2625:H2629"/>
    <mergeCell ref="H2636:H2637"/>
    <mergeCell ref="H2640:H2641"/>
    <mergeCell ref="H2644:H2645"/>
    <mergeCell ref="H2646:H2649"/>
    <mergeCell ref="H2650:H2652"/>
    <mergeCell ref="H2653:H2654"/>
    <mergeCell ref="H2656:H2657"/>
    <mergeCell ref="H2510:H2513"/>
    <mergeCell ref="H2515:H2517"/>
    <mergeCell ref="H2519:H2522"/>
    <mergeCell ref="H2525:H2526"/>
    <mergeCell ref="H2530:H2531"/>
    <mergeCell ref="H2533:H2536"/>
    <mergeCell ref="H2538:H2542"/>
    <mergeCell ref="H2547:H2549"/>
    <mergeCell ref="H2550:H2555"/>
    <mergeCell ref="H2556:H2557"/>
    <mergeCell ref="H2558:H2560"/>
    <mergeCell ref="H2564:H2565"/>
    <mergeCell ref="H2566:H2567"/>
    <mergeCell ref="H2568:H2569"/>
    <mergeCell ref="H2570:H2571"/>
    <mergeCell ref="H2579:H2584"/>
    <mergeCell ref="H2588:H2589"/>
    <mergeCell ref="H2441:H2442"/>
    <mergeCell ref="H2445:H2446"/>
    <mergeCell ref="H2448:H2452"/>
    <mergeCell ref="H2453:H2455"/>
    <mergeCell ref="H2456:H2458"/>
    <mergeCell ref="H2459:H2461"/>
    <mergeCell ref="H2464:H2465"/>
    <mergeCell ref="H2468:H2469"/>
    <mergeCell ref="H2471:H2472"/>
    <mergeCell ref="H2477:H2478"/>
    <mergeCell ref="H2479:H2480"/>
    <mergeCell ref="H2482:H2486"/>
    <mergeCell ref="H2489:H2490"/>
    <mergeCell ref="H2492:H2493"/>
    <mergeCell ref="H2499:H2500"/>
    <mergeCell ref="H2504:H2505"/>
    <mergeCell ref="H2507:H2508"/>
    <mergeCell ref="H2358:H2359"/>
    <mergeCell ref="H2360:H2361"/>
    <mergeCell ref="H2362:H2363"/>
    <mergeCell ref="H2364:H2365"/>
    <mergeCell ref="H2367:H2369"/>
    <mergeCell ref="H2370:H2371"/>
    <mergeCell ref="H2372:H2373"/>
    <mergeCell ref="H2377:H2381"/>
    <mergeCell ref="H2384:H2385"/>
    <mergeCell ref="H2386:H2387"/>
    <mergeCell ref="H2394:H2395"/>
    <mergeCell ref="H2398:H2400"/>
    <mergeCell ref="H2402:H2403"/>
    <mergeCell ref="H2404:H2415"/>
    <mergeCell ref="H2416:H2418"/>
    <mergeCell ref="H2422:H2428"/>
    <mergeCell ref="H2432:H2435"/>
    <mergeCell ref="H2287:H2290"/>
    <mergeCell ref="H2291:H2293"/>
    <mergeCell ref="H2294:H2295"/>
    <mergeCell ref="H2296:H2297"/>
    <mergeCell ref="H2299:H2300"/>
    <mergeCell ref="H2301:H2302"/>
    <mergeCell ref="H2303:H2304"/>
    <mergeCell ref="H2305:H2306"/>
    <mergeCell ref="H2307:H2313"/>
    <mergeCell ref="H2316:H2317"/>
    <mergeCell ref="H2320:H2322"/>
    <mergeCell ref="H2330:H2331"/>
    <mergeCell ref="H2332:H2333"/>
    <mergeCell ref="H2334:H2335"/>
    <mergeCell ref="H2337:H2338"/>
    <mergeCell ref="H2339:H2341"/>
    <mergeCell ref="H2344:H2353"/>
    <mergeCell ref="H2228:H2229"/>
    <mergeCell ref="H2230:H2231"/>
    <mergeCell ref="H2233:H2234"/>
    <mergeCell ref="H2240:H2242"/>
    <mergeCell ref="H2243:H2245"/>
    <mergeCell ref="H2246:H2247"/>
    <mergeCell ref="H2249:H2251"/>
    <mergeCell ref="H2256:H2257"/>
    <mergeCell ref="H2258:H2259"/>
    <mergeCell ref="H2261:H2262"/>
    <mergeCell ref="H2264:H2265"/>
    <mergeCell ref="H2266:H2267"/>
    <mergeCell ref="H2268:H2269"/>
    <mergeCell ref="H2270:H2273"/>
    <mergeCell ref="H2274:H2275"/>
    <mergeCell ref="H2279:H2280"/>
    <mergeCell ref="H2282:H2283"/>
    <mergeCell ref="H2169:H2171"/>
    <mergeCell ref="H2173:H2178"/>
    <mergeCell ref="H2179:H2180"/>
    <mergeCell ref="H2181:H2183"/>
    <mergeCell ref="H2185:H2186"/>
    <mergeCell ref="H2187:H2188"/>
    <mergeCell ref="H2193:H2194"/>
    <mergeCell ref="H2195:H2196"/>
    <mergeCell ref="H2199:H2200"/>
    <mergeCell ref="H2201:H2202"/>
    <mergeCell ref="H2204:H2205"/>
    <mergeCell ref="H2206:H2207"/>
    <mergeCell ref="H2210:H2212"/>
    <mergeCell ref="H2213:H2216"/>
    <mergeCell ref="H2217:H2218"/>
    <mergeCell ref="H2221:H2223"/>
    <mergeCell ref="H2225:H2226"/>
    <mergeCell ref="H2101:H2103"/>
    <mergeCell ref="H2105:H2106"/>
    <mergeCell ref="H2110:H2111"/>
    <mergeCell ref="H2113:H2115"/>
    <mergeCell ref="H2116:H2119"/>
    <mergeCell ref="H2120:H2121"/>
    <mergeCell ref="H2124:H2125"/>
    <mergeCell ref="H2129:H2134"/>
    <mergeCell ref="H2139:H2143"/>
    <mergeCell ref="H2144:H2145"/>
    <mergeCell ref="H2146:H2147"/>
    <mergeCell ref="H2151:H2153"/>
    <mergeCell ref="H2155:H2156"/>
    <mergeCell ref="H2161:H2162"/>
    <mergeCell ref="H2163:H2164"/>
    <mergeCell ref="H2165:H2166"/>
    <mergeCell ref="H2167:H2168"/>
    <mergeCell ref="H2034:H2035"/>
    <mergeCell ref="H2038:H2039"/>
    <mergeCell ref="H2044:H2045"/>
    <mergeCell ref="H2048:H2050"/>
    <mergeCell ref="H2054:H2055"/>
    <mergeCell ref="H2057:H2058"/>
    <mergeCell ref="H2061:H2062"/>
    <mergeCell ref="H2064:H2069"/>
    <mergeCell ref="H2071:H2072"/>
    <mergeCell ref="H2074:H2076"/>
    <mergeCell ref="H2079:H2081"/>
    <mergeCell ref="H2082:H2083"/>
    <mergeCell ref="H2084:H2088"/>
    <mergeCell ref="H2091:H2092"/>
    <mergeCell ref="H2093:H2094"/>
    <mergeCell ref="H2095:H2096"/>
    <mergeCell ref="H2098:H2099"/>
    <mergeCell ref="H1968:H1969"/>
    <mergeCell ref="H1970:H1971"/>
    <mergeCell ref="H1975:H1980"/>
    <mergeCell ref="H1981:H1982"/>
    <mergeCell ref="H1985:H1991"/>
    <mergeCell ref="H1993:H1994"/>
    <mergeCell ref="H1995:H1996"/>
    <mergeCell ref="H1998:H1999"/>
    <mergeCell ref="H2001:H2004"/>
    <mergeCell ref="H2011:H2012"/>
    <mergeCell ref="H2013:H2015"/>
    <mergeCell ref="H2016:H2017"/>
    <mergeCell ref="H2018:H2020"/>
    <mergeCell ref="H2022:H2023"/>
    <mergeCell ref="H2024:H2026"/>
    <mergeCell ref="H2030:H2031"/>
    <mergeCell ref="H2032:H2033"/>
    <mergeCell ref="H1898:H1900"/>
    <mergeCell ref="H1902:H1903"/>
    <mergeCell ref="H1912:H1917"/>
    <mergeCell ref="H1918:H1919"/>
    <mergeCell ref="H1921:H1922"/>
    <mergeCell ref="H1924:H1925"/>
    <mergeCell ref="H1929:H1930"/>
    <mergeCell ref="H1934:H1936"/>
    <mergeCell ref="H1937:H1940"/>
    <mergeCell ref="H1943:H1945"/>
    <mergeCell ref="H1946:H1951"/>
    <mergeCell ref="H1952:H1953"/>
    <mergeCell ref="H1954:H1956"/>
    <mergeCell ref="H1957:H1958"/>
    <mergeCell ref="H1961:H1962"/>
    <mergeCell ref="H1963:H1964"/>
    <mergeCell ref="H1965:H1966"/>
    <mergeCell ref="H1813:H1814"/>
    <mergeCell ref="H1817:H1818"/>
    <mergeCell ref="H1822:H1824"/>
    <mergeCell ref="H1826:H1827"/>
    <mergeCell ref="H1828:H1832"/>
    <mergeCell ref="H1833:H1836"/>
    <mergeCell ref="H1837:H1841"/>
    <mergeCell ref="H1842:H1843"/>
    <mergeCell ref="H1849:H1852"/>
    <mergeCell ref="H1854:H1859"/>
    <mergeCell ref="H1861:H1862"/>
    <mergeCell ref="H1868:H1869"/>
    <mergeCell ref="H1875:H1876"/>
    <mergeCell ref="H1877:H1878"/>
    <mergeCell ref="H1879:H1880"/>
    <mergeCell ref="H1886:H1887"/>
    <mergeCell ref="H1890:H1893"/>
    <mergeCell ref="H1730:H1732"/>
    <mergeCell ref="H1736:H1738"/>
    <mergeCell ref="H1739:H1743"/>
    <mergeCell ref="H1744:H1745"/>
    <mergeCell ref="H1746:H1747"/>
    <mergeCell ref="H1748:H1749"/>
    <mergeCell ref="H1750:H1751"/>
    <mergeCell ref="H1753:H1754"/>
    <mergeCell ref="H1761:H1762"/>
    <mergeCell ref="H1765:H1766"/>
    <mergeCell ref="H1767:H1768"/>
    <mergeCell ref="H1773:H1774"/>
    <mergeCell ref="H1783:H1784"/>
    <mergeCell ref="H1786:H1787"/>
    <mergeCell ref="H1790:H1792"/>
    <mergeCell ref="H1802:H1803"/>
    <mergeCell ref="H1811:H1812"/>
    <mergeCell ref="H1664:H1665"/>
    <mergeCell ref="H1666:H1667"/>
    <mergeCell ref="H1671:H1674"/>
    <mergeCell ref="H1680:H1681"/>
    <mergeCell ref="H1683:H1684"/>
    <mergeCell ref="H1686:H1687"/>
    <mergeCell ref="H1689:H1690"/>
    <mergeCell ref="H1692:H1693"/>
    <mergeCell ref="H1694:H1695"/>
    <mergeCell ref="H1697:H1698"/>
    <mergeCell ref="H1702:H1707"/>
    <mergeCell ref="H1708:H1709"/>
    <mergeCell ref="H1711:H1712"/>
    <mergeCell ref="H1713:H1714"/>
    <mergeCell ref="H1715:H1717"/>
    <mergeCell ref="H1719:H1721"/>
    <mergeCell ref="H1725:H1726"/>
    <mergeCell ref="H1610:H1614"/>
    <mergeCell ref="H1615:H1616"/>
    <mergeCell ref="H1617:H1619"/>
    <mergeCell ref="H1620:H1623"/>
    <mergeCell ref="H1624:H1625"/>
    <mergeCell ref="H1626:H1627"/>
    <mergeCell ref="H1629:H1631"/>
    <mergeCell ref="H1634:H1635"/>
    <mergeCell ref="H1636:H1638"/>
    <mergeCell ref="H1639:H1640"/>
    <mergeCell ref="H1641:H1642"/>
    <mergeCell ref="H1643:H1649"/>
    <mergeCell ref="H1650:H1651"/>
    <mergeCell ref="H1652:H1653"/>
    <mergeCell ref="H1656:H1657"/>
    <mergeCell ref="H1658:H1660"/>
    <mergeCell ref="H1662:H1663"/>
    <mergeCell ref="H1542:H1543"/>
    <mergeCell ref="H1548:H1549"/>
    <mergeCell ref="H1550:H1551"/>
    <mergeCell ref="H1553:H1554"/>
    <mergeCell ref="H1560:H1562"/>
    <mergeCell ref="H1564:H1566"/>
    <mergeCell ref="H1569:H1572"/>
    <mergeCell ref="H1574:H1575"/>
    <mergeCell ref="H1576:H1577"/>
    <mergeCell ref="H1579:H1581"/>
    <mergeCell ref="H1583:H1586"/>
    <mergeCell ref="H1590:H1591"/>
    <mergeCell ref="H1592:H1593"/>
    <mergeCell ref="H1597:H1598"/>
    <mergeCell ref="H1602:H1603"/>
    <mergeCell ref="H1604:H1605"/>
    <mergeCell ref="H1606:H1607"/>
    <mergeCell ref="H1395:H1397"/>
    <mergeCell ref="H1398:H1399"/>
    <mergeCell ref="H1472:H1473"/>
    <mergeCell ref="H1494:H1496"/>
    <mergeCell ref="H1497:H1498"/>
    <mergeCell ref="H1501:H1502"/>
    <mergeCell ref="H1505:H1507"/>
    <mergeCell ref="H1513:H1514"/>
    <mergeCell ref="H1515:H1517"/>
    <mergeCell ref="H1518:H1519"/>
    <mergeCell ref="H1521:H1523"/>
    <mergeCell ref="H1524:H1525"/>
    <mergeCell ref="H1526:H1527"/>
    <mergeCell ref="H1529:H1530"/>
    <mergeCell ref="H1532:H1535"/>
    <mergeCell ref="H1536:H1537"/>
    <mergeCell ref="H1538:H1539"/>
    <mergeCell ref="H1334:H1335"/>
    <mergeCell ref="H1336:H1339"/>
    <mergeCell ref="H1342:H1343"/>
    <mergeCell ref="H1344:H1347"/>
    <mergeCell ref="H1348:H1350"/>
    <mergeCell ref="H1351:H1352"/>
    <mergeCell ref="H1354:H1357"/>
    <mergeCell ref="H1361:H1362"/>
    <mergeCell ref="H1363:H1364"/>
    <mergeCell ref="H1366:H1367"/>
    <mergeCell ref="H1371:H1373"/>
    <mergeCell ref="H1374:H1379"/>
    <mergeCell ref="H1380:H1381"/>
    <mergeCell ref="H1382:H1384"/>
    <mergeCell ref="H1386:H1388"/>
    <mergeCell ref="H1389:H1390"/>
    <mergeCell ref="H1393:H1394"/>
    <mergeCell ref="H1324:H1326"/>
    <mergeCell ref="H1327:H1329"/>
    <mergeCell ref="H1276:H1277"/>
    <mergeCell ref="H1279:H1280"/>
    <mergeCell ref="H1281:H1282"/>
    <mergeCell ref="H1285:H1286"/>
    <mergeCell ref="H1289:H1290"/>
    <mergeCell ref="H1293:H1294"/>
    <mergeCell ref="H1296:H1297"/>
    <mergeCell ref="H1298:H1299"/>
    <mergeCell ref="H1301:H1305"/>
    <mergeCell ref="H1307:H1308"/>
    <mergeCell ref="H1310:H1314"/>
    <mergeCell ref="H1315:H1317"/>
    <mergeCell ref="H1318:H1319"/>
    <mergeCell ref="H1320:H1321"/>
    <mergeCell ref="H1330:H1331"/>
    <mergeCell ref="A1237:A1241"/>
    <mergeCell ref="H1238:H1239"/>
    <mergeCell ref="H1240:H1242"/>
    <mergeCell ref="H1205:H1206"/>
    <mergeCell ref="H1208:H1209"/>
    <mergeCell ref="H1210:H1211"/>
    <mergeCell ref="H1212:H1213"/>
    <mergeCell ref="H1214:H1220"/>
    <mergeCell ref="H1221:H1222"/>
    <mergeCell ref="H1224:H1225"/>
    <mergeCell ref="H1244:H1245"/>
    <mergeCell ref="H1247:H1249"/>
    <mergeCell ref="H1250:H1251"/>
    <mergeCell ref="H1255:H1257"/>
    <mergeCell ref="H1266:H1269"/>
    <mergeCell ref="H1270:H1271"/>
    <mergeCell ref="H1272:H1273"/>
    <mergeCell ref="H1164:H1165"/>
    <mergeCell ref="H1167:H1168"/>
    <mergeCell ref="H1170:H1171"/>
    <mergeCell ref="H1173:H1174"/>
    <mergeCell ref="H1175:H1178"/>
    <mergeCell ref="H1181:H1186"/>
    <mergeCell ref="H1187:H1190"/>
    <mergeCell ref="H1191:H1192"/>
    <mergeCell ref="H1194:H1195"/>
    <mergeCell ref="H1196:H1197"/>
    <mergeCell ref="H1198:H1199"/>
    <mergeCell ref="H1201:H1203"/>
    <mergeCell ref="H1227:H1228"/>
    <mergeCell ref="H1229:H1232"/>
    <mergeCell ref="A1231:A1232"/>
    <mergeCell ref="A1233:A1236"/>
    <mergeCell ref="H1233:H1236"/>
    <mergeCell ref="H1095:H1096"/>
    <mergeCell ref="H1097:H1099"/>
    <mergeCell ref="H1102:H1103"/>
    <mergeCell ref="H1108:H1109"/>
    <mergeCell ref="H1114:H1116"/>
    <mergeCell ref="H1120:H1121"/>
    <mergeCell ref="H1122:H1124"/>
    <mergeCell ref="H1129:H1131"/>
    <mergeCell ref="H1134:H1136"/>
    <mergeCell ref="H1138:H1140"/>
    <mergeCell ref="H1142:H1143"/>
    <mergeCell ref="H1145:H1146"/>
    <mergeCell ref="H1147:H1148"/>
    <mergeCell ref="H1149:H1150"/>
    <mergeCell ref="H1151:H1154"/>
    <mergeCell ref="H1156:H1157"/>
    <mergeCell ref="H1159:H1160"/>
    <mergeCell ref="H1032:H1033"/>
    <mergeCell ref="H1034:H1035"/>
    <mergeCell ref="H1037:H1038"/>
    <mergeCell ref="H1049:H1050"/>
    <mergeCell ref="H1051:H1052"/>
    <mergeCell ref="H1053:H1054"/>
    <mergeCell ref="H1055:H1056"/>
    <mergeCell ref="H1061:H1062"/>
    <mergeCell ref="H1064:H1067"/>
    <mergeCell ref="H1068:H1069"/>
    <mergeCell ref="H1074:H1076"/>
    <mergeCell ref="H1078:H1079"/>
    <mergeCell ref="H1081:H1082"/>
    <mergeCell ref="H1083:H1084"/>
    <mergeCell ref="H1085:H1086"/>
    <mergeCell ref="H1088:H1089"/>
    <mergeCell ref="H1090:H1091"/>
    <mergeCell ref="H956:H959"/>
    <mergeCell ref="H960:H961"/>
    <mergeCell ref="H963:H964"/>
    <mergeCell ref="H965:H966"/>
    <mergeCell ref="H968:H969"/>
    <mergeCell ref="H972:H973"/>
    <mergeCell ref="H975:H977"/>
    <mergeCell ref="H978:H979"/>
    <mergeCell ref="H984:H985"/>
    <mergeCell ref="H988:H990"/>
    <mergeCell ref="H991:H992"/>
    <mergeCell ref="H995:H996"/>
    <mergeCell ref="H997:H999"/>
    <mergeCell ref="H1000:H1002"/>
    <mergeCell ref="H1004:H1005"/>
    <mergeCell ref="H1009:H1010"/>
    <mergeCell ref="A1011:A1028"/>
    <mergeCell ref="H1013:H1014"/>
    <mergeCell ref="H1020:H1024"/>
    <mergeCell ref="H1015:H1016"/>
    <mergeCell ref="H1018:H1019"/>
    <mergeCell ref="H1027:H1031"/>
    <mergeCell ref="H888:H889"/>
    <mergeCell ref="H892:H893"/>
    <mergeCell ref="H897:H899"/>
    <mergeCell ref="H903:H904"/>
    <mergeCell ref="H907:H909"/>
    <mergeCell ref="H910:H911"/>
    <mergeCell ref="H914:H915"/>
    <mergeCell ref="H921:H922"/>
    <mergeCell ref="H923:H927"/>
    <mergeCell ref="H929:H931"/>
    <mergeCell ref="H932:H933"/>
    <mergeCell ref="H934:H936"/>
    <mergeCell ref="H937:H939"/>
    <mergeCell ref="H941:H942"/>
    <mergeCell ref="H944:H945"/>
    <mergeCell ref="H947:H949"/>
    <mergeCell ref="H951:H953"/>
    <mergeCell ref="H824:H825"/>
    <mergeCell ref="H826:H829"/>
    <mergeCell ref="H830:H831"/>
    <mergeCell ref="H835:H836"/>
    <mergeCell ref="H837:H839"/>
    <mergeCell ref="H840:H844"/>
    <mergeCell ref="H845:H846"/>
    <mergeCell ref="H848:H850"/>
    <mergeCell ref="H851:H853"/>
    <mergeCell ref="H854:H855"/>
    <mergeCell ref="H856:H857"/>
    <mergeCell ref="H859:H860"/>
    <mergeCell ref="H861:H867"/>
    <mergeCell ref="H868:H870"/>
    <mergeCell ref="H875:H877"/>
    <mergeCell ref="H878:H881"/>
    <mergeCell ref="H883:H884"/>
    <mergeCell ref="H772:H774"/>
    <mergeCell ref="H776:H777"/>
    <mergeCell ref="H778:H779"/>
    <mergeCell ref="H780:H782"/>
    <mergeCell ref="H784:H785"/>
    <mergeCell ref="H786:H788"/>
    <mergeCell ref="H789:H790"/>
    <mergeCell ref="H791:H792"/>
    <mergeCell ref="H793:H794"/>
    <mergeCell ref="H795:H796"/>
    <mergeCell ref="H798:H799"/>
    <mergeCell ref="H800:H801"/>
    <mergeCell ref="H805:H808"/>
    <mergeCell ref="H811:H814"/>
    <mergeCell ref="H815:H818"/>
    <mergeCell ref="H819:H820"/>
    <mergeCell ref="H821:H823"/>
    <mergeCell ref="H720:H723"/>
    <mergeCell ref="H726:H727"/>
    <mergeCell ref="H728:H730"/>
    <mergeCell ref="H731:H732"/>
    <mergeCell ref="H756:H757"/>
    <mergeCell ref="H758:H759"/>
    <mergeCell ref="H762:H764"/>
    <mergeCell ref="A765:A767"/>
    <mergeCell ref="H766:H767"/>
    <mergeCell ref="H733:H734"/>
    <mergeCell ref="H736:H738"/>
    <mergeCell ref="H743:H744"/>
    <mergeCell ref="H745:H746"/>
    <mergeCell ref="H747:H748"/>
    <mergeCell ref="H752:H753"/>
    <mergeCell ref="H754:H755"/>
    <mergeCell ref="H768:H771"/>
    <mergeCell ref="H660:H661"/>
    <mergeCell ref="H663:H666"/>
    <mergeCell ref="H668:H669"/>
    <mergeCell ref="H673:H675"/>
    <mergeCell ref="H700:H701"/>
    <mergeCell ref="A703:A706"/>
    <mergeCell ref="H704:H705"/>
    <mergeCell ref="H676:H677"/>
    <mergeCell ref="H680:H684"/>
    <mergeCell ref="H685:H686"/>
    <mergeCell ref="H687:H689"/>
    <mergeCell ref="H692:H693"/>
    <mergeCell ref="H694:H696"/>
    <mergeCell ref="H697:H699"/>
    <mergeCell ref="H706:H707"/>
    <mergeCell ref="H708:H713"/>
    <mergeCell ref="H717:H719"/>
    <mergeCell ref="H607:H608"/>
    <mergeCell ref="H609:H612"/>
    <mergeCell ref="H613:H614"/>
    <mergeCell ref="H618:H619"/>
    <mergeCell ref="H621:H623"/>
    <mergeCell ref="H624:H627"/>
    <mergeCell ref="H629:H630"/>
    <mergeCell ref="H632:H633"/>
    <mergeCell ref="H634:H636"/>
    <mergeCell ref="H637:H638"/>
    <mergeCell ref="H640:H641"/>
    <mergeCell ref="H643:H644"/>
    <mergeCell ref="H646:H647"/>
    <mergeCell ref="H648:H649"/>
    <mergeCell ref="H650:H652"/>
    <mergeCell ref="H654:H655"/>
    <mergeCell ref="H656:H658"/>
    <mergeCell ref="H529:H530"/>
    <mergeCell ref="H531:H532"/>
    <mergeCell ref="H540:H541"/>
    <mergeCell ref="H544:H545"/>
    <mergeCell ref="H546:H553"/>
    <mergeCell ref="H554:H555"/>
    <mergeCell ref="H556:H560"/>
    <mergeCell ref="H561:H563"/>
    <mergeCell ref="H564:H567"/>
    <mergeCell ref="H571:H575"/>
    <mergeCell ref="H577:H578"/>
    <mergeCell ref="H579:H581"/>
    <mergeCell ref="H587:H588"/>
    <mergeCell ref="H591:H592"/>
    <mergeCell ref="H594:H596"/>
    <mergeCell ref="H599:H601"/>
    <mergeCell ref="H602:H606"/>
    <mergeCell ref="H443:H444"/>
    <mergeCell ref="H445:H447"/>
    <mergeCell ref="H448:H449"/>
    <mergeCell ref="H450:H451"/>
    <mergeCell ref="H452:H455"/>
    <mergeCell ref="H456:H458"/>
    <mergeCell ref="H461:H463"/>
    <mergeCell ref="H464:H467"/>
    <mergeCell ref="H469:H476"/>
    <mergeCell ref="H479:H480"/>
    <mergeCell ref="H487:H488"/>
    <mergeCell ref="H489:H490"/>
    <mergeCell ref="H495:H497"/>
    <mergeCell ref="H499:H500"/>
    <mergeCell ref="H514:H515"/>
    <mergeCell ref="H516:H519"/>
    <mergeCell ref="H524:H525"/>
    <mergeCell ref="H386:H390"/>
    <mergeCell ref="H391:H393"/>
    <mergeCell ref="H394:H395"/>
    <mergeCell ref="H398:H402"/>
    <mergeCell ref="H404:H405"/>
    <mergeCell ref="H406:H407"/>
    <mergeCell ref="H410:H411"/>
    <mergeCell ref="H412:H413"/>
    <mergeCell ref="H415:H417"/>
    <mergeCell ref="H418:H419"/>
    <mergeCell ref="H420:H423"/>
    <mergeCell ref="H424:H425"/>
    <mergeCell ref="H426:H428"/>
    <mergeCell ref="H430:H431"/>
    <mergeCell ref="H432:H436"/>
    <mergeCell ref="H437:H438"/>
    <mergeCell ref="H439:H442"/>
    <mergeCell ref="H303:H306"/>
    <mergeCell ref="H307:H311"/>
    <mergeCell ref="H317:H320"/>
    <mergeCell ref="H324:H326"/>
    <mergeCell ref="H329:H330"/>
    <mergeCell ref="H337:H338"/>
    <mergeCell ref="H340:H343"/>
    <mergeCell ref="H346:H347"/>
    <mergeCell ref="H350:H351"/>
    <mergeCell ref="H352:H354"/>
    <mergeCell ref="H356:H358"/>
    <mergeCell ref="H361:H368"/>
    <mergeCell ref="H370:H374"/>
    <mergeCell ref="H375:H378"/>
    <mergeCell ref="H379:H380"/>
    <mergeCell ref="H381:H382"/>
    <mergeCell ref="H383:H385"/>
    <mergeCell ref="H226:H228"/>
    <mergeCell ref="H229:H230"/>
    <mergeCell ref="H231:H233"/>
    <mergeCell ref="H234:H236"/>
    <mergeCell ref="H237:H251"/>
    <mergeCell ref="H252:H256"/>
    <mergeCell ref="H258:H259"/>
    <mergeCell ref="H261:H263"/>
    <mergeCell ref="H264:H265"/>
    <mergeCell ref="H270:H273"/>
    <mergeCell ref="H275:H277"/>
    <mergeCell ref="H278:H279"/>
    <mergeCell ref="H280:H283"/>
    <mergeCell ref="H284:H286"/>
    <mergeCell ref="H291:H293"/>
    <mergeCell ref="H296:H298"/>
    <mergeCell ref="H299:H300"/>
    <mergeCell ref="H159:H162"/>
    <mergeCell ref="H163:H165"/>
    <mergeCell ref="H172:H173"/>
    <mergeCell ref="H175:H178"/>
    <mergeCell ref="H179:H182"/>
    <mergeCell ref="H183:H184"/>
    <mergeCell ref="H185:H187"/>
    <mergeCell ref="H188:H189"/>
    <mergeCell ref="H190:H191"/>
    <mergeCell ref="H194:H197"/>
    <mergeCell ref="H198:H202"/>
    <mergeCell ref="H204:H205"/>
    <mergeCell ref="H207:H210"/>
    <mergeCell ref="H211:H212"/>
    <mergeCell ref="H213:H214"/>
    <mergeCell ref="H218:H219"/>
    <mergeCell ref="H221:H223"/>
    <mergeCell ref="H101:H102"/>
    <mergeCell ref="H103:H104"/>
    <mergeCell ref="H105:H106"/>
    <mergeCell ref="H107:H110"/>
    <mergeCell ref="H111:H112"/>
    <mergeCell ref="H113:H115"/>
    <mergeCell ref="H117:H121"/>
    <mergeCell ref="H122:H123"/>
    <mergeCell ref="H124:H126"/>
    <mergeCell ref="H128:H132"/>
    <mergeCell ref="H133:H134"/>
    <mergeCell ref="H137:H138"/>
    <mergeCell ref="H142:H143"/>
    <mergeCell ref="H144:H146"/>
    <mergeCell ref="H148:H149"/>
    <mergeCell ref="H151:H153"/>
    <mergeCell ref="H154:H155"/>
    <mergeCell ref="A1:G1"/>
    <mergeCell ref="H8:H9"/>
    <mergeCell ref="H10:H12"/>
    <mergeCell ref="H15:H20"/>
    <mergeCell ref="H21:H25"/>
    <mergeCell ref="H27:H28"/>
    <mergeCell ref="H29:H31"/>
    <mergeCell ref="H75:H78"/>
    <mergeCell ref="H79:H80"/>
    <mergeCell ref="H85:H87"/>
    <mergeCell ref="A88:A98"/>
    <mergeCell ref="H88:H89"/>
    <mergeCell ref="H90:H91"/>
    <mergeCell ref="H93:H95"/>
    <mergeCell ref="H96:H98"/>
    <mergeCell ref="H33:H36"/>
    <mergeCell ref="H37:H38"/>
    <mergeCell ref="H39:H40"/>
    <mergeCell ref="H41:H48"/>
    <mergeCell ref="H59:H61"/>
    <mergeCell ref="H62:H64"/>
    <mergeCell ref="H67:H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I4995"/>
  <sheetViews>
    <sheetView tabSelected="1" workbookViewId="0">
      <pane ySplit="2" topLeftCell="A4975" activePane="bottomLeft" state="frozen"/>
      <selection pane="bottomLeft" activeCell="L4993" sqref="L4993"/>
    </sheetView>
  </sheetViews>
  <sheetFormatPr defaultColWidth="12.6640625" defaultRowHeight="15.75" customHeight="1"/>
  <cols>
    <col min="1" max="1" width="12.6640625" style="431"/>
    <col min="2" max="2" width="38" style="431" customWidth="1"/>
    <col min="3" max="3" width="12.6640625" style="431"/>
    <col min="4" max="4" width="11.6640625" style="431" bestFit="1" customWidth="1"/>
    <col min="5" max="5" width="13.6640625" style="431" bestFit="1" customWidth="1"/>
    <col min="6" max="6" width="12.6640625" style="431"/>
    <col min="7" max="7" width="12.6640625" style="431" hidden="1"/>
    <col min="8" max="8" width="16.109375" style="431" customWidth="1"/>
    <col min="9" max="16384" width="12.6640625" style="431"/>
  </cols>
  <sheetData>
    <row r="1" spans="1:9" ht="28.2">
      <c r="A1" s="430" t="s">
        <v>65</v>
      </c>
      <c r="B1" s="430"/>
      <c r="C1" s="430"/>
      <c r="D1" s="430"/>
      <c r="E1" s="430"/>
      <c r="F1" s="430"/>
      <c r="G1" s="430"/>
      <c r="H1" s="430"/>
      <c r="I1" s="430"/>
    </row>
    <row r="2" spans="1:9" ht="15" customHeight="1">
      <c r="A2" s="453" t="s">
        <v>382</v>
      </c>
      <c r="B2" s="451" t="s">
        <v>383</v>
      </c>
      <c r="C2" s="432" t="s">
        <v>384</v>
      </c>
      <c r="D2" s="433" t="s">
        <v>1757</v>
      </c>
      <c r="E2" s="434" t="s">
        <v>1758</v>
      </c>
      <c r="F2" s="432" t="s">
        <v>337</v>
      </c>
      <c r="G2" s="441" t="s">
        <v>7</v>
      </c>
      <c r="H2" s="443" t="s">
        <v>6</v>
      </c>
      <c r="I2" s="435">
        <f>SUM(H3:H5481)</f>
        <v>275743411</v>
      </c>
    </row>
    <row r="3" spans="1:9" ht="13.2">
      <c r="A3" s="454" t="s">
        <v>977</v>
      </c>
      <c r="B3" s="452" t="str">
        <f>VLOOKUP(A3,'Danh mục hàng hóa'!$C$3:$D$643,2,0)</f>
        <v>Móc khóa đôi heo</v>
      </c>
      <c r="C3" s="436" t="str">
        <f>VLOOKUP(A3,'Danh mục hàng hóa'!$C$3:$E$656,3,0)</f>
        <v>cái</v>
      </c>
      <c r="D3" s="437">
        <f>VLOOKUP(A3,'Danh mục hàng hóa'!$C$3:$M$656,6,0)</f>
        <v>56580</v>
      </c>
      <c r="E3" s="438">
        <v>1</v>
      </c>
      <c r="F3" s="439">
        <f t="shared" ref="F3:F257" si="0">D3*E3</f>
        <v>56580</v>
      </c>
      <c r="G3" s="442"/>
      <c r="H3" s="444">
        <v>44051</v>
      </c>
    </row>
    <row r="4" spans="1:9" ht="13.2">
      <c r="A4" s="454" t="s">
        <v>647</v>
      </c>
      <c r="B4" s="452" t="str">
        <f>VLOOKUP(A4,'Danh mục hàng hóa'!$C$3:$D$643,2,0)</f>
        <v>Cài tóc kem</v>
      </c>
      <c r="C4" s="436" t="str">
        <f>VLOOKUP(A4,'Danh mục hàng hóa'!$C$3:$E$656,3,0)</f>
        <v>cái</v>
      </c>
      <c r="D4" s="437">
        <f>VLOOKUP(A4,'Danh mục hàng hóa'!$C$3:$M$656,6,0)</f>
        <v>21000</v>
      </c>
      <c r="E4" s="438">
        <v>1</v>
      </c>
      <c r="F4" s="439">
        <f t="shared" si="0"/>
        <v>21000</v>
      </c>
      <c r="G4" s="442"/>
      <c r="H4" s="445">
        <v>47664</v>
      </c>
    </row>
    <row r="5" spans="1:9" ht="13.2">
      <c r="A5" s="454" t="s">
        <v>489</v>
      </c>
      <c r="B5" s="452" t="str">
        <f>VLOOKUP(A5,'Danh mục hàng hóa'!$C$3:$D$643,2,0)</f>
        <v>Trâm cài 04</v>
      </c>
      <c r="C5" s="436" t="str">
        <f>VLOOKUP(A5,'Danh mục hàng hóa'!$C$3:$E$656,3,0)</f>
        <v>cây</v>
      </c>
      <c r="D5" s="437">
        <f>VLOOKUP(A5,'Danh mục hàng hóa'!$C$3:$M$656,6,0)</f>
        <v>11040</v>
      </c>
      <c r="E5" s="438">
        <v>1</v>
      </c>
      <c r="F5" s="439">
        <f t="shared" si="0"/>
        <v>11040</v>
      </c>
      <c r="G5" s="442"/>
      <c r="H5" s="446"/>
    </row>
    <row r="6" spans="1:9" ht="13.2">
      <c r="A6" s="454" t="s">
        <v>499</v>
      </c>
      <c r="B6" s="452" t="str">
        <f>VLOOKUP(A6,'Danh mục hàng hóa'!$C$3:$D$643,2,0)</f>
        <v>Trâm cài 09</v>
      </c>
      <c r="C6" s="436" t="str">
        <f>VLOOKUP(A6,'Danh mục hàng hóa'!$C$3:$E$656,3,0)</f>
        <v>cây</v>
      </c>
      <c r="D6" s="437">
        <f>VLOOKUP(A6,'Danh mục hàng hóa'!$C$3:$M$656,6,0)</f>
        <v>28520</v>
      </c>
      <c r="E6" s="438">
        <v>1</v>
      </c>
      <c r="F6" s="439">
        <f t="shared" si="0"/>
        <v>28520</v>
      </c>
      <c r="G6" s="442"/>
      <c r="H6" s="446"/>
    </row>
    <row r="7" spans="1:9" ht="13.2">
      <c r="A7" s="454" t="s">
        <v>887</v>
      </c>
      <c r="B7" s="452" t="str">
        <f>VLOOKUP(A7,'Danh mục hàng hóa'!$C$3:$D$643,2,0)</f>
        <v>Mèo chong chóng</v>
      </c>
      <c r="C7" s="436" t="str">
        <f>VLOOKUP(A7,'Danh mục hàng hóa'!$C$3:$E$656,3,0)</f>
        <v>cái</v>
      </c>
      <c r="D7" s="437">
        <f>VLOOKUP(A7,'Danh mục hàng hóa'!$C$3:$M$656,6,0)</f>
        <v>54740</v>
      </c>
      <c r="E7" s="438">
        <v>1</v>
      </c>
      <c r="F7" s="439">
        <f t="shared" si="0"/>
        <v>54740</v>
      </c>
      <c r="G7" s="442"/>
      <c r="H7" s="444">
        <v>49114</v>
      </c>
    </row>
    <row r="8" spans="1:9" ht="13.2">
      <c r="A8" s="454" t="s">
        <v>424</v>
      </c>
      <c r="B8" s="452" t="str">
        <f>VLOOKUP(A8,'Danh mục hàng hóa'!$C$3:$D$643,2,0)</f>
        <v>Túi chườm bụng vịt vàng 500ml</v>
      </c>
      <c r="C8" s="436" t="str">
        <f>VLOOKUP(A8,'Danh mục hàng hóa'!$C$3:$E$656,3,0)</f>
        <v>túi</v>
      </c>
      <c r="D8" s="437">
        <f>VLOOKUP(A8,'Danh mục hàng hóa'!$C$3:$M$656,6,0)</f>
        <v>72250</v>
      </c>
      <c r="E8" s="438">
        <v>1</v>
      </c>
      <c r="F8" s="439">
        <f t="shared" si="0"/>
        <v>72250</v>
      </c>
      <c r="G8" s="442"/>
      <c r="H8" s="444">
        <v>56502</v>
      </c>
    </row>
    <row r="9" spans="1:9" ht="13.2">
      <c r="A9" s="454" t="s">
        <v>792</v>
      </c>
      <c r="B9" s="452" t="str">
        <f>VLOOKUP(A9,'Danh mục hàng hóa'!$C$3:$D$643,2,0)</f>
        <v>Kẹp tóc bướm xanh ngọc</v>
      </c>
      <c r="C9" s="436" t="str">
        <f>VLOOKUP(A9,'Danh mục hàng hóa'!$C$3:$E$656,3,0)</f>
        <v>cái</v>
      </c>
      <c r="D9" s="437">
        <f>VLOOKUP(A9,'Danh mục hàng hóa'!$C$3:$M$656,6,0)</f>
        <v>38000</v>
      </c>
      <c r="E9" s="438">
        <v>1</v>
      </c>
      <c r="F9" s="439">
        <f t="shared" si="0"/>
        <v>38000</v>
      </c>
      <c r="G9" s="442"/>
      <c r="H9" s="447">
        <v>77472</v>
      </c>
    </row>
    <row r="10" spans="1:9" ht="13.2">
      <c r="A10" s="454" t="s">
        <v>794</v>
      </c>
      <c r="B10" s="452" t="str">
        <f>VLOOKUP(A10,'Danh mục hàng hóa'!$C$3:$D$643,2,0)</f>
        <v>Kẹp tóc bướm xanh tím</v>
      </c>
      <c r="C10" s="436" t="str">
        <f>VLOOKUP(A10,'Danh mục hàng hóa'!$C$3:$E$656,3,0)</f>
        <v>cái</v>
      </c>
      <c r="D10" s="437">
        <f>VLOOKUP(A10,'Danh mục hàng hóa'!$C$3:$M$656,6,0)</f>
        <v>40000</v>
      </c>
      <c r="E10" s="438">
        <v>1</v>
      </c>
      <c r="F10" s="439">
        <f t="shared" si="0"/>
        <v>40000</v>
      </c>
      <c r="G10" s="442"/>
      <c r="H10" s="446"/>
    </row>
    <row r="11" spans="1:9" ht="13.2">
      <c r="A11" s="454" t="s">
        <v>977</v>
      </c>
      <c r="B11" s="452" t="str">
        <f>VLOOKUP(A11,'Danh mục hàng hóa'!$C$3:$D$643,2,0)</f>
        <v>Móc khóa đôi heo</v>
      </c>
      <c r="C11" s="436" t="str">
        <f>VLOOKUP(A11,'Danh mục hàng hóa'!$C$3:$E$656,3,0)</f>
        <v>cái</v>
      </c>
      <c r="D11" s="437">
        <f>VLOOKUP(A11,'Danh mục hàng hóa'!$C$3:$M$656,6,0)</f>
        <v>56580</v>
      </c>
      <c r="E11" s="438">
        <v>1</v>
      </c>
      <c r="F11" s="439">
        <f t="shared" si="0"/>
        <v>56580</v>
      </c>
      <c r="G11" s="442"/>
      <c r="H11" s="448">
        <v>44811</v>
      </c>
    </row>
    <row r="12" spans="1:9" ht="13.2">
      <c r="A12" s="454" t="s">
        <v>796</v>
      </c>
      <c r="B12" s="452" t="str">
        <f>VLOOKUP(A12,'Danh mục hàng hóa'!$C$3:$D$643,2,0)</f>
        <v>Kẹp tóc bướm tím</v>
      </c>
      <c r="C12" s="436" t="str">
        <f>VLOOKUP(A12,'Danh mục hàng hóa'!$C$3:$E$656,3,0)</f>
        <v>cái</v>
      </c>
      <c r="D12" s="437">
        <f>VLOOKUP(A12,'Danh mục hàng hóa'!$C$3:$M$656,6,0)</f>
        <v>38000</v>
      </c>
      <c r="E12" s="438">
        <v>1</v>
      </c>
      <c r="F12" s="439">
        <f t="shared" si="0"/>
        <v>38000</v>
      </c>
      <c r="G12" s="442"/>
      <c r="H12" s="447">
        <v>60132</v>
      </c>
    </row>
    <row r="13" spans="1:9" ht="13.2">
      <c r="A13" s="454" t="s">
        <v>790</v>
      </c>
      <c r="B13" s="452" t="str">
        <f>VLOOKUP(A13,'Danh mục hàng hóa'!$C$3:$D$643,2,0)</f>
        <v xml:space="preserve">Kẹp tóc bướm hồng </v>
      </c>
      <c r="C13" s="436" t="str">
        <f>VLOOKUP(A13,'Danh mục hàng hóa'!$C$3:$E$656,3,0)</f>
        <v>cái</v>
      </c>
      <c r="D13" s="437">
        <f>VLOOKUP(A13,'Danh mục hàng hóa'!$C$3:$M$656,6,0)</f>
        <v>40000</v>
      </c>
      <c r="E13" s="438">
        <v>1</v>
      </c>
      <c r="F13" s="439">
        <f t="shared" si="0"/>
        <v>40000</v>
      </c>
      <c r="G13" s="442"/>
      <c r="H13" s="446"/>
    </row>
    <row r="14" spans="1:9" ht="13.2">
      <c r="A14" s="454" t="s">
        <v>796</v>
      </c>
      <c r="B14" s="452" t="str">
        <f>VLOOKUP(A14,'Danh mục hàng hóa'!$C$3:$D$643,2,0)</f>
        <v>Kẹp tóc bướm tím</v>
      </c>
      <c r="C14" s="436" t="str">
        <f>VLOOKUP(A14,'Danh mục hàng hóa'!$C$3:$E$656,3,0)</f>
        <v>cái</v>
      </c>
      <c r="D14" s="437">
        <f>VLOOKUP(A14,'Danh mục hàng hóa'!$C$3:$M$656,6,0)</f>
        <v>38000</v>
      </c>
      <c r="E14" s="438">
        <v>1</v>
      </c>
      <c r="F14" s="439">
        <f t="shared" si="0"/>
        <v>38000</v>
      </c>
      <c r="G14" s="442"/>
      <c r="H14" s="448">
        <v>33140</v>
      </c>
    </row>
    <row r="15" spans="1:9" ht="13.2">
      <c r="A15" s="454" t="s">
        <v>794</v>
      </c>
      <c r="B15" s="452" t="str">
        <f>VLOOKUP(A15,'Danh mục hàng hóa'!$C$3:$D$643,2,0)</f>
        <v>Kẹp tóc bướm xanh tím</v>
      </c>
      <c r="C15" s="436" t="str">
        <f>VLOOKUP(A15,'Danh mục hàng hóa'!$C$3:$E$656,3,0)</f>
        <v>cái</v>
      </c>
      <c r="D15" s="437">
        <f>VLOOKUP(A15,'Danh mục hàng hóa'!$C$3:$M$656,6,0)</f>
        <v>40000</v>
      </c>
      <c r="E15" s="438">
        <v>1</v>
      </c>
      <c r="F15" s="439">
        <f t="shared" si="0"/>
        <v>40000</v>
      </c>
      <c r="G15" s="442"/>
      <c r="H15" s="448">
        <v>33440</v>
      </c>
    </row>
    <row r="16" spans="1:9" ht="13.2">
      <c r="A16" s="454" t="s">
        <v>792</v>
      </c>
      <c r="B16" s="452" t="str">
        <f>VLOOKUP(A16,'Danh mục hàng hóa'!$C$3:$D$643,2,0)</f>
        <v>Kẹp tóc bướm xanh ngọc</v>
      </c>
      <c r="C16" s="436" t="str">
        <f>VLOOKUP(A16,'Danh mục hàng hóa'!$C$3:$E$656,3,0)</f>
        <v>cái</v>
      </c>
      <c r="D16" s="437">
        <f>VLOOKUP(A16,'Danh mục hàng hóa'!$C$3:$M$656,6,0)</f>
        <v>38000</v>
      </c>
      <c r="E16" s="438">
        <v>1</v>
      </c>
      <c r="F16" s="439">
        <f t="shared" si="0"/>
        <v>38000</v>
      </c>
      <c r="G16" s="442"/>
      <c r="H16" s="448">
        <v>33440</v>
      </c>
    </row>
    <row r="17" spans="1:8" ht="13.2">
      <c r="A17" s="454" t="s">
        <v>788</v>
      </c>
      <c r="B17" s="452" t="str">
        <f>VLOOKUP(A17,'Danh mục hàng hóa'!$C$3:$D$643,2,0)</f>
        <v>Kẹp tóc bướm hồng phấn</v>
      </c>
      <c r="C17" s="436" t="str">
        <f>VLOOKUP(A17,'Danh mục hàng hóa'!$C$3:$E$656,3,0)</f>
        <v>cái</v>
      </c>
      <c r="D17" s="437">
        <f>VLOOKUP(A17,'Danh mục hàng hóa'!$C$3:$M$656,6,0)</f>
        <v>38000</v>
      </c>
      <c r="E17" s="438">
        <v>1</v>
      </c>
      <c r="F17" s="439">
        <f t="shared" si="0"/>
        <v>38000</v>
      </c>
      <c r="G17" s="442"/>
      <c r="H17" s="448">
        <v>32340</v>
      </c>
    </row>
    <row r="18" spans="1:8" ht="13.2">
      <c r="A18" s="454" t="s">
        <v>792</v>
      </c>
      <c r="B18" s="452" t="str">
        <f>VLOOKUP(A18,'Danh mục hàng hóa'!$C$3:$D$643,2,0)</f>
        <v>Kẹp tóc bướm xanh ngọc</v>
      </c>
      <c r="C18" s="436" t="str">
        <f>VLOOKUP(A18,'Danh mục hàng hóa'!$C$3:$E$656,3,0)</f>
        <v>cái</v>
      </c>
      <c r="D18" s="437">
        <f>VLOOKUP(A18,'Danh mục hàng hóa'!$C$3:$M$656,6,0)</f>
        <v>38000</v>
      </c>
      <c r="E18" s="438">
        <v>1</v>
      </c>
      <c r="F18" s="439">
        <f t="shared" si="0"/>
        <v>38000</v>
      </c>
      <c r="G18" s="442"/>
      <c r="H18" s="448">
        <v>33380</v>
      </c>
    </row>
    <row r="19" spans="1:8" ht="13.2">
      <c r="A19" s="454" t="s">
        <v>794</v>
      </c>
      <c r="B19" s="452" t="str">
        <f>VLOOKUP(A19,'Danh mục hàng hóa'!$C$3:$D$643,2,0)</f>
        <v>Kẹp tóc bướm xanh tím</v>
      </c>
      <c r="C19" s="436" t="str">
        <f>VLOOKUP(A19,'Danh mục hàng hóa'!$C$3:$E$656,3,0)</f>
        <v>cái</v>
      </c>
      <c r="D19" s="437">
        <f>VLOOKUP(A19,'Danh mục hàng hóa'!$C$3:$M$656,6,0)</f>
        <v>40000</v>
      </c>
      <c r="E19" s="438">
        <v>1</v>
      </c>
      <c r="F19" s="439">
        <f t="shared" si="0"/>
        <v>40000</v>
      </c>
      <c r="G19" s="442"/>
      <c r="H19" s="448">
        <v>33380</v>
      </c>
    </row>
    <row r="20" spans="1:8" ht="13.2">
      <c r="A20" s="454" t="s">
        <v>792</v>
      </c>
      <c r="B20" s="452" t="str">
        <f>VLOOKUP(A20,'Danh mục hàng hóa'!$C$3:$D$643,2,0)</f>
        <v>Kẹp tóc bướm xanh ngọc</v>
      </c>
      <c r="C20" s="436" t="str">
        <f>VLOOKUP(A20,'Danh mục hàng hóa'!$C$3:$E$656,3,0)</f>
        <v>cái</v>
      </c>
      <c r="D20" s="437">
        <f>VLOOKUP(A20,'Danh mục hàng hóa'!$C$3:$M$656,6,0)</f>
        <v>38000</v>
      </c>
      <c r="E20" s="438">
        <v>1</v>
      </c>
      <c r="F20" s="439">
        <f t="shared" si="0"/>
        <v>38000</v>
      </c>
      <c r="G20" s="442"/>
      <c r="H20" s="447">
        <v>60132</v>
      </c>
    </row>
    <row r="21" spans="1:8" ht="13.2">
      <c r="A21" s="454" t="s">
        <v>790</v>
      </c>
      <c r="B21" s="452" t="str">
        <f>VLOOKUP(A21,'Danh mục hàng hóa'!$C$3:$D$643,2,0)</f>
        <v xml:space="preserve">Kẹp tóc bướm hồng </v>
      </c>
      <c r="C21" s="436" t="str">
        <f>VLOOKUP(A21,'Danh mục hàng hóa'!$C$3:$E$656,3,0)</f>
        <v>cái</v>
      </c>
      <c r="D21" s="437">
        <f>VLOOKUP(A21,'Danh mục hàng hóa'!$C$3:$M$656,6,0)</f>
        <v>40000</v>
      </c>
      <c r="E21" s="438">
        <v>1</v>
      </c>
      <c r="F21" s="439">
        <f t="shared" si="0"/>
        <v>40000</v>
      </c>
      <c r="G21" s="442"/>
      <c r="H21" s="446"/>
    </row>
    <row r="22" spans="1:8" ht="13.2">
      <c r="A22" s="454" t="s">
        <v>788</v>
      </c>
      <c r="B22" s="452" t="str">
        <f>VLOOKUP(A22,'Danh mục hàng hóa'!$C$3:$D$643,2,0)</f>
        <v>Kẹp tóc bướm hồng phấn</v>
      </c>
      <c r="C22" s="436" t="str">
        <f>VLOOKUP(A22,'Danh mục hàng hóa'!$C$3:$E$656,3,0)</f>
        <v>cái</v>
      </c>
      <c r="D22" s="437">
        <f>VLOOKUP(A22,'Danh mục hàng hóa'!$C$3:$M$656,6,0)</f>
        <v>38000</v>
      </c>
      <c r="E22" s="438">
        <v>1</v>
      </c>
      <c r="F22" s="439">
        <f t="shared" si="0"/>
        <v>38000</v>
      </c>
      <c r="G22" s="442"/>
      <c r="H22" s="447">
        <v>271039</v>
      </c>
    </row>
    <row r="23" spans="1:8" ht="13.2">
      <c r="A23" s="454" t="s">
        <v>732</v>
      </c>
      <c r="B23" s="452" t="str">
        <f>VLOOKUP(A23,'Danh mục hàng hóa'!$C$3:$D$643,2,0)</f>
        <v>Kẹp tóc hoa sứ tím</v>
      </c>
      <c r="C23" s="436" t="str">
        <f>VLOOKUP(A23,'Danh mục hàng hóa'!$C$3:$E$656,3,0)</f>
        <v>cái</v>
      </c>
      <c r="D23" s="437">
        <f>VLOOKUP(A23,'Danh mục hàng hóa'!$C$3:$M$656,6,0)</f>
        <v>18500</v>
      </c>
      <c r="E23" s="438">
        <v>1</v>
      </c>
      <c r="F23" s="439">
        <f t="shared" si="0"/>
        <v>18500</v>
      </c>
      <c r="G23" s="442"/>
      <c r="H23" s="446"/>
    </row>
    <row r="24" spans="1:8" ht="13.2">
      <c r="A24" s="454" t="s">
        <v>800</v>
      </c>
      <c r="B24" s="452" t="str">
        <f>VLOOKUP(A24,'Danh mục hàng hóa'!$C$3:$D$643,2,0)</f>
        <v>Kẹp tóc bướm kem</v>
      </c>
      <c r="C24" s="436" t="str">
        <f>VLOOKUP(A24,'Danh mục hàng hóa'!$C$3:$E$656,3,0)</f>
        <v>cái</v>
      </c>
      <c r="D24" s="437">
        <f>VLOOKUP(A24,'Danh mục hàng hóa'!$C$3:$M$656,6,0)</f>
        <v>38000</v>
      </c>
      <c r="E24" s="438">
        <v>1</v>
      </c>
      <c r="F24" s="439">
        <f t="shared" si="0"/>
        <v>38000</v>
      </c>
      <c r="G24" s="442"/>
      <c r="H24" s="446"/>
    </row>
    <row r="25" spans="1:8" ht="13.2">
      <c r="A25" s="455" t="s">
        <v>736</v>
      </c>
      <c r="B25" s="452" t="str">
        <f>VLOOKUP(A25,'Danh mục hàng hóa'!$C$3:$D$643,2,0)</f>
        <v>Kẹp tóc hoa sứ vàng</v>
      </c>
      <c r="C25" s="436" t="str">
        <f>VLOOKUP(A25,'Danh mục hàng hóa'!$C$3:$E$656,3,0)</f>
        <v>cái</v>
      </c>
      <c r="D25" s="437">
        <f>VLOOKUP(A25,'Danh mục hàng hóa'!$C$3:$M$656,6,0)</f>
        <v>18500</v>
      </c>
      <c r="E25" s="438">
        <v>1</v>
      </c>
      <c r="F25" s="439">
        <f t="shared" si="0"/>
        <v>18500</v>
      </c>
      <c r="G25" s="442"/>
      <c r="H25" s="446"/>
    </row>
    <row r="26" spans="1:8" ht="13.2">
      <c r="A26" s="454" t="s">
        <v>792</v>
      </c>
      <c r="B26" s="452" t="str">
        <f>VLOOKUP(A26,'Danh mục hàng hóa'!$C$3:$D$643,2,0)</f>
        <v>Kẹp tóc bướm xanh ngọc</v>
      </c>
      <c r="C26" s="436" t="str">
        <f>VLOOKUP(A26,'Danh mục hàng hóa'!$C$3:$E$656,3,0)</f>
        <v>cái</v>
      </c>
      <c r="D26" s="437">
        <f>VLOOKUP(A26,'Danh mục hàng hóa'!$C$3:$M$656,6,0)</f>
        <v>38000</v>
      </c>
      <c r="E26" s="438">
        <v>1</v>
      </c>
      <c r="F26" s="439">
        <f t="shared" si="0"/>
        <v>38000</v>
      </c>
      <c r="G26" s="442"/>
      <c r="H26" s="446"/>
    </row>
    <row r="27" spans="1:8" ht="13.2">
      <c r="A27" s="454" t="s">
        <v>742</v>
      </c>
      <c r="B27" s="452" t="str">
        <f>VLOOKUP(A27,'Danh mục hàng hóa'!$C$3:$D$643,2,0)</f>
        <v>Kẹp tóc hoa sứ xanh</v>
      </c>
      <c r="C27" s="436" t="str">
        <f>VLOOKUP(A27,'Danh mục hàng hóa'!$C$3:$E$656,3,0)</f>
        <v>cái</v>
      </c>
      <c r="D27" s="437">
        <f>VLOOKUP(A27,'Danh mục hàng hóa'!$C$3:$M$656,6,0)</f>
        <v>18500</v>
      </c>
      <c r="E27" s="438">
        <v>1</v>
      </c>
      <c r="F27" s="439">
        <f t="shared" si="0"/>
        <v>18500</v>
      </c>
      <c r="G27" s="442"/>
      <c r="H27" s="446"/>
    </row>
    <row r="28" spans="1:8" ht="13.2">
      <c r="A28" s="455" t="s">
        <v>794</v>
      </c>
      <c r="B28" s="452" t="str">
        <f>VLOOKUP(A28,'Danh mục hàng hóa'!$C$3:$D$643,2,0)</f>
        <v>Kẹp tóc bướm xanh tím</v>
      </c>
      <c r="C28" s="436" t="str">
        <f>VLOOKUP(A28,'Danh mục hàng hóa'!$C$3:$E$656,3,0)</f>
        <v>cái</v>
      </c>
      <c r="D28" s="437">
        <f>VLOOKUP(A28,'Danh mục hàng hóa'!$C$3:$M$656,6,0)</f>
        <v>40000</v>
      </c>
      <c r="E28" s="438">
        <v>1</v>
      </c>
      <c r="F28" s="439">
        <f t="shared" si="0"/>
        <v>40000</v>
      </c>
      <c r="G28" s="442"/>
      <c r="H28" s="446"/>
    </row>
    <row r="29" spans="1:8" ht="13.2">
      <c r="A29" s="454" t="s">
        <v>734</v>
      </c>
      <c r="B29" s="452" t="str">
        <f>VLOOKUP(A29,'Danh mục hàng hóa'!$C$3:$D$643,2,0)</f>
        <v>Kẹp tóc hoa sứ hồng</v>
      </c>
      <c r="C29" s="436" t="str">
        <f>VLOOKUP(A29,'Danh mục hàng hóa'!$C$3:$E$656,3,0)</f>
        <v>cái</v>
      </c>
      <c r="D29" s="437">
        <f>VLOOKUP(A29,'Danh mục hàng hóa'!$C$3:$M$656,6,0)</f>
        <v>18500</v>
      </c>
      <c r="E29" s="438">
        <v>1</v>
      </c>
      <c r="F29" s="439">
        <f t="shared" si="0"/>
        <v>18500</v>
      </c>
      <c r="G29" s="442"/>
      <c r="H29" s="446"/>
    </row>
    <row r="30" spans="1:8" ht="13.2">
      <c r="A30" s="454" t="s">
        <v>796</v>
      </c>
      <c r="B30" s="452" t="str">
        <f>VLOOKUP(A30,'Danh mục hàng hóa'!$C$3:$D$643,2,0)</f>
        <v>Kẹp tóc bướm tím</v>
      </c>
      <c r="C30" s="436" t="str">
        <f>VLOOKUP(A30,'Danh mục hàng hóa'!$C$3:$E$656,3,0)</f>
        <v>cái</v>
      </c>
      <c r="D30" s="437">
        <f>VLOOKUP(A30,'Danh mục hàng hóa'!$C$3:$M$656,6,0)</f>
        <v>38000</v>
      </c>
      <c r="E30" s="438">
        <v>1</v>
      </c>
      <c r="F30" s="439">
        <f t="shared" si="0"/>
        <v>38000</v>
      </c>
      <c r="G30" s="442"/>
      <c r="H30" s="446"/>
    </row>
    <row r="31" spans="1:8" ht="13.2">
      <c r="A31" s="455" t="s">
        <v>740</v>
      </c>
      <c r="B31" s="452" t="str">
        <f>VLOOKUP(A31,'Danh mục hàng hóa'!$C$3:$D$643,2,0)</f>
        <v>Kẹp tóc hoa sứ đỏ</v>
      </c>
      <c r="C31" s="436" t="str">
        <f>VLOOKUP(A31,'Danh mục hàng hóa'!$C$3:$E$656,3,0)</f>
        <v>cái</v>
      </c>
      <c r="D31" s="437">
        <f>VLOOKUP(A31,'Danh mục hàng hóa'!$C$3:$M$656,6,0)</f>
        <v>18500</v>
      </c>
      <c r="E31" s="438">
        <v>1</v>
      </c>
      <c r="F31" s="439">
        <f t="shared" si="0"/>
        <v>18500</v>
      </c>
      <c r="G31" s="442"/>
      <c r="H31" s="446"/>
    </row>
    <row r="32" spans="1:8" ht="13.2">
      <c r="A32" s="454" t="s">
        <v>790</v>
      </c>
      <c r="B32" s="452" t="str">
        <f>VLOOKUP(A32,'Danh mục hàng hóa'!$C$3:$D$643,2,0)</f>
        <v xml:space="preserve">Kẹp tóc bướm hồng </v>
      </c>
      <c r="C32" s="436" t="str">
        <f>VLOOKUP(A32,'Danh mục hàng hóa'!$C$3:$E$656,3,0)</f>
        <v>cái</v>
      </c>
      <c r="D32" s="437">
        <f>VLOOKUP(A32,'Danh mục hàng hóa'!$C$3:$M$656,6,0)</f>
        <v>40000</v>
      </c>
      <c r="E32" s="438">
        <v>1</v>
      </c>
      <c r="F32" s="439">
        <f t="shared" si="0"/>
        <v>40000</v>
      </c>
      <c r="G32" s="442"/>
      <c r="H32" s="446"/>
    </row>
    <row r="33" spans="1:8" ht="13.2">
      <c r="A33" s="454" t="s">
        <v>738</v>
      </c>
      <c r="B33" s="452" t="str">
        <f>VLOOKUP(A33,'Danh mục hàng hóa'!$C$3:$D$643,2,0)</f>
        <v>Kẹp tóc hoa sứ cam</v>
      </c>
      <c r="C33" s="436" t="str">
        <f>VLOOKUP(A33,'Danh mục hàng hóa'!$C$3:$E$656,3,0)</f>
        <v>cái</v>
      </c>
      <c r="D33" s="437">
        <f>VLOOKUP(A33,'Danh mục hàng hóa'!$C$3:$M$656,6,0)</f>
        <v>18500</v>
      </c>
      <c r="E33" s="438">
        <v>1</v>
      </c>
      <c r="F33" s="439">
        <f t="shared" si="0"/>
        <v>18500</v>
      </c>
      <c r="G33" s="442"/>
      <c r="H33" s="446"/>
    </row>
    <row r="34" spans="1:8" ht="13.2">
      <c r="A34" s="454" t="s">
        <v>788</v>
      </c>
      <c r="B34" s="452" t="str">
        <f>VLOOKUP(A34,'Danh mục hàng hóa'!$C$3:$D$643,2,0)</f>
        <v>Kẹp tóc bướm hồng phấn</v>
      </c>
      <c r="C34" s="436" t="str">
        <f>VLOOKUP(A34,'Danh mục hàng hóa'!$C$3:$E$656,3,0)</f>
        <v>cái</v>
      </c>
      <c r="D34" s="437">
        <f>VLOOKUP(A34,'Danh mục hàng hóa'!$C$3:$M$656,6,0)</f>
        <v>38000</v>
      </c>
      <c r="E34" s="438">
        <v>1</v>
      </c>
      <c r="F34" s="439">
        <f t="shared" si="0"/>
        <v>38000</v>
      </c>
      <c r="G34" s="442"/>
      <c r="H34" s="447">
        <v>90288</v>
      </c>
    </row>
    <row r="35" spans="1:8" ht="13.2">
      <c r="A35" s="454" t="s">
        <v>794</v>
      </c>
      <c r="B35" s="452" t="str">
        <f>VLOOKUP(A35,'Danh mục hàng hóa'!$C$3:$D$643,2,0)</f>
        <v>Kẹp tóc bướm xanh tím</v>
      </c>
      <c r="C35" s="436" t="str">
        <f>VLOOKUP(A35,'Danh mục hàng hóa'!$C$3:$E$656,3,0)</f>
        <v>cái</v>
      </c>
      <c r="D35" s="437">
        <f>VLOOKUP(A35,'Danh mục hàng hóa'!$C$3:$M$656,6,0)</f>
        <v>40000</v>
      </c>
      <c r="E35" s="438">
        <v>1</v>
      </c>
      <c r="F35" s="439">
        <f t="shared" si="0"/>
        <v>40000</v>
      </c>
      <c r="G35" s="442"/>
      <c r="H35" s="446"/>
    </row>
    <row r="36" spans="1:8" ht="13.2">
      <c r="A36" s="455" t="s">
        <v>796</v>
      </c>
      <c r="B36" s="452" t="str">
        <f>VLOOKUP(A36,'Danh mục hàng hóa'!$C$3:$D$643,2,0)</f>
        <v>Kẹp tóc bướm tím</v>
      </c>
      <c r="C36" s="436" t="str">
        <f>VLOOKUP(A36,'Danh mục hàng hóa'!$C$3:$E$656,3,0)</f>
        <v>cái</v>
      </c>
      <c r="D36" s="437">
        <f>VLOOKUP(A36,'Danh mục hàng hóa'!$C$3:$M$656,6,0)</f>
        <v>38000</v>
      </c>
      <c r="E36" s="438">
        <v>1</v>
      </c>
      <c r="F36" s="439">
        <f t="shared" si="0"/>
        <v>38000</v>
      </c>
      <c r="G36" s="442"/>
      <c r="H36" s="446"/>
    </row>
    <row r="37" spans="1:8" ht="13.2">
      <c r="A37" s="454" t="s">
        <v>981</v>
      </c>
      <c r="B37" s="452" t="str">
        <f>VLOOKUP(A37,'Danh mục hàng hóa'!$C$3:$D$643,2,0)</f>
        <v>Móc khóa đôi corgy</v>
      </c>
      <c r="C37" s="436" t="str">
        <f>VLOOKUP(A37,'Danh mục hàng hóa'!$C$3:$E$656,3,0)</f>
        <v>cái</v>
      </c>
      <c r="D37" s="437">
        <f>VLOOKUP(A37,'Danh mục hàng hóa'!$C$3:$M$656,6,0)</f>
        <v>56580</v>
      </c>
      <c r="E37" s="438">
        <v>1</v>
      </c>
      <c r="F37" s="439">
        <f t="shared" si="0"/>
        <v>56580</v>
      </c>
      <c r="G37" s="442"/>
      <c r="H37" s="448">
        <v>44751</v>
      </c>
    </row>
    <row r="38" spans="1:8" ht="13.2">
      <c r="A38" s="454" t="s">
        <v>917</v>
      </c>
      <c r="B38" s="452" t="str">
        <f>VLOOKUP(A38,'Danh mục hàng hóa'!$C$3:$D$643,2,0)</f>
        <v>Thỏ đi vịt gắn xe</v>
      </c>
      <c r="C38" s="436" t="str">
        <f>VLOOKUP(A38,'Danh mục hàng hóa'!$C$3:$E$656,3,0)</f>
        <v>cái</v>
      </c>
      <c r="D38" s="437">
        <f>VLOOKUP(A38,'Danh mục hàng hóa'!$C$3:$M$656,6,0)</f>
        <v>45000</v>
      </c>
      <c r="E38" s="438">
        <v>1</v>
      </c>
      <c r="F38" s="439">
        <f t="shared" si="0"/>
        <v>45000</v>
      </c>
      <c r="G38" s="442"/>
      <c r="H38" s="448">
        <v>39280</v>
      </c>
    </row>
    <row r="39" spans="1:8" ht="13.2">
      <c r="A39" s="455" t="s">
        <v>788</v>
      </c>
      <c r="B39" s="452" t="str">
        <f>VLOOKUP(A39,'Danh mục hàng hóa'!$C$3:$D$643,2,0)</f>
        <v>Kẹp tóc bướm hồng phấn</v>
      </c>
      <c r="C39" s="436" t="str">
        <f>VLOOKUP(A39,'Danh mục hàng hóa'!$C$3:$E$656,3,0)</f>
        <v>cái</v>
      </c>
      <c r="D39" s="437">
        <f>VLOOKUP(A39,'Danh mục hàng hóa'!$C$3:$M$656,6,0)</f>
        <v>38000</v>
      </c>
      <c r="E39" s="438">
        <v>1</v>
      </c>
      <c r="F39" s="439">
        <f t="shared" si="0"/>
        <v>38000</v>
      </c>
      <c r="G39" s="442"/>
      <c r="H39" s="448">
        <v>33440</v>
      </c>
    </row>
    <row r="40" spans="1:8" ht="13.2">
      <c r="A40" s="456" t="s">
        <v>800</v>
      </c>
      <c r="B40" s="452" t="str">
        <f>VLOOKUP(A40,'Danh mục hàng hóa'!$C$3:$D$643,2,0)</f>
        <v>Kẹp tóc bướm kem</v>
      </c>
      <c r="C40" s="436" t="str">
        <f>VLOOKUP(A40,'Danh mục hàng hóa'!$C$3:$E$656,3,0)</f>
        <v>cái</v>
      </c>
      <c r="D40" s="437">
        <f>VLOOKUP(A40,'Danh mục hàng hóa'!$C$3:$M$656,6,0)</f>
        <v>38000</v>
      </c>
      <c r="E40" s="438">
        <v>1</v>
      </c>
      <c r="F40" s="439">
        <f t="shared" si="0"/>
        <v>38000</v>
      </c>
      <c r="G40" s="442"/>
      <c r="H40" s="448">
        <v>33140</v>
      </c>
    </row>
    <row r="41" spans="1:8" ht="13.2">
      <c r="A41" s="456" t="s">
        <v>788</v>
      </c>
      <c r="B41" s="452" t="str">
        <f>VLOOKUP(A41,'Danh mục hàng hóa'!$C$3:$D$643,2,0)</f>
        <v>Kẹp tóc bướm hồng phấn</v>
      </c>
      <c r="C41" s="436" t="str">
        <f>VLOOKUP(A41,'Danh mục hàng hóa'!$C$3:$E$656,3,0)</f>
        <v>cái</v>
      </c>
      <c r="D41" s="437">
        <f>VLOOKUP(A41,'Danh mục hàng hóa'!$C$3:$M$656,6,0)</f>
        <v>38000</v>
      </c>
      <c r="E41" s="438">
        <v>1</v>
      </c>
      <c r="F41" s="439">
        <f t="shared" si="0"/>
        <v>38000</v>
      </c>
      <c r="G41" s="442"/>
      <c r="H41" s="448">
        <v>32720</v>
      </c>
    </row>
    <row r="42" spans="1:8" ht="13.2">
      <c r="A42" s="456" t="s">
        <v>788</v>
      </c>
      <c r="B42" s="452" t="str">
        <f>VLOOKUP(A42,'Danh mục hàng hóa'!$C$3:$D$643,2,0)</f>
        <v>Kẹp tóc bướm hồng phấn</v>
      </c>
      <c r="C42" s="436" t="str">
        <f>VLOOKUP(A42,'Danh mục hàng hóa'!$C$3:$E$656,3,0)</f>
        <v>cái</v>
      </c>
      <c r="D42" s="437">
        <f>VLOOKUP(A42,'Danh mục hàng hóa'!$C$3:$M$656,6,0)</f>
        <v>38000</v>
      </c>
      <c r="E42" s="438">
        <v>1</v>
      </c>
      <c r="F42" s="439">
        <f t="shared" si="0"/>
        <v>38000</v>
      </c>
      <c r="G42" s="442"/>
      <c r="H42" s="447">
        <v>60032</v>
      </c>
    </row>
    <row r="43" spans="1:8" ht="13.2">
      <c r="A43" s="456" t="s">
        <v>796</v>
      </c>
      <c r="B43" s="452" t="str">
        <f>VLOOKUP(A43,'Danh mục hàng hóa'!$C$3:$D$643,2,0)</f>
        <v>Kẹp tóc bướm tím</v>
      </c>
      <c r="C43" s="436" t="str">
        <f>VLOOKUP(A43,'Danh mục hàng hóa'!$C$3:$E$656,3,0)</f>
        <v>cái</v>
      </c>
      <c r="D43" s="437">
        <f>VLOOKUP(A43,'Danh mục hàng hóa'!$C$3:$M$656,6,0)</f>
        <v>38000</v>
      </c>
      <c r="E43" s="438">
        <v>1</v>
      </c>
      <c r="F43" s="439">
        <f t="shared" si="0"/>
        <v>38000</v>
      </c>
      <c r="G43" s="442"/>
      <c r="H43" s="446"/>
    </row>
    <row r="44" spans="1:8" ht="13.2">
      <c r="A44" s="456" t="s">
        <v>788</v>
      </c>
      <c r="B44" s="452" t="str">
        <f>VLOOKUP(A44,'Danh mục hàng hóa'!$C$3:$D$643,2,0)</f>
        <v>Kẹp tóc bướm hồng phấn</v>
      </c>
      <c r="C44" s="436" t="str">
        <f>VLOOKUP(A44,'Danh mục hàng hóa'!$C$3:$E$656,3,0)</f>
        <v>cái</v>
      </c>
      <c r="D44" s="437">
        <f>VLOOKUP(A44,'Danh mục hàng hóa'!$C$3:$M$656,6,0)</f>
        <v>38000</v>
      </c>
      <c r="E44" s="438">
        <v>1</v>
      </c>
      <c r="F44" s="439">
        <f t="shared" si="0"/>
        <v>38000</v>
      </c>
      <c r="G44" s="442"/>
      <c r="H44" s="447">
        <v>60132</v>
      </c>
    </row>
    <row r="45" spans="1:8" ht="13.2">
      <c r="A45" s="456" t="s">
        <v>796</v>
      </c>
      <c r="B45" s="452" t="str">
        <f>VLOOKUP(A45,'Danh mục hàng hóa'!$C$3:$D$643,2,0)</f>
        <v>Kẹp tóc bướm tím</v>
      </c>
      <c r="C45" s="436" t="str">
        <f>VLOOKUP(A45,'Danh mục hàng hóa'!$C$3:$E$656,3,0)</f>
        <v>cái</v>
      </c>
      <c r="D45" s="437">
        <f>VLOOKUP(A45,'Danh mục hàng hóa'!$C$3:$M$656,6,0)</f>
        <v>38000</v>
      </c>
      <c r="E45" s="438">
        <v>1</v>
      </c>
      <c r="F45" s="439">
        <f t="shared" si="0"/>
        <v>38000</v>
      </c>
      <c r="G45" s="442"/>
      <c r="H45" s="446"/>
    </row>
    <row r="46" spans="1:8" ht="13.2">
      <c r="A46" s="456" t="s">
        <v>1025</v>
      </c>
      <c r="B46" s="452" t="str">
        <f>VLOOKUP(A46,'Danh mục hàng hóa'!$C$3:$D$643,2,0)</f>
        <v>Mô hình mèo 1</v>
      </c>
      <c r="C46" s="436" t="str">
        <f>VLOOKUP(A46,'Danh mục hàng hóa'!$C$3:$E$656,3,0)</f>
        <v>cái</v>
      </c>
      <c r="D46" s="437">
        <f>VLOOKUP(A46,'Danh mục hàng hóa'!$C$3:$M$656,6,0)</f>
        <v>37800</v>
      </c>
      <c r="E46" s="438">
        <v>1</v>
      </c>
      <c r="F46" s="439">
        <f t="shared" si="0"/>
        <v>37800</v>
      </c>
      <c r="G46" s="442"/>
      <c r="H46" s="447">
        <v>89813</v>
      </c>
    </row>
    <row r="47" spans="1:8" ht="13.2">
      <c r="A47" s="456" t="s">
        <v>1027</v>
      </c>
      <c r="B47" s="452" t="str">
        <f>VLOOKUP(A47,'Danh mục hàng hóa'!$C$3:$D$643,2,0)</f>
        <v>Mô hình mèo 2</v>
      </c>
      <c r="C47" s="436" t="str">
        <f>VLOOKUP(A47,'Danh mục hàng hóa'!$C$3:$E$656,3,0)</f>
        <v>cái</v>
      </c>
      <c r="D47" s="437">
        <f>VLOOKUP(A47,'Danh mục hàng hóa'!$C$3:$M$656,6,0)</f>
        <v>37800</v>
      </c>
      <c r="E47" s="438">
        <v>1</v>
      </c>
      <c r="F47" s="439">
        <f t="shared" si="0"/>
        <v>37800</v>
      </c>
      <c r="G47" s="442"/>
      <c r="H47" s="446"/>
    </row>
    <row r="48" spans="1:8" ht="13.2">
      <c r="A48" s="456" t="s">
        <v>1033</v>
      </c>
      <c r="B48" s="452" t="str">
        <f>VLOOKUP(A48,'Danh mục hàng hóa'!$C$3:$D$643,2,0)</f>
        <v>Mô hình mèo 5</v>
      </c>
      <c r="C48" s="436" t="str">
        <f>VLOOKUP(A48,'Danh mục hàng hóa'!$C$3:$E$656,3,0)</f>
        <v>cái</v>
      </c>
      <c r="D48" s="437">
        <f>VLOOKUP(A48,'Danh mục hàng hóa'!$C$3:$M$656,6,0)</f>
        <v>37800</v>
      </c>
      <c r="E48" s="438">
        <v>1</v>
      </c>
      <c r="F48" s="439">
        <f t="shared" si="0"/>
        <v>37800</v>
      </c>
      <c r="G48" s="442"/>
      <c r="H48" s="446"/>
    </row>
    <row r="49" spans="1:8" ht="13.2">
      <c r="A49" s="456" t="s">
        <v>788</v>
      </c>
      <c r="B49" s="452" t="str">
        <f>VLOOKUP(A49,'Danh mục hàng hóa'!$C$3:$D$643,2,0)</f>
        <v>Kẹp tóc bướm hồng phấn</v>
      </c>
      <c r="C49" s="436" t="str">
        <f>VLOOKUP(A49,'Danh mục hàng hóa'!$C$3:$E$656,3,0)</f>
        <v>cái</v>
      </c>
      <c r="D49" s="437">
        <f>VLOOKUP(A49,'Danh mục hàng hóa'!$C$3:$M$656,6,0)</f>
        <v>38000</v>
      </c>
      <c r="E49" s="438">
        <v>1</v>
      </c>
      <c r="F49" s="439">
        <f t="shared" si="0"/>
        <v>38000</v>
      </c>
      <c r="G49" s="442"/>
      <c r="H49" s="447">
        <v>90288</v>
      </c>
    </row>
    <row r="50" spans="1:8" ht="13.2">
      <c r="A50" s="456" t="s">
        <v>800</v>
      </c>
      <c r="B50" s="452" t="str">
        <f>VLOOKUP(A50,'Danh mục hàng hóa'!$C$3:$D$643,2,0)</f>
        <v>Kẹp tóc bướm kem</v>
      </c>
      <c r="C50" s="436" t="str">
        <f>VLOOKUP(A50,'Danh mục hàng hóa'!$C$3:$E$656,3,0)</f>
        <v>cái</v>
      </c>
      <c r="D50" s="437">
        <f>VLOOKUP(A50,'Danh mục hàng hóa'!$C$3:$M$656,6,0)</f>
        <v>38000</v>
      </c>
      <c r="E50" s="438">
        <v>1</v>
      </c>
      <c r="F50" s="439">
        <f t="shared" si="0"/>
        <v>38000</v>
      </c>
      <c r="G50" s="442"/>
      <c r="H50" s="446"/>
    </row>
    <row r="51" spans="1:8" ht="13.2">
      <c r="A51" s="456" t="s">
        <v>796</v>
      </c>
      <c r="B51" s="452" t="str">
        <f>VLOOKUP(A51,'Danh mục hàng hóa'!$C$3:$D$643,2,0)</f>
        <v>Kẹp tóc bướm tím</v>
      </c>
      <c r="C51" s="436" t="str">
        <f>VLOOKUP(A51,'Danh mục hàng hóa'!$C$3:$E$656,3,0)</f>
        <v>cái</v>
      </c>
      <c r="D51" s="437">
        <f>VLOOKUP(A51,'Danh mục hàng hóa'!$C$3:$M$656,6,0)</f>
        <v>38000</v>
      </c>
      <c r="E51" s="438">
        <v>1</v>
      </c>
      <c r="F51" s="439">
        <f t="shared" si="0"/>
        <v>38000</v>
      </c>
      <c r="G51" s="442"/>
      <c r="H51" s="446"/>
    </row>
    <row r="52" spans="1:8" ht="13.2">
      <c r="A52" s="456" t="s">
        <v>800</v>
      </c>
      <c r="B52" s="452" t="str">
        <f>VLOOKUP(A52,'Danh mục hàng hóa'!$C$3:$D$643,2,0)</f>
        <v>Kẹp tóc bướm kem</v>
      </c>
      <c r="C52" s="436" t="str">
        <f>VLOOKUP(A52,'Danh mục hàng hóa'!$C$3:$E$656,3,0)</f>
        <v>cái</v>
      </c>
      <c r="D52" s="437">
        <f>VLOOKUP(A52,'Danh mục hàng hóa'!$C$3:$M$656,6,0)</f>
        <v>38000</v>
      </c>
      <c r="E52" s="438">
        <v>1</v>
      </c>
      <c r="F52" s="439">
        <f t="shared" si="0"/>
        <v>38000</v>
      </c>
      <c r="G52" s="442"/>
      <c r="H52" s="447">
        <v>60132</v>
      </c>
    </row>
    <row r="53" spans="1:8" ht="13.2">
      <c r="A53" s="456" t="s">
        <v>796</v>
      </c>
      <c r="B53" s="452" t="str">
        <f>VLOOKUP(A53,'Danh mục hàng hóa'!$C$3:$D$643,2,0)</f>
        <v>Kẹp tóc bướm tím</v>
      </c>
      <c r="C53" s="436" t="str">
        <f>VLOOKUP(A53,'Danh mục hàng hóa'!$C$3:$E$656,3,0)</f>
        <v>cái</v>
      </c>
      <c r="D53" s="437">
        <f>VLOOKUP(A53,'Danh mục hàng hóa'!$C$3:$M$656,6,0)</f>
        <v>38000</v>
      </c>
      <c r="E53" s="438">
        <v>1</v>
      </c>
      <c r="F53" s="439">
        <f t="shared" si="0"/>
        <v>38000</v>
      </c>
      <c r="G53" s="442"/>
      <c r="H53" s="446"/>
    </row>
    <row r="54" spans="1:8" ht="13.2">
      <c r="A54" s="456" t="s">
        <v>788</v>
      </c>
      <c r="B54" s="452" t="str">
        <f>VLOOKUP(A54,'Danh mục hàng hóa'!$C$3:$D$643,2,0)</f>
        <v>Kẹp tóc bướm hồng phấn</v>
      </c>
      <c r="C54" s="436" t="str">
        <f>VLOOKUP(A54,'Danh mục hàng hóa'!$C$3:$E$656,3,0)</f>
        <v>cái</v>
      </c>
      <c r="D54" s="437">
        <f>VLOOKUP(A54,'Danh mục hàng hóa'!$C$3:$M$656,6,0)</f>
        <v>38000</v>
      </c>
      <c r="E54" s="438">
        <v>1</v>
      </c>
      <c r="F54" s="439">
        <f t="shared" si="0"/>
        <v>38000</v>
      </c>
      <c r="G54" s="442"/>
      <c r="H54" s="447">
        <v>314336</v>
      </c>
    </row>
    <row r="55" spans="1:8" ht="13.2">
      <c r="A55" s="456" t="s">
        <v>800</v>
      </c>
      <c r="B55" s="452" t="str">
        <f>VLOOKUP(A55,'Danh mục hàng hóa'!$C$3:$D$643,2,0)</f>
        <v>Kẹp tóc bướm kem</v>
      </c>
      <c r="C55" s="436" t="str">
        <f>VLOOKUP(A55,'Danh mục hàng hóa'!$C$3:$E$656,3,0)</f>
        <v>cái</v>
      </c>
      <c r="D55" s="437">
        <f>VLOOKUP(A55,'Danh mục hàng hóa'!$C$3:$M$656,6,0)</f>
        <v>38000</v>
      </c>
      <c r="E55" s="438">
        <v>4</v>
      </c>
      <c r="F55" s="439">
        <f t="shared" si="0"/>
        <v>152000</v>
      </c>
      <c r="G55" s="442"/>
      <c r="H55" s="446"/>
    </row>
    <row r="56" spans="1:8" ht="13.2">
      <c r="A56" s="454" t="s">
        <v>792</v>
      </c>
      <c r="B56" s="452" t="str">
        <f>VLOOKUP(A56,'Danh mục hàng hóa'!$C$3:$D$643,2,0)</f>
        <v>Kẹp tóc bướm xanh ngọc</v>
      </c>
      <c r="C56" s="436" t="str">
        <f>VLOOKUP(A56,'Danh mục hàng hóa'!$C$3:$E$656,3,0)</f>
        <v>cái</v>
      </c>
      <c r="D56" s="437">
        <f>VLOOKUP(A56,'Danh mục hàng hóa'!$C$3:$M$656,6,0)</f>
        <v>38000</v>
      </c>
      <c r="E56" s="438">
        <v>2</v>
      </c>
      <c r="F56" s="439">
        <f t="shared" si="0"/>
        <v>76000</v>
      </c>
      <c r="G56" s="442"/>
      <c r="H56" s="446"/>
    </row>
    <row r="57" spans="1:8" ht="13.2">
      <c r="A57" s="454" t="s">
        <v>796</v>
      </c>
      <c r="B57" s="452" t="str">
        <f>VLOOKUP(A57,'Danh mục hàng hóa'!$C$3:$D$643,2,0)</f>
        <v>Kẹp tóc bướm tím</v>
      </c>
      <c r="C57" s="436" t="str">
        <f>VLOOKUP(A57,'Danh mục hàng hóa'!$C$3:$E$656,3,0)</f>
        <v>cái</v>
      </c>
      <c r="D57" s="437">
        <f>VLOOKUP(A57,'Danh mục hàng hóa'!$C$3:$M$656,6,0)</f>
        <v>38000</v>
      </c>
      <c r="E57" s="438">
        <v>2</v>
      </c>
      <c r="F57" s="439">
        <f t="shared" si="0"/>
        <v>76000</v>
      </c>
      <c r="G57" s="442"/>
      <c r="H57" s="446"/>
    </row>
    <row r="58" spans="1:8" ht="13.2">
      <c r="A58" s="454" t="s">
        <v>790</v>
      </c>
      <c r="B58" s="452" t="str">
        <f>VLOOKUP(A58,'Danh mục hàng hóa'!$C$3:$D$643,2,0)</f>
        <v xml:space="preserve">Kẹp tóc bướm hồng </v>
      </c>
      <c r="C58" s="436" t="str">
        <f>VLOOKUP(A58,'Danh mục hàng hóa'!$C$3:$E$656,3,0)</f>
        <v>cái</v>
      </c>
      <c r="D58" s="437">
        <f>VLOOKUP(A58,'Danh mục hàng hóa'!$C$3:$M$656,6,0)</f>
        <v>40000</v>
      </c>
      <c r="E58" s="438">
        <v>1</v>
      </c>
      <c r="F58" s="439">
        <f t="shared" si="0"/>
        <v>40000</v>
      </c>
      <c r="G58" s="442"/>
      <c r="H58" s="446"/>
    </row>
    <row r="59" spans="1:8" ht="13.2">
      <c r="A59" s="454" t="s">
        <v>790</v>
      </c>
      <c r="B59" s="452" t="str">
        <f>VLOOKUP(A59,'Danh mục hàng hóa'!$C$3:$D$643,2,0)</f>
        <v xml:space="preserve">Kẹp tóc bướm hồng </v>
      </c>
      <c r="C59" s="436" t="str">
        <f>VLOOKUP(A59,'Danh mục hàng hóa'!$C$3:$E$656,3,0)</f>
        <v>cái</v>
      </c>
      <c r="D59" s="437">
        <f>VLOOKUP(A59,'Danh mục hàng hóa'!$C$3:$M$656,6,0)</f>
        <v>40000</v>
      </c>
      <c r="E59" s="438">
        <v>1</v>
      </c>
      <c r="F59" s="439">
        <f t="shared" si="0"/>
        <v>40000</v>
      </c>
      <c r="G59" s="442"/>
      <c r="H59" s="447">
        <v>44588</v>
      </c>
    </row>
    <row r="60" spans="1:8" ht="13.2">
      <c r="A60" s="454" t="s">
        <v>736</v>
      </c>
      <c r="B60" s="452" t="str">
        <f>VLOOKUP(A60,'Danh mục hàng hóa'!$C$3:$D$643,2,0)</f>
        <v>Kẹp tóc hoa sứ vàng</v>
      </c>
      <c r="C60" s="436" t="str">
        <f>VLOOKUP(A60,'Danh mục hàng hóa'!$C$3:$E$656,3,0)</f>
        <v>cái</v>
      </c>
      <c r="D60" s="437">
        <f>VLOOKUP(A60,'Danh mục hàng hóa'!$C$3:$M$656,6,0)</f>
        <v>18500</v>
      </c>
      <c r="E60" s="438">
        <v>1</v>
      </c>
      <c r="F60" s="439">
        <f t="shared" si="0"/>
        <v>18500</v>
      </c>
      <c r="G60" s="442"/>
      <c r="H60" s="446"/>
    </row>
    <row r="61" spans="1:8" ht="13.2">
      <c r="A61" s="454" t="s">
        <v>796</v>
      </c>
      <c r="B61" s="452" t="str">
        <f>VLOOKUP(A61,'Danh mục hàng hóa'!$C$3:$D$643,2,0)</f>
        <v>Kẹp tóc bướm tím</v>
      </c>
      <c r="C61" s="436" t="str">
        <f>VLOOKUP(A61,'Danh mục hàng hóa'!$C$3:$E$656,3,0)</f>
        <v>cái</v>
      </c>
      <c r="D61" s="437">
        <f>VLOOKUP(A61,'Danh mục hàng hóa'!$C$3:$M$656,6,0)</f>
        <v>38000</v>
      </c>
      <c r="E61" s="438">
        <v>1</v>
      </c>
      <c r="F61" s="439">
        <f t="shared" si="0"/>
        <v>38000</v>
      </c>
      <c r="G61" s="442"/>
      <c r="H61" s="448">
        <v>33280</v>
      </c>
    </row>
    <row r="62" spans="1:8" ht="13.2">
      <c r="A62" s="454" t="s">
        <v>891</v>
      </c>
      <c r="B62" s="452" t="str">
        <f>VLOOKUP(A62,'Danh mục hàng hóa'!$C$3:$D$643,2,0)</f>
        <v>Heo ú</v>
      </c>
      <c r="C62" s="436" t="str">
        <f>VLOOKUP(A62,'Danh mục hàng hóa'!$C$3:$E$656,3,0)</f>
        <v>cái</v>
      </c>
      <c r="D62" s="437">
        <f>VLOOKUP(A62,'Danh mục hàng hóa'!$C$3:$M$656,6,0)</f>
        <v>61275</v>
      </c>
      <c r="E62" s="438">
        <v>1</v>
      </c>
      <c r="F62" s="439">
        <f t="shared" si="0"/>
        <v>61275</v>
      </c>
      <c r="G62" s="442"/>
      <c r="H62" s="448">
        <v>47194</v>
      </c>
    </row>
    <row r="63" spans="1:8" ht="13.2">
      <c r="A63" s="454" t="s">
        <v>790</v>
      </c>
      <c r="B63" s="452" t="str">
        <f>VLOOKUP(A63,'Danh mục hàng hóa'!$C$3:$D$643,2,0)</f>
        <v xml:space="preserve">Kẹp tóc bướm hồng </v>
      </c>
      <c r="C63" s="436" t="str">
        <f>VLOOKUP(A63,'Danh mục hàng hóa'!$C$3:$E$656,3,0)</f>
        <v>cái</v>
      </c>
      <c r="D63" s="437">
        <f>VLOOKUP(A63,'Danh mục hàng hóa'!$C$3:$M$656,6,0)</f>
        <v>40000</v>
      </c>
      <c r="E63" s="438">
        <v>2</v>
      </c>
      <c r="F63" s="439">
        <f t="shared" si="0"/>
        <v>80000</v>
      </c>
      <c r="G63" s="442"/>
      <c r="H63" s="447">
        <f>28000*(3+2+3+1+1)</f>
        <v>280000</v>
      </c>
    </row>
    <row r="64" spans="1:8" ht="13.2">
      <c r="A64" s="454" t="s">
        <v>788</v>
      </c>
      <c r="B64" s="452" t="str">
        <f>VLOOKUP(A64,'Danh mục hàng hóa'!$C$3:$D$643,2,0)</f>
        <v>Kẹp tóc bướm hồng phấn</v>
      </c>
      <c r="C64" s="436" t="str">
        <f>VLOOKUP(A64,'Danh mục hàng hóa'!$C$3:$E$656,3,0)</f>
        <v>cái</v>
      </c>
      <c r="D64" s="437">
        <f>VLOOKUP(A64,'Danh mục hàng hóa'!$C$3:$M$656,6,0)</f>
        <v>38000</v>
      </c>
      <c r="E64" s="438">
        <v>3</v>
      </c>
      <c r="F64" s="439">
        <f t="shared" si="0"/>
        <v>114000</v>
      </c>
      <c r="G64" s="442"/>
      <c r="H64" s="446"/>
    </row>
    <row r="65" spans="1:8" ht="13.2">
      <c r="A65" s="454" t="s">
        <v>792</v>
      </c>
      <c r="B65" s="452" t="str">
        <f>VLOOKUP(A65,'Danh mục hàng hóa'!$C$3:$D$643,2,0)</f>
        <v>Kẹp tóc bướm xanh ngọc</v>
      </c>
      <c r="C65" s="436" t="str">
        <f>VLOOKUP(A65,'Danh mục hàng hóa'!$C$3:$E$656,3,0)</f>
        <v>cái</v>
      </c>
      <c r="D65" s="437">
        <f>VLOOKUP(A65,'Danh mục hàng hóa'!$C$3:$M$656,6,0)</f>
        <v>38000</v>
      </c>
      <c r="E65" s="438">
        <v>3</v>
      </c>
      <c r="F65" s="439">
        <f t="shared" si="0"/>
        <v>114000</v>
      </c>
      <c r="G65" s="442"/>
      <c r="H65" s="446"/>
    </row>
    <row r="66" spans="1:8" ht="13.2">
      <c r="A66" s="454" t="s">
        <v>800</v>
      </c>
      <c r="B66" s="452" t="str">
        <f>VLOOKUP(A66,'Danh mục hàng hóa'!$C$3:$D$643,2,0)</f>
        <v>Kẹp tóc bướm kem</v>
      </c>
      <c r="C66" s="436" t="str">
        <f>VLOOKUP(A66,'Danh mục hàng hóa'!$C$3:$E$656,3,0)</f>
        <v>cái</v>
      </c>
      <c r="D66" s="437">
        <f>VLOOKUP(A66,'Danh mục hàng hóa'!$C$3:$M$656,6,0)</f>
        <v>38000</v>
      </c>
      <c r="E66" s="438">
        <v>1</v>
      </c>
      <c r="F66" s="439">
        <f t="shared" si="0"/>
        <v>38000</v>
      </c>
      <c r="G66" s="442"/>
      <c r="H66" s="446"/>
    </row>
    <row r="67" spans="1:8" ht="13.2">
      <c r="A67" s="454" t="s">
        <v>794</v>
      </c>
      <c r="B67" s="452" t="str">
        <f>VLOOKUP(A67,'Danh mục hàng hóa'!$C$3:$D$643,2,0)</f>
        <v>Kẹp tóc bướm xanh tím</v>
      </c>
      <c r="C67" s="436" t="str">
        <f>VLOOKUP(A67,'Danh mục hàng hóa'!$C$3:$E$656,3,0)</f>
        <v>cái</v>
      </c>
      <c r="D67" s="437">
        <f>VLOOKUP(A67,'Danh mục hàng hóa'!$C$3:$M$656,6,0)</f>
        <v>40000</v>
      </c>
      <c r="E67" s="438">
        <v>1</v>
      </c>
      <c r="F67" s="439">
        <f t="shared" si="0"/>
        <v>40000</v>
      </c>
      <c r="G67" s="442"/>
      <c r="H67" s="446"/>
    </row>
    <row r="68" spans="1:8" ht="13.2">
      <c r="A68" s="454" t="s">
        <v>796</v>
      </c>
      <c r="B68" s="452" t="str">
        <f>VLOOKUP(A68,'Danh mục hàng hóa'!$C$3:$D$643,2,0)</f>
        <v>Kẹp tóc bướm tím</v>
      </c>
      <c r="C68" s="436" t="str">
        <f>VLOOKUP(A68,'Danh mục hàng hóa'!$C$3:$E$656,3,0)</f>
        <v>cái</v>
      </c>
      <c r="D68" s="437">
        <f>VLOOKUP(A68,'Danh mục hàng hóa'!$C$3:$M$656,6,0)</f>
        <v>38000</v>
      </c>
      <c r="E68" s="438">
        <v>2</v>
      </c>
      <c r="F68" s="439">
        <f t="shared" si="0"/>
        <v>76000</v>
      </c>
      <c r="G68" s="442"/>
      <c r="H68" s="448">
        <v>59472</v>
      </c>
    </row>
    <row r="69" spans="1:8" ht="13.2">
      <c r="A69" s="454" t="s">
        <v>796</v>
      </c>
      <c r="B69" s="452" t="str">
        <f>VLOOKUP(A69,'Danh mục hàng hóa'!$C$3:$D$643,2,0)</f>
        <v>Kẹp tóc bướm tím</v>
      </c>
      <c r="C69" s="436" t="str">
        <f>VLOOKUP(A69,'Danh mục hàng hóa'!$C$3:$E$656,3,0)</f>
        <v>cái</v>
      </c>
      <c r="D69" s="437">
        <f>VLOOKUP(A69,'Danh mục hàng hóa'!$C$3:$M$656,6,0)</f>
        <v>38000</v>
      </c>
      <c r="E69" s="438">
        <v>1</v>
      </c>
      <c r="F69" s="439">
        <f t="shared" si="0"/>
        <v>38000</v>
      </c>
      <c r="G69" s="442"/>
      <c r="H69" s="448">
        <v>33380</v>
      </c>
    </row>
    <row r="70" spans="1:8" ht="13.2">
      <c r="A70" s="454" t="s">
        <v>891</v>
      </c>
      <c r="B70" s="452" t="str">
        <f>VLOOKUP(A70,'Danh mục hàng hóa'!$C$3:$D$643,2,0)</f>
        <v>Heo ú</v>
      </c>
      <c r="C70" s="436" t="str">
        <f>VLOOKUP(A70,'Danh mục hàng hóa'!$C$3:$E$656,3,0)</f>
        <v>cái</v>
      </c>
      <c r="D70" s="437">
        <f>VLOOKUP(A70,'Danh mục hàng hóa'!$C$3:$M$656,6,0)</f>
        <v>61275</v>
      </c>
      <c r="E70" s="438">
        <v>1</v>
      </c>
      <c r="F70" s="439">
        <f t="shared" si="0"/>
        <v>61275</v>
      </c>
      <c r="G70" s="442"/>
      <c r="H70" s="448">
        <v>43294</v>
      </c>
    </row>
    <row r="71" spans="1:8" ht="13.2">
      <c r="A71" s="454" t="s">
        <v>796</v>
      </c>
      <c r="B71" s="452" t="str">
        <f>VLOOKUP(A71,'Danh mục hàng hóa'!$C$3:$D$643,2,0)</f>
        <v>Kẹp tóc bướm tím</v>
      </c>
      <c r="C71" s="436" t="str">
        <f>VLOOKUP(A71,'Danh mục hàng hóa'!$C$3:$E$656,3,0)</f>
        <v>cái</v>
      </c>
      <c r="D71" s="437">
        <f>VLOOKUP(A71,'Danh mục hàng hóa'!$C$3:$M$656,6,0)</f>
        <v>38000</v>
      </c>
      <c r="E71" s="438">
        <v>1</v>
      </c>
      <c r="F71" s="439">
        <f t="shared" si="0"/>
        <v>38000</v>
      </c>
      <c r="G71" s="442"/>
      <c r="H71" s="448">
        <v>33380</v>
      </c>
    </row>
    <row r="72" spans="1:8" ht="13.2">
      <c r="A72" s="454" t="s">
        <v>800</v>
      </c>
      <c r="B72" s="452" t="str">
        <f>VLOOKUP(A72,'Danh mục hàng hóa'!$C$3:$D$643,2,0)</f>
        <v>Kẹp tóc bướm kem</v>
      </c>
      <c r="C72" s="436" t="str">
        <f>VLOOKUP(A72,'Danh mục hàng hóa'!$C$3:$E$656,3,0)</f>
        <v>cái</v>
      </c>
      <c r="D72" s="437">
        <f>VLOOKUP(A72,'Danh mục hàng hóa'!$C$3:$M$656,6,0)</f>
        <v>38000</v>
      </c>
      <c r="E72" s="438">
        <v>1</v>
      </c>
      <c r="F72" s="439">
        <f t="shared" si="0"/>
        <v>38000</v>
      </c>
      <c r="G72" s="442"/>
      <c r="H72" s="448">
        <v>32880</v>
      </c>
    </row>
    <row r="73" spans="1:8" ht="13.2">
      <c r="A73" s="454" t="s">
        <v>800</v>
      </c>
      <c r="B73" s="452" t="str">
        <f>VLOOKUP(A73,'Danh mục hàng hóa'!$C$3:$D$643,2,0)</f>
        <v>Kẹp tóc bướm kem</v>
      </c>
      <c r="C73" s="436" t="str">
        <f>VLOOKUP(A73,'Danh mục hàng hóa'!$C$3:$E$656,3,0)</f>
        <v>cái</v>
      </c>
      <c r="D73" s="437">
        <f>VLOOKUP(A73,'Danh mục hàng hóa'!$C$3:$M$656,6,0)</f>
        <v>38000</v>
      </c>
      <c r="E73" s="438">
        <v>1</v>
      </c>
      <c r="F73" s="439">
        <f t="shared" si="0"/>
        <v>38000</v>
      </c>
      <c r="G73" s="442"/>
      <c r="H73" s="447">
        <v>60132</v>
      </c>
    </row>
    <row r="74" spans="1:8" ht="13.2">
      <c r="A74" s="454" t="s">
        <v>796</v>
      </c>
      <c r="B74" s="452" t="str">
        <f>VLOOKUP(A74,'Danh mục hàng hóa'!$C$3:$D$643,2,0)</f>
        <v>Kẹp tóc bướm tím</v>
      </c>
      <c r="C74" s="436" t="str">
        <f>VLOOKUP(A74,'Danh mục hàng hóa'!$C$3:$E$656,3,0)</f>
        <v>cái</v>
      </c>
      <c r="D74" s="437">
        <f>VLOOKUP(A74,'Danh mục hàng hóa'!$C$3:$M$656,6,0)</f>
        <v>38000</v>
      </c>
      <c r="E74" s="438">
        <v>1</v>
      </c>
      <c r="F74" s="439">
        <f t="shared" si="0"/>
        <v>38000</v>
      </c>
      <c r="G74" s="442"/>
      <c r="H74" s="446"/>
    </row>
    <row r="75" spans="1:8" ht="13.2">
      <c r="A75" s="454" t="s">
        <v>895</v>
      </c>
      <c r="B75" s="452" t="str">
        <f>VLOOKUP(A75,'Danh mục hàng hóa'!$C$3:$D$643,2,0)</f>
        <v>Thỏ chong chóng</v>
      </c>
      <c r="C75" s="436" t="str">
        <f>VLOOKUP(A75,'Danh mục hàng hóa'!$C$3:$E$656,3,0)</f>
        <v>cái</v>
      </c>
      <c r="D75" s="437">
        <f>VLOOKUP(A75,'Danh mục hàng hóa'!$C$3:$M$656,6,0)</f>
        <v>54740</v>
      </c>
      <c r="E75" s="438">
        <v>1</v>
      </c>
      <c r="F75" s="439">
        <f t="shared" si="0"/>
        <v>54740</v>
      </c>
      <c r="G75" s="442"/>
      <c r="H75" s="447">
        <v>124347</v>
      </c>
    </row>
    <row r="76" spans="1:8" ht="13.2">
      <c r="A76" s="454" t="s">
        <v>1050</v>
      </c>
      <c r="B76" s="452" t="str">
        <f>VLOOKUP(A76,'Danh mục hàng hóa'!$C$3:$D$643,2,0)</f>
        <v>Vớ cổ ngắn set xanh bơ 3</v>
      </c>
      <c r="C76" s="436" t="str">
        <f>VLOOKUP(A76,'Danh mục hàng hóa'!$C$3:$E$656,3,0)</f>
        <v>đôi</v>
      </c>
      <c r="D76" s="437">
        <f>VLOOKUP(A76,'Danh mục hàng hóa'!$C$3:$M$656,6,0)</f>
        <v>9800</v>
      </c>
      <c r="E76" s="438">
        <v>1</v>
      </c>
      <c r="F76" s="439">
        <f t="shared" si="0"/>
        <v>9800</v>
      </c>
      <c r="G76" s="442"/>
      <c r="H76" s="446"/>
    </row>
    <row r="77" spans="1:8" ht="13.2">
      <c r="A77" s="454" t="s">
        <v>917</v>
      </c>
      <c r="B77" s="452" t="str">
        <f>VLOOKUP(A77,'Danh mục hàng hóa'!$C$3:$D$643,2,0)</f>
        <v>Thỏ đi vịt gắn xe</v>
      </c>
      <c r="C77" s="436" t="str">
        <f>VLOOKUP(A77,'Danh mục hàng hóa'!$C$3:$E$656,3,0)</f>
        <v>cái</v>
      </c>
      <c r="D77" s="437">
        <f>VLOOKUP(A77,'Danh mục hàng hóa'!$C$3:$M$656,6,0)</f>
        <v>45000</v>
      </c>
      <c r="E77" s="438">
        <v>1</v>
      </c>
      <c r="F77" s="439">
        <f t="shared" si="0"/>
        <v>45000</v>
      </c>
      <c r="G77" s="442"/>
      <c r="H77" s="446"/>
    </row>
    <row r="78" spans="1:8" ht="13.2">
      <c r="A78" s="454" t="s">
        <v>1056</v>
      </c>
      <c r="B78" s="452" t="str">
        <f>VLOOKUP(A78,'Danh mục hàng hóa'!$C$3:$D$643,2,0)</f>
        <v>Vớ cổ ngắn họa tiết hoa thỏ be</v>
      </c>
      <c r="C78" s="436" t="str">
        <f>VLOOKUP(A78,'Danh mục hàng hóa'!$C$3:$E$656,3,0)</f>
        <v>đôi</v>
      </c>
      <c r="D78" s="437">
        <f>VLOOKUP(A78,'Danh mục hàng hóa'!$C$3:$M$656,6,0)</f>
        <v>9400</v>
      </c>
      <c r="E78" s="438">
        <v>1</v>
      </c>
      <c r="F78" s="439">
        <f t="shared" si="0"/>
        <v>9400</v>
      </c>
      <c r="G78" s="442"/>
      <c r="H78" s="446"/>
    </row>
    <row r="79" spans="1:8" ht="13.2">
      <c r="A79" s="454" t="s">
        <v>796</v>
      </c>
      <c r="B79" s="452" t="str">
        <f>VLOOKUP(A79,'Danh mục hàng hóa'!$C$3:$D$643,2,0)</f>
        <v>Kẹp tóc bướm tím</v>
      </c>
      <c r="C79" s="436" t="str">
        <f>VLOOKUP(A79,'Danh mục hàng hóa'!$C$3:$E$656,3,0)</f>
        <v>cái</v>
      </c>
      <c r="D79" s="437">
        <f>VLOOKUP(A79,'Danh mục hàng hóa'!$C$3:$M$656,6,0)</f>
        <v>38000</v>
      </c>
      <c r="E79" s="438">
        <v>1</v>
      </c>
      <c r="F79" s="439">
        <f t="shared" si="0"/>
        <v>38000</v>
      </c>
      <c r="G79" s="442"/>
      <c r="H79" s="446"/>
    </row>
    <row r="80" spans="1:8" ht="13.2">
      <c r="A80" s="454" t="s">
        <v>891</v>
      </c>
      <c r="B80" s="452" t="str">
        <f>VLOOKUP(A80,'Danh mục hàng hóa'!$C$3:$D$643,2,0)</f>
        <v>Heo ú</v>
      </c>
      <c r="C80" s="436" t="str">
        <f>VLOOKUP(A80,'Danh mục hàng hóa'!$C$3:$E$656,3,0)</f>
        <v>cái</v>
      </c>
      <c r="D80" s="437">
        <f>VLOOKUP(A80,'Danh mục hàng hóa'!$C$3:$M$656,6,0)</f>
        <v>61275</v>
      </c>
      <c r="E80" s="438">
        <v>1</v>
      </c>
      <c r="F80" s="439">
        <f t="shared" si="0"/>
        <v>61275</v>
      </c>
      <c r="G80" s="442"/>
      <c r="H80" s="447">
        <v>90351</v>
      </c>
    </row>
    <row r="81" spans="1:8" ht="13.2">
      <c r="A81" s="454" t="s">
        <v>893</v>
      </c>
      <c r="B81" s="452" t="str">
        <f>VLOOKUP(A81,'Danh mục hàng hóa'!$C$3:$D$643,2,0)</f>
        <v>Heo ú bay</v>
      </c>
      <c r="C81" s="436" t="str">
        <f>VLOOKUP(A81,'Danh mục hàng hóa'!$C$3:$E$656,3,0)</f>
        <v>cái</v>
      </c>
      <c r="D81" s="437">
        <f>VLOOKUP(A81,'Danh mục hàng hóa'!$C$3:$M$656,6,0)</f>
        <v>61275</v>
      </c>
      <c r="E81" s="438">
        <v>1</v>
      </c>
      <c r="F81" s="439">
        <f t="shared" si="0"/>
        <v>61275</v>
      </c>
      <c r="G81" s="442"/>
      <c r="H81" s="446"/>
    </row>
    <row r="82" spans="1:8" ht="13.2">
      <c r="A82" s="454" t="s">
        <v>800</v>
      </c>
      <c r="B82" s="452" t="str">
        <f>VLOOKUP(A82,'Danh mục hàng hóa'!$C$3:$D$643,2,0)</f>
        <v>Kẹp tóc bướm kem</v>
      </c>
      <c r="C82" s="436" t="str">
        <f>VLOOKUP(A82,'Danh mục hàng hóa'!$C$3:$E$656,3,0)</f>
        <v>cái</v>
      </c>
      <c r="D82" s="437">
        <f>VLOOKUP(A82,'Danh mục hàng hóa'!$C$3:$M$656,6,0)</f>
        <v>38000</v>
      </c>
      <c r="E82" s="438">
        <v>1</v>
      </c>
      <c r="F82" s="439">
        <f t="shared" si="0"/>
        <v>38000</v>
      </c>
      <c r="G82" s="442"/>
      <c r="H82" s="447">
        <v>59304</v>
      </c>
    </row>
    <row r="83" spans="1:8" ht="13.2">
      <c r="A83" s="454" t="s">
        <v>796</v>
      </c>
      <c r="B83" s="452" t="str">
        <f>VLOOKUP(A83,'Danh mục hàng hóa'!$C$3:$D$643,2,0)</f>
        <v>Kẹp tóc bướm tím</v>
      </c>
      <c r="C83" s="436" t="str">
        <f>VLOOKUP(A83,'Danh mục hàng hóa'!$C$3:$E$656,3,0)</f>
        <v>cái</v>
      </c>
      <c r="D83" s="437">
        <f>VLOOKUP(A83,'Danh mục hàng hóa'!$C$3:$M$656,6,0)</f>
        <v>38000</v>
      </c>
      <c r="E83" s="438">
        <v>1</v>
      </c>
      <c r="F83" s="439">
        <f t="shared" si="0"/>
        <v>38000</v>
      </c>
      <c r="G83" s="442"/>
      <c r="H83" s="446"/>
    </row>
    <row r="84" spans="1:8" ht="13.2">
      <c r="A84" s="454" t="s">
        <v>977</v>
      </c>
      <c r="B84" s="452" t="str">
        <f>VLOOKUP(A84,'Danh mục hàng hóa'!$C$3:$D$643,2,0)</f>
        <v>Móc khóa đôi heo</v>
      </c>
      <c r="C84" s="436" t="str">
        <f>VLOOKUP(A84,'Danh mục hàng hóa'!$C$3:$E$656,3,0)</f>
        <v>cái</v>
      </c>
      <c r="D84" s="437">
        <f>VLOOKUP(A84,'Danh mục hàng hóa'!$C$3:$M$656,6,0)</f>
        <v>56580</v>
      </c>
      <c r="E84" s="438">
        <v>1</v>
      </c>
      <c r="F84" s="439">
        <f t="shared" si="0"/>
        <v>56580</v>
      </c>
      <c r="G84" s="442"/>
      <c r="H84" s="448">
        <v>44091</v>
      </c>
    </row>
    <row r="85" spans="1:8" ht="13.2">
      <c r="A85" s="454" t="s">
        <v>891</v>
      </c>
      <c r="B85" s="452" t="str">
        <f>VLOOKUP(A85,'Danh mục hàng hóa'!$C$3:$D$643,2,0)</f>
        <v>Heo ú</v>
      </c>
      <c r="C85" s="436" t="str">
        <f>VLOOKUP(A85,'Danh mục hàng hóa'!$C$3:$E$656,3,0)</f>
        <v>cái</v>
      </c>
      <c r="D85" s="437">
        <f>VLOOKUP(A85,'Danh mục hàng hóa'!$C$3:$M$656,6,0)</f>
        <v>61275</v>
      </c>
      <c r="E85" s="438">
        <v>2</v>
      </c>
      <c r="F85" s="439">
        <f t="shared" si="0"/>
        <v>122550</v>
      </c>
      <c r="G85" s="442"/>
      <c r="H85" s="448">
        <v>86388</v>
      </c>
    </row>
    <row r="86" spans="1:8" ht="13.2">
      <c r="A86" s="454" t="s">
        <v>796</v>
      </c>
      <c r="B86" s="452" t="str">
        <f>VLOOKUP(A86,'Danh mục hàng hóa'!$C$3:$D$643,2,0)</f>
        <v>Kẹp tóc bướm tím</v>
      </c>
      <c r="C86" s="436" t="str">
        <f>VLOOKUP(A86,'Danh mục hàng hóa'!$C$3:$E$656,3,0)</f>
        <v>cái</v>
      </c>
      <c r="D86" s="437">
        <f>VLOOKUP(A86,'Danh mục hàng hóa'!$C$3:$M$656,6,0)</f>
        <v>38000</v>
      </c>
      <c r="E86" s="438">
        <v>1</v>
      </c>
      <c r="F86" s="439">
        <f t="shared" si="0"/>
        <v>38000</v>
      </c>
      <c r="G86" s="442"/>
      <c r="H86" s="448">
        <v>33380</v>
      </c>
    </row>
    <row r="87" spans="1:8" ht="13.8">
      <c r="A87" s="457" t="s">
        <v>927</v>
      </c>
      <c r="B87" s="452" t="str">
        <f>VLOOKUP(A87,'Danh mục hàng hóa'!$C$3:$D$643,2,0)</f>
        <v>Kẹp khuếch tán tinh dầu vịt be</v>
      </c>
      <c r="C87" s="436" t="str">
        <f>VLOOKUP(A87,'Danh mục hàng hóa'!$C$3:$E$656,3,0)</f>
        <v>cái</v>
      </c>
      <c r="D87" s="437">
        <f>VLOOKUP(A87,'Danh mục hàng hóa'!$C$3:$M$656,6,0)</f>
        <v>142400</v>
      </c>
      <c r="E87" s="438">
        <v>1</v>
      </c>
      <c r="F87" s="439">
        <f t="shared" si="0"/>
        <v>142400</v>
      </c>
      <c r="G87" s="442"/>
      <c r="H87" s="448">
        <v>112221</v>
      </c>
    </row>
    <row r="88" spans="1:8" ht="13.2">
      <c r="A88" s="454" t="s">
        <v>977</v>
      </c>
      <c r="B88" s="452" t="str">
        <f>VLOOKUP(A88,'Danh mục hàng hóa'!$C$3:$D$643,2,0)</f>
        <v>Móc khóa đôi heo</v>
      </c>
      <c r="C88" s="436" t="str">
        <f>VLOOKUP(A88,'Danh mục hàng hóa'!$C$3:$E$656,3,0)</f>
        <v>cái</v>
      </c>
      <c r="D88" s="437">
        <f>VLOOKUP(A88,'Danh mục hàng hóa'!$C$3:$M$656,6,0)</f>
        <v>56580</v>
      </c>
      <c r="E88" s="438">
        <v>1</v>
      </c>
      <c r="F88" s="439">
        <f t="shared" si="0"/>
        <v>56580</v>
      </c>
      <c r="G88" s="442"/>
      <c r="H88" s="448">
        <v>44511</v>
      </c>
    </row>
    <row r="89" spans="1:8" ht="13.2">
      <c r="A89" s="454" t="s">
        <v>981</v>
      </c>
      <c r="B89" s="452" t="str">
        <f>VLOOKUP(A89,'Danh mục hàng hóa'!$C$3:$D$643,2,0)</f>
        <v>Móc khóa đôi corgy</v>
      </c>
      <c r="C89" s="436" t="str">
        <f>VLOOKUP(A89,'Danh mục hàng hóa'!$C$3:$E$656,3,0)</f>
        <v>cái</v>
      </c>
      <c r="D89" s="437">
        <f>VLOOKUP(A89,'Danh mục hàng hóa'!$C$3:$M$656,6,0)</f>
        <v>56580</v>
      </c>
      <c r="E89" s="438">
        <v>-1</v>
      </c>
      <c r="F89" s="439">
        <f t="shared" si="0"/>
        <v>-56580</v>
      </c>
      <c r="G89" s="442"/>
      <c r="H89" s="448">
        <v>-56580</v>
      </c>
    </row>
    <row r="90" spans="1:8" ht="13.2">
      <c r="A90" s="454" t="s">
        <v>792</v>
      </c>
      <c r="B90" s="452" t="str">
        <f>VLOOKUP(A90,'Danh mục hàng hóa'!$C$3:$D$643,2,0)</f>
        <v>Kẹp tóc bướm xanh ngọc</v>
      </c>
      <c r="C90" s="436" t="str">
        <f>VLOOKUP(A90,'Danh mục hàng hóa'!$C$3:$E$656,3,0)</f>
        <v>cái</v>
      </c>
      <c r="D90" s="437">
        <f>VLOOKUP(A90,'Danh mục hàng hóa'!$C$3:$M$656,6,0)</f>
        <v>38000</v>
      </c>
      <c r="E90" s="438">
        <v>1</v>
      </c>
      <c r="F90" s="439">
        <f t="shared" si="0"/>
        <v>38000</v>
      </c>
      <c r="G90" s="442"/>
      <c r="H90" s="448">
        <v>32720</v>
      </c>
    </row>
    <row r="91" spans="1:8" ht="13.2">
      <c r="A91" s="454" t="s">
        <v>426</v>
      </c>
      <c r="B91" s="452" t="str">
        <f>VLOOKUP(A91,'Danh mục hàng hóa'!$C$3:$D$643,2,0)</f>
        <v>Túi chườm bụng thỏ hồng 500ml</v>
      </c>
      <c r="C91" s="436" t="str">
        <f>VLOOKUP(A91,'Danh mục hàng hóa'!$C$3:$E$656,3,0)</f>
        <v>túi</v>
      </c>
      <c r="D91" s="437">
        <f>VLOOKUP(A91,'Danh mục hàng hóa'!$C$3:$M$656,6,0)</f>
        <v>72250</v>
      </c>
      <c r="E91" s="438">
        <v>1</v>
      </c>
      <c r="F91" s="439">
        <f t="shared" si="0"/>
        <v>72250</v>
      </c>
      <c r="G91" s="442"/>
      <c r="H91" s="448">
        <v>57222</v>
      </c>
    </row>
    <row r="92" spans="1:8" ht="13.2">
      <c r="A92" s="454" t="s">
        <v>917</v>
      </c>
      <c r="B92" s="452" t="str">
        <f>VLOOKUP(A92,'Danh mục hàng hóa'!$C$3:$D$643,2,0)</f>
        <v>Thỏ đi vịt gắn xe</v>
      </c>
      <c r="C92" s="436" t="str">
        <f>VLOOKUP(A92,'Danh mục hàng hóa'!$C$3:$E$656,3,0)</f>
        <v>cái</v>
      </c>
      <c r="D92" s="437">
        <f>VLOOKUP(A92,'Danh mục hàng hóa'!$C$3:$M$656,6,0)</f>
        <v>45000</v>
      </c>
      <c r="E92" s="438">
        <v>1</v>
      </c>
      <c r="F92" s="439">
        <f t="shared" si="0"/>
        <v>45000</v>
      </c>
      <c r="G92" s="442"/>
      <c r="H92" s="447">
        <v>42708</v>
      </c>
    </row>
    <row r="93" spans="1:8" ht="13.2">
      <c r="A93" s="454" t="s">
        <v>870</v>
      </c>
      <c r="B93" s="452" t="str">
        <f>VLOOKUP(A93,'Danh mục hàng hóa'!$C$3:$D$643,2,0)</f>
        <v>Thước dây xanh</v>
      </c>
      <c r="C93" s="436" t="str">
        <f>VLOOKUP(A93,'Danh mục hàng hóa'!$C$3:$E$656,3,0)</f>
        <v>cái</v>
      </c>
      <c r="D93" s="437">
        <f>VLOOKUP(A93,'Danh mục hàng hóa'!$C$3:$M$656,6,0)</f>
        <v>9000</v>
      </c>
      <c r="E93" s="438">
        <v>1</v>
      </c>
      <c r="F93" s="439">
        <f t="shared" si="0"/>
        <v>9000</v>
      </c>
      <c r="G93" s="442"/>
      <c r="H93" s="446"/>
    </row>
    <row r="94" spans="1:8" ht="13.2">
      <c r="A94" s="454" t="s">
        <v>732</v>
      </c>
      <c r="B94" s="452" t="str">
        <f>VLOOKUP(A94,'Danh mục hàng hóa'!$C$3:$D$643,2,0)</f>
        <v>Kẹp tóc hoa sứ tím</v>
      </c>
      <c r="C94" s="436" t="str">
        <f>VLOOKUP(A94,'Danh mục hàng hóa'!$C$3:$E$656,3,0)</f>
        <v>cái</v>
      </c>
      <c r="D94" s="437">
        <f>VLOOKUP(A94,'Danh mục hàng hóa'!$C$3:$M$656,6,0)</f>
        <v>18500</v>
      </c>
      <c r="E94" s="438">
        <v>1</v>
      </c>
      <c r="F94" s="439">
        <f t="shared" si="0"/>
        <v>18500</v>
      </c>
      <c r="G94" s="442"/>
      <c r="H94" s="448">
        <v>16280</v>
      </c>
    </row>
    <row r="95" spans="1:8" ht="13.2">
      <c r="A95" s="454" t="s">
        <v>985</v>
      </c>
      <c r="B95" s="452" t="str">
        <f>VLOOKUP(A95,'Danh mục hàng hóa'!$C$3:$D$643,2,0)</f>
        <v>Móc khóa đôi gấu trúc</v>
      </c>
      <c r="C95" s="436" t="str">
        <f>VLOOKUP(A95,'Danh mục hàng hóa'!$C$3:$E$656,3,0)</f>
        <v>cái</v>
      </c>
      <c r="D95" s="437">
        <f>VLOOKUP(A95,'Danh mục hàng hóa'!$C$3:$M$656,6,0)</f>
        <v>56580</v>
      </c>
      <c r="E95" s="438">
        <v>1</v>
      </c>
      <c r="F95" s="439">
        <f t="shared" si="0"/>
        <v>56580</v>
      </c>
      <c r="G95" s="442"/>
      <c r="H95" s="448">
        <v>44491</v>
      </c>
    </row>
    <row r="96" spans="1:8" ht="13.2">
      <c r="A96" s="454" t="s">
        <v>985</v>
      </c>
      <c r="B96" s="452" t="str">
        <f>VLOOKUP(A96,'Danh mục hàng hóa'!$C$3:$D$643,2,0)</f>
        <v>Móc khóa đôi gấu trúc</v>
      </c>
      <c r="C96" s="436" t="str">
        <f>VLOOKUP(A96,'Danh mục hàng hóa'!$C$3:$E$656,3,0)</f>
        <v>cái</v>
      </c>
      <c r="D96" s="437">
        <f>VLOOKUP(A96,'Danh mục hàng hóa'!$C$3:$M$656,6,0)</f>
        <v>56580</v>
      </c>
      <c r="E96" s="438">
        <v>1</v>
      </c>
      <c r="F96" s="439">
        <f t="shared" si="0"/>
        <v>56580</v>
      </c>
      <c r="G96" s="442"/>
      <c r="H96" s="448">
        <v>44491</v>
      </c>
    </row>
    <row r="97" spans="1:8" ht="13.2">
      <c r="A97" s="454" t="s">
        <v>422</v>
      </c>
      <c r="B97" s="452" t="str">
        <f>VLOOKUP(A97,'Danh mục hàng hóa'!$C$3:$D$643,2,0)</f>
        <v>Túi chườm bụng gấu nâu 500ml</v>
      </c>
      <c r="C97" s="436" t="str">
        <f>VLOOKUP(A97,'Danh mục hàng hóa'!$C$3:$E$656,3,0)</f>
        <v>túi</v>
      </c>
      <c r="D97" s="437">
        <f>VLOOKUP(A97,'Danh mục hàng hóa'!$C$3:$M$656,6,0)</f>
        <v>72250</v>
      </c>
      <c r="E97" s="438">
        <v>2</v>
      </c>
      <c r="F97" s="439">
        <f t="shared" si="0"/>
        <v>144500</v>
      </c>
      <c r="G97" s="442"/>
      <c r="H97" s="447">
        <v>533000</v>
      </c>
    </row>
    <row r="98" spans="1:8" ht="13.2">
      <c r="A98" s="454" t="s">
        <v>426</v>
      </c>
      <c r="B98" s="452" t="str">
        <f>VLOOKUP(A98,'Danh mục hàng hóa'!$C$3:$D$643,2,0)</f>
        <v>Túi chườm bụng thỏ hồng 500ml</v>
      </c>
      <c r="C98" s="436" t="str">
        <f>VLOOKUP(A98,'Danh mục hàng hóa'!$C$3:$E$656,3,0)</f>
        <v>túi</v>
      </c>
      <c r="D98" s="437">
        <f>VLOOKUP(A98,'Danh mục hàng hóa'!$C$3:$M$656,6,0)</f>
        <v>72250</v>
      </c>
      <c r="E98" s="438">
        <v>8</v>
      </c>
      <c r="F98" s="439">
        <f t="shared" si="0"/>
        <v>578000</v>
      </c>
      <c r="G98" s="442"/>
      <c r="H98" s="446"/>
    </row>
    <row r="99" spans="1:8" ht="13.2">
      <c r="A99" s="454" t="s">
        <v>647</v>
      </c>
      <c r="B99" s="452" t="str">
        <f>VLOOKUP(A99,'Danh mục hàng hóa'!$C$3:$D$643,2,0)</f>
        <v>Cài tóc kem</v>
      </c>
      <c r="C99" s="436" t="str">
        <f>VLOOKUP(A99,'Danh mục hàng hóa'!$C$3:$E$656,3,0)</f>
        <v>cái</v>
      </c>
      <c r="D99" s="437">
        <f>VLOOKUP(A99,'Danh mục hàng hóa'!$C$3:$M$656,6,0)</f>
        <v>21000</v>
      </c>
      <c r="E99" s="438">
        <v>1</v>
      </c>
      <c r="F99" s="439">
        <f t="shared" si="0"/>
        <v>21000</v>
      </c>
      <c r="G99" s="442"/>
      <c r="H99" s="447">
        <v>45616</v>
      </c>
    </row>
    <row r="100" spans="1:8" ht="13.2">
      <c r="A100" s="454" t="s">
        <v>736</v>
      </c>
      <c r="B100" s="452" t="str">
        <f>VLOOKUP(A100,'Danh mục hàng hóa'!$C$3:$D$643,2,0)</f>
        <v>Kẹp tóc hoa sứ vàng</v>
      </c>
      <c r="C100" s="436" t="str">
        <f>VLOOKUP(A100,'Danh mục hàng hóa'!$C$3:$E$656,3,0)</f>
        <v>cái</v>
      </c>
      <c r="D100" s="437">
        <f>VLOOKUP(A100,'Danh mục hàng hóa'!$C$3:$M$656,6,0)</f>
        <v>18500</v>
      </c>
      <c r="E100" s="438">
        <v>1</v>
      </c>
      <c r="F100" s="439">
        <f t="shared" si="0"/>
        <v>18500</v>
      </c>
      <c r="G100" s="442"/>
      <c r="H100" s="446"/>
    </row>
    <row r="101" spans="1:8" ht="13.2">
      <c r="A101" s="454" t="s">
        <v>740</v>
      </c>
      <c r="B101" s="452" t="str">
        <f>VLOOKUP(A101,'Danh mục hàng hóa'!$C$3:$D$643,2,0)</f>
        <v>Kẹp tóc hoa sứ đỏ</v>
      </c>
      <c r="C101" s="436" t="str">
        <f>VLOOKUP(A101,'Danh mục hàng hóa'!$C$3:$E$656,3,0)</f>
        <v>cái</v>
      </c>
      <c r="D101" s="437">
        <f>VLOOKUP(A101,'Danh mục hàng hóa'!$C$3:$M$656,6,0)</f>
        <v>18500</v>
      </c>
      <c r="E101" s="438">
        <v>1</v>
      </c>
      <c r="F101" s="439">
        <f t="shared" si="0"/>
        <v>18500</v>
      </c>
      <c r="G101" s="442"/>
      <c r="H101" s="446"/>
    </row>
    <row r="102" spans="1:8" ht="13.2">
      <c r="A102" s="454" t="s">
        <v>887</v>
      </c>
      <c r="B102" s="452" t="str">
        <f>VLOOKUP(A102,'Danh mục hàng hóa'!$C$3:$D$643,2,0)</f>
        <v>Mèo chong chóng</v>
      </c>
      <c r="C102" s="436" t="str">
        <f>VLOOKUP(A102,'Danh mục hàng hóa'!$C$3:$E$656,3,0)</f>
        <v>cái</v>
      </c>
      <c r="D102" s="437">
        <f>VLOOKUP(A102,'Danh mục hàng hóa'!$C$3:$M$656,6,0)</f>
        <v>54740</v>
      </c>
      <c r="E102" s="438">
        <v>1</v>
      </c>
      <c r="F102" s="439">
        <f t="shared" si="0"/>
        <v>54740</v>
      </c>
      <c r="G102" s="442"/>
      <c r="H102" s="448">
        <v>43294</v>
      </c>
    </row>
    <row r="103" spans="1:8" ht="13.2">
      <c r="A103" s="454" t="s">
        <v>424</v>
      </c>
      <c r="B103" s="452" t="str">
        <f>VLOOKUP(A103,'Danh mục hàng hóa'!$C$3:$D$643,2,0)</f>
        <v>Túi chườm bụng vịt vàng 500ml</v>
      </c>
      <c r="C103" s="436" t="str">
        <f>VLOOKUP(A103,'Danh mục hàng hóa'!$C$3:$E$656,3,0)</f>
        <v>túi</v>
      </c>
      <c r="D103" s="437">
        <f>VLOOKUP(A103,'Danh mục hàng hóa'!$C$3:$M$656,6,0)</f>
        <v>72250</v>
      </c>
      <c r="E103" s="438">
        <v>1</v>
      </c>
      <c r="F103" s="439">
        <f t="shared" si="0"/>
        <v>72250</v>
      </c>
      <c r="G103" s="442"/>
      <c r="H103" s="448">
        <v>57162</v>
      </c>
    </row>
    <row r="104" spans="1:8" ht="13.2">
      <c r="A104" s="454" t="s">
        <v>995</v>
      </c>
      <c r="B104" s="452" t="str">
        <f>VLOOKUP(A104,'Danh mục hàng hóa'!$C$3:$D$643,2,0)</f>
        <v>Mô hình cún 01</v>
      </c>
      <c r="C104" s="436" t="str">
        <f>VLOOKUP(A104,'Danh mục hàng hóa'!$C$3:$E$656,3,0)</f>
        <v>cái</v>
      </c>
      <c r="D104" s="437">
        <f>VLOOKUP(A104,'Danh mục hàng hóa'!$C$3:$M$656,6,0)</f>
        <v>39000</v>
      </c>
      <c r="E104" s="438">
        <v>1</v>
      </c>
      <c r="F104" s="439">
        <f t="shared" si="0"/>
        <v>39000</v>
      </c>
      <c r="G104" s="442"/>
      <c r="H104" s="447">
        <v>140000</v>
      </c>
    </row>
    <row r="105" spans="1:8" ht="13.2">
      <c r="A105" s="454" t="s">
        <v>997</v>
      </c>
      <c r="B105" s="452" t="str">
        <f>VLOOKUP(A105,'Danh mục hàng hóa'!$C$3:$D$643,2,0)</f>
        <v>Mô hình cún 02</v>
      </c>
      <c r="C105" s="436" t="str">
        <f>VLOOKUP(A105,'Danh mục hàng hóa'!$C$3:$E$656,3,0)</f>
        <v>cái</v>
      </c>
      <c r="D105" s="437">
        <f>VLOOKUP(A105,'Danh mục hàng hóa'!$C$3:$M$656,6,0)</f>
        <v>39000</v>
      </c>
      <c r="E105" s="438">
        <v>1</v>
      </c>
      <c r="F105" s="439">
        <f t="shared" si="0"/>
        <v>39000</v>
      </c>
      <c r="G105" s="442"/>
      <c r="H105" s="446"/>
    </row>
    <row r="106" spans="1:8" ht="13.2">
      <c r="A106" s="454" t="s">
        <v>999</v>
      </c>
      <c r="B106" s="452" t="str">
        <f>VLOOKUP(A106,'Danh mục hàng hóa'!$C$3:$D$643,2,0)</f>
        <v>Mô hình cún 03</v>
      </c>
      <c r="C106" s="436" t="str">
        <f>VLOOKUP(A106,'Danh mục hàng hóa'!$C$3:$E$656,3,0)</f>
        <v>cái</v>
      </c>
      <c r="D106" s="437">
        <f>VLOOKUP(A106,'Danh mục hàng hóa'!$C$3:$M$656,6,0)</f>
        <v>39000</v>
      </c>
      <c r="E106" s="438">
        <v>1</v>
      </c>
      <c r="F106" s="439">
        <f t="shared" si="0"/>
        <v>39000</v>
      </c>
      <c r="G106" s="442"/>
      <c r="H106" s="446"/>
    </row>
    <row r="107" spans="1:8" ht="13.2">
      <c r="A107" s="454" t="s">
        <v>1001</v>
      </c>
      <c r="B107" s="452" t="str">
        <f>VLOOKUP(A107,'Danh mục hàng hóa'!$C$3:$D$643,2,0)</f>
        <v>Mô hình cún 04</v>
      </c>
      <c r="C107" s="436" t="str">
        <f>VLOOKUP(A107,'Danh mục hàng hóa'!$C$3:$E$656,3,0)</f>
        <v>cái</v>
      </c>
      <c r="D107" s="437">
        <f>VLOOKUP(A107,'Danh mục hàng hóa'!$C$3:$M$656,6,0)</f>
        <v>39000</v>
      </c>
      <c r="E107" s="438">
        <v>1</v>
      </c>
      <c r="F107" s="439">
        <f t="shared" si="0"/>
        <v>39000</v>
      </c>
      <c r="G107" s="442"/>
      <c r="H107" s="446"/>
    </row>
    <row r="108" spans="1:8" ht="13.2">
      <c r="A108" s="454" t="s">
        <v>1003</v>
      </c>
      <c r="B108" s="452" t="str">
        <f>VLOOKUP(A108,'Danh mục hàng hóa'!$C$3:$D$643,2,0)</f>
        <v>Mô hình cún 05</v>
      </c>
      <c r="C108" s="436" t="str">
        <f>VLOOKUP(A108,'Danh mục hàng hóa'!$C$3:$E$656,3,0)</f>
        <v>cái</v>
      </c>
      <c r="D108" s="437">
        <f>VLOOKUP(A108,'Danh mục hàng hóa'!$C$3:$M$656,6,0)</f>
        <v>39000</v>
      </c>
      <c r="E108" s="438">
        <v>1</v>
      </c>
      <c r="F108" s="439">
        <f t="shared" si="0"/>
        <v>39000</v>
      </c>
      <c r="G108" s="442"/>
      <c r="H108" s="446"/>
    </row>
    <row r="109" spans="1:8" ht="13.2">
      <c r="A109" s="454" t="s">
        <v>422</v>
      </c>
      <c r="B109" s="452" t="str">
        <f>VLOOKUP(A109,'Danh mục hàng hóa'!$C$3:$D$643,2,0)</f>
        <v>Túi chườm bụng gấu nâu 500ml</v>
      </c>
      <c r="C109" s="436" t="str">
        <f>VLOOKUP(A109,'Danh mục hàng hóa'!$C$3:$E$656,3,0)</f>
        <v>túi</v>
      </c>
      <c r="D109" s="437">
        <f>VLOOKUP(A109,'Danh mục hàng hóa'!$C$3:$M$656,6,0)</f>
        <v>72250</v>
      </c>
      <c r="E109" s="438">
        <v>1</v>
      </c>
      <c r="F109" s="439">
        <f t="shared" si="0"/>
        <v>72250</v>
      </c>
      <c r="G109" s="442"/>
      <c r="H109" s="448">
        <v>56526</v>
      </c>
    </row>
    <row r="110" spans="1:8" ht="13.2">
      <c r="A110" s="454" t="s">
        <v>917</v>
      </c>
      <c r="B110" s="452" t="str">
        <f>VLOOKUP(A110,'Danh mục hàng hóa'!$C$3:$D$643,2,0)</f>
        <v>Thỏ đi vịt gắn xe</v>
      </c>
      <c r="C110" s="436" t="str">
        <f>VLOOKUP(A110,'Danh mục hàng hóa'!$C$3:$E$656,3,0)</f>
        <v>cái</v>
      </c>
      <c r="D110" s="437">
        <f>VLOOKUP(A110,'Danh mục hàng hóa'!$C$3:$M$656,6,0)</f>
        <v>45000</v>
      </c>
      <c r="E110" s="438">
        <v>1</v>
      </c>
      <c r="F110" s="439">
        <f t="shared" si="0"/>
        <v>45000</v>
      </c>
      <c r="G110" s="442"/>
      <c r="H110" s="447">
        <v>92268</v>
      </c>
    </row>
    <row r="111" spans="1:8" ht="13.2">
      <c r="A111" s="454" t="s">
        <v>971</v>
      </c>
      <c r="B111" s="452" t="str">
        <f>VLOOKUP(A111,'Danh mục hàng hóa'!$C$3:$D$643,2,0)</f>
        <v>Mèo vàng treo gương</v>
      </c>
      <c r="C111" s="436" t="str">
        <f>VLOOKUP(A111,'Danh mục hàng hóa'!$C$3:$E$656,3,0)</f>
        <v>cái</v>
      </c>
      <c r="D111" s="437">
        <f>VLOOKUP(A111,'Danh mục hàng hóa'!$C$3:$M$656,6,0)</f>
        <v>71500</v>
      </c>
      <c r="E111" s="438">
        <v>1</v>
      </c>
      <c r="F111" s="439">
        <f t="shared" si="0"/>
        <v>71500</v>
      </c>
      <c r="G111" s="442"/>
      <c r="H111" s="446"/>
    </row>
    <row r="112" spans="1:8" ht="13.2">
      <c r="A112" s="454" t="s">
        <v>889</v>
      </c>
      <c r="B112" s="452" t="str">
        <f>VLOOKUP(A112,'Danh mục hàng hóa'!$C$3:$D$643,2,0)</f>
        <v>Mèo ú bay</v>
      </c>
      <c r="C112" s="436" t="str">
        <f>VLOOKUP(A112,'Danh mục hàng hóa'!$C$3:$E$656,3,0)</f>
        <v>cái</v>
      </c>
      <c r="D112" s="437">
        <f>VLOOKUP(A112,'Danh mục hàng hóa'!$C$3:$M$656,6,0)</f>
        <v>61275</v>
      </c>
      <c r="E112" s="438">
        <v>1</v>
      </c>
      <c r="F112" s="439">
        <f t="shared" si="0"/>
        <v>61275</v>
      </c>
      <c r="G112" s="442"/>
      <c r="H112" s="448">
        <v>48469</v>
      </c>
    </row>
    <row r="113" spans="1:8" ht="13.2">
      <c r="A113" s="454" t="s">
        <v>891</v>
      </c>
      <c r="B113" s="452" t="str">
        <f>VLOOKUP(A113,'Danh mục hàng hóa'!$C$3:$D$643,2,0)</f>
        <v>Heo ú</v>
      </c>
      <c r="C113" s="436" t="str">
        <f>VLOOKUP(A113,'Danh mục hàng hóa'!$C$3:$E$656,3,0)</f>
        <v>cái</v>
      </c>
      <c r="D113" s="437">
        <f>VLOOKUP(A113,'Danh mục hàng hóa'!$C$3:$M$656,6,0)</f>
        <v>61275</v>
      </c>
      <c r="E113" s="438">
        <v>1</v>
      </c>
      <c r="F113" s="439">
        <f t="shared" si="0"/>
        <v>61275</v>
      </c>
      <c r="G113" s="442"/>
      <c r="H113" s="448">
        <v>43950</v>
      </c>
    </row>
    <row r="114" spans="1:8" ht="13.2">
      <c r="A114" s="454" t="s">
        <v>397</v>
      </c>
      <c r="B114" s="452" t="str">
        <f>VLOOKUP(A114,'Danh mục hàng hóa'!$C$3:$D$643,2,0)</f>
        <v>Túi chườm bụng dâu (xanh) 1000ml</v>
      </c>
      <c r="C114" s="436" t="str">
        <f>VLOOKUP(A114,'Danh mục hàng hóa'!$C$3:$E$656,3,0)</f>
        <v>túi</v>
      </c>
      <c r="D114" s="437">
        <f>VLOOKUP(A114,'Danh mục hàng hóa'!$C$3:$M$656,6,0)</f>
        <v>101150</v>
      </c>
      <c r="E114" s="438">
        <v>1</v>
      </c>
      <c r="F114" s="439">
        <f t="shared" si="0"/>
        <v>101150</v>
      </c>
      <c r="G114" s="442"/>
      <c r="H114" s="448">
        <v>80111</v>
      </c>
    </row>
    <row r="115" spans="1:8" ht="13.2">
      <c r="A115" s="454" t="s">
        <v>893</v>
      </c>
      <c r="B115" s="452" t="str">
        <f>VLOOKUP(A115,'Danh mục hàng hóa'!$C$3:$D$643,2,0)</f>
        <v>Heo ú bay</v>
      </c>
      <c r="C115" s="436" t="str">
        <f>VLOOKUP(A115,'Danh mục hàng hóa'!$C$3:$E$656,3,0)</f>
        <v>cái</v>
      </c>
      <c r="D115" s="437">
        <f>VLOOKUP(A115,'Danh mục hàng hóa'!$C$3:$M$656,6,0)</f>
        <v>61275</v>
      </c>
      <c r="E115" s="438">
        <v>1</v>
      </c>
      <c r="F115" s="439">
        <f t="shared" si="0"/>
        <v>61275</v>
      </c>
      <c r="G115" s="442"/>
      <c r="H115" s="448">
        <v>48209</v>
      </c>
    </row>
    <row r="116" spans="1:8" ht="13.2">
      <c r="A116" s="454" t="s">
        <v>985</v>
      </c>
      <c r="B116" s="452" t="str">
        <f>VLOOKUP(A116,'Danh mục hàng hóa'!$C$3:$D$643,2,0)</f>
        <v>Móc khóa đôi gấu trúc</v>
      </c>
      <c r="C116" s="436" t="str">
        <f>VLOOKUP(A116,'Danh mục hàng hóa'!$C$3:$E$656,3,0)</f>
        <v>cái</v>
      </c>
      <c r="D116" s="437">
        <f>VLOOKUP(A116,'Danh mục hàng hóa'!$C$3:$M$656,6,0)</f>
        <v>56580</v>
      </c>
      <c r="E116" s="438">
        <v>1</v>
      </c>
      <c r="F116" s="439">
        <f t="shared" si="0"/>
        <v>56580</v>
      </c>
      <c r="G116" s="442"/>
      <c r="H116" s="448">
        <v>44751</v>
      </c>
    </row>
    <row r="117" spans="1:8" ht="13.2">
      <c r="A117" s="454" t="s">
        <v>734</v>
      </c>
      <c r="B117" s="452" t="str">
        <f>VLOOKUP(A117,'Danh mục hàng hóa'!$C$3:$D$643,2,0)</f>
        <v>Kẹp tóc hoa sứ hồng</v>
      </c>
      <c r="C117" s="436" t="str">
        <f>VLOOKUP(A117,'Danh mục hàng hóa'!$C$3:$E$656,3,0)</f>
        <v>cái</v>
      </c>
      <c r="D117" s="437">
        <f>VLOOKUP(A117,'Danh mục hàng hóa'!$C$3:$M$656,6,0)</f>
        <v>18500</v>
      </c>
      <c r="E117" s="438">
        <v>4</v>
      </c>
      <c r="F117" s="439">
        <f t="shared" si="0"/>
        <v>74000</v>
      </c>
      <c r="G117" s="442"/>
      <c r="H117" s="448">
        <v>58288</v>
      </c>
    </row>
    <row r="118" spans="1:8" ht="13.2">
      <c r="A118" s="454" t="s">
        <v>1046</v>
      </c>
      <c r="B118" s="452" t="str">
        <f>VLOOKUP(A118,'Danh mục hàng hóa'!$C$3:$D$643,2,0)</f>
        <v>Vớ cổ ngắn set xanh bơ 1</v>
      </c>
      <c r="C118" s="436" t="str">
        <f>VLOOKUP(A118,'Danh mục hàng hóa'!$C$3:$E$656,3,0)</f>
        <v>đôi</v>
      </c>
      <c r="D118" s="437">
        <f>VLOOKUP(A118,'Danh mục hàng hóa'!$C$3:$M$656,6,0)</f>
        <v>9800</v>
      </c>
      <c r="E118" s="438">
        <v>1</v>
      </c>
      <c r="F118" s="439">
        <f t="shared" si="0"/>
        <v>9800</v>
      </c>
      <c r="G118" s="442"/>
      <c r="H118" s="447">
        <v>54308</v>
      </c>
    </row>
    <row r="119" spans="1:8" ht="13.2">
      <c r="A119" s="454" t="s">
        <v>1050</v>
      </c>
      <c r="B119" s="452" t="str">
        <f>VLOOKUP(A119,'Danh mục hàng hóa'!$C$3:$D$643,2,0)</f>
        <v>Vớ cổ ngắn set xanh bơ 3</v>
      </c>
      <c r="C119" s="436" t="str">
        <f>VLOOKUP(A119,'Danh mục hàng hóa'!$C$3:$E$656,3,0)</f>
        <v>đôi</v>
      </c>
      <c r="D119" s="437">
        <f>VLOOKUP(A119,'Danh mục hàng hóa'!$C$3:$M$656,6,0)</f>
        <v>9800</v>
      </c>
      <c r="E119" s="438">
        <v>1</v>
      </c>
      <c r="F119" s="439">
        <f t="shared" si="0"/>
        <v>9800</v>
      </c>
      <c r="G119" s="442"/>
      <c r="H119" s="446"/>
    </row>
    <row r="120" spans="1:8" ht="13.2">
      <c r="A120" s="454" t="s">
        <v>1054</v>
      </c>
      <c r="B120" s="452" t="str">
        <f>VLOOKUP(A120,'Danh mục hàng hóa'!$C$3:$D$643,2,0)</f>
        <v>Vớ cổ ngắn set xanh bơ 5</v>
      </c>
      <c r="C120" s="436" t="str">
        <f>VLOOKUP(A120,'Danh mục hàng hóa'!$C$3:$E$656,3,0)</f>
        <v>đôi</v>
      </c>
      <c r="D120" s="437">
        <f>VLOOKUP(A120,'Danh mục hàng hóa'!$C$3:$M$656,6,0)</f>
        <v>9800</v>
      </c>
      <c r="E120" s="438">
        <v>1</v>
      </c>
      <c r="F120" s="439">
        <f t="shared" si="0"/>
        <v>9800</v>
      </c>
      <c r="G120" s="442"/>
      <c r="H120" s="446"/>
    </row>
    <row r="121" spans="1:8" ht="13.2">
      <c r="A121" s="454" t="s">
        <v>1109</v>
      </c>
      <c r="B121" s="452" t="str">
        <f>VLOOKUP(A121,'Danh mục hàng hóa'!$C$3:$D$643,2,0)</f>
        <v>Vớ cổ cao trắng hoa tím</v>
      </c>
      <c r="C121" s="436" t="str">
        <f>VLOOKUP(A121,'Danh mục hàng hóa'!$C$3:$E$656,3,0)</f>
        <v>đôi</v>
      </c>
      <c r="D121" s="437">
        <f>VLOOKUP(A121,'Danh mục hàng hóa'!$C$3:$M$656,6,0)</f>
        <v>19800</v>
      </c>
      <c r="E121" s="438">
        <v>1</v>
      </c>
      <c r="F121" s="439">
        <f t="shared" si="0"/>
        <v>19800</v>
      </c>
      <c r="G121" s="442"/>
      <c r="H121" s="446"/>
    </row>
    <row r="122" spans="1:8" ht="13.2">
      <c r="A122" s="454" t="s">
        <v>1108</v>
      </c>
      <c r="B122" s="452" t="str">
        <f>VLOOKUP(A122,'Danh mục hàng hóa'!$C$3:$D$643,2,0)</f>
        <v>Vớ cổ cao trắng hoa hồng</v>
      </c>
      <c r="C122" s="436" t="str">
        <f>VLOOKUP(A122,'Danh mục hàng hóa'!$C$3:$E$656,3,0)</f>
        <v>đôi</v>
      </c>
      <c r="D122" s="437">
        <f>VLOOKUP(A122,'Danh mục hàng hóa'!$C$3:$M$656,6,0)</f>
        <v>19800</v>
      </c>
      <c r="E122" s="438">
        <v>1</v>
      </c>
      <c r="F122" s="439">
        <f t="shared" si="0"/>
        <v>19800</v>
      </c>
      <c r="G122" s="442"/>
      <c r="H122" s="446"/>
    </row>
    <row r="123" spans="1:8" ht="13.2">
      <c r="A123" s="454" t="s">
        <v>800</v>
      </c>
      <c r="B123" s="452" t="str">
        <f>VLOOKUP(A123,'Danh mục hàng hóa'!$C$3:$D$643,2,0)</f>
        <v>Kẹp tóc bướm kem</v>
      </c>
      <c r="C123" s="436" t="str">
        <f>VLOOKUP(A123,'Danh mục hàng hóa'!$C$3:$E$656,3,0)</f>
        <v>cái</v>
      </c>
      <c r="D123" s="437">
        <f>VLOOKUP(A123,'Danh mục hàng hóa'!$C$3:$M$656,6,0)</f>
        <v>38000</v>
      </c>
      <c r="E123" s="438">
        <v>1</v>
      </c>
      <c r="F123" s="439">
        <f t="shared" si="0"/>
        <v>38000</v>
      </c>
      <c r="G123" s="442"/>
      <c r="H123" s="447">
        <v>44688</v>
      </c>
    </row>
    <row r="124" spans="1:8" ht="13.2">
      <c r="A124" s="454" t="s">
        <v>740</v>
      </c>
      <c r="B124" s="452" t="str">
        <f>VLOOKUP(A124,'Danh mục hàng hóa'!$C$3:$D$643,2,0)</f>
        <v>Kẹp tóc hoa sứ đỏ</v>
      </c>
      <c r="C124" s="436" t="str">
        <f>VLOOKUP(A124,'Danh mục hàng hóa'!$C$3:$E$656,3,0)</f>
        <v>cái</v>
      </c>
      <c r="D124" s="437">
        <f>VLOOKUP(A124,'Danh mục hàng hóa'!$C$3:$M$656,6,0)</f>
        <v>18500</v>
      </c>
      <c r="E124" s="438">
        <v>1</v>
      </c>
      <c r="F124" s="439">
        <f t="shared" si="0"/>
        <v>18500</v>
      </c>
      <c r="G124" s="442"/>
      <c r="H124" s="446"/>
    </row>
    <row r="125" spans="1:8" ht="13.2">
      <c r="A125" s="454" t="s">
        <v>997</v>
      </c>
      <c r="B125" s="452" t="str">
        <f>VLOOKUP(A125,'Danh mục hàng hóa'!$C$3:$D$643,2,0)</f>
        <v>Mô hình cún 02</v>
      </c>
      <c r="C125" s="436" t="str">
        <f>VLOOKUP(A125,'Danh mục hàng hóa'!$C$3:$E$656,3,0)</f>
        <v>cái</v>
      </c>
      <c r="D125" s="437">
        <f>VLOOKUP(A125,'Danh mục hàng hóa'!$C$3:$M$656,6,0)</f>
        <v>39000</v>
      </c>
      <c r="E125" s="438">
        <v>1</v>
      </c>
      <c r="F125" s="439">
        <f t="shared" si="0"/>
        <v>39000</v>
      </c>
      <c r="G125" s="442"/>
      <c r="H125" s="447">
        <v>124027</v>
      </c>
    </row>
    <row r="126" spans="1:8" ht="13.2">
      <c r="A126" s="454" t="s">
        <v>713</v>
      </c>
      <c r="B126" s="452" t="str">
        <f>VLOOKUP(A126,'Danh mục hàng hóa'!$C$3:$D$643,2,0)</f>
        <v>Buộc tóc scrunchies hồng cam</v>
      </c>
      <c r="C126" s="436" t="str">
        <f>VLOOKUP(A126,'Danh mục hàng hóa'!$C$3:$E$656,3,0)</f>
        <v>cái</v>
      </c>
      <c r="D126" s="437">
        <f>VLOOKUP(A126,'Danh mục hàng hóa'!$C$3:$M$656,6,0)</f>
        <v>12000</v>
      </c>
      <c r="E126" s="438">
        <v>1</v>
      </c>
      <c r="F126" s="439">
        <f t="shared" si="0"/>
        <v>12000</v>
      </c>
      <c r="G126" s="442"/>
      <c r="H126" s="446"/>
    </row>
    <row r="127" spans="1:8" ht="13.2">
      <c r="A127" s="454" t="s">
        <v>1025</v>
      </c>
      <c r="B127" s="452" t="str">
        <f>VLOOKUP(A127,'Danh mục hàng hóa'!$C$3:$D$643,2,0)</f>
        <v>Mô hình mèo 1</v>
      </c>
      <c r="C127" s="436" t="str">
        <f>VLOOKUP(A127,'Danh mục hàng hóa'!$C$3:$E$656,3,0)</f>
        <v>cái</v>
      </c>
      <c r="D127" s="437">
        <f>VLOOKUP(A127,'Danh mục hàng hóa'!$C$3:$M$656,6,0)</f>
        <v>37800</v>
      </c>
      <c r="E127" s="438">
        <v>1</v>
      </c>
      <c r="F127" s="439">
        <f t="shared" si="0"/>
        <v>37800</v>
      </c>
      <c r="G127" s="442"/>
      <c r="H127" s="446"/>
    </row>
    <row r="128" spans="1:8" ht="13.2">
      <c r="A128" s="454" t="s">
        <v>1033</v>
      </c>
      <c r="B128" s="452" t="str">
        <f>VLOOKUP(A128,'Danh mục hàng hóa'!$C$3:$D$643,2,0)</f>
        <v>Mô hình mèo 5</v>
      </c>
      <c r="C128" s="436" t="str">
        <f>VLOOKUP(A128,'Danh mục hàng hóa'!$C$3:$E$656,3,0)</f>
        <v>cái</v>
      </c>
      <c r="D128" s="437">
        <f>VLOOKUP(A128,'Danh mục hàng hóa'!$C$3:$M$656,6,0)</f>
        <v>37800</v>
      </c>
      <c r="E128" s="438">
        <v>1</v>
      </c>
      <c r="F128" s="439">
        <f t="shared" si="0"/>
        <v>37800</v>
      </c>
      <c r="G128" s="442"/>
      <c r="H128" s="446"/>
    </row>
    <row r="129" spans="1:8" ht="13.2">
      <c r="A129" s="454" t="s">
        <v>732</v>
      </c>
      <c r="B129" s="452" t="str">
        <f>VLOOKUP(A129,'Danh mục hàng hóa'!$C$3:$D$643,2,0)</f>
        <v>Kẹp tóc hoa sứ tím</v>
      </c>
      <c r="C129" s="436" t="str">
        <f>VLOOKUP(A129,'Danh mục hàng hóa'!$C$3:$E$656,3,0)</f>
        <v>cái</v>
      </c>
      <c r="D129" s="437">
        <f>VLOOKUP(A129,'Danh mục hàng hóa'!$C$3:$M$656,6,0)</f>
        <v>18500</v>
      </c>
      <c r="E129" s="438">
        <v>1</v>
      </c>
      <c r="F129" s="439">
        <f t="shared" si="0"/>
        <v>18500</v>
      </c>
      <c r="G129" s="442"/>
      <c r="H129" s="446"/>
    </row>
    <row r="130" spans="1:8" ht="13.2">
      <c r="A130" s="454" t="s">
        <v>740</v>
      </c>
      <c r="B130" s="452" t="str">
        <f>VLOOKUP(A130,'Danh mục hàng hóa'!$C$3:$D$643,2,0)</f>
        <v>Kẹp tóc hoa sứ đỏ</v>
      </c>
      <c r="C130" s="436" t="str">
        <f>VLOOKUP(A130,'Danh mục hàng hóa'!$C$3:$E$656,3,0)</f>
        <v>cái</v>
      </c>
      <c r="D130" s="437">
        <f>VLOOKUP(A130,'Danh mục hàng hóa'!$C$3:$M$656,6,0)</f>
        <v>18500</v>
      </c>
      <c r="E130" s="438">
        <v>1</v>
      </c>
      <c r="F130" s="439">
        <f t="shared" si="0"/>
        <v>18500</v>
      </c>
      <c r="G130" s="442"/>
      <c r="H130" s="446"/>
    </row>
    <row r="131" spans="1:8" ht="13.2">
      <c r="A131" s="454" t="s">
        <v>798</v>
      </c>
      <c r="B131" s="452" t="str">
        <f>VLOOKUP(A131,'Danh mục hàng hóa'!$C$3:$D$643,2,0)</f>
        <v>Kẹp tóc bướm trắng</v>
      </c>
      <c r="C131" s="436" t="str">
        <f>VLOOKUP(A131,'Danh mục hàng hóa'!$C$3:$E$656,3,0)</f>
        <v>cái</v>
      </c>
      <c r="D131" s="437">
        <f>VLOOKUP(A131,'Danh mục hàng hóa'!$C$3:$M$656,6,0)</f>
        <v>40000</v>
      </c>
      <c r="E131" s="438">
        <v>1</v>
      </c>
      <c r="F131" s="439">
        <f t="shared" si="0"/>
        <v>40000</v>
      </c>
      <c r="G131" s="442"/>
      <c r="H131" s="448">
        <v>32920</v>
      </c>
    </row>
    <row r="132" spans="1:8" ht="13.2">
      <c r="A132" s="454" t="s">
        <v>792</v>
      </c>
      <c r="B132" s="452" t="str">
        <f>VLOOKUP(A132,'Danh mục hàng hóa'!$C$3:$D$643,2,0)</f>
        <v>Kẹp tóc bướm xanh ngọc</v>
      </c>
      <c r="C132" s="436" t="str">
        <f>VLOOKUP(A132,'Danh mục hàng hóa'!$C$3:$E$656,3,0)</f>
        <v>cái</v>
      </c>
      <c r="D132" s="437">
        <f>VLOOKUP(A132,'Danh mục hàng hóa'!$C$3:$M$656,6,0)</f>
        <v>38000</v>
      </c>
      <c r="E132" s="438">
        <v>1</v>
      </c>
      <c r="F132" s="439">
        <f t="shared" si="0"/>
        <v>38000</v>
      </c>
      <c r="G132" s="442"/>
      <c r="H132" s="448">
        <v>33140</v>
      </c>
    </row>
    <row r="133" spans="1:8" ht="13.2">
      <c r="A133" s="454" t="s">
        <v>794</v>
      </c>
      <c r="B133" s="452" t="str">
        <f>VLOOKUP(A133,'Danh mục hàng hóa'!$C$3:$D$643,2,0)</f>
        <v>Kẹp tóc bướm xanh tím</v>
      </c>
      <c r="C133" s="436" t="str">
        <f>VLOOKUP(A133,'Danh mục hàng hóa'!$C$3:$E$656,3,0)</f>
        <v>cái</v>
      </c>
      <c r="D133" s="437">
        <f>VLOOKUP(A133,'Danh mục hàng hóa'!$C$3:$M$656,6,0)</f>
        <v>40000</v>
      </c>
      <c r="E133" s="438">
        <v>2</v>
      </c>
      <c r="F133" s="439">
        <f t="shared" si="0"/>
        <v>80000</v>
      </c>
      <c r="G133" s="442"/>
      <c r="H133" s="447">
        <v>126720</v>
      </c>
    </row>
    <row r="134" spans="1:8" ht="13.2">
      <c r="A134" s="454" t="s">
        <v>798</v>
      </c>
      <c r="B134" s="452" t="str">
        <f>VLOOKUP(A134,'Danh mục hàng hóa'!$C$3:$D$643,2,0)</f>
        <v>Kẹp tóc bướm trắng</v>
      </c>
      <c r="C134" s="436" t="str">
        <f>VLOOKUP(A134,'Danh mục hàng hóa'!$C$3:$E$656,3,0)</f>
        <v>cái</v>
      </c>
      <c r="D134" s="437">
        <f>VLOOKUP(A134,'Danh mục hàng hóa'!$C$3:$M$656,6,0)</f>
        <v>40000</v>
      </c>
      <c r="E134" s="438">
        <v>1</v>
      </c>
      <c r="F134" s="439">
        <f t="shared" si="0"/>
        <v>40000</v>
      </c>
      <c r="G134" s="442"/>
      <c r="H134" s="446"/>
    </row>
    <row r="135" spans="1:8" ht="13.2">
      <c r="A135" s="454" t="s">
        <v>790</v>
      </c>
      <c r="B135" s="452" t="str">
        <f>VLOOKUP(A135,'Danh mục hàng hóa'!$C$3:$D$643,2,0)</f>
        <v xml:space="preserve">Kẹp tóc bướm hồng </v>
      </c>
      <c r="C135" s="436" t="str">
        <f>VLOOKUP(A135,'Danh mục hàng hóa'!$C$3:$E$656,3,0)</f>
        <v>cái</v>
      </c>
      <c r="D135" s="437">
        <f>VLOOKUP(A135,'Danh mục hàng hóa'!$C$3:$M$656,6,0)</f>
        <v>40000</v>
      </c>
      <c r="E135" s="438">
        <v>1</v>
      </c>
      <c r="F135" s="439">
        <f t="shared" si="0"/>
        <v>40000</v>
      </c>
      <c r="G135" s="442"/>
      <c r="H135" s="446"/>
    </row>
    <row r="136" spans="1:8" ht="13.2">
      <c r="A136" s="454" t="s">
        <v>885</v>
      </c>
      <c r="B136" s="452" t="str">
        <f>VLOOKUP(A136,'Danh mục hàng hóa'!$C$3:$D$643,2,0)</f>
        <v>Gấu chong chóng</v>
      </c>
      <c r="C136" s="436" t="str">
        <f>VLOOKUP(A136,'Danh mục hàng hóa'!$C$3:$E$656,3,0)</f>
        <v>cái</v>
      </c>
      <c r="D136" s="437">
        <f>VLOOKUP(A136,'Danh mục hàng hóa'!$C$3:$M$656,6,0)</f>
        <v>56525</v>
      </c>
      <c r="E136" s="438">
        <v>2</v>
      </c>
      <c r="F136" s="439">
        <f t="shared" si="0"/>
        <v>113050</v>
      </c>
      <c r="G136" s="442"/>
      <c r="H136" s="448">
        <v>89535</v>
      </c>
    </row>
    <row r="137" spans="1:8" ht="13.2">
      <c r="A137" s="454" t="s">
        <v>800</v>
      </c>
      <c r="B137" s="452" t="str">
        <f>VLOOKUP(A137,'Danh mục hàng hóa'!$C$3:$D$643,2,0)</f>
        <v>Kẹp tóc bướm kem</v>
      </c>
      <c r="C137" s="436" t="str">
        <f>VLOOKUP(A137,'Danh mục hàng hóa'!$C$3:$E$656,3,0)</f>
        <v>cái</v>
      </c>
      <c r="D137" s="437">
        <f>VLOOKUP(A137,'Danh mục hàng hóa'!$C$3:$M$656,6,0)</f>
        <v>38000</v>
      </c>
      <c r="E137" s="438">
        <v>1</v>
      </c>
      <c r="F137" s="439">
        <f t="shared" si="0"/>
        <v>38000</v>
      </c>
      <c r="G137" s="442"/>
      <c r="H137" s="448">
        <v>32720</v>
      </c>
    </row>
    <row r="138" spans="1:8" ht="13.2">
      <c r="A138" s="454" t="s">
        <v>794</v>
      </c>
      <c r="B138" s="452" t="str">
        <f>VLOOKUP(A138,'Danh mục hàng hóa'!$C$3:$D$643,2,0)</f>
        <v>Kẹp tóc bướm xanh tím</v>
      </c>
      <c r="C138" s="436" t="str">
        <f>VLOOKUP(A138,'Danh mục hàng hóa'!$C$3:$E$656,3,0)</f>
        <v>cái</v>
      </c>
      <c r="D138" s="437">
        <f>VLOOKUP(A138,'Danh mục hàng hóa'!$C$3:$M$656,6,0)</f>
        <v>40000</v>
      </c>
      <c r="E138" s="438">
        <v>1</v>
      </c>
      <c r="F138" s="439">
        <f t="shared" si="0"/>
        <v>40000</v>
      </c>
      <c r="G138" s="442"/>
      <c r="H138" s="447">
        <v>60132</v>
      </c>
    </row>
    <row r="139" spans="1:8" ht="13.2">
      <c r="A139" s="454" t="s">
        <v>798</v>
      </c>
      <c r="B139" s="452" t="str">
        <f>VLOOKUP(A139,'Danh mục hàng hóa'!$C$3:$D$643,2,0)</f>
        <v>Kẹp tóc bướm trắng</v>
      </c>
      <c r="C139" s="436" t="str">
        <f>VLOOKUP(A139,'Danh mục hàng hóa'!$C$3:$E$656,3,0)</f>
        <v>cái</v>
      </c>
      <c r="D139" s="437">
        <f>VLOOKUP(A139,'Danh mục hàng hóa'!$C$3:$M$656,6,0)</f>
        <v>40000</v>
      </c>
      <c r="E139" s="438">
        <v>1</v>
      </c>
      <c r="F139" s="439">
        <f t="shared" si="0"/>
        <v>40000</v>
      </c>
      <c r="G139" s="442"/>
      <c r="H139" s="446"/>
    </row>
    <row r="140" spans="1:8" ht="13.2">
      <c r="A140" s="454" t="s">
        <v>792</v>
      </c>
      <c r="B140" s="452" t="str">
        <f>VLOOKUP(A140,'Danh mục hàng hóa'!$C$3:$D$643,2,0)</f>
        <v>Kẹp tóc bướm xanh ngọc</v>
      </c>
      <c r="C140" s="436" t="str">
        <f>VLOOKUP(A140,'Danh mục hàng hóa'!$C$3:$E$656,3,0)</f>
        <v>cái</v>
      </c>
      <c r="D140" s="437">
        <f>VLOOKUP(A140,'Danh mục hàng hóa'!$C$3:$M$656,6,0)</f>
        <v>38000</v>
      </c>
      <c r="E140" s="438">
        <v>1</v>
      </c>
      <c r="F140" s="439">
        <f t="shared" si="0"/>
        <v>38000</v>
      </c>
      <c r="G140" s="442"/>
      <c r="H140" s="447">
        <v>74784</v>
      </c>
    </row>
    <row r="141" spans="1:8" ht="13.2">
      <c r="A141" s="454" t="s">
        <v>796</v>
      </c>
      <c r="B141" s="452" t="str">
        <f>VLOOKUP(A141,'Danh mục hàng hóa'!$C$3:$D$643,2,0)</f>
        <v>Kẹp tóc bướm tím</v>
      </c>
      <c r="C141" s="436" t="str">
        <f>VLOOKUP(A141,'Danh mục hàng hóa'!$C$3:$E$656,3,0)</f>
        <v>cái</v>
      </c>
      <c r="D141" s="437">
        <f>VLOOKUP(A141,'Danh mục hàng hóa'!$C$3:$M$656,6,0)</f>
        <v>38000</v>
      </c>
      <c r="E141" s="438">
        <v>1</v>
      </c>
      <c r="F141" s="439">
        <f t="shared" si="0"/>
        <v>38000</v>
      </c>
      <c r="G141" s="442"/>
      <c r="H141" s="446"/>
    </row>
    <row r="142" spans="1:8" ht="13.2">
      <c r="A142" s="454" t="s">
        <v>740</v>
      </c>
      <c r="B142" s="452" t="str">
        <f>VLOOKUP(A142,'Danh mục hàng hóa'!$C$3:$D$643,2,0)</f>
        <v>Kẹp tóc hoa sứ đỏ</v>
      </c>
      <c r="C142" s="436" t="str">
        <f>VLOOKUP(A142,'Danh mục hàng hóa'!$C$3:$E$656,3,0)</f>
        <v>cái</v>
      </c>
      <c r="D142" s="437">
        <f>VLOOKUP(A142,'Danh mục hàng hóa'!$C$3:$M$656,6,0)</f>
        <v>18500</v>
      </c>
      <c r="E142" s="438">
        <v>1</v>
      </c>
      <c r="F142" s="439">
        <f t="shared" si="0"/>
        <v>18500</v>
      </c>
      <c r="G142" s="442"/>
      <c r="H142" s="446"/>
    </row>
    <row r="143" spans="1:8" ht="13.2">
      <c r="A143" s="454" t="s">
        <v>790</v>
      </c>
      <c r="B143" s="452" t="str">
        <f>VLOOKUP(A143,'Danh mục hàng hóa'!$C$3:$D$643,2,0)</f>
        <v xml:space="preserve">Kẹp tóc bướm hồng </v>
      </c>
      <c r="C143" s="436" t="str">
        <f>VLOOKUP(A143,'Danh mục hàng hóa'!$C$3:$E$656,3,0)</f>
        <v>cái</v>
      </c>
      <c r="D143" s="437">
        <f>VLOOKUP(A143,'Danh mục hàng hóa'!$C$3:$M$656,6,0)</f>
        <v>40000</v>
      </c>
      <c r="E143" s="438">
        <v>1</v>
      </c>
      <c r="F143" s="439">
        <f t="shared" si="0"/>
        <v>40000</v>
      </c>
      <c r="G143" s="442"/>
      <c r="H143" s="448">
        <v>34480</v>
      </c>
    </row>
    <row r="144" spans="1:8" ht="13.2">
      <c r="A144" s="454" t="s">
        <v>794</v>
      </c>
      <c r="B144" s="452" t="str">
        <f>VLOOKUP(A144,'Danh mục hàng hóa'!$C$3:$D$643,2,0)</f>
        <v>Kẹp tóc bướm xanh tím</v>
      </c>
      <c r="C144" s="436" t="str">
        <f>VLOOKUP(A144,'Danh mục hàng hóa'!$C$3:$E$656,3,0)</f>
        <v>cái</v>
      </c>
      <c r="D144" s="437">
        <f>VLOOKUP(A144,'Danh mục hàng hóa'!$C$3:$M$656,6,0)</f>
        <v>40000</v>
      </c>
      <c r="E144" s="438">
        <v>1</v>
      </c>
      <c r="F144" s="439">
        <f t="shared" si="0"/>
        <v>40000</v>
      </c>
      <c r="G144" s="442"/>
      <c r="H144" s="448">
        <v>35140</v>
      </c>
    </row>
    <row r="145" spans="1:8" ht="13.2">
      <c r="A145" s="454" t="s">
        <v>788</v>
      </c>
      <c r="B145" s="452" t="str">
        <f>VLOOKUP(A145,'Danh mục hàng hóa'!$C$3:$D$643,2,0)</f>
        <v>Kẹp tóc bướm hồng phấn</v>
      </c>
      <c r="C145" s="436" t="str">
        <f>VLOOKUP(A145,'Danh mục hàng hóa'!$C$3:$E$656,3,0)</f>
        <v>cái</v>
      </c>
      <c r="D145" s="437">
        <f>VLOOKUP(A145,'Danh mục hàng hóa'!$C$3:$M$656,6,0)</f>
        <v>38000</v>
      </c>
      <c r="E145" s="438">
        <v>1</v>
      </c>
      <c r="F145" s="439">
        <f t="shared" si="0"/>
        <v>38000</v>
      </c>
      <c r="G145" s="442"/>
      <c r="H145" s="447">
        <v>90048</v>
      </c>
    </row>
    <row r="146" spans="1:8" ht="13.2">
      <c r="A146" s="454" t="s">
        <v>794</v>
      </c>
      <c r="B146" s="452" t="str">
        <f>VLOOKUP(A146,'Danh mục hàng hóa'!$C$3:$D$643,2,0)</f>
        <v>Kẹp tóc bướm xanh tím</v>
      </c>
      <c r="C146" s="436" t="str">
        <f>VLOOKUP(A146,'Danh mục hàng hóa'!$C$3:$E$656,3,0)</f>
        <v>cái</v>
      </c>
      <c r="D146" s="437">
        <f>VLOOKUP(A146,'Danh mục hàng hóa'!$C$3:$M$656,6,0)</f>
        <v>40000</v>
      </c>
      <c r="E146" s="438">
        <v>1</v>
      </c>
      <c r="F146" s="439">
        <f t="shared" si="0"/>
        <v>40000</v>
      </c>
      <c r="G146" s="442"/>
      <c r="H146" s="446"/>
    </row>
    <row r="147" spans="1:8" ht="13.2">
      <c r="A147" s="454" t="s">
        <v>798</v>
      </c>
      <c r="B147" s="452" t="str">
        <f>VLOOKUP(A147,'Danh mục hàng hóa'!$C$3:$D$643,2,0)</f>
        <v>Kẹp tóc bướm trắng</v>
      </c>
      <c r="C147" s="436" t="str">
        <f>VLOOKUP(A147,'Danh mục hàng hóa'!$C$3:$E$656,3,0)</f>
        <v>cái</v>
      </c>
      <c r="D147" s="437">
        <f>VLOOKUP(A147,'Danh mục hàng hóa'!$C$3:$M$656,6,0)</f>
        <v>40000</v>
      </c>
      <c r="E147" s="438">
        <v>1</v>
      </c>
      <c r="F147" s="439">
        <f t="shared" si="0"/>
        <v>40000</v>
      </c>
      <c r="G147" s="442"/>
      <c r="H147" s="446"/>
    </row>
    <row r="148" spans="1:8" ht="13.2">
      <c r="A148" s="454" t="s">
        <v>788</v>
      </c>
      <c r="B148" s="452" t="str">
        <f>VLOOKUP(A148,'Danh mục hàng hóa'!$C$3:$D$643,2,0)</f>
        <v>Kẹp tóc bướm hồng phấn</v>
      </c>
      <c r="C148" s="436" t="str">
        <f>VLOOKUP(A148,'Danh mục hàng hóa'!$C$3:$E$656,3,0)</f>
        <v>cái</v>
      </c>
      <c r="D148" s="437">
        <f>VLOOKUP(A148,'Danh mục hàng hóa'!$C$3:$M$656,6,0)</f>
        <v>38000</v>
      </c>
      <c r="E148" s="438">
        <v>1</v>
      </c>
      <c r="F148" s="439">
        <f t="shared" si="0"/>
        <v>38000</v>
      </c>
      <c r="G148" s="442"/>
      <c r="H148" s="447">
        <v>120560</v>
      </c>
    </row>
    <row r="149" spans="1:8" ht="13.2">
      <c r="A149" s="454" t="s">
        <v>794</v>
      </c>
      <c r="B149" s="452" t="str">
        <f>VLOOKUP(A149,'Danh mục hàng hóa'!$C$3:$D$643,2,0)</f>
        <v>Kẹp tóc bướm xanh tím</v>
      </c>
      <c r="C149" s="436" t="str">
        <f>VLOOKUP(A149,'Danh mục hàng hóa'!$C$3:$E$656,3,0)</f>
        <v>cái</v>
      </c>
      <c r="D149" s="437">
        <f>VLOOKUP(A149,'Danh mục hàng hóa'!$C$3:$M$656,6,0)</f>
        <v>40000</v>
      </c>
      <c r="E149" s="438">
        <v>1</v>
      </c>
      <c r="F149" s="439">
        <f t="shared" si="0"/>
        <v>40000</v>
      </c>
      <c r="G149" s="442"/>
      <c r="H149" s="446"/>
    </row>
    <row r="150" spans="1:8" ht="13.2">
      <c r="A150" s="454" t="s">
        <v>798</v>
      </c>
      <c r="B150" s="452" t="str">
        <f>VLOOKUP(A150,'Danh mục hàng hóa'!$C$3:$D$643,2,0)</f>
        <v>Kẹp tóc bướm trắng</v>
      </c>
      <c r="C150" s="436" t="str">
        <f>VLOOKUP(A150,'Danh mục hàng hóa'!$C$3:$E$656,3,0)</f>
        <v>cái</v>
      </c>
      <c r="D150" s="437">
        <f>VLOOKUP(A150,'Danh mục hàng hóa'!$C$3:$M$656,6,0)</f>
        <v>40000</v>
      </c>
      <c r="E150" s="438">
        <v>1</v>
      </c>
      <c r="F150" s="439">
        <f t="shared" si="0"/>
        <v>40000</v>
      </c>
      <c r="G150" s="442"/>
      <c r="H150" s="446"/>
    </row>
    <row r="151" spans="1:8" ht="13.2">
      <c r="A151" s="454" t="s">
        <v>796</v>
      </c>
      <c r="B151" s="452" t="str">
        <f>VLOOKUP(A151,'Danh mục hàng hóa'!$C$3:$D$643,2,0)</f>
        <v>Kẹp tóc bướm tím</v>
      </c>
      <c r="C151" s="436" t="str">
        <f>VLOOKUP(A151,'Danh mục hàng hóa'!$C$3:$E$656,3,0)</f>
        <v>cái</v>
      </c>
      <c r="D151" s="437">
        <f>VLOOKUP(A151,'Danh mục hàng hóa'!$C$3:$M$656,6,0)</f>
        <v>38000</v>
      </c>
      <c r="E151" s="438">
        <v>1</v>
      </c>
      <c r="F151" s="439">
        <f t="shared" si="0"/>
        <v>38000</v>
      </c>
      <c r="G151" s="442"/>
      <c r="H151" s="446"/>
    </row>
    <row r="152" spans="1:8" ht="13.2">
      <c r="A152" s="454" t="s">
        <v>788</v>
      </c>
      <c r="B152" s="452" t="str">
        <f>VLOOKUP(A152,'Danh mục hàng hóa'!$C$3:$D$643,2,0)</f>
        <v>Kẹp tóc bướm hồng phấn</v>
      </c>
      <c r="C152" s="436" t="str">
        <f>VLOOKUP(A152,'Danh mục hàng hóa'!$C$3:$E$656,3,0)</f>
        <v>cái</v>
      </c>
      <c r="D152" s="437">
        <f>VLOOKUP(A152,'Danh mục hàng hóa'!$C$3:$M$656,6,0)</f>
        <v>38000</v>
      </c>
      <c r="E152" s="438">
        <v>1</v>
      </c>
      <c r="F152" s="439">
        <f t="shared" si="0"/>
        <v>38000</v>
      </c>
      <c r="G152" s="442"/>
      <c r="H152" s="448">
        <v>33380</v>
      </c>
    </row>
    <row r="153" spans="1:8" ht="13.2">
      <c r="A153" s="454" t="s">
        <v>792</v>
      </c>
      <c r="B153" s="452" t="str">
        <f>VLOOKUP(A153,'Danh mục hàng hóa'!$C$3:$D$643,2,0)</f>
        <v>Kẹp tóc bướm xanh ngọc</v>
      </c>
      <c r="C153" s="436" t="str">
        <f>VLOOKUP(A153,'Danh mục hàng hóa'!$C$3:$E$656,3,0)</f>
        <v>cái</v>
      </c>
      <c r="D153" s="437">
        <f>VLOOKUP(A153,'Danh mục hàng hóa'!$C$3:$M$656,6,0)</f>
        <v>38000</v>
      </c>
      <c r="E153" s="438">
        <v>1</v>
      </c>
      <c r="F153" s="439">
        <f t="shared" si="0"/>
        <v>38000</v>
      </c>
      <c r="G153" s="442"/>
      <c r="H153" s="447">
        <v>59872</v>
      </c>
    </row>
    <row r="154" spans="1:8" ht="13.2">
      <c r="A154" s="454" t="s">
        <v>796</v>
      </c>
      <c r="B154" s="452" t="str">
        <f>VLOOKUP(A154,'Danh mục hàng hóa'!$C$3:$D$643,2,0)</f>
        <v>Kẹp tóc bướm tím</v>
      </c>
      <c r="C154" s="436" t="str">
        <f>VLOOKUP(A154,'Danh mục hàng hóa'!$C$3:$E$656,3,0)</f>
        <v>cái</v>
      </c>
      <c r="D154" s="437">
        <f>VLOOKUP(A154,'Danh mục hàng hóa'!$C$3:$M$656,6,0)</f>
        <v>38000</v>
      </c>
      <c r="E154" s="438">
        <v>1</v>
      </c>
      <c r="F154" s="439">
        <f t="shared" si="0"/>
        <v>38000</v>
      </c>
      <c r="G154" s="442"/>
      <c r="H154" s="446"/>
    </row>
    <row r="155" spans="1:8" ht="13.2">
      <c r="A155" s="454" t="s">
        <v>792</v>
      </c>
      <c r="B155" s="452" t="str">
        <f>VLOOKUP(A155,'Danh mục hàng hóa'!$C$3:$D$643,2,0)</f>
        <v>Kẹp tóc bướm xanh ngọc</v>
      </c>
      <c r="C155" s="436" t="str">
        <f>VLOOKUP(A155,'Danh mục hàng hóa'!$C$3:$E$656,3,0)</f>
        <v>cái</v>
      </c>
      <c r="D155" s="437">
        <f>VLOOKUP(A155,'Danh mục hàng hóa'!$C$3:$M$656,6,0)</f>
        <v>38000</v>
      </c>
      <c r="E155" s="438">
        <v>1</v>
      </c>
      <c r="F155" s="439">
        <f t="shared" si="0"/>
        <v>38000</v>
      </c>
      <c r="G155" s="442"/>
      <c r="H155" s="447">
        <v>90288</v>
      </c>
    </row>
    <row r="156" spans="1:8" ht="13.2">
      <c r="A156" s="454" t="s">
        <v>794</v>
      </c>
      <c r="B156" s="452" t="str">
        <f>VLOOKUP(A156,'Danh mục hàng hóa'!$C$3:$D$643,2,0)</f>
        <v>Kẹp tóc bướm xanh tím</v>
      </c>
      <c r="C156" s="436" t="str">
        <f>VLOOKUP(A156,'Danh mục hàng hóa'!$C$3:$E$656,3,0)</f>
        <v>cái</v>
      </c>
      <c r="D156" s="437">
        <f>VLOOKUP(A156,'Danh mục hàng hóa'!$C$3:$M$656,6,0)</f>
        <v>40000</v>
      </c>
      <c r="E156" s="438">
        <v>1</v>
      </c>
      <c r="F156" s="439">
        <f t="shared" si="0"/>
        <v>40000</v>
      </c>
      <c r="G156" s="442"/>
      <c r="H156" s="446"/>
    </row>
    <row r="157" spans="1:8" ht="13.2">
      <c r="A157" s="454" t="s">
        <v>790</v>
      </c>
      <c r="B157" s="452" t="str">
        <f>VLOOKUP(A157,'Danh mục hàng hóa'!$C$3:$D$643,2,0)</f>
        <v xml:space="preserve">Kẹp tóc bướm hồng </v>
      </c>
      <c r="C157" s="436" t="str">
        <f>VLOOKUP(A157,'Danh mục hàng hóa'!$C$3:$E$656,3,0)</f>
        <v>cái</v>
      </c>
      <c r="D157" s="437">
        <f>VLOOKUP(A157,'Danh mục hàng hóa'!$C$3:$M$656,6,0)</f>
        <v>40000</v>
      </c>
      <c r="E157" s="438">
        <v>1</v>
      </c>
      <c r="F157" s="439">
        <f t="shared" si="0"/>
        <v>40000</v>
      </c>
      <c r="G157" s="442"/>
      <c r="H157" s="446"/>
    </row>
    <row r="158" spans="1:8" ht="13.2">
      <c r="A158" s="454" t="s">
        <v>794</v>
      </c>
      <c r="B158" s="452" t="str">
        <f>VLOOKUP(A158,'Danh mục hàng hóa'!$C$3:$D$643,2,0)</f>
        <v>Kẹp tóc bướm xanh tím</v>
      </c>
      <c r="C158" s="436" t="str">
        <f>VLOOKUP(A158,'Danh mục hàng hóa'!$C$3:$E$656,3,0)</f>
        <v>cái</v>
      </c>
      <c r="D158" s="437">
        <f>VLOOKUP(A158,'Danh mục hàng hóa'!$C$3:$M$656,6,0)</f>
        <v>40000</v>
      </c>
      <c r="E158" s="438">
        <v>1</v>
      </c>
      <c r="F158" s="439">
        <f t="shared" si="0"/>
        <v>40000</v>
      </c>
      <c r="G158" s="442"/>
      <c r="H158" s="448">
        <v>33160</v>
      </c>
    </row>
    <row r="159" spans="1:8" ht="13.2">
      <c r="A159" s="454" t="s">
        <v>794</v>
      </c>
      <c r="B159" s="452" t="str">
        <f>VLOOKUP(A159,'Danh mục hàng hóa'!$C$3:$D$643,2,0)</f>
        <v>Kẹp tóc bướm xanh tím</v>
      </c>
      <c r="C159" s="436" t="str">
        <f>VLOOKUP(A159,'Danh mục hàng hóa'!$C$3:$E$656,3,0)</f>
        <v>cái</v>
      </c>
      <c r="D159" s="437">
        <f>VLOOKUP(A159,'Danh mục hàng hóa'!$C$3:$M$656,6,0)</f>
        <v>40000</v>
      </c>
      <c r="E159" s="438">
        <v>1</v>
      </c>
      <c r="F159" s="439">
        <f t="shared" si="0"/>
        <v>40000</v>
      </c>
      <c r="G159" s="442"/>
      <c r="H159" s="448">
        <v>33440</v>
      </c>
    </row>
    <row r="160" spans="1:8" ht="13.2">
      <c r="A160" s="454" t="s">
        <v>792</v>
      </c>
      <c r="B160" s="452" t="str">
        <f>VLOOKUP(A160,'Danh mục hàng hóa'!$C$3:$D$643,2,0)</f>
        <v>Kẹp tóc bướm xanh ngọc</v>
      </c>
      <c r="C160" s="436" t="str">
        <f>VLOOKUP(A160,'Danh mục hàng hóa'!$C$3:$E$656,3,0)</f>
        <v>cái</v>
      </c>
      <c r="D160" s="437">
        <f>VLOOKUP(A160,'Danh mục hàng hóa'!$C$3:$M$656,6,0)</f>
        <v>38000</v>
      </c>
      <c r="E160" s="438">
        <v>1</v>
      </c>
      <c r="F160" s="439">
        <f t="shared" si="0"/>
        <v>38000</v>
      </c>
      <c r="G160" s="442"/>
      <c r="H160" s="448">
        <v>33380</v>
      </c>
    </row>
    <row r="161" spans="1:8" ht="13.2">
      <c r="A161" s="454" t="s">
        <v>792</v>
      </c>
      <c r="B161" s="452" t="str">
        <f>VLOOKUP(A161,'Danh mục hàng hóa'!$C$3:$D$643,2,0)</f>
        <v>Kẹp tóc bướm xanh ngọc</v>
      </c>
      <c r="C161" s="436" t="str">
        <f>VLOOKUP(A161,'Danh mục hàng hóa'!$C$3:$E$656,3,0)</f>
        <v>cái</v>
      </c>
      <c r="D161" s="437">
        <f>VLOOKUP(A161,'Danh mục hàng hóa'!$C$3:$M$656,6,0)</f>
        <v>38000</v>
      </c>
      <c r="E161" s="438">
        <v>1</v>
      </c>
      <c r="F161" s="439">
        <f t="shared" si="0"/>
        <v>38000</v>
      </c>
      <c r="G161" s="442"/>
      <c r="H161" s="447">
        <v>90228</v>
      </c>
    </row>
    <row r="162" spans="1:8" ht="13.2">
      <c r="A162" s="454" t="s">
        <v>794</v>
      </c>
      <c r="B162" s="452" t="str">
        <f>VLOOKUP(A162,'Danh mục hàng hóa'!$C$3:$D$643,2,0)</f>
        <v>Kẹp tóc bướm xanh tím</v>
      </c>
      <c r="C162" s="436" t="str">
        <f>VLOOKUP(A162,'Danh mục hàng hóa'!$C$3:$E$656,3,0)</f>
        <v>cái</v>
      </c>
      <c r="D162" s="437">
        <f>VLOOKUP(A162,'Danh mục hàng hóa'!$C$3:$M$656,6,0)</f>
        <v>40000</v>
      </c>
      <c r="E162" s="438">
        <v>1</v>
      </c>
      <c r="F162" s="439">
        <f t="shared" si="0"/>
        <v>40000</v>
      </c>
      <c r="G162" s="442"/>
      <c r="H162" s="446"/>
    </row>
    <row r="163" spans="1:8" ht="13.2">
      <c r="A163" s="454" t="s">
        <v>796</v>
      </c>
      <c r="B163" s="452" t="str">
        <f>VLOOKUP(A163,'Danh mục hàng hóa'!$C$3:$D$643,2,0)</f>
        <v>Kẹp tóc bướm tím</v>
      </c>
      <c r="C163" s="436" t="str">
        <f>VLOOKUP(A163,'Danh mục hàng hóa'!$C$3:$E$656,3,0)</f>
        <v>cái</v>
      </c>
      <c r="D163" s="437">
        <f>VLOOKUP(A163,'Danh mục hàng hóa'!$C$3:$M$656,6,0)</f>
        <v>38000</v>
      </c>
      <c r="E163" s="438">
        <v>1</v>
      </c>
      <c r="F163" s="439">
        <f t="shared" si="0"/>
        <v>38000</v>
      </c>
      <c r="G163" s="442"/>
      <c r="H163" s="446"/>
    </row>
    <row r="164" spans="1:8" ht="13.2">
      <c r="A164" s="454" t="s">
        <v>792</v>
      </c>
      <c r="B164" s="452" t="str">
        <f>VLOOKUP(A164,'Danh mục hàng hóa'!$C$3:$D$643,2,0)</f>
        <v>Kẹp tóc bướm xanh ngọc</v>
      </c>
      <c r="C164" s="436" t="str">
        <f>VLOOKUP(A164,'Danh mục hàng hóa'!$C$3:$E$656,3,0)</f>
        <v>cái</v>
      </c>
      <c r="D164" s="437">
        <f>VLOOKUP(A164,'Danh mục hàng hóa'!$C$3:$M$656,6,0)</f>
        <v>38000</v>
      </c>
      <c r="E164" s="438">
        <v>1</v>
      </c>
      <c r="F164" s="439">
        <f t="shared" si="0"/>
        <v>38000</v>
      </c>
      <c r="G164" s="442"/>
      <c r="H164" s="447">
        <v>60132</v>
      </c>
    </row>
    <row r="165" spans="1:8" ht="13.2">
      <c r="A165" s="454" t="s">
        <v>798</v>
      </c>
      <c r="B165" s="452" t="str">
        <f>VLOOKUP(A165,'Danh mục hàng hóa'!$C$3:$D$643,2,0)</f>
        <v>Kẹp tóc bướm trắng</v>
      </c>
      <c r="C165" s="436" t="str">
        <f>VLOOKUP(A165,'Danh mục hàng hóa'!$C$3:$E$656,3,0)</f>
        <v>cái</v>
      </c>
      <c r="D165" s="437">
        <f>VLOOKUP(A165,'Danh mục hàng hóa'!$C$3:$M$656,6,0)</f>
        <v>40000</v>
      </c>
      <c r="E165" s="438">
        <v>1</v>
      </c>
      <c r="F165" s="439">
        <f t="shared" si="0"/>
        <v>40000</v>
      </c>
      <c r="G165" s="442"/>
      <c r="H165" s="446"/>
    </row>
    <row r="166" spans="1:8" ht="13.2">
      <c r="A166" s="454" t="s">
        <v>796</v>
      </c>
      <c r="B166" s="452" t="str">
        <f>VLOOKUP(A166,'Danh mục hàng hóa'!$C$3:$D$643,2,0)</f>
        <v>Kẹp tóc bướm tím</v>
      </c>
      <c r="C166" s="436" t="str">
        <f>VLOOKUP(A166,'Danh mục hàng hóa'!$C$3:$E$656,3,0)</f>
        <v>cái</v>
      </c>
      <c r="D166" s="437">
        <f>VLOOKUP(A166,'Danh mục hàng hóa'!$C$3:$M$656,6,0)</f>
        <v>38000</v>
      </c>
      <c r="E166" s="438">
        <v>1</v>
      </c>
      <c r="F166" s="439">
        <f t="shared" si="0"/>
        <v>38000</v>
      </c>
      <c r="G166" s="442"/>
      <c r="H166" s="448">
        <v>33380</v>
      </c>
    </row>
    <row r="167" spans="1:8" ht="13.2">
      <c r="A167" s="454" t="s">
        <v>794</v>
      </c>
      <c r="B167" s="452" t="str">
        <f>VLOOKUP(A167,'Danh mục hàng hóa'!$C$3:$D$643,2,0)</f>
        <v>Kẹp tóc bướm xanh tím</v>
      </c>
      <c r="C167" s="436" t="str">
        <f>VLOOKUP(A167,'Danh mục hàng hóa'!$C$3:$E$656,3,0)</f>
        <v>cái</v>
      </c>
      <c r="D167" s="437">
        <f>VLOOKUP(A167,'Danh mục hàng hóa'!$C$3:$M$656,6,0)</f>
        <v>40000</v>
      </c>
      <c r="E167" s="438">
        <v>1</v>
      </c>
      <c r="F167" s="439">
        <f t="shared" si="0"/>
        <v>40000</v>
      </c>
      <c r="G167" s="442"/>
      <c r="H167" s="447">
        <v>60032</v>
      </c>
    </row>
    <row r="168" spans="1:8" ht="13.2">
      <c r="A168" s="454" t="s">
        <v>798</v>
      </c>
      <c r="B168" s="452" t="str">
        <f>VLOOKUP(A168,'Danh mục hàng hóa'!$C$3:$D$643,2,0)</f>
        <v>Kẹp tóc bướm trắng</v>
      </c>
      <c r="C168" s="436" t="str">
        <f>VLOOKUP(A168,'Danh mục hàng hóa'!$C$3:$E$656,3,0)</f>
        <v>cái</v>
      </c>
      <c r="D168" s="437">
        <f>VLOOKUP(A168,'Danh mục hàng hóa'!$C$3:$M$656,6,0)</f>
        <v>40000</v>
      </c>
      <c r="E168" s="438">
        <v>1</v>
      </c>
      <c r="F168" s="439">
        <f t="shared" si="0"/>
        <v>40000</v>
      </c>
      <c r="G168" s="442"/>
      <c r="H168" s="446"/>
    </row>
    <row r="169" spans="1:8" ht="13.2">
      <c r="A169" s="454" t="s">
        <v>800</v>
      </c>
      <c r="B169" s="452" t="str">
        <f>VLOOKUP(A169,'Danh mục hàng hóa'!$C$3:$D$643,2,0)</f>
        <v>Kẹp tóc bướm kem</v>
      </c>
      <c r="C169" s="436" t="str">
        <f>VLOOKUP(A169,'Danh mục hàng hóa'!$C$3:$E$656,3,0)</f>
        <v>cái</v>
      </c>
      <c r="D169" s="437">
        <f>VLOOKUP(A169,'Danh mục hàng hóa'!$C$3:$M$656,6,0)</f>
        <v>38000</v>
      </c>
      <c r="E169" s="438">
        <v>1</v>
      </c>
      <c r="F169" s="439">
        <f t="shared" si="0"/>
        <v>38000</v>
      </c>
      <c r="G169" s="442"/>
      <c r="H169" s="447">
        <v>120560</v>
      </c>
    </row>
    <row r="170" spans="1:8" ht="13.2">
      <c r="A170" s="454" t="s">
        <v>794</v>
      </c>
      <c r="B170" s="452" t="str">
        <f>VLOOKUP(A170,'Danh mục hàng hóa'!$C$3:$D$643,2,0)</f>
        <v>Kẹp tóc bướm xanh tím</v>
      </c>
      <c r="C170" s="436" t="str">
        <f>VLOOKUP(A170,'Danh mục hàng hóa'!$C$3:$E$656,3,0)</f>
        <v>cái</v>
      </c>
      <c r="D170" s="437">
        <f>VLOOKUP(A170,'Danh mục hàng hóa'!$C$3:$M$656,6,0)</f>
        <v>40000</v>
      </c>
      <c r="E170" s="438">
        <v>1</v>
      </c>
      <c r="F170" s="439">
        <f t="shared" si="0"/>
        <v>40000</v>
      </c>
      <c r="G170" s="442"/>
      <c r="H170" s="446"/>
    </row>
    <row r="171" spans="1:8" ht="13.2">
      <c r="A171" s="454" t="s">
        <v>798</v>
      </c>
      <c r="B171" s="452" t="str">
        <f>VLOOKUP(A171,'Danh mục hàng hóa'!$C$3:$D$643,2,0)</f>
        <v>Kẹp tóc bướm trắng</v>
      </c>
      <c r="C171" s="436" t="str">
        <f>VLOOKUP(A171,'Danh mục hàng hóa'!$C$3:$E$656,3,0)</f>
        <v>cái</v>
      </c>
      <c r="D171" s="437">
        <f>VLOOKUP(A171,'Danh mục hàng hóa'!$C$3:$M$656,6,0)</f>
        <v>40000</v>
      </c>
      <c r="E171" s="438">
        <v>1</v>
      </c>
      <c r="F171" s="439">
        <f t="shared" si="0"/>
        <v>40000</v>
      </c>
      <c r="G171" s="442"/>
      <c r="H171" s="446"/>
    </row>
    <row r="172" spans="1:8" ht="13.2">
      <c r="A172" s="454" t="s">
        <v>790</v>
      </c>
      <c r="B172" s="452" t="str">
        <f>VLOOKUP(A172,'Danh mục hàng hóa'!$C$3:$D$643,2,0)</f>
        <v xml:space="preserve">Kẹp tóc bướm hồng </v>
      </c>
      <c r="C172" s="436" t="str">
        <f>VLOOKUP(A172,'Danh mục hàng hóa'!$C$3:$E$656,3,0)</f>
        <v>cái</v>
      </c>
      <c r="D172" s="437">
        <f>VLOOKUP(A172,'Danh mục hàng hóa'!$C$3:$M$656,6,0)</f>
        <v>40000</v>
      </c>
      <c r="E172" s="438">
        <v>1</v>
      </c>
      <c r="F172" s="439">
        <f t="shared" si="0"/>
        <v>40000</v>
      </c>
      <c r="G172" s="442"/>
      <c r="H172" s="446"/>
    </row>
    <row r="173" spans="1:8" ht="13.2">
      <c r="A173" s="454" t="s">
        <v>792</v>
      </c>
      <c r="B173" s="452" t="str">
        <f>VLOOKUP(A173,'Danh mục hàng hóa'!$C$3:$D$643,2,0)</f>
        <v>Kẹp tóc bướm xanh ngọc</v>
      </c>
      <c r="C173" s="436" t="str">
        <f>VLOOKUP(A173,'Danh mục hàng hóa'!$C$3:$E$656,3,0)</f>
        <v>cái</v>
      </c>
      <c r="D173" s="437">
        <f>VLOOKUP(A173,'Danh mục hàng hóa'!$C$3:$M$656,6,0)</f>
        <v>38000</v>
      </c>
      <c r="E173" s="438">
        <v>1</v>
      </c>
      <c r="F173" s="439">
        <f t="shared" si="0"/>
        <v>38000</v>
      </c>
      <c r="G173" s="442"/>
      <c r="H173" s="447">
        <v>59912</v>
      </c>
    </row>
    <row r="174" spans="1:8" ht="13.2">
      <c r="A174" s="454" t="s">
        <v>794</v>
      </c>
      <c r="B174" s="452" t="str">
        <f>VLOOKUP(A174,'Danh mục hàng hóa'!$C$3:$D$643,2,0)</f>
        <v>Kẹp tóc bướm xanh tím</v>
      </c>
      <c r="C174" s="436" t="str">
        <f>VLOOKUP(A174,'Danh mục hàng hóa'!$C$3:$E$656,3,0)</f>
        <v>cái</v>
      </c>
      <c r="D174" s="437">
        <f>VLOOKUP(A174,'Danh mục hàng hóa'!$C$3:$M$656,6,0)</f>
        <v>40000</v>
      </c>
      <c r="E174" s="438">
        <v>1</v>
      </c>
      <c r="F174" s="439">
        <f t="shared" si="0"/>
        <v>40000</v>
      </c>
      <c r="G174" s="442"/>
      <c r="H174" s="446"/>
    </row>
    <row r="175" spans="1:8" ht="13.2">
      <c r="A175" s="454" t="s">
        <v>796</v>
      </c>
      <c r="B175" s="452" t="str">
        <f>VLOOKUP(A175,'Danh mục hàng hóa'!$C$3:$D$643,2,0)</f>
        <v>Kẹp tóc bướm tím</v>
      </c>
      <c r="C175" s="436" t="str">
        <f>VLOOKUP(A175,'Danh mục hàng hóa'!$C$3:$E$656,3,0)</f>
        <v>cái</v>
      </c>
      <c r="D175" s="437">
        <f>VLOOKUP(A175,'Danh mục hàng hóa'!$C$3:$M$656,6,0)</f>
        <v>38000</v>
      </c>
      <c r="E175" s="438">
        <v>2</v>
      </c>
      <c r="F175" s="439">
        <f t="shared" si="0"/>
        <v>76000</v>
      </c>
      <c r="G175" s="442"/>
      <c r="H175" s="447">
        <v>90288</v>
      </c>
    </row>
    <row r="176" spans="1:8" ht="13.2">
      <c r="A176" s="454" t="s">
        <v>790</v>
      </c>
      <c r="B176" s="452" t="str">
        <f>VLOOKUP(A176,'Danh mục hàng hóa'!$C$3:$D$643,2,0)</f>
        <v xml:space="preserve">Kẹp tóc bướm hồng </v>
      </c>
      <c r="C176" s="436" t="str">
        <f>VLOOKUP(A176,'Danh mục hàng hóa'!$C$3:$E$656,3,0)</f>
        <v>cái</v>
      </c>
      <c r="D176" s="437">
        <f>VLOOKUP(A176,'Danh mục hàng hóa'!$C$3:$M$656,6,0)</f>
        <v>40000</v>
      </c>
      <c r="E176" s="438">
        <v>1</v>
      </c>
      <c r="F176" s="439">
        <f t="shared" si="0"/>
        <v>40000</v>
      </c>
      <c r="G176" s="442"/>
      <c r="H176" s="446"/>
    </row>
    <row r="177" spans="1:8" ht="13.2">
      <c r="A177" s="454" t="s">
        <v>782</v>
      </c>
      <c r="B177" s="452" t="str">
        <f>VLOOKUP(A177,'Danh mục hàng hóa'!$C$3:$D$643,2,0)</f>
        <v>Kẹp tóc hoa lan 06</v>
      </c>
      <c r="C177" s="436" t="str">
        <f>VLOOKUP(A177,'Danh mục hàng hóa'!$C$3:$E$656,3,0)</f>
        <v>cái</v>
      </c>
      <c r="D177" s="437">
        <f>VLOOKUP(A177,'Danh mục hàng hóa'!$C$3:$M$656,6,0)</f>
        <v>18500</v>
      </c>
      <c r="E177" s="438">
        <v>1</v>
      </c>
      <c r="F177" s="439">
        <f t="shared" si="0"/>
        <v>18500</v>
      </c>
      <c r="G177" s="442"/>
      <c r="H177" s="447">
        <v>75719</v>
      </c>
    </row>
    <row r="178" spans="1:8" ht="13.2">
      <c r="A178" s="454" t="s">
        <v>788</v>
      </c>
      <c r="B178" s="452" t="str">
        <f>VLOOKUP(A178,'Danh mục hàng hóa'!$C$3:$D$643,2,0)</f>
        <v>Kẹp tóc bướm hồng phấn</v>
      </c>
      <c r="C178" s="436" t="str">
        <f>VLOOKUP(A178,'Danh mục hàng hóa'!$C$3:$E$656,3,0)</f>
        <v>cái</v>
      </c>
      <c r="D178" s="437">
        <f>VLOOKUP(A178,'Danh mục hàng hóa'!$C$3:$M$656,6,0)</f>
        <v>38000</v>
      </c>
      <c r="E178" s="438">
        <v>1</v>
      </c>
      <c r="F178" s="439">
        <f t="shared" si="0"/>
        <v>38000</v>
      </c>
      <c r="G178" s="442"/>
      <c r="H178" s="446"/>
    </row>
    <row r="179" spans="1:8" ht="13.2">
      <c r="A179" s="454" t="s">
        <v>800</v>
      </c>
      <c r="B179" s="452" t="str">
        <f>VLOOKUP(A179,'Danh mục hàng hóa'!$C$3:$D$643,2,0)</f>
        <v>Kẹp tóc bướm kem</v>
      </c>
      <c r="C179" s="436" t="str">
        <f>VLOOKUP(A179,'Danh mục hàng hóa'!$C$3:$E$656,3,0)</f>
        <v>cái</v>
      </c>
      <c r="D179" s="437">
        <f>VLOOKUP(A179,'Danh mục hàng hóa'!$C$3:$M$656,6,0)</f>
        <v>38000</v>
      </c>
      <c r="E179" s="438">
        <v>1</v>
      </c>
      <c r="F179" s="439">
        <f t="shared" si="0"/>
        <v>38000</v>
      </c>
      <c r="G179" s="442"/>
      <c r="H179" s="446"/>
    </row>
    <row r="180" spans="1:8" ht="13.2">
      <c r="A180" s="454" t="s">
        <v>858</v>
      </c>
      <c r="B180" s="452" t="str">
        <f>VLOOKUP(A180,'Danh mục hàng hóa'!$C$3:$D$643,2,0)</f>
        <v>Hộp thuốc gấu vàng</v>
      </c>
      <c r="C180" s="436" t="str">
        <f>VLOOKUP(A180,'Danh mục hàng hóa'!$C$3:$E$656,3,0)</f>
        <v>hộp</v>
      </c>
      <c r="D180" s="437">
        <f>VLOOKUP(A180,'Danh mục hàng hóa'!$C$3:$M$656,6,0)</f>
        <v>10000</v>
      </c>
      <c r="E180" s="438">
        <v>1</v>
      </c>
      <c r="F180" s="439">
        <f t="shared" si="0"/>
        <v>10000</v>
      </c>
      <c r="G180" s="442"/>
      <c r="H180" s="447">
        <v>83496</v>
      </c>
    </row>
    <row r="181" spans="1:8" ht="13.2">
      <c r="A181" s="454" t="s">
        <v>800</v>
      </c>
      <c r="B181" s="452" t="str">
        <f>VLOOKUP(A181,'Danh mục hàng hóa'!$C$3:$D$643,2,0)</f>
        <v>Kẹp tóc bướm kem</v>
      </c>
      <c r="C181" s="436" t="str">
        <f>VLOOKUP(A181,'Danh mục hàng hóa'!$C$3:$E$656,3,0)</f>
        <v>cái</v>
      </c>
      <c r="D181" s="437">
        <f>VLOOKUP(A181,'Danh mục hàng hóa'!$C$3:$M$656,6,0)</f>
        <v>38000</v>
      </c>
      <c r="E181" s="438">
        <v>1</v>
      </c>
      <c r="F181" s="439">
        <f t="shared" si="0"/>
        <v>38000</v>
      </c>
      <c r="G181" s="442"/>
      <c r="H181" s="446"/>
    </row>
    <row r="182" spans="1:8" ht="13.2">
      <c r="A182" s="454" t="s">
        <v>796</v>
      </c>
      <c r="B182" s="452" t="str">
        <f>VLOOKUP(A182,'Danh mục hàng hóa'!$C$3:$D$643,2,0)</f>
        <v>Kẹp tóc bướm tím</v>
      </c>
      <c r="C182" s="436" t="str">
        <f>VLOOKUP(A182,'Danh mục hàng hóa'!$C$3:$E$656,3,0)</f>
        <v>cái</v>
      </c>
      <c r="D182" s="437">
        <f>VLOOKUP(A182,'Danh mục hàng hóa'!$C$3:$M$656,6,0)</f>
        <v>38000</v>
      </c>
      <c r="E182" s="438">
        <v>1</v>
      </c>
      <c r="F182" s="439">
        <f t="shared" si="0"/>
        <v>38000</v>
      </c>
      <c r="G182" s="442"/>
      <c r="H182" s="446"/>
    </row>
    <row r="183" spans="1:8" ht="13.2">
      <c r="A183" s="454" t="s">
        <v>736</v>
      </c>
      <c r="B183" s="452" t="str">
        <f>VLOOKUP(A183,'Danh mục hàng hóa'!$C$3:$D$643,2,0)</f>
        <v>Kẹp tóc hoa sứ vàng</v>
      </c>
      <c r="C183" s="436" t="str">
        <f>VLOOKUP(A183,'Danh mục hàng hóa'!$C$3:$E$656,3,0)</f>
        <v>cái</v>
      </c>
      <c r="D183" s="437">
        <f>VLOOKUP(A183,'Danh mục hàng hóa'!$C$3:$M$656,6,0)</f>
        <v>18500</v>
      </c>
      <c r="E183" s="438">
        <v>1</v>
      </c>
      <c r="F183" s="439">
        <f t="shared" si="0"/>
        <v>18500</v>
      </c>
      <c r="G183" s="442"/>
      <c r="H183" s="446"/>
    </row>
    <row r="184" spans="1:8" ht="13.2">
      <c r="A184" s="454" t="s">
        <v>788</v>
      </c>
      <c r="B184" s="452" t="str">
        <f>VLOOKUP(A184,'Danh mục hàng hóa'!$C$3:$D$643,2,0)</f>
        <v>Kẹp tóc bướm hồng phấn</v>
      </c>
      <c r="C184" s="436" t="str">
        <f>VLOOKUP(A184,'Danh mục hàng hóa'!$C$3:$E$656,3,0)</f>
        <v>cái</v>
      </c>
      <c r="D184" s="437">
        <f>VLOOKUP(A184,'Danh mục hàng hóa'!$C$3:$M$656,6,0)</f>
        <v>38000</v>
      </c>
      <c r="E184" s="438">
        <v>1</v>
      </c>
      <c r="F184" s="439">
        <f t="shared" si="0"/>
        <v>38000</v>
      </c>
      <c r="G184" s="442"/>
      <c r="H184" s="447">
        <v>67872</v>
      </c>
    </row>
    <row r="185" spans="1:8" ht="13.2">
      <c r="A185" s="454" t="s">
        <v>792</v>
      </c>
      <c r="B185" s="452" t="str">
        <f>VLOOKUP(A185,'Danh mục hàng hóa'!$C$3:$D$643,2,0)</f>
        <v>Kẹp tóc bướm xanh ngọc</v>
      </c>
      <c r="C185" s="436" t="str">
        <f>VLOOKUP(A185,'Danh mục hàng hóa'!$C$3:$E$656,3,0)</f>
        <v>cái</v>
      </c>
      <c r="D185" s="437">
        <f>VLOOKUP(A185,'Danh mục hàng hóa'!$C$3:$M$656,6,0)</f>
        <v>38000</v>
      </c>
      <c r="E185" s="438">
        <v>1</v>
      </c>
      <c r="F185" s="439">
        <f t="shared" si="0"/>
        <v>38000</v>
      </c>
      <c r="G185" s="442"/>
      <c r="H185" s="446"/>
    </row>
    <row r="186" spans="1:8" ht="13.2">
      <c r="A186" s="454" t="s">
        <v>1048</v>
      </c>
      <c r="B186" s="452" t="str">
        <f>VLOOKUP(A186,'Danh mục hàng hóa'!$C$3:$D$643,2,0)</f>
        <v>Vớ cổ ngắn set xanh bơ 2</v>
      </c>
      <c r="C186" s="436" t="str">
        <f>VLOOKUP(A186,'Danh mục hàng hóa'!$C$3:$E$656,3,0)</f>
        <v>đôi</v>
      </c>
      <c r="D186" s="437">
        <f>VLOOKUP(A186,'Danh mục hàng hóa'!$C$3:$M$656,6,0)</f>
        <v>9800</v>
      </c>
      <c r="E186" s="438">
        <v>1</v>
      </c>
      <c r="F186" s="439">
        <f t="shared" si="0"/>
        <v>9800</v>
      </c>
      <c r="G186" s="442"/>
      <c r="H186" s="447">
        <v>42004</v>
      </c>
    </row>
    <row r="187" spans="1:8" ht="13.2">
      <c r="A187" s="454" t="s">
        <v>790</v>
      </c>
      <c r="B187" s="452" t="str">
        <f>VLOOKUP(A187,'Danh mục hàng hóa'!$C$3:$D$643,2,0)</f>
        <v xml:space="preserve">Kẹp tóc bướm hồng </v>
      </c>
      <c r="C187" s="436" t="str">
        <f>VLOOKUP(A187,'Danh mục hàng hóa'!$C$3:$E$656,3,0)</f>
        <v>cái</v>
      </c>
      <c r="D187" s="437">
        <f>VLOOKUP(A187,'Danh mục hàng hóa'!$C$3:$M$656,6,0)</f>
        <v>40000</v>
      </c>
      <c r="E187" s="438">
        <v>1</v>
      </c>
      <c r="F187" s="439">
        <f t="shared" si="0"/>
        <v>40000</v>
      </c>
      <c r="G187" s="442"/>
      <c r="H187" s="446"/>
    </row>
    <row r="188" spans="1:8" ht="13.2">
      <c r="A188" s="454" t="s">
        <v>792</v>
      </c>
      <c r="B188" s="452" t="str">
        <f>VLOOKUP(A188,'Danh mục hàng hóa'!$C$3:$D$643,2,0)</f>
        <v>Kẹp tóc bướm xanh ngọc</v>
      </c>
      <c r="C188" s="436" t="str">
        <f>VLOOKUP(A188,'Danh mục hàng hóa'!$C$3:$E$656,3,0)</f>
        <v>cái</v>
      </c>
      <c r="D188" s="437">
        <f>VLOOKUP(A188,'Danh mục hàng hóa'!$C$3:$M$656,6,0)</f>
        <v>38000</v>
      </c>
      <c r="E188" s="438">
        <v>1</v>
      </c>
      <c r="F188" s="439">
        <f t="shared" si="0"/>
        <v>38000</v>
      </c>
      <c r="G188" s="442"/>
      <c r="H188" s="448">
        <v>33380</v>
      </c>
    </row>
    <row r="189" spans="1:8" ht="13.2">
      <c r="A189" s="454" t="s">
        <v>792</v>
      </c>
      <c r="B189" s="452" t="str">
        <f>VLOOKUP(A189,'Danh mục hàng hóa'!$C$3:$D$643,2,0)</f>
        <v>Kẹp tóc bướm xanh ngọc</v>
      </c>
      <c r="C189" s="436" t="str">
        <f>VLOOKUP(A189,'Danh mục hàng hóa'!$C$3:$E$656,3,0)</f>
        <v>cái</v>
      </c>
      <c r="D189" s="437">
        <f>VLOOKUP(A189,'Danh mục hàng hóa'!$C$3:$M$656,6,0)</f>
        <v>38000</v>
      </c>
      <c r="E189" s="438">
        <v>1</v>
      </c>
      <c r="F189" s="439">
        <f t="shared" si="0"/>
        <v>38000</v>
      </c>
      <c r="G189" s="442"/>
      <c r="H189" s="447">
        <v>90288</v>
      </c>
    </row>
    <row r="190" spans="1:8" ht="13.2">
      <c r="A190" s="454" t="s">
        <v>796</v>
      </c>
      <c r="B190" s="452" t="str">
        <f>VLOOKUP(A190,'Danh mục hàng hóa'!$C$3:$D$643,2,0)</f>
        <v>Kẹp tóc bướm tím</v>
      </c>
      <c r="C190" s="436" t="str">
        <f>VLOOKUP(A190,'Danh mục hàng hóa'!$C$3:$E$656,3,0)</f>
        <v>cái</v>
      </c>
      <c r="D190" s="437">
        <f>VLOOKUP(A190,'Danh mục hàng hóa'!$C$3:$M$656,6,0)</f>
        <v>38000</v>
      </c>
      <c r="E190" s="438">
        <v>1</v>
      </c>
      <c r="F190" s="439">
        <f t="shared" si="0"/>
        <v>38000</v>
      </c>
      <c r="G190" s="442"/>
      <c r="H190" s="446"/>
    </row>
    <row r="191" spans="1:8" ht="13.2">
      <c r="A191" s="454" t="s">
        <v>790</v>
      </c>
      <c r="B191" s="452" t="str">
        <f>VLOOKUP(A191,'Danh mục hàng hóa'!$C$3:$D$643,2,0)</f>
        <v xml:space="preserve">Kẹp tóc bướm hồng </v>
      </c>
      <c r="C191" s="436" t="str">
        <f>VLOOKUP(A191,'Danh mục hàng hóa'!$C$3:$E$656,3,0)</f>
        <v>cái</v>
      </c>
      <c r="D191" s="437">
        <f>VLOOKUP(A191,'Danh mục hàng hóa'!$C$3:$M$656,6,0)</f>
        <v>40000</v>
      </c>
      <c r="E191" s="438">
        <v>1</v>
      </c>
      <c r="F191" s="439">
        <f t="shared" si="0"/>
        <v>40000</v>
      </c>
      <c r="G191" s="442"/>
      <c r="H191" s="446"/>
    </row>
    <row r="192" spans="1:8" ht="13.2">
      <c r="A192" s="454" t="s">
        <v>796</v>
      </c>
      <c r="B192" s="452" t="str">
        <f>VLOOKUP(A192,'Danh mục hàng hóa'!$C$3:$D$643,2,0)</f>
        <v>Kẹp tóc bướm tím</v>
      </c>
      <c r="C192" s="436" t="str">
        <f>VLOOKUP(A192,'Danh mục hàng hóa'!$C$3:$E$656,3,0)</f>
        <v>cái</v>
      </c>
      <c r="D192" s="437">
        <f>VLOOKUP(A192,'Danh mục hàng hóa'!$C$3:$M$656,6,0)</f>
        <v>38000</v>
      </c>
      <c r="E192" s="438">
        <v>1</v>
      </c>
      <c r="F192" s="439">
        <f t="shared" si="0"/>
        <v>38000</v>
      </c>
      <c r="G192" s="442"/>
      <c r="H192" s="448">
        <v>33380</v>
      </c>
    </row>
    <row r="193" spans="1:8" ht="13.2">
      <c r="A193" s="454" t="s">
        <v>794</v>
      </c>
      <c r="B193" s="452" t="str">
        <f>VLOOKUP(A193,'Danh mục hàng hóa'!$C$3:$D$643,2,0)</f>
        <v>Kẹp tóc bướm xanh tím</v>
      </c>
      <c r="C193" s="436" t="str">
        <f>VLOOKUP(A193,'Danh mục hàng hóa'!$C$3:$E$656,3,0)</f>
        <v>cái</v>
      </c>
      <c r="D193" s="437">
        <f>VLOOKUP(A193,'Danh mục hàng hóa'!$C$3:$M$656,6,0)</f>
        <v>40000</v>
      </c>
      <c r="E193" s="438">
        <v>1</v>
      </c>
      <c r="F193" s="439">
        <f t="shared" si="0"/>
        <v>40000</v>
      </c>
      <c r="G193" s="442"/>
      <c r="H193" s="447">
        <v>60132</v>
      </c>
    </row>
    <row r="194" spans="1:8" ht="13.2">
      <c r="A194" s="454" t="s">
        <v>798</v>
      </c>
      <c r="B194" s="452" t="str">
        <f>VLOOKUP(A194,'Danh mục hàng hóa'!$C$3:$D$643,2,0)</f>
        <v>Kẹp tóc bướm trắng</v>
      </c>
      <c r="C194" s="436" t="str">
        <f>VLOOKUP(A194,'Danh mục hàng hóa'!$C$3:$E$656,3,0)</f>
        <v>cái</v>
      </c>
      <c r="D194" s="437">
        <f>VLOOKUP(A194,'Danh mục hàng hóa'!$C$3:$M$656,6,0)</f>
        <v>40000</v>
      </c>
      <c r="E194" s="438">
        <v>1</v>
      </c>
      <c r="F194" s="439">
        <f t="shared" si="0"/>
        <v>40000</v>
      </c>
      <c r="G194" s="442"/>
      <c r="H194" s="446"/>
    </row>
    <row r="195" spans="1:8" ht="13.2">
      <c r="A195" s="454" t="s">
        <v>792</v>
      </c>
      <c r="B195" s="452" t="str">
        <f>VLOOKUP(A195,'Danh mục hàng hóa'!$C$3:$D$643,2,0)</f>
        <v>Kẹp tóc bướm xanh ngọc</v>
      </c>
      <c r="C195" s="436" t="str">
        <f>VLOOKUP(A195,'Danh mục hàng hóa'!$C$3:$E$656,3,0)</f>
        <v>cái</v>
      </c>
      <c r="D195" s="437">
        <f>VLOOKUP(A195,'Danh mục hàng hóa'!$C$3:$M$656,6,0)</f>
        <v>38000</v>
      </c>
      <c r="E195" s="438">
        <v>1</v>
      </c>
      <c r="F195" s="439">
        <f t="shared" si="0"/>
        <v>38000</v>
      </c>
      <c r="G195" s="442"/>
      <c r="H195" s="448">
        <v>33380</v>
      </c>
    </row>
    <row r="196" spans="1:8" ht="13.2">
      <c r="A196" s="454" t="s">
        <v>788</v>
      </c>
      <c r="B196" s="452" t="str">
        <f>VLOOKUP(A196,'Danh mục hàng hóa'!$C$3:$D$643,2,0)</f>
        <v>Kẹp tóc bướm hồng phấn</v>
      </c>
      <c r="C196" s="436" t="str">
        <f>VLOOKUP(A196,'Danh mục hàng hóa'!$C$3:$E$656,3,0)</f>
        <v>cái</v>
      </c>
      <c r="D196" s="437">
        <f>VLOOKUP(A196,'Danh mục hàng hóa'!$C$3:$M$656,6,0)</f>
        <v>38000</v>
      </c>
      <c r="E196" s="438">
        <v>1</v>
      </c>
      <c r="F196" s="439">
        <f t="shared" si="0"/>
        <v>38000</v>
      </c>
      <c r="G196" s="442"/>
      <c r="H196" s="448">
        <v>33320</v>
      </c>
    </row>
    <row r="197" spans="1:8" ht="13.2">
      <c r="A197" s="454" t="s">
        <v>796</v>
      </c>
      <c r="B197" s="452" t="str">
        <f>VLOOKUP(A197,'Danh mục hàng hóa'!$C$3:$D$643,2,0)</f>
        <v>Kẹp tóc bướm tím</v>
      </c>
      <c r="C197" s="436" t="str">
        <f>VLOOKUP(A197,'Danh mục hàng hóa'!$C$3:$E$656,3,0)</f>
        <v>cái</v>
      </c>
      <c r="D197" s="437">
        <f>VLOOKUP(A197,'Danh mục hàng hóa'!$C$3:$M$656,6,0)</f>
        <v>38000</v>
      </c>
      <c r="E197" s="438">
        <v>1</v>
      </c>
      <c r="F197" s="439">
        <f t="shared" si="0"/>
        <v>38000</v>
      </c>
      <c r="G197" s="442"/>
      <c r="H197" s="448">
        <v>32720</v>
      </c>
    </row>
    <row r="198" spans="1:8" ht="13.2">
      <c r="A198" s="454" t="s">
        <v>788</v>
      </c>
      <c r="B198" s="452" t="str">
        <f>VLOOKUP(A198,'Danh mục hàng hóa'!$C$3:$D$643,2,0)</f>
        <v>Kẹp tóc bướm hồng phấn</v>
      </c>
      <c r="C198" s="436" t="str">
        <f>VLOOKUP(A198,'Danh mục hàng hóa'!$C$3:$E$656,3,0)</f>
        <v>cái</v>
      </c>
      <c r="D198" s="437">
        <f>VLOOKUP(A198,'Danh mục hàng hóa'!$C$3:$M$656,6,0)</f>
        <v>38000</v>
      </c>
      <c r="E198" s="438">
        <v>1</v>
      </c>
      <c r="F198" s="439">
        <f t="shared" si="0"/>
        <v>38000</v>
      </c>
      <c r="G198" s="442"/>
      <c r="H198" s="447">
        <v>88965</v>
      </c>
    </row>
    <row r="199" spans="1:8" ht="13.2">
      <c r="A199" s="454" t="s">
        <v>800</v>
      </c>
      <c r="B199" s="452" t="str">
        <f>VLOOKUP(A199,'Danh mục hàng hóa'!$C$3:$D$643,2,0)</f>
        <v>Kẹp tóc bướm kem</v>
      </c>
      <c r="C199" s="436" t="str">
        <f>VLOOKUP(A199,'Danh mục hàng hóa'!$C$3:$E$656,3,0)</f>
        <v>cái</v>
      </c>
      <c r="D199" s="437">
        <f>VLOOKUP(A199,'Danh mục hàng hóa'!$C$3:$M$656,6,0)</f>
        <v>38000</v>
      </c>
      <c r="E199" s="438">
        <v>1</v>
      </c>
      <c r="F199" s="439">
        <f t="shared" si="0"/>
        <v>38000</v>
      </c>
      <c r="G199" s="442"/>
      <c r="H199" s="446"/>
    </row>
    <row r="200" spans="1:8" ht="13.2">
      <c r="A200" s="454" t="s">
        <v>790</v>
      </c>
      <c r="B200" s="452" t="str">
        <f>VLOOKUP(A200,'Danh mục hàng hóa'!$C$3:$D$643,2,0)</f>
        <v xml:space="preserve">Kẹp tóc bướm hồng </v>
      </c>
      <c r="C200" s="436" t="str">
        <f>VLOOKUP(A200,'Danh mục hàng hóa'!$C$3:$E$656,3,0)</f>
        <v>cái</v>
      </c>
      <c r="D200" s="437">
        <f>VLOOKUP(A200,'Danh mục hàng hóa'!$C$3:$M$656,6,0)</f>
        <v>40000</v>
      </c>
      <c r="E200" s="438">
        <v>1</v>
      </c>
      <c r="F200" s="439">
        <f t="shared" si="0"/>
        <v>40000</v>
      </c>
      <c r="G200" s="442"/>
      <c r="H200" s="446"/>
    </row>
    <row r="201" spans="1:8" ht="13.2">
      <c r="A201" s="454" t="s">
        <v>792</v>
      </c>
      <c r="B201" s="452" t="str">
        <f>VLOOKUP(A201,'Danh mục hàng hóa'!$C$3:$D$643,2,0)</f>
        <v>Kẹp tóc bướm xanh ngọc</v>
      </c>
      <c r="C201" s="436" t="str">
        <f>VLOOKUP(A201,'Danh mục hàng hóa'!$C$3:$E$656,3,0)</f>
        <v>cái</v>
      </c>
      <c r="D201" s="437">
        <f>VLOOKUP(A201,'Danh mục hàng hóa'!$C$3:$M$656,6,0)</f>
        <v>38000</v>
      </c>
      <c r="E201" s="438">
        <v>1</v>
      </c>
      <c r="F201" s="439">
        <f t="shared" si="0"/>
        <v>38000</v>
      </c>
      <c r="G201" s="442"/>
      <c r="H201" s="447">
        <v>89285</v>
      </c>
    </row>
    <row r="202" spans="1:8" ht="13.2">
      <c r="A202" s="454" t="s">
        <v>798</v>
      </c>
      <c r="B202" s="452" t="str">
        <f>VLOOKUP(A202,'Danh mục hàng hóa'!$C$3:$D$643,2,0)</f>
        <v>Kẹp tóc bướm trắng</v>
      </c>
      <c r="C202" s="436" t="str">
        <f>VLOOKUP(A202,'Danh mục hàng hóa'!$C$3:$E$656,3,0)</f>
        <v>cái</v>
      </c>
      <c r="D202" s="437">
        <f>VLOOKUP(A202,'Danh mục hàng hóa'!$C$3:$M$656,6,0)</f>
        <v>40000</v>
      </c>
      <c r="E202" s="438">
        <v>1</v>
      </c>
      <c r="F202" s="439">
        <f t="shared" si="0"/>
        <v>40000</v>
      </c>
      <c r="G202" s="442"/>
      <c r="H202" s="446"/>
    </row>
    <row r="203" spans="1:8" ht="13.2">
      <c r="A203" s="454" t="s">
        <v>796</v>
      </c>
      <c r="B203" s="452" t="str">
        <f>VLOOKUP(A203,'Danh mục hàng hóa'!$C$3:$D$643,2,0)</f>
        <v>Kẹp tóc bướm tím</v>
      </c>
      <c r="C203" s="436" t="str">
        <f>VLOOKUP(A203,'Danh mục hàng hóa'!$C$3:$E$656,3,0)</f>
        <v>cái</v>
      </c>
      <c r="D203" s="437">
        <f>VLOOKUP(A203,'Danh mục hàng hóa'!$C$3:$M$656,6,0)</f>
        <v>38000</v>
      </c>
      <c r="E203" s="438">
        <v>1</v>
      </c>
      <c r="F203" s="439">
        <f t="shared" si="0"/>
        <v>38000</v>
      </c>
      <c r="G203" s="442"/>
      <c r="H203" s="446"/>
    </row>
    <row r="204" spans="1:8" ht="13.2">
      <c r="A204" s="454" t="s">
        <v>798</v>
      </c>
      <c r="B204" s="452" t="str">
        <f>VLOOKUP(A204,'Danh mục hàng hóa'!$C$3:$D$643,2,0)</f>
        <v>Kẹp tóc bướm trắng</v>
      </c>
      <c r="C204" s="436" t="str">
        <f>VLOOKUP(A204,'Danh mục hàng hóa'!$C$3:$E$656,3,0)</f>
        <v>cái</v>
      </c>
      <c r="D204" s="437">
        <f>VLOOKUP(A204,'Danh mục hàng hóa'!$C$3:$M$656,6,0)</f>
        <v>40000</v>
      </c>
      <c r="E204" s="438">
        <v>1</v>
      </c>
      <c r="F204" s="439">
        <f t="shared" si="0"/>
        <v>40000</v>
      </c>
      <c r="G204" s="442"/>
      <c r="H204" s="448">
        <v>33120</v>
      </c>
    </row>
    <row r="205" spans="1:8" ht="13.2">
      <c r="A205" s="454" t="s">
        <v>792</v>
      </c>
      <c r="B205" s="452" t="str">
        <f>VLOOKUP(A205,'Danh mục hàng hóa'!$C$3:$D$643,2,0)</f>
        <v>Kẹp tóc bướm xanh ngọc</v>
      </c>
      <c r="C205" s="436" t="str">
        <f>VLOOKUP(A205,'Danh mục hàng hóa'!$C$3:$E$656,3,0)</f>
        <v>cái</v>
      </c>
      <c r="D205" s="437">
        <f>VLOOKUP(A205,'Danh mục hàng hóa'!$C$3:$M$656,6,0)</f>
        <v>38000</v>
      </c>
      <c r="E205" s="438">
        <v>1</v>
      </c>
      <c r="F205" s="439">
        <f t="shared" si="0"/>
        <v>38000</v>
      </c>
      <c r="G205" s="442"/>
      <c r="H205" s="448">
        <v>33140</v>
      </c>
    </row>
    <row r="206" spans="1:8" ht="13.2">
      <c r="A206" s="454" t="s">
        <v>788</v>
      </c>
      <c r="B206" s="452" t="str">
        <f>VLOOKUP(A206,'Danh mục hàng hóa'!$C$3:$D$643,2,0)</f>
        <v>Kẹp tóc bướm hồng phấn</v>
      </c>
      <c r="C206" s="436" t="str">
        <f>VLOOKUP(A206,'Danh mục hàng hóa'!$C$3:$E$656,3,0)</f>
        <v>cái</v>
      </c>
      <c r="D206" s="437">
        <f>VLOOKUP(A206,'Danh mục hàng hóa'!$C$3:$M$656,6,0)</f>
        <v>38000</v>
      </c>
      <c r="E206" s="438">
        <v>1</v>
      </c>
      <c r="F206" s="439">
        <f t="shared" si="0"/>
        <v>38000</v>
      </c>
      <c r="G206" s="442"/>
      <c r="H206" s="447">
        <v>119047</v>
      </c>
    </row>
    <row r="207" spans="1:8" ht="13.2">
      <c r="A207" s="454" t="s">
        <v>800</v>
      </c>
      <c r="B207" s="452" t="str">
        <f>VLOOKUP(A207,'Danh mục hàng hóa'!$C$3:$D$643,2,0)</f>
        <v>Kẹp tóc bướm kem</v>
      </c>
      <c r="C207" s="436" t="str">
        <f>VLOOKUP(A207,'Danh mục hàng hóa'!$C$3:$E$656,3,0)</f>
        <v>cái</v>
      </c>
      <c r="D207" s="437">
        <f>VLOOKUP(A207,'Danh mục hàng hóa'!$C$3:$M$656,6,0)</f>
        <v>38000</v>
      </c>
      <c r="E207" s="438">
        <v>1</v>
      </c>
      <c r="F207" s="439">
        <f t="shared" si="0"/>
        <v>38000</v>
      </c>
      <c r="G207" s="442"/>
      <c r="H207" s="446"/>
    </row>
    <row r="208" spans="1:8" ht="13.2">
      <c r="A208" s="454" t="s">
        <v>792</v>
      </c>
      <c r="B208" s="452" t="str">
        <f>VLOOKUP(A208,'Danh mục hàng hóa'!$C$3:$D$643,2,0)</f>
        <v>Kẹp tóc bướm xanh ngọc</v>
      </c>
      <c r="C208" s="436" t="str">
        <f>VLOOKUP(A208,'Danh mục hàng hóa'!$C$3:$E$656,3,0)</f>
        <v>cái</v>
      </c>
      <c r="D208" s="437">
        <f>VLOOKUP(A208,'Danh mục hàng hóa'!$C$3:$M$656,6,0)</f>
        <v>38000</v>
      </c>
      <c r="E208" s="438">
        <v>1</v>
      </c>
      <c r="F208" s="439">
        <f t="shared" si="0"/>
        <v>38000</v>
      </c>
      <c r="G208" s="442"/>
      <c r="H208" s="446"/>
    </row>
    <row r="209" spans="1:8" ht="13.2">
      <c r="A209" s="454" t="s">
        <v>794</v>
      </c>
      <c r="B209" s="452" t="str">
        <f>VLOOKUP(A209,'Danh mục hàng hóa'!$C$3:$D$643,2,0)</f>
        <v>Kẹp tóc bướm xanh tím</v>
      </c>
      <c r="C209" s="436" t="str">
        <f>VLOOKUP(A209,'Danh mục hàng hóa'!$C$3:$E$656,3,0)</f>
        <v>cái</v>
      </c>
      <c r="D209" s="437">
        <f>VLOOKUP(A209,'Danh mục hàng hóa'!$C$3:$M$656,6,0)</f>
        <v>40000</v>
      </c>
      <c r="E209" s="438">
        <v>1</v>
      </c>
      <c r="F209" s="439">
        <f t="shared" si="0"/>
        <v>40000</v>
      </c>
      <c r="G209" s="442"/>
      <c r="H209" s="446"/>
    </row>
    <row r="210" spans="1:8" ht="13.2">
      <c r="A210" s="454" t="s">
        <v>590</v>
      </c>
      <c r="B210" s="452" t="str">
        <f>VLOOKUP(A210,'Danh mục hàng hóa'!$C$3:$D$643,2,0)</f>
        <v>Kẹp tóc nhựa kem</v>
      </c>
      <c r="C210" s="436" t="str">
        <f>VLOOKUP(A210,'Danh mục hàng hóa'!$C$3:$E$656,3,0)</f>
        <v>cái</v>
      </c>
      <c r="D210" s="437">
        <f>VLOOKUP(A210,'Danh mục hàng hóa'!$C$3:$M$656,6,0)</f>
        <v>17000</v>
      </c>
      <c r="E210" s="438">
        <v>1</v>
      </c>
      <c r="F210" s="439">
        <f t="shared" si="0"/>
        <v>17000</v>
      </c>
      <c r="G210" s="442"/>
      <c r="H210" s="447">
        <v>42176</v>
      </c>
    </row>
    <row r="211" spans="1:8" ht="13.2">
      <c r="A211" s="454" t="s">
        <v>800</v>
      </c>
      <c r="B211" s="452" t="str">
        <f>VLOOKUP(A211,'Danh mục hàng hóa'!$C$3:$D$643,2,0)</f>
        <v>Kẹp tóc bướm kem</v>
      </c>
      <c r="C211" s="436" t="str">
        <f>VLOOKUP(A211,'Danh mục hàng hóa'!$C$3:$E$656,3,0)</f>
        <v>cái</v>
      </c>
      <c r="D211" s="437">
        <f>VLOOKUP(A211,'Danh mục hàng hóa'!$C$3:$M$656,6,0)</f>
        <v>38000</v>
      </c>
      <c r="E211" s="438">
        <v>1</v>
      </c>
      <c r="F211" s="439">
        <f t="shared" si="0"/>
        <v>38000</v>
      </c>
      <c r="G211" s="442"/>
      <c r="H211" s="446"/>
    </row>
    <row r="212" spans="1:8" ht="13.2">
      <c r="A212" s="454" t="s">
        <v>661</v>
      </c>
      <c r="B212" s="452" t="str">
        <f>VLOOKUP(A212,'Danh mục hàng hóa'!$C$3:$D$643,2,0)</f>
        <v>Buộc tóc ngọc trai đen</v>
      </c>
      <c r="C212" s="436" t="str">
        <f>VLOOKUP(A212,'Danh mục hàng hóa'!$C$3:$E$656,3,0)</f>
        <v>cái</v>
      </c>
      <c r="D212" s="437">
        <f>VLOOKUP(A212,'Danh mục hàng hóa'!$C$3:$M$656,6,0)</f>
        <v>26000</v>
      </c>
      <c r="E212" s="438">
        <v>1</v>
      </c>
      <c r="F212" s="439">
        <f t="shared" si="0"/>
        <v>26000</v>
      </c>
      <c r="G212" s="442"/>
      <c r="H212" s="447">
        <v>108473</v>
      </c>
    </row>
    <row r="213" spans="1:8" ht="13.2">
      <c r="A213" s="454" t="s">
        <v>969</v>
      </c>
      <c r="B213" s="452" t="str">
        <f>VLOOKUP(A213,'Danh mục hàng hóa'!$C$3:$D$643,2,0)</f>
        <v>Mèo xám treo gương</v>
      </c>
      <c r="C213" s="436" t="str">
        <f>VLOOKUP(A213,'Danh mục hàng hóa'!$C$3:$E$656,3,0)</f>
        <v>cái</v>
      </c>
      <c r="D213" s="437">
        <f>VLOOKUP(A213,'Danh mục hàng hóa'!$C$3:$M$656,6,0)</f>
        <v>71500</v>
      </c>
      <c r="E213" s="438">
        <v>1</v>
      </c>
      <c r="F213" s="439">
        <f t="shared" si="0"/>
        <v>71500</v>
      </c>
      <c r="G213" s="442"/>
      <c r="H213" s="446"/>
    </row>
    <row r="214" spans="1:8" ht="13.2">
      <c r="A214" s="454" t="s">
        <v>798</v>
      </c>
      <c r="B214" s="452" t="str">
        <f>VLOOKUP(A214,'Danh mục hàng hóa'!$C$3:$D$643,2,0)</f>
        <v>Kẹp tóc bướm trắng</v>
      </c>
      <c r="C214" s="436" t="str">
        <f>VLOOKUP(A214,'Danh mục hàng hóa'!$C$3:$E$656,3,0)</f>
        <v>cái</v>
      </c>
      <c r="D214" s="437">
        <f>VLOOKUP(A214,'Danh mục hàng hóa'!$C$3:$M$656,6,0)</f>
        <v>40000</v>
      </c>
      <c r="E214" s="438">
        <v>1</v>
      </c>
      <c r="F214" s="439">
        <f t="shared" si="0"/>
        <v>40000</v>
      </c>
      <c r="G214" s="442"/>
      <c r="H214" s="446"/>
    </row>
    <row r="215" spans="1:8" ht="13.2">
      <c r="A215" s="454" t="s">
        <v>794</v>
      </c>
      <c r="B215" s="452" t="str">
        <f>VLOOKUP(A215,'Danh mục hàng hóa'!$C$3:$D$643,2,0)</f>
        <v>Kẹp tóc bướm xanh tím</v>
      </c>
      <c r="C215" s="436" t="str">
        <f>VLOOKUP(A215,'Danh mục hàng hóa'!$C$3:$E$656,3,0)</f>
        <v>cái</v>
      </c>
      <c r="D215" s="437">
        <f>VLOOKUP(A215,'Danh mục hàng hóa'!$C$3:$M$656,6,0)</f>
        <v>40000</v>
      </c>
      <c r="E215" s="438">
        <v>1</v>
      </c>
      <c r="F215" s="439">
        <f t="shared" si="0"/>
        <v>40000</v>
      </c>
      <c r="G215" s="442"/>
      <c r="H215" s="448">
        <v>35200</v>
      </c>
    </row>
    <row r="216" spans="1:8" ht="13.2">
      <c r="A216" s="454" t="s">
        <v>821</v>
      </c>
      <c r="B216" s="452" t="str">
        <f>VLOOKUP(A216,'Danh mục hàng hóa'!$C$3:$D$643,2,0)</f>
        <v>Kẹp tóc bướm hồng loang xanh</v>
      </c>
      <c r="C216" s="436" t="str">
        <f>VLOOKUP(A216,'Danh mục hàng hóa'!$C$3:$E$656,3,0)</f>
        <v>cái</v>
      </c>
      <c r="D216" s="437">
        <f>VLOOKUP(A216,'Danh mục hàng hóa'!$C$3:$M$656,6,0)</f>
        <v>52000</v>
      </c>
      <c r="E216" s="438">
        <v>1</v>
      </c>
      <c r="F216" s="439">
        <f t="shared" si="0"/>
        <v>52000</v>
      </c>
      <c r="G216" s="442"/>
      <c r="H216" s="447">
        <v>144109</v>
      </c>
    </row>
    <row r="217" spans="1:8" ht="13.2">
      <c r="A217" s="454" t="s">
        <v>798</v>
      </c>
      <c r="B217" s="452" t="str">
        <f>VLOOKUP(A217,'Danh mục hàng hóa'!$C$3:$D$643,2,0)</f>
        <v>Kẹp tóc bướm trắng</v>
      </c>
      <c r="C217" s="436" t="str">
        <f>VLOOKUP(A217,'Danh mục hàng hóa'!$C$3:$E$656,3,0)</f>
        <v>cái</v>
      </c>
      <c r="D217" s="437">
        <f>VLOOKUP(A217,'Danh mục hàng hóa'!$C$3:$M$656,6,0)</f>
        <v>40000</v>
      </c>
      <c r="E217" s="438">
        <v>1</v>
      </c>
      <c r="F217" s="439">
        <f t="shared" si="0"/>
        <v>40000</v>
      </c>
      <c r="G217" s="442"/>
      <c r="H217" s="446"/>
    </row>
    <row r="218" spans="1:8" ht="13.2">
      <c r="A218" s="454" t="s">
        <v>796</v>
      </c>
      <c r="B218" s="452" t="str">
        <f>VLOOKUP(A218,'Danh mục hàng hóa'!$C$3:$D$643,2,0)</f>
        <v>Kẹp tóc bướm tím</v>
      </c>
      <c r="C218" s="436" t="str">
        <f>VLOOKUP(A218,'Danh mục hàng hóa'!$C$3:$E$656,3,0)</f>
        <v>cái</v>
      </c>
      <c r="D218" s="437">
        <f>VLOOKUP(A218,'Danh mục hàng hóa'!$C$3:$M$656,6,0)</f>
        <v>38000</v>
      </c>
      <c r="E218" s="438">
        <v>1</v>
      </c>
      <c r="F218" s="439">
        <f t="shared" si="0"/>
        <v>38000</v>
      </c>
      <c r="G218" s="442"/>
      <c r="H218" s="446"/>
    </row>
    <row r="219" spans="1:8" ht="13.2">
      <c r="A219" s="454" t="s">
        <v>817</v>
      </c>
      <c r="B219" s="452" t="str">
        <f>VLOOKUP(A219,'Danh mục hàng hóa'!$C$3:$D$643,2,0)</f>
        <v>Kẹp tóc bướm hồng trắng</v>
      </c>
      <c r="C219" s="436" t="str">
        <f>VLOOKUP(A219,'Danh mục hàng hóa'!$C$3:$E$656,3,0)</f>
        <v>cái</v>
      </c>
      <c r="D219" s="437">
        <f>VLOOKUP(A219,'Danh mục hàng hóa'!$C$3:$M$656,6,0)</f>
        <v>52000</v>
      </c>
      <c r="E219" s="438">
        <v>1</v>
      </c>
      <c r="F219" s="439">
        <f t="shared" si="0"/>
        <v>52000</v>
      </c>
      <c r="G219" s="442"/>
      <c r="H219" s="446"/>
    </row>
    <row r="220" spans="1:8" ht="13.2">
      <c r="A220" s="454" t="s">
        <v>788</v>
      </c>
      <c r="B220" s="452" t="str">
        <f>VLOOKUP(A220,'Danh mục hàng hóa'!$C$3:$D$643,2,0)</f>
        <v>Kẹp tóc bướm hồng phấn</v>
      </c>
      <c r="C220" s="436" t="str">
        <f>VLOOKUP(A220,'Danh mục hàng hóa'!$C$3:$E$656,3,0)</f>
        <v>cái</v>
      </c>
      <c r="D220" s="437">
        <f>VLOOKUP(A220,'Danh mục hàng hóa'!$C$3:$M$656,6,0)</f>
        <v>38000</v>
      </c>
      <c r="E220" s="438">
        <v>1</v>
      </c>
      <c r="F220" s="439">
        <f t="shared" si="0"/>
        <v>38000</v>
      </c>
      <c r="G220" s="442"/>
      <c r="H220" s="448">
        <v>33440</v>
      </c>
    </row>
    <row r="221" spans="1:8" ht="13.2">
      <c r="A221" s="454" t="s">
        <v>1025</v>
      </c>
      <c r="B221" s="452" t="str">
        <f>VLOOKUP(A221,'Danh mục hàng hóa'!$C$3:$D$643,2,0)</f>
        <v>Mô hình mèo 1</v>
      </c>
      <c r="C221" s="436" t="str">
        <f>VLOOKUP(A221,'Danh mục hàng hóa'!$C$3:$E$656,3,0)</f>
        <v>cái</v>
      </c>
      <c r="D221" s="437">
        <f>VLOOKUP(A221,'Danh mục hàng hóa'!$C$3:$M$656,6,0)</f>
        <v>37800</v>
      </c>
      <c r="E221" s="438">
        <v>1</v>
      </c>
      <c r="F221" s="439">
        <f t="shared" si="0"/>
        <v>37800</v>
      </c>
      <c r="G221" s="442"/>
      <c r="H221" s="447">
        <v>119751</v>
      </c>
    </row>
    <row r="222" spans="1:8" ht="13.2">
      <c r="A222" s="454" t="s">
        <v>1027</v>
      </c>
      <c r="B222" s="452" t="str">
        <f>VLOOKUP(A222,'Danh mục hàng hóa'!$C$3:$D$643,2,0)</f>
        <v>Mô hình mèo 2</v>
      </c>
      <c r="C222" s="436" t="str">
        <f>VLOOKUP(A222,'Danh mục hàng hóa'!$C$3:$E$656,3,0)</f>
        <v>cái</v>
      </c>
      <c r="D222" s="437">
        <f>VLOOKUP(A222,'Danh mục hàng hóa'!$C$3:$M$656,6,0)</f>
        <v>37800</v>
      </c>
      <c r="E222" s="438">
        <v>1</v>
      </c>
      <c r="F222" s="439">
        <f t="shared" si="0"/>
        <v>37800</v>
      </c>
      <c r="G222" s="442"/>
      <c r="H222" s="446"/>
    </row>
    <row r="223" spans="1:8" ht="13.2">
      <c r="A223" s="454" t="s">
        <v>1029</v>
      </c>
      <c r="B223" s="452" t="str">
        <f>VLOOKUP(A223,'Danh mục hàng hóa'!$C$3:$D$643,2,0)</f>
        <v>Mô hình mèo 3</v>
      </c>
      <c r="C223" s="436" t="str">
        <f>VLOOKUP(A223,'Danh mục hàng hóa'!$C$3:$E$656,3,0)</f>
        <v>cái</v>
      </c>
      <c r="D223" s="437">
        <f>VLOOKUP(A223,'Danh mục hàng hóa'!$C$3:$M$656,6,0)</f>
        <v>37800</v>
      </c>
      <c r="E223" s="438">
        <v>1</v>
      </c>
      <c r="F223" s="439">
        <f t="shared" si="0"/>
        <v>37800</v>
      </c>
      <c r="G223" s="442"/>
      <c r="H223" s="446"/>
    </row>
    <row r="224" spans="1:8" ht="13.2">
      <c r="A224" s="454" t="s">
        <v>1031</v>
      </c>
      <c r="B224" s="452" t="str">
        <f>VLOOKUP(A224,'Danh mục hàng hóa'!$C$3:$D$643,2,0)</f>
        <v>Mô hình mèo 4</v>
      </c>
      <c r="C224" s="436" t="str">
        <f>VLOOKUP(A224,'Danh mục hàng hóa'!$C$3:$E$656,3,0)</f>
        <v>cái</v>
      </c>
      <c r="D224" s="437">
        <f>VLOOKUP(A224,'Danh mục hàng hóa'!$C$3:$M$656,6,0)</f>
        <v>37800</v>
      </c>
      <c r="E224" s="438">
        <v>1</v>
      </c>
      <c r="F224" s="439">
        <f t="shared" si="0"/>
        <v>37800</v>
      </c>
      <c r="G224" s="442"/>
      <c r="H224" s="446"/>
    </row>
    <row r="225" spans="1:8" ht="13.2">
      <c r="A225" s="454" t="s">
        <v>895</v>
      </c>
      <c r="B225" s="452" t="str">
        <f>VLOOKUP(A225,'Danh mục hàng hóa'!$C$3:$D$643,2,0)</f>
        <v>Thỏ chong chóng</v>
      </c>
      <c r="C225" s="436" t="str">
        <f>VLOOKUP(A225,'Danh mục hàng hóa'!$C$3:$E$656,3,0)</f>
        <v>cái</v>
      </c>
      <c r="D225" s="437">
        <f>VLOOKUP(A225,'Danh mục hàng hóa'!$C$3:$M$656,6,0)</f>
        <v>54740</v>
      </c>
      <c r="E225" s="438">
        <v>1</v>
      </c>
      <c r="F225" s="439">
        <f t="shared" si="0"/>
        <v>54740</v>
      </c>
      <c r="G225" s="442"/>
      <c r="H225" s="448">
        <v>51967</v>
      </c>
    </row>
    <row r="226" spans="1:8" ht="13.2">
      <c r="A226" s="454" t="s">
        <v>897</v>
      </c>
      <c r="B226" s="452" t="str">
        <f>VLOOKUP(A226,'Danh mục hàng hóa'!$C$3:$D$643,2,0)</f>
        <v>Thỏ ú bay</v>
      </c>
      <c r="C226" s="436" t="str">
        <f>VLOOKUP(A226,'Danh mục hàng hóa'!$C$3:$E$656,3,0)</f>
        <v>cái</v>
      </c>
      <c r="D226" s="437">
        <f>VLOOKUP(A226,'Danh mục hàng hóa'!$C$3:$M$656,6,0)</f>
        <v>61275</v>
      </c>
      <c r="E226" s="438">
        <v>1</v>
      </c>
      <c r="F226" s="439">
        <f t="shared" si="0"/>
        <v>61275</v>
      </c>
      <c r="G226" s="442"/>
      <c r="H226" s="448">
        <v>48469</v>
      </c>
    </row>
    <row r="227" spans="1:8" ht="13.2">
      <c r="A227" s="454" t="s">
        <v>897</v>
      </c>
      <c r="B227" s="452" t="str">
        <f>VLOOKUP(A227,'Danh mục hàng hóa'!$C$3:$D$643,2,0)</f>
        <v>Thỏ ú bay</v>
      </c>
      <c r="C227" s="436" t="str">
        <f>VLOOKUP(A227,'Danh mục hàng hóa'!$C$3:$E$656,3,0)</f>
        <v>cái</v>
      </c>
      <c r="D227" s="437">
        <f>VLOOKUP(A227,'Danh mục hàng hóa'!$C$3:$M$656,6,0)</f>
        <v>61275</v>
      </c>
      <c r="E227" s="438">
        <v>1</v>
      </c>
      <c r="F227" s="439">
        <f t="shared" si="0"/>
        <v>61275</v>
      </c>
      <c r="G227" s="442"/>
      <c r="H227" s="448">
        <v>50000</v>
      </c>
    </row>
    <row r="228" spans="1:8" ht="13.2">
      <c r="A228" s="454" t="s">
        <v>979</v>
      </c>
      <c r="B228" s="452" t="str">
        <f>VLOOKUP(A228,'Danh mục hàng hóa'!$C$3:$D$643,2,0)</f>
        <v>Móc khóa đôi thỏ cà rốt</v>
      </c>
      <c r="C228" s="436" t="str">
        <f>VLOOKUP(A228,'Danh mục hàng hóa'!$C$3:$E$656,3,0)</f>
        <v>cái</v>
      </c>
      <c r="D228" s="437">
        <f>VLOOKUP(A228,'Danh mục hàng hóa'!$C$3:$M$656,6,0)</f>
        <v>56580</v>
      </c>
      <c r="E228" s="438">
        <v>1</v>
      </c>
      <c r="F228" s="439">
        <f t="shared" si="0"/>
        <v>56580</v>
      </c>
      <c r="G228" s="442"/>
      <c r="H228" s="448">
        <v>42344</v>
      </c>
    </row>
    <row r="229" spans="1:8" ht="13.2">
      <c r="A229" s="454" t="s">
        <v>819</v>
      </c>
      <c r="B229" s="452" t="str">
        <f>VLOOKUP(A229,'Danh mục hàng hóa'!$C$3:$D$643,2,0)</f>
        <v>Kẹp tóc bướm xanh trắng</v>
      </c>
      <c r="C229" s="436" t="str">
        <f>VLOOKUP(A229,'Danh mục hàng hóa'!$C$3:$E$656,3,0)</f>
        <v>cái</v>
      </c>
      <c r="D229" s="437">
        <f>VLOOKUP(A229,'Danh mục hàng hóa'!$C$3:$M$656,6,0)</f>
        <v>52000</v>
      </c>
      <c r="E229" s="438">
        <v>1</v>
      </c>
      <c r="F229" s="439">
        <f t="shared" si="0"/>
        <v>52000</v>
      </c>
      <c r="G229" s="442"/>
      <c r="H229" s="448">
        <v>40667</v>
      </c>
    </row>
    <row r="230" spans="1:8" ht="13.2">
      <c r="A230" s="454" t="s">
        <v>821</v>
      </c>
      <c r="B230" s="452" t="str">
        <f>VLOOKUP(A230,'Danh mục hàng hóa'!$C$3:$D$643,2,0)</f>
        <v>Kẹp tóc bướm hồng loang xanh</v>
      </c>
      <c r="C230" s="436" t="str">
        <f>VLOOKUP(A230,'Danh mục hàng hóa'!$C$3:$E$656,3,0)</f>
        <v>cái</v>
      </c>
      <c r="D230" s="437">
        <f>VLOOKUP(A230,'Danh mục hàng hóa'!$C$3:$M$656,6,0)</f>
        <v>52000</v>
      </c>
      <c r="E230" s="438">
        <v>1</v>
      </c>
      <c r="F230" s="439">
        <f t="shared" si="0"/>
        <v>52000</v>
      </c>
      <c r="G230" s="442"/>
      <c r="H230" s="448">
        <v>53440</v>
      </c>
    </row>
    <row r="231" spans="1:8" ht="13.2">
      <c r="A231" s="454" t="s">
        <v>819</v>
      </c>
      <c r="B231" s="452" t="str">
        <f>VLOOKUP(A231,'Danh mục hàng hóa'!$C$3:$D$643,2,0)</f>
        <v>Kẹp tóc bướm xanh trắng</v>
      </c>
      <c r="C231" s="436" t="str">
        <f>VLOOKUP(A231,'Danh mục hàng hóa'!$C$3:$E$656,3,0)</f>
        <v>cái</v>
      </c>
      <c r="D231" s="437">
        <f>VLOOKUP(A231,'Danh mục hàng hóa'!$C$3:$M$656,6,0)</f>
        <v>52000</v>
      </c>
      <c r="E231" s="438">
        <v>1</v>
      </c>
      <c r="F231" s="439">
        <f t="shared" si="0"/>
        <v>52000</v>
      </c>
      <c r="G231" s="442"/>
      <c r="H231" s="447">
        <v>114048</v>
      </c>
    </row>
    <row r="232" spans="1:8" ht="13.2">
      <c r="A232" s="454" t="s">
        <v>796</v>
      </c>
      <c r="B232" s="452" t="str">
        <f>VLOOKUP(A232,'Danh mục hàng hóa'!$C$3:$D$643,2,0)</f>
        <v>Kẹp tóc bướm tím</v>
      </c>
      <c r="C232" s="436" t="str">
        <f>VLOOKUP(A232,'Danh mục hàng hóa'!$C$3:$E$656,3,0)</f>
        <v>cái</v>
      </c>
      <c r="D232" s="437">
        <f>VLOOKUP(A232,'Danh mục hàng hóa'!$C$3:$M$656,6,0)</f>
        <v>38000</v>
      </c>
      <c r="E232" s="438">
        <v>1</v>
      </c>
      <c r="F232" s="439">
        <f t="shared" si="0"/>
        <v>38000</v>
      </c>
      <c r="G232" s="442"/>
      <c r="H232" s="446"/>
    </row>
    <row r="233" spans="1:8" ht="13.2">
      <c r="A233" s="454" t="s">
        <v>817</v>
      </c>
      <c r="B233" s="452" t="str">
        <f>VLOOKUP(A233,'Danh mục hàng hóa'!$C$3:$D$643,2,0)</f>
        <v>Kẹp tóc bướm hồng trắng</v>
      </c>
      <c r="C233" s="436" t="str">
        <f>VLOOKUP(A233,'Danh mục hàng hóa'!$C$3:$E$656,3,0)</f>
        <v>cái</v>
      </c>
      <c r="D233" s="437">
        <f>VLOOKUP(A233,'Danh mục hàng hóa'!$C$3:$M$656,6,0)</f>
        <v>52000</v>
      </c>
      <c r="E233" s="438">
        <v>1</v>
      </c>
      <c r="F233" s="439">
        <f t="shared" si="0"/>
        <v>52000</v>
      </c>
      <c r="G233" s="442"/>
      <c r="H233" s="446"/>
    </row>
    <row r="234" spans="1:8" ht="13.2">
      <c r="A234" s="454" t="s">
        <v>800</v>
      </c>
      <c r="B234" s="452" t="str">
        <f>VLOOKUP(A234,'Danh mục hàng hóa'!$C$3:$D$643,2,0)</f>
        <v>Kẹp tóc bướm kem</v>
      </c>
      <c r="C234" s="436" t="str">
        <f>VLOOKUP(A234,'Danh mục hàng hóa'!$C$3:$E$656,3,0)</f>
        <v>cái</v>
      </c>
      <c r="D234" s="437">
        <f>VLOOKUP(A234,'Danh mục hàng hóa'!$C$3:$M$656,6,0)</f>
        <v>38000</v>
      </c>
      <c r="E234" s="438">
        <v>1</v>
      </c>
      <c r="F234" s="439">
        <f t="shared" si="0"/>
        <v>38000</v>
      </c>
      <c r="G234" s="442"/>
      <c r="H234" s="447">
        <v>95040</v>
      </c>
    </row>
    <row r="235" spans="1:8" ht="13.2">
      <c r="A235" s="454" t="s">
        <v>794</v>
      </c>
      <c r="B235" s="452" t="str">
        <f>VLOOKUP(A235,'Danh mục hàng hóa'!$C$3:$D$643,2,0)</f>
        <v>Kẹp tóc bướm xanh tím</v>
      </c>
      <c r="C235" s="436" t="str">
        <f>VLOOKUP(A235,'Danh mục hàng hóa'!$C$3:$E$656,3,0)</f>
        <v>cái</v>
      </c>
      <c r="D235" s="437">
        <f>VLOOKUP(A235,'Danh mục hàng hóa'!$C$3:$M$656,6,0)</f>
        <v>40000</v>
      </c>
      <c r="E235" s="438">
        <v>1</v>
      </c>
      <c r="F235" s="439">
        <f t="shared" si="0"/>
        <v>40000</v>
      </c>
      <c r="G235" s="442"/>
      <c r="H235" s="446"/>
    </row>
    <row r="236" spans="1:8" ht="13.2">
      <c r="A236" s="454" t="s">
        <v>796</v>
      </c>
      <c r="B236" s="452" t="str">
        <f>VLOOKUP(A236,'Danh mục hàng hóa'!$C$3:$D$643,2,0)</f>
        <v>Kẹp tóc bướm tím</v>
      </c>
      <c r="C236" s="436" t="str">
        <f>VLOOKUP(A236,'Danh mục hàng hóa'!$C$3:$E$656,3,0)</f>
        <v>cái</v>
      </c>
      <c r="D236" s="437">
        <f>VLOOKUP(A236,'Danh mục hàng hóa'!$C$3:$M$656,6,0)</f>
        <v>38000</v>
      </c>
      <c r="E236" s="438">
        <v>1</v>
      </c>
      <c r="F236" s="439">
        <f t="shared" si="0"/>
        <v>38000</v>
      </c>
      <c r="G236" s="442"/>
      <c r="H236" s="446"/>
    </row>
    <row r="237" spans="1:8" ht="13.2">
      <c r="A237" s="454" t="s">
        <v>790</v>
      </c>
      <c r="B237" s="452" t="str">
        <f>VLOOKUP(A237,'Danh mục hàng hóa'!$C$3:$D$643,2,0)</f>
        <v xml:space="preserve">Kẹp tóc bướm hồng </v>
      </c>
      <c r="C237" s="436" t="str">
        <f>VLOOKUP(A237,'Danh mục hàng hóa'!$C$3:$E$656,3,0)</f>
        <v>cái</v>
      </c>
      <c r="D237" s="437">
        <f>VLOOKUP(A237,'Danh mục hàng hóa'!$C$3:$M$656,6,0)</f>
        <v>40000</v>
      </c>
      <c r="E237" s="438">
        <v>1</v>
      </c>
      <c r="F237" s="439">
        <f t="shared" si="0"/>
        <v>40000</v>
      </c>
      <c r="G237" s="442"/>
      <c r="H237" s="448">
        <v>35140</v>
      </c>
    </row>
    <row r="238" spans="1:8" ht="13.2">
      <c r="A238" s="454" t="s">
        <v>796</v>
      </c>
      <c r="B238" s="452" t="str">
        <f>VLOOKUP(A238,'Danh mục hàng hóa'!$C$3:$D$643,2,0)</f>
        <v>Kẹp tóc bướm tím</v>
      </c>
      <c r="C238" s="436" t="str">
        <f>VLOOKUP(A238,'Danh mục hàng hóa'!$C$3:$E$656,3,0)</f>
        <v>cái</v>
      </c>
      <c r="D238" s="437">
        <f>VLOOKUP(A238,'Danh mục hàng hóa'!$C$3:$M$656,6,0)</f>
        <v>38000</v>
      </c>
      <c r="E238" s="438">
        <v>1</v>
      </c>
      <c r="F238" s="439">
        <f t="shared" si="0"/>
        <v>38000</v>
      </c>
      <c r="G238" s="442"/>
      <c r="H238" s="448">
        <v>34880</v>
      </c>
    </row>
    <row r="239" spans="1:8" ht="13.2">
      <c r="A239" s="454" t="s">
        <v>819</v>
      </c>
      <c r="B239" s="452" t="str">
        <f>VLOOKUP(A239,'Danh mục hàng hóa'!$C$3:$D$643,2,0)</f>
        <v>Kẹp tóc bướm xanh trắng</v>
      </c>
      <c r="C239" s="436" t="str">
        <f>VLOOKUP(A239,'Danh mục hàng hóa'!$C$3:$E$656,3,0)</f>
        <v>cái</v>
      </c>
      <c r="D239" s="437">
        <f>VLOOKUP(A239,'Danh mục hàng hóa'!$C$3:$M$656,6,0)</f>
        <v>52000</v>
      </c>
      <c r="E239" s="438">
        <v>1</v>
      </c>
      <c r="F239" s="439">
        <f t="shared" si="0"/>
        <v>52000</v>
      </c>
      <c r="G239" s="442"/>
      <c r="H239" s="447">
        <v>92569</v>
      </c>
    </row>
    <row r="240" spans="1:8" ht="13.2">
      <c r="A240" s="454" t="s">
        <v>817</v>
      </c>
      <c r="B240" s="452" t="str">
        <f>VLOOKUP(A240,'Danh mục hàng hóa'!$C$3:$D$643,2,0)</f>
        <v>Kẹp tóc bướm hồng trắng</v>
      </c>
      <c r="C240" s="436" t="str">
        <f>VLOOKUP(A240,'Danh mục hàng hóa'!$C$3:$E$656,3,0)</f>
        <v>cái</v>
      </c>
      <c r="D240" s="437">
        <f>VLOOKUP(A240,'Danh mục hàng hóa'!$C$3:$M$656,6,0)</f>
        <v>52000</v>
      </c>
      <c r="E240" s="438">
        <v>1</v>
      </c>
      <c r="F240" s="439">
        <f t="shared" si="0"/>
        <v>52000</v>
      </c>
      <c r="G240" s="442"/>
      <c r="H240" s="446"/>
    </row>
    <row r="241" spans="1:8" ht="13.2">
      <c r="A241" s="454" t="s">
        <v>493</v>
      </c>
      <c r="B241" s="452" t="str">
        <f>VLOOKUP(A241,'Danh mục hàng hóa'!$C$3:$D$643,2,0)</f>
        <v>Trâm cài 06</v>
      </c>
      <c r="C241" s="436" t="str">
        <f>VLOOKUP(A241,'Danh mục hàng hóa'!$C$3:$E$656,3,0)</f>
        <v>cây</v>
      </c>
      <c r="D241" s="437">
        <f>VLOOKUP(A241,'Danh mục hàng hóa'!$C$3:$M$656,6,0)</f>
        <v>12442.599999999999</v>
      </c>
      <c r="E241" s="438">
        <v>1</v>
      </c>
      <c r="F241" s="439">
        <f t="shared" si="0"/>
        <v>12442.599999999999</v>
      </c>
      <c r="G241" s="442"/>
      <c r="H241" s="446"/>
    </row>
    <row r="242" spans="1:8" ht="13.2">
      <c r="A242" s="454" t="s">
        <v>792</v>
      </c>
      <c r="B242" s="452" t="str">
        <f>VLOOKUP(A242,'Danh mục hàng hóa'!$C$3:$D$643,2,0)</f>
        <v>Kẹp tóc bướm xanh ngọc</v>
      </c>
      <c r="C242" s="436" t="str">
        <f>VLOOKUP(A242,'Danh mục hàng hóa'!$C$3:$E$656,3,0)</f>
        <v>cái</v>
      </c>
      <c r="D242" s="437">
        <f>VLOOKUP(A242,'Danh mục hàng hóa'!$C$3:$M$656,6,0)</f>
        <v>38000</v>
      </c>
      <c r="E242" s="438">
        <v>1</v>
      </c>
      <c r="F242" s="439">
        <f t="shared" si="0"/>
        <v>38000</v>
      </c>
      <c r="G242" s="442"/>
      <c r="H242" s="448">
        <v>35140</v>
      </c>
    </row>
    <row r="243" spans="1:8" ht="13.2">
      <c r="A243" s="454" t="s">
        <v>817</v>
      </c>
      <c r="B243" s="452" t="str">
        <f>VLOOKUP(A243,'Danh mục hàng hóa'!$C$3:$D$643,2,0)</f>
        <v>Kẹp tóc bướm hồng trắng</v>
      </c>
      <c r="C243" s="436" t="str">
        <f>VLOOKUP(A243,'Danh mục hàng hóa'!$C$3:$E$656,3,0)</f>
        <v>cái</v>
      </c>
      <c r="D243" s="437">
        <f>VLOOKUP(A243,'Danh mục hàng hóa'!$C$3:$M$656,6,0)</f>
        <v>52000</v>
      </c>
      <c r="E243" s="438">
        <v>1</v>
      </c>
      <c r="F243" s="439">
        <f t="shared" si="0"/>
        <v>52000</v>
      </c>
      <c r="G243" s="442"/>
      <c r="H243" s="448">
        <v>45700</v>
      </c>
    </row>
    <row r="244" spans="1:8" ht="13.2">
      <c r="A244" s="454" t="s">
        <v>821</v>
      </c>
      <c r="B244" s="452" t="str">
        <f>VLOOKUP(A244,'Danh mục hàng hóa'!$C$3:$D$643,2,0)</f>
        <v>Kẹp tóc bướm hồng loang xanh</v>
      </c>
      <c r="C244" s="436" t="str">
        <f>VLOOKUP(A244,'Danh mục hàng hóa'!$C$3:$E$656,3,0)</f>
        <v>cái</v>
      </c>
      <c r="D244" s="437">
        <f>VLOOKUP(A244,'Danh mục hàng hóa'!$C$3:$M$656,6,0)</f>
        <v>52000</v>
      </c>
      <c r="E244" s="438">
        <v>1</v>
      </c>
      <c r="F244" s="439">
        <f t="shared" si="0"/>
        <v>52000</v>
      </c>
      <c r="G244" s="442"/>
      <c r="H244" s="447">
        <v>82308</v>
      </c>
    </row>
    <row r="245" spans="1:8" ht="13.2">
      <c r="A245" s="454" t="s">
        <v>817</v>
      </c>
      <c r="B245" s="452" t="str">
        <f>VLOOKUP(A245,'Danh mục hàng hóa'!$C$3:$D$643,2,0)</f>
        <v>Kẹp tóc bướm hồng trắng</v>
      </c>
      <c r="C245" s="436" t="str">
        <f>VLOOKUP(A245,'Danh mục hàng hóa'!$C$3:$E$656,3,0)</f>
        <v>cái</v>
      </c>
      <c r="D245" s="437">
        <f>VLOOKUP(A245,'Danh mục hàng hóa'!$C$3:$M$656,6,0)</f>
        <v>52000</v>
      </c>
      <c r="E245" s="438">
        <v>1</v>
      </c>
      <c r="F245" s="439">
        <f t="shared" si="0"/>
        <v>52000</v>
      </c>
      <c r="G245" s="442"/>
      <c r="H245" s="446"/>
    </row>
    <row r="246" spans="1:8" ht="13.2">
      <c r="A246" s="454" t="s">
        <v>794</v>
      </c>
      <c r="B246" s="452" t="str">
        <f>VLOOKUP(A246,'Danh mục hàng hóa'!$C$3:$D$643,2,0)</f>
        <v>Kẹp tóc bướm xanh tím</v>
      </c>
      <c r="C246" s="436" t="str">
        <f>VLOOKUP(A246,'Danh mục hàng hóa'!$C$3:$E$656,3,0)</f>
        <v>cái</v>
      </c>
      <c r="D246" s="437">
        <f>VLOOKUP(A246,'Danh mục hàng hóa'!$C$3:$M$656,6,0)</f>
        <v>40000</v>
      </c>
      <c r="E246" s="438">
        <v>1</v>
      </c>
      <c r="F246" s="439">
        <f t="shared" si="0"/>
        <v>40000</v>
      </c>
      <c r="G246" s="442"/>
      <c r="H246" s="448">
        <v>35140</v>
      </c>
    </row>
    <row r="247" spans="1:8" ht="13.2">
      <c r="A247" s="454" t="s">
        <v>792</v>
      </c>
      <c r="B247" s="452" t="str">
        <f>VLOOKUP(A247,'Danh mục hàng hóa'!$C$3:$D$643,2,0)</f>
        <v>Kẹp tóc bướm xanh ngọc</v>
      </c>
      <c r="C247" s="436" t="str">
        <f>VLOOKUP(A247,'Danh mục hàng hóa'!$C$3:$E$656,3,0)</f>
        <v>cái</v>
      </c>
      <c r="D247" s="437">
        <f>VLOOKUP(A247,'Danh mục hàng hóa'!$C$3:$M$656,6,0)</f>
        <v>38000</v>
      </c>
      <c r="E247" s="438">
        <v>1</v>
      </c>
      <c r="F247" s="439">
        <f t="shared" si="0"/>
        <v>38000</v>
      </c>
      <c r="G247" s="442"/>
      <c r="H247" s="447">
        <v>47201</v>
      </c>
    </row>
    <row r="248" spans="1:8" ht="13.2">
      <c r="A248" s="454" t="s">
        <v>1108</v>
      </c>
      <c r="B248" s="452" t="str">
        <f>VLOOKUP(A248,'Danh mục hàng hóa'!$C$3:$D$643,2,0)</f>
        <v>Vớ cổ cao trắng hoa hồng</v>
      </c>
      <c r="C248" s="436" t="str">
        <f>VLOOKUP(A248,'Danh mục hàng hóa'!$C$3:$E$656,3,0)</f>
        <v>đôi</v>
      </c>
      <c r="D248" s="437">
        <f>VLOOKUP(A248,'Danh mục hàng hóa'!$C$3:$M$656,6,0)</f>
        <v>19800</v>
      </c>
      <c r="E248" s="438">
        <v>1</v>
      </c>
      <c r="F248" s="439">
        <f t="shared" si="0"/>
        <v>19800</v>
      </c>
      <c r="G248" s="442"/>
      <c r="H248" s="446"/>
    </row>
    <row r="249" spans="1:8" ht="13.2">
      <c r="A249" s="454" t="s">
        <v>821</v>
      </c>
      <c r="B249" s="452" t="str">
        <f>VLOOKUP(A249,'Danh mục hàng hóa'!$C$3:$D$643,2,0)</f>
        <v>Kẹp tóc bướm hồng loang xanh</v>
      </c>
      <c r="C249" s="436" t="str">
        <f>VLOOKUP(A249,'Danh mục hàng hóa'!$C$3:$E$656,3,0)</f>
        <v>cái</v>
      </c>
      <c r="D249" s="437">
        <f>VLOOKUP(A249,'Danh mục hàng hóa'!$C$3:$M$656,6,0)</f>
        <v>52000</v>
      </c>
      <c r="E249" s="438">
        <v>1</v>
      </c>
      <c r="F249" s="439">
        <f t="shared" si="0"/>
        <v>52000</v>
      </c>
      <c r="G249" s="442"/>
      <c r="H249" s="447">
        <v>82308</v>
      </c>
    </row>
    <row r="250" spans="1:8" ht="13.2">
      <c r="A250" s="454" t="s">
        <v>817</v>
      </c>
      <c r="B250" s="452" t="str">
        <f>VLOOKUP(A250,'Danh mục hàng hóa'!$C$3:$D$643,2,0)</f>
        <v>Kẹp tóc bướm hồng trắng</v>
      </c>
      <c r="C250" s="436" t="str">
        <f>VLOOKUP(A250,'Danh mục hàng hóa'!$C$3:$E$656,3,0)</f>
        <v>cái</v>
      </c>
      <c r="D250" s="437">
        <f>VLOOKUP(A250,'Danh mục hàng hóa'!$C$3:$M$656,6,0)</f>
        <v>52000</v>
      </c>
      <c r="E250" s="438">
        <v>1</v>
      </c>
      <c r="F250" s="439">
        <f t="shared" si="0"/>
        <v>52000</v>
      </c>
      <c r="G250" s="442"/>
      <c r="H250" s="446"/>
    </row>
    <row r="251" spans="1:8" ht="13.2">
      <c r="A251" s="454" t="s">
        <v>819</v>
      </c>
      <c r="B251" s="452" t="str">
        <f>VLOOKUP(A251,'Danh mục hàng hóa'!$C$3:$D$643,2,0)</f>
        <v>Kẹp tóc bướm xanh trắng</v>
      </c>
      <c r="C251" s="436" t="str">
        <f>VLOOKUP(A251,'Danh mục hàng hóa'!$C$3:$E$656,3,0)</f>
        <v>cái</v>
      </c>
      <c r="D251" s="437">
        <f>VLOOKUP(A251,'Danh mục hàng hóa'!$C$3:$M$656,6,0)</f>
        <v>52000</v>
      </c>
      <c r="E251" s="438">
        <v>1</v>
      </c>
      <c r="F251" s="439">
        <f t="shared" si="0"/>
        <v>52000</v>
      </c>
      <c r="G251" s="442"/>
      <c r="H251" s="448">
        <v>45760</v>
      </c>
    </row>
    <row r="252" spans="1:8" ht="13.2">
      <c r="A252" s="456" t="s">
        <v>790</v>
      </c>
      <c r="B252" s="452" t="str">
        <f>VLOOKUP(A252,'Danh mục hàng hóa'!$C$3:$D$643,2,0)</f>
        <v xml:space="preserve">Kẹp tóc bướm hồng </v>
      </c>
      <c r="C252" s="436" t="str">
        <f>VLOOKUP(A252,'Danh mục hàng hóa'!$C$3:$E$656,3,0)</f>
        <v>cái</v>
      </c>
      <c r="D252" s="437">
        <f>VLOOKUP(A252,'Danh mục hàng hóa'!$C$3:$M$656,6,0)</f>
        <v>40000</v>
      </c>
      <c r="E252" s="438">
        <v>1</v>
      </c>
      <c r="F252" s="439">
        <f t="shared" si="0"/>
        <v>40000</v>
      </c>
      <c r="G252" s="442"/>
      <c r="H252" s="448">
        <v>35140</v>
      </c>
    </row>
    <row r="253" spans="1:8" ht="13.2">
      <c r="A253" s="456" t="s">
        <v>794</v>
      </c>
      <c r="B253" s="452" t="str">
        <f>VLOOKUP(A253,'Danh mục hàng hóa'!$C$3:$D$643,2,0)</f>
        <v>Kẹp tóc bướm xanh tím</v>
      </c>
      <c r="C253" s="436" t="str">
        <f>VLOOKUP(A253,'Danh mục hàng hóa'!$C$3:$E$656,3,0)</f>
        <v>cái</v>
      </c>
      <c r="D253" s="437">
        <f>VLOOKUP(A253,'Danh mục hàng hóa'!$C$3:$M$656,6,0)</f>
        <v>40000</v>
      </c>
      <c r="E253" s="438">
        <v>1</v>
      </c>
      <c r="F253" s="439">
        <f t="shared" si="0"/>
        <v>40000</v>
      </c>
      <c r="G253" s="442"/>
      <c r="H253" s="447">
        <v>63300</v>
      </c>
    </row>
    <row r="254" spans="1:8" ht="13.2">
      <c r="A254" s="456" t="s">
        <v>790</v>
      </c>
      <c r="B254" s="452" t="str">
        <f>VLOOKUP(A254,'Danh mục hàng hóa'!$C$3:$D$643,2,0)</f>
        <v xml:space="preserve">Kẹp tóc bướm hồng </v>
      </c>
      <c r="C254" s="436" t="str">
        <f>VLOOKUP(A254,'Danh mục hàng hóa'!$C$3:$E$656,3,0)</f>
        <v>cái</v>
      </c>
      <c r="D254" s="437">
        <f>VLOOKUP(A254,'Danh mục hàng hóa'!$C$3:$M$656,6,0)</f>
        <v>40000</v>
      </c>
      <c r="E254" s="438">
        <v>1</v>
      </c>
      <c r="F254" s="439">
        <f t="shared" si="0"/>
        <v>40000</v>
      </c>
      <c r="G254" s="442"/>
      <c r="H254" s="446"/>
    </row>
    <row r="255" spans="1:8" ht="13.2">
      <c r="A255" s="454" t="s">
        <v>788</v>
      </c>
      <c r="B255" s="452" t="str">
        <f>VLOOKUP(A255,'Danh mục hàng hóa'!$C$3:$D$643,2,0)</f>
        <v>Kẹp tóc bướm hồng phấn</v>
      </c>
      <c r="C255" s="436" t="str">
        <f>VLOOKUP(A255,'Danh mục hàng hóa'!$C$3:$E$656,3,0)</f>
        <v>cái</v>
      </c>
      <c r="D255" s="437">
        <f>VLOOKUP(A255,'Danh mục hàng hóa'!$C$3:$M$656,6,0)</f>
        <v>38000</v>
      </c>
      <c r="E255" s="438">
        <v>1</v>
      </c>
      <c r="F255" s="439">
        <f t="shared" si="0"/>
        <v>38000</v>
      </c>
      <c r="G255" s="442"/>
      <c r="H255" s="447">
        <v>104544</v>
      </c>
    </row>
    <row r="256" spans="1:8" ht="13.2">
      <c r="A256" s="454" t="s">
        <v>796</v>
      </c>
      <c r="B256" s="452" t="str">
        <f>VLOOKUP(A256,'Danh mục hàng hóa'!$C$3:$D$643,2,0)</f>
        <v>Kẹp tóc bướm tím</v>
      </c>
      <c r="C256" s="436" t="str">
        <f>VLOOKUP(A256,'Danh mục hàng hóa'!$C$3:$E$656,3,0)</f>
        <v>cái</v>
      </c>
      <c r="D256" s="437">
        <f>VLOOKUP(A256,'Danh mục hàng hóa'!$C$3:$M$656,6,0)</f>
        <v>38000</v>
      </c>
      <c r="E256" s="438">
        <v>1</v>
      </c>
      <c r="F256" s="439">
        <f t="shared" si="0"/>
        <v>38000</v>
      </c>
      <c r="G256" s="442"/>
      <c r="H256" s="446"/>
    </row>
    <row r="257" spans="1:8" ht="13.2">
      <c r="A257" s="454" t="s">
        <v>817</v>
      </c>
      <c r="B257" s="452" t="str">
        <f>VLOOKUP(A257,'Danh mục hàng hóa'!$C$3:$D$643,2,0)</f>
        <v>Kẹp tóc bướm hồng trắng</v>
      </c>
      <c r="C257" s="436" t="str">
        <f>VLOOKUP(A257,'Danh mục hàng hóa'!$C$3:$E$656,3,0)</f>
        <v>cái</v>
      </c>
      <c r="D257" s="437">
        <f>VLOOKUP(A257,'Danh mục hàng hóa'!$C$3:$M$656,6,0)</f>
        <v>52000</v>
      </c>
      <c r="E257" s="438">
        <v>1</v>
      </c>
      <c r="F257" s="439">
        <f t="shared" si="0"/>
        <v>52000</v>
      </c>
      <c r="G257" s="442"/>
      <c r="H257" s="446"/>
    </row>
    <row r="258" spans="1:8" ht="13.2">
      <c r="A258" s="454" t="s">
        <v>817</v>
      </c>
      <c r="B258" s="452" t="str">
        <f>VLOOKUP(A258,'Danh mục hàng hóa'!$C$3:$D$643,2,0)</f>
        <v>Kẹp tóc bướm hồng trắng</v>
      </c>
      <c r="C258" s="436" t="str">
        <f>VLOOKUP(A258,'Danh mục hàng hóa'!$C$3:$E$656,3,0)</f>
        <v>cái</v>
      </c>
      <c r="D258" s="437">
        <f>VLOOKUP(A258,'Danh mục hàng hóa'!$C$3:$M$656,6,0)</f>
        <v>52000</v>
      </c>
      <c r="E258" s="438">
        <v>1</v>
      </c>
      <c r="F258" s="439">
        <f t="shared" ref="F258:F512" si="1">D258*E258</f>
        <v>52000</v>
      </c>
      <c r="G258" s="442"/>
      <c r="H258" s="448">
        <v>45620</v>
      </c>
    </row>
    <row r="259" spans="1:8" ht="13.2">
      <c r="A259" s="454" t="s">
        <v>798</v>
      </c>
      <c r="B259" s="452" t="str">
        <f>VLOOKUP(A259,'Danh mục hàng hóa'!$C$3:$D$643,2,0)</f>
        <v>Kẹp tóc bướm trắng</v>
      </c>
      <c r="C259" s="436" t="str">
        <f>VLOOKUP(A259,'Danh mục hàng hóa'!$C$3:$E$656,3,0)</f>
        <v>cái</v>
      </c>
      <c r="D259" s="437">
        <f>VLOOKUP(A259,'Danh mục hàng hóa'!$C$3:$M$656,6,0)</f>
        <v>40000</v>
      </c>
      <c r="E259" s="438">
        <v>1</v>
      </c>
      <c r="F259" s="439">
        <f t="shared" si="1"/>
        <v>40000</v>
      </c>
      <c r="G259" s="442"/>
      <c r="H259" s="448">
        <v>35140</v>
      </c>
    </row>
    <row r="260" spans="1:8" ht="13.2">
      <c r="A260" s="454" t="s">
        <v>788</v>
      </c>
      <c r="B260" s="452" t="str">
        <f>VLOOKUP(A260,'Danh mục hàng hóa'!$C$3:$D$643,2,0)</f>
        <v>Kẹp tóc bướm hồng phấn</v>
      </c>
      <c r="C260" s="436" t="str">
        <f>VLOOKUP(A260,'Danh mục hàng hóa'!$C$3:$E$656,3,0)</f>
        <v>cái</v>
      </c>
      <c r="D260" s="437">
        <f>VLOOKUP(A260,'Danh mục hàng hóa'!$C$3:$M$656,6,0)</f>
        <v>38000</v>
      </c>
      <c r="E260" s="438">
        <v>1</v>
      </c>
      <c r="F260" s="439">
        <f t="shared" si="1"/>
        <v>38000</v>
      </c>
      <c r="G260" s="442"/>
      <c r="H260" s="447">
        <v>126660</v>
      </c>
    </row>
    <row r="261" spans="1:8" ht="13.2">
      <c r="A261" s="454" t="s">
        <v>792</v>
      </c>
      <c r="B261" s="452" t="str">
        <f>VLOOKUP(A261,'Danh mục hàng hóa'!$C$3:$D$643,2,0)</f>
        <v>Kẹp tóc bướm xanh ngọc</v>
      </c>
      <c r="C261" s="436" t="str">
        <f>VLOOKUP(A261,'Danh mục hàng hóa'!$C$3:$E$656,3,0)</f>
        <v>cái</v>
      </c>
      <c r="D261" s="437">
        <f>VLOOKUP(A261,'Danh mục hàng hóa'!$C$3:$M$656,6,0)</f>
        <v>38000</v>
      </c>
      <c r="E261" s="438">
        <v>1</v>
      </c>
      <c r="F261" s="439">
        <f t="shared" si="1"/>
        <v>38000</v>
      </c>
      <c r="G261" s="442"/>
      <c r="H261" s="446"/>
    </row>
    <row r="262" spans="1:8" ht="13.2">
      <c r="A262" s="454" t="s">
        <v>794</v>
      </c>
      <c r="B262" s="452" t="str">
        <f>VLOOKUP(A262,'Danh mục hàng hóa'!$C$3:$D$643,2,0)</f>
        <v>Kẹp tóc bướm xanh tím</v>
      </c>
      <c r="C262" s="436" t="str">
        <f>VLOOKUP(A262,'Danh mục hàng hóa'!$C$3:$E$656,3,0)</f>
        <v>cái</v>
      </c>
      <c r="D262" s="437">
        <f>VLOOKUP(A262,'Danh mục hàng hóa'!$C$3:$M$656,6,0)</f>
        <v>40000</v>
      </c>
      <c r="E262" s="438">
        <v>1</v>
      </c>
      <c r="F262" s="439">
        <f t="shared" si="1"/>
        <v>40000</v>
      </c>
      <c r="G262" s="442"/>
      <c r="H262" s="446"/>
    </row>
    <row r="263" spans="1:8" ht="13.2">
      <c r="A263" s="454" t="s">
        <v>798</v>
      </c>
      <c r="B263" s="452" t="str">
        <f>VLOOKUP(A263,'Danh mục hàng hóa'!$C$3:$D$643,2,0)</f>
        <v>Kẹp tóc bướm trắng</v>
      </c>
      <c r="C263" s="436" t="str">
        <f>VLOOKUP(A263,'Danh mục hàng hóa'!$C$3:$E$656,3,0)</f>
        <v>cái</v>
      </c>
      <c r="D263" s="437">
        <f>VLOOKUP(A263,'Danh mục hàng hóa'!$C$3:$M$656,6,0)</f>
        <v>40000</v>
      </c>
      <c r="E263" s="438">
        <v>1</v>
      </c>
      <c r="F263" s="439">
        <f t="shared" si="1"/>
        <v>40000</v>
      </c>
      <c r="G263" s="442"/>
      <c r="H263" s="446"/>
    </row>
    <row r="264" spans="1:8" ht="13.2">
      <c r="A264" s="454" t="s">
        <v>796</v>
      </c>
      <c r="B264" s="452" t="str">
        <f>VLOOKUP(A264,'Danh mục hàng hóa'!$C$3:$D$643,2,0)</f>
        <v>Kẹp tóc bướm tím</v>
      </c>
      <c r="C264" s="436" t="str">
        <f>VLOOKUP(A264,'Danh mục hàng hóa'!$C$3:$E$656,3,0)</f>
        <v>cái</v>
      </c>
      <c r="D264" s="437">
        <f>VLOOKUP(A264,'Danh mục hàng hóa'!$C$3:$M$656,6,0)</f>
        <v>38000</v>
      </c>
      <c r="E264" s="438">
        <v>1</v>
      </c>
      <c r="F264" s="439">
        <f t="shared" si="1"/>
        <v>38000</v>
      </c>
      <c r="G264" s="442"/>
      <c r="H264" s="448">
        <v>35140</v>
      </c>
    </row>
    <row r="265" spans="1:8" ht="13.2">
      <c r="A265" s="454" t="s">
        <v>788</v>
      </c>
      <c r="B265" s="452" t="str">
        <f>VLOOKUP(A265,'Danh mục hàng hóa'!$C$3:$D$643,2,0)</f>
        <v>Kẹp tóc bướm hồng phấn</v>
      </c>
      <c r="C265" s="436" t="str">
        <f>VLOOKUP(A265,'Danh mục hàng hóa'!$C$3:$E$656,3,0)</f>
        <v>cái</v>
      </c>
      <c r="D265" s="437">
        <f>VLOOKUP(A265,'Danh mục hàng hóa'!$C$3:$M$656,6,0)</f>
        <v>38000</v>
      </c>
      <c r="E265" s="438">
        <v>1</v>
      </c>
      <c r="F265" s="439">
        <f t="shared" si="1"/>
        <v>38000</v>
      </c>
      <c r="G265" s="442"/>
      <c r="H265" s="447">
        <v>46012</v>
      </c>
    </row>
    <row r="266" spans="1:8" ht="13.2">
      <c r="A266" s="454" t="s">
        <v>734</v>
      </c>
      <c r="B266" s="452" t="str">
        <f>VLOOKUP(A266,'Danh mục hàng hóa'!$C$3:$D$643,2,0)</f>
        <v>Kẹp tóc hoa sứ hồng</v>
      </c>
      <c r="C266" s="436" t="str">
        <f>VLOOKUP(A266,'Danh mục hàng hóa'!$C$3:$E$656,3,0)</f>
        <v>cái</v>
      </c>
      <c r="D266" s="437">
        <f>VLOOKUP(A266,'Danh mục hàng hóa'!$C$3:$M$656,6,0)</f>
        <v>18500</v>
      </c>
      <c r="E266" s="438">
        <v>1</v>
      </c>
      <c r="F266" s="439">
        <f t="shared" si="1"/>
        <v>18500</v>
      </c>
      <c r="G266" s="442"/>
      <c r="H266" s="446"/>
    </row>
    <row r="267" spans="1:8" ht="13.2">
      <c r="A267" s="454" t="s">
        <v>794</v>
      </c>
      <c r="B267" s="452" t="str">
        <f>VLOOKUP(A267,'Danh mục hàng hóa'!$C$3:$D$643,2,0)</f>
        <v>Kẹp tóc bướm xanh tím</v>
      </c>
      <c r="C267" s="436" t="str">
        <f>VLOOKUP(A267,'Danh mục hàng hóa'!$C$3:$E$656,3,0)</f>
        <v>cái</v>
      </c>
      <c r="D267" s="437">
        <f>VLOOKUP(A267,'Danh mục hàng hóa'!$C$3:$M$656,6,0)</f>
        <v>40000</v>
      </c>
      <c r="E267" s="438">
        <v>1</v>
      </c>
      <c r="F267" s="439">
        <f t="shared" si="1"/>
        <v>40000</v>
      </c>
      <c r="G267" s="442"/>
      <c r="H267" s="447">
        <v>155232</v>
      </c>
    </row>
    <row r="268" spans="1:8" ht="13.2">
      <c r="A268" s="454" t="s">
        <v>821</v>
      </c>
      <c r="B268" s="452" t="str">
        <f>VLOOKUP(A268,'Danh mục hàng hóa'!$C$3:$D$643,2,0)</f>
        <v>Kẹp tóc bướm hồng loang xanh</v>
      </c>
      <c r="C268" s="436" t="str">
        <f>VLOOKUP(A268,'Danh mục hàng hóa'!$C$3:$E$656,3,0)</f>
        <v>cái</v>
      </c>
      <c r="D268" s="437">
        <f>VLOOKUP(A268,'Danh mục hàng hóa'!$C$3:$M$656,6,0)</f>
        <v>52000</v>
      </c>
      <c r="E268" s="438">
        <v>1</v>
      </c>
      <c r="F268" s="439">
        <f t="shared" si="1"/>
        <v>52000</v>
      </c>
      <c r="G268" s="442"/>
      <c r="H268" s="446"/>
    </row>
    <row r="269" spans="1:8" ht="13.2">
      <c r="A269" s="454" t="s">
        <v>819</v>
      </c>
      <c r="B269" s="452" t="str">
        <f>VLOOKUP(A269,'Danh mục hàng hóa'!$C$3:$D$643,2,0)</f>
        <v>Kẹp tóc bướm xanh trắng</v>
      </c>
      <c r="C269" s="436" t="str">
        <f>VLOOKUP(A269,'Danh mục hàng hóa'!$C$3:$E$656,3,0)</f>
        <v>cái</v>
      </c>
      <c r="D269" s="437">
        <f>VLOOKUP(A269,'Danh mục hàng hóa'!$C$3:$M$656,6,0)</f>
        <v>52000</v>
      </c>
      <c r="E269" s="438">
        <v>1</v>
      </c>
      <c r="F269" s="439">
        <f t="shared" si="1"/>
        <v>52000</v>
      </c>
      <c r="G269" s="442"/>
      <c r="H269" s="446"/>
    </row>
    <row r="270" spans="1:8" ht="13.2">
      <c r="A270" s="454" t="s">
        <v>817</v>
      </c>
      <c r="B270" s="452" t="str">
        <f>VLOOKUP(A270,'Danh mục hàng hóa'!$C$3:$D$643,2,0)</f>
        <v>Kẹp tóc bướm hồng trắng</v>
      </c>
      <c r="C270" s="436" t="str">
        <f>VLOOKUP(A270,'Danh mục hàng hóa'!$C$3:$E$656,3,0)</f>
        <v>cái</v>
      </c>
      <c r="D270" s="437">
        <f>VLOOKUP(A270,'Danh mục hàng hóa'!$C$3:$M$656,6,0)</f>
        <v>52000</v>
      </c>
      <c r="E270" s="438">
        <v>1</v>
      </c>
      <c r="F270" s="439">
        <f t="shared" si="1"/>
        <v>52000</v>
      </c>
      <c r="G270" s="442"/>
      <c r="H270" s="446"/>
    </row>
    <row r="271" spans="1:8" ht="13.2">
      <c r="A271" s="454" t="s">
        <v>800</v>
      </c>
      <c r="B271" s="452" t="str">
        <f>VLOOKUP(A271,'Danh mục hàng hóa'!$C$3:$D$643,2,0)</f>
        <v>Kẹp tóc bướm kem</v>
      </c>
      <c r="C271" s="436" t="str">
        <f>VLOOKUP(A271,'Danh mục hàng hóa'!$C$3:$E$656,3,0)</f>
        <v>cái</v>
      </c>
      <c r="D271" s="437">
        <f>VLOOKUP(A271,'Danh mục hàng hóa'!$C$3:$M$656,6,0)</f>
        <v>38000</v>
      </c>
      <c r="E271" s="438">
        <v>1</v>
      </c>
      <c r="F271" s="439">
        <f t="shared" si="1"/>
        <v>38000</v>
      </c>
      <c r="G271" s="442"/>
      <c r="H271" s="447">
        <v>40084</v>
      </c>
    </row>
    <row r="272" spans="1:8" ht="13.2">
      <c r="A272" s="454" t="s">
        <v>501</v>
      </c>
      <c r="B272" s="452" t="str">
        <f>VLOOKUP(A272,'Danh mục hàng hóa'!$C$3:$D$643,2,0)</f>
        <v>Trâm cài 10</v>
      </c>
      <c r="C272" s="436" t="str">
        <f>VLOOKUP(A272,'Danh mục hàng hóa'!$C$3:$E$656,3,0)</f>
        <v>cây</v>
      </c>
      <c r="D272" s="437">
        <f>VLOOKUP(A272,'Danh mục hàng hóa'!$C$3:$M$656,6,0)</f>
        <v>8722</v>
      </c>
      <c r="E272" s="438">
        <v>1</v>
      </c>
      <c r="F272" s="439">
        <f t="shared" si="1"/>
        <v>8722</v>
      </c>
      <c r="G272" s="442"/>
      <c r="H272" s="446"/>
    </row>
    <row r="273" spans="1:8" ht="13.2">
      <c r="A273" s="454" t="s">
        <v>788</v>
      </c>
      <c r="B273" s="452" t="str">
        <f>VLOOKUP(A273,'Danh mục hàng hóa'!$C$3:$D$643,2,0)</f>
        <v>Kẹp tóc bướm hồng phấn</v>
      </c>
      <c r="C273" s="436" t="str">
        <f>VLOOKUP(A273,'Danh mục hàng hóa'!$C$3:$E$656,3,0)</f>
        <v>cái</v>
      </c>
      <c r="D273" s="437">
        <f>VLOOKUP(A273,'Danh mục hàng hóa'!$C$3:$M$656,6,0)</f>
        <v>38000</v>
      </c>
      <c r="E273" s="438">
        <v>1</v>
      </c>
      <c r="F273" s="439">
        <f t="shared" si="1"/>
        <v>38000</v>
      </c>
      <c r="G273" s="442"/>
      <c r="H273" s="447">
        <v>103824</v>
      </c>
    </row>
    <row r="274" spans="1:8" ht="13.2">
      <c r="A274" s="454" t="s">
        <v>800</v>
      </c>
      <c r="B274" s="452" t="str">
        <f>VLOOKUP(A274,'Danh mục hàng hóa'!$C$3:$D$643,2,0)</f>
        <v>Kẹp tóc bướm kem</v>
      </c>
      <c r="C274" s="436" t="str">
        <f>VLOOKUP(A274,'Danh mục hàng hóa'!$C$3:$E$656,3,0)</f>
        <v>cái</v>
      </c>
      <c r="D274" s="437">
        <f>VLOOKUP(A274,'Danh mục hàng hóa'!$C$3:$M$656,6,0)</f>
        <v>38000</v>
      </c>
      <c r="E274" s="438">
        <v>1</v>
      </c>
      <c r="F274" s="439">
        <f t="shared" si="1"/>
        <v>38000</v>
      </c>
      <c r="G274" s="442"/>
      <c r="H274" s="446"/>
    </row>
    <row r="275" spans="1:8" ht="13.2">
      <c r="A275" s="454" t="s">
        <v>825</v>
      </c>
      <c r="B275" s="452" t="str">
        <f>VLOOKUP(A275,'Danh mục hàng hóa'!$C$3:$D$643,2,0)</f>
        <v>Kẹp tóc bướm hồng cam</v>
      </c>
      <c r="C275" s="436" t="str">
        <f>VLOOKUP(A275,'Danh mục hàng hóa'!$C$3:$E$656,3,0)</f>
        <v>cái</v>
      </c>
      <c r="D275" s="437">
        <f>VLOOKUP(A275,'Danh mục hàng hóa'!$C$3:$M$656,6,0)</f>
        <v>52000</v>
      </c>
      <c r="E275" s="438">
        <v>1</v>
      </c>
      <c r="F275" s="439">
        <f t="shared" si="1"/>
        <v>52000</v>
      </c>
      <c r="G275" s="442"/>
      <c r="H275" s="446"/>
    </row>
    <row r="276" spans="1:8" ht="13.2">
      <c r="A276" s="454" t="s">
        <v>792</v>
      </c>
      <c r="B276" s="452" t="str">
        <f>VLOOKUP(A276,'Danh mục hàng hóa'!$C$3:$D$643,2,0)</f>
        <v>Kẹp tóc bướm xanh ngọc</v>
      </c>
      <c r="C276" s="436" t="str">
        <f>VLOOKUP(A276,'Danh mục hàng hóa'!$C$3:$E$656,3,0)</f>
        <v>cái</v>
      </c>
      <c r="D276" s="437">
        <f>VLOOKUP(A276,'Danh mục hàng hóa'!$C$3:$M$656,6,0)</f>
        <v>38000</v>
      </c>
      <c r="E276" s="438">
        <v>1</v>
      </c>
      <c r="F276" s="439">
        <f t="shared" si="1"/>
        <v>38000</v>
      </c>
      <c r="G276" s="442"/>
      <c r="H276" s="448">
        <v>34480</v>
      </c>
    </row>
    <row r="277" spans="1:8" ht="13.2">
      <c r="A277" s="454" t="s">
        <v>792</v>
      </c>
      <c r="B277" s="452" t="str">
        <f>VLOOKUP(A277,'Danh mục hàng hóa'!$C$3:$D$643,2,0)</f>
        <v>Kẹp tóc bướm xanh ngọc</v>
      </c>
      <c r="C277" s="436" t="str">
        <f>VLOOKUP(A277,'Danh mục hàng hóa'!$C$3:$E$656,3,0)</f>
        <v>cái</v>
      </c>
      <c r="D277" s="437">
        <f>VLOOKUP(A277,'Danh mục hàng hóa'!$C$3:$M$656,6,0)</f>
        <v>38000</v>
      </c>
      <c r="E277" s="438">
        <v>1</v>
      </c>
      <c r="F277" s="439">
        <f t="shared" si="1"/>
        <v>38000</v>
      </c>
      <c r="G277" s="442"/>
      <c r="H277" s="447">
        <v>63220</v>
      </c>
    </row>
    <row r="278" spans="1:8" ht="13.2">
      <c r="A278" s="454" t="s">
        <v>794</v>
      </c>
      <c r="B278" s="452" t="str">
        <f>VLOOKUP(A278,'Danh mục hàng hóa'!$C$3:$D$643,2,0)</f>
        <v>Kẹp tóc bướm xanh tím</v>
      </c>
      <c r="C278" s="436" t="str">
        <f>VLOOKUP(A278,'Danh mục hàng hóa'!$C$3:$E$656,3,0)</f>
        <v>cái</v>
      </c>
      <c r="D278" s="437">
        <f>VLOOKUP(A278,'Danh mục hàng hóa'!$C$3:$M$656,6,0)</f>
        <v>40000</v>
      </c>
      <c r="E278" s="438">
        <v>1</v>
      </c>
      <c r="F278" s="439">
        <f t="shared" si="1"/>
        <v>40000</v>
      </c>
      <c r="G278" s="442"/>
      <c r="H278" s="446"/>
    </row>
    <row r="279" spans="1:8" ht="13.2">
      <c r="A279" s="454" t="s">
        <v>790</v>
      </c>
      <c r="B279" s="452" t="str">
        <f>VLOOKUP(A279,'Danh mục hàng hóa'!$C$3:$D$643,2,0)</f>
        <v xml:space="preserve">Kẹp tóc bướm hồng </v>
      </c>
      <c r="C279" s="436" t="str">
        <f>VLOOKUP(A279,'Danh mục hàng hóa'!$C$3:$E$656,3,0)</f>
        <v>cái</v>
      </c>
      <c r="D279" s="437">
        <f>VLOOKUP(A279,'Danh mục hàng hóa'!$C$3:$M$656,6,0)</f>
        <v>40000</v>
      </c>
      <c r="E279" s="438">
        <v>1</v>
      </c>
      <c r="F279" s="439">
        <f t="shared" si="1"/>
        <v>40000</v>
      </c>
      <c r="G279" s="442"/>
      <c r="H279" s="448">
        <v>34860</v>
      </c>
    </row>
    <row r="280" spans="1:8" ht="13.2">
      <c r="A280" s="454" t="s">
        <v>821</v>
      </c>
      <c r="B280" s="452" t="str">
        <f>VLOOKUP(A280,'Danh mục hàng hóa'!$C$3:$D$643,2,0)</f>
        <v>Kẹp tóc bướm hồng loang xanh</v>
      </c>
      <c r="C280" s="436" t="str">
        <f>VLOOKUP(A280,'Danh mục hàng hóa'!$C$3:$E$656,3,0)</f>
        <v>cái</v>
      </c>
      <c r="D280" s="437">
        <f>VLOOKUP(A280,'Danh mục hàng hóa'!$C$3:$M$656,6,0)</f>
        <v>52000</v>
      </c>
      <c r="E280" s="438">
        <v>1</v>
      </c>
      <c r="F280" s="439">
        <f t="shared" si="1"/>
        <v>52000</v>
      </c>
      <c r="G280" s="442"/>
      <c r="H280" s="447">
        <v>82308</v>
      </c>
    </row>
    <row r="281" spans="1:8" ht="13.2">
      <c r="A281" s="454" t="s">
        <v>817</v>
      </c>
      <c r="B281" s="452" t="str">
        <f>VLOOKUP(A281,'Danh mục hàng hóa'!$C$3:$D$643,2,0)</f>
        <v>Kẹp tóc bướm hồng trắng</v>
      </c>
      <c r="C281" s="436" t="str">
        <f>VLOOKUP(A281,'Danh mục hàng hóa'!$C$3:$E$656,3,0)</f>
        <v>cái</v>
      </c>
      <c r="D281" s="437">
        <f>VLOOKUP(A281,'Danh mục hàng hóa'!$C$3:$M$656,6,0)</f>
        <v>52000</v>
      </c>
      <c r="E281" s="438">
        <v>1</v>
      </c>
      <c r="F281" s="439">
        <f t="shared" si="1"/>
        <v>52000</v>
      </c>
      <c r="G281" s="442"/>
      <c r="H281" s="446"/>
    </row>
    <row r="282" spans="1:8" ht="13.2">
      <c r="A282" s="454" t="s">
        <v>794</v>
      </c>
      <c r="B282" s="452" t="str">
        <f>VLOOKUP(A282,'Danh mục hàng hóa'!$C$3:$D$643,2,0)</f>
        <v>Kẹp tóc bướm xanh tím</v>
      </c>
      <c r="C282" s="436" t="str">
        <f>VLOOKUP(A282,'Danh mục hàng hóa'!$C$3:$E$656,3,0)</f>
        <v>cái</v>
      </c>
      <c r="D282" s="437">
        <f>VLOOKUP(A282,'Danh mục hàng hóa'!$C$3:$M$656,6,0)</f>
        <v>40000</v>
      </c>
      <c r="E282" s="438">
        <v>1</v>
      </c>
      <c r="F282" s="439">
        <f t="shared" si="1"/>
        <v>40000</v>
      </c>
      <c r="G282" s="442"/>
      <c r="H282" s="448">
        <v>35140</v>
      </c>
    </row>
    <row r="283" spans="1:8" ht="13.2">
      <c r="A283" s="454" t="s">
        <v>792</v>
      </c>
      <c r="B283" s="452" t="str">
        <f>VLOOKUP(A283,'Danh mục hàng hóa'!$C$3:$D$643,2,0)</f>
        <v>Kẹp tóc bướm xanh ngọc</v>
      </c>
      <c r="C283" s="436" t="str">
        <f>VLOOKUP(A283,'Danh mục hàng hóa'!$C$3:$E$656,3,0)</f>
        <v>cái</v>
      </c>
      <c r="D283" s="437">
        <f>VLOOKUP(A283,'Danh mục hàng hóa'!$C$3:$M$656,6,0)</f>
        <v>38000</v>
      </c>
      <c r="E283" s="438">
        <v>1</v>
      </c>
      <c r="F283" s="439">
        <f t="shared" si="1"/>
        <v>38000</v>
      </c>
      <c r="G283" s="442"/>
      <c r="H283" s="448">
        <v>34480</v>
      </c>
    </row>
    <row r="284" spans="1:8" ht="13.2">
      <c r="A284" s="454" t="s">
        <v>792</v>
      </c>
      <c r="B284" s="452" t="str">
        <f>VLOOKUP(A284,'Danh mục hàng hóa'!$C$3:$D$643,2,0)</f>
        <v>Kẹp tóc bướm xanh ngọc</v>
      </c>
      <c r="C284" s="436" t="str">
        <f>VLOOKUP(A284,'Danh mục hàng hóa'!$C$3:$E$656,3,0)</f>
        <v>cái</v>
      </c>
      <c r="D284" s="437">
        <f>VLOOKUP(A284,'Danh mục hàng hóa'!$C$3:$M$656,6,0)</f>
        <v>38000</v>
      </c>
      <c r="E284" s="438">
        <v>1</v>
      </c>
      <c r="F284" s="439">
        <f t="shared" si="1"/>
        <v>38000</v>
      </c>
      <c r="G284" s="442"/>
      <c r="H284" s="448">
        <v>34900</v>
      </c>
    </row>
    <row r="285" spans="1:8" ht="13.2">
      <c r="A285" s="454" t="s">
        <v>798</v>
      </c>
      <c r="B285" s="452" t="str">
        <f>VLOOKUP(A285,'Danh mục hàng hóa'!$C$3:$D$643,2,0)</f>
        <v>Kẹp tóc bướm trắng</v>
      </c>
      <c r="C285" s="436" t="str">
        <f>VLOOKUP(A285,'Danh mục hàng hóa'!$C$3:$E$656,3,0)</f>
        <v>cái</v>
      </c>
      <c r="D285" s="437">
        <f>VLOOKUP(A285,'Danh mục hàng hóa'!$C$3:$M$656,6,0)</f>
        <v>40000</v>
      </c>
      <c r="E285" s="438">
        <v>1</v>
      </c>
      <c r="F285" s="439">
        <f t="shared" si="1"/>
        <v>40000</v>
      </c>
      <c r="G285" s="442"/>
      <c r="H285" s="448">
        <v>34480</v>
      </c>
    </row>
    <row r="286" spans="1:8" ht="13.2">
      <c r="A286" s="454" t="s">
        <v>817</v>
      </c>
      <c r="B286" s="452" t="str">
        <f>VLOOKUP(A286,'Danh mục hàng hóa'!$C$3:$D$643,2,0)</f>
        <v>Kẹp tóc bướm hồng trắng</v>
      </c>
      <c r="C286" s="436" t="str">
        <f>VLOOKUP(A286,'Danh mục hàng hóa'!$C$3:$E$656,3,0)</f>
        <v>cái</v>
      </c>
      <c r="D286" s="437">
        <f>VLOOKUP(A286,'Danh mục hàng hóa'!$C$3:$M$656,6,0)</f>
        <v>52000</v>
      </c>
      <c r="E286" s="438">
        <v>1</v>
      </c>
      <c r="F286" s="439">
        <f t="shared" si="1"/>
        <v>52000</v>
      </c>
      <c r="G286" s="442"/>
      <c r="H286" s="448">
        <v>40904</v>
      </c>
    </row>
    <row r="287" spans="1:8" ht="13.2">
      <c r="A287" s="454" t="s">
        <v>788</v>
      </c>
      <c r="B287" s="452" t="str">
        <f>VLOOKUP(A287,'Danh mục hàng hóa'!$C$3:$D$643,2,0)</f>
        <v>Kẹp tóc bướm hồng phấn</v>
      </c>
      <c r="C287" s="436" t="str">
        <f>VLOOKUP(A287,'Danh mục hàng hóa'!$C$3:$E$656,3,0)</f>
        <v>cái</v>
      </c>
      <c r="D287" s="437">
        <f>VLOOKUP(A287,'Danh mục hàng hóa'!$C$3:$M$656,6,0)</f>
        <v>38000</v>
      </c>
      <c r="E287" s="438">
        <v>1</v>
      </c>
      <c r="F287" s="439">
        <f t="shared" si="1"/>
        <v>38000</v>
      </c>
      <c r="G287" s="442"/>
      <c r="H287" s="447">
        <v>104544</v>
      </c>
    </row>
    <row r="288" spans="1:8" ht="13.2">
      <c r="A288" s="454" t="s">
        <v>796</v>
      </c>
      <c r="B288" s="452" t="str">
        <f>VLOOKUP(A288,'Danh mục hàng hóa'!$C$3:$D$643,2,0)</f>
        <v>Kẹp tóc bướm tím</v>
      </c>
      <c r="C288" s="436" t="str">
        <f>VLOOKUP(A288,'Danh mục hàng hóa'!$C$3:$E$656,3,0)</f>
        <v>cái</v>
      </c>
      <c r="D288" s="437">
        <f>VLOOKUP(A288,'Danh mục hàng hóa'!$C$3:$M$656,6,0)</f>
        <v>38000</v>
      </c>
      <c r="E288" s="438">
        <v>1</v>
      </c>
      <c r="F288" s="439">
        <f t="shared" si="1"/>
        <v>38000</v>
      </c>
      <c r="G288" s="442"/>
      <c r="H288" s="446"/>
    </row>
    <row r="289" spans="1:8" ht="13.2">
      <c r="A289" s="454" t="s">
        <v>817</v>
      </c>
      <c r="B289" s="452" t="str">
        <f>VLOOKUP(A289,'Danh mục hàng hóa'!$C$3:$D$643,2,0)</f>
        <v>Kẹp tóc bướm hồng trắng</v>
      </c>
      <c r="C289" s="436" t="str">
        <f>VLOOKUP(A289,'Danh mục hàng hóa'!$C$3:$E$656,3,0)</f>
        <v>cái</v>
      </c>
      <c r="D289" s="437">
        <f>VLOOKUP(A289,'Danh mục hàng hóa'!$C$3:$M$656,6,0)</f>
        <v>52000</v>
      </c>
      <c r="E289" s="438">
        <v>1</v>
      </c>
      <c r="F289" s="439">
        <f t="shared" si="1"/>
        <v>52000</v>
      </c>
      <c r="G289" s="442"/>
      <c r="H289" s="446"/>
    </row>
    <row r="290" spans="1:8" ht="13.2">
      <c r="A290" s="454" t="s">
        <v>821</v>
      </c>
      <c r="B290" s="452" t="str">
        <f>VLOOKUP(A290,'Danh mục hàng hóa'!$C$3:$D$643,2,0)</f>
        <v>Kẹp tóc bướm hồng loang xanh</v>
      </c>
      <c r="C290" s="436" t="str">
        <f>VLOOKUP(A290,'Danh mục hàng hóa'!$C$3:$E$656,3,0)</f>
        <v>cái</v>
      </c>
      <c r="D290" s="437">
        <f>VLOOKUP(A290,'Danh mục hàng hóa'!$C$3:$M$656,6,0)</f>
        <v>52000</v>
      </c>
      <c r="E290" s="438">
        <v>1</v>
      </c>
      <c r="F290" s="439">
        <f t="shared" si="1"/>
        <v>52000</v>
      </c>
      <c r="G290" s="442"/>
      <c r="H290" s="448">
        <v>45700</v>
      </c>
    </row>
    <row r="291" spans="1:8" ht="13.2">
      <c r="A291" s="454" t="s">
        <v>790</v>
      </c>
      <c r="B291" s="452" t="str">
        <f>VLOOKUP(A291,'Danh mục hàng hóa'!$C$3:$D$643,2,0)</f>
        <v xml:space="preserve">Kẹp tóc bướm hồng </v>
      </c>
      <c r="C291" s="436" t="str">
        <f>VLOOKUP(A291,'Danh mục hàng hóa'!$C$3:$E$656,3,0)</f>
        <v>cái</v>
      </c>
      <c r="D291" s="437">
        <f>VLOOKUP(A291,'Danh mục hàng hóa'!$C$3:$M$656,6,0)</f>
        <v>40000</v>
      </c>
      <c r="E291" s="438">
        <v>1</v>
      </c>
      <c r="F291" s="439">
        <f t="shared" si="1"/>
        <v>40000</v>
      </c>
      <c r="G291" s="442"/>
      <c r="H291" s="448">
        <v>34540</v>
      </c>
    </row>
    <row r="292" spans="1:8" ht="13.2">
      <c r="A292" s="454" t="s">
        <v>788</v>
      </c>
      <c r="B292" s="452" t="str">
        <f>VLOOKUP(A292,'Danh mục hàng hóa'!$C$3:$D$643,2,0)</f>
        <v>Kẹp tóc bướm hồng phấn</v>
      </c>
      <c r="C292" s="436" t="str">
        <f>VLOOKUP(A292,'Danh mục hàng hóa'!$C$3:$E$656,3,0)</f>
        <v>cái</v>
      </c>
      <c r="D292" s="437">
        <f>VLOOKUP(A292,'Danh mục hàng hóa'!$C$3:$M$656,6,0)</f>
        <v>38000</v>
      </c>
      <c r="E292" s="438">
        <v>1</v>
      </c>
      <c r="F292" s="439">
        <f t="shared" si="1"/>
        <v>38000</v>
      </c>
      <c r="G292" s="442"/>
      <c r="H292" s="447">
        <v>93984</v>
      </c>
    </row>
    <row r="293" spans="1:8" ht="13.2">
      <c r="A293" s="454" t="s">
        <v>798</v>
      </c>
      <c r="B293" s="452" t="str">
        <f>VLOOKUP(A293,'Danh mục hàng hóa'!$C$3:$D$643,2,0)</f>
        <v>Kẹp tóc bướm trắng</v>
      </c>
      <c r="C293" s="436" t="str">
        <f>VLOOKUP(A293,'Danh mục hàng hóa'!$C$3:$E$656,3,0)</f>
        <v>cái</v>
      </c>
      <c r="D293" s="437">
        <f>VLOOKUP(A293,'Danh mục hàng hóa'!$C$3:$M$656,6,0)</f>
        <v>40000</v>
      </c>
      <c r="E293" s="438">
        <v>1</v>
      </c>
      <c r="F293" s="439">
        <f t="shared" si="1"/>
        <v>40000</v>
      </c>
      <c r="G293" s="442"/>
      <c r="H293" s="446"/>
    </row>
    <row r="294" spans="1:8" ht="13.2">
      <c r="A294" s="454" t="s">
        <v>796</v>
      </c>
      <c r="B294" s="452" t="str">
        <f>VLOOKUP(A294,'Danh mục hàng hóa'!$C$3:$D$643,2,0)</f>
        <v>Kẹp tóc bướm tím</v>
      </c>
      <c r="C294" s="436" t="str">
        <f>VLOOKUP(A294,'Danh mục hàng hóa'!$C$3:$E$656,3,0)</f>
        <v>cái</v>
      </c>
      <c r="D294" s="437">
        <f>VLOOKUP(A294,'Danh mục hàng hóa'!$C$3:$M$656,6,0)</f>
        <v>38000</v>
      </c>
      <c r="E294" s="438">
        <v>1</v>
      </c>
      <c r="F294" s="439">
        <f t="shared" si="1"/>
        <v>38000</v>
      </c>
      <c r="G294" s="442"/>
      <c r="H294" s="446"/>
    </row>
    <row r="295" spans="1:8" ht="13.2">
      <c r="A295" s="454" t="s">
        <v>893</v>
      </c>
      <c r="B295" s="452" t="str">
        <f>VLOOKUP(A295,'Danh mục hàng hóa'!$C$3:$D$643,2,0)</f>
        <v>Heo ú bay</v>
      </c>
      <c r="C295" s="436" t="str">
        <f>VLOOKUP(A295,'Danh mục hàng hóa'!$C$3:$E$656,3,0)</f>
        <v>cái</v>
      </c>
      <c r="D295" s="437">
        <f>VLOOKUP(A295,'Danh mục hàng hóa'!$C$3:$M$656,6,0)</f>
        <v>61275</v>
      </c>
      <c r="E295" s="438">
        <v>1</v>
      </c>
      <c r="F295" s="439">
        <f t="shared" si="1"/>
        <v>61275</v>
      </c>
      <c r="G295" s="442"/>
      <c r="H295" s="448">
        <v>47969</v>
      </c>
    </row>
    <row r="296" spans="1:8" ht="13.2">
      <c r="A296" s="454" t="s">
        <v>732</v>
      </c>
      <c r="B296" s="452" t="str">
        <f>VLOOKUP(A296,'Danh mục hàng hóa'!$C$3:$D$643,2,0)</f>
        <v>Kẹp tóc hoa sứ tím</v>
      </c>
      <c r="C296" s="436" t="str">
        <f>VLOOKUP(A296,'Danh mục hàng hóa'!$C$3:$E$656,3,0)</f>
        <v>cái</v>
      </c>
      <c r="D296" s="437">
        <f>VLOOKUP(A296,'Danh mục hàng hóa'!$C$3:$M$656,6,0)</f>
        <v>18500</v>
      </c>
      <c r="E296" s="438">
        <v>1</v>
      </c>
      <c r="F296" s="439">
        <f t="shared" si="1"/>
        <v>18500</v>
      </c>
      <c r="G296" s="442"/>
      <c r="H296" s="447">
        <v>26060</v>
      </c>
    </row>
    <row r="297" spans="1:8" ht="13.2">
      <c r="A297" s="454" t="s">
        <v>734</v>
      </c>
      <c r="B297" s="452" t="str">
        <f>VLOOKUP(A297,'Danh mục hàng hóa'!$C$3:$D$643,2,0)</f>
        <v>Kẹp tóc hoa sứ hồng</v>
      </c>
      <c r="C297" s="436" t="str">
        <f>VLOOKUP(A297,'Danh mục hàng hóa'!$C$3:$E$656,3,0)</f>
        <v>cái</v>
      </c>
      <c r="D297" s="437">
        <f>VLOOKUP(A297,'Danh mục hàng hóa'!$C$3:$M$656,6,0)</f>
        <v>18500</v>
      </c>
      <c r="E297" s="438">
        <v>1</v>
      </c>
      <c r="F297" s="439">
        <f t="shared" si="1"/>
        <v>18500</v>
      </c>
      <c r="G297" s="442"/>
      <c r="H297" s="446"/>
    </row>
    <row r="298" spans="1:8" ht="13.2">
      <c r="A298" s="454" t="s">
        <v>788</v>
      </c>
      <c r="B298" s="452" t="str">
        <f>VLOOKUP(A298,'Danh mục hàng hóa'!$C$3:$D$643,2,0)</f>
        <v>Kẹp tóc bướm hồng phấn</v>
      </c>
      <c r="C298" s="436" t="str">
        <f>VLOOKUP(A298,'Danh mục hàng hóa'!$C$3:$E$656,3,0)</f>
        <v>cái</v>
      </c>
      <c r="D298" s="437">
        <f>VLOOKUP(A298,'Danh mục hàng hóa'!$C$3:$M$656,6,0)</f>
        <v>38000</v>
      </c>
      <c r="E298" s="438">
        <v>1</v>
      </c>
      <c r="F298" s="439">
        <f t="shared" si="1"/>
        <v>38000</v>
      </c>
      <c r="G298" s="442"/>
      <c r="H298" s="447">
        <v>62640</v>
      </c>
    </row>
    <row r="299" spans="1:8" ht="13.2">
      <c r="A299" s="454" t="s">
        <v>792</v>
      </c>
      <c r="B299" s="452" t="str">
        <f>VLOOKUP(A299,'Danh mục hàng hóa'!$C$3:$D$643,2,0)</f>
        <v>Kẹp tóc bướm xanh ngọc</v>
      </c>
      <c r="C299" s="436" t="str">
        <f>VLOOKUP(A299,'Danh mục hàng hóa'!$C$3:$E$656,3,0)</f>
        <v>cái</v>
      </c>
      <c r="D299" s="437">
        <f>VLOOKUP(A299,'Danh mục hàng hóa'!$C$3:$M$656,6,0)</f>
        <v>38000</v>
      </c>
      <c r="E299" s="438">
        <v>1</v>
      </c>
      <c r="F299" s="439">
        <f t="shared" si="1"/>
        <v>38000</v>
      </c>
      <c r="G299" s="442"/>
      <c r="H299" s="446"/>
    </row>
    <row r="300" spans="1:8" ht="13.2">
      <c r="A300" s="454" t="s">
        <v>788</v>
      </c>
      <c r="B300" s="452" t="str">
        <f>VLOOKUP(A300,'Danh mục hàng hóa'!$C$3:$D$643,2,0)</f>
        <v>Kẹp tóc bướm hồng phấn</v>
      </c>
      <c r="C300" s="436" t="str">
        <f>VLOOKUP(A300,'Danh mục hàng hóa'!$C$3:$E$656,3,0)</f>
        <v>cái</v>
      </c>
      <c r="D300" s="437">
        <f>VLOOKUP(A300,'Danh mục hàng hóa'!$C$3:$M$656,6,0)</f>
        <v>38000</v>
      </c>
      <c r="E300" s="438">
        <v>1</v>
      </c>
      <c r="F300" s="439">
        <f t="shared" si="1"/>
        <v>38000</v>
      </c>
      <c r="G300" s="442"/>
      <c r="H300" s="447">
        <v>73860</v>
      </c>
    </row>
    <row r="301" spans="1:8" ht="13.2">
      <c r="A301" s="454" t="s">
        <v>819</v>
      </c>
      <c r="B301" s="452" t="str">
        <f>VLOOKUP(A301,'Danh mục hàng hóa'!$C$3:$D$643,2,0)</f>
        <v>Kẹp tóc bướm xanh trắng</v>
      </c>
      <c r="C301" s="436" t="str">
        <f>VLOOKUP(A301,'Danh mục hàng hóa'!$C$3:$E$656,3,0)</f>
        <v>cái</v>
      </c>
      <c r="D301" s="437">
        <f>VLOOKUP(A301,'Danh mục hàng hóa'!$C$3:$M$656,6,0)</f>
        <v>52000</v>
      </c>
      <c r="E301" s="438">
        <v>1</v>
      </c>
      <c r="F301" s="439">
        <f t="shared" si="1"/>
        <v>52000</v>
      </c>
      <c r="G301" s="442"/>
      <c r="H301" s="446"/>
    </row>
    <row r="302" spans="1:8" ht="13.2">
      <c r="A302" s="454" t="s">
        <v>819</v>
      </c>
      <c r="B302" s="452" t="str">
        <f>VLOOKUP(A302,'Danh mục hàng hóa'!$C$3:$D$643,2,0)</f>
        <v>Kẹp tóc bướm xanh trắng</v>
      </c>
      <c r="C302" s="436" t="str">
        <f>VLOOKUP(A302,'Danh mục hàng hóa'!$C$3:$E$656,3,0)</f>
        <v>cái</v>
      </c>
      <c r="D302" s="437">
        <f>VLOOKUP(A302,'Danh mục hàng hóa'!$C$3:$M$656,6,0)</f>
        <v>52000</v>
      </c>
      <c r="E302" s="438">
        <v>1</v>
      </c>
      <c r="F302" s="439">
        <f t="shared" si="1"/>
        <v>52000</v>
      </c>
      <c r="G302" s="442"/>
      <c r="H302" s="448">
        <v>41124</v>
      </c>
    </row>
    <row r="303" spans="1:8" ht="13.2">
      <c r="A303" s="454" t="s">
        <v>819</v>
      </c>
      <c r="B303" s="452" t="str">
        <f>VLOOKUP(A303,'Danh mục hàng hóa'!$C$3:$D$643,2,0)</f>
        <v>Kẹp tóc bướm xanh trắng</v>
      </c>
      <c r="C303" s="436" t="str">
        <f>VLOOKUP(A303,'Danh mục hàng hóa'!$C$3:$E$656,3,0)</f>
        <v>cái</v>
      </c>
      <c r="D303" s="437">
        <f>VLOOKUP(A303,'Danh mục hàng hóa'!$C$3:$M$656,6,0)</f>
        <v>52000</v>
      </c>
      <c r="E303" s="438">
        <v>1</v>
      </c>
      <c r="F303" s="439">
        <f t="shared" si="1"/>
        <v>52000</v>
      </c>
      <c r="G303" s="442"/>
      <c r="H303" s="448">
        <v>45420</v>
      </c>
    </row>
    <row r="304" spans="1:8" ht="13.2">
      <c r="A304" s="454" t="s">
        <v>821</v>
      </c>
      <c r="B304" s="452" t="str">
        <f>VLOOKUP(A304,'Danh mục hàng hóa'!$C$3:$D$643,2,0)</f>
        <v>Kẹp tóc bướm hồng loang xanh</v>
      </c>
      <c r="C304" s="436" t="str">
        <f>VLOOKUP(A304,'Danh mục hàng hóa'!$C$3:$E$656,3,0)</f>
        <v>cái</v>
      </c>
      <c r="D304" s="437">
        <f>VLOOKUP(A304,'Danh mục hàng hóa'!$C$3:$M$656,6,0)</f>
        <v>52000</v>
      </c>
      <c r="E304" s="438">
        <v>1</v>
      </c>
      <c r="F304" s="439">
        <f t="shared" si="1"/>
        <v>52000</v>
      </c>
      <c r="G304" s="442"/>
      <c r="H304" s="448">
        <v>49600</v>
      </c>
    </row>
    <row r="305" spans="1:8" ht="13.2">
      <c r="A305" s="454" t="s">
        <v>788</v>
      </c>
      <c r="B305" s="452" t="str">
        <f>VLOOKUP(A305,'Danh mục hàng hóa'!$C$3:$D$643,2,0)</f>
        <v>Kẹp tóc bướm hồng phấn</v>
      </c>
      <c r="C305" s="436" t="str">
        <f>VLOOKUP(A305,'Danh mục hàng hóa'!$C$3:$E$656,3,0)</f>
        <v>cái</v>
      </c>
      <c r="D305" s="437">
        <f>VLOOKUP(A305,'Danh mục hàng hóa'!$C$3:$M$656,6,0)</f>
        <v>38000</v>
      </c>
      <c r="E305" s="438">
        <v>1</v>
      </c>
      <c r="F305" s="439">
        <f t="shared" si="1"/>
        <v>38000</v>
      </c>
      <c r="G305" s="442"/>
      <c r="H305" s="447">
        <v>63060</v>
      </c>
    </row>
    <row r="306" spans="1:8" ht="13.2">
      <c r="A306" s="454" t="s">
        <v>798</v>
      </c>
      <c r="B306" s="452" t="str">
        <f>VLOOKUP(A306,'Danh mục hàng hóa'!$C$3:$D$643,2,0)</f>
        <v>Kẹp tóc bướm trắng</v>
      </c>
      <c r="C306" s="436" t="str">
        <f>VLOOKUP(A306,'Danh mục hàng hóa'!$C$3:$E$656,3,0)</f>
        <v>cái</v>
      </c>
      <c r="D306" s="437">
        <f>VLOOKUP(A306,'Danh mục hàng hóa'!$C$3:$M$656,6,0)</f>
        <v>40000</v>
      </c>
      <c r="E306" s="438">
        <v>1</v>
      </c>
      <c r="F306" s="439">
        <f t="shared" si="1"/>
        <v>40000</v>
      </c>
      <c r="G306" s="442"/>
      <c r="H306" s="446"/>
    </row>
    <row r="307" spans="1:8" ht="13.2">
      <c r="A307" s="454" t="s">
        <v>788</v>
      </c>
      <c r="B307" s="452" t="str">
        <f>VLOOKUP(A307,'Danh mục hàng hóa'!$C$3:$D$643,2,0)</f>
        <v>Kẹp tóc bướm hồng phấn</v>
      </c>
      <c r="C307" s="436" t="str">
        <f>VLOOKUP(A307,'Danh mục hàng hóa'!$C$3:$E$656,3,0)</f>
        <v>cái</v>
      </c>
      <c r="D307" s="437">
        <f>VLOOKUP(A307,'Danh mục hàng hóa'!$C$3:$M$656,6,0)</f>
        <v>38000</v>
      </c>
      <c r="E307" s="438">
        <v>1</v>
      </c>
      <c r="F307" s="439">
        <f t="shared" si="1"/>
        <v>38000</v>
      </c>
      <c r="G307" s="442"/>
      <c r="H307" s="448">
        <v>52480</v>
      </c>
    </row>
    <row r="308" spans="1:8" ht="13.2">
      <c r="A308" s="454" t="s">
        <v>788</v>
      </c>
      <c r="B308" s="452" t="str">
        <f>VLOOKUP(A308,'Danh mục hàng hóa'!$C$3:$D$643,2,0)</f>
        <v>Kẹp tóc bướm hồng phấn</v>
      </c>
      <c r="C308" s="436" t="str">
        <f>VLOOKUP(A308,'Danh mục hàng hóa'!$C$3:$E$656,3,0)</f>
        <v>cái</v>
      </c>
      <c r="D308" s="437">
        <f>VLOOKUP(A308,'Danh mục hàng hóa'!$C$3:$M$656,6,0)</f>
        <v>38000</v>
      </c>
      <c r="E308" s="438">
        <v>1</v>
      </c>
      <c r="F308" s="439">
        <f t="shared" si="1"/>
        <v>38000</v>
      </c>
      <c r="G308" s="442"/>
      <c r="H308" s="448">
        <v>35140</v>
      </c>
    </row>
    <row r="309" spans="1:8" ht="13.2">
      <c r="A309" s="454" t="s">
        <v>788</v>
      </c>
      <c r="B309" s="452" t="str">
        <f>VLOOKUP(A309,'Danh mục hàng hóa'!$C$3:$D$643,2,0)</f>
        <v>Kẹp tóc bướm hồng phấn</v>
      </c>
      <c r="C309" s="436" t="str">
        <f>VLOOKUP(A309,'Danh mục hàng hóa'!$C$3:$E$656,3,0)</f>
        <v>cái</v>
      </c>
      <c r="D309" s="437">
        <f>VLOOKUP(A309,'Danh mục hàng hóa'!$C$3:$M$656,6,0)</f>
        <v>38000</v>
      </c>
      <c r="E309" s="438">
        <v>1</v>
      </c>
      <c r="F309" s="439">
        <f t="shared" si="1"/>
        <v>38000</v>
      </c>
      <c r="G309" s="442"/>
      <c r="H309" s="447">
        <v>73580</v>
      </c>
    </row>
    <row r="310" spans="1:8" ht="13.2">
      <c r="A310" s="454" t="s">
        <v>821</v>
      </c>
      <c r="B310" s="452" t="str">
        <f>VLOOKUP(A310,'Danh mục hàng hóa'!$C$3:$D$643,2,0)</f>
        <v>Kẹp tóc bướm hồng loang xanh</v>
      </c>
      <c r="C310" s="436" t="str">
        <f>VLOOKUP(A310,'Danh mục hàng hóa'!$C$3:$E$656,3,0)</f>
        <v>cái</v>
      </c>
      <c r="D310" s="437">
        <f>VLOOKUP(A310,'Danh mục hàng hóa'!$C$3:$M$656,6,0)</f>
        <v>52000</v>
      </c>
      <c r="E310" s="438">
        <v>1</v>
      </c>
      <c r="F310" s="439">
        <f t="shared" si="1"/>
        <v>52000</v>
      </c>
      <c r="G310" s="442"/>
      <c r="H310" s="446"/>
    </row>
    <row r="311" spans="1:8" ht="13.2">
      <c r="A311" s="454" t="s">
        <v>788</v>
      </c>
      <c r="B311" s="452" t="str">
        <f>VLOOKUP(A311,'Danh mục hàng hóa'!$C$3:$D$643,2,0)</f>
        <v>Kẹp tóc bướm hồng phấn</v>
      </c>
      <c r="C311" s="436" t="str">
        <f>VLOOKUP(A311,'Danh mục hàng hóa'!$C$3:$E$656,3,0)</f>
        <v>cái</v>
      </c>
      <c r="D311" s="437">
        <f>VLOOKUP(A311,'Danh mục hàng hóa'!$C$3:$M$656,6,0)</f>
        <v>38000</v>
      </c>
      <c r="E311" s="438">
        <v>1</v>
      </c>
      <c r="F311" s="439">
        <f t="shared" si="1"/>
        <v>38000</v>
      </c>
      <c r="G311" s="442"/>
      <c r="H311" s="448">
        <v>34920</v>
      </c>
    </row>
    <row r="312" spans="1:8" ht="13.2">
      <c r="A312" s="454" t="s">
        <v>465</v>
      </c>
      <c r="B312" s="452" t="str">
        <f>VLOOKUP(A312,'Danh mục hàng hóa'!$C$3:$D$643,2,0)</f>
        <v>Cài áo kính vàng</v>
      </c>
      <c r="C312" s="436" t="str">
        <f>VLOOKUP(A312,'Danh mục hàng hóa'!$C$3:$E$656,3,0)</f>
        <v>cái</v>
      </c>
      <c r="D312" s="437">
        <f>VLOOKUP(A312,'Danh mục hàng hóa'!$C$3:$M$656,6,0)</f>
        <v>14000</v>
      </c>
      <c r="E312" s="438">
        <v>1</v>
      </c>
      <c r="F312" s="439">
        <f t="shared" si="1"/>
        <v>14000</v>
      </c>
      <c r="G312" s="442"/>
      <c r="H312" s="447">
        <v>45420</v>
      </c>
    </row>
    <row r="313" spans="1:8" ht="13.2">
      <c r="A313" s="454" t="s">
        <v>790</v>
      </c>
      <c r="B313" s="452" t="str">
        <f>VLOOKUP(A313,'Danh mục hàng hóa'!$C$3:$D$643,2,0)</f>
        <v xml:space="preserve">Kẹp tóc bướm hồng </v>
      </c>
      <c r="C313" s="436" t="str">
        <f>VLOOKUP(A313,'Danh mục hàng hóa'!$C$3:$E$656,3,0)</f>
        <v>cái</v>
      </c>
      <c r="D313" s="437">
        <f>VLOOKUP(A313,'Danh mục hàng hóa'!$C$3:$M$656,6,0)</f>
        <v>40000</v>
      </c>
      <c r="E313" s="438">
        <v>1</v>
      </c>
      <c r="F313" s="439">
        <f t="shared" si="1"/>
        <v>40000</v>
      </c>
      <c r="G313" s="442"/>
      <c r="H313" s="446"/>
    </row>
    <row r="314" spans="1:8" ht="13.2">
      <c r="A314" s="454" t="s">
        <v>794</v>
      </c>
      <c r="B314" s="452" t="str">
        <f>VLOOKUP(A314,'Danh mục hàng hóa'!$C$3:$D$643,2,0)</f>
        <v>Kẹp tóc bướm xanh tím</v>
      </c>
      <c r="C314" s="436" t="str">
        <f>VLOOKUP(A314,'Danh mục hàng hóa'!$C$3:$E$656,3,0)</f>
        <v>cái</v>
      </c>
      <c r="D314" s="437">
        <f>VLOOKUP(A314,'Danh mục hàng hóa'!$C$3:$M$656,6,0)</f>
        <v>40000</v>
      </c>
      <c r="E314" s="438">
        <v>1</v>
      </c>
      <c r="F314" s="439">
        <f t="shared" si="1"/>
        <v>40000</v>
      </c>
      <c r="G314" s="442"/>
      <c r="H314" s="447">
        <v>73860</v>
      </c>
    </row>
    <row r="315" spans="1:8" ht="13.2">
      <c r="A315" s="454" t="s">
        <v>821</v>
      </c>
      <c r="B315" s="452" t="str">
        <f>VLOOKUP(A315,'Danh mục hàng hóa'!$C$3:$D$643,2,0)</f>
        <v>Kẹp tóc bướm hồng loang xanh</v>
      </c>
      <c r="C315" s="436" t="str">
        <f>VLOOKUP(A315,'Danh mục hàng hóa'!$C$3:$E$656,3,0)</f>
        <v>cái</v>
      </c>
      <c r="D315" s="437">
        <f>VLOOKUP(A315,'Danh mục hàng hóa'!$C$3:$M$656,6,0)</f>
        <v>52000</v>
      </c>
      <c r="E315" s="438">
        <v>1</v>
      </c>
      <c r="F315" s="439">
        <f t="shared" si="1"/>
        <v>52000</v>
      </c>
      <c r="G315" s="442"/>
      <c r="H315" s="446"/>
    </row>
    <row r="316" spans="1:8" ht="13.2">
      <c r="A316" s="454" t="s">
        <v>893</v>
      </c>
      <c r="B316" s="452" t="str">
        <f>VLOOKUP(A316,'Danh mục hàng hóa'!$C$3:$D$643,2,0)</f>
        <v>Heo ú bay</v>
      </c>
      <c r="C316" s="436" t="str">
        <f>VLOOKUP(A316,'Danh mục hàng hóa'!$C$3:$E$656,3,0)</f>
        <v>cái</v>
      </c>
      <c r="D316" s="437">
        <f>VLOOKUP(A316,'Danh mục hàng hóa'!$C$3:$M$656,6,0)</f>
        <v>61275</v>
      </c>
      <c r="E316" s="438">
        <v>1</v>
      </c>
      <c r="F316" s="439">
        <f t="shared" si="1"/>
        <v>61275</v>
      </c>
      <c r="G316" s="442"/>
      <c r="H316" s="448">
        <v>47809</v>
      </c>
    </row>
    <row r="317" spans="1:8" ht="13.2">
      <c r="A317" s="454" t="s">
        <v>885</v>
      </c>
      <c r="B317" s="452" t="str">
        <f>VLOOKUP(A317,'Danh mục hàng hóa'!$C$3:$D$643,2,0)</f>
        <v>Gấu chong chóng</v>
      </c>
      <c r="C317" s="436" t="str">
        <f>VLOOKUP(A317,'Danh mục hàng hóa'!$C$3:$E$656,3,0)</f>
        <v>cái</v>
      </c>
      <c r="D317" s="437">
        <f>VLOOKUP(A317,'Danh mục hàng hóa'!$C$3:$M$656,6,0)</f>
        <v>56525</v>
      </c>
      <c r="E317" s="438">
        <v>1</v>
      </c>
      <c r="F317" s="439">
        <f t="shared" si="1"/>
        <v>56525</v>
      </c>
      <c r="G317" s="442"/>
      <c r="H317" s="448">
        <v>44107</v>
      </c>
    </row>
    <row r="318" spans="1:8" ht="13.2">
      <c r="A318" s="454" t="s">
        <v>798</v>
      </c>
      <c r="B318" s="452" t="str">
        <f>VLOOKUP(A318,'Danh mục hàng hóa'!$C$3:$D$643,2,0)</f>
        <v>Kẹp tóc bướm trắng</v>
      </c>
      <c r="C318" s="436" t="str">
        <f>VLOOKUP(A318,'Danh mục hàng hóa'!$C$3:$E$656,3,0)</f>
        <v>cái</v>
      </c>
      <c r="D318" s="437">
        <f>VLOOKUP(A318,'Danh mục hàng hóa'!$C$3:$M$656,6,0)</f>
        <v>40000</v>
      </c>
      <c r="E318" s="438">
        <v>1</v>
      </c>
      <c r="F318" s="439">
        <f t="shared" si="1"/>
        <v>40000</v>
      </c>
      <c r="G318" s="442"/>
      <c r="H318" s="448">
        <v>35140</v>
      </c>
    </row>
    <row r="319" spans="1:8" ht="13.2">
      <c r="A319" s="454" t="s">
        <v>796</v>
      </c>
      <c r="B319" s="452" t="str">
        <f>VLOOKUP(A319,'Danh mục hàng hóa'!$C$3:$D$643,2,0)</f>
        <v>Kẹp tóc bướm tím</v>
      </c>
      <c r="C319" s="436" t="str">
        <f>VLOOKUP(A319,'Danh mục hàng hóa'!$C$3:$E$656,3,0)</f>
        <v>cái</v>
      </c>
      <c r="D319" s="437">
        <f>VLOOKUP(A319,'Danh mục hàng hóa'!$C$3:$M$656,6,0)</f>
        <v>38000</v>
      </c>
      <c r="E319" s="438">
        <v>1</v>
      </c>
      <c r="F319" s="439">
        <f t="shared" si="1"/>
        <v>38000</v>
      </c>
      <c r="G319" s="442"/>
      <c r="H319" s="448">
        <v>42880</v>
      </c>
    </row>
    <row r="320" spans="1:8" ht="13.2">
      <c r="A320" s="454" t="s">
        <v>788</v>
      </c>
      <c r="B320" s="452" t="str">
        <f>VLOOKUP(A320,'Danh mục hàng hóa'!$C$3:$D$643,2,0)</f>
        <v>Kẹp tóc bướm hồng phấn</v>
      </c>
      <c r="C320" s="436" t="str">
        <f>VLOOKUP(A320,'Danh mục hàng hóa'!$C$3:$E$656,3,0)</f>
        <v>cái</v>
      </c>
      <c r="D320" s="437">
        <f>VLOOKUP(A320,'Danh mục hàng hóa'!$C$3:$M$656,6,0)</f>
        <v>38000</v>
      </c>
      <c r="E320" s="438">
        <v>1</v>
      </c>
      <c r="F320" s="439">
        <f t="shared" si="1"/>
        <v>38000</v>
      </c>
      <c r="G320" s="442"/>
      <c r="H320" s="447">
        <v>63220</v>
      </c>
    </row>
    <row r="321" spans="1:8" ht="13.2">
      <c r="A321" s="454" t="s">
        <v>798</v>
      </c>
      <c r="B321" s="452" t="str">
        <f>VLOOKUP(A321,'Danh mục hàng hóa'!$C$3:$D$643,2,0)</f>
        <v>Kẹp tóc bướm trắng</v>
      </c>
      <c r="C321" s="436" t="str">
        <f>VLOOKUP(A321,'Danh mục hàng hóa'!$C$3:$E$656,3,0)</f>
        <v>cái</v>
      </c>
      <c r="D321" s="437">
        <f>VLOOKUP(A321,'Danh mục hàng hóa'!$C$3:$M$656,6,0)</f>
        <v>40000</v>
      </c>
      <c r="E321" s="438">
        <v>1</v>
      </c>
      <c r="F321" s="439">
        <f t="shared" si="1"/>
        <v>40000</v>
      </c>
      <c r="G321" s="442"/>
      <c r="H321" s="446"/>
    </row>
    <row r="322" spans="1:8" ht="13.2">
      <c r="A322" s="454" t="s">
        <v>792</v>
      </c>
      <c r="B322" s="452" t="str">
        <f>VLOOKUP(A322,'Danh mục hàng hóa'!$C$3:$D$643,2,0)</f>
        <v>Kẹp tóc bướm xanh ngọc</v>
      </c>
      <c r="C322" s="436" t="str">
        <f>VLOOKUP(A322,'Danh mục hàng hóa'!$C$3:$E$656,3,0)</f>
        <v>cái</v>
      </c>
      <c r="D322" s="437">
        <f>VLOOKUP(A322,'Danh mục hàng hóa'!$C$3:$M$656,6,0)</f>
        <v>38000</v>
      </c>
      <c r="E322" s="438">
        <v>1</v>
      </c>
      <c r="F322" s="439">
        <f t="shared" si="1"/>
        <v>38000</v>
      </c>
      <c r="G322" s="442"/>
      <c r="H322" s="447">
        <v>59119</v>
      </c>
    </row>
    <row r="323" spans="1:8" ht="13.2">
      <c r="A323" s="454" t="s">
        <v>804</v>
      </c>
      <c r="B323" s="452" t="str">
        <f>VLOOKUP(A323,'Danh mục hàng hóa'!$C$3:$D$643,2,0)</f>
        <v>Kẹp tóc bướm tím</v>
      </c>
      <c r="C323" s="436" t="str">
        <f>VLOOKUP(A323,'Danh mục hàng hóa'!$C$3:$E$656,3,0)</f>
        <v>cái</v>
      </c>
      <c r="D323" s="437">
        <f>VLOOKUP(A323,'Danh mục hàng hóa'!$C$3:$M$656,6,0)</f>
        <v>15000</v>
      </c>
      <c r="E323" s="438">
        <v>1</v>
      </c>
      <c r="F323" s="439">
        <f t="shared" si="1"/>
        <v>15000</v>
      </c>
      <c r="G323" s="442"/>
      <c r="H323" s="446"/>
    </row>
    <row r="324" spans="1:8" ht="13.2">
      <c r="A324" s="454" t="s">
        <v>740</v>
      </c>
      <c r="B324" s="452" t="str">
        <f>VLOOKUP(A324,'Danh mục hàng hóa'!$C$3:$D$643,2,0)</f>
        <v>Kẹp tóc hoa sứ đỏ</v>
      </c>
      <c r="C324" s="436" t="str">
        <f>VLOOKUP(A324,'Danh mục hàng hóa'!$C$3:$E$656,3,0)</f>
        <v>cái</v>
      </c>
      <c r="D324" s="437">
        <f>VLOOKUP(A324,'Danh mục hàng hóa'!$C$3:$M$656,6,0)</f>
        <v>18500</v>
      </c>
      <c r="E324" s="438">
        <v>1</v>
      </c>
      <c r="F324" s="439">
        <f t="shared" si="1"/>
        <v>18500</v>
      </c>
      <c r="G324" s="442"/>
      <c r="H324" s="446"/>
    </row>
    <row r="325" spans="1:8" ht="13.2">
      <c r="A325" s="454" t="s">
        <v>895</v>
      </c>
      <c r="B325" s="452" t="str">
        <f>VLOOKUP(A325,'Danh mục hàng hóa'!$C$3:$D$643,2,0)</f>
        <v>Thỏ chong chóng</v>
      </c>
      <c r="C325" s="436" t="str">
        <f>VLOOKUP(A325,'Danh mục hàng hóa'!$C$3:$E$656,3,0)</f>
        <v>cái</v>
      </c>
      <c r="D325" s="437">
        <f>VLOOKUP(A325,'Danh mục hàng hóa'!$C$3:$M$656,6,0)</f>
        <v>54740</v>
      </c>
      <c r="E325" s="438">
        <v>1</v>
      </c>
      <c r="F325" s="439">
        <f t="shared" si="1"/>
        <v>54740</v>
      </c>
      <c r="G325" s="442"/>
      <c r="H325" s="447">
        <v>80067</v>
      </c>
    </row>
    <row r="326" spans="1:8" ht="13.2">
      <c r="A326" s="454" t="s">
        <v>915</v>
      </c>
      <c r="B326" s="452" t="str">
        <f>VLOOKUP(A326,'Danh mục hàng hóa'!$C$3:$D$643,2,0)</f>
        <v>Thỏ chạy xe gắn xe</v>
      </c>
      <c r="C326" s="436" t="str">
        <f>VLOOKUP(A326,'Danh mục hàng hóa'!$C$3:$E$656,3,0)</f>
        <v>cái</v>
      </c>
      <c r="D326" s="437">
        <f>VLOOKUP(A326,'Danh mục hàng hóa'!$C$3:$M$656,6,0)</f>
        <v>59340</v>
      </c>
      <c r="E326" s="438">
        <v>1</v>
      </c>
      <c r="F326" s="439">
        <f t="shared" si="1"/>
        <v>59340</v>
      </c>
      <c r="G326" s="442"/>
      <c r="H326" s="446"/>
    </row>
    <row r="327" spans="1:8" ht="13.2">
      <c r="A327" s="454" t="s">
        <v>887</v>
      </c>
      <c r="B327" s="452" t="str">
        <f>VLOOKUP(A327,'Danh mục hàng hóa'!$C$3:$D$643,2,0)</f>
        <v>Mèo chong chóng</v>
      </c>
      <c r="C327" s="436" t="str">
        <f>VLOOKUP(A327,'Danh mục hàng hóa'!$C$3:$E$656,3,0)</f>
        <v>cái</v>
      </c>
      <c r="D327" s="437">
        <f>VLOOKUP(A327,'Danh mục hàng hóa'!$C$3:$M$656,6,0)</f>
        <v>54740</v>
      </c>
      <c r="E327" s="438">
        <v>1</v>
      </c>
      <c r="F327" s="439">
        <f t="shared" si="1"/>
        <v>54740</v>
      </c>
      <c r="G327" s="442"/>
      <c r="H327" s="448">
        <v>44447</v>
      </c>
    </row>
    <row r="328" spans="1:8" ht="13.2">
      <c r="A328" s="454" t="s">
        <v>792</v>
      </c>
      <c r="B328" s="452" t="str">
        <f>VLOOKUP(A328,'Danh mục hàng hóa'!$C$3:$D$643,2,0)</f>
        <v>Kẹp tóc bướm xanh ngọc</v>
      </c>
      <c r="C328" s="436" t="str">
        <f>VLOOKUP(A328,'Danh mục hàng hóa'!$C$3:$E$656,3,0)</f>
        <v>cái</v>
      </c>
      <c r="D328" s="437">
        <f>VLOOKUP(A328,'Danh mục hàng hóa'!$C$3:$M$656,6,0)</f>
        <v>38000</v>
      </c>
      <c r="E328" s="438">
        <v>1</v>
      </c>
      <c r="F328" s="439">
        <f t="shared" si="1"/>
        <v>38000</v>
      </c>
      <c r="G328" s="442"/>
      <c r="H328" s="448">
        <v>34860</v>
      </c>
    </row>
    <row r="329" spans="1:8" ht="13.2">
      <c r="A329" s="454" t="s">
        <v>823</v>
      </c>
      <c r="B329" s="452" t="str">
        <f>VLOOKUP(A329,'Danh mục hàng hóa'!$C$3:$D$643,2,0)</f>
        <v>Kẹp tóc bướm xanh vàng</v>
      </c>
      <c r="C329" s="436" t="str">
        <f>VLOOKUP(A329,'Danh mục hàng hóa'!$C$3:$E$656,3,0)</f>
        <v>cái</v>
      </c>
      <c r="D329" s="437">
        <f>VLOOKUP(A329,'Danh mục hàng hóa'!$C$3:$M$656,6,0)</f>
        <v>52000</v>
      </c>
      <c r="E329" s="438">
        <v>1</v>
      </c>
      <c r="F329" s="439">
        <f t="shared" si="1"/>
        <v>52000</v>
      </c>
      <c r="G329" s="442"/>
      <c r="H329" s="447">
        <v>82308</v>
      </c>
    </row>
    <row r="330" spans="1:8" ht="13.2">
      <c r="A330" s="454" t="s">
        <v>821</v>
      </c>
      <c r="B330" s="452" t="str">
        <f>VLOOKUP(A330,'Danh mục hàng hóa'!$C$3:$D$643,2,0)</f>
        <v>Kẹp tóc bướm hồng loang xanh</v>
      </c>
      <c r="C330" s="436" t="str">
        <f>VLOOKUP(A330,'Danh mục hàng hóa'!$C$3:$E$656,3,0)</f>
        <v>cái</v>
      </c>
      <c r="D330" s="437">
        <f>VLOOKUP(A330,'Danh mục hàng hóa'!$C$3:$M$656,6,0)</f>
        <v>52000</v>
      </c>
      <c r="E330" s="438">
        <v>1</v>
      </c>
      <c r="F330" s="439">
        <f t="shared" si="1"/>
        <v>52000</v>
      </c>
      <c r="G330" s="442"/>
      <c r="H330" s="446"/>
    </row>
    <row r="331" spans="1:8" ht="13.2">
      <c r="A331" s="454" t="s">
        <v>788</v>
      </c>
      <c r="B331" s="452" t="str">
        <f>VLOOKUP(A331,'Danh mục hàng hóa'!$C$3:$D$643,2,0)</f>
        <v>Kẹp tóc bướm hồng phấn</v>
      </c>
      <c r="C331" s="436" t="str">
        <f>VLOOKUP(A331,'Danh mục hàng hóa'!$C$3:$E$656,3,0)</f>
        <v>cái</v>
      </c>
      <c r="D331" s="437">
        <f>VLOOKUP(A331,'Danh mục hàng hóa'!$C$3:$M$656,6,0)</f>
        <v>38000</v>
      </c>
      <c r="E331" s="438">
        <v>1</v>
      </c>
      <c r="F331" s="439">
        <f t="shared" si="1"/>
        <v>38000</v>
      </c>
      <c r="G331" s="442"/>
      <c r="H331" s="448">
        <v>35040</v>
      </c>
    </row>
    <row r="332" spans="1:8" ht="13.2">
      <c r="A332" s="454" t="s">
        <v>792</v>
      </c>
      <c r="B332" s="452" t="str">
        <f>VLOOKUP(A332,'Danh mục hàng hóa'!$C$3:$D$643,2,0)</f>
        <v>Kẹp tóc bướm xanh ngọc</v>
      </c>
      <c r="C332" s="436" t="str">
        <f>VLOOKUP(A332,'Danh mục hàng hóa'!$C$3:$E$656,3,0)</f>
        <v>cái</v>
      </c>
      <c r="D332" s="437">
        <f>VLOOKUP(A332,'Danh mục hàng hóa'!$C$3:$M$656,6,0)</f>
        <v>38000</v>
      </c>
      <c r="E332" s="438">
        <v>1</v>
      </c>
      <c r="F332" s="439">
        <f t="shared" si="1"/>
        <v>38000</v>
      </c>
      <c r="G332" s="442"/>
      <c r="H332" s="448">
        <v>52480</v>
      </c>
    </row>
    <row r="333" spans="1:8" ht="13.2">
      <c r="A333" s="454" t="s">
        <v>788</v>
      </c>
      <c r="B333" s="452" t="str">
        <f>VLOOKUP(A333,'Danh mục hàng hóa'!$C$3:$D$643,2,0)</f>
        <v>Kẹp tóc bướm hồng phấn</v>
      </c>
      <c r="C333" s="436" t="str">
        <f>VLOOKUP(A333,'Danh mục hàng hóa'!$C$3:$E$656,3,0)</f>
        <v>cái</v>
      </c>
      <c r="D333" s="437">
        <f>VLOOKUP(A333,'Danh mục hàng hóa'!$C$3:$M$656,6,0)</f>
        <v>38000</v>
      </c>
      <c r="E333" s="438">
        <v>1</v>
      </c>
      <c r="F333" s="439">
        <f t="shared" si="1"/>
        <v>38000</v>
      </c>
      <c r="G333" s="442"/>
      <c r="H333" s="448">
        <v>39040</v>
      </c>
    </row>
    <row r="334" spans="1:8" ht="13.2">
      <c r="A334" s="454" t="s">
        <v>788</v>
      </c>
      <c r="B334" s="452" t="str">
        <f>VLOOKUP(A334,'Danh mục hàng hóa'!$C$3:$D$643,2,0)</f>
        <v>Kẹp tóc bướm hồng phấn</v>
      </c>
      <c r="C334" s="436" t="str">
        <f>VLOOKUP(A334,'Danh mục hàng hóa'!$C$3:$E$656,3,0)</f>
        <v>cái</v>
      </c>
      <c r="D334" s="437">
        <f>VLOOKUP(A334,'Danh mục hàng hóa'!$C$3:$M$656,6,0)</f>
        <v>38000</v>
      </c>
      <c r="E334" s="438">
        <v>1</v>
      </c>
      <c r="F334" s="439">
        <f t="shared" si="1"/>
        <v>38000</v>
      </c>
      <c r="G334" s="442"/>
      <c r="H334" s="447">
        <v>63300</v>
      </c>
    </row>
    <row r="335" spans="1:8" ht="13.2">
      <c r="A335" s="454" t="s">
        <v>790</v>
      </c>
      <c r="B335" s="452" t="str">
        <f>VLOOKUP(A335,'Danh mục hàng hóa'!$C$3:$D$643,2,0)</f>
        <v xml:space="preserve">Kẹp tóc bướm hồng </v>
      </c>
      <c r="C335" s="436" t="str">
        <f>VLOOKUP(A335,'Danh mục hàng hóa'!$C$3:$E$656,3,0)</f>
        <v>cái</v>
      </c>
      <c r="D335" s="437">
        <f>VLOOKUP(A335,'Danh mục hàng hóa'!$C$3:$M$656,6,0)</f>
        <v>40000</v>
      </c>
      <c r="E335" s="438">
        <v>1</v>
      </c>
      <c r="F335" s="439">
        <f t="shared" si="1"/>
        <v>40000</v>
      </c>
      <c r="G335" s="442"/>
      <c r="H335" s="446"/>
    </row>
    <row r="336" spans="1:8" ht="13.2">
      <c r="A336" s="454" t="s">
        <v>788</v>
      </c>
      <c r="B336" s="452" t="str">
        <f>VLOOKUP(A336,'Danh mục hàng hóa'!$C$3:$D$643,2,0)</f>
        <v>Kẹp tóc bướm hồng phấn</v>
      </c>
      <c r="C336" s="436" t="str">
        <f>VLOOKUP(A336,'Danh mục hàng hóa'!$C$3:$E$656,3,0)</f>
        <v>cái</v>
      </c>
      <c r="D336" s="437">
        <f>VLOOKUP(A336,'Danh mục hàng hóa'!$C$3:$M$656,6,0)</f>
        <v>38000</v>
      </c>
      <c r="E336" s="438">
        <v>1</v>
      </c>
      <c r="F336" s="439">
        <f t="shared" si="1"/>
        <v>38000</v>
      </c>
      <c r="G336" s="442"/>
      <c r="H336" s="447">
        <v>73620</v>
      </c>
    </row>
    <row r="337" spans="1:8" ht="13.2">
      <c r="A337" s="454" t="s">
        <v>819</v>
      </c>
      <c r="B337" s="452" t="str">
        <f>VLOOKUP(A337,'Danh mục hàng hóa'!$C$3:$D$643,2,0)</f>
        <v>Kẹp tóc bướm xanh trắng</v>
      </c>
      <c r="C337" s="436" t="str">
        <f>VLOOKUP(A337,'Danh mục hàng hóa'!$C$3:$E$656,3,0)</f>
        <v>cái</v>
      </c>
      <c r="D337" s="437">
        <f>VLOOKUP(A337,'Danh mục hàng hóa'!$C$3:$M$656,6,0)</f>
        <v>52000</v>
      </c>
      <c r="E337" s="438">
        <v>1</v>
      </c>
      <c r="F337" s="439">
        <f t="shared" si="1"/>
        <v>52000</v>
      </c>
      <c r="G337" s="442"/>
      <c r="H337" s="446"/>
    </row>
    <row r="338" spans="1:8" ht="13.2">
      <c r="A338" s="454" t="s">
        <v>792</v>
      </c>
      <c r="B338" s="452" t="str">
        <f>VLOOKUP(A338,'Danh mục hàng hóa'!$C$3:$D$643,2,0)</f>
        <v>Kẹp tóc bướm xanh ngọc</v>
      </c>
      <c r="C338" s="436" t="str">
        <f>VLOOKUP(A338,'Danh mục hàng hóa'!$C$3:$E$656,3,0)</f>
        <v>cái</v>
      </c>
      <c r="D338" s="437">
        <f>VLOOKUP(A338,'Danh mục hàng hóa'!$C$3:$M$656,6,0)</f>
        <v>38000</v>
      </c>
      <c r="E338" s="438">
        <v>1</v>
      </c>
      <c r="F338" s="439">
        <f t="shared" si="1"/>
        <v>38000</v>
      </c>
      <c r="G338" s="442"/>
      <c r="H338" s="447">
        <v>-56500</v>
      </c>
    </row>
    <row r="339" spans="1:8" ht="13.2">
      <c r="A339" s="454" t="s">
        <v>732</v>
      </c>
      <c r="B339" s="452" t="str">
        <f>VLOOKUP(A339,'Danh mục hàng hóa'!$C$3:$D$643,2,0)</f>
        <v>Kẹp tóc hoa sứ tím</v>
      </c>
      <c r="C339" s="436" t="str">
        <f>VLOOKUP(A339,'Danh mục hàng hóa'!$C$3:$E$656,3,0)</f>
        <v>cái</v>
      </c>
      <c r="D339" s="437">
        <f>VLOOKUP(A339,'Danh mục hàng hóa'!$C$3:$M$656,6,0)</f>
        <v>18500</v>
      </c>
      <c r="E339" s="438">
        <v>1</v>
      </c>
      <c r="F339" s="439">
        <f t="shared" si="1"/>
        <v>18500</v>
      </c>
      <c r="G339" s="442"/>
      <c r="H339" s="446"/>
    </row>
    <row r="340" spans="1:8" ht="13.2">
      <c r="A340" s="454" t="s">
        <v>800</v>
      </c>
      <c r="B340" s="452" t="str">
        <f>VLOOKUP(A340,'Danh mục hàng hóa'!$C$3:$D$643,2,0)</f>
        <v>Kẹp tóc bướm kem</v>
      </c>
      <c r="C340" s="436" t="str">
        <f>VLOOKUP(A340,'Danh mục hàng hóa'!$C$3:$E$656,3,0)</f>
        <v>cái</v>
      </c>
      <c r="D340" s="437">
        <f>VLOOKUP(A340,'Danh mục hàng hóa'!$C$3:$M$656,6,0)</f>
        <v>38000</v>
      </c>
      <c r="E340" s="438">
        <v>1</v>
      </c>
      <c r="F340" s="439">
        <f t="shared" si="1"/>
        <v>38000</v>
      </c>
      <c r="G340" s="442"/>
      <c r="H340" s="448">
        <v>-38000</v>
      </c>
    </row>
    <row r="341" spans="1:8" ht="13.2">
      <c r="A341" s="454" t="s">
        <v>798</v>
      </c>
      <c r="B341" s="452" t="str">
        <f>VLOOKUP(A341,'Danh mục hàng hóa'!$C$3:$D$643,2,0)</f>
        <v>Kẹp tóc bướm trắng</v>
      </c>
      <c r="C341" s="436" t="str">
        <f>VLOOKUP(A341,'Danh mục hàng hóa'!$C$3:$E$656,3,0)</f>
        <v>cái</v>
      </c>
      <c r="D341" s="437">
        <f>VLOOKUP(A341,'Danh mục hàng hóa'!$C$3:$M$656,6,0)</f>
        <v>40000</v>
      </c>
      <c r="E341" s="438">
        <v>1</v>
      </c>
      <c r="F341" s="439">
        <f t="shared" si="1"/>
        <v>40000</v>
      </c>
      <c r="G341" s="442"/>
      <c r="H341" s="448">
        <v>35200</v>
      </c>
    </row>
    <row r="342" spans="1:8" ht="13.2">
      <c r="A342" s="454" t="s">
        <v>819</v>
      </c>
      <c r="B342" s="452" t="str">
        <f>VLOOKUP(A342,'Danh mục hàng hóa'!$C$3:$D$643,2,0)</f>
        <v>Kẹp tóc bướm xanh trắng</v>
      </c>
      <c r="C342" s="436" t="str">
        <f>VLOOKUP(A342,'Danh mục hàng hóa'!$C$3:$E$656,3,0)</f>
        <v>cái</v>
      </c>
      <c r="D342" s="437">
        <f>VLOOKUP(A342,'Danh mục hàng hóa'!$C$3:$M$656,6,0)</f>
        <v>52000</v>
      </c>
      <c r="E342" s="438">
        <v>1</v>
      </c>
      <c r="F342" s="439">
        <f t="shared" si="1"/>
        <v>52000</v>
      </c>
      <c r="G342" s="442"/>
      <c r="H342" s="448">
        <v>52000</v>
      </c>
    </row>
    <row r="343" spans="1:8" ht="13.2">
      <c r="A343" s="454" t="s">
        <v>917</v>
      </c>
      <c r="B343" s="452" t="str">
        <f>VLOOKUP(A343,'Danh mục hàng hóa'!$C$3:$D$643,2,0)</f>
        <v>Thỏ đi vịt gắn xe</v>
      </c>
      <c r="C343" s="436" t="str">
        <f>VLOOKUP(A343,'Danh mục hàng hóa'!$C$3:$E$656,3,0)</f>
        <v>cái</v>
      </c>
      <c r="D343" s="437">
        <f>VLOOKUP(A343,'Danh mục hàng hóa'!$C$3:$M$656,6,0)</f>
        <v>45000</v>
      </c>
      <c r="E343" s="438">
        <v>1</v>
      </c>
      <c r="F343" s="439">
        <f t="shared" si="1"/>
        <v>45000</v>
      </c>
      <c r="G343" s="442"/>
      <c r="H343" s="447">
        <v>106920</v>
      </c>
    </row>
    <row r="344" spans="1:8" ht="13.2">
      <c r="A344" s="454" t="s">
        <v>915</v>
      </c>
      <c r="B344" s="452" t="str">
        <f>VLOOKUP(A344,'Danh mục hàng hóa'!$C$3:$D$643,2,0)</f>
        <v>Thỏ chạy xe gắn xe</v>
      </c>
      <c r="C344" s="436" t="str">
        <f>VLOOKUP(A344,'Danh mục hàng hóa'!$C$3:$E$656,3,0)</f>
        <v>cái</v>
      </c>
      <c r="D344" s="437">
        <f>VLOOKUP(A344,'Danh mục hàng hóa'!$C$3:$M$656,6,0)</f>
        <v>59340</v>
      </c>
      <c r="E344" s="438">
        <v>1</v>
      </c>
      <c r="F344" s="439">
        <f t="shared" si="1"/>
        <v>59340</v>
      </c>
      <c r="G344" s="442"/>
      <c r="H344" s="446"/>
    </row>
    <row r="345" spans="1:8" ht="13.2">
      <c r="A345" s="454" t="s">
        <v>907</v>
      </c>
      <c r="B345" s="452" t="str">
        <f>VLOOKUP(A345,'Danh mục hàng hóa'!$C$3:$D$643,2,0)</f>
        <v>Cáo gắn xe</v>
      </c>
      <c r="C345" s="436" t="str">
        <f>VLOOKUP(A345,'Danh mục hàng hóa'!$C$3:$E$656,3,0)</f>
        <v>cái</v>
      </c>
      <c r="D345" s="437">
        <f>VLOOKUP(A345,'Danh mục hàng hóa'!$C$3:$M$656,6,0)</f>
        <v>59340</v>
      </c>
      <c r="E345" s="438">
        <v>1</v>
      </c>
      <c r="F345" s="439">
        <f t="shared" si="1"/>
        <v>59340</v>
      </c>
      <c r="G345" s="442"/>
      <c r="H345" s="446"/>
    </row>
    <row r="346" spans="1:8" ht="13.2">
      <c r="A346" s="454" t="s">
        <v>821</v>
      </c>
      <c r="B346" s="452" t="str">
        <f>VLOOKUP(A346,'Danh mục hàng hóa'!$C$3:$D$643,2,0)</f>
        <v>Kẹp tóc bướm hồng loang xanh</v>
      </c>
      <c r="C346" s="436" t="str">
        <f>VLOOKUP(A346,'Danh mục hàng hóa'!$C$3:$E$656,3,0)</f>
        <v>cái</v>
      </c>
      <c r="D346" s="437">
        <f>VLOOKUP(A346,'Danh mục hàng hóa'!$C$3:$M$656,6,0)</f>
        <v>52000</v>
      </c>
      <c r="E346" s="438">
        <v>1</v>
      </c>
      <c r="F346" s="439">
        <f t="shared" si="1"/>
        <v>52000</v>
      </c>
      <c r="G346" s="442"/>
      <c r="H346" s="448">
        <v>45700</v>
      </c>
    </row>
    <row r="347" spans="1:8" ht="13.2">
      <c r="A347" s="454" t="s">
        <v>893</v>
      </c>
      <c r="B347" s="452" t="str">
        <f>VLOOKUP(A347,'Danh mục hàng hóa'!$C$3:$D$643,2,0)</f>
        <v>Heo ú bay</v>
      </c>
      <c r="C347" s="436" t="str">
        <f>VLOOKUP(A347,'Danh mục hàng hóa'!$C$3:$E$656,3,0)</f>
        <v>cái</v>
      </c>
      <c r="D347" s="437">
        <f>VLOOKUP(A347,'Danh mục hàng hóa'!$C$3:$M$656,6,0)</f>
        <v>61275</v>
      </c>
      <c r="E347" s="438">
        <v>1</v>
      </c>
      <c r="F347" s="439">
        <f t="shared" si="1"/>
        <v>61275</v>
      </c>
      <c r="G347" s="442"/>
      <c r="H347" s="448">
        <v>44767</v>
      </c>
    </row>
    <row r="348" spans="1:8" ht="13.2">
      <c r="A348" s="454" t="s">
        <v>819</v>
      </c>
      <c r="B348" s="452" t="str">
        <f>VLOOKUP(A348,'Danh mục hàng hóa'!$C$3:$D$643,2,0)</f>
        <v>Kẹp tóc bướm xanh trắng</v>
      </c>
      <c r="C348" s="436" t="str">
        <f>VLOOKUP(A348,'Danh mục hàng hóa'!$C$3:$E$656,3,0)</f>
        <v>cái</v>
      </c>
      <c r="D348" s="437">
        <f>VLOOKUP(A348,'Danh mục hàng hóa'!$C$3:$M$656,6,0)</f>
        <v>52000</v>
      </c>
      <c r="E348" s="438">
        <v>1</v>
      </c>
      <c r="F348" s="439">
        <f t="shared" si="1"/>
        <v>52000</v>
      </c>
      <c r="G348" s="442"/>
      <c r="H348" s="448">
        <v>45460</v>
      </c>
    </row>
    <row r="349" spans="1:8" ht="13.2">
      <c r="A349" s="454" t="s">
        <v>796</v>
      </c>
      <c r="B349" s="452" t="str">
        <f>VLOOKUP(A349,'Danh mục hàng hóa'!$C$3:$D$643,2,0)</f>
        <v>Kẹp tóc bướm tím</v>
      </c>
      <c r="C349" s="436" t="str">
        <f>VLOOKUP(A349,'Danh mục hàng hóa'!$C$3:$E$656,3,0)</f>
        <v>cái</v>
      </c>
      <c r="D349" s="437">
        <f>VLOOKUP(A349,'Danh mục hàng hóa'!$C$3:$M$656,6,0)</f>
        <v>38000</v>
      </c>
      <c r="E349" s="438">
        <v>1</v>
      </c>
      <c r="F349" s="439">
        <f t="shared" si="1"/>
        <v>38000</v>
      </c>
      <c r="G349" s="442"/>
      <c r="H349" s="448">
        <v>34440</v>
      </c>
    </row>
    <row r="350" spans="1:8" ht="13.2">
      <c r="A350" s="454" t="s">
        <v>547</v>
      </c>
      <c r="B350" s="452" t="str">
        <f>VLOOKUP(A350,'Danh mục hàng hóa'!$C$3:$D$643,2,0)</f>
        <v>Kẹp tóc kim loại vỏ sò</v>
      </c>
      <c r="C350" s="436" t="str">
        <f>VLOOKUP(A350,'Danh mục hàng hóa'!$C$3:$E$656,3,0)</f>
        <v>cái</v>
      </c>
      <c r="D350" s="437">
        <f>VLOOKUP(A350,'Danh mục hàng hóa'!$C$3:$M$656,6,0)</f>
        <v>14127.400000000001</v>
      </c>
      <c r="E350" s="438">
        <v>1</v>
      </c>
      <c r="F350" s="439">
        <f t="shared" si="1"/>
        <v>14127.400000000001</v>
      </c>
      <c r="G350" s="442"/>
      <c r="H350" s="447">
        <v>55696</v>
      </c>
    </row>
    <row r="351" spans="1:8" ht="13.2">
      <c r="A351" s="454" t="s">
        <v>736</v>
      </c>
      <c r="B351" s="452" t="str">
        <f>VLOOKUP(A351,'Danh mục hàng hóa'!$C$3:$D$643,2,0)</f>
        <v>Kẹp tóc hoa sứ vàng</v>
      </c>
      <c r="C351" s="436" t="str">
        <f>VLOOKUP(A351,'Danh mục hàng hóa'!$C$3:$E$656,3,0)</f>
        <v>cái</v>
      </c>
      <c r="D351" s="437">
        <f>VLOOKUP(A351,'Danh mục hàng hóa'!$C$3:$M$656,6,0)</f>
        <v>18500</v>
      </c>
      <c r="E351" s="438">
        <v>1</v>
      </c>
      <c r="F351" s="439">
        <f t="shared" si="1"/>
        <v>18500</v>
      </c>
      <c r="G351" s="442"/>
      <c r="H351" s="446"/>
    </row>
    <row r="352" spans="1:8" ht="13.2">
      <c r="A352" s="454" t="s">
        <v>740</v>
      </c>
      <c r="B352" s="452" t="str">
        <f>VLOOKUP(A352,'Danh mục hàng hóa'!$C$3:$D$643,2,0)</f>
        <v>Kẹp tóc hoa sứ đỏ</v>
      </c>
      <c r="C352" s="436" t="str">
        <f>VLOOKUP(A352,'Danh mục hàng hóa'!$C$3:$E$656,3,0)</f>
        <v>cái</v>
      </c>
      <c r="D352" s="437">
        <f>VLOOKUP(A352,'Danh mục hàng hóa'!$C$3:$M$656,6,0)</f>
        <v>18500</v>
      </c>
      <c r="E352" s="438">
        <v>1</v>
      </c>
      <c r="F352" s="439">
        <f t="shared" si="1"/>
        <v>18500</v>
      </c>
      <c r="G352" s="442"/>
      <c r="H352" s="446"/>
    </row>
    <row r="353" spans="1:8" ht="13.2">
      <c r="A353" s="454" t="s">
        <v>732</v>
      </c>
      <c r="B353" s="452" t="str">
        <f>VLOOKUP(A353,'Danh mục hàng hóa'!$C$3:$D$643,2,0)</f>
        <v>Kẹp tóc hoa sứ tím</v>
      </c>
      <c r="C353" s="436" t="str">
        <f>VLOOKUP(A353,'Danh mục hàng hóa'!$C$3:$E$656,3,0)</f>
        <v>cái</v>
      </c>
      <c r="D353" s="437">
        <f>VLOOKUP(A353,'Danh mục hàng hóa'!$C$3:$M$656,6,0)</f>
        <v>18500</v>
      </c>
      <c r="E353" s="438">
        <v>1</v>
      </c>
      <c r="F353" s="439">
        <f t="shared" si="1"/>
        <v>18500</v>
      </c>
      <c r="G353" s="442"/>
      <c r="H353" s="446"/>
    </row>
    <row r="354" spans="1:8" ht="13.2">
      <c r="A354" s="454" t="s">
        <v>792</v>
      </c>
      <c r="B354" s="452" t="str">
        <f>VLOOKUP(A354,'Danh mục hàng hóa'!$C$3:$D$643,2,0)</f>
        <v>Kẹp tóc bướm xanh ngọc</v>
      </c>
      <c r="C354" s="436" t="str">
        <f>VLOOKUP(A354,'Danh mục hàng hóa'!$C$3:$E$656,3,0)</f>
        <v>cái</v>
      </c>
      <c r="D354" s="437">
        <f>VLOOKUP(A354,'Danh mục hàng hóa'!$C$3:$M$656,6,0)</f>
        <v>38000</v>
      </c>
      <c r="E354" s="438">
        <v>1</v>
      </c>
      <c r="F354" s="439">
        <f t="shared" si="1"/>
        <v>38000</v>
      </c>
      <c r="G354" s="442"/>
      <c r="H354" s="447">
        <v>63060</v>
      </c>
    </row>
    <row r="355" spans="1:8" ht="13.2">
      <c r="A355" s="454" t="s">
        <v>796</v>
      </c>
      <c r="B355" s="452" t="str">
        <f>VLOOKUP(A355,'Danh mục hàng hóa'!$C$3:$D$643,2,0)</f>
        <v>Kẹp tóc bướm tím</v>
      </c>
      <c r="C355" s="436" t="str">
        <f>VLOOKUP(A355,'Danh mục hàng hóa'!$C$3:$E$656,3,0)</f>
        <v>cái</v>
      </c>
      <c r="D355" s="437">
        <f>VLOOKUP(A355,'Danh mục hàng hóa'!$C$3:$M$656,6,0)</f>
        <v>38000</v>
      </c>
      <c r="E355" s="438">
        <v>1</v>
      </c>
      <c r="F355" s="439">
        <f t="shared" si="1"/>
        <v>38000</v>
      </c>
      <c r="G355" s="442"/>
      <c r="H355" s="446"/>
    </row>
    <row r="356" spans="1:8" ht="13.2">
      <c r="A356" s="454" t="s">
        <v>788</v>
      </c>
      <c r="B356" s="452" t="str">
        <f>VLOOKUP(A356,'Danh mục hàng hóa'!$C$3:$D$643,2,0)</f>
        <v>Kẹp tóc bướm hồng phấn</v>
      </c>
      <c r="C356" s="436" t="str">
        <f>VLOOKUP(A356,'Danh mục hàng hóa'!$C$3:$E$656,3,0)</f>
        <v>cái</v>
      </c>
      <c r="D356" s="437">
        <f>VLOOKUP(A356,'Danh mục hàng hóa'!$C$3:$M$656,6,0)</f>
        <v>38000</v>
      </c>
      <c r="E356" s="438">
        <v>1</v>
      </c>
      <c r="F356" s="439">
        <f t="shared" si="1"/>
        <v>38000</v>
      </c>
      <c r="G356" s="442"/>
      <c r="H356" s="447">
        <v>63360</v>
      </c>
    </row>
    <row r="357" spans="1:8" ht="13.2">
      <c r="A357" s="454" t="s">
        <v>798</v>
      </c>
      <c r="B357" s="452" t="str">
        <f>VLOOKUP(A357,'Danh mục hàng hóa'!$C$3:$D$643,2,0)</f>
        <v>Kẹp tóc bướm trắng</v>
      </c>
      <c r="C357" s="436" t="str">
        <f>VLOOKUP(A357,'Danh mục hàng hóa'!$C$3:$E$656,3,0)</f>
        <v>cái</v>
      </c>
      <c r="D357" s="437">
        <f>VLOOKUP(A357,'Danh mục hàng hóa'!$C$3:$M$656,6,0)</f>
        <v>40000</v>
      </c>
      <c r="E357" s="438">
        <v>1</v>
      </c>
      <c r="F357" s="439">
        <f t="shared" si="1"/>
        <v>40000</v>
      </c>
      <c r="G357" s="442"/>
      <c r="H357" s="446"/>
    </row>
    <row r="358" spans="1:8" ht="13.2">
      <c r="A358" s="454" t="s">
        <v>819</v>
      </c>
      <c r="B358" s="452" t="str">
        <f>VLOOKUP(A358,'Danh mục hàng hóa'!$C$3:$D$643,2,0)</f>
        <v>Kẹp tóc bướm xanh trắng</v>
      </c>
      <c r="C358" s="436" t="str">
        <f>VLOOKUP(A358,'Danh mục hàng hóa'!$C$3:$E$656,3,0)</f>
        <v>cái</v>
      </c>
      <c r="D358" s="437">
        <f>VLOOKUP(A358,'Danh mục hàng hóa'!$C$3:$M$656,6,0)</f>
        <v>52000</v>
      </c>
      <c r="E358" s="438">
        <v>1</v>
      </c>
      <c r="F358" s="439">
        <f t="shared" si="1"/>
        <v>52000</v>
      </c>
      <c r="G358" s="442"/>
      <c r="H358" s="448">
        <v>40484</v>
      </c>
    </row>
    <row r="359" spans="1:8" ht="13.2">
      <c r="A359" s="454" t="s">
        <v>798</v>
      </c>
      <c r="B359" s="452" t="str">
        <f>VLOOKUP(A359,'Danh mục hàng hóa'!$C$3:$D$643,2,0)</f>
        <v>Kẹp tóc bướm trắng</v>
      </c>
      <c r="C359" s="436" t="str">
        <f>VLOOKUP(A359,'Danh mục hàng hóa'!$C$3:$E$656,3,0)</f>
        <v>cái</v>
      </c>
      <c r="D359" s="437">
        <f>VLOOKUP(A359,'Danh mục hàng hóa'!$C$3:$M$656,6,0)</f>
        <v>40000</v>
      </c>
      <c r="E359" s="438">
        <v>1</v>
      </c>
      <c r="F359" s="439">
        <f t="shared" si="1"/>
        <v>40000</v>
      </c>
      <c r="G359" s="442"/>
      <c r="H359" s="448">
        <v>35200</v>
      </c>
    </row>
    <row r="360" spans="1:8" ht="13.2">
      <c r="A360" s="454" t="s">
        <v>821</v>
      </c>
      <c r="B360" s="452" t="str">
        <f>VLOOKUP(A360,'Danh mục hàng hóa'!$C$3:$D$643,2,0)</f>
        <v>Kẹp tóc bướm hồng loang xanh</v>
      </c>
      <c r="C360" s="436" t="str">
        <f>VLOOKUP(A360,'Danh mục hàng hóa'!$C$3:$E$656,3,0)</f>
        <v>cái</v>
      </c>
      <c r="D360" s="437">
        <f>VLOOKUP(A360,'Danh mục hàng hóa'!$C$3:$M$656,6,0)</f>
        <v>52000</v>
      </c>
      <c r="E360" s="438">
        <v>1</v>
      </c>
      <c r="F360" s="439">
        <f t="shared" si="1"/>
        <v>52000</v>
      </c>
      <c r="G360" s="442"/>
      <c r="H360" s="448">
        <v>45640</v>
      </c>
    </row>
    <row r="361" spans="1:8" ht="13.2">
      <c r="A361" s="454" t="s">
        <v>740</v>
      </c>
      <c r="B361" s="452" t="str">
        <f>VLOOKUP(A361,'Danh mục hàng hóa'!$C$3:$D$643,2,0)</f>
        <v>Kẹp tóc hoa sứ đỏ</v>
      </c>
      <c r="C361" s="436" t="str">
        <f>VLOOKUP(A361,'Danh mục hàng hóa'!$C$3:$E$656,3,0)</f>
        <v>cái</v>
      </c>
      <c r="D361" s="437">
        <f>VLOOKUP(A361,'Danh mục hàng hóa'!$C$3:$M$656,6,0)</f>
        <v>18500</v>
      </c>
      <c r="E361" s="438">
        <v>1</v>
      </c>
      <c r="F361" s="439">
        <f t="shared" si="1"/>
        <v>18500</v>
      </c>
      <c r="G361" s="442"/>
      <c r="H361" s="448">
        <v>16220</v>
      </c>
    </row>
    <row r="362" spans="1:8" ht="13.2">
      <c r="A362" s="454" t="s">
        <v>788</v>
      </c>
      <c r="B362" s="452" t="str">
        <f>VLOOKUP(A362,'Danh mục hàng hóa'!$C$3:$D$643,2,0)</f>
        <v>Kẹp tóc bướm hồng phấn</v>
      </c>
      <c r="C362" s="436" t="str">
        <f>VLOOKUP(A362,'Danh mục hàng hóa'!$C$3:$E$656,3,0)</f>
        <v>cái</v>
      </c>
      <c r="D362" s="437">
        <f>VLOOKUP(A362,'Danh mục hàng hóa'!$C$3:$M$656,6,0)</f>
        <v>38000</v>
      </c>
      <c r="E362" s="438">
        <v>1</v>
      </c>
      <c r="F362" s="439">
        <f t="shared" si="1"/>
        <v>38000</v>
      </c>
      <c r="G362" s="442"/>
      <c r="H362" s="447">
        <v>104244</v>
      </c>
    </row>
    <row r="363" spans="1:8" ht="13.2">
      <c r="A363" s="454" t="s">
        <v>821</v>
      </c>
      <c r="B363" s="452" t="str">
        <f>VLOOKUP(A363,'Danh mục hàng hóa'!$C$3:$D$643,2,0)</f>
        <v>Kẹp tóc bướm hồng loang xanh</v>
      </c>
      <c r="C363" s="436" t="str">
        <f>VLOOKUP(A363,'Danh mục hàng hóa'!$C$3:$E$656,3,0)</f>
        <v>cái</v>
      </c>
      <c r="D363" s="437">
        <f>VLOOKUP(A363,'Danh mục hàng hóa'!$C$3:$M$656,6,0)</f>
        <v>52000</v>
      </c>
      <c r="E363" s="438">
        <v>1</v>
      </c>
      <c r="F363" s="439">
        <f t="shared" si="1"/>
        <v>52000</v>
      </c>
      <c r="G363" s="442"/>
      <c r="H363" s="446"/>
    </row>
    <row r="364" spans="1:8" ht="13.2">
      <c r="A364" s="454" t="s">
        <v>827</v>
      </c>
      <c r="B364" s="452" t="str">
        <f>VLOOKUP(A364,'Danh mục hàng hóa'!$C$3:$D$643,2,0)</f>
        <v>Kẹp tóc bướm hồng</v>
      </c>
      <c r="C364" s="436" t="str">
        <f>VLOOKUP(A364,'Danh mục hàng hóa'!$C$3:$E$656,3,0)</f>
        <v>cái</v>
      </c>
      <c r="D364" s="437">
        <f>VLOOKUP(A364,'Danh mục hàng hóa'!$C$3:$M$656,6,0)</f>
        <v>52000</v>
      </c>
      <c r="E364" s="438">
        <v>1</v>
      </c>
      <c r="F364" s="439">
        <f t="shared" si="1"/>
        <v>52000</v>
      </c>
      <c r="G364" s="442"/>
      <c r="H364" s="446"/>
    </row>
    <row r="365" spans="1:8" ht="13.2">
      <c r="A365" s="454" t="s">
        <v>876</v>
      </c>
      <c r="B365" s="452" t="str">
        <f>VLOOKUP(A365,'Danh mục hàng hóa'!$C$3:$D$643,2,0)</f>
        <v>Dao rọc giấy cún trắng</v>
      </c>
      <c r="C365" s="436" t="str">
        <f>VLOOKUP(A365,'Danh mục hàng hóa'!$C$3:$E$656,3,0)</f>
        <v>cái</v>
      </c>
      <c r="D365" s="437">
        <f>VLOOKUP(A365,'Danh mục hàng hóa'!$C$3:$M$656,6,0)</f>
        <v>9000</v>
      </c>
      <c r="E365" s="438">
        <v>1</v>
      </c>
      <c r="F365" s="439">
        <f t="shared" si="1"/>
        <v>9000</v>
      </c>
      <c r="G365" s="442"/>
      <c r="H365" s="447">
        <v>117755</v>
      </c>
    </row>
    <row r="366" spans="1:8" ht="13.2">
      <c r="A366" s="454" t="s">
        <v>782</v>
      </c>
      <c r="B366" s="452" t="str">
        <f>VLOOKUP(A366,'Danh mục hàng hóa'!$C$3:$D$643,2,0)</f>
        <v>Kẹp tóc hoa lan 06</v>
      </c>
      <c r="C366" s="436" t="str">
        <f>VLOOKUP(A366,'Danh mục hàng hóa'!$C$3:$E$656,3,0)</f>
        <v>cái</v>
      </c>
      <c r="D366" s="437">
        <f>VLOOKUP(A366,'Danh mục hàng hóa'!$C$3:$M$656,6,0)</f>
        <v>18500</v>
      </c>
      <c r="E366" s="438">
        <v>1</v>
      </c>
      <c r="F366" s="439">
        <f t="shared" si="1"/>
        <v>18500</v>
      </c>
      <c r="G366" s="442"/>
      <c r="H366" s="446"/>
    </row>
    <row r="367" spans="1:8" ht="13.2">
      <c r="A367" s="454" t="s">
        <v>821</v>
      </c>
      <c r="B367" s="452" t="str">
        <f>VLOOKUP(A367,'Danh mục hàng hóa'!$C$3:$D$643,2,0)</f>
        <v>Kẹp tóc bướm hồng loang xanh</v>
      </c>
      <c r="C367" s="436" t="str">
        <f>VLOOKUP(A367,'Danh mục hàng hóa'!$C$3:$E$656,3,0)</f>
        <v>cái</v>
      </c>
      <c r="D367" s="437">
        <f>VLOOKUP(A367,'Danh mục hàng hóa'!$C$3:$M$656,6,0)</f>
        <v>52000</v>
      </c>
      <c r="E367" s="438">
        <v>1</v>
      </c>
      <c r="F367" s="439">
        <f t="shared" si="1"/>
        <v>52000</v>
      </c>
      <c r="G367" s="442"/>
      <c r="H367" s="446"/>
    </row>
    <row r="368" spans="1:8" ht="13.2">
      <c r="A368" s="454" t="s">
        <v>798</v>
      </c>
      <c r="B368" s="452" t="str">
        <f>VLOOKUP(A368,'Danh mục hàng hóa'!$C$3:$D$643,2,0)</f>
        <v>Kẹp tóc bướm trắng</v>
      </c>
      <c r="C368" s="436" t="str">
        <f>VLOOKUP(A368,'Danh mục hàng hóa'!$C$3:$E$656,3,0)</f>
        <v>cái</v>
      </c>
      <c r="D368" s="437">
        <f>VLOOKUP(A368,'Danh mục hàng hóa'!$C$3:$M$656,6,0)</f>
        <v>40000</v>
      </c>
      <c r="E368" s="438">
        <v>1</v>
      </c>
      <c r="F368" s="439">
        <f t="shared" si="1"/>
        <v>40000</v>
      </c>
      <c r="G368" s="442"/>
      <c r="H368" s="446"/>
    </row>
    <row r="369" spans="1:8" ht="13.2">
      <c r="A369" s="454" t="s">
        <v>545</v>
      </c>
      <c r="B369" s="452" t="str">
        <f>VLOOKUP(A369,'Danh mục hàng hóa'!$C$3:$D$643,2,0)</f>
        <v>Kẹp tóc kim loại ngôi sao</v>
      </c>
      <c r="C369" s="436" t="str">
        <f>VLOOKUP(A369,'Danh mục hàng hóa'!$C$3:$E$656,3,0)</f>
        <v>cái</v>
      </c>
      <c r="D369" s="437">
        <f>VLOOKUP(A369,'Danh mục hàng hóa'!$C$3:$M$656,6,0)</f>
        <v>14127.400000000001</v>
      </c>
      <c r="E369" s="438">
        <v>1</v>
      </c>
      <c r="F369" s="439">
        <f t="shared" si="1"/>
        <v>14127.400000000001</v>
      </c>
      <c r="G369" s="442"/>
      <c r="H369" s="446"/>
    </row>
    <row r="370" spans="1:8" ht="13.2">
      <c r="A370" s="454" t="s">
        <v>547</v>
      </c>
      <c r="B370" s="452" t="str">
        <f>VLOOKUP(A370,'Danh mục hàng hóa'!$C$3:$D$643,2,0)</f>
        <v>Kẹp tóc kim loại vỏ sò</v>
      </c>
      <c r="C370" s="436" t="str">
        <f>VLOOKUP(A370,'Danh mục hàng hóa'!$C$3:$E$656,3,0)</f>
        <v>cái</v>
      </c>
      <c r="D370" s="437">
        <f>VLOOKUP(A370,'Danh mục hàng hóa'!$C$3:$M$656,6,0)</f>
        <v>14127.400000000001</v>
      </c>
      <c r="E370" s="438">
        <v>1</v>
      </c>
      <c r="F370" s="439">
        <f t="shared" si="1"/>
        <v>14127.400000000001</v>
      </c>
      <c r="G370" s="442"/>
      <c r="H370" s="446"/>
    </row>
    <row r="371" spans="1:8" ht="13.2">
      <c r="A371" s="454" t="s">
        <v>788</v>
      </c>
      <c r="B371" s="452" t="str">
        <f>VLOOKUP(A371,'Danh mục hàng hóa'!$C$3:$D$643,2,0)</f>
        <v>Kẹp tóc bướm hồng phấn</v>
      </c>
      <c r="C371" s="436" t="str">
        <f>VLOOKUP(A371,'Danh mục hàng hóa'!$C$3:$E$656,3,0)</f>
        <v>cái</v>
      </c>
      <c r="D371" s="437">
        <f>VLOOKUP(A371,'Danh mục hàng hóa'!$C$3:$M$656,6,0)</f>
        <v>38000</v>
      </c>
      <c r="E371" s="438">
        <v>1</v>
      </c>
      <c r="F371" s="439">
        <f t="shared" si="1"/>
        <v>38000</v>
      </c>
      <c r="G371" s="442"/>
      <c r="H371" s="447">
        <v>63300</v>
      </c>
    </row>
    <row r="372" spans="1:8" ht="13.2">
      <c r="A372" s="454" t="s">
        <v>798</v>
      </c>
      <c r="B372" s="452" t="str">
        <f>VLOOKUP(A372,'Danh mục hàng hóa'!$C$3:$D$643,2,0)</f>
        <v>Kẹp tóc bướm trắng</v>
      </c>
      <c r="C372" s="436" t="str">
        <f>VLOOKUP(A372,'Danh mục hàng hóa'!$C$3:$E$656,3,0)</f>
        <v>cái</v>
      </c>
      <c r="D372" s="437">
        <f>VLOOKUP(A372,'Danh mục hàng hóa'!$C$3:$M$656,6,0)</f>
        <v>40000</v>
      </c>
      <c r="E372" s="438">
        <v>1</v>
      </c>
      <c r="F372" s="439">
        <f t="shared" si="1"/>
        <v>40000</v>
      </c>
      <c r="G372" s="442"/>
      <c r="H372" s="446"/>
    </row>
    <row r="373" spans="1:8" ht="13.2">
      <c r="A373" s="454" t="s">
        <v>895</v>
      </c>
      <c r="B373" s="452" t="str">
        <f>VLOOKUP(A373,'Danh mục hàng hóa'!$C$3:$D$643,2,0)</f>
        <v>Thỏ chong chóng</v>
      </c>
      <c r="C373" s="436" t="str">
        <f>VLOOKUP(A373,'Danh mục hàng hóa'!$C$3:$E$656,3,0)</f>
        <v>cái</v>
      </c>
      <c r="D373" s="437">
        <f>VLOOKUP(A373,'Danh mục hàng hóa'!$C$3:$M$656,6,0)</f>
        <v>54740</v>
      </c>
      <c r="E373" s="438">
        <v>1</v>
      </c>
      <c r="F373" s="439">
        <f t="shared" si="1"/>
        <v>54740</v>
      </c>
      <c r="G373" s="442"/>
      <c r="H373" s="448">
        <v>47124</v>
      </c>
    </row>
    <row r="374" spans="1:8" ht="13.2">
      <c r="A374" s="454" t="s">
        <v>788</v>
      </c>
      <c r="B374" s="452" t="str">
        <f>VLOOKUP(A374,'Danh mục hàng hóa'!$C$3:$D$643,2,0)</f>
        <v>Kẹp tóc bướm hồng phấn</v>
      </c>
      <c r="C374" s="436" t="str">
        <f>VLOOKUP(A374,'Danh mục hàng hóa'!$C$3:$E$656,3,0)</f>
        <v>cái</v>
      </c>
      <c r="D374" s="437">
        <f>VLOOKUP(A374,'Danh mục hàng hóa'!$C$3:$M$656,6,0)</f>
        <v>38000</v>
      </c>
      <c r="E374" s="438">
        <v>1</v>
      </c>
      <c r="F374" s="439">
        <f t="shared" si="1"/>
        <v>38000</v>
      </c>
      <c r="G374" s="442"/>
      <c r="H374" s="447">
        <v>126720</v>
      </c>
    </row>
    <row r="375" spans="1:8" ht="13.2">
      <c r="A375" s="454" t="s">
        <v>794</v>
      </c>
      <c r="B375" s="452" t="str">
        <f>VLOOKUP(A375,'Danh mục hàng hóa'!$C$3:$D$643,2,0)</f>
        <v>Kẹp tóc bướm xanh tím</v>
      </c>
      <c r="C375" s="436" t="str">
        <f>VLOOKUP(A375,'Danh mục hàng hóa'!$C$3:$E$656,3,0)</f>
        <v>cái</v>
      </c>
      <c r="D375" s="437">
        <f>VLOOKUP(A375,'Danh mục hàng hóa'!$C$3:$M$656,6,0)</f>
        <v>40000</v>
      </c>
      <c r="E375" s="438">
        <v>1</v>
      </c>
      <c r="F375" s="439">
        <f t="shared" si="1"/>
        <v>40000</v>
      </c>
      <c r="G375" s="442"/>
      <c r="H375" s="446"/>
    </row>
    <row r="376" spans="1:8" ht="13.2">
      <c r="A376" s="454" t="s">
        <v>796</v>
      </c>
      <c r="B376" s="452" t="str">
        <f>VLOOKUP(A376,'Danh mục hàng hóa'!$C$3:$D$643,2,0)</f>
        <v>Kẹp tóc bướm tím</v>
      </c>
      <c r="C376" s="436" t="str">
        <f>VLOOKUP(A376,'Danh mục hàng hóa'!$C$3:$E$656,3,0)</f>
        <v>cái</v>
      </c>
      <c r="D376" s="437">
        <f>VLOOKUP(A376,'Danh mục hàng hóa'!$C$3:$M$656,6,0)</f>
        <v>38000</v>
      </c>
      <c r="E376" s="438">
        <v>1</v>
      </c>
      <c r="F376" s="439">
        <f t="shared" si="1"/>
        <v>38000</v>
      </c>
      <c r="G376" s="442"/>
      <c r="H376" s="446"/>
    </row>
    <row r="377" spans="1:8" ht="13.2">
      <c r="A377" s="454" t="s">
        <v>827</v>
      </c>
      <c r="B377" s="452" t="str">
        <f>VLOOKUP(A377,'Danh mục hàng hóa'!$C$3:$D$643,2,0)</f>
        <v>Kẹp tóc bướm hồng</v>
      </c>
      <c r="C377" s="436" t="str">
        <f>VLOOKUP(A377,'Danh mục hàng hóa'!$C$3:$E$656,3,0)</f>
        <v>cái</v>
      </c>
      <c r="D377" s="437">
        <f>VLOOKUP(A377,'Danh mục hàng hóa'!$C$3:$M$656,6,0)</f>
        <v>52000</v>
      </c>
      <c r="E377" s="438">
        <v>1</v>
      </c>
      <c r="F377" s="439">
        <f t="shared" si="1"/>
        <v>52000</v>
      </c>
      <c r="G377" s="442"/>
      <c r="H377" s="446"/>
    </row>
    <row r="378" spans="1:8" ht="13.2">
      <c r="A378" s="454" t="s">
        <v>889</v>
      </c>
      <c r="B378" s="452" t="str">
        <f>VLOOKUP(A378,'Danh mục hàng hóa'!$C$3:$D$643,2,0)</f>
        <v>Mèo ú bay</v>
      </c>
      <c r="C378" s="436" t="str">
        <f>VLOOKUP(A378,'Danh mục hàng hóa'!$C$3:$E$656,3,0)</f>
        <v>cái</v>
      </c>
      <c r="D378" s="437">
        <f>VLOOKUP(A378,'Danh mục hàng hóa'!$C$3:$M$656,6,0)</f>
        <v>61275</v>
      </c>
      <c r="E378" s="438">
        <v>1</v>
      </c>
      <c r="F378" s="439">
        <f t="shared" si="1"/>
        <v>61275</v>
      </c>
      <c r="G378" s="442"/>
      <c r="H378" s="447">
        <v>86664</v>
      </c>
    </row>
    <row r="379" spans="1:8" ht="13.2">
      <c r="A379" s="454" t="s">
        <v>915</v>
      </c>
      <c r="B379" s="452" t="str">
        <f>VLOOKUP(A379,'Danh mục hàng hóa'!$C$3:$D$643,2,0)</f>
        <v>Thỏ chạy xe gắn xe</v>
      </c>
      <c r="C379" s="436" t="str">
        <f>VLOOKUP(A379,'Danh mục hàng hóa'!$C$3:$E$656,3,0)</f>
        <v>cái</v>
      </c>
      <c r="D379" s="437">
        <f>VLOOKUP(A379,'Danh mục hàng hóa'!$C$3:$M$656,6,0)</f>
        <v>59340</v>
      </c>
      <c r="E379" s="438">
        <v>1</v>
      </c>
      <c r="F379" s="439">
        <f t="shared" si="1"/>
        <v>59340</v>
      </c>
      <c r="G379" s="442"/>
      <c r="H379" s="446"/>
    </row>
    <row r="380" spans="1:8" ht="13.2">
      <c r="A380" s="454" t="s">
        <v>872</v>
      </c>
      <c r="B380" s="452" t="str">
        <f>VLOOKUP(A380,'Danh mục hàng hóa'!$C$3:$D$643,2,0)</f>
        <v>Dao rọc giấy cún vàng</v>
      </c>
      <c r="C380" s="436" t="str">
        <f>VLOOKUP(A380,'Danh mục hàng hóa'!$C$3:$E$656,3,0)</f>
        <v>cái</v>
      </c>
      <c r="D380" s="437">
        <f>VLOOKUP(A380,'Danh mục hàng hóa'!$C$3:$M$656,6,0)</f>
        <v>9000</v>
      </c>
      <c r="E380" s="438">
        <v>1</v>
      </c>
      <c r="F380" s="439">
        <f t="shared" si="1"/>
        <v>9000</v>
      </c>
      <c r="G380" s="442"/>
      <c r="H380" s="447">
        <v>53796</v>
      </c>
    </row>
    <row r="381" spans="1:8" ht="13.2">
      <c r="A381" s="454" t="s">
        <v>989</v>
      </c>
      <c r="B381" s="452" t="str">
        <f>VLOOKUP(A381,'Danh mục hàng hóa'!$C$3:$D$643,2,0)</f>
        <v>Móc khóa đôi 2 quả lê có nam châm</v>
      </c>
      <c r="C381" s="436" t="str">
        <f>VLOOKUP(A381,'Danh mục hàng hóa'!$C$3:$E$656,3,0)</f>
        <v>cái</v>
      </c>
      <c r="D381" s="437">
        <f>VLOOKUP(A381,'Danh mục hàng hóa'!$C$3:$M$656,6,0)</f>
        <v>59000</v>
      </c>
      <c r="E381" s="438">
        <v>1</v>
      </c>
      <c r="F381" s="439">
        <f t="shared" si="1"/>
        <v>59000</v>
      </c>
      <c r="G381" s="442"/>
      <c r="H381" s="446"/>
    </row>
    <row r="382" spans="1:8" ht="13.2">
      <c r="A382" s="454" t="s">
        <v>788</v>
      </c>
      <c r="B382" s="452" t="str">
        <f>VLOOKUP(A382,'Danh mục hàng hóa'!$C$3:$D$643,2,0)</f>
        <v>Kẹp tóc bướm hồng phấn</v>
      </c>
      <c r="C382" s="436" t="str">
        <f>VLOOKUP(A382,'Danh mục hàng hóa'!$C$3:$E$656,3,0)</f>
        <v>cái</v>
      </c>
      <c r="D382" s="437">
        <f>VLOOKUP(A382,'Danh mục hàng hóa'!$C$3:$M$656,6,0)</f>
        <v>38000</v>
      </c>
      <c r="E382" s="438">
        <v>1</v>
      </c>
      <c r="F382" s="439">
        <f t="shared" si="1"/>
        <v>38000</v>
      </c>
      <c r="G382" s="442"/>
      <c r="H382" s="447">
        <v>63360</v>
      </c>
    </row>
    <row r="383" spans="1:8" ht="13.2">
      <c r="A383" s="454" t="s">
        <v>792</v>
      </c>
      <c r="B383" s="452" t="str">
        <f>VLOOKUP(A383,'Danh mục hàng hóa'!$C$3:$D$643,2,0)</f>
        <v>Kẹp tóc bướm xanh ngọc</v>
      </c>
      <c r="C383" s="436" t="str">
        <f>VLOOKUP(A383,'Danh mục hàng hóa'!$C$3:$E$656,3,0)</f>
        <v>cái</v>
      </c>
      <c r="D383" s="437">
        <f>VLOOKUP(A383,'Danh mục hàng hóa'!$C$3:$M$656,6,0)</f>
        <v>38000</v>
      </c>
      <c r="E383" s="438">
        <v>1</v>
      </c>
      <c r="F383" s="439">
        <f t="shared" si="1"/>
        <v>38000</v>
      </c>
      <c r="G383" s="442"/>
      <c r="H383" s="446"/>
    </row>
    <row r="384" spans="1:8" ht="13.2">
      <c r="A384" s="454" t="s">
        <v>891</v>
      </c>
      <c r="B384" s="452" t="str">
        <f>VLOOKUP(A384,'Danh mục hàng hóa'!$C$3:$D$643,2,0)</f>
        <v>Heo ú</v>
      </c>
      <c r="C384" s="436" t="str">
        <f>VLOOKUP(A384,'Danh mục hàng hóa'!$C$3:$E$656,3,0)</f>
        <v>cái</v>
      </c>
      <c r="D384" s="437">
        <f>VLOOKUP(A384,'Danh mục hàng hóa'!$C$3:$M$656,6,0)</f>
        <v>61275</v>
      </c>
      <c r="E384" s="438">
        <v>1</v>
      </c>
      <c r="F384" s="439">
        <f t="shared" si="1"/>
        <v>61275</v>
      </c>
      <c r="G384" s="442"/>
      <c r="H384" s="448">
        <v>47124</v>
      </c>
    </row>
    <row r="385" spans="1:8" ht="13.2">
      <c r="A385" s="454" t="s">
        <v>897</v>
      </c>
      <c r="B385" s="452" t="str">
        <f>VLOOKUP(A385,'Danh mục hàng hóa'!$C$3:$D$643,2,0)</f>
        <v>Thỏ ú bay</v>
      </c>
      <c r="C385" s="436" t="str">
        <f>VLOOKUP(A385,'Danh mục hàng hóa'!$C$3:$E$656,3,0)</f>
        <v>cái</v>
      </c>
      <c r="D385" s="437">
        <f>VLOOKUP(A385,'Danh mục hàng hóa'!$C$3:$M$656,6,0)</f>
        <v>61275</v>
      </c>
      <c r="E385" s="438">
        <v>1</v>
      </c>
      <c r="F385" s="439">
        <f t="shared" si="1"/>
        <v>61275</v>
      </c>
      <c r="G385" s="442"/>
      <c r="H385" s="447">
        <v>95895</v>
      </c>
    </row>
    <row r="386" spans="1:8" ht="13.2">
      <c r="A386" s="454" t="s">
        <v>981</v>
      </c>
      <c r="B386" s="452" t="str">
        <f>VLOOKUP(A386,'Danh mục hàng hóa'!$C$3:$D$643,2,0)</f>
        <v>Móc khóa đôi corgy</v>
      </c>
      <c r="C386" s="436" t="str">
        <f>VLOOKUP(A386,'Danh mục hàng hóa'!$C$3:$E$656,3,0)</f>
        <v>cái</v>
      </c>
      <c r="D386" s="437">
        <f>VLOOKUP(A386,'Danh mục hàng hóa'!$C$3:$M$656,6,0)</f>
        <v>56580</v>
      </c>
      <c r="E386" s="438">
        <v>1</v>
      </c>
      <c r="F386" s="439">
        <f t="shared" si="1"/>
        <v>56580</v>
      </c>
      <c r="G386" s="442"/>
      <c r="H386" s="446"/>
    </row>
    <row r="387" spans="1:8" ht="13.2">
      <c r="A387" s="454" t="s">
        <v>788</v>
      </c>
      <c r="B387" s="452" t="str">
        <f>VLOOKUP(A387,'Danh mục hàng hóa'!$C$3:$D$643,2,0)</f>
        <v>Kẹp tóc bướm hồng phấn</v>
      </c>
      <c r="C387" s="436" t="str">
        <f>VLOOKUP(A387,'Danh mục hàng hóa'!$C$3:$E$656,3,0)</f>
        <v>cái</v>
      </c>
      <c r="D387" s="437">
        <f>VLOOKUP(A387,'Danh mục hàng hóa'!$C$3:$M$656,6,0)</f>
        <v>38000</v>
      </c>
      <c r="E387" s="438">
        <v>1</v>
      </c>
      <c r="F387" s="439">
        <f t="shared" si="1"/>
        <v>38000</v>
      </c>
      <c r="G387" s="442"/>
      <c r="H387" s="448">
        <v>35140</v>
      </c>
    </row>
    <row r="388" spans="1:8" ht="13.2">
      <c r="A388" s="454" t="s">
        <v>792</v>
      </c>
      <c r="B388" s="452" t="str">
        <f>VLOOKUP(A388,'Danh mục hàng hóa'!$C$3:$D$643,2,0)</f>
        <v>Kẹp tóc bướm xanh ngọc</v>
      </c>
      <c r="C388" s="436" t="str">
        <f>VLOOKUP(A388,'Danh mục hàng hóa'!$C$3:$E$656,3,0)</f>
        <v>cái</v>
      </c>
      <c r="D388" s="437">
        <f>VLOOKUP(A388,'Danh mục hàng hóa'!$C$3:$M$656,6,0)</f>
        <v>38000</v>
      </c>
      <c r="E388" s="438">
        <v>1</v>
      </c>
      <c r="F388" s="439">
        <f t="shared" si="1"/>
        <v>38000</v>
      </c>
      <c r="G388" s="442"/>
      <c r="H388" s="448">
        <v>35080</v>
      </c>
    </row>
    <row r="389" spans="1:8" ht="13.2">
      <c r="A389" s="454" t="s">
        <v>397</v>
      </c>
      <c r="B389" s="452" t="str">
        <f>VLOOKUP(A389,'Danh mục hàng hóa'!$C$3:$D$643,2,0)</f>
        <v>Túi chườm bụng dâu (xanh) 1000ml</v>
      </c>
      <c r="C389" s="436" t="str">
        <f>VLOOKUP(A389,'Danh mục hàng hóa'!$C$3:$E$656,3,0)</f>
        <v>túi</v>
      </c>
      <c r="D389" s="437">
        <f>VLOOKUP(A389,'Danh mục hàng hóa'!$C$3:$M$656,6,0)</f>
        <v>101150</v>
      </c>
      <c r="E389" s="438">
        <v>1</v>
      </c>
      <c r="F389" s="439">
        <f t="shared" si="1"/>
        <v>101150</v>
      </c>
      <c r="G389" s="442"/>
      <c r="H389" s="448">
        <v>80051</v>
      </c>
    </row>
    <row r="390" spans="1:8" ht="13.2">
      <c r="A390" s="454" t="s">
        <v>823</v>
      </c>
      <c r="B390" s="452" t="str">
        <f>VLOOKUP(A390,'Danh mục hàng hóa'!$C$3:$D$643,2,0)</f>
        <v>Kẹp tóc bướm xanh vàng</v>
      </c>
      <c r="C390" s="436" t="str">
        <f>VLOOKUP(A390,'Danh mục hàng hóa'!$C$3:$E$656,3,0)</f>
        <v>cái</v>
      </c>
      <c r="D390" s="437">
        <f>VLOOKUP(A390,'Danh mục hàng hóa'!$C$3:$M$656,6,0)</f>
        <v>52000</v>
      </c>
      <c r="E390" s="438">
        <v>1</v>
      </c>
      <c r="F390" s="439">
        <f t="shared" si="1"/>
        <v>52000</v>
      </c>
      <c r="G390" s="442"/>
      <c r="H390" s="448">
        <v>41184</v>
      </c>
    </row>
    <row r="391" spans="1:8" ht="13.2">
      <c r="A391" s="454" t="s">
        <v>794</v>
      </c>
      <c r="B391" s="452" t="str">
        <f>VLOOKUP(A391,'Danh mục hàng hóa'!$C$3:$D$643,2,0)</f>
        <v>Kẹp tóc bướm xanh tím</v>
      </c>
      <c r="C391" s="436" t="str">
        <f>VLOOKUP(A391,'Danh mục hàng hóa'!$C$3:$E$656,3,0)</f>
        <v>cái</v>
      </c>
      <c r="D391" s="437">
        <f>VLOOKUP(A391,'Danh mục hàng hóa'!$C$3:$M$656,6,0)</f>
        <v>40000</v>
      </c>
      <c r="E391" s="438">
        <v>1</v>
      </c>
      <c r="F391" s="439">
        <f t="shared" si="1"/>
        <v>40000</v>
      </c>
      <c r="G391" s="442"/>
      <c r="H391" s="448">
        <v>35140</v>
      </c>
    </row>
    <row r="392" spans="1:8" ht="13.2">
      <c r="A392" s="454" t="s">
        <v>788</v>
      </c>
      <c r="B392" s="452" t="str">
        <f>VLOOKUP(A392,'Danh mục hàng hóa'!$C$3:$D$643,2,0)</f>
        <v>Kẹp tóc bướm hồng phấn</v>
      </c>
      <c r="C392" s="436" t="str">
        <f>VLOOKUP(A392,'Danh mục hàng hóa'!$C$3:$E$656,3,0)</f>
        <v>cái</v>
      </c>
      <c r="D392" s="437">
        <f>VLOOKUP(A392,'Danh mục hàng hóa'!$C$3:$M$656,6,0)</f>
        <v>38000</v>
      </c>
      <c r="E392" s="438">
        <v>1</v>
      </c>
      <c r="F392" s="439">
        <f t="shared" si="1"/>
        <v>38000</v>
      </c>
      <c r="G392" s="442"/>
      <c r="H392" s="447">
        <v>62640</v>
      </c>
    </row>
    <row r="393" spans="1:8" ht="13.2">
      <c r="A393" s="454" t="s">
        <v>798</v>
      </c>
      <c r="B393" s="452" t="str">
        <f>VLOOKUP(A393,'Danh mục hàng hóa'!$C$3:$D$643,2,0)</f>
        <v>Kẹp tóc bướm trắng</v>
      </c>
      <c r="C393" s="436" t="str">
        <f>VLOOKUP(A393,'Danh mục hàng hóa'!$C$3:$E$656,3,0)</f>
        <v>cái</v>
      </c>
      <c r="D393" s="437">
        <f>VLOOKUP(A393,'Danh mục hàng hóa'!$C$3:$M$656,6,0)</f>
        <v>40000</v>
      </c>
      <c r="E393" s="438">
        <v>1</v>
      </c>
      <c r="F393" s="439">
        <f t="shared" si="1"/>
        <v>40000</v>
      </c>
      <c r="G393" s="442"/>
      <c r="H393" s="446"/>
    </row>
    <row r="394" spans="1:8" ht="13.2">
      <c r="A394" s="454" t="s">
        <v>788</v>
      </c>
      <c r="B394" s="452" t="str">
        <f>VLOOKUP(A394,'Danh mục hàng hóa'!$C$3:$D$643,2,0)</f>
        <v>Kẹp tóc bướm hồng phấn</v>
      </c>
      <c r="C394" s="436" t="str">
        <f>VLOOKUP(A394,'Danh mục hàng hóa'!$C$3:$E$656,3,0)</f>
        <v>cái</v>
      </c>
      <c r="D394" s="437">
        <f>VLOOKUP(A394,'Danh mục hàng hóa'!$C$3:$M$656,6,0)</f>
        <v>38000</v>
      </c>
      <c r="E394" s="438">
        <v>1</v>
      </c>
      <c r="F394" s="439">
        <f t="shared" si="1"/>
        <v>38000</v>
      </c>
      <c r="G394" s="442"/>
      <c r="H394" s="447">
        <v>64800</v>
      </c>
    </row>
    <row r="395" spans="1:8" ht="13.2">
      <c r="A395" s="454" t="s">
        <v>827</v>
      </c>
      <c r="B395" s="452" t="str">
        <f>VLOOKUP(A395,'Danh mục hàng hóa'!$C$3:$D$643,2,0)</f>
        <v>Kẹp tóc bướm hồng</v>
      </c>
      <c r="C395" s="436" t="str">
        <f>VLOOKUP(A395,'Danh mục hàng hóa'!$C$3:$E$656,3,0)</f>
        <v>cái</v>
      </c>
      <c r="D395" s="437">
        <f>VLOOKUP(A395,'Danh mục hàng hóa'!$C$3:$M$656,6,0)</f>
        <v>52000</v>
      </c>
      <c r="E395" s="438">
        <v>1</v>
      </c>
      <c r="F395" s="439">
        <f t="shared" si="1"/>
        <v>52000</v>
      </c>
      <c r="G395" s="442"/>
      <c r="H395" s="446"/>
    </row>
    <row r="396" spans="1:8" ht="13.2">
      <c r="A396" s="454" t="s">
        <v>792</v>
      </c>
      <c r="B396" s="452" t="str">
        <f>VLOOKUP(A396,'Danh mục hàng hóa'!$C$3:$D$643,2,0)</f>
        <v>Kẹp tóc bướm xanh ngọc</v>
      </c>
      <c r="C396" s="436" t="str">
        <f>VLOOKUP(A396,'Danh mục hàng hóa'!$C$3:$E$656,3,0)</f>
        <v>cái</v>
      </c>
      <c r="D396" s="437">
        <f>VLOOKUP(A396,'Danh mục hàng hóa'!$C$3:$M$656,6,0)</f>
        <v>38000</v>
      </c>
      <c r="E396" s="438">
        <v>1</v>
      </c>
      <c r="F396" s="439">
        <f t="shared" si="1"/>
        <v>38000</v>
      </c>
      <c r="G396" s="442"/>
      <c r="H396" s="447">
        <v>63300</v>
      </c>
    </row>
    <row r="397" spans="1:8" ht="13.2">
      <c r="A397" s="454" t="s">
        <v>794</v>
      </c>
      <c r="B397" s="452" t="str">
        <f>VLOOKUP(A397,'Danh mục hàng hóa'!$C$3:$D$643,2,0)</f>
        <v>Kẹp tóc bướm xanh tím</v>
      </c>
      <c r="C397" s="436" t="str">
        <f>VLOOKUP(A397,'Danh mục hàng hóa'!$C$3:$E$656,3,0)</f>
        <v>cái</v>
      </c>
      <c r="D397" s="437">
        <f>VLOOKUP(A397,'Danh mục hàng hóa'!$C$3:$M$656,6,0)</f>
        <v>40000</v>
      </c>
      <c r="E397" s="438">
        <v>1</v>
      </c>
      <c r="F397" s="439">
        <f t="shared" si="1"/>
        <v>40000</v>
      </c>
      <c r="G397" s="442"/>
      <c r="H397" s="446"/>
    </row>
    <row r="398" spans="1:8" ht="13.2">
      <c r="A398" s="454" t="s">
        <v>788</v>
      </c>
      <c r="B398" s="452" t="str">
        <f>VLOOKUP(A398,'Danh mục hàng hóa'!$C$3:$D$643,2,0)</f>
        <v>Kẹp tóc bướm hồng phấn</v>
      </c>
      <c r="C398" s="436" t="str">
        <f>VLOOKUP(A398,'Danh mục hàng hóa'!$C$3:$E$656,3,0)</f>
        <v>cái</v>
      </c>
      <c r="D398" s="437">
        <f>VLOOKUP(A398,'Danh mục hàng hóa'!$C$3:$M$656,6,0)</f>
        <v>38000</v>
      </c>
      <c r="E398" s="438">
        <v>1</v>
      </c>
      <c r="F398" s="439">
        <f t="shared" si="1"/>
        <v>38000</v>
      </c>
      <c r="G398" s="442"/>
      <c r="H398" s="447">
        <v>136224</v>
      </c>
    </row>
    <row r="399" spans="1:8" ht="13.2">
      <c r="A399" s="454" t="s">
        <v>794</v>
      </c>
      <c r="B399" s="452" t="str">
        <f>VLOOKUP(A399,'Danh mục hàng hóa'!$C$3:$D$643,2,0)</f>
        <v>Kẹp tóc bướm xanh tím</v>
      </c>
      <c r="C399" s="436" t="str">
        <f>VLOOKUP(A399,'Danh mục hàng hóa'!$C$3:$E$656,3,0)</f>
        <v>cái</v>
      </c>
      <c r="D399" s="437">
        <f>VLOOKUP(A399,'Danh mục hàng hóa'!$C$3:$M$656,6,0)</f>
        <v>40000</v>
      </c>
      <c r="E399" s="438">
        <v>1</v>
      </c>
      <c r="F399" s="439">
        <f t="shared" si="1"/>
        <v>40000</v>
      </c>
      <c r="G399" s="442"/>
      <c r="H399" s="446"/>
    </row>
    <row r="400" spans="1:8" ht="13.2">
      <c r="A400" s="454" t="s">
        <v>821</v>
      </c>
      <c r="B400" s="452" t="str">
        <f>VLOOKUP(A400,'Danh mục hàng hóa'!$C$3:$D$643,2,0)</f>
        <v>Kẹp tóc bướm hồng loang xanh</v>
      </c>
      <c r="C400" s="436" t="str">
        <f>VLOOKUP(A400,'Danh mục hàng hóa'!$C$3:$E$656,3,0)</f>
        <v>cái</v>
      </c>
      <c r="D400" s="437">
        <f>VLOOKUP(A400,'Danh mục hàng hóa'!$C$3:$M$656,6,0)</f>
        <v>52000</v>
      </c>
      <c r="E400" s="438">
        <v>1</v>
      </c>
      <c r="F400" s="439">
        <f t="shared" si="1"/>
        <v>52000</v>
      </c>
      <c r="G400" s="442"/>
      <c r="H400" s="446"/>
    </row>
    <row r="401" spans="1:8" ht="13.2">
      <c r="A401" s="454" t="s">
        <v>796</v>
      </c>
      <c r="B401" s="452" t="str">
        <f>VLOOKUP(A401,'Danh mục hàng hóa'!$C$3:$D$643,2,0)</f>
        <v>Kẹp tóc bướm tím</v>
      </c>
      <c r="C401" s="436" t="str">
        <f>VLOOKUP(A401,'Danh mục hàng hóa'!$C$3:$E$656,3,0)</f>
        <v>cái</v>
      </c>
      <c r="D401" s="437">
        <f>VLOOKUP(A401,'Danh mục hàng hóa'!$C$3:$M$656,6,0)</f>
        <v>38000</v>
      </c>
      <c r="E401" s="438">
        <v>1</v>
      </c>
      <c r="F401" s="439">
        <f t="shared" si="1"/>
        <v>38000</v>
      </c>
      <c r="G401" s="442"/>
      <c r="H401" s="446"/>
    </row>
    <row r="402" spans="1:8" ht="13.2">
      <c r="A402" s="454" t="s">
        <v>796</v>
      </c>
      <c r="B402" s="452" t="str">
        <f>VLOOKUP(A402,'Danh mục hàng hóa'!$C$3:$D$643,2,0)</f>
        <v>Kẹp tóc bướm tím</v>
      </c>
      <c r="C402" s="436" t="str">
        <f>VLOOKUP(A402,'Danh mục hàng hóa'!$C$3:$E$656,3,0)</f>
        <v>cái</v>
      </c>
      <c r="D402" s="437">
        <f>VLOOKUP(A402,'Danh mục hàng hóa'!$C$3:$M$656,6,0)</f>
        <v>38000</v>
      </c>
      <c r="E402" s="438">
        <v>1</v>
      </c>
      <c r="F402" s="439">
        <f t="shared" si="1"/>
        <v>38000</v>
      </c>
      <c r="G402" s="442"/>
      <c r="H402" s="448">
        <v>35080</v>
      </c>
    </row>
    <row r="403" spans="1:8" ht="13.2">
      <c r="A403" s="454" t="s">
        <v>817</v>
      </c>
      <c r="B403" s="452" t="str">
        <f>VLOOKUP(A403,'Danh mục hàng hóa'!$C$3:$D$643,2,0)</f>
        <v>Kẹp tóc bướm hồng trắng</v>
      </c>
      <c r="C403" s="436" t="str">
        <f>VLOOKUP(A403,'Danh mục hàng hóa'!$C$3:$E$656,3,0)</f>
        <v>cái</v>
      </c>
      <c r="D403" s="437">
        <f>VLOOKUP(A403,'Danh mục hàng hóa'!$C$3:$M$656,6,0)</f>
        <v>52000</v>
      </c>
      <c r="E403" s="438">
        <v>1</v>
      </c>
      <c r="F403" s="439">
        <f t="shared" si="1"/>
        <v>52000</v>
      </c>
      <c r="G403" s="442"/>
      <c r="H403" s="447">
        <v>81516</v>
      </c>
    </row>
    <row r="404" spans="1:8" ht="13.2">
      <c r="A404" s="454" t="s">
        <v>631</v>
      </c>
      <c r="B404" s="452" t="str">
        <f>VLOOKUP(A404,'Danh mục hàng hóa'!$C$3:$D$643,2,0)</f>
        <v>Kẹp tóc lông nâu nhạt</v>
      </c>
      <c r="C404" s="436" t="str">
        <f>VLOOKUP(A404,'Danh mục hàng hóa'!$C$3:$E$656,3,0)</f>
        <v>cái</v>
      </c>
      <c r="D404" s="437">
        <f>VLOOKUP(A404,'Danh mục hàng hóa'!$C$3:$M$656,6,0)</f>
        <v>19000</v>
      </c>
      <c r="E404" s="438">
        <v>1</v>
      </c>
      <c r="F404" s="439">
        <f t="shared" si="1"/>
        <v>19000</v>
      </c>
      <c r="G404" s="442"/>
      <c r="H404" s="446"/>
    </row>
    <row r="405" spans="1:8" ht="13.2">
      <c r="A405" s="454" t="s">
        <v>736</v>
      </c>
      <c r="B405" s="452" t="str">
        <f>VLOOKUP(A405,'Danh mục hàng hóa'!$C$3:$D$643,2,0)</f>
        <v>Kẹp tóc hoa sứ vàng</v>
      </c>
      <c r="C405" s="436" t="str">
        <f>VLOOKUP(A405,'Danh mục hàng hóa'!$C$3:$E$656,3,0)</f>
        <v>cái</v>
      </c>
      <c r="D405" s="437">
        <f>VLOOKUP(A405,'Danh mục hàng hóa'!$C$3:$M$656,6,0)</f>
        <v>18500</v>
      </c>
      <c r="E405" s="438">
        <v>1</v>
      </c>
      <c r="F405" s="439">
        <f t="shared" si="1"/>
        <v>18500</v>
      </c>
      <c r="G405" s="442"/>
      <c r="H405" s="446"/>
    </row>
    <row r="406" spans="1:8" ht="13.2">
      <c r="A406" s="454" t="s">
        <v>893</v>
      </c>
      <c r="B406" s="452" t="str">
        <f>VLOOKUP(A406,'Danh mục hàng hóa'!$C$3:$D$643,2,0)</f>
        <v>Heo ú bay</v>
      </c>
      <c r="C406" s="436" t="str">
        <f>VLOOKUP(A406,'Danh mục hàng hóa'!$C$3:$E$656,3,0)</f>
        <v>cái</v>
      </c>
      <c r="D406" s="437">
        <f>VLOOKUP(A406,'Danh mục hàng hóa'!$C$3:$M$656,6,0)</f>
        <v>61275</v>
      </c>
      <c r="E406" s="438">
        <v>1</v>
      </c>
      <c r="F406" s="439">
        <f t="shared" si="1"/>
        <v>61275</v>
      </c>
      <c r="G406" s="442"/>
      <c r="H406" s="447">
        <v>86724</v>
      </c>
    </row>
    <row r="407" spans="1:8" ht="13.2">
      <c r="A407" s="454" t="s">
        <v>915</v>
      </c>
      <c r="B407" s="452" t="str">
        <f>VLOOKUP(A407,'Danh mục hàng hóa'!$C$3:$D$643,2,0)</f>
        <v>Thỏ chạy xe gắn xe</v>
      </c>
      <c r="C407" s="436" t="str">
        <f>VLOOKUP(A407,'Danh mục hàng hóa'!$C$3:$E$656,3,0)</f>
        <v>cái</v>
      </c>
      <c r="D407" s="437">
        <f>VLOOKUP(A407,'Danh mục hàng hóa'!$C$3:$M$656,6,0)</f>
        <v>59340</v>
      </c>
      <c r="E407" s="438">
        <v>1</v>
      </c>
      <c r="F407" s="439">
        <f t="shared" si="1"/>
        <v>59340</v>
      </c>
      <c r="G407" s="442"/>
      <c r="H407" s="446"/>
    </row>
    <row r="408" spans="1:8" ht="13.2">
      <c r="A408" s="454" t="s">
        <v>981</v>
      </c>
      <c r="B408" s="452" t="str">
        <f>VLOOKUP(A408,'Danh mục hàng hóa'!$C$3:$D$643,2,0)</f>
        <v>Móc khóa đôi corgy</v>
      </c>
      <c r="C408" s="436" t="str">
        <f>VLOOKUP(A408,'Danh mục hàng hóa'!$C$3:$E$656,3,0)</f>
        <v>cái</v>
      </c>
      <c r="D408" s="437">
        <f>VLOOKUP(A408,'Danh mục hàng hóa'!$C$3:$M$656,6,0)</f>
        <v>56580</v>
      </c>
      <c r="E408" s="438">
        <v>1</v>
      </c>
      <c r="F408" s="439">
        <f t="shared" si="1"/>
        <v>56580</v>
      </c>
      <c r="G408" s="442"/>
      <c r="H408" s="448">
        <v>44291</v>
      </c>
    </row>
    <row r="409" spans="1:8" ht="13.2">
      <c r="A409" s="454" t="s">
        <v>422</v>
      </c>
      <c r="B409" s="452" t="str">
        <f>VLOOKUP(A409,'Danh mục hàng hóa'!$C$3:$D$643,2,0)</f>
        <v>Túi chườm bụng gấu nâu 500ml</v>
      </c>
      <c r="C409" s="436" t="str">
        <f>VLOOKUP(A409,'Danh mục hàng hóa'!$C$3:$E$656,3,0)</f>
        <v>túi</v>
      </c>
      <c r="D409" s="437">
        <f>VLOOKUP(A409,'Danh mục hàng hóa'!$C$3:$M$656,6,0)</f>
        <v>72250</v>
      </c>
      <c r="E409" s="438">
        <v>1</v>
      </c>
      <c r="F409" s="439">
        <f t="shared" si="1"/>
        <v>72250</v>
      </c>
      <c r="G409" s="442"/>
      <c r="H409" s="448">
        <v>57162</v>
      </c>
    </row>
    <row r="410" spans="1:8" ht="13.2">
      <c r="A410" s="454" t="s">
        <v>1100</v>
      </c>
      <c r="B410" s="452" t="str">
        <f>VLOOKUP(A410,'Danh mục hàng hóa'!$C$3:$D$643,2,0)</f>
        <v>Vớ cổ cao sọc hồng</v>
      </c>
      <c r="C410" s="436" t="str">
        <f>VLOOKUP(A410,'Danh mục hàng hóa'!$C$3:$E$656,3,0)</f>
        <v>đôi</v>
      </c>
      <c r="D410" s="437">
        <f>VLOOKUP(A410,'Danh mục hàng hóa'!$C$3:$M$656,6,0)</f>
        <v>15338</v>
      </c>
      <c r="E410" s="438">
        <v>1</v>
      </c>
      <c r="F410" s="439">
        <f t="shared" si="1"/>
        <v>15338</v>
      </c>
      <c r="G410" s="442"/>
      <c r="H410" s="447">
        <v>53717</v>
      </c>
    </row>
    <row r="411" spans="1:8" ht="13.2">
      <c r="A411" s="454" t="s">
        <v>821</v>
      </c>
      <c r="B411" s="452" t="str">
        <f>VLOOKUP(A411,'Danh mục hàng hóa'!$C$3:$D$643,2,0)</f>
        <v>Kẹp tóc bướm hồng loang xanh</v>
      </c>
      <c r="C411" s="436" t="str">
        <f>VLOOKUP(A411,'Danh mục hàng hóa'!$C$3:$E$656,3,0)</f>
        <v>cái</v>
      </c>
      <c r="D411" s="437">
        <f>VLOOKUP(A411,'Danh mục hàng hóa'!$C$3:$M$656,6,0)</f>
        <v>52000</v>
      </c>
      <c r="E411" s="438">
        <v>1</v>
      </c>
      <c r="F411" s="439">
        <f t="shared" si="1"/>
        <v>52000</v>
      </c>
      <c r="G411" s="442"/>
      <c r="H411" s="446"/>
    </row>
    <row r="412" spans="1:8" ht="13.2">
      <c r="A412" s="454" t="s">
        <v>905</v>
      </c>
      <c r="B412" s="452" t="str">
        <f>VLOOKUP(A412,'Danh mục hàng hóa'!$C$3:$D$643,2,0)</f>
        <v>Vịt ú bay</v>
      </c>
      <c r="C412" s="436" t="str">
        <f>VLOOKUP(A412,'Danh mục hàng hóa'!$C$3:$E$656,3,0)</f>
        <v>cái</v>
      </c>
      <c r="D412" s="437">
        <f>VLOOKUP(A412,'Danh mục hàng hóa'!$C$3:$M$656,6,0)</f>
        <v>64500</v>
      </c>
      <c r="E412" s="438">
        <v>1</v>
      </c>
      <c r="F412" s="439">
        <f t="shared" si="1"/>
        <v>64500</v>
      </c>
      <c r="G412" s="442"/>
      <c r="H412" s="448">
        <v>51084</v>
      </c>
    </row>
    <row r="413" spans="1:8" ht="13.2">
      <c r="A413" s="454" t="s">
        <v>794</v>
      </c>
      <c r="B413" s="452" t="str">
        <f>VLOOKUP(A413,'Danh mục hàng hóa'!$C$3:$D$643,2,0)</f>
        <v>Kẹp tóc bướm xanh tím</v>
      </c>
      <c r="C413" s="436" t="str">
        <f>VLOOKUP(A413,'Danh mục hàng hóa'!$C$3:$E$656,3,0)</f>
        <v>cái</v>
      </c>
      <c r="D413" s="437">
        <f>VLOOKUP(A413,'Danh mục hàng hóa'!$C$3:$M$656,6,0)</f>
        <v>40000</v>
      </c>
      <c r="E413" s="438">
        <v>1</v>
      </c>
      <c r="F413" s="439">
        <f t="shared" si="1"/>
        <v>40000</v>
      </c>
      <c r="G413" s="442"/>
      <c r="H413" s="447">
        <v>63300</v>
      </c>
    </row>
    <row r="414" spans="1:8" ht="13.2">
      <c r="A414" s="454" t="s">
        <v>827</v>
      </c>
      <c r="B414" s="452" t="str">
        <f>VLOOKUP(A414,'Danh mục hàng hóa'!$C$3:$D$643,2,0)</f>
        <v>Kẹp tóc bướm hồng</v>
      </c>
      <c r="C414" s="436" t="str">
        <f>VLOOKUP(A414,'Danh mục hàng hóa'!$C$3:$E$656,3,0)</f>
        <v>cái</v>
      </c>
      <c r="D414" s="437">
        <f>VLOOKUP(A414,'Danh mục hàng hóa'!$C$3:$M$656,6,0)</f>
        <v>52000</v>
      </c>
      <c r="E414" s="438">
        <v>1</v>
      </c>
      <c r="F414" s="439">
        <f t="shared" si="1"/>
        <v>52000</v>
      </c>
      <c r="G414" s="442"/>
      <c r="H414" s="446"/>
    </row>
    <row r="415" spans="1:8" ht="13.2">
      <c r="A415" s="454" t="s">
        <v>823</v>
      </c>
      <c r="B415" s="452" t="str">
        <f>VLOOKUP(A415,'Danh mục hàng hóa'!$C$3:$D$643,2,0)</f>
        <v>Kẹp tóc bướm xanh vàng</v>
      </c>
      <c r="C415" s="436" t="str">
        <f>VLOOKUP(A415,'Danh mục hàng hóa'!$C$3:$E$656,3,0)</f>
        <v>cái</v>
      </c>
      <c r="D415" s="437">
        <f>VLOOKUP(A415,'Danh mục hàng hóa'!$C$3:$M$656,6,0)</f>
        <v>52000</v>
      </c>
      <c r="E415" s="438">
        <v>1</v>
      </c>
      <c r="F415" s="439">
        <f t="shared" si="1"/>
        <v>52000</v>
      </c>
      <c r="G415" s="442"/>
      <c r="H415" s="447">
        <v>179520</v>
      </c>
    </row>
    <row r="416" spans="1:8" ht="13.2">
      <c r="A416" s="454" t="s">
        <v>794</v>
      </c>
      <c r="B416" s="452" t="str">
        <f>VLOOKUP(A416,'Danh mục hàng hóa'!$C$3:$D$643,2,0)</f>
        <v>Kẹp tóc bướm xanh tím</v>
      </c>
      <c r="C416" s="436" t="str">
        <f>VLOOKUP(A416,'Danh mục hàng hóa'!$C$3:$E$656,3,0)</f>
        <v>cái</v>
      </c>
      <c r="D416" s="437">
        <f>VLOOKUP(A416,'Danh mục hàng hóa'!$C$3:$M$656,6,0)</f>
        <v>40000</v>
      </c>
      <c r="E416" s="438">
        <v>1</v>
      </c>
      <c r="F416" s="439">
        <f t="shared" si="1"/>
        <v>40000</v>
      </c>
      <c r="G416" s="442"/>
      <c r="H416" s="446"/>
    </row>
    <row r="417" spans="1:8" ht="13.2">
      <c r="A417" s="454" t="s">
        <v>819</v>
      </c>
      <c r="B417" s="452" t="str">
        <f>VLOOKUP(A417,'Danh mục hàng hóa'!$C$3:$D$643,2,0)</f>
        <v>Kẹp tóc bướm xanh trắng</v>
      </c>
      <c r="C417" s="436" t="str">
        <f>VLOOKUP(A417,'Danh mục hàng hóa'!$C$3:$E$656,3,0)</f>
        <v>cái</v>
      </c>
      <c r="D417" s="437">
        <f>VLOOKUP(A417,'Danh mục hàng hóa'!$C$3:$M$656,6,0)</f>
        <v>52000</v>
      </c>
      <c r="E417" s="438">
        <v>1</v>
      </c>
      <c r="F417" s="439">
        <f t="shared" si="1"/>
        <v>52000</v>
      </c>
      <c r="G417" s="442"/>
      <c r="H417" s="446"/>
    </row>
    <row r="418" spans="1:8" ht="13.2">
      <c r="A418" s="454" t="s">
        <v>796</v>
      </c>
      <c r="B418" s="452" t="str">
        <f>VLOOKUP(A418,'Danh mục hàng hóa'!$C$3:$D$643,2,0)</f>
        <v>Kẹp tóc bướm tím</v>
      </c>
      <c r="C418" s="436" t="str">
        <f>VLOOKUP(A418,'Danh mục hàng hóa'!$C$3:$E$656,3,0)</f>
        <v>cái</v>
      </c>
      <c r="D418" s="437">
        <f>VLOOKUP(A418,'Danh mục hàng hóa'!$C$3:$M$656,6,0)</f>
        <v>38000</v>
      </c>
      <c r="E418" s="438">
        <v>1</v>
      </c>
      <c r="F418" s="439">
        <f t="shared" si="1"/>
        <v>38000</v>
      </c>
      <c r="G418" s="442"/>
      <c r="H418" s="446"/>
    </row>
    <row r="419" spans="1:8" ht="13.2">
      <c r="A419" s="454" t="s">
        <v>827</v>
      </c>
      <c r="B419" s="452" t="str">
        <f>VLOOKUP(A419,'Danh mục hàng hóa'!$C$3:$D$643,2,0)</f>
        <v>Kẹp tóc bướm hồng</v>
      </c>
      <c r="C419" s="436" t="str">
        <f>VLOOKUP(A419,'Danh mục hàng hóa'!$C$3:$E$656,3,0)</f>
        <v>cái</v>
      </c>
      <c r="D419" s="437">
        <f>VLOOKUP(A419,'Danh mục hàng hóa'!$C$3:$M$656,6,0)</f>
        <v>52000</v>
      </c>
      <c r="E419" s="438">
        <v>1</v>
      </c>
      <c r="F419" s="439">
        <f t="shared" si="1"/>
        <v>52000</v>
      </c>
      <c r="G419" s="442"/>
      <c r="H419" s="446"/>
    </row>
    <row r="420" spans="1:8" ht="13.2">
      <c r="A420" s="454" t="s">
        <v>792</v>
      </c>
      <c r="B420" s="452" t="str">
        <f>VLOOKUP(A420,'Danh mục hàng hóa'!$C$3:$D$643,2,0)</f>
        <v>Kẹp tóc bướm xanh ngọc</v>
      </c>
      <c r="C420" s="436" t="str">
        <f>VLOOKUP(A420,'Danh mục hàng hóa'!$C$3:$E$656,3,0)</f>
        <v>cái</v>
      </c>
      <c r="D420" s="437">
        <f>VLOOKUP(A420,'Danh mục hàng hóa'!$C$3:$M$656,6,0)</f>
        <v>38000</v>
      </c>
      <c r="E420" s="438">
        <v>1</v>
      </c>
      <c r="F420" s="439">
        <f t="shared" si="1"/>
        <v>38000</v>
      </c>
      <c r="G420" s="442"/>
      <c r="H420" s="447">
        <v>63300</v>
      </c>
    </row>
    <row r="421" spans="1:8" ht="13.2">
      <c r="A421" s="454" t="s">
        <v>794</v>
      </c>
      <c r="B421" s="452" t="str">
        <f>VLOOKUP(A421,'Danh mục hàng hóa'!$C$3:$D$643,2,0)</f>
        <v>Kẹp tóc bướm xanh tím</v>
      </c>
      <c r="C421" s="436" t="str">
        <f>VLOOKUP(A421,'Danh mục hàng hóa'!$C$3:$E$656,3,0)</f>
        <v>cái</v>
      </c>
      <c r="D421" s="437">
        <f>VLOOKUP(A421,'Danh mục hàng hóa'!$C$3:$M$656,6,0)</f>
        <v>40000</v>
      </c>
      <c r="E421" s="438">
        <v>1</v>
      </c>
      <c r="F421" s="439">
        <f t="shared" si="1"/>
        <v>40000</v>
      </c>
      <c r="G421" s="442"/>
      <c r="H421" s="446"/>
    </row>
    <row r="422" spans="1:8" ht="13.2">
      <c r="A422" s="454" t="s">
        <v>788</v>
      </c>
      <c r="B422" s="452" t="str">
        <f>VLOOKUP(A422,'Danh mục hàng hóa'!$C$3:$D$643,2,0)</f>
        <v>Kẹp tóc bướm hồng phấn</v>
      </c>
      <c r="C422" s="436" t="str">
        <f>VLOOKUP(A422,'Danh mục hàng hóa'!$C$3:$E$656,3,0)</f>
        <v>cái</v>
      </c>
      <c r="D422" s="437">
        <f>VLOOKUP(A422,'Danh mục hàng hóa'!$C$3:$M$656,6,0)</f>
        <v>38000</v>
      </c>
      <c r="E422" s="438">
        <v>1</v>
      </c>
      <c r="F422" s="439">
        <f t="shared" si="1"/>
        <v>38000</v>
      </c>
      <c r="G422" s="442"/>
      <c r="H422" s="447">
        <v>136224</v>
      </c>
    </row>
    <row r="423" spans="1:8" ht="13.2">
      <c r="A423" s="454" t="s">
        <v>794</v>
      </c>
      <c r="B423" s="452" t="str">
        <f>VLOOKUP(A423,'Danh mục hàng hóa'!$C$3:$D$643,2,0)</f>
        <v>Kẹp tóc bướm xanh tím</v>
      </c>
      <c r="C423" s="436" t="str">
        <f>VLOOKUP(A423,'Danh mục hàng hóa'!$C$3:$E$656,3,0)</f>
        <v>cái</v>
      </c>
      <c r="D423" s="437">
        <f>VLOOKUP(A423,'Danh mục hàng hóa'!$C$3:$M$656,6,0)</f>
        <v>40000</v>
      </c>
      <c r="E423" s="438">
        <v>1</v>
      </c>
      <c r="F423" s="439">
        <f t="shared" si="1"/>
        <v>40000</v>
      </c>
      <c r="G423" s="442"/>
      <c r="H423" s="446"/>
    </row>
    <row r="424" spans="1:8" ht="13.2">
      <c r="A424" s="454" t="s">
        <v>821</v>
      </c>
      <c r="B424" s="452" t="str">
        <f>VLOOKUP(A424,'Danh mục hàng hóa'!$C$3:$D$643,2,0)</f>
        <v>Kẹp tóc bướm hồng loang xanh</v>
      </c>
      <c r="C424" s="436" t="str">
        <f>VLOOKUP(A424,'Danh mục hàng hóa'!$C$3:$E$656,3,0)</f>
        <v>cái</v>
      </c>
      <c r="D424" s="437">
        <f>VLOOKUP(A424,'Danh mục hàng hóa'!$C$3:$M$656,6,0)</f>
        <v>52000</v>
      </c>
      <c r="E424" s="438">
        <v>1</v>
      </c>
      <c r="F424" s="439">
        <f t="shared" si="1"/>
        <v>52000</v>
      </c>
      <c r="G424" s="442"/>
      <c r="H424" s="446"/>
    </row>
    <row r="425" spans="1:8" ht="13.2">
      <c r="A425" s="454" t="s">
        <v>796</v>
      </c>
      <c r="B425" s="452" t="str">
        <f>VLOOKUP(A425,'Danh mục hàng hóa'!$C$3:$D$643,2,0)</f>
        <v>Kẹp tóc bướm tím</v>
      </c>
      <c r="C425" s="436" t="str">
        <f>VLOOKUP(A425,'Danh mục hàng hóa'!$C$3:$E$656,3,0)</f>
        <v>cái</v>
      </c>
      <c r="D425" s="437">
        <f>VLOOKUP(A425,'Danh mục hàng hóa'!$C$3:$M$656,6,0)</f>
        <v>38000</v>
      </c>
      <c r="E425" s="438">
        <v>1</v>
      </c>
      <c r="F425" s="439">
        <f t="shared" si="1"/>
        <v>38000</v>
      </c>
      <c r="G425" s="442"/>
      <c r="H425" s="446"/>
    </row>
    <row r="426" spans="1:8" ht="13.2">
      <c r="A426" s="454" t="s">
        <v>798</v>
      </c>
      <c r="B426" s="452" t="str">
        <f>VLOOKUP(A426,'Danh mục hàng hóa'!$C$3:$D$643,2,0)</f>
        <v>Kẹp tóc bướm trắng</v>
      </c>
      <c r="C426" s="436" t="str">
        <f>VLOOKUP(A426,'Danh mục hàng hóa'!$C$3:$E$656,3,0)</f>
        <v>cái</v>
      </c>
      <c r="D426" s="437">
        <f>VLOOKUP(A426,'Danh mục hàng hóa'!$C$3:$M$656,6,0)</f>
        <v>40000</v>
      </c>
      <c r="E426" s="438">
        <v>1</v>
      </c>
      <c r="F426" s="439">
        <f t="shared" si="1"/>
        <v>40000</v>
      </c>
      <c r="G426" s="442"/>
      <c r="H426" s="447">
        <v>90144</v>
      </c>
    </row>
    <row r="427" spans="1:8" ht="13.2">
      <c r="A427" s="454" t="s">
        <v>817</v>
      </c>
      <c r="B427" s="452" t="str">
        <f>VLOOKUP(A427,'Danh mục hàng hóa'!$C$3:$D$643,2,0)</f>
        <v>Kẹp tóc bướm hồng trắng</v>
      </c>
      <c r="C427" s="436" t="str">
        <f>VLOOKUP(A427,'Danh mục hàng hóa'!$C$3:$E$656,3,0)</f>
        <v>cái</v>
      </c>
      <c r="D427" s="437">
        <f>VLOOKUP(A427,'Danh mục hàng hóa'!$C$3:$M$656,6,0)</f>
        <v>52000</v>
      </c>
      <c r="E427" s="438">
        <v>1</v>
      </c>
      <c r="F427" s="439">
        <f t="shared" si="1"/>
        <v>52000</v>
      </c>
      <c r="G427" s="442"/>
      <c r="H427" s="446"/>
    </row>
    <row r="428" spans="1:8" ht="13.2">
      <c r="A428" s="454" t="s">
        <v>817</v>
      </c>
      <c r="B428" s="452" t="str">
        <f>VLOOKUP(A428,'Danh mục hàng hóa'!$C$3:$D$643,2,0)</f>
        <v>Kẹp tóc bướm hồng trắng</v>
      </c>
      <c r="C428" s="436" t="str">
        <f>VLOOKUP(A428,'Danh mục hàng hóa'!$C$3:$E$656,3,0)</f>
        <v>cái</v>
      </c>
      <c r="D428" s="437">
        <f>VLOOKUP(A428,'Danh mục hàng hóa'!$C$3:$M$656,6,0)</f>
        <v>52000</v>
      </c>
      <c r="E428" s="438">
        <v>1</v>
      </c>
      <c r="F428" s="439">
        <f t="shared" si="1"/>
        <v>52000</v>
      </c>
      <c r="G428" s="442"/>
      <c r="H428" s="448">
        <v>58464</v>
      </c>
    </row>
    <row r="429" spans="1:8" ht="13.2">
      <c r="A429" s="454" t="s">
        <v>794</v>
      </c>
      <c r="B429" s="452" t="str">
        <f>VLOOKUP(A429,'Danh mục hàng hóa'!$C$3:$D$643,2,0)</f>
        <v>Kẹp tóc bướm xanh tím</v>
      </c>
      <c r="C429" s="436" t="str">
        <f>VLOOKUP(A429,'Danh mục hàng hóa'!$C$3:$E$656,3,0)</f>
        <v>cái</v>
      </c>
      <c r="D429" s="437">
        <f>VLOOKUP(A429,'Danh mục hàng hóa'!$C$3:$M$656,6,0)</f>
        <v>40000</v>
      </c>
      <c r="E429" s="438">
        <v>1</v>
      </c>
      <c r="F429" s="439">
        <f t="shared" si="1"/>
        <v>40000</v>
      </c>
      <c r="G429" s="442"/>
      <c r="H429" s="448">
        <v>35200</v>
      </c>
    </row>
    <row r="430" spans="1:8" ht="13.2">
      <c r="A430" s="454" t="s">
        <v>821</v>
      </c>
      <c r="B430" s="452" t="str">
        <f>VLOOKUP(A430,'Danh mục hàng hóa'!$C$3:$D$643,2,0)</f>
        <v>Kẹp tóc bướm hồng loang xanh</v>
      </c>
      <c r="C430" s="436" t="str">
        <f>VLOOKUP(A430,'Danh mục hàng hóa'!$C$3:$E$656,3,0)</f>
        <v>cái</v>
      </c>
      <c r="D430" s="437">
        <f>VLOOKUP(A430,'Danh mục hàng hóa'!$C$3:$M$656,6,0)</f>
        <v>52000</v>
      </c>
      <c r="E430" s="438">
        <v>1</v>
      </c>
      <c r="F430" s="439">
        <f t="shared" si="1"/>
        <v>52000</v>
      </c>
      <c r="G430" s="442"/>
      <c r="H430" s="448">
        <v>41044</v>
      </c>
    </row>
    <row r="431" spans="1:8" ht="13.2">
      <c r="A431" s="454" t="s">
        <v>800</v>
      </c>
      <c r="B431" s="452" t="str">
        <f>VLOOKUP(A431,'Danh mục hàng hóa'!$C$3:$D$643,2,0)</f>
        <v>Kẹp tóc bướm kem</v>
      </c>
      <c r="C431" s="436" t="str">
        <f>VLOOKUP(A431,'Danh mục hàng hóa'!$C$3:$E$656,3,0)</f>
        <v>cái</v>
      </c>
      <c r="D431" s="437">
        <f>VLOOKUP(A431,'Danh mục hàng hóa'!$C$3:$M$656,6,0)</f>
        <v>38000</v>
      </c>
      <c r="E431" s="438">
        <v>1</v>
      </c>
      <c r="F431" s="439">
        <f t="shared" si="1"/>
        <v>38000</v>
      </c>
      <c r="G431" s="442"/>
      <c r="H431" s="447">
        <v>200080</v>
      </c>
    </row>
    <row r="432" spans="1:8" ht="13.2">
      <c r="A432" s="454" t="s">
        <v>821</v>
      </c>
      <c r="B432" s="452" t="str">
        <f>VLOOKUP(A432,'Danh mục hàng hóa'!$C$3:$D$643,2,0)</f>
        <v>Kẹp tóc bướm hồng loang xanh</v>
      </c>
      <c r="C432" s="436" t="str">
        <f>VLOOKUP(A432,'Danh mục hàng hóa'!$C$3:$E$656,3,0)</f>
        <v>cái</v>
      </c>
      <c r="D432" s="437">
        <f>VLOOKUP(A432,'Danh mục hàng hóa'!$C$3:$M$656,6,0)</f>
        <v>52000</v>
      </c>
      <c r="E432" s="438">
        <v>1</v>
      </c>
      <c r="F432" s="439">
        <f t="shared" si="1"/>
        <v>52000</v>
      </c>
      <c r="G432" s="442"/>
      <c r="H432" s="446"/>
    </row>
    <row r="433" spans="1:8" ht="13.2">
      <c r="A433" s="454" t="s">
        <v>829</v>
      </c>
      <c r="B433" s="452" t="str">
        <f>VLOOKUP(A433,'Danh mục hàng hóa'!$C$3:$D$643,2,0)</f>
        <v>Kẹp tóc bướm trắng</v>
      </c>
      <c r="C433" s="436" t="str">
        <f>VLOOKUP(A433,'Danh mục hàng hóa'!$C$3:$E$656,3,0)</f>
        <v>cái</v>
      </c>
      <c r="D433" s="437">
        <f>VLOOKUP(A433,'Danh mục hàng hóa'!$C$3:$M$656,6,0)</f>
        <v>52000</v>
      </c>
      <c r="E433" s="438">
        <v>1</v>
      </c>
      <c r="F433" s="439">
        <f t="shared" si="1"/>
        <v>52000</v>
      </c>
      <c r="G433" s="442"/>
      <c r="H433" s="446"/>
    </row>
    <row r="434" spans="1:8" ht="13.2">
      <c r="A434" s="454" t="s">
        <v>825</v>
      </c>
      <c r="B434" s="452" t="str">
        <f>VLOOKUP(A434,'Danh mục hàng hóa'!$C$3:$D$643,2,0)</f>
        <v>Kẹp tóc bướm hồng cam</v>
      </c>
      <c r="C434" s="436" t="str">
        <f>VLOOKUP(A434,'Danh mục hàng hóa'!$C$3:$E$656,3,0)</f>
        <v>cái</v>
      </c>
      <c r="D434" s="437">
        <f>VLOOKUP(A434,'Danh mục hàng hóa'!$C$3:$M$656,6,0)</f>
        <v>52000</v>
      </c>
      <c r="E434" s="438">
        <v>1</v>
      </c>
      <c r="F434" s="439">
        <f t="shared" si="1"/>
        <v>52000</v>
      </c>
      <c r="G434" s="442"/>
      <c r="H434" s="446"/>
    </row>
    <row r="435" spans="1:8" ht="13.2">
      <c r="A435" s="454" t="s">
        <v>817</v>
      </c>
      <c r="B435" s="452" t="str">
        <f>VLOOKUP(A435,'Danh mục hàng hóa'!$C$3:$D$643,2,0)</f>
        <v>Kẹp tóc bướm hồng trắng</v>
      </c>
      <c r="C435" s="436" t="str">
        <f>VLOOKUP(A435,'Danh mục hàng hóa'!$C$3:$E$656,3,0)</f>
        <v>cái</v>
      </c>
      <c r="D435" s="437">
        <f>VLOOKUP(A435,'Danh mục hàng hóa'!$C$3:$M$656,6,0)</f>
        <v>52000</v>
      </c>
      <c r="E435" s="438">
        <v>1</v>
      </c>
      <c r="F435" s="439">
        <f t="shared" si="1"/>
        <v>52000</v>
      </c>
      <c r="G435" s="442"/>
      <c r="H435" s="446"/>
    </row>
    <row r="436" spans="1:8" ht="13.2">
      <c r="A436" s="454" t="s">
        <v>895</v>
      </c>
      <c r="B436" s="452" t="str">
        <f>VLOOKUP(A436,'Danh mục hàng hóa'!$C$3:$D$643,2,0)</f>
        <v>Thỏ chong chóng</v>
      </c>
      <c r="C436" s="436" t="str">
        <f>VLOOKUP(A436,'Danh mục hàng hóa'!$C$3:$E$656,3,0)</f>
        <v>cái</v>
      </c>
      <c r="D436" s="437">
        <f>VLOOKUP(A436,'Danh mục hàng hóa'!$C$3:$M$656,6,0)</f>
        <v>54740</v>
      </c>
      <c r="E436" s="438">
        <v>1</v>
      </c>
      <c r="F436" s="439">
        <f t="shared" si="1"/>
        <v>54740</v>
      </c>
      <c r="G436" s="442"/>
      <c r="H436" s="448">
        <v>47124</v>
      </c>
    </row>
    <row r="437" spans="1:8" ht="13.2">
      <c r="A437" s="454" t="s">
        <v>981</v>
      </c>
      <c r="B437" s="452" t="str">
        <f>VLOOKUP(A437,'Danh mục hàng hóa'!$C$3:$D$643,2,0)</f>
        <v>Móc khóa đôi corgy</v>
      </c>
      <c r="C437" s="436" t="str">
        <f>VLOOKUP(A437,'Danh mục hàng hóa'!$C$3:$E$656,3,0)</f>
        <v>cái</v>
      </c>
      <c r="D437" s="437">
        <f>VLOOKUP(A437,'Danh mục hàng hóa'!$C$3:$M$656,6,0)</f>
        <v>56580</v>
      </c>
      <c r="E437" s="438">
        <v>1</v>
      </c>
      <c r="F437" s="439">
        <f t="shared" si="1"/>
        <v>56580</v>
      </c>
      <c r="G437" s="442"/>
      <c r="H437" s="448">
        <v>44811</v>
      </c>
    </row>
    <row r="438" spans="1:8" ht="13.2">
      <c r="A438" s="454" t="s">
        <v>819</v>
      </c>
      <c r="B438" s="452" t="str">
        <f>VLOOKUP(A438,'Danh mục hàng hóa'!$C$3:$D$643,2,0)</f>
        <v>Kẹp tóc bướm xanh trắng</v>
      </c>
      <c r="C438" s="436" t="str">
        <f>VLOOKUP(A438,'Danh mục hàng hóa'!$C$3:$E$656,3,0)</f>
        <v>cái</v>
      </c>
      <c r="D438" s="437">
        <f>VLOOKUP(A438,'Danh mục hàng hóa'!$C$3:$M$656,6,0)</f>
        <v>52000</v>
      </c>
      <c r="E438" s="438">
        <v>1</v>
      </c>
      <c r="F438" s="439">
        <f t="shared" si="1"/>
        <v>52000</v>
      </c>
      <c r="G438" s="442"/>
      <c r="H438" s="448">
        <v>40464</v>
      </c>
    </row>
    <row r="439" spans="1:8" ht="13.2">
      <c r="A439" s="454" t="s">
        <v>794</v>
      </c>
      <c r="B439" s="452" t="str">
        <f>VLOOKUP(A439,'Danh mục hàng hóa'!$C$3:$D$643,2,0)</f>
        <v>Kẹp tóc bướm xanh tím</v>
      </c>
      <c r="C439" s="436" t="str">
        <f>VLOOKUP(A439,'Danh mục hàng hóa'!$C$3:$E$656,3,0)</f>
        <v>cái</v>
      </c>
      <c r="D439" s="437">
        <f>VLOOKUP(A439,'Danh mục hàng hóa'!$C$3:$M$656,6,0)</f>
        <v>40000</v>
      </c>
      <c r="E439" s="438">
        <v>1</v>
      </c>
      <c r="F439" s="439">
        <f t="shared" si="1"/>
        <v>40000</v>
      </c>
      <c r="G439" s="442"/>
      <c r="H439" s="448">
        <v>35200</v>
      </c>
    </row>
    <row r="440" spans="1:8" ht="13.2">
      <c r="A440" s="454" t="s">
        <v>798</v>
      </c>
      <c r="B440" s="452" t="str">
        <f>VLOOKUP(A440,'Danh mục hàng hóa'!$C$3:$D$643,2,0)</f>
        <v>Kẹp tóc bướm trắng</v>
      </c>
      <c r="C440" s="436" t="str">
        <f>VLOOKUP(A440,'Danh mục hàng hóa'!$C$3:$E$656,3,0)</f>
        <v>cái</v>
      </c>
      <c r="D440" s="437">
        <f>VLOOKUP(A440,'Danh mục hàng hóa'!$C$3:$M$656,6,0)</f>
        <v>40000</v>
      </c>
      <c r="E440" s="438">
        <v>1</v>
      </c>
      <c r="F440" s="439">
        <f t="shared" si="1"/>
        <v>40000</v>
      </c>
      <c r="G440" s="442"/>
      <c r="H440" s="448">
        <v>35040</v>
      </c>
    </row>
    <row r="441" spans="1:8" ht="13.2">
      <c r="A441" s="454" t="s">
        <v>719</v>
      </c>
      <c r="B441" s="452" t="str">
        <f>VLOOKUP(A441,'Danh mục hàng hóa'!$C$3:$D$643,2,0)</f>
        <v>Kẹp nơ hồng</v>
      </c>
      <c r="C441" s="436" t="str">
        <f>VLOOKUP(A441,'Danh mục hàng hóa'!$C$3:$E$656,3,0)</f>
        <v>cái</v>
      </c>
      <c r="D441" s="437">
        <f>VLOOKUP(A441,'Danh mục hàng hóa'!$C$3:$M$656,6,0)</f>
        <v>22000</v>
      </c>
      <c r="E441" s="438">
        <v>1</v>
      </c>
      <c r="F441" s="439">
        <f t="shared" si="1"/>
        <v>22000</v>
      </c>
      <c r="G441" s="442"/>
      <c r="H441" s="447">
        <v>38560</v>
      </c>
    </row>
    <row r="442" spans="1:8" ht="13.2">
      <c r="A442" s="454" t="s">
        <v>726</v>
      </c>
      <c r="B442" s="452" t="str">
        <f>VLOOKUP(A442,'Danh mục hàng hóa'!$C$3:$D$643,2,0)</f>
        <v>Kẹp nơ xanh đen</v>
      </c>
      <c r="C442" s="436" t="str">
        <f>VLOOKUP(A442,'Danh mục hàng hóa'!$C$3:$E$656,3,0)</f>
        <v>cái</v>
      </c>
      <c r="D442" s="437">
        <f>VLOOKUP(A442,'Danh mục hàng hóa'!$C$3:$M$656,6,0)</f>
        <v>22000</v>
      </c>
      <c r="E442" s="438">
        <v>1</v>
      </c>
      <c r="F442" s="439">
        <f t="shared" si="1"/>
        <v>22000</v>
      </c>
      <c r="G442" s="442"/>
      <c r="H442" s="446"/>
    </row>
    <row r="443" spans="1:8" ht="13.2">
      <c r="A443" s="454" t="s">
        <v>719</v>
      </c>
      <c r="B443" s="452" t="str">
        <f>VLOOKUP(A443,'Danh mục hàng hóa'!$C$3:$D$643,2,0)</f>
        <v>Kẹp nơ hồng</v>
      </c>
      <c r="C443" s="436" t="str">
        <f>VLOOKUP(A443,'Danh mục hàng hóa'!$C$3:$E$656,3,0)</f>
        <v>cái</v>
      </c>
      <c r="D443" s="437">
        <f>VLOOKUP(A443,'Danh mục hàng hóa'!$C$3:$M$656,6,0)</f>
        <v>22000</v>
      </c>
      <c r="E443" s="438">
        <v>1</v>
      </c>
      <c r="F443" s="439">
        <f t="shared" si="1"/>
        <v>22000</v>
      </c>
      <c r="G443" s="442"/>
      <c r="H443" s="447">
        <v>99732</v>
      </c>
    </row>
    <row r="444" spans="1:8" ht="13.2">
      <c r="A444" s="454" t="s">
        <v>821</v>
      </c>
      <c r="B444" s="452" t="str">
        <f>VLOOKUP(A444,'Danh mục hàng hóa'!$C$3:$D$643,2,0)</f>
        <v>Kẹp tóc bướm hồng loang xanh</v>
      </c>
      <c r="C444" s="436" t="str">
        <f>VLOOKUP(A444,'Danh mục hàng hóa'!$C$3:$E$656,3,0)</f>
        <v>cái</v>
      </c>
      <c r="D444" s="437">
        <f>VLOOKUP(A444,'Danh mục hàng hóa'!$C$3:$M$656,6,0)</f>
        <v>52000</v>
      </c>
      <c r="E444" s="438">
        <v>1</v>
      </c>
      <c r="F444" s="439">
        <f t="shared" si="1"/>
        <v>52000</v>
      </c>
      <c r="G444" s="442"/>
      <c r="H444" s="446"/>
    </row>
    <row r="445" spans="1:8" ht="13.2">
      <c r="A445" s="454" t="s">
        <v>819</v>
      </c>
      <c r="B445" s="452" t="str">
        <f>VLOOKUP(A445,'Danh mục hàng hóa'!$C$3:$D$643,2,0)</f>
        <v>Kẹp tóc bướm xanh trắng</v>
      </c>
      <c r="C445" s="436" t="str">
        <f>VLOOKUP(A445,'Danh mục hàng hóa'!$C$3:$E$656,3,0)</f>
        <v>cái</v>
      </c>
      <c r="D445" s="437">
        <f>VLOOKUP(A445,'Danh mục hàng hóa'!$C$3:$M$656,6,0)</f>
        <v>52000</v>
      </c>
      <c r="E445" s="438">
        <v>1</v>
      </c>
      <c r="F445" s="439">
        <f t="shared" si="1"/>
        <v>52000</v>
      </c>
      <c r="G445" s="442"/>
      <c r="H445" s="446"/>
    </row>
    <row r="446" spans="1:8" ht="13.2">
      <c r="A446" s="454" t="s">
        <v>798</v>
      </c>
      <c r="B446" s="452" t="str">
        <f>VLOOKUP(A446,'Danh mục hàng hóa'!$C$3:$D$643,2,0)</f>
        <v>Kẹp tóc bướm trắng</v>
      </c>
      <c r="C446" s="436" t="str">
        <f>VLOOKUP(A446,'Danh mục hàng hóa'!$C$3:$E$656,3,0)</f>
        <v>cái</v>
      </c>
      <c r="D446" s="437">
        <f>VLOOKUP(A446,'Danh mục hàng hóa'!$C$3:$M$656,6,0)</f>
        <v>40000</v>
      </c>
      <c r="E446" s="438">
        <v>1</v>
      </c>
      <c r="F446" s="439">
        <f t="shared" si="1"/>
        <v>40000</v>
      </c>
      <c r="G446" s="442"/>
      <c r="H446" s="448">
        <v>35140</v>
      </c>
    </row>
    <row r="447" spans="1:8" ht="13.2">
      <c r="A447" s="454" t="s">
        <v>794</v>
      </c>
      <c r="B447" s="452" t="str">
        <f>VLOOKUP(A447,'Danh mục hàng hóa'!$C$3:$D$643,2,0)</f>
        <v>Kẹp tóc bướm xanh tím</v>
      </c>
      <c r="C447" s="436" t="str">
        <f>VLOOKUP(A447,'Danh mục hàng hóa'!$C$3:$E$656,3,0)</f>
        <v>cái</v>
      </c>
      <c r="D447" s="437">
        <f>VLOOKUP(A447,'Danh mục hàng hóa'!$C$3:$M$656,6,0)</f>
        <v>40000</v>
      </c>
      <c r="E447" s="438">
        <v>1</v>
      </c>
      <c r="F447" s="439">
        <f t="shared" si="1"/>
        <v>40000</v>
      </c>
      <c r="G447" s="442"/>
      <c r="H447" s="448">
        <v>35140</v>
      </c>
    </row>
    <row r="448" spans="1:8" ht="13.2">
      <c r="A448" s="454" t="s">
        <v>819</v>
      </c>
      <c r="B448" s="452" t="str">
        <f>VLOOKUP(A448,'Danh mục hàng hóa'!$C$3:$D$643,2,0)</f>
        <v>Kẹp tóc bướm xanh trắng</v>
      </c>
      <c r="C448" s="436" t="str">
        <f>VLOOKUP(A448,'Danh mục hàng hóa'!$C$3:$E$656,3,0)</f>
        <v>cái</v>
      </c>
      <c r="D448" s="437">
        <f>VLOOKUP(A448,'Danh mục hàng hóa'!$C$3:$M$656,6,0)</f>
        <v>52000</v>
      </c>
      <c r="E448" s="438">
        <v>1</v>
      </c>
      <c r="F448" s="439">
        <f t="shared" si="1"/>
        <v>52000</v>
      </c>
      <c r="G448" s="442"/>
      <c r="H448" s="448">
        <v>45440</v>
      </c>
    </row>
    <row r="449" spans="1:8" ht="13.2">
      <c r="A449" s="454" t="s">
        <v>796</v>
      </c>
      <c r="B449" s="452" t="str">
        <f>VLOOKUP(A449,'Danh mục hàng hóa'!$C$3:$D$643,2,0)</f>
        <v>Kẹp tóc bướm tím</v>
      </c>
      <c r="C449" s="436" t="str">
        <f>VLOOKUP(A449,'Danh mục hàng hóa'!$C$3:$E$656,3,0)</f>
        <v>cái</v>
      </c>
      <c r="D449" s="437">
        <f>VLOOKUP(A449,'Danh mục hàng hóa'!$C$3:$M$656,6,0)</f>
        <v>38000</v>
      </c>
      <c r="E449" s="438">
        <v>1</v>
      </c>
      <c r="F449" s="439">
        <f t="shared" si="1"/>
        <v>38000</v>
      </c>
      <c r="G449" s="442"/>
      <c r="H449" s="448">
        <v>35140</v>
      </c>
    </row>
    <row r="450" spans="1:8" ht="13.2">
      <c r="A450" s="454" t="s">
        <v>1066</v>
      </c>
      <c r="B450" s="452" t="str">
        <f>VLOOKUP(A450,'Danh mục hàng hóa'!$C$3:$D$643,2,0)</f>
        <v>Vớ trắng mỏng nhiều hoa</v>
      </c>
      <c r="C450" s="436" t="str">
        <f>VLOOKUP(A450,'Danh mục hàng hóa'!$C$3:$E$656,3,0)</f>
        <v>đôi</v>
      </c>
      <c r="D450" s="437">
        <f>VLOOKUP(A450,'Danh mục hàng hóa'!$C$3:$M$656,6,0)</f>
        <v>8247.7999999999993</v>
      </c>
      <c r="E450" s="438">
        <v>1</v>
      </c>
      <c r="F450" s="439">
        <f t="shared" si="1"/>
        <v>8247.7999999999993</v>
      </c>
      <c r="G450" s="442"/>
      <c r="H450" s="447">
        <v>64963</v>
      </c>
    </row>
    <row r="451" spans="1:8" ht="13.2">
      <c r="A451" s="454" t="s">
        <v>1070</v>
      </c>
      <c r="B451" s="452" t="str">
        <f>VLOOKUP(A451,'Danh mục hàng hóa'!$C$3:$D$643,2,0)</f>
        <v>Vớ trắng mỏng gấu</v>
      </c>
      <c r="C451" s="436" t="str">
        <f>VLOOKUP(A451,'Danh mục hàng hóa'!$C$3:$E$656,3,0)</f>
        <v>đôi</v>
      </c>
      <c r="D451" s="437">
        <f>VLOOKUP(A451,'Danh mục hàng hóa'!$C$3:$M$656,6,0)</f>
        <v>8247.7999999999993</v>
      </c>
      <c r="E451" s="438">
        <v>1</v>
      </c>
      <c r="F451" s="439">
        <f t="shared" si="1"/>
        <v>8247.7999999999993</v>
      </c>
      <c r="G451" s="442"/>
      <c r="H451" s="446"/>
    </row>
    <row r="452" spans="1:8" ht="13.2">
      <c r="A452" s="454" t="s">
        <v>979</v>
      </c>
      <c r="B452" s="452" t="str">
        <f>VLOOKUP(A452,'Danh mục hàng hóa'!$C$3:$D$643,2,0)</f>
        <v>Móc khóa đôi thỏ cà rốt</v>
      </c>
      <c r="C452" s="436" t="str">
        <f>VLOOKUP(A452,'Danh mục hàng hóa'!$C$3:$E$656,3,0)</f>
        <v>cái</v>
      </c>
      <c r="D452" s="437">
        <f>VLOOKUP(A452,'Danh mục hàng hóa'!$C$3:$M$656,6,0)</f>
        <v>56580</v>
      </c>
      <c r="E452" s="438">
        <v>1</v>
      </c>
      <c r="F452" s="439">
        <f t="shared" si="1"/>
        <v>56580</v>
      </c>
      <c r="G452" s="442"/>
      <c r="H452" s="446"/>
    </row>
    <row r="453" spans="1:8" ht="13.2">
      <c r="A453" s="454" t="s">
        <v>543</v>
      </c>
      <c r="B453" s="452" t="str">
        <f>VLOOKUP(A453,'Danh mục hàng hóa'!$C$3:$D$643,2,0)</f>
        <v>Kẹp tóc kim loại bông hoa</v>
      </c>
      <c r="C453" s="436" t="str">
        <f>VLOOKUP(A453,'Danh mục hàng hóa'!$C$3:$E$656,3,0)</f>
        <v>cái</v>
      </c>
      <c r="D453" s="437">
        <f>VLOOKUP(A453,'Danh mục hàng hóa'!$C$3:$M$656,6,0)</f>
        <v>14127.400000000001</v>
      </c>
      <c r="E453" s="438">
        <v>1</v>
      </c>
      <c r="F453" s="439">
        <f t="shared" si="1"/>
        <v>14127.400000000001</v>
      </c>
      <c r="G453" s="442"/>
      <c r="H453" s="446"/>
    </row>
    <row r="454" spans="1:8" ht="13.2">
      <c r="A454" s="454" t="s">
        <v>821</v>
      </c>
      <c r="B454" s="452" t="str">
        <f>VLOOKUP(A454,'Danh mục hàng hóa'!$C$3:$D$643,2,0)</f>
        <v>Kẹp tóc bướm hồng loang xanh</v>
      </c>
      <c r="C454" s="436" t="str">
        <f>VLOOKUP(A454,'Danh mục hàng hóa'!$C$3:$E$656,3,0)</f>
        <v>cái</v>
      </c>
      <c r="D454" s="437">
        <f>VLOOKUP(A454,'Danh mục hàng hóa'!$C$3:$M$656,6,0)</f>
        <v>52000</v>
      </c>
      <c r="E454" s="438">
        <v>1</v>
      </c>
      <c r="F454" s="439">
        <f t="shared" si="1"/>
        <v>52000</v>
      </c>
      <c r="G454" s="442"/>
      <c r="H454" s="448">
        <v>42624</v>
      </c>
    </row>
    <row r="455" spans="1:8" ht="13.2">
      <c r="A455" s="454" t="s">
        <v>823</v>
      </c>
      <c r="B455" s="452" t="str">
        <f>VLOOKUP(A455,'Danh mục hàng hóa'!$C$3:$D$643,2,0)</f>
        <v>Kẹp tóc bướm xanh vàng</v>
      </c>
      <c r="C455" s="436" t="str">
        <f>VLOOKUP(A455,'Danh mục hàng hóa'!$C$3:$E$656,3,0)</f>
        <v>cái</v>
      </c>
      <c r="D455" s="437">
        <f>VLOOKUP(A455,'Danh mục hàng hóa'!$C$3:$M$656,6,0)</f>
        <v>52000</v>
      </c>
      <c r="E455" s="438">
        <v>1</v>
      </c>
      <c r="F455" s="439">
        <f t="shared" si="1"/>
        <v>52000</v>
      </c>
      <c r="G455" s="442"/>
      <c r="H455" s="447">
        <v>82188</v>
      </c>
    </row>
    <row r="456" spans="1:8" ht="13.2">
      <c r="A456" s="454" t="s">
        <v>825</v>
      </c>
      <c r="B456" s="452" t="str">
        <f>VLOOKUP(A456,'Danh mục hàng hóa'!$C$3:$D$643,2,0)</f>
        <v>Kẹp tóc bướm hồng cam</v>
      </c>
      <c r="C456" s="436" t="str">
        <f>VLOOKUP(A456,'Danh mục hàng hóa'!$C$3:$E$656,3,0)</f>
        <v>cái</v>
      </c>
      <c r="D456" s="437">
        <f>VLOOKUP(A456,'Danh mục hàng hóa'!$C$3:$M$656,6,0)</f>
        <v>52000</v>
      </c>
      <c r="E456" s="438">
        <v>1</v>
      </c>
      <c r="F456" s="439">
        <f t="shared" si="1"/>
        <v>52000</v>
      </c>
      <c r="G456" s="442"/>
      <c r="H456" s="446"/>
    </row>
    <row r="457" spans="1:8" ht="13.2">
      <c r="A457" s="454" t="s">
        <v>827</v>
      </c>
      <c r="B457" s="452" t="str">
        <f>VLOOKUP(A457,'Danh mục hàng hóa'!$C$3:$D$643,2,0)</f>
        <v>Kẹp tóc bướm hồng</v>
      </c>
      <c r="C457" s="436" t="str">
        <f>VLOOKUP(A457,'Danh mục hàng hóa'!$C$3:$E$656,3,0)</f>
        <v>cái</v>
      </c>
      <c r="D457" s="437">
        <f>VLOOKUP(A457,'Danh mục hàng hóa'!$C$3:$M$656,6,0)</f>
        <v>52000</v>
      </c>
      <c r="E457" s="438">
        <v>1</v>
      </c>
      <c r="F457" s="439">
        <f t="shared" si="1"/>
        <v>52000</v>
      </c>
      <c r="G457" s="442"/>
      <c r="H457" s="448">
        <v>35040</v>
      </c>
    </row>
    <row r="458" spans="1:8" ht="13.2">
      <c r="A458" s="454" t="s">
        <v>1025</v>
      </c>
      <c r="B458" s="452" t="str">
        <f>VLOOKUP(A458,'Danh mục hàng hóa'!$C$3:$D$643,2,0)</f>
        <v>Mô hình mèo 1</v>
      </c>
      <c r="C458" s="436" t="str">
        <f>VLOOKUP(A458,'Danh mục hàng hóa'!$C$3:$E$656,3,0)</f>
        <v>cái</v>
      </c>
      <c r="D458" s="437">
        <f>VLOOKUP(A458,'Danh mục hàng hóa'!$C$3:$M$656,6,0)</f>
        <v>37800</v>
      </c>
      <c r="E458" s="438">
        <v>1</v>
      </c>
      <c r="F458" s="439">
        <f t="shared" si="1"/>
        <v>37800</v>
      </c>
      <c r="G458" s="442"/>
      <c r="H458" s="447">
        <v>149688</v>
      </c>
    </row>
    <row r="459" spans="1:8" ht="13.2">
      <c r="A459" s="454" t="s">
        <v>1027</v>
      </c>
      <c r="B459" s="452" t="str">
        <f>VLOOKUP(A459,'Danh mục hàng hóa'!$C$3:$D$643,2,0)</f>
        <v>Mô hình mèo 2</v>
      </c>
      <c r="C459" s="436" t="str">
        <f>VLOOKUP(A459,'Danh mục hàng hóa'!$C$3:$E$656,3,0)</f>
        <v>cái</v>
      </c>
      <c r="D459" s="437">
        <f>VLOOKUP(A459,'Danh mục hàng hóa'!$C$3:$M$656,6,0)</f>
        <v>37800</v>
      </c>
      <c r="E459" s="438">
        <v>1</v>
      </c>
      <c r="F459" s="439">
        <f t="shared" si="1"/>
        <v>37800</v>
      </c>
      <c r="G459" s="442"/>
      <c r="H459" s="446"/>
    </row>
    <row r="460" spans="1:8" ht="13.2">
      <c r="A460" s="454" t="s">
        <v>1029</v>
      </c>
      <c r="B460" s="452" t="str">
        <f>VLOOKUP(A460,'Danh mục hàng hóa'!$C$3:$D$643,2,0)</f>
        <v>Mô hình mèo 3</v>
      </c>
      <c r="C460" s="436" t="str">
        <f>VLOOKUP(A460,'Danh mục hàng hóa'!$C$3:$E$656,3,0)</f>
        <v>cái</v>
      </c>
      <c r="D460" s="437">
        <f>VLOOKUP(A460,'Danh mục hàng hóa'!$C$3:$M$656,6,0)</f>
        <v>37800</v>
      </c>
      <c r="E460" s="438">
        <v>1</v>
      </c>
      <c r="F460" s="439">
        <f t="shared" si="1"/>
        <v>37800</v>
      </c>
      <c r="G460" s="442"/>
      <c r="H460" s="446"/>
    </row>
    <row r="461" spans="1:8" ht="13.2">
      <c r="A461" s="454" t="s">
        <v>1031</v>
      </c>
      <c r="B461" s="452" t="str">
        <f>VLOOKUP(A461,'Danh mục hàng hóa'!$C$3:$D$643,2,0)</f>
        <v>Mô hình mèo 4</v>
      </c>
      <c r="C461" s="436" t="str">
        <f>VLOOKUP(A461,'Danh mục hàng hóa'!$C$3:$E$656,3,0)</f>
        <v>cái</v>
      </c>
      <c r="D461" s="437">
        <f>VLOOKUP(A461,'Danh mục hàng hóa'!$C$3:$M$656,6,0)</f>
        <v>37800</v>
      </c>
      <c r="E461" s="438">
        <v>1</v>
      </c>
      <c r="F461" s="439">
        <f t="shared" si="1"/>
        <v>37800</v>
      </c>
      <c r="G461" s="442"/>
      <c r="H461" s="446"/>
    </row>
    <row r="462" spans="1:8" ht="13.2">
      <c r="A462" s="454" t="s">
        <v>1033</v>
      </c>
      <c r="B462" s="452" t="str">
        <f>VLOOKUP(A462,'Danh mục hàng hóa'!$C$3:$D$643,2,0)</f>
        <v>Mô hình mèo 5</v>
      </c>
      <c r="C462" s="436" t="str">
        <f>VLOOKUP(A462,'Danh mục hàng hóa'!$C$3:$E$656,3,0)</f>
        <v>cái</v>
      </c>
      <c r="D462" s="437">
        <f>VLOOKUP(A462,'Danh mục hàng hóa'!$C$3:$M$656,6,0)</f>
        <v>37800</v>
      </c>
      <c r="E462" s="438">
        <v>1</v>
      </c>
      <c r="F462" s="439">
        <f t="shared" si="1"/>
        <v>37800</v>
      </c>
      <c r="G462" s="442"/>
      <c r="H462" s="446"/>
    </row>
    <row r="463" spans="1:8" ht="13.2">
      <c r="A463" s="454" t="s">
        <v>788</v>
      </c>
      <c r="B463" s="452" t="str">
        <f>VLOOKUP(A463,'Danh mục hàng hóa'!$C$3:$D$643,2,0)</f>
        <v>Kẹp tóc bướm hồng phấn</v>
      </c>
      <c r="C463" s="436" t="str">
        <f>VLOOKUP(A463,'Danh mục hàng hóa'!$C$3:$E$656,3,0)</f>
        <v>cái</v>
      </c>
      <c r="D463" s="437">
        <f>VLOOKUP(A463,'Danh mục hàng hóa'!$C$3:$M$656,6,0)</f>
        <v>38000</v>
      </c>
      <c r="E463" s="438">
        <v>1</v>
      </c>
      <c r="F463" s="439">
        <f t="shared" si="1"/>
        <v>38000</v>
      </c>
      <c r="G463" s="442"/>
      <c r="H463" s="448">
        <v>35200</v>
      </c>
    </row>
    <row r="464" spans="1:8" ht="13.2">
      <c r="A464" s="454" t="s">
        <v>817</v>
      </c>
      <c r="B464" s="452" t="str">
        <f>VLOOKUP(A464,'Danh mục hàng hóa'!$C$3:$D$643,2,0)</f>
        <v>Kẹp tóc bướm hồng trắng</v>
      </c>
      <c r="C464" s="436" t="str">
        <f>VLOOKUP(A464,'Danh mục hàng hóa'!$C$3:$E$656,3,0)</f>
        <v>cái</v>
      </c>
      <c r="D464" s="437">
        <f>VLOOKUP(A464,'Danh mục hàng hóa'!$C$3:$M$656,6,0)</f>
        <v>52000</v>
      </c>
      <c r="E464" s="438">
        <v>1</v>
      </c>
      <c r="F464" s="439">
        <f t="shared" si="1"/>
        <v>52000</v>
      </c>
      <c r="G464" s="442"/>
      <c r="H464" s="448">
        <v>40864</v>
      </c>
    </row>
    <row r="465" spans="1:8" ht="13.2">
      <c r="A465" s="454" t="s">
        <v>788</v>
      </c>
      <c r="B465" s="452" t="str">
        <f>VLOOKUP(A465,'Danh mục hàng hóa'!$C$3:$D$643,2,0)</f>
        <v>Kẹp tóc bướm hồng phấn</v>
      </c>
      <c r="C465" s="436" t="str">
        <f>VLOOKUP(A465,'Danh mục hàng hóa'!$C$3:$E$656,3,0)</f>
        <v>cái</v>
      </c>
      <c r="D465" s="437">
        <f>VLOOKUP(A465,'Danh mục hàng hóa'!$C$3:$M$656,6,0)</f>
        <v>38000</v>
      </c>
      <c r="E465" s="438">
        <v>2</v>
      </c>
      <c r="F465" s="439">
        <f t="shared" si="1"/>
        <v>76000</v>
      </c>
      <c r="G465" s="442"/>
      <c r="H465" s="447">
        <v>330740</v>
      </c>
    </row>
    <row r="466" spans="1:8" ht="13.2">
      <c r="A466" s="454" t="s">
        <v>796</v>
      </c>
      <c r="B466" s="452" t="str">
        <f>VLOOKUP(A466,'Danh mục hàng hóa'!$C$3:$D$643,2,0)</f>
        <v>Kẹp tóc bướm tím</v>
      </c>
      <c r="C466" s="436" t="str">
        <f>VLOOKUP(A466,'Danh mục hàng hóa'!$C$3:$E$656,3,0)</f>
        <v>cái</v>
      </c>
      <c r="D466" s="437">
        <f>VLOOKUP(A466,'Danh mục hàng hóa'!$C$3:$M$656,6,0)</f>
        <v>38000</v>
      </c>
      <c r="E466" s="438">
        <v>6</v>
      </c>
      <c r="F466" s="439">
        <f t="shared" si="1"/>
        <v>228000</v>
      </c>
      <c r="G466" s="442"/>
      <c r="H466" s="446"/>
    </row>
    <row r="467" spans="1:8" ht="13.2">
      <c r="A467" s="454" t="s">
        <v>827</v>
      </c>
      <c r="B467" s="452" t="str">
        <f>VLOOKUP(A467,'Danh mục hàng hóa'!$C$3:$D$643,2,0)</f>
        <v>Kẹp tóc bướm hồng</v>
      </c>
      <c r="C467" s="436" t="str">
        <f>VLOOKUP(A467,'Danh mục hàng hóa'!$C$3:$E$656,3,0)</f>
        <v>cái</v>
      </c>
      <c r="D467" s="437">
        <f>VLOOKUP(A467,'Danh mục hàng hóa'!$C$3:$M$656,6,0)</f>
        <v>52000</v>
      </c>
      <c r="E467" s="438">
        <v>2</v>
      </c>
      <c r="F467" s="439">
        <f t="shared" si="1"/>
        <v>104000</v>
      </c>
      <c r="G467" s="442"/>
      <c r="H467" s="446"/>
    </row>
    <row r="468" spans="1:8" ht="13.2">
      <c r="A468" s="454" t="s">
        <v>821</v>
      </c>
      <c r="B468" s="452" t="str">
        <f>VLOOKUP(A468,'Danh mục hàng hóa'!$C$3:$D$643,2,0)</f>
        <v>Kẹp tóc bướm hồng loang xanh</v>
      </c>
      <c r="C468" s="436" t="str">
        <f>VLOOKUP(A468,'Danh mục hàng hóa'!$C$3:$E$656,3,0)</f>
        <v>cái</v>
      </c>
      <c r="D468" s="437">
        <f>VLOOKUP(A468,'Danh mục hàng hóa'!$C$3:$M$656,6,0)</f>
        <v>52000</v>
      </c>
      <c r="E468" s="438">
        <v>1</v>
      </c>
      <c r="F468" s="439">
        <f t="shared" si="1"/>
        <v>52000</v>
      </c>
      <c r="G468" s="442"/>
      <c r="H468" s="448">
        <v>45700</v>
      </c>
    </row>
    <row r="469" spans="1:8" ht="13.2">
      <c r="A469" s="454" t="s">
        <v>788</v>
      </c>
      <c r="B469" s="452" t="str">
        <f>VLOOKUP(A469,'Danh mục hàng hóa'!$C$3:$D$643,2,0)</f>
        <v>Kẹp tóc bướm hồng phấn</v>
      </c>
      <c r="C469" s="436" t="str">
        <f>VLOOKUP(A469,'Danh mục hàng hóa'!$C$3:$E$656,3,0)</f>
        <v>cái</v>
      </c>
      <c r="D469" s="437">
        <f>VLOOKUP(A469,'Danh mục hàng hóa'!$C$3:$M$656,6,0)</f>
        <v>38000</v>
      </c>
      <c r="E469" s="438">
        <v>1</v>
      </c>
      <c r="F469" s="439">
        <f t="shared" si="1"/>
        <v>38000</v>
      </c>
      <c r="G469" s="442"/>
      <c r="H469" s="447">
        <v>46272</v>
      </c>
    </row>
    <row r="470" spans="1:8" ht="13.2">
      <c r="A470" s="454" t="s">
        <v>736</v>
      </c>
      <c r="B470" s="452" t="str">
        <f>VLOOKUP(A470,'Danh mục hàng hóa'!$C$3:$D$643,2,0)</f>
        <v>Kẹp tóc hoa sứ vàng</v>
      </c>
      <c r="C470" s="436" t="str">
        <f>VLOOKUP(A470,'Danh mục hàng hóa'!$C$3:$E$656,3,0)</f>
        <v>cái</v>
      </c>
      <c r="D470" s="437">
        <f>VLOOKUP(A470,'Danh mục hàng hóa'!$C$3:$M$656,6,0)</f>
        <v>18500</v>
      </c>
      <c r="E470" s="438">
        <v>1</v>
      </c>
      <c r="F470" s="439">
        <f t="shared" si="1"/>
        <v>18500</v>
      </c>
      <c r="G470" s="442"/>
      <c r="H470" s="446"/>
    </row>
    <row r="471" spans="1:8" ht="13.2">
      <c r="A471" s="454" t="s">
        <v>813</v>
      </c>
      <c r="B471" s="452" t="str">
        <f>VLOOKUP(A471,'Danh mục hàng hóa'!$C$3:$D$643,2,0)</f>
        <v>Kẹp tóc bướm hồng nhạt</v>
      </c>
      <c r="C471" s="436" t="str">
        <f>VLOOKUP(A471,'Danh mục hàng hóa'!$C$3:$E$656,3,0)</f>
        <v>cái</v>
      </c>
      <c r="D471" s="437">
        <f>VLOOKUP(A471,'Danh mục hàng hóa'!$C$3:$M$656,6,0)</f>
        <v>15000</v>
      </c>
      <c r="E471" s="438">
        <v>1</v>
      </c>
      <c r="F471" s="439">
        <f t="shared" si="1"/>
        <v>15000</v>
      </c>
      <c r="G471" s="442"/>
      <c r="H471" s="447">
        <v>95040</v>
      </c>
    </row>
    <row r="472" spans="1:8" ht="13.2">
      <c r="A472" s="454" t="s">
        <v>641</v>
      </c>
      <c r="B472" s="452" t="str">
        <f>VLOOKUP(A472,'Danh mục hàng hóa'!$C$3:$D$643,2,0)</f>
        <v>Cài tóc đen</v>
      </c>
      <c r="C472" s="436" t="str">
        <f>VLOOKUP(A472,'Danh mục hàng hóa'!$C$3:$E$656,3,0)</f>
        <v>cái</v>
      </c>
      <c r="D472" s="437">
        <f>VLOOKUP(A472,'Danh mục hàng hóa'!$C$3:$M$656,6,0)</f>
        <v>22000</v>
      </c>
      <c r="E472" s="438">
        <v>1</v>
      </c>
      <c r="F472" s="439">
        <f t="shared" si="1"/>
        <v>22000</v>
      </c>
      <c r="G472" s="442"/>
      <c r="H472" s="446"/>
    </row>
    <row r="473" spans="1:8" ht="13.2">
      <c r="A473" s="454" t="s">
        <v>798</v>
      </c>
      <c r="B473" s="452" t="str">
        <f>VLOOKUP(A473,'Danh mục hàng hóa'!$C$3:$D$643,2,0)</f>
        <v>Kẹp tóc bướm trắng</v>
      </c>
      <c r="C473" s="436" t="str">
        <f>VLOOKUP(A473,'Danh mục hàng hóa'!$C$3:$E$656,3,0)</f>
        <v>cái</v>
      </c>
      <c r="D473" s="437">
        <f>VLOOKUP(A473,'Danh mục hàng hóa'!$C$3:$M$656,6,0)</f>
        <v>40000</v>
      </c>
      <c r="E473" s="438">
        <v>1</v>
      </c>
      <c r="F473" s="439">
        <f t="shared" si="1"/>
        <v>40000</v>
      </c>
      <c r="G473" s="442"/>
      <c r="H473" s="446"/>
    </row>
    <row r="474" spans="1:8" ht="13.2">
      <c r="A474" s="454" t="s">
        <v>788</v>
      </c>
      <c r="B474" s="452" t="str">
        <f>VLOOKUP(A474,'Danh mục hàng hóa'!$C$3:$D$643,2,0)</f>
        <v>Kẹp tóc bướm hồng phấn</v>
      </c>
      <c r="C474" s="436" t="str">
        <f>VLOOKUP(A474,'Danh mục hàng hóa'!$C$3:$E$656,3,0)</f>
        <v>cái</v>
      </c>
      <c r="D474" s="437">
        <f>VLOOKUP(A474,'Danh mục hàng hóa'!$C$3:$M$656,6,0)</f>
        <v>38000</v>
      </c>
      <c r="E474" s="438">
        <v>1</v>
      </c>
      <c r="F474" s="439">
        <f t="shared" si="1"/>
        <v>38000</v>
      </c>
      <c r="G474" s="442"/>
      <c r="H474" s="446"/>
    </row>
    <row r="475" spans="1:8" ht="13.2">
      <c r="A475" s="454" t="s">
        <v>821</v>
      </c>
      <c r="B475" s="452" t="str">
        <f>VLOOKUP(A475,'Danh mục hàng hóa'!$C$3:$D$643,2,0)</f>
        <v>Kẹp tóc bướm hồng loang xanh</v>
      </c>
      <c r="C475" s="436" t="str">
        <f>VLOOKUP(A475,'Danh mục hàng hóa'!$C$3:$E$656,3,0)</f>
        <v>cái</v>
      </c>
      <c r="D475" s="437">
        <f>VLOOKUP(A475,'Danh mục hàng hóa'!$C$3:$M$656,6,0)</f>
        <v>52000</v>
      </c>
      <c r="E475" s="438">
        <v>1</v>
      </c>
      <c r="F475" s="439">
        <f t="shared" si="1"/>
        <v>52000</v>
      </c>
      <c r="G475" s="442"/>
      <c r="H475" s="448">
        <v>45040</v>
      </c>
    </row>
    <row r="476" spans="1:8" ht="13.2">
      <c r="A476" s="454" t="s">
        <v>895</v>
      </c>
      <c r="B476" s="452" t="str">
        <f>VLOOKUP(A476,'Danh mục hàng hóa'!$C$3:$D$643,2,0)</f>
        <v>Thỏ chong chóng</v>
      </c>
      <c r="C476" s="436" t="str">
        <f>VLOOKUP(A476,'Danh mục hàng hóa'!$C$3:$E$656,3,0)</f>
        <v>cái</v>
      </c>
      <c r="D476" s="437">
        <f>VLOOKUP(A476,'Danh mục hàng hóa'!$C$3:$M$656,6,0)</f>
        <v>54740</v>
      </c>
      <c r="E476" s="438">
        <v>1</v>
      </c>
      <c r="F476" s="439">
        <f t="shared" si="1"/>
        <v>54740</v>
      </c>
      <c r="G476" s="442"/>
      <c r="H476" s="447">
        <v>98208</v>
      </c>
    </row>
    <row r="477" spans="1:8" ht="13.2">
      <c r="A477" s="454" t="s">
        <v>893</v>
      </c>
      <c r="B477" s="452" t="str">
        <f>VLOOKUP(A477,'Danh mục hàng hóa'!$C$3:$D$643,2,0)</f>
        <v>Heo ú bay</v>
      </c>
      <c r="C477" s="436" t="str">
        <f>VLOOKUP(A477,'Danh mục hàng hóa'!$C$3:$E$656,3,0)</f>
        <v>cái</v>
      </c>
      <c r="D477" s="437">
        <f>VLOOKUP(A477,'Danh mục hàng hóa'!$C$3:$M$656,6,0)</f>
        <v>61275</v>
      </c>
      <c r="E477" s="438">
        <v>1</v>
      </c>
      <c r="F477" s="439">
        <f t="shared" si="1"/>
        <v>61275</v>
      </c>
      <c r="G477" s="442"/>
      <c r="H477" s="446"/>
    </row>
    <row r="478" spans="1:8" ht="13.2">
      <c r="A478" s="454" t="s">
        <v>827</v>
      </c>
      <c r="B478" s="452" t="str">
        <f>VLOOKUP(A478,'Danh mục hàng hóa'!$C$3:$D$643,2,0)</f>
        <v>Kẹp tóc bướm hồng</v>
      </c>
      <c r="C478" s="436" t="str">
        <f>VLOOKUP(A478,'Danh mục hàng hóa'!$C$3:$E$656,3,0)</f>
        <v>cái</v>
      </c>
      <c r="D478" s="437">
        <f>VLOOKUP(A478,'Danh mục hàng hóa'!$C$3:$M$656,6,0)</f>
        <v>52000</v>
      </c>
      <c r="E478" s="438">
        <v>1</v>
      </c>
      <c r="F478" s="439">
        <f t="shared" si="1"/>
        <v>52000</v>
      </c>
      <c r="G478" s="442"/>
      <c r="H478" s="447">
        <v>46332</v>
      </c>
    </row>
    <row r="479" spans="1:8" ht="13.2">
      <c r="A479" s="454" t="s">
        <v>734</v>
      </c>
      <c r="B479" s="452" t="str">
        <f>VLOOKUP(A479,'Danh mục hàng hóa'!$C$3:$D$643,2,0)</f>
        <v>Kẹp tóc hoa sứ hồng</v>
      </c>
      <c r="C479" s="436" t="str">
        <f>VLOOKUP(A479,'Danh mục hàng hóa'!$C$3:$E$656,3,0)</f>
        <v>cái</v>
      </c>
      <c r="D479" s="437">
        <f>VLOOKUP(A479,'Danh mục hàng hóa'!$C$3:$M$656,6,0)</f>
        <v>18500</v>
      </c>
      <c r="E479" s="438">
        <v>1</v>
      </c>
      <c r="F479" s="439">
        <f t="shared" si="1"/>
        <v>18500</v>
      </c>
      <c r="G479" s="442"/>
      <c r="H479" s="446"/>
    </row>
    <row r="480" spans="1:8" ht="13.2">
      <c r="A480" s="454" t="s">
        <v>969</v>
      </c>
      <c r="B480" s="452" t="str">
        <f>VLOOKUP(A480,'Danh mục hàng hóa'!$C$3:$D$643,2,0)</f>
        <v>Mèo xám treo gương</v>
      </c>
      <c r="C480" s="436" t="str">
        <f>VLOOKUP(A480,'Danh mục hàng hóa'!$C$3:$E$656,3,0)</f>
        <v>cái</v>
      </c>
      <c r="D480" s="437">
        <f>VLOOKUP(A480,'Danh mục hàng hóa'!$C$3:$M$656,6,0)</f>
        <v>71500</v>
      </c>
      <c r="E480" s="438">
        <v>1</v>
      </c>
      <c r="F480" s="439">
        <f t="shared" si="1"/>
        <v>71500</v>
      </c>
      <c r="G480" s="442"/>
      <c r="H480" s="447">
        <v>179204</v>
      </c>
    </row>
    <row r="481" spans="1:8" ht="13.2">
      <c r="A481" s="454" t="s">
        <v>1025</v>
      </c>
      <c r="B481" s="452" t="str">
        <f>VLOOKUP(A481,'Danh mục hàng hóa'!$C$3:$D$643,2,0)</f>
        <v>Mô hình mèo 1</v>
      </c>
      <c r="C481" s="436" t="str">
        <f>VLOOKUP(A481,'Danh mục hàng hóa'!$C$3:$E$656,3,0)</f>
        <v>cái</v>
      </c>
      <c r="D481" s="437">
        <f>VLOOKUP(A481,'Danh mục hàng hóa'!$C$3:$M$656,6,0)</f>
        <v>37800</v>
      </c>
      <c r="E481" s="438">
        <v>1</v>
      </c>
      <c r="F481" s="439">
        <f t="shared" si="1"/>
        <v>37800</v>
      </c>
      <c r="G481" s="442"/>
      <c r="H481" s="446"/>
    </row>
    <row r="482" spans="1:8" ht="13.2">
      <c r="A482" s="454" t="s">
        <v>1031</v>
      </c>
      <c r="B482" s="452" t="str">
        <f>VLOOKUP(A482,'Danh mục hàng hóa'!$C$3:$D$643,2,0)</f>
        <v>Mô hình mèo 4</v>
      </c>
      <c r="C482" s="436" t="str">
        <f>VLOOKUP(A482,'Danh mục hàng hóa'!$C$3:$E$656,3,0)</f>
        <v>cái</v>
      </c>
      <c r="D482" s="437">
        <f>VLOOKUP(A482,'Danh mục hàng hóa'!$C$3:$M$656,6,0)</f>
        <v>37800</v>
      </c>
      <c r="E482" s="438">
        <v>1</v>
      </c>
      <c r="F482" s="439">
        <f t="shared" si="1"/>
        <v>37800</v>
      </c>
      <c r="G482" s="442"/>
      <c r="H482" s="446"/>
    </row>
    <row r="483" spans="1:8" ht="13.2">
      <c r="A483" s="454" t="s">
        <v>1070</v>
      </c>
      <c r="B483" s="452" t="str">
        <f>VLOOKUP(A483,'Danh mục hàng hóa'!$C$3:$D$643,2,0)</f>
        <v>Vớ trắng mỏng gấu</v>
      </c>
      <c r="C483" s="436" t="str">
        <f>VLOOKUP(A483,'Danh mục hàng hóa'!$C$3:$E$656,3,0)</f>
        <v>đôi</v>
      </c>
      <c r="D483" s="437">
        <f>VLOOKUP(A483,'Danh mục hàng hóa'!$C$3:$M$656,6,0)</f>
        <v>8247.7999999999993</v>
      </c>
      <c r="E483" s="438">
        <v>1</v>
      </c>
      <c r="F483" s="439">
        <f t="shared" si="1"/>
        <v>8247.7999999999993</v>
      </c>
      <c r="G483" s="442"/>
      <c r="H483" s="446"/>
    </row>
    <row r="484" spans="1:8" ht="13.2">
      <c r="A484" s="454" t="s">
        <v>979</v>
      </c>
      <c r="B484" s="452" t="str">
        <f>VLOOKUP(A484,'Danh mục hàng hóa'!$C$3:$D$643,2,0)</f>
        <v>Móc khóa đôi thỏ cà rốt</v>
      </c>
      <c r="C484" s="436" t="str">
        <f>VLOOKUP(A484,'Danh mục hàng hóa'!$C$3:$E$656,3,0)</f>
        <v>cái</v>
      </c>
      <c r="D484" s="437">
        <f>VLOOKUP(A484,'Danh mục hàng hóa'!$C$3:$M$656,6,0)</f>
        <v>56580</v>
      </c>
      <c r="E484" s="438">
        <v>1</v>
      </c>
      <c r="F484" s="439">
        <f t="shared" si="1"/>
        <v>56580</v>
      </c>
      <c r="G484" s="442"/>
      <c r="H484" s="446"/>
    </row>
    <row r="485" spans="1:8" ht="13.2">
      <c r="A485" s="454" t="s">
        <v>732</v>
      </c>
      <c r="B485" s="452" t="str">
        <f>VLOOKUP(A485,'Danh mục hàng hóa'!$C$3:$D$643,2,0)</f>
        <v>Kẹp tóc hoa sứ tím</v>
      </c>
      <c r="C485" s="436" t="str">
        <f>VLOOKUP(A485,'Danh mục hàng hóa'!$C$3:$E$656,3,0)</f>
        <v>cái</v>
      </c>
      <c r="D485" s="437">
        <f>VLOOKUP(A485,'Danh mục hàng hóa'!$C$3:$M$656,6,0)</f>
        <v>18500</v>
      </c>
      <c r="E485" s="438">
        <v>1</v>
      </c>
      <c r="F485" s="439">
        <f t="shared" si="1"/>
        <v>18500</v>
      </c>
      <c r="G485" s="442"/>
      <c r="H485" s="446"/>
    </row>
    <row r="486" spans="1:8" ht="13.2">
      <c r="A486" s="454" t="s">
        <v>821</v>
      </c>
      <c r="B486" s="452" t="str">
        <f>VLOOKUP(A486,'Danh mục hàng hóa'!$C$3:$D$643,2,0)</f>
        <v>Kẹp tóc bướm hồng loang xanh</v>
      </c>
      <c r="C486" s="436" t="str">
        <f>VLOOKUP(A486,'Danh mục hàng hóa'!$C$3:$E$656,3,0)</f>
        <v>cái</v>
      </c>
      <c r="D486" s="437">
        <f>VLOOKUP(A486,'Danh mục hàng hóa'!$C$3:$M$656,6,0)</f>
        <v>52000</v>
      </c>
      <c r="E486" s="438">
        <v>1</v>
      </c>
      <c r="F486" s="439">
        <f t="shared" si="1"/>
        <v>52000</v>
      </c>
      <c r="G486" s="442"/>
      <c r="H486" s="447">
        <v>82368</v>
      </c>
    </row>
    <row r="487" spans="1:8" ht="13.2">
      <c r="A487" s="454" t="s">
        <v>817</v>
      </c>
      <c r="B487" s="452" t="str">
        <f>VLOOKUP(A487,'Danh mục hàng hóa'!$C$3:$D$643,2,0)</f>
        <v>Kẹp tóc bướm hồng trắng</v>
      </c>
      <c r="C487" s="436" t="str">
        <f>VLOOKUP(A487,'Danh mục hàng hóa'!$C$3:$E$656,3,0)</f>
        <v>cái</v>
      </c>
      <c r="D487" s="437">
        <f>VLOOKUP(A487,'Danh mục hàng hóa'!$C$3:$M$656,6,0)</f>
        <v>52000</v>
      </c>
      <c r="E487" s="438">
        <v>1</v>
      </c>
      <c r="F487" s="439">
        <f t="shared" si="1"/>
        <v>52000</v>
      </c>
      <c r="G487" s="442"/>
      <c r="H487" s="446"/>
    </row>
    <row r="488" spans="1:8" ht="13.2">
      <c r="A488" s="454" t="s">
        <v>790</v>
      </c>
      <c r="B488" s="452" t="str">
        <f>VLOOKUP(A488,'Danh mục hàng hóa'!$C$3:$D$643,2,0)</f>
        <v xml:space="preserve">Kẹp tóc bướm hồng </v>
      </c>
      <c r="C488" s="436" t="str">
        <f>VLOOKUP(A488,'Danh mục hàng hóa'!$C$3:$E$656,3,0)</f>
        <v>cái</v>
      </c>
      <c r="D488" s="437">
        <f>VLOOKUP(A488,'Danh mục hàng hóa'!$C$3:$M$656,6,0)</f>
        <v>40000</v>
      </c>
      <c r="E488" s="438">
        <v>1</v>
      </c>
      <c r="F488" s="439">
        <f t="shared" si="1"/>
        <v>40000</v>
      </c>
      <c r="G488" s="442"/>
      <c r="H488" s="448">
        <v>34540</v>
      </c>
    </row>
    <row r="489" spans="1:8" ht="13.2">
      <c r="A489" s="454" t="s">
        <v>794</v>
      </c>
      <c r="B489" s="452" t="str">
        <f>VLOOKUP(A489,'Danh mục hàng hóa'!$C$3:$D$643,2,0)</f>
        <v>Kẹp tóc bướm xanh tím</v>
      </c>
      <c r="C489" s="436" t="str">
        <f>VLOOKUP(A489,'Danh mục hàng hóa'!$C$3:$E$656,3,0)</f>
        <v>cái</v>
      </c>
      <c r="D489" s="437">
        <f>VLOOKUP(A489,'Danh mục hàng hóa'!$C$3:$M$656,6,0)</f>
        <v>40000</v>
      </c>
      <c r="E489" s="438">
        <v>1</v>
      </c>
      <c r="F489" s="439">
        <f t="shared" si="1"/>
        <v>40000</v>
      </c>
      <c r="G489" s="442"/>
      <c r="H489" s="447">
        <v>73740</v>
      </c>
    </row>
    <row r="490" spans="1:8" ht="13.2">
      <c r="A490" s="454" t="s">
        <v>817</v>
      </c>
      <c r="B490" s="452" t="str">
        <f>VLOOKUP(A490,'Danh mục hàng hóa'!$C$3:$D$643,2,0)</f>
        <v>Kẹp tóc bướm hồng trắng</v>
      </c>
      <c r="C490" s="436" t="str">
        <f>VLOOKUP(A490,'Danh mục hàng hóa'!$C$3:$E$656,3,0)</f>
        <v>cái</v>
      </c>
      <c r="D490" s="437">
        <f>VLOOKUP(A490,'Danh mục hàng hóa'!$C$3:$M$656,6,0)</f>
        <v>52000</v>
      </c>
      <c r="E490" s="438">
        <v>1</v>
      </c>
      <c r="F490" s="439">
        <f t="shared" si="1"/>
        <v>52000</v>
      </c>
      <c r="G490" s="442"/>
      <c r="H490" s="446"/>
    </row>
    <row r="491" spans="1:8" ht="13.2">
      <c r="A491" s="454" t="s">
        <v>798</v>
      </c>
      <c r="B491" s="452" t="str">
        <f>VLOOKUP(A491,'Danh mục hàng hóa'!$C$3:$D$643,2,0)</f>
        <v>Kẹp tóc bướm trắng</v>
      </c>
      <c r="C491" s="436" t="str">
        <f>VLOOKUP(A491,'Danh mục hàng hóa'!$C$3:$E$656,3,0)</f>
        <v>cái</v>
      </c>
      <c r="D491" s="437">
        <f>VLOOKUP(A491,'Danh mục hàng hóa'!$C$3:$M$656,6,0)</f>
        <v>40000</v>
      </c>
      <c r="E491" s="438">
        <v>1</v>
      </c>
      <c r="F491" s="439">
        <f t="shared" si="1"/>
        <v>40000</v>
      </c>
      <c r="G491" s="442"/>
      <c r="H491" s="448">
        <v>34500</v>
      </c>
    </row>
    <row r="492" spans="1:8" ht="13.2">
      <c r="A492" s="454" t="s">
        <v>788</v>
      </c>
      <c r="B492" s="452" t="str">
        <f>VLOOKUP(A492,'Danh mục hàng hóa'!$C$3:$D$643,2,0)</f>
        <v>Kẹp tóc bướm hồng phấn</v>
      </c>
      <c r="C492" s="436" t="str">
        <f>VLOOKUP(A492,'Danh mục hàng hóa'!$C$3:$E$656,3,0)</f>
        <v>cái</v>
      </c>
      <c r="D492" s="437">
        <f>VLOOKUP(A492,'Danh mục hàng hóa'!$C$3:$M$656,6,0)</f>
        <v>38000</v>
      </c>
      <c r="E492" s="438">
        <v>1</v>
      </c>
      <c r="F492" s="439">
        <f t="shared" si="1"/>
        <v>38000</v>
      </c>
      <c r="G492" s="442"/>
      <c r="H492" s="448">
        <v>34880</v>
      </c>
    </row>
    <row r="493" spans="1:8" ht="13.2">
      <c r="A493" s="454" t="s">
        <v>823</v>
      </c>
      <c r="B493" s="452" t="str">
        <f>VLOOKUP(A493,'Danh mục hàng hóa'!$C$3:$D$643,2,0)</f>
        <v>Kẹp tóc bướm xanh vàng</v>
      </c>
      <c r="C493" s="436" t="str">
        <f>VLOOKUP(A493,'Danh mục hàng hóa'!$C$3:$E$656,3,0)</f>
        <v>cái</v>
      </c>
      <c r="D493" s="437">
        <f>VLOOKUP(A493,'Danh mục hàng hóa'!$C$3:$M$656,6,0)</f>
        <v>52000</v>
      </c>
      <c r="E493" s="438">
        <v>4</v>
      </c>
      <c r="F493" s="439">
        <f t="shared" si="1"/>
        <v>208000</v>
      </c>
      <c r="G493" s="442"/>
      <c r="H493" s="448">
        <v>165380</v>
      </c>
    </row>
    <row r="494" spans="1:8" ht="13.2">
      <c r="A494" s="454" t="s">
        <v>823</v>
      </c>
      <c r="B494" s="452" t="str">
        <f>VLOOKUP(A494,'Danh mục hàng hóa'!$C$3:$D$643,2,0)</f>
        <v>Kẹp tóc bướm xanh vàng</v>
      </c>
      <c r="C494" s="436" t="str">
        <f>VLOOKUP(A494,'Danh mục hàng hóa'!$C$3:$E$656,3,0)</f>
        <v>cái</v>
      </c>
      <c r="D494" s="437">
        <f>VLOOKUP(A494,'Danh mục hàng hóa'!$C$3:$M$656,6,0)</f>
        <v>52000</v>
      </c>
      <c r="E494" s="438">
        <v>8</v>
      </c>
      <c r="F494" s="439">
        <f t="shared" si="1"/>
        <v>416000</v>
      </c>
      <c r="G494" s="442"/>
      <c r="H494" s="447">
        <v>888580</v>
      </c>
    </row>
    <row r="495" spans="1:8" ht="13.2">
      <c r="A495" s="454" t="s">
        <v>817</v>
      </c>
      <c r="B495" s="452" t="str">
        <f>VLOOKUP(A495,'Danh mục hàng hóa'!$C$3:$D$643,2,0)</f>
        <v>Kẹp tóc bướm hồng trắng</v>
      </c>
      <c r="C495" s="436" t="str">
        <f>VLOOKUP(A495,'Danh mục hàng hóa'!$C$3:$E$656,3,0)</f>
        <v>cái</v>
      </c>
      <c r="D495" s="437">
        <f>VLOOKUP(A495,'Danh mục hàng hóa'!$C$3:$M$656,6,0)</f>
        <v>52000</v>
      </c>
      <c r="E495" s="438">
        <v>12</v>
      </c>
      <c r="F495" s="439">
        <f t="shared" si="1"/>
        <v>624000</v>
      </c>
      <c r="G495" s="442"/>
      <c r="H495" s="446"/>
    </row>
    <row r="496" spans="1:8" ht="13.2">
      <c r="A496" s="454" t="s">
        <v>788</v>
      </c>
      <c r="B496" s="452" t="str">
        <f>VLOOKUP(A496,'Danh mục hàng hóa'!$C$3:$D$643,2,0)</f>
        <v>Kẹp tóc bướm hồng phấn</v>
      </c>
      <c r="C496" s="436" t="str">
        <f>VLOOKUP(A496,'Danh mục hàng hóa'!$C$3:$E$656,3,0)</f>
        <v>cái</v>
      </c>
      <c r="D496" s="437">
        <f>VLOOKUP(A496,'Danh mục hàng hóa'!$C$3:$M$656,6,0)</f>
        <v>38000</v>
      </c>
      <c r="E496" s="438">
        <v>1</v>
      </c>
      <c r="F496" s="439">
        <f t="shared" si="1"/>
        <v>38000</v>
      </c>
      <c r="G496" s="442"/>
      <c r="H496" s="447">
        <v>104544</v>
      </c>
    </row>
    <row r="497" spans="1:8" ht="13.2">
      <c r="A497" s="454" t="s">
        <v>796</v>
      </c>
      <c r="B497" s="452" t="str">
        <f>VLOOKUP(A497,'Danh mục hàng hóa'!$C$3:$D$643,2,0)</f>
        <v>Kẹp tóc bướm tím</v>
      </c>
      <c r="C497" s="436" t="str">
        <f>VLOOKUP(A497,'Danh mục hàng hóa'!$C$3:$E$656,3,0)</f>
        <v>cái</v>
      </c>
      <c r="D497" s="437">
        <f>VLOOKUP(A497,'Danh mục hàng hóa'!$C$3:$M$656,6,0)</f>
        <v>38000</v>
      </c>
      <c r="E497" s="438">
        <v>1</v>
      </c>
      <c r="F497" s="439">
        <f t="shared" si="1"/>
        <v>38000</v>
      </c>
      <c r="G497" s="442"/>
      <c r="H497" s="446"/>
    </row>
    <row r="498" spans="1:8" ht="13.2">
      <c r="A498" s="454" t="s">
        <v>821</v>
      </c>
      <c r="B498" s="452" t="str">
        <f>VLOOKUP(A498,'Danh mục hàng hóa'!$C$3:$D$643,2,0)</f>
        <v>Kẹp tóc bướm hồng loang xanh</v>
      </c>
      <c r="C498" s="436" t="str">
        <f>VLOOKUP(A498,'Danh mục hàng hóa'!$C$3:$E$656,3,0)</f>
        <v>cái</v>
      </c>
      <c r="D498" s="437">
        <f>VLOOKUP(A498,'Danh mục hàng hóa'!$C$3:$M$656,6,0)</f>
        <v>52000</v>
      </c>
      <c r="E498" s="438">
        <v>1</v>
      </c>
      <c r="F498" s="439">
        <f t="shared" si="1"/>
        <v>52000</v>
      </c>
      <c r="G498" s="442"/>
      <c r="H498" s="446"/>
    </row>
    <row r="499" spans="1:8" ht="13.2">
      <c r="A499" s="454" t="s">
        <v>895</v>
      </c>
      <c r="B499" s="452" t="str">
        <f>VLOOKUP(A499,'Thống kê'!$C$3:$D$669,2,0)</f>
        <v>Thỏ ú</v>
      </c>
      <c r="C499" s="436" t="str">
        <f>VLOOKUP(A499,'Thống kê'!$C$3:$E$682,3,0)</f>
        <v>cái</v>
      </c>
      <c r="D499" s="437">
        <f>VLOOKUP(A499,'Thống kê'!$C$3:$M$682,4,0)</f>
        <v>59500</v>
      </c>
      <c r="E499" s="438">
        <v>1</v>
      </c>
      <c r="F499" s="439">
        <f t="shared" si="1"/>
        <v>59500</v>
      </c>
      <c r="G499" s="442"/>
      <c r="H499" s="448">
        <v>47124</v>
      </c>
    </row>
    <row r="500" spans="1:8" ht="13.2">
      <c r="A500" s="454" t="s">
        <v>977</v>
      </c>
      <c r="B500" s="452" t="str">
        <f>VLOOKUP(A500,'Thống kê'!$C$3:$D$669,2,0)</f>
        <v>Móc khóa đôi heo</v>
      </c>
      <c r="C500" s="436" t="str">
        <f>VLOOKUP(A500,'Thống kê'!$C$3:$E$682,3,0)</f>
        <v>cái</v>
      </c>
      <c r="D500" s="437">
        <f>VLOOKUP(A500,'Thống kê'!$C$3:$M$682,4,0)</f>
        <v>56580</v>
      </c>
      <c r="E500" s="438">
        <v>1</v>
      </c>
      <c r="F500" s="439">
        <f t="shared" si="1"/>
        <v>56580</v>
      </c>
      <c r="G500" s="442"/>
      <c r="H500" s="448">
        <v>44751</v>
      </c>
    </row>
    <row r="501" spans="1:8" ht="13.2">
      <c r="A501" s="454" t="s">
        <v>979</v>
      </c>
      <c r="B501" s="452" t="str">
        <f>VLOOKUP(A501,'Thống kê'!$C$3:$D$669,2,0)</f>
        <v>Móc khóa đôi thỏ cà rốt</v>
      </c>
      <c r="C501" s="436" t="str">
        <f>VLOOKUP(A501,'Thống kê'!$C$3:$E$682,3,0)</f>
        <v>cái</v>
      </c>
      <c r="D501" s="437">
        <f>VLOOKUP(A501,'Thống kê'!$C$3:$M$682,4,0)</f>
        <v>48300</v>
      </c>
      <c r="E501" s="438">
        <v>1</v>
      </c>
      <c r="F501" s="439">
        <f t="shared" si="1"/>
        <v>48300</v>
      </c>
      <c r="G501" s="442"/>
      <c r="H501" s="448">
        <v>42504</v>
      </c>
    </row>
    <row r="502" spans="1:8" ht="13.2">
      <c r="A502" s="454" t="s">
        <v>719</v>
      </c>
      <c r="B502" s="452" t="str">
        <f>VLOOKUP(A502,'Thống kê'!$C$3:$D$669,2,0)</f>
        <v>Kẹp nơ hồng</v>
      </c>
      <c r="C502" s="436" t="str">
        <f>VLOOKUP(A502,'Thống kê'!$C$3:$E$682,3,0)</f>
        <v>cái</v>
      </c>
      <c r="D502" s="437">
        <f>VLOOKUP(A502,'Thống kê'!$C$3:$M$682,4,0)</f>
        <v>22000</v>
      </c>
      <c r="E502" s="438">
        <v>1</v>
      </c>
      <c r="F502" s="439">
        <f t="shared" si="1"/>
        <v>22000</v>
      </c>
      <c r="G502" s="442"/>
      <c r="H502" s="447">
        <v>80724</v>
      </c>
    </row>
    <row r="503" spans="1:8" ht="13.2">
      <c r="A503" s="454" t="s">
        <v>788</v>
      </c>
      <c r="B503" s="452" t="str">
        <f>VLOOKUP(A503,'Thống kê'!$C$3:$D$669,2,0)</f>
        <v>Kẹp tóc bướm hồng phấn</v>
      </c>
      <c r="C503" s="436" t="str">
        <f>VLOOKUP(A503,'Thống kê'!$C$3:$E$682,3,0)</f>
        <v>cái</v>
      </c>
      <c r="D503" s="437">
        <f>VLOOKUP(A503,'Thống kê'!$C$3:$M$682,4,0)</f>
        <v>40000</v>
      </c>
      <c r="E503" s="438">
        <v>1</v>
      </c>
      <c r="F503" s="439">
        <f t="shared" si="1"/>
        <v>40000</v>
      </c>
      <c r="G503" s="442"/>
      <c r="H503" s="446"/>
    </row>
    <row r="504" spans="1:8" ht="13.2">
      <c r="A504" s="454" t="s">
        <v>800</v>
      </c>
      <c r="B504" s="452" t="str">
        <f>VLOOKUP(A504,'Thống kê'!$C$3:$D$669,2,0)</f>
        <v>Kẹp tóc bướm kem</v>
      </c>
      <c r="C504" s="436" t="str">
        <f>VLOOKUP(A504,'Thống kê'!$C$3:$E$682,3,0)</f>
        <v>cái</v>
      </c>
      <c r="D504" s="437">
        <f>VLOOKUP(A504,'Thống kê'!$C$3:$M$682,4,0)</f>
        <v>38000</v>
      </c>
      <c r="E504" s="438">
        <v>1</v>
      </c>
      <c r="F504" s="439">
        <f t="shared" si="1"/>
        <v>38000</v>
      </c>
      <c r="G504" s="442"/>
      <c r="H504" s="446"/>
    </row>
    <row r="505" spans="1:8" ht="13.2">
      <c r="A505" s="454" t="s">
        <v>823</v>
      </c>
      <c r="B505" s="452" t="str">
        <f>VLOOKUP(A505,'Thống kê'!$C$3:$D$669,2,0)</f>
        <v>Kẹp tóc bướm xanh vàng</v>
      </c>
      <c r="C505" s="436" t="str">
        <f>VLOOKUP(A505,'Thống kê'!$C$3:$E$682,3,0)</f>
        <v>cái</v>
      </c>
      <c r="D505" s="437">
        <f>VLOOKUP(A505,'Thống kê'!$C$3:$M$682,4,0)</f>
        <v>52000</v>
      </c>
      <c r="E505" s="438">
        <v>8</v>
      </c>
      <c r="F505" s="439">
        <f t="shared" si="1"/>
        <v>416000</v>
      </c>
      <c r="G505" s="442"/>
      <c r="H505" s="447">
        <v>679360</v>
      </c>
    </row>
    <row r="506" spans="1:8" ht="13.2">
      <c r="A506" s="454" t="s">
        <v>825</v>
      </c>
      <c r="B506" s="452" t="str">
        <f>VLOOKUP(A506,'Thống kê'!$C$3:$D$669,2,0)</f>
        <v>Kẹp tóc bướm hồng cam</v>
      </c>
      <c r="C506" s="436" t="str">
        <f>VLOOKUP(A506,'Thống kê'!$C$3:$E$682,3,0)</f>
        <v>cái</v>
      </c>
      <c r="D506" s="437">
        <f>VLOOKUP(A506,'Thống kê'!$C$3:$M$682,4,0)</f>
        <v>52000</v>
      </c>
      <c r="E506" s="438">
        <v>7</v>
      </c>
      <c r="F506" s="439">
        <f t="shared" si="1"/>
        <v>364000</v>
      </c>
      <c r="G506" s="442"/>
      <c r="H506" s="446"/>
    </row>
    <row r="507" spans="1:8" ht="13.2">
      <c r="A507" s="454" t="s">
        <v>827</v>
      </c>
      <c r="B507" s="452" t="str">
        <f>VLOOKUP(A507,'Thống kê'!$C$3:$D$669,2,0)</f>
        <v>Kẹp tóc bướm hồng</v>
      </c>
      <c r="C507" s="436" t="str">
        <f>VLOOKUP(A507,'Thống kê'!$C$3:$E$682,3,0)</f>
        <v>cái</v>
      </c>
      <c r="D507" s="437">
        <f>VLOOKUP(A507,'Thống kê'!$C$3:$M$682,4,0)</f>
        <v>52000</v>
      </c>
      <c r="E507" s="438">
        <v>1</v>
      </c>
      <c r="F507" s="439">
        <f t="shared" si="1"/>
        <v>52000</v>
      </c>
      <c r="G507" s="442"/>
      <c r="H507" s="448">
        <v>35140</v>
      </c>
    </row>
    <row r="508" spans="1:8" ht="13.2">
      <c r="A508" s="454" t="s">
        <v>874</v>
      </c>
      <c r="B508" s="452" t="str">
        <f>VLOOKUP(A508,'Thống kê'!$C$3:$D$669,2,0)</f>
        <v>Dao rọc giấy cún xanh</v>
      </c>
      <c r="C508" s="436" t="str">
        <f>VLOOKUP(A508,'Thống kê'!$C$3:$E$682,3,0)</f>
        <v>cái</v>
      </c>
      <c r="D508" s="437">
        <f>VLOOKUP(A508,'Thống kê'!$C$3:$M$682,4,0)</f>
        <v>9000</v>
      </c>
      <c r="E508" s="438">
        <v>1</v>
      </c>
      <c r="F508" s="439">
        <f t="shared" si="1"/>
        <v>9000</v>
      </c>
      <c r="G508" s="442"/>
      <c r="H508" s="447">
        <v>15780</v>
      </c>
    </row>
    <row r="509" spans="1:8" ht="13.2">
      <c r="A509" s="454" t="s">
        <v>882</v>
      </c>
      <c r="B509" s="452" t="str">
        <f>VLOOKUP(A509,'Thống kê'!$C$3:$D$669,2,0)</f>
        <v>Dao rọc giấy gấu nâu</v>
      </c>
      <c r="C509" s="436" t="str">
        <f>VLOOKUP(A509,'Thống kê'!$C$3:$E$682,3,0)</f>
        <v>cái</v>
      </c>
      <c r="D509" s="437">
        <f>VLOOKUP(A509,'Thống kê'!$C$3:$M$682,4,0)</f>
        <v>9000</v>
      </c>
      <c r="E509" s="438">
        <v>1</v>
      </c>
      <c r="F509" s="439">
        <f t="shared" si="1"/>
        <v>9000</v>
      </c>
      <c r="G509" s="442"/>
      <c r="H509" s="446"/>
    </row>
    <row r="510" spans="1:8" ht="13.2">
      <c r="A510" s="454" t="s">
        <v>796</v>
      </c>
      <c r="B510" s="452" t="str">
        <f>VLOOKUP(A510,'Thống kê'!$C$3:$D$669,2,0)</f>
        <v>Kẹp tóc bướm tím</v>
      </c>
      <c r="C510" s="436" t="str">
        <f>VLOOKUP(A510,'Thống kê'!$C$3:$E$682,3,0)</f>
        <v>cái</v>
      </c>
      <c r="D510" s="437">
        <f>VLOOKUP(A510,'Thống kê'!$C$3:$M$682,4,0)</f>
        <v>40000</v>
      </c>
      <c r="E510" s="438">
        <v>1</v>
      </c>
      <c r="F510" s="439">
        <f t="shared" si="1"/>
        <v>40000</v>
      </c>
      <c r="G510" s="442"/>
      <c r="H510" s="448">
        <v>35040</v>
      </c>
    </row>
    <row r="511" spans="1:8" ht="13.2">
      <c r="A511" s="454" t="s">
        <v>1025</v>
      </c>
      <c r="B511" s="452" t="str">
        <f>VLOOKUP(A511,'Thống kê'!$C$3:$D$669,2,0)</f>
        <v>Mô hình mèo 1</v>
      </c>
      <c r="C511" s="436" t="str">
        <f>VLOOKUP(A511,'Thống kê'!$C$3:$E$682,3,0)</f>
        <v>cái</v>
      </c>
      <c r="D511" s="437">
        <f>VLOOKUP(A511,'Thống kê'!$C$3:$M$682,4,0)</f>
        <v>37800</v>
      </c>
      <c r="E511" s="438">
        <v>1</v>
      </c>
      <c r="F511" s="439">
        <f t="shared" si="1"/>
        <v>37800</v>
      </c>
      <c r="G511" s="442"/>
      <c r="H511" s="447">
        <v>89813</v>
      </c>
    </row>
    <row r="512" spans="1:8" ht="13.2">
      <c r="A512" s="454" t="s">
        <v>1027</v>
      </c>
      <c r="B512" s="452" t="str">
        <f>VLOOKUP(A512,'Thống kê'!$C$3:$D$669,2,0)</f>
        <v>Mô hình mèo 2</v>
      </c>
      <c r="C512" s="436" t="str">
        <f>VLOOKUP(A512,'Thống kê'!$C$3:$E$682,3,0)</f>
        <v>cái</v>
      </c>
      <c r="D512" s="437">
        <f>VLOOKUP(A512,'Thống kê'!$C$3:$M$682,4,0)</f>
        <v>37800</v>
      </c>
      <c r="E512" s="438">
        <v>1</v>
      </c>
      <c r="F512" s="439">
        <f t="shared" si="1"/>
        <v>37800</v>
      </c>
      <c r="G512" s="442"/>
      <c r="H512" s="446"/>
    </row>
    <row r="513" spans="1:8" ht="13.2">
      <c r="A513" s="454" t="s">
        <v>1033</v>
      </c>
      <c r="B513" s="452" t="str">
        <f>VLOOKUP(A513,'Thống kê'!$C$3:$D$669,2,0)</f>
        <v>Mô hình mèo 5</v>
      </c>
      <c r="C513" s="436" t="str">
        <f>VLOOKUP(A513,'Thống kê'!$C$3:$E$682,3,0)</f>
        <v>cái</v>
      </c>
      <c r="D513" s="437">
        <f>VLOOKUP(A513,'Thống kê'!$C$3:$M$682,4,0)</f>
        <v>37800</v>
      </c>
      <c r="E513" s="438">
        <v>1</v>
      </c>
      <c r="F513" s="439">
        <f t="shared" ref="F513:F557" si="2">D513*E513</f>
        <v>37800</v>
      </c>
      <c r="G513" s="442"/>
      <c r="H513" s="446"/>
    </row>
    <row r="514" spans="1:8" ht="13.2">
      <c r="A514" s="454" t="s">
        <v>919</v>
      </c>
      <c r="B514" s="452" t="str">
        <f>VLOOKUP(A514,'Thống kê'!$C$3:$D$669,2,0)</f>
        <v>Thỏ mặt trăng gắn xe</v>
      </c>
      <c r="C514" s="436" t="str">
        <f>VLOOKUP(A514,'Thống kê'!$C$3:$E$682,3,0)</f>
        <v>cái</v>
      </c>
      <c r="D514" s="437">
        <f>VLOOKUP(A514,'Thống kê'!$C$3:$M$682,4,0)</f>
        <v>45000</v>
      </c>
      <c r="E514" s="438">
        <v>1</v>
      </c>
      <c r="F514" s="439">
        <f t="shared" si="2"/>
        <v>45000</v>
      </c>
      <c r="G514" s="442"/>
      <c r="H514" s="447">
        <v>227380</v>
      </c>
    </row>
    <row r="515" spans="1:8" ht="13.2">
      <c r="A515" s="456" t="s">
        <v>913</v>
      </c>
      <c r="B515" s="452" t="str">
        <f>VLOOKUP(A515,'Thống kê'!$C$3:$D$669,2,0)</f>
        <v>Thỏ máy bay gắn xe</v>
      </c>
      <c r="C515" s="436" t="str">
        <f>VLOOKUP(A515,'Thống kê'!$C$3:$E$682,3,0)</f>
        <v>cái</v>
      </c>
      <c r="D515" s="437">
        <f>VLOOKUP(A515,'Thống kê'!$C$3:$M$682,4,0)</f>
        <v>45000</v>
      </c>
      <c r="E515" s="438">
        <v>1</v>
      </c>
      <c r="F515" s="439">
        <f t="shared" si="2"/>
        <v>45000</v>
      </c>
      <c r="G515" s="442"/>
      <c r="H515" s="446"/>
    </row>
    <row r="516" spans="1:8" ht="13.2">
      <c r="A516" s="456" t="s">
        <v>917</v>
      </c>
      <c r="B516" s="452" t="str">
        <f>VLOOKUP(A516,'Thống kê'!$C$3:$D$669,2,0)</f>
        <v>Thỏ đi vịt gắn xe</v>
      </c>
      <c r="C516" s="436" t="str">
        <f>VLOOKUP(A516,'Thống kê'!$C$3:$E$682,3,0)</f>
        <v>cái</v>
      </c>
      <c r="D516" s="437">
        <f>VLOOKUP(A516,'Thống kê'!$C$3:$M$682,4,0)</f>
        <v>45000</v>
      </c>
      <c r="E516" s="438">
        <v>1</v>
      </c>
      <c r="F516" s="439">
        <f t="shared" si="2"/>
        <v>45000</v>
      </c>
      <c r="G516" s="442"/>
      <c r="H516" s="446"/>
    </row>
    <row r="517" spans="1:8" ht="13.2">
      <c r="A517" s="454" t="s">
        <v>915</v>
      </c>
      <c r="B517" s="452" t="str">
        <f>VLOOKUP(A517,'Thống kê'!$C$3:$D$669,2,0)</f>
        <v>Thỏ chạy xe gắn xe</v>
      </c>
      <c r="C517" s="436" t="str">
        <f>VLOOKUP(A517,'Thống kê'!$C$3:$E$682,3,0)</f>
        <v>cái</v>
      </c>
      <c r="D517" s="437">
        <f>VLOOKUP(A517,'Thống kê'!$C$3:$M$682,4,0)</f>
        <v>45000</v>
      </c>
      <c r="E517" s="438">
        <v>1</v>
      </c>
      <c r="F517" s="439">
        <f t="shared" si="2"/>
        <v>45000</v>
      </c>
      <c r="G517" s="442"/>
      <c r="H517" s="446"/>
    </row>
    <row r="518" spans="1:8" ht="13.2">
      <c r="A518" s="454" t="s">
        <v>911</v>
      </c>
      <c r="B518" s="452" t="str">
        <f>VLOOKUP(A518,'Thống kê'!$C$3:$D$669,2,0)</f>
        <v>Gấu nâu gắn xe</v>
      </c>
      <c r="C518" s="436" t="str">
        <f>VLOOKUP(A518,'Thống kê'!$C$3:$E$682,3,0)</f>
        <v>cái</v>
      </c>
      <c r="D518" s="437">
        <f>VLOOKUP(A518,'Thống kê'!$C$3:$M$682,4,0)</f>
        <v>45000</v>
      </c>
      <c r="E518" s="438">
        <v>1</v>
      </c>
      <c r="F518" s="439">
        <f t="shared" si="2"/>
        <v>45000</v>
      </c>
      <c r="G518" s="442"/>
      <c r="H518" s="446"/>
    </row>
    <row r="519" spans="1:8" ht="13.2">
      <c r="A519" s="454" t="s">
        <v>907</v>
      </c>
      <c r="B519" s="452" t="str">
        <f>VLOOKUP(A519,'Thống kê'!$C$3:$D$669,2,0)</f>
        <v>Cáo gắn xe</v>
      </c>
      <c r="C519" s="436" t="str">
        <f>VLOOKUP(A519,'Thống kê'!$C$3:$E$682,3,0)</f>
        <v>cái</v>
      </c>
      <c r="D519" s="437">
        <f>VLOOKUP(A519,'Thống kê'!$C$3:$M$682,4,0)</f>
        <v>45000</v>
      </c>
      <c r="E519" s="438">
        <v>1</v>
      </c>
      <c r="F519" s="439">
        <f t="shared" si="2"/>
        <v>45000</v>
      </c>
      <c r="G519" s="442"/>
      <c r="H519" s="446"/>
    </row>
    <row r="520" spans="1:8" ht="13.2">
      <c r="A520" s="454" t="s">
        <v>909</v>
      </c>
      <c r="B520" s="452" t="str">
        <f>VLOOKUP(A520,'Thống kê'!$C$3:$D$669,2,0)</f>
        <v>Gấu trắng gắn xe</v>
      </c>
      <c r="C520" s="436" t="str">
        <f>VLOOKUP(A520,'Thống kê'!$C$3:$E$682,3,0)</f>
        <v>cái</v>
      </c>
      <c r="D520" s="437">
        <f>VLOOKUP(A520,'Thống kê'!$C$3:$M$682,4,0)</f>
        <v>45000</v>
      </c>
      <c r="E520" s="438">
        <v>1</v>
      </c>
      <c r="F520" s="439">
        <f t="shared" si="2"/>
        <v>45000</v>
      </c>
      <c r="G520" s="442"/>
      <c r="H520" s="446"/>
    </row>
    <row r="521" spans="1:8" ht="13.2">
      <c r="A521" s="454" t="s">
        <v>794</v>
      </c>
      <c r="B521" s="452" t="str">
        <f>VLOOKUP(A521,'Thống kê'!$C$3:$D$669,2,0)</f>
        <v>Kẹp tóc bướm xanh tím</v>
      </c>
      <c r="C521" s="436" t="str">
        <f>VLOOKUP(A521,'Thống kê'!$C$3:$E$682,3,0)</f>
        <v>cái</v>
      </c>
      <c r="D521" s="437">
        <f>VLOOKUP(A521,'Thống kê'!$C$3:$M$682,4,0)</f>
        <v>40000</v>
      </c>
      <c r="E521" s="438">
        <v>1</v>
      </c>
      <c r="F521" s="439">
        <f t="shared" si="2"/>
        <v>40000</v>
      </c>
      <c r="G521" s="442"/>
      <c r="H521" s="447">
        <v>62700</v>
      </c>
    </row>
    <row r="522" spans="1:8" ht="13.2">
      <c r="A522" s="454" t="s">
        <v>790</v>
      </c>
      <c r="B522" s="452" t="str">
        <f>VLOOKUP(A522,'Thống kê'!$C$3:$D$669,2,0)</f>
        <v xml:space="preserve">Kẹp tóc bướm hồng </v>
      </c>
      <c r="C522" s="436" t="str">
        <f>VLOOKUP(A522,'Thống kê'!$C$3:$E$682,3,0)</f>
        <v>cái</v>
      </c>
      <c r="D522" s="437">
        <f>VLOOKUP(A522,'Thống kê'!$C$3:$M$682,4,0)</f>
        <v>40000</v>
      </c>
      <c r="E522" s="438">
        <v>1</v>
      </c>
      <c r="F522" s="439">
        <f t="shared" si="2"/>
        <v>40000</v>
      </c>
      <c r="G522" s="442"/>
      <c r="H522" s="446"/>
    </row>
    <row r="523" spans="1:8" ht="13.2">
      <c r="A523" s="454" t="s">
        <v>794</v>
      </c>
      <c r="B523" s="452" t="str">
        <f>VLOOKUP(A523,'Thống kê'!$C$3:$D$669,2,0)</f>
        <v>Kẹp tóc bướm xanh tím</v>
      </c>
      <c r="C523" s="436" t="str">
        <f>VLOOKUP(A523,'Thống kê'!$C$3:$E$682,3,0)</f>
        <v>cái</v>
      </c>
      <c r="D523" s="437">
        <f>VLOOKUP(A523,'Thống kê'!$C$3:$M$682,4,0)</f>
        <v>40000</v>
      </c>
      <c r="E523" s="438">
        <v>1</v>
      </c>
      <c r="F523" s="439">
        <f t="shared" si="2"/>
        <v>40000</v>
      </c>
      <c r="G523" s="442"/>
      <c r="H523" s="447">
        <f>63300-33000</f>
        <v>30300</v>
      </c>
    </row>
    <row r="524" spans="1:8" ht="13.2">
      <c r="A524" s="454" t="s">
        <v>796</v>
      </c>
      <c r="B524" s="452" t="str">
        <f>VLOOKUP(A524,'Thống kê'!$C$3:$D$669,2,0)</f>
        <v>Kẹp tóc bướm tím</v>
      </c>
      <c r="C524" s="436" t="str">
        <f>VLOOKUP(A524,'Thống kê'!$C$3:$E$682,3,0)</f>
        <v>cái</v>
      </c>
      <c r="D524" s="437">
        <f>VLOOKUP(A524,'Thống kê'!$C$3:$M$682,4,0)</f>
        <v>40000</v>
      </c>
      <c r="E524" s="438">
        <v>1</v>
      </c>
      <c r="F524" s="439">
        <f t="shared" si="2"/>
        <v>40000</v>
      </c>
      <c r="G524" s="442"/>
      <c r="H524" s="446"/>
    </row>
    <row r="525" spans="1:8" ht="13.2">
      <c r="A525" s="454" t="s">
        <v>788</v>
      </c>
      <c r="B525" s="452" t="str">
        <f>VLOOKUP(A525,'Thống kê'!$C$3:$D$669,2,0)</f>
        <v>Kẹp tóc bướm hồng phấn</v>
      </c>
      <c r="C525" s="436" t="str">
        <f>VLOOKUP(A525,'Thống kê'!$C$3:$E$682,3,0)</f>
        <v>cái</v>
      </c>
      <c r="D525" s="437">
        <f>VLOOKUP(A525,'Thống kê'!$C$3:$M$682,4,0)</f>
        <v>40000</v>
      </c>
      <c r="E525" s="438">
        <v>1</v>
      </c>
      <c r="F525" s="439">
        <f t="shared" si="2"/>
        <v>40000</v>
      </c>
      <c r="G525" s="442"/>
      <c r="H525" s="447">
        <v>45876</v>
      </c>
    </row>
    <row r="526" spans="1:8" ht="13.2">
      <c r="A526" s="454" t="s">
        <v>813</v>
      </c>
      <c r="B526" s="452" t="str">
        <f>VLOOKUP(A526,'Thống kê'!$C$3:$D$669,2,0)</f>
        <v>Kẹp tóc bướm hồng nhạt</v>
      </c>
      <c r="C526" s="436" t="str">
        <f>VLOOKUP(A526,'Thống kê'!$C$3:$E$682,3,0)</f>
        <v>cái</v>
      </c>
      <c r="D526" s="437">
        <f>VLOOKUP(A526,'Thống kê'!$C$3:$M$682,4,0)</f>
        <v>18000</v>
      </c>
      <c r="E526" s="438">
        <v>1</v>
      </c>
      <c r="F526" s="439">
        <f t="shared" si="2"/>
        <v>18000</v>
      </c>
      <c r="G526" s="442"/>
      <c r="H526" s="446"/>
    </row>
    <row r="527" spans="1:8" ht="13.2">
      <c r="A527" s="454" t="s">
        <v>661</v>
      </c>
      <c r="B527" s="452" t="str">
        <f>VLOOKUP(A527,'Thống kê'!$C$3:$D$669,2,0)</f>
        <v>Buộc tóc ngọc trai đen</v>
      </c>
      <c r="C527" s="436" t="str">
        <f>VLOOKUP(A527,'Thống kê'!$C$3:$E$682,3,0)</f>
        <v>cái</v>
      </c>
      <c r="D527" s="437">
        <f>VLOOKUP(A527,'Thống kê'!$C$3:$M$682,4,0)</f>
        <v>29000</v>
      </c>
      <c r="E527" s="438">
        <v>1</v>
      </c>
      <c r="F527" s="439">
        <f t="shared" si="2"/>
        <v>29000</v>
      </c>
      <c r="G527" s="442"/>
      <c r="H527" s="447">
        <v>116364</v>
      </c>
    </row>
    <row r="528" spans="1:8" ht="13.2">
      <c r="A528" s="454" t="s">
        <v>719</v>
      </c>
      <c r="B528" s="452" t="str">
        <f>VLOOKUP(A528,'Thống kê'!$C$3:$D$669,2,0)</f>
        <v>Kẹp nơ hồng</v>
      </c>
      <c r="C528" s="436" t="str">
        <f>VLOOKUP(A528,'Thống kê'!$C$3:$E$682,3,0)</f>
        <v>cái</v>
      </c>
      <c r="D528" s="437">
        <f>VLOOKUP(A528,'Thống kê'!$C$3:$M$682,4,0)</f>
        <v>22000</v>
      </c>
      <c r="E528" s="438">
        <v>1</v>
      </c>
      <c r="F528" s="439">
        <f t="shared" si="2"/>
        <v>22000</v>
      </c>
      <c r="G528" s="442"/>
      <c r="H528" s="446"/>
    </row>
    <row r="529" spans="1:8" ht="13.2">
      <c r="A529" s="454" t="s">
        <v>720</v>
      </c>
      <c r="B529" s="452" t="str">
        <f>VLOOKUP(A529,'Thống kê'!$C$3:$D$669,2,0)</f>
        <v>Kẹp nơ trắng</v>
      </c>
      <c r="C529" s="436" t="str">
        <f>VLOOKUP(A529,'Thống kê'!$C$3:$E$682,3,0)</f>
        <v>cái</v>
      </c>
      <c r="D529" s="437">
        <f>VLOOKUP(A529,'Thống kê'!$C$3:$M$682,4,0)</f>
        <v>22000</v>
      </c>
      <c r="E529" s="438">
        <v>1</v>
      </c>
      <c r="F529" s="439">
        <f t="shared" si="2"/>
        <v>22000</v>
      </c>
      <c r="G529" s="442"/>
      <c r="H529" s="446"/>
    </row>
    <row r="530" spans="1:8" ht="13.2">
      <c r="A530" s="454" t="s">
        <v>825</v>
      </c>
      <c r="B530" s="452" t="str">
        <f>VLOOKUP(A530,'Thống kê'!$C$3:$D$669,2,0)</f>
        <v>Kẹp tóc bướm hồng cam</v>
      </c>
      <c r="C530" s="436" t="str">
        <f>VLOOKUP(A530,'Thống kê'!$C$3:$E$682,3,0)</f>
        <v>cái</v>
      </c>
      <c r="D530" s="437">
        <f>VLOOKUP(A530,'Thống kê'!$C$3:$M$682,4,0)</f>
        <v>52000</v>
      </c>
      <c r="E530" s="438">
        <v>1</v>
      </c>
      <c r="F530" s="439">
        <f t="shared" si="2"/>
        <v>52000</v>
      </c>
      <c r="G530" s="442"/>
      <c r="H530" s="446"/>
    </row>
    <row r="531" spans="1:8" ht="13.2">
      <c r="A531" s="454" t="s">
        <v>911</v>
      </c>
      <c r="B531" s="452" t="str">
        <f>VLOOKUP(A531,'Thống kê'!$C$3:$D$669,2,0)</f>
        <v>Gấu nâu gắn xe</v>
      </c>
      <c r="C531" s="436" t="str">
        <f>VLOOKUP(A531,'Thống kê'!$C$3:$E$682,3,0)</f>
        <v>cái</v>
      </c>
      <c r="D531" s="437">
        <f>VLOOKUP(A531,'Thống kê'!$C$3:$M$682,4,0)</f>
        <v>45000</v>
      </c>
      <c r="E531" s="438">
        <v>1</v>
      </c>
      <c r="F531" s="439">
        <f t="shared" si="2"/>
        <v>45000</v>
      </c>
      <c r="G531" s="442"/>
      <c r="H531" s="448">
        <v>39460</v>
      </c>
    </row>
    <row r="532" spans="1:8" ht="13.2">
      <c r="A532" s="454" t="s">
        <v>792</v>
      </c>
      <c r="B532" s="452" t="str">
        <f>VLOOKUP(A532,'Thống kê'!$C$3:$D$669,2,0)</f>
        <v>Kẹp tóc bướm xanh ngọc</v>
      </c>
      <c r="C532" s="436" t="str">
        <f>VLOOKUP(A532,'Thống kê'!$C$3:$E$682,3,0)</f>
        <v>cái</v>
      </c>
      <c r="D532" s="437">
        <f>VLOOKUP(A532,'Thống kê'!$C$3:$M$682,4,0)</f>
        <v>38000</v>
      </c>
      <c r="E532" s="438">
        <v>1</v>
      </c>
      <c r="F532" s="439">
        <f t="shared" si="2"/>
        <v>38000</v>
      </c>
      <c r="G532" s="442"/>
      <c r="H532" s="448">
        <v>34880</v>
      </c>
    </row>
    <row r="533" spans="1:8" ht="13.2">
      <c r="A533" s="454" t="s">
        <v>887</v>
      </c>
      <c r="B533" s="452" t="str">
        <f>VLOOKUP(A533,'Thống kê'!$C$3:$D$669,2,0)</f>
        <v>Mèo ú</v>
      </c>
      <c r="C533" s="436" t="str">
        <f>VLOOKUP(A533,'Thống kê'!$C$3:$E$682,3,0)</f>
        <v>cái</v>
      </c>
      <c r="D533" s="437">
        <f>VLOOKUP(A533,'Thống kê'!$C$3:$M$682,4,0)</f>
        <v>59500</v>
      </c>
      <c r="E533" s="438">
        <v>1</v>
      </c>
      <c r="F533" s="439">
        <f t="shared" si="2"/>
        <v>59500</v>
      </c>
      <c r="G533" s="442"/>
      <c r="H533" s="447">
        <v>94188</v>
      </c>
    </row>
    <row r="534" spans="1:8" ht="13.2">
      <c r="A534" s="454" t="s">
        <v>885</v>
      </c>
      <c r="B534" s="452" t="str">
        <f>VLOOKUP(A534,'Thống kê'!$C$3:$D$669,2,0)</f>
        <v>Gấu ú</v>
      </c>
      <c r="C534" s="436" t="str">
        <f>VLOOKUP(A534,'Thống kê'!$C$3:$E$682,3,0)</f>
        <v>cái</v>
      </c>
      <c r="D534" s="437">
        <f>VLOOKUP(A534,'Thống kê'!$C$3:$M$682,4,0)</f>
        <v>59500</v>
      </c>
      <c r="E534" s="438">
        <v>1</v>
      </c>
      <c r="F534" s="439">
        <f t="shared" si="2"/>
        <v>59500</v>
      </c>
      <c r="G534" s="442"/>
      <c r="H534" s="446"/>
    </row>
    <row r="535" spans="1:8" ht="13.2">
      <c r="A535" s="454" t="s">
        <v>800</v>
      </c>
      <c r="B535" s="452" t="str">
        <f>VLOOKUP(A535,'Thống kê'!$C$3:$D$669,2,0)</f>
        <v>Kẹp tóc bướm kem</v>
      </c>
      <c r="C535" s="436" t="str">
        <f>VLOOKUP(A535,'Thống kê'!$C$3:$E$682,3,0)</f>
        <v>cái</v>
      </c>
      <c r="D535" s="437">
        <f>VLOOKUP(A535,'Thống kê'!$C$3:$M$682,4,0)</f>
        <v>38000</v>
      </c>
      <c r="E535" s="438">
        <v>1</v>
      </c>
      <c r="F535" s="439">
        <f t="shared" si="2"/>
        <v>38000</v>
      </c>
      <c r="G535" s="442"/>
      <c r="H535" s="448">
        <v>35140</v>
      </c>
    </row>
    <row r="536" spans="1:8" ht="13.2">
      <c r="A536" s="454" t="s">
        <v>989</v>
      </c>
      <c r="B536" s="452" t="str">
        <f>VLOOKUP(A536,'Thống kê'!$C$3:$D$669,2,0)</f>
        <v>Móc khóa đôi 2 quả lê có nam châm</v>
      </c>
      <c r="C536" s="436" t="str">
        <f>VLOOKUP(A536,'Thống kê'!$C$3:$E$682,3,0)</f>
        <v>cái</v>
      </c>
      <c r="D536" s="437">
        <f>VLOOKUP(A536,'Thống kê'!$C$3:$M$682,4,0)</f>
        <v>59000</v>
      </c>
      <c r="E536" s="438">
        <v>1</v>
      </c>
      <c r="F536" s="439">
        <f t="shared" si="2"/>
        <v>59000</v>
      </c>
      <c r="G536" s="442"/>
      <c r="H536" s="448">
        <v>46728</v>
      </c>
    </row>
    <row r="537" spans="1:8" ht="13.2">
      <c r="A537" s="454" t="s">
        <v>792</v>
      </c>
      <c r="B537" s="452" t="str">
        <f>VLOOKUP(A537,'Thống kê'!$C$3:$D$669,2,0)</f>
        <v>Kẹp tóc bướm xanh ngọc</v>
      </c>
      <c r="C537" s="436" t="str">
        <f>VLOOKUP(A537,'Thống kê'!$C$3:$E$682,3,0)</f>
        <v>cái</v>
      </c>
      <c r="D537" s="437">
        <f>VLOOKUP(A537,'Thống kê'!$C$3:$M$682,4,0)</f>
        <v>38000</v>
      </c>
      <c r="E537" s="438">
        <v>1</v>
      </c>
      <c r="F537" s="439">
        <f t="shared" si="2"/>
        <v>38000</v>
      </c>
      <c r="G537" s="442"/>
      <c r="H537" s="448">
        <v>34880</v>
      </c>
    </row>
    <row r="538" spans="1:8" ht="13.2">
      <c r="A538" s="454" t="s">
        <v>794</v>
      </c>
      <c r="B538" s="452" t="str">
        <f>VLOOKUP(A538,'Thống kê'!$C$3:$D$669,2,0)</f>
        <v>Kẹp tóc bướm xanh tím</v>
      </c>
      <c r="C538" s="436" t="str">
        <f>VLOOKUP(A538,'Thống kê'!$C$3:$E$682,3,0)</f>
        <v>cái</v>
      </c>
      <c r="D538" s="437">
        <f>VLOOKUP(A538,'Thống kê'!$C$3:$M$682,4,0)</f>
        <v>40000</v>
      </c>
      <c r="E538" s="438">
        <v>1</v>
      </c>
      <c r="F538" s="439">
        <f t="shared" si="2"/>
        <v>40000</v>
      </c>
      <c r="G538" s="442"/>
      <c r="H538" s="447">
        <v>47620</v>
      </c>
    </row>
    <row r="539" spans="1:8" ht="13.2">
      <c r="A539" s="454" t="s">
        <v>762</v>
      </c>
      <c r="B539" s="452" t="str">
        <f>VLOOKUP(A539,'Thống kê'!$C$3:$D$669,2,0)</f>
        <v>Kẹp tóc hoa cam trơn</v>
      </c>
      <c r="C539" s="436" t="str">
        <f>VLOOKUP(A539,'Thống kê'!$C$3:$E$682,3,0)</f>
        <v>cái</v>
      </c>
      <c r="D539" s="437">
        <f>VLOOKUP(A539,'Thống kê'!$C$3:$M$682,4,0)</f>
        <v>14500</v>
      </c>
      <c r="E539" s="438">
        <v>1</v>
      </c>
      <c r="F539" s="439">
        <f t="shared" si="2"/>
        <v>14500</v>
      </c>
      <c r="G539" s="442"/>
      <c r="H539" s="446"/>
    </row>
    <row r="540" spans="1:8" ht="13.2">
      <c r="A540" s="454" t="s">
        <v>798</v>
      </c>
      <c r="B540" s="452" t="str">
        <f>VLOOKUP(A540,'Thống kê'!$C$3:$D$669,2,0)</f>
        <v>Kẹp tóc bướm trắng</v>
      </c>
      <c r="C540" s="436" t="str">
        <f>VLOOKUP(A540,'Thống kê'!$C$3:$E$682,3,0)</f>
        <v>cái</v>
      </c>
      <c r="D540" s="437">
        <f>VLOOKUP(A540,'Thống kê'!$C$3:$M$682,4,0)</f>
        <v>40000</v>
      </c>
      <c r="E540" s="438">
        <v>1</v>
      </c>
      <c r="F540" s="439">
        <f t="shared" si="2"/>
        <v>40000</v>
      </c>
      <c r="G540" s="442"/>
      <c r="H540" s="448">
        <v>35140</v>
      </c>
    </row>
    <row r="541" spans="1:8" ht="13.2">
      <c r="A541" s="454" t="s">
        <v>794</v>
      </c>
      <c r="B541" s="452" t="str">
        <f>VLOOKUP(A541,'Thống kê'!$C$3:$D$669,2,0)</f>
        <v>Kẹp tóc bướm xanh tím</v>
      </c>
      <c r="C541" s="436" t="str">
        <f>VLOOKUP(A541,'Thống kê'!$C$3:$E$682,3,0)</f>
        <v>cái</v>
      </c>
      <c r="D541" s="437">
        <f>VLOOKUP(A541,'Thống kê'!$C$3:$M$682,4,0)</f>
        <v>40000</v>
      </c>
      <c r="E541" s="438">
        <v>1</v>
      </c>
      <c r="F541" s="439">
        <f t="shared" si="2"/>
        <v>40000</v>
      </c>
      <c r="G541" s="442"/>
      <c r="H541" s="448">
        <v>35140</v>
      </c>
    </row>
    <row r="542" spans="1:8" ht="13.2">
      <c r="A542" s="454" t="s">
        <v>792</v>
      </c>
      <c r="B542" s="452" t="str">
        <f>VLOOKUP(A542,'Thống kê'!$C$3:$D$669,2,0)</f>
        <v>Kẹp tóc bướm xanh ngọc</v>
      </c>
      <c r="C542" s="436" t="str">
        <f>VLOOKUP(A542,'Thống kê'!$C$3:$E$682,3,0)</f>
        <v>cái</v>
      </c>
      <c r="D542" s="437">
        <f>VLOOKUP(A542,'Thống kê'!$C$3:$M$682,4,0)</f>
        <v>38000</v>
      </c>
      <c r="E542" s="438">
        <v>1</v>
      </c>
      <c r="F542" s="439">
        <f t="shared" si="2"/>
        <v>38000</v>
      </c>
      <c r="G542" s="442"/>
      <c r="H542" s="448">
        <v>35140</v>
      </c>
    </row>
    <row r="543" spans="1:8" ht="13.2">
      <c r="A543" s="454" t="s">
        <v>794</v>
      </c>
      <c r="B543" s="452" t="str">
        <f>VLOOKUP(A543,'Thống kê'!$C$3:$D$669,2,0)</f>
        <v>Kẹp tóc bướm xanh tím</v>
      </c>
      <c r="C543" s="436" t="str">
        <f>VLOOKUP(A543,'Thống kê'!$C$3:$E$682,3,0)</f>
        <v>cái</v>
      </c>
      <c r="D543" s="437">
        <f>VLOOKUP(A543,'Thống kê'!$C$3:$M$682,4,0)</f>
        <v>40000</v>
      </c>
      <c r="E543" s="438">
        <v>1</v>
      </c>
      <c r="F543" s="439">
        <f t="shared" si="2"/>
        <v>40000</v>
      </c>
      <c r="G543" s="442"/>
      <c r="H543" s="447">
        <v>63200</v>
      </c>
    </row>
    <row r="544" spans="1:8" ht="13.2">
      <c r="A544" s="454" t="s">
        <v>796</v>
      </c>
      <c r="B544" s="452" t="str">
        <f>VLOOKUP(A544,'Thống kê'!$C$3:$D$669,2,0)</f>
        <v>Kẹp tóc bướm tím</v>
      </c>
      <c r="C544" s="436" t="str">
        <f>VLOOKUP(A544,'Thống kê'!$C$3:$E$682,3,0)</f>
        <v>cái</v>
      </c>
      <c r="D544" s="437">
        <f>VLOOKUP(A544,'Thống kê'!$C$3:$M$682,4,0)</f>
        <v>40000</v>
      </c>
      <c r="E544" s="438">
        <v>1</v>
      </c>
      <c r="F544" s="439">
        <f t="shared" si="2"/>
        <v>40000</v>
      </c>
      <c r="G544" s="442"/>
      <c r="H544" s="446"/>
    </row>
    <row r="545" spans="1:8" ht="13.2">
      <c r="A545" s="454" t="s">
        <v>790</v>
      </c>
      <c r="B545" s="452" t="str">
        <f>VLOOKUP(A545,'Thống kê'!$C$3:$D$669,2,0)</f>
        <v xml:space="preserve">Kẹp tóc bướm hồng </v>
      </c>
      <c r="C545" s="436" t="str">
        <f>VLOOKUP(A545,'Thống kê'!$C$3:$E$682,3,0)</f>
        <v>cái</v>
      </c>
      <c r="D545" s="437">
        <f>VLOOKUP(A545,'Thống kê'!$C$3:$M$682,4,0)</f>
        <v>40000</v>
      </c>
      <c r="E545" s="438">
        <v>1</v>
      </c>
      <c r="F545" s="439">
        <f t="shared" si="2"/>
        <v>40000</v>
      </c>
      <c r="G545" s="442"/>
      <c r="H545" s="447">
        <v>62640</v>
      </c>
    </row>
    <row r="546" spans="1:8" ht="13.2">
      <c r="A546" s="454" t="s">
        <v>800</v>
      </c>
      <c r="B546" s="452" t="str">
        <f>VLOOKUP(A546,'Thống kê'!$C$3:$D$669,2,0)</f>
        <v>Kẹp tóc bướm kem</v>
      </c>
      <c r="C546" s="436" t="str">
        <f>VLOOKUP(A546,'Thống kê'!$C$3:$E$682,3,0)</f>
        <v>cái</v>
      </c>
      <c r="D546" s="437">
        <f>VLOOKUP(A546,'Thống kê'!$C$3:$M$682,4,0)</f>
        <v>38000</v>
      </c>
      <c r="E546" s="438">
        <v>1</v>
      </c>
      <c r="F546" s="439">
        <f t="shared" si="2"/>
        <v>38000</v>
      </c>
      <c r="G546" s="442"/>
      <c r="H546" s="446"/>
    </row>
    <row r="547" spans="1:8" ht="13.2">
      <c r="A547" s="454" t="s">
        <v>788</v>
      </c>
      <c r="B547" s="452" t="str">
        <f>VLOOKUP(A547,'Thống kê'!$C$3:$D$669,2,0)</f>
        <v>Kẹp tóc bướm hồng phấn</v>
      </c>
      <c r="C547" s="436" t="str">
        <f>VLOOKUP(A547,'Thống kê'!$C$3:$E$682,3,0)</f>
        <v>cái</v>
      </c>
      <c r="D547" s="437">
        <f>VLOOKUP(A547,'Thống kê'!$C$3:$M$682,4,0)</f>
        <v>40000</v>
      </c>
      <c r="E547" s="438">
        <v>1</v>
      </c>
      <c r="F547" s="439">
        <f t="shared" si="2"/>
        <v>40000</v>
      </c>
      <c r="G547" s="442"/>
      <c r="H547" s="447">
        <v>104544</v>
      </c>
    </row>
    <row r="548" spans="1:8" ht="13.2">
      <c r="A548" s="454" t="s">
        <v>819</v>
      </c>
      <c r="B548" s="452" t="str">
        <f>VLOOKUP(A548,'Thống kê'!$C$3:$D$669,2,0)</f>
        <v>Kẹp tóc bướm xanh trắng</v>
      </c>
      <c r="C548" s="436" t="str">
        <f>VLOOKUP(A548,'Thống kê'!$C$3:$E$682,3,0)</f>
        <v>cái</v>
      </c>
      <c r="D548" s="437">
        <f>VLOOKUP(A548,'Thống kê'!$C$3:$M$682,4,0)</f>
        <v>52000</v>
      </c>
      <c r="E548" s="438">
        <v>1</v>
      </c>
      <c r="F548" s="439">
        <f t="shared" si="2"/>
        <v>52000</v>
      </c>
      <c r="G548" s="442"/>
      <c r="H548" s="446"/>
    </row>
    <row r="549" spans="1:8" ht="13.2">
      <c r="A549" s="454" t="s">
        <v>798</v>
      </c>
      <c r="B549" s="452" t="str">
        <f>VLOOKUP(A549,'Thống kê'!$C$3:$D$669,2,0)</f>
        <v>Kẹp tóc bướm trắng</v>
      </c>
      <c r="C549" s="436" t="str">
        <f>VLOOKUP(A549,'Thống kê'!$C$3:$E$682,3,0)</f>
        <v>cái</v>
      </c>
      <c r="D549" s="437">
        <f>VLOOKUP(A549,'Thống kê'!$C$3:$M$682,4,0)</f>
        <v>40000</v>
      </c>
      <c r="E549" s="438">
        <v>1</v>
      </c>
      <c r="F549" s="439">
        <f t="shared" si="2"/>
        <v>40000</v>
      </c>
      <c r="G549" s="442"/>
      <c r="H549" s="446"/>
    </row>
    <row r="550" spans="1:8" ht="13.2">
      <c r="A550" s="454" t="s">
        <v>800</v>
      </c>
      <c r="B550" s="452" t="str">
        <f>VLOOKUP(A550,'Thống kê'!$C$3:$D$669,2,0)</f>
        <v>Kẹp tóc bướm kem</v>
      </c>
      <c r="C550" s="436" t="str">
        <f>VLOOKUP(A550,'Thống kê'!$C$3:$E$682,3,0)</f>
        <v>cái</v>
      </c>
      <c r="D550" s="437">
        <f>VLOOKUP(A550,'Thống kê'!$C$3:$M$682,4,0)</f>
        <v>38000</v>
      </c>
      <c r="E550" s="438">
        <v>1</v>
      </c>
      <c r="F550" s="439">
        <f t="shared" si="2"/>
        <v>38000</v>
      </c>
      <c r="G550" s="442"/>
      <c r="H550" s="448">
        <v>34480</v>
      </c>
    </row>
    <row r="551" spans="1:8" ht="13.2">
      <c r="A551" s="454" t="s">
        <v>788</v>
      </c>
      <c r="B551" s="452" t="str">
        <f>VLOOKUP(A551,'Thống kê'!$C$3:$D$669,2,0)</f>
        <v>Kẹp tóc bướm hồng phấn</v>
      </c>
      <c r="C551" s="436" t="str">
        <f>VLOOKUP(A551,'Thống kê'!$C$3:$E$682,3,0)</f>
        <v>cái</v>
      </c>
      <c r="D551" s="437">
        <f>VLOOKUP(A551,'Thống kê'!$C$3:$M$682,4,0)</f>
        <v>40000</v>
      </c>
      <c r="E551" s="438">
        <v>1</v>
      </c>
      <c r="F551" s="439">
        <f t="shared" si="2"/>
        <v>40000</v>
      </c>
      <c r="G551" s="442"/>
      <c r="H551" s="447">
        <v>94480</v>
      </c>
    </row>
    <row r="552" spans="1:8" ht="13.2">
      <c r="A552" s="454" t="s">
        <v>800</v>
      </c>
      <c r="B552" s="452" t="str">
        <f>VLOOKUP(A552,'Thống kê'!$C$3:$D$669,2,0)</f>
        <v>Kẹp tóc bướm kem</v>
      </c>
      <c r="C552" s="436" t="str">
        <f>VLOOKUP(A552,'Thống kê'!$C$3:$E$682,3,0)</f>
        <v>cái</v>
      </c>
      <c r="D552" s="437">
        <f>VLOOKUP(A552,'Thống kê'!$C$3:$M$682,4,0)</f>
        <v>38000</v>
      </c>
      <c r="E552" s="438">
        <v>1</v>
      </c>
      <c r="F552" s="439">
        <f t="shared" si="2"/>
        <v>38000</v>
      </c>
      <c r="G552" s="442"/>
      <c r="H552" s="446"/>
    </row>
    <row r="553" spans="1:8" ht="13.2">
      <c r="A553" s="454" t="s">
        <v>796</v>
      </c>
      <c r="B553" s="452" t="str">
        <f>VLOOKUP(A553,'Thống kê'!$C$3:$D$669,2,0)</f>
        <v>Kẹp tóc bướm tím</v>
      </c>
      <c r="C553" s="436" t="str">
        <f>VLOOKUP(A553,'Thống kê'!$C$3:$E$682,3,0)</f>
        <v>cái</v>
      </c>
      <c r="D553" s="437">
        <f>VLOOKUP(A553,'Thống kê'!$C$3:$M$682,4,0)</f>
        <v>40000</v>
      </c>
      <c r="E553" s="438">
        <v>1</v>
      </c>
      <c r="F553" s="439">
        <f t="shared" si="2"/>
        <v>40000</v>
      </c>
      <c r="G553" s="442"/>
      <c r="H553" s="446"/>
    </row>
    <row r="554" spans="1:8" ht="13.2">
      <c r="A554" s="454" t="s">
        <v>819</v>
      </c>
      <c r="B554" s="452" t="str">
        <f>VLOOKUP(A554,'Thống kê'!$C$3:$D$669,2,0)</f>
        <v>Kẹp tóc bướm xanh trắng</v>
      </c>
      <c r="C554" s="436" t="str">
        <f>VLOOKUP(A554,'Thống kê'!$C$3:$E$682,3,0)</f>
        <v>cái</v>
      </c>
      <c r="D554" s="437">
        <f>VLOOKUP(A554,'Thống kê'!$C$3:$M$682,4,0)</f>
        <v>52000</v>
      </c>
      <c r="E554" s="438">
        <v>1</v>
      </c>
      <c r="F554" s="439">
        <f t="shared" si="2"/>
        <v>52000</v>
      </c>
      <c r="G554" s="442"/>
      <c r="H554" s="448">
        <v>41184</v>
      </c>
    </row>
    <row r="555" spans="1:8" ht="13.2">
      <c r="A555" s="454" t="s">
        <v>819</v>
      </c>
      <c r="B555" s="452" t="str">
        <f>VLOOKUP(A555,'Thống kê'!$C$3:$D$669,2,0)</f>
        <v>Kẹp tóc bướm xanh trắng</v>
      </c>
      <c r="C555" s="436" t="str">
        <f>VLOOKUP(A555,'Thống kê'!$C$3:$E$682,3,0)</f>
        <v>cái</v>
      </c>
      <c r="D555" s="437">
        <f>VLOOKUP(A555,'Thống kê'!$C$3:$M$682,4,0)</f>
        <v>52000</v>
      </c>
      <c r="E555" s="438">
        <v>3</v>
      </c>
      <c r="F555" s="439">
        <f t="shared" si="2"/>
        <v>156000</v>
      </c>
      <c r="G555" s="442"/>
      <c r="H555" s="447">
        <v>675840</v>
      </c>
    </row>
    <row r="556" spans="1:8" ht="13.2">
      <c r="A556" s="454" t="s">
        <v>825</v>
      </c>
      <c r="B556" s="452" t="str">
        <f>VLOOKUP(A556,'Thống kê'!$C$3:$D$669,2,0)</f>
        <v>Kẹp tóc bướm hồng cam</v>
      </c>
      <c r="C556" s="436" t="str">
        <f>VLOOKUP(A556,'Thống kê'!$C$3:$E$682,3,0)</f>
        <v>cái</v>
      </c>
      <c r="D556" s="437">
        <f>VLOOKUP(A556,'Thống kê'!$C$3:$M$682,4,0)</f>
        <v>52000</v>
      </c>
      <c r="E556" s="438">
        <v>11</v>
      </c>
      <c r="F556" s="439">
        <f t="shared" si="2"/>
        <v>572000</v>
      </c>
      <c r="G556" s="442"/>
      <c r="H556" s="446"/>
    </row>
    <row r="557" spans="1:8" ht="13.2">
      <c r="A557" s="454" t="s">
        <v>796</v>
      </c>
      <c r="B557" s="452" t="str">
        <f>VLOOKUP(A557,'Thống kê'!$C$3:$D$669,2,0)</f>
        <v>Kẹp tóc bướm tím</v>
      </c>
      <c r="C557" s="436" t="str">
        <f>VLOOKUP(A557,'Thống kê'!$C$3:$E$682,3,0)</f>
        <v>cái</v>
      </c>
      <c r="D557" s="437">
        <f>VLOOKUP(A557,'Thống kê'!$C$3:$M$682,4,0)</f>
        <v>40000</v>
      </c>
      <c r="E557" s="438">
        <v>1</v>
      </c>
      <c r="F557" s="439">
        <f t="shared" si="2"/>
        <v>40000</v>
      </c>
      <c r="G557" s="442"/>
      <c r="H557" s="446"/>
    </row>
    <row r="558" spans="1:8" ht="13.2">
      <c r="A558" s="454" t="s">
        <v>736</v>
      </c>
      <c r="B558" s="452" t="str">
        <f>VLOOKUP(A558,'Thống kê'!$C$3:$D$669,2,0)</f>
        <v>Kẹp tóc hoa sứ vàng</v>
      </c>
      <c r="C558" s="436" t="str">
        <f>VLOOKUP(A558,'Thống kê'!$C$3:$E$682,3,0)</f>
        <v>cái</v>
      </c>
      <c r="D558" s="437">
        <f>VLOOKUP(A558,'Thống kê'!$C$3:$M$682,4,0)</f>
        <v>18500</v>
      </c>
      <c r="E558" s="438">
        <v>1</v>
      </c>
      <c r="F558" s="439">
        <v>0</v>
      </c>
      <c r="G558" s="442"/>
      <c r="H558" s="447">
        <v>0</v>
      </c>
    </row>
    <row r="559" spans="1:8" ht="13.2">
      <c r="A559" s="454" t="s">
        <v>740</v>
      </c>
      <c r="B559" s="452" t="str">
        <f>VLOOKUP(A559,'Thống kê'!$C$3:$D$669,2,0)</f>
        <v>Kẹp tóc hoa sứ đỏ</v>
      </c>
      <c r="C559" s="436" t="str">
        <f>VLOOKUP(A559,'Thống kê'!$C$3:$E$682,3,0)</f>
        <v>cái</v>
      </c>
      <c r="D559" s="437">
        <f>VLOOKUP(A559,'Thống kê'!$C$3:$M$682,4,0)</f>
        <v>18500</v>
      </c>
      <c r="E559" s="438">
        <v>1</v>
      </c>
      <c r="F559" s="439">
        <v>0</v>
      </c>
      <c r="G559" s="442"/>
      <c r="H559" s="446"/>
    </row>
    <row r="560" spans="1:8" ht="13.2">
      <c r="A560" s="454" t="s">
        <v>744</v>
      </c>
      <c r="B560" s="452" t="str">
        <f>VLOOKUP(A560,'Thống kê'!$C$3:$D$669,2,0)</f>
        <v>Kẹp tóc hoa sứ đỏ hồng đậm</v>
      </c>
      <c r="C560" s="436" t="str">
        <f>VLOOKUP(A560,'Thống kê'!$C$3:$E$682,3,0)</f>
        <v>cái</v>
      </c>
      <c r="D560" s="437">
        <f>VLOOKUP(A560,'Thống kê'!$C$3:$M$682,4,0)</f>
        <v>18500</v>
      </c>
      <c r="E560" s="438">
        <v>1</v>
      </c>
      <c r="F560" s="439">
        <v>0</v>
      </c>
      <c r="G560" s="442"/>
      <c r="H560" s="446"/>
    </row>
    <row r="561" spans="1:8" ht="13.2">
      <c r="A561" s="454" t="s">
        <v>796</v>
      </c>
      <c r="B561" s="452" t="str">
        <f>VLOOKUP(A561,'Thống kê'!$C$3:$D$669,2,0)</f>
        <v>Kẹp tóc bướm tím</v>
      </c>
      <c r="C561" s="436" t="str">
        <f>VLOOKUP(A561,'Thống kê'!$C$3:$E$682,3,0)</f>
        <v>cái</v>
      </c>
      <c r="D561" s="437">
        <f>VLOOKUP(A561,'Thống kê'!$C$3:$M$682,4,0)</f>
        <v>40000</v>
      </c>
      <c r="E561" s="438">
        <v>1</v>
      </c>
      <c r="F561" s="439">
        <v>0</v>
      </c>
      <c r="G561" s="442"/>
      <c r="H561" s="446"/>
    </row>
    <row r="562" spans="1:8" ht="13.2">
      <c r="A562" s="454" t="s">
        <v>794</v>
      </c>
      <c r="B562" s="452" t="str">
        <f>VLOOKUP(A562,'Thống kê'!$C$3:$D$669,2,0)</f>
        <v>Kẹp tóc bướm xanh tím</v>
      </c>
      <c r="C562" s="436" t="str">
        <f>VLOOKUP(A562,'Thống kê'!$C$3:$E$682,3,0)</f>
        <v>cái</v>
      </c>
      <c r="D562" s="437">
        <f>VLOOKUP(A562,'Thống kê'!$C$3:$M$682,4,0)</f>
        <v>40000</v>
      </c>
      <c r="E562" s="438">
        <v>1</v>
      </c>
      <c r="F562" s="439">
        <v>0</v>
      </c>
      <c r="G562" s="442"/>
      <c r="H562" s="446"/>
    </row>
    <row r="563" spans="1:8" ht="13.2">
      <c r="A563" s="454" t="s">
        <v>1003</v>
      </c>
      <c r="B563" s="452" t="str">
        <f>VLOOKUP(A563,'Thống kê'!$C$3:$D$669,2,0)</f>
        <v>Mô hình cún 05</v>
      </c>
      <c r="C563" s="436" t="str">
        <f>VLOOKUP(A563,'Thống kê'!$C$3:$E$682,3,0)</f>
        <v>cái</v>
      </c>
      <c r="D563" s="437">
        <f>VLOOKUP(A563,'Thống kê'!$C$3:$M$682,4,0)</f>
        <v>39000</v>
      </c>
      <c r="E563" s="438">
        <v>1</v>
      </c>
      <c r="F563" s="439">
        <v>0</v>
      </c>
      <c r="G563" s="442"/>
      <c r="H563" s="446"/>
    </row>
    <row r="564" spans="1:8" ht="13.2">
      <c r="A564" s="454" t="s">
        <v>915</v>
      </c>
      <c r="B564" s="452" t="str">
        <f>VLOOKUP(A564,'Thống kê'!$C$3:$D$669,2,0)</f>
        <v>Thỏ chạy xe gắn xe</v>
      </c>
      <c r="C564" s="436" t="str">
        <f>VLOOKUP(A564,'Thống kê'!$C$3:$E$682,3,0)</f>
        <v>cái</v>
      </c>
      <c r="D564" s="437">
        <f>VLOOKUP(A564,'Thống kê'!$C$3:$M$682,4,0)</f>
        <v>45000</v>
      </c>
      <c r="E564" s="438">
        <v>1</v>
      </c>
      <c r="F564" s="439">
        <v>0</v>
      </c>
      <c r="G564" s="442"/>
      <c r="H564" s="446"/>
    </row>
    <row r="565" spans="1:8" ht="13.2">
      <c r="A565" s="454" t="s">
        <v>719</v>
      </c>
      <c r="B565" s="452" t="str">
        <f>VLOOKUP(A565,'Thống kê'!$C$3:$D$669,2,0)</f>
        <v>Kẹp nơ hồng</v>
      </c>
      <c r="C565" s="436" t="str">
        <f>VLOOKUP(A565,'Thống kê'!$C$3:$E$682,3,0)</f>
        <v>cái</v>
      </c>
      <c r="D565" s="437">
        <f>VLOOKUP(A565,'Thống kê'!$C$3:$M$682,4,0)</f>
        <v>22000</v>
      </c>
      <c r="E565" s="438">
        <v>1</v>
      </c>
      <c r="F565" s="439">
        <f t="shared" ref="F565:F819" si="3">D565*E565</f>
        <v>22000</v>
      </c>
      <c r="G565" s="442"/>
      <c r="H565" s="448">
        <v>19300</v>
      </c>
    </row>
    <row r="566" spans="1:8" ht="13.2">
      <c r="A566" s="454" t="s">
        <v>792</v>
      </c>
      <c r="B566" s="452" t="str">
        <f>VLOOKUP(A566,'Thống kê'!$C$3:$D$669,2,0)</f>
        <v>Kẹp tóc bướm xanh ngọc</v>
      </c>
      <c r="C566" s="436" t="str">
        <f>VLOOKUP(A566,'Thống kê'!$C$3:$E$682,3,0)</f>
        <v>cái</v>
      </c>
      <c r="D566" s="437">
        <f>VLOOKUP(A566,'Thống kê'!$C$3:$M$682,4,0)</f>
        <v>38000</v>
      </c>
      <c r="E566" s="438">
        <v>1</v>
      </c>
      <c r="F566" s="439">
        <f t="shared" si="3"/>
        <v>38000</v>
      </c>
      <c r="G566" s="442"/>
      <c r="H566" s="447">
        <v>63360</v>
      </c>
    </row>
    <row r="567" spans="1:8" ht="13.2">
      <c r="A567" s="454" t="s">
        <v>796</v>
      </c>
      <c r="B567" s="452" t="str">
        <f>VLOOKUP(A567,'Thống kê'!$C$3:$D$669,2,0)</f>
        <v>Kẹp tóc bướm tím</v>
      </c>
      <c r="C567" s="436" t="str">
        <f>VLOOKUP(A567,'Thống kê'!$C$3:$E$682,3,0)</f>
        <v>cái</v>
      </c>
      <c r="D567" s="437">
        <f>VLOOKUP(A567,'Thống kê'!$C$3:$M$682,4,0)</f>
        <v>40000</v>
      </c>
      <c r="E567" s="438">
        <v>1</v>
      </c>
      <c r="F567" s="439">
        <f t="shared" si="3"/>
        <v>40000</v>
      </c>
      <c r="G567" s="442"/>
      <c r="H567" s="446"/>
    </row>
    <row r="568" spans="1:8" ht="13.2">
      <c r="A568" s="454" t="s">
        <v>796</v>
      </c>
      <c r="B568" s="452" t="str">
        <f>VLOOKUP(A568,'Thống kê'!$C$3:$D$669,2,0)</f>
        <v>Kẹp tóc bướm tím</v>
      </c>
      <c r="C568" s="436" t="str">
        <f>VLOOKUP(A568,'Thống kê'!$C$3:$E$682,3,0)</f>
        <v>cái</v>
      </c>
      <c r="D568" s="437">
        <f>VLOOKUP(A568,'Thống kê'!$C$3:$M$682,4,0)</f>
        <v>40000</v>
      </c>
      <c r="E568" s="438">
        <v>1</v>
      </c>
      <c r="F568" s="439">
        <f t="shared" si="3"/>
        <v>40000</v>
      </c>
      <c r="G568" s="442"/>
      <c r="H568" s="447">
        <v>73860</v>
      </c>
    </row>
    <row r="569" spans="1:8" ht="13.2">
      <c r="A569" s="454" t="s">
        <v>819</v>
      </c>
      <c r="B569" s="452" t="str">
        <f>VLOOKUP(A569,'Thống kê'!$C$3:$D$669,2,0)</f>
        <v>Kẹp tóc bướm xanh trắng</v>
      </c>
      <c r="C569" s="436" t="str">
        <f>VLOOKUP(A569,'Thống kê'!$C$3:$E$682,3,0)</f>
        <v>cái</v>
      </c>
      <c r="D569" s="437">
        <f>VLOOKUP(A569,'Thống kê'!$C$3:$M$682,4,0)</f>
        <v>52000</v>
      </c>
      <c r="E569" s="438">
        <v>1</v>
      </c>
      <c r="F569" s="439">
        <f t="shared" si="3"/>
        <v>52000</v>
      </c>
      <c r="G569" s="442"/>
      <c r="H569" s="446"/>
    </row>
    <row r="570" spans="1:8" ht="13.2">
      <c r="A570" s="454" t="s">
        <v>796</v>
      </c>
      <c r="B570" s="452" t="str">
        <f>VLOOKUP(A570,'Thống kê'!$C$3:$D$669,2,0)</f>
        <v>Kẹp tóc bướm tím</v>
      </c>
      <c r="C570" s="436" t="str">
        <f>VLOOKUP(A570,'Thống kê'!$C$3:$E$682,3,0)</f>
        <v>cái</v>
      </c>
      <c r="D570" s="437">
        <f>VLOOKUP(A570,'Thống kê'!$C$3:$M$682,4,0)</f>
        <v>40000</v>
      </c>
      <c r="E570" s="438">
        <v>3</v>
      </c>
      <c r="F570" s="439">
        <f t="shared" si="3"/>
        <v>120000</v>
      </c>
      <c r="G570" s="442"/>
      <c r="H570" s="447">
        <v>197120</v>
      </c>
    </row>
    <row r="571" spans="1:8" ht="13.2">
      <c r="A571" s="454" t="s">
        <v>819</v>
      </c>
      <c r="B571" s="452" t="str">
        <f>VLOOKUP(A571,'Thống kê'!$C$3:$D$669,2,0)</f>
        <v>Kẹp tóc bướm xanh trắng</v>
      </c>
      <c r="C571" s="436" t="str">
        <f>VLOOKUP(A571,'Thống kê'!$C$3:$E$682,3,0)</f>
        <v>cái</v>
      </c>
      <c r="D571" s="437">
        <f>VLOOKUP(A571,'Thống kê'!$C$3:$M$682,4,0)</f>
        <v>52000</v>
      </c>
      <c r="E571" s="438">
        <v>1</v>
      </c>
      <c r="F571" s="439">
        <f t="shared" si="3"/>
        <v>52000</v>
      </c>
      <c r="G571" s="442"/>
      <c r="H571" s="446"/>
    </row>
    <row r="572" spans="1:8" ht="13.2">
      <c r="A572" s="454" t="s">
        <v>829</v>
      </c>
      <c r="B572" s="452" t="str">
        <f>VLOOKUP(A572,'Thống kê'!$C$3:$D$669,2,0)</f>
        <v>Kẹp tóc bướm trắng</v>
      </c>
      <c r="C572" s="436" t="str">
        <f>VLOOKUP(A572,'Thống kê'!$C$3:$E$682,3,0)</f>
        <v>cái</v>
      </c>
      <c r="D572" s="437">
        <f>VLOOKUP(A572,'Thống kê'!$C$3:$M$682,4,0)</f>
        <v>52000</v>
      </c>
      <c r="E572" s="438">
        <v>1</v>
      </c>
      <c r="F572" s="439">
        <f t="shared" si="3"/>
        <v>52000</v>
      </c>
      <c r="G572" s="442"/>
      <c r="H572" s="446"/>
    </row>
    <row r="573" spans="1:8" ht="13.2">
      <c r="A573" s="454" t="s">
        <v>819</v>
      </c>
      <c r="B573" s="452" t="str">
        <f>VLOOKUP(A573,'Thống kê'!$C$3:$D$669,2,0)</f>
        <v>Kẹp tóc bướm xanh trắng</v>
      </c>
      <c r="C573" s="436" t="str">
        <f>VLOOKUP(A573,'Thống kê'!$C$3:$E$682,3,0)</f>
        <v>cái</v>
      </c>
      <c r="D573" s="437">
        <f>VLOOKUP(A573,'Thống kê'!$C$3:$M$682,4,0)</f>
        <v>52000</v>
      </c>
      <c r="E573" s="438">
        <v>3</v>
      </c>
      <c r="F573" s="439">
        <f t="shared" si="3"/>
        <v>156000</v>
      </c>
      <c r="G573" s="442"/>
      <c r="H573" s="448">
        <v>123492</v>
      </c>
    </row>
    <row r="574" spans="1:8" ht="13.2">
      <c r="A574" s="454" t="s">
        <v>997</v>
      </c>
      <c r="B574" s="452" t="str">
        <f>VLOOKUP(A574,'Thống kê'!$C$3:$D$669,2,0)</f>
        <v>Mô hình cún 02</v>
      </c>
      <c r="C574" s="436" t="str">
        <f>VLOOKUP(A574,'Thống kê'!$C$3:$E$682,3,0)</f>
        <v>cái</v>
      </c>
      <c r="D574" s="437">
        <f>VLOOKUP(A574,'Thống kê'!$C$3:$M$682,4,0)</f>
        <v>39000</v>
      </c>
      <c r="E574" s="438">
        <v>1</v>
      </c>
      <c r="F574" s="439">
        <f t="shared" si="3"/>
        <v>39000</v>
      </c>
      <c r="G574" s="442"/>
      <c r="H574" s="447">
        <v>121591</v>
      </c>
    </row>
    <row r="575" spans="1:8" ht="13.2">
      <c r="A575" s="454" t="s">
        <v>1001</v>
      </c>
      <c r="B575" s="452" t="str">
        <f>VLOOKUP(A575,'Thống kê'!$C$3:$D$669,2,0)</f>
        <v>Mô hình cún 04</v>
      </c>
      <c r="C575" s="436" t="str">
        <f>VLOOKUP(A575,'Thống kê'!$C$3:$E$682,3,0)</f>
        <v>cái</v>
      </c>
      <c r="D575" s="437">
        <f>VLOOKUP(A575,'Thống kê'!$C$3:$M$682,4,0)</f>
        <v>39000</v>
      </c>
      <c r="E575" s="438">
        <v>1</v>
      </c>
      <c r="F575" s="439">
        <f t="shared" si="3"/>
        <v>39000</v>
      </c>
      <c r="G575" s="442"/>
      <c r="H575" s="446"/>
    </row>
    <row r="576" spans="1:8" ht="13.2">
      <c r="A576" s="454" t="s">
        <v>1027</v>
      </c>
      <c r="B576" s="452" t="str">
        <f>VLOOKUP(A576,'Thống kê'!$C$3:$D$669,2,0)</f>
        <v>Mô hình mèo 2</v>
      </c>
      <c r="C576" s="436" t="str">
        <f>VLOOKUP(A576,'Thống kê'!$C$3:$E$682,3,0)</f>
        <v>cái</v>
      </c>
      <c r="D576" s="437">
        <f>VLOOKUP(A576,'Thống kê'!$C$3:$M$682,4,0)</f>
        <v>37800</v>
      </c>
      <c r="E576" s="438">
        <v>1</v>
      </c>
      <c r="F576" s="439">
        <f t="shared" si="3"/>
        <v>37800</v>
      </c>
      <c r="G576" s="442"/>
      <c r="H576" s="446"/>
    </row>
    <row r="577" spans="1:8" ht="13.2">
      <c r="A577" s="454" t="s">
        <v>1033</v>
      </c>
      <c r="B577" s="452" t="str">
        <f>VLOOKUP(A577,'Thống kê'!$C$3:$D$669,2,0)</f>
        <v>Mô hình mèo 5</v>
      </c>
      <c r="C577" s="436" t="str">
        <f>VLOOKUP(A577,'Thống kê'!$C$3:$E$682,3,0)</f>
        <v>cái</v>
      </c>
      <c r="D577" s="437">
        <f>VLOOKUP(A577,'Thống kê'!$C$3:$M$682,4,0)</f>
        <v>37800</v>
      </c>
      <c r="E577" s="438">
        <v>1</v>
      </c>
      <c r="F577" s="439">
        <f t="shared" si="3"/>
        <v>37800</v>
      </c>
      <c r="G577" s="442"/>
      <c r="H577" s="446"/>
    </row>
    <row r="578" spans="1:8" ht="13.2">
      <c r="A578" s="454" t="s">
        <v>790</v>
      </c>
      <c r="B578" s="452" t="str">
        <f>VLOOKUP(A578,'Thống kê'!$C$3:$D$669,2,0)</f>
        <v xml:space="preserve">Kẹp tóc bướm hồng </v>
      </c>
      <c r="C578" s="436" t="str">
        <f>VLOOKUP(A578,'Thống kê'!$C$3:$E$682,3,0)</f>
        <v>cái</v>
      </c>
      <c r="D578" s="437">
        <f>VLOOKUP(A578,'Thống kê'!$C$3:$M$682,4,0)</f>
        <v>40000</v>
      </c>
      <c r="E578" s="438">
        <v>1</v>
      </c>
      <c r="F578" s="439">
        <f t="shared" si="3"/>
        <v>40000</v>
      </c>
      <c r="G578" s="442"/>
      <c r="H578" s="448">
        <v>34540</v>
      </c>
    </row>
    <row r="579" spans="1:8" ht="13.2">
      <c r="A579" s="454" t="s">
        <v>887</v>
      </c>
      <c r="B579" s="452" t="str">
        <f>VLOOKUP(A579,'Thống kê'!$C$3:$D$669,2,0)</f>
        <v>Mèo ú</v>
      </c>
      <c r="C579" s="436" t="str">
        <f>VLOOKUP(A579,'Thống kê'!$C$3:$E$682,3,0)</f>
        <v>cái</v>
      </c>
      <c r="D579" s="437">
        <f>VLOOKUP(A579,'Thống kê'!$C$3:$M$682,4,0)</f>
        <v>59500</v>
      </c>
      <c r="E579" s="438">
        <v>1</v>
      </c>
      <c r="F579" s="439">
        <f t="shared" si="3"/>
        <v>59500</v>
      </c>
      <c r="G579" s="442"/>
      <c r="H579" s="447">
        <v>93528</v>
      </c>
    </row>
    <row r="580" spans="1:8" ht="13.2">
      <c r="A580" s="454" t="s">
        <v>895</v>
      </c>
      <c r="B580" s="452" t="str">
        <f>VLOOKUP(A580,'Thống kê'!$C$3:$D$669,2,0)</f>
        <v>Thỏ ú</v>
      </c>
      <c r="C580" s="436" t="str">
        <f>VLOOKUP(A580,'Thống kê'!$C$3:$E$682,3,0)</f>
        <v>cái</v>
      </c>
      <c r="D580" s="437">
        <f>VLOOKUP(A580,'Thống kê'!$C$3:$M$682,4,0)</f>
        <v>59500</v>
      </c>
      <c r="E580" s="438">
        <v>1</v>
      </c>
      <c r="F580" s="439">
        <f t="shared" si="3"/>
        <v>59500</v>
      </c>
      <c r="G580" s="442"/>
      <c r="H580" s="446"/>
    </row>
    <row r="581" spans="1:8" ht="13.2">
      <c r="A581" s="454" t="s">
        <v>929</v>
      </c>
      <c r="B581" s="452" t="str">
        <f>VLOOKUP(A581,'Thống kê'!$C$3:$D$669,2,0)</f>
        <v>Kẹp khuếch tán tinh dầu vịt đen</v>
      </c>
      <c r="C581" s="436" t="str">
        <f>VLOOKUP(A581,'Thống kê'!$C$3:$E$682,3,0)</f>
        <v>cái</v>
      </c>
      <c r="D581" s="437">
        <f>VLOOKUP(A581,'Thống kê'!$C$3:$M$682,4,0)</f>
        <v>142400</v>
      </c>
      <c r="E581" s="438">
        <v>1</v>
      </c>
      <c r="F581" s="439">
        <f t="shared" si="3"/>
        <v>142400</v>
      </c>
      <c r="G581" s="442"/>
      <c r="H581" s="447">
        <v>148421</v>
      </c>
    </row>
    <row r="582" spans="1:8" ht="13.2">
      <c r="A582" s="454" t="s">
        <v>939</v>
      </c>
      <c r="B582" s="452" t="str">
        <f>VLOOKUP(A582,'Thống kê'!$C$3:$D$669,2,0)</f>
        <v>10 túi viên khuếch tán tinh dầu</v>
      </c>
      <c r="C582" s="436" t="str">
        <f>VLOOKUP(A582,'Thống kê'!$C$3:$E$682,3,0)</f>
        <v>túi</v>
      </c>
      <c r="D582" s="437">
        <f>VLOOKUP(A582,'Thống kê'!$C$3:$M$682,4,0)</f>
        <v>45000</v>
      </c>
      <c r="E582" s="438">
        <v>1</v>
      </c>
      <c r="F582" s="439">
        <f t="shared" si="3"/>
        <v>45000</v>
      </c>
      <c r="G582" s="442"/>
      <c r="H582" s="446"/>
    </row>
    <row r="583" spans="1:8" ht="13.2">
      <c r="A583" s="454" t="s">
        <v>949</v>
      </c>
      <c r="B583" s="452" t="str">
        <f>VLOOKUP(A583,'Thống kê'!$C$3:$D$669,2,0)</f>
        <v>Viên khuếch tán tinh dầu 05 ( ocean )</v>
      </c>
      <c r="C583" s="436" t="str">
        <f>VLOOKUP(A583,'Thống kê'!$C$3:$E$682,3,0)</f>
        <v>cái</v>
      </c>
      <c r="D583" s="437">
        <f>VLOOKUP(A583,'Thống kê'!$C$3:$M$682,4,0)</f>
        <v>8000</v>
      </c>
      <c r="E583" s="438">
        <v>1</v>
      </c>
      <c r="F583" s="439">
        <f t="shared" si="3"/>
        <v>8000</v>
      </c>
      <c r="G583" s="442"/>
      <c r="H583" s="446"/>
    </row>
    <row r="584" spans="1:8" ht="13.2">
      <c r="A584" s="454" t="s">
        <v>582</v>
      </c>
      <c r="B584" s="452" t="str">
        <f>VLOOKUP(A584,'Thống kê'!$C$3:$D$669,2,0)</f>
        <v>Kẹp tóc nhựa đen</v>
      </c>
      <c r="C584" s="436" t="str">
        <f>VLOOKUP(A584,'Thống kê'!$C$3:$E$682,3,0)</f>
        <v>cái</v>
      </c>
      <c r="D584" s="437">
        <f>VLOOKUP(A584,'Thống kê'!$C$3:$M$682,4,0)</f>
        <v>13000</v>
      </c>
      <c r="E584" s="438">
        <v>1</v>
      </c>
      <c r="F584" s="439">
        <f t="shared" si="3"/>
        <v>13000</v>
      </c>
      <c r="G584" s="442"/>
      <c r="H584" s="447">
        <v>153113</v>
      </c>
    </row>
    <row r="585" spans="1:8" ht="13.2">
      <c r="A585" s="454" t="s">
        <v>923</v>
      </c>
      <c r="B585" s="452" t="str">
        <f>VLOOKUP(A585,'Thống kê'!$C$3:$D$669,2,0)</f>
        <v>Kẹp khuếch tán tinh dầu vịt vàng</v>
      </c>
      <c r="C585" s="436" t="str">
        <f>VLOOKUP(A585,'Thống kê'!$C$3:$E$682,3,0)</f>
        <v>cái</v>
      </c>
      <c r="D585" s="437">
        <f>VLOOKUP(A585,'Thống kê'!$C$3:$M$682,4,0)</f>
        <v>142400</v>
      </c>
      <c r="E585" s="438">
        <v>1</v>
      </c>
      <c r="F585" s="439">
        <f t="shared" si="3"/>
        <v>142400</v>
      </c>
      <c r="G585" s="442"/>
      <c r="H585" s="446"/>
    </row>
    <row r="586" spans="1:8" ht="13.2">
      <c r="A586" s="454" t="s">
        <v>949</v>
      </c>
      <c r="B586" s="452" t="str">
        <f>VLOOKUP(A586,'Thống kê'!$C$3:$D$669,2,0)</f>
        <v>Viên khuếch tán tinh dầu 05 ( ocean )</v>
      </c>
      <c r="C586" s="436" t="str">
        <f>VLOOKUP(A586,'Thống kê'!$C$3:$E$682,3,0)</f>
        <v>cái</v>
      </c>
      <c r="D586" s="437">
        <f>VLOOKUP(A586,'Thống kê'!$C$3:$M$682,4,0)</f>
        <v>8000</v>
      </c>
      <c r="E586" s="438">
        <v>1</v>
      </c>
      <c r="F586" s="439">
        <f t="shared" si="3"/>
        <v>8000</v>
      </c>
      <c r="G586" s="442"/>
      <c r="H586" s="446"/>
    </row>
    <row r="587" spans="1:8" ht="13.2">
      <c r="A587" s="454" t="s">
        <v>832</v>
      </c>
      <c r="B587" s="452" t="str">
        <f>VLOOKUP(A587,'Thống kê'!$C$3:$D$669,2,0)</f>
        <v>Kẹp càng cua lông hình gấu nâu gấu trắng</v>
      </c>
      <c r="C587" s="436" t="str">
        <f>VLOOKUP(A587,'Thống kê'!$C$3:$E$682,3,0)</f>
        <v>cái</v>
      </c>
      <c r="D587" s="437">
        <f>VLOOKUP(A587,'Thống kê'!$C$3:$M$682,4,0)</f>
        <v>18000</v>
      </c>
      <c r="E587" s="438">
        <v>1</v>
      </c>
      <c r="F587" s="439">
        <f t="shared" si="3"/>
        <v>18000</v>
      </c>
      <c r="G587" s="442"/>
      <c r="H587" s="446"/>
    </row>
    <row r="588" spans="1:8" ht="13.2">
      <c r="A588" s="454" t="s">
        <v>949</v>
      </c>
      <c r="B588" s="452" t="str">
        <f>VLOOKUP(A588,'Thống kê'!$C$3:$D$669,2,0)</f>
        <v>Viên khuếch tán tinh dầu 05 ( ocean )</v>
      </c>
      <c r="C588" s="436" t="str">
        <f>VLOOKUP(A588,'Thống kê'!$C$3:$E$682,3,0)</f>
        <v>cái</v>
      </c>
      <c r="D588" s="437">
        <f>VLOOKUP(A588,'Thống kê'!$C$3:$M$682,4,0)</f>
        <v>8000</v>
      </c>
      <c r="E588" s="438">
        <v>2</v>
      </c>
      <c r="F588" s="439">
        <f t="shared" si="3"/>
        <v>16000</v>
      </c>
      <c r="G588" s="442"/>
      <c r="H588" s="446"/>
    </row>
    <row r="589" spans="1:8" ht="13.2">
      <c r="A589" s="454" t="s">
        <v>788</v>
      </c>
      <c r="B589" s="452" t="str">
        <f>VLOOKUP(A589,'Thống kê'!$C$3:$D$669,2,0)</f>
        <v>Kẹp tóc bướm hồng phấn</v>
      </c>
      <c r="C589" s="436" t="str">
        <f>VLOOKUP(A589,'Thống kê'!$C$3:$E$682,3,0)</f>
        <v>cái</v>
      </c>
      <c r="D589" s="437">
        <f>VLOOKUP(A589,'Thống kê'!$C$3:$M$682,4,0)</f>
        <v>40000</v>
      </c>
      <c r="E589" s="438">
        <v>1</v>
      </c>
      <c r="F589" s="439">
        <f t="shared" si="3"/>
        <v>40000</v>
      </c>
      <c r="G589" s="442"/>
      <c r="H589" s="447">
        <v>63300</v>
      </c>
    </row>
    <row r="590" spans="1:8" ht="13.2">
      <c r="A590" s="454" t="s">
        <v>796</v>
      </c>
      <c r="B590" s="452" t="str">
        <f>VLOOKUP(A590,'Thống kê'!$C$3:$D$669,2,0)</f>
        <v>Kẹp tóc bướm tím</v>
      </c>
      <c r="C590" s="436" t="str">
        <f>VLOOKUP(A590,'Thống kê'!$C$3:$E$682,3,0)</f>
        <v>cái</v>
      </c>
      <c r="D590" s="437">
        <f>VLOOKUP(A590,'Thống kê'!$C$3:$M$682,4,0)</f>
        <v>40000</v>
      </c>
      <c r="E590" s="438">
        <v>1</v>
      </c>
      <c r="F590" s="439">
        <f t="shared" si="3"/>
        <v>40000</v>
      </c>
      <c r="G590" s="442"/>
      <c r="H590" s="446"/>
    </row>
    <row r="591" spans="1:8" ht="13.2">
      <c r="A591" s="454" t="s">
        <v>817</v>
      </c>
      <c r="B591" s="452" t="str">
        <f>VLOOKUP(A591,'Thống kê'!$C$3:$D$669,2,0)</f>
        <v>Kẹp tóc bướm hồng trắng</v>
      </c>
      <c r="C591" s="436" t="str">
        <f>VLOOKUP(A591,'Thống kê'!$C$3:$E$682,3,0)</f>
        <v>cái</v>
      </c>
      <c r="D591" s="437">
        <f>VLOOKUP(A591,'Thống kê'!$C$3:$M$682,4,0)</f>
        <v>52000</v>
      </c>
      <c r="E591" s="438">
        <v>1</v>
      </c>
      <c r="F591" s="439">
        <f t="shared" si="3"/>
        <v>52000</v>
      </c>
      <c r="G591" s="442"/>
      <c r="H591" s="448">
        <v>45440</v>
      </c>
    </row>
    <row r="592" spans="1:8" ht="13.2">
      <c r="A592" s="454" t="s">
        <v>821</v>
      </c>
      <c r="B592" s="452" t="str">
        <f>VLOOKUP(A592,'Thống kê'!$C$3:$D$669,2,0)</f>
        <v>Kẹp tóc bướm hồng loang xanh</v>
      </c>
      <c r="C592" s="436" t="str">
        <f>VLOOKUP(A592,'Thống kê'!$C$3:$E$682,3,0)</f>
        <v>cái</v>
      </c>
      <c r="D592" s="437">
        <f>VLOOKUP(A592,'Thống kê'!$C$3:$M$682,4,0)</f>
        <v>52000</v>
      </c>
      <c r="E592" s="438">
        <v>1</v>
      </c>
      <c r="F592" s="439">
        <f t="shared" si="3"/>
        <v>52000</v>
      </c>
      <c r="G592" s="442"/>
      <c r="H592" s="448">
        <v>45700</v>
      </c>
    </row>
    <row r="593" spans="1:8" ht="13.2">
      <c r="A593" s="454" t="s">
        <v>796</v>
      </c>
      <c r="B593" s="452" t="str">
        <f>VLOOKUP(A593,'Thống kê'!$C$3:$D$669,2,0)</f>
        <v>Kẹp tóc bướm tím</v>
      </c>
      <c r="C593" s="436" t="str">
        <f>VLOOKUP(A593,'Thống kê'!$C$3:$E$682,3,0)</f>
        <v>cái</v>
      </c>
      <c r="D593" s="437">
        <f>VLOOKUP(A593,'Thống kê'!$C$3:$M$682,4,0)</f>
        <v>40000</v>
      </c>
      <c r="E593" s="438">
        <v>3</v>
      </c>
      <c r="F593" s="439">
        <f t="shared" si="3"/>
        <v>120000</v>
      </c>
      <c r="G593" s="442"/>
      <c r="H593" s="447">
        <v>197120</v>
      </c>
    </row>
    <row r="594" spans="1:8" ht="13.2">
      <c r="A594" s="454" t="s">
        <v>819</v>
      </c>
      <c r="B594" s="452" t="str">
        <f>VLOOKUP(A594,'Thống kê'!$C$3:$D$669,2,0)</f>
        <v>Kẹp tóc bướm xanh trắng</v>
      </c>
      <c r="C594" s="436" t="str">
        <f>VLOOKUP(A594,'Thống kê'!$C$3:$E$682,3,0)</f>
        <v>cái</v>
      </c>
      <c r="D594" s="437">
        <f>VLOOKUP(A594,'Thống kê'!$C$3:$M$682,4,0)</f>
        <v>52000</v>
      </c>
      <c r="E594" s="438">
        <v>1</v>
      </c>
      <c r="F594" s="439">
        <f t="shared" si="3"/>
        <v>52000</v>
      </c>
      <c r="G594" s="442"/>
      <c r="H594" s="446"/>
    </row>
    <row r="595" spans="1:8" ht="13.2">
      <c r="A595" s="454" t="s">
        <v>829</v>
      </c>
      <c r="B595" s="452" t="str">
        <f>VLOOKUP(A595,'Thống kê'!$C$3:$D$669,2,0)</f>
        <v>Kẹp tóc bướm trắng</v>
      </c>
      <c r="C595" s="436" t="str">
        <f>VLOOKUP(A595,'Thống kê'!$C$3:$E$682,3,0)</f>
        <v>cái</v>
      </c>
      <c r="D595" s="437">
        <f>VLOOKUP(A595,'Thống kê'!$C$3:$M$682,4,0)</f>
        <v>52000</v>
      </c>
      <c r="E595" s="438">
        <v>1</v>
      </c>
      <c r="F595" s="439">
        <f t="shared" si="3"/>
        <v>52000</v>
      </c>
      <c r="G595" s="442"/>
      <c r="H595" s="446"/>
    </row>
    <row r="596" spans="1:8" ht="13.2">
      <c r="A596" s="454" t="s">
        <v>905</v>
      </c>
      <c r="B596" s="452" t="str">
        <f>VLOOKUP(A596,'Thống kê'!$C$3:$D$669,2,0)</f>
        <v>Vịt ú bay</v>
      </c>
      <c r="C596" s="436" t="str">
        <f>VLOOKUP(A596,'Thống kê'!$C$3:$E$682,3,0)</f>
        <v>cái</v>
      </c>
      <c r="D596" s="437">
        <f>VLOOKUP(A596,'Thống kê'!$C$3:$M$682,4,0)</f>
        <v>64500</v>
      </c>
      <c r="E596" s="438">
        <v>1</v>
      </c>
      <c r="F596" s="439">
        <f t="shared" si="3"/>
        <v>64500</v>
      </c>
      <c r="G596" s="442"/>
      <c r="H596" s="448">
        <v>51024</v>
      </c>
    </row>
    <row r="597" spans="1:8" ht="13.2">
      <c r="A597" s="454" t="s">
        <v>821</v>
      </c>
      <c r="B597" s="452" t="str">
        <f>VLOOKUP(A597,'Thống kê'!$C$3:$D$669,2,0)</f>
        <v>Kẹp tóc bướm hồng loang xanh</v>
      </c>
      <c r="C597" s="436" t="str">
        <f>VLOOKUP(A597,'Thống kê'!$C$3:$E$682,3,0)</f>
        <v>cái</v>
      </c>
      <c r="D597" s="437">
        <f>VLOOKUP(A597,'Thống kê'!$C$3:$M$682,4,0)</f>
        <v>52000</v>
      </c>
      <c r="E597" s="438">
        <v>1</v>
      </c>
      <c r="F597" s="439">
        <f t="shared" si="3"/>
        <v>52000</v>
      </c>
      <c r="G597" s="442"/>
      <c r="H597" s="448">
        <v>45700</v>
      </c>
    </row>
    <row r="598" spans="1:8" ht="13.2">
      <c r="A598" s="454" t="s">
        <v>798</v>
      </c>
      <c r="B598" s="452" t="str">
        <f>VLOOKUP(A598,'Thống kê'!$C$3:$D$669,2,0)</f>
        <v>Kẹp tóc bướm trắng</v>
      </c>
      <c r="C598" s="436" t="str">
        <f>VLOOKUP(A598,'Thống kê'!$C$3:$E$682,3,0)</f>
        <v>cái</v>
      </c>
      <c r="D598" s="437">
        <f>VLOOKUP(A598,'Thống kê'!$C$3:$M$682,4,0)</f>
        <v>40000</v>
      </c>
      <c r="E598" s="438">
        <v>1</v>
      </c>
      <c r="F598" s="439">
        <f t="shared" si="3"/>
        <v>40000</v>
      </c>
      <c r="G598" s="442"/>
      <c r="H598" s="448">
        <v>35060</v>
      </c>
    </row>
    <row r="599" spans="1:8" ht="13.2">
      <c r="A599" s="454" t="s">
        <v>823</v>
      </c>
      <c r="B599" s="452" t="str">
        <f>VLOOKUP(A599,'Thống kê'!$C$3:$D$669,2,0)</f>
        <v>Kẹp tóc bướm xanh vàng</v>
      </c>
      <c r="C599" s="436" t="str">
        <f>VLOOKUP(A599,'Thống kê'!$C$3:$E$682,3,0)</f>
        <v>cái</v>
      </c>
      <c r="D599" s="437">
        <f>VLOOKUP(A599,'Thống kê'!$C$3:$M$682,4,0)</f>
        <v>52000</v>
      </c>
      <c r="E599" s="438">
        <v>-1</v>
      </c>
      <c r="F599" s="439">
        <f t="shared" si="3"/>
        <v>-52000</v>
      </c>
      <c r="G599" s="442"/>
      <c r="H599" s="448">
        <v>-46800</v>
      </c>
    </row>
    <row r="600" spans="1:8" ht="13.2">
      <c r="A600" s="454" t="s">
        <v>821</v>
      </c>
      <c r="B600" s="452" t="str">
        <f>VLOOKUP(A600,'Thống kê'!$C$3:$D$669,2,0)</f>
        <v>Kẹp tóc bướm hồng loang xanh</v>
      </c>
      <c r="C600" s="436" t="str">
        <f>VLOOKUP(A600,'Thống kê'!$C$3:$E$682,3,0)</f>
        <v>cái</v>
      </c>
      <c r="D600" s="437">
        <f>VLOOKUP(A600,'Thống kê'!$C$3:$M$682,4,0)</f>
        <v>52000</v>
      </c>
      <c r="E600" s="438">
        <v>-1</v>
      </c>
      <c r="F600" s="439">
        <f t="shared" si="3"/>
        <v>-52000</v>
      </c>
      <c r="G600" s="442"/>
      <c r="H600" s="448">
        <v>-46000</v>
      </c>
    </row>
    <row r="601" spans="1:8" ht="13.2">
      <c r="A601" s="454" t="s">
        <v>915</v>
      </c>
      <c r="B601" s="452" t="str">
        <f>VLOOKUP(A601,'Thống kê'!$C$3:$D$669,2,0)</f>
        <v>Thỏ chạy xe gắn xe</v>
      </c>
      <c r="C601" s="436" t="str">
        <f>VLOOKUP(A601,'Thống kê'!$C$3:$E$682,3,0)</f>
        <v>cái</v>
      </c>
      <c r="D601" s="437">
        <f>VLOOKUP(A601,'Thống kê'!$C$3:$M$682,4,0)</f>
        <v>45000</v>
      </c>
      <c r="E601" s="438">
        <v>1</v>
      </c>
      <c r="F601" s="439">
        <f t="shared" si="3"/>
        <v>45000</v>
      </c>
      <c r="G601" s="442"/>
      <c r="H601" s="448">
        <v>38940</v>
      </c>
    </row>
    <row r="602" spans="1:8" ht="13.2">
      <c r="A602" s="454" t="s">
        <v>891</v>
      </c>
      <c r="B602" s="452" t="str">
        <f>VLOOKUP(A602,'Thống kê'!$C$3:$D$669,2,0)</f>
        <v>Heo ú</v>
      </c>
      <c r="C602" s="436" t="str">
        <f>VLOOKUP(A602,'Thống kê'!$C$3:$E$682,3,0)</f>
        <v>cái</v>
      </c>
      <c r="D602" s="437">
        <f>VLOOKUP(A602,'Thống kê'!$C$3:$M$682,4,0)</f>
        <v>59500</v>
      </c>
      <c r="E602" s="438">
        <v>1</v>
      </c>
      <c r="F602" s="439">
        <f t="shared" si="3"/>
        <v>59500</v>
      </c>
      <c r="G602" s="442"/>
      <c r="H602" s="447">
        <v>140836</v>
      </c>
    </row>
    <row r="603" spans="1:8" ht="13.2">
      <c r="A603" s="454" t="s">
        <v>893</v>
      </c>
      <c r="B603" s="452" t="str">
        <f>VLOOKUP(A603,'Thống kê'!$C$3:$D$669,2,0)</f>
        <v>Heo ú bay</v>
      </c>
      <c r="C603" s="436" t="str">
        <f>VLOOKUP(A603,'Thống kê'!$C$3:$E$682,3,0)</f>
        <v>cái</v>
      </c>
      <c r="D603" s="437">
        <f>VLOOKUP(A603,'Thống kê'!$C$3:$M$682,4,0)</f>
        <v>64500</v>
      </c>
      <c r="E603" s="438">
        <v>1</v>
      </c>
      <c r="F603" s="439">
        <f t="shared" si="3"/>
        <v>64500</v>
      </c>
      <c r="G603" s="442"/>
      <c r="H603" s="446"/>
    </row>
    <row r="604" spans="1:8" ht="13.2">
      <c r="A604" s="454" t="s">
        <v>915</v>
      </c>
      <c r="B604" s="452" t="str">
        <f>VLOOKUP(A604,'Thống kê'!$C$3:$D$669,2,0)</f>
        <v>Thỏ chạy xe gắn xe</v>
      </c>
      <c r="C604" s="436" t="str">
        <f>VLOOKUP(A604,'Thống kê'!$C$3:$E$682,3,0)</f>
        <v>cái</v>
      </c>
      <c r="D604" s="437">
        <f>VLOOKUP(A604,'Thống kê'!$C$3:$M$682,4,0)</f>
        <v>45000</v>
      </c>
      <c r="E604" s="438">
        <v>1</v>
      </c>
      <c r="F604" s="439">
        <f t="shared" si="3"/>
        <v>45000</v>
      </c>
      <c r="G604" s="442"/>
      <c r="H604" s="446"/>
    </row>
    <row r="605" spans="1:8" ht="13.2">
      <c r="A605" s="454" t="s">
        <v>866</v>
      </c>
      <c r="B605" s="452" t="str">
        <f>VLOOKUP(A605,'Thống kê'!$C$3:$D$669,2,0)</f>
        <v>Thước dây hồng phấn</v>
      </c>
      <c r="C605" s="436" t="str">
        <f>VLOOKUP(A605,'Thống kê'!$C$3:$E$682,3,0)</f>
        <v>cái</v>
      </c>
      <c r="D605" s="437">
        <f>VLOOKUP(A605,'Thống kê'!$C$3:$M$682,4,0)</f>
        <v>9000</v>
      </c>
      <c r="E605" s="438">
        <v>1</v>
      </c>
      <c r="F605" s="439">
        <f t="shared" si="3"/>
        <v>9000</v>
      </c>
      <c r="G605" s="442"/>
      <c r="H605" s="446"/>
    </row>
    <row r="606" spans="1:8" ht="13.2">
      <c r="A606" s="454" t="s">
        <v>889</v>
      </c>
      <c r="B606" s="452" t="str">
        <f>VLOOKUP(A606,'Thống kê'!$C$3:$D$669,2,0)</f>
        <v>Mèo ú bay</v>
      </c>
      <c r="C606" s="436" t="str">
        <f>VLOOKUP(A606,'Thống kê'!$C$3:$E$682,3,0)</f>
        <v>cái</v>
      </c>
      <c r="D606" s="437">
        <f>VLOOKUP(A606,'Thống kê'!$C$3:$M$682,4,0)</f>
        <v>64500</v>
      </c>
      <c r="E606" s="438">
        <v>1</v>
      </c>
      <c r="F606" s="439">
        <f t="shared" si="3"/>
        <v>64500</v>
      </c>
      <c r="G606" s="442"/>
      <c r="H606" s="447">
        <v>86664</v>
      </c>
    </row>
    <row r="607" spans="1:8" ht="13.2">
      <c r="A607" s="454" t="s">
        <v>917</v>
      </c>
      <c r="B607" s="452" t="str">
        <f>VLOOKUP(A607,'Thống kê'!$C$3:$D$669,2,0)</f>
        <v>Thỏ đi vịt gắn xe</v>
      </c>
      <c r="C607" s="436" t="str">
        <f>VLOOKUP(A607,'Thống kê'!$C$3:$E$682,3,0)</f>
        <v>cái</v>
      </c>
      <c r="D607" s="437">
        <f>VLOOKUP(A607,'Thống kê'!$C$3:$M$682,4,0)</f>
        <v>45000</v>
      </c>
      <c r="E607" s="438">
        <v>1</v>
      </c>
      <c r="F607" s="439">
        <f t="shared" si="3"/>
        <v>45000</v>
      </c>
      <c r="G607" s="442"/>
      <c r="H607" s="446"/>
    </row>
    <row r="608" spans="1:8" ht="13.2">
      <c r="A608" s="454" t="s">
        <v>981</v>
      </c>
      <c r="B608" s="452" t="str">
        <f>VLOOKUP(A608,'Thống kê'!$C$3:$D$669,2,0)</f>
        <v>Móc khóa đôi corgy</v>
      </c>
      <c r="C608" s="436" t="str">
        <f>VLOOKUP(A608,'Thống kê'!$C$3:$E$682,3,0)</f>
        <v>cái</v>
      </c>
      <c r="D608" s="437">
        <f>VLOOKUP(A608,'Thống kê'!$C$3:$M$682,4,0)</f>
        <v>56580</v>
      </c>
      <c r="E608" s="438">
        <v>1</v>
      </c>
      <c r="F608" s="439">
        <f t="shared" si="3"/>
        <v>56580</v>
      </c>
      <c r="G608" s="442"/>
      <c r="H608" s="448">
        <v>44751</v>
      </c>
    </row>
    <row r="609" spans="1:8" ht="13.2">
      <c r="A609" s="454" t="s">
        <v>985</v>
      </c>
      <c r="B609" s="452" t="str">
        <f>VLOOKUP(A609,'Thống kê'!$C$3:$D$669,2,0)</f>
        <v>Móc khóa đôi gấu trúc</v>
      </c>
      <c r="C609" s="436" t="str">
        <f>VLOOKUP(A609,'Thống kê'!$C$3:$E$682,3,0)</f>
        <v>cái</v>
      </c>
      <c r="D609" s="437">
        <f>VLOOKUP(A609,'Thống kê'!$C$3:$M$682,4,0)</f>
        <v>56580</v>
      </c>
      <c r="E609" s="438">
        <v>1</v>
      </c>
      <c r="F609" s="439">
        <f t="shared" si="3"/>
        <v>56580</v>
      </c>
      <c r="G609" s="442"/>
      <c r="H609" s="448">
        <v>44751</v>
      </c>
    </row>
    <row r="610" spans="1:8" ht="13.2">
      <c r="A610" s="454" t="s">
        <v>819</v>
      </c>
      <c r="B610" s="452" t="str">
        <f>VLOOKUP(A610,'Thống kê'!$C$3:$D$669,2,0)</f>
        <v>Kẹp tóc bướm xanh trắng</v>
      </c>
      <c r="C610" s="436" t="str">
        <f>VLOOKUP(A610,'Thống kê'!$C$3:$E$682,3,0)</f>
        <v>cái</v>
      </c>
      <c r="D610" s="437">
        <f>VLOOKUP(A610,'Thống kê'!$C$3:$M$682,4,0)</f>
        <v>52000</v>
      </c>
      <c r="E610" s="438">
        <v>1</v>
      </c>
      <c r="F610" s="439">
        <f t="shared" si="3"/>
        <v>52000</v>
      </c>
      <c r="G610" s="442"/>
      <c r="H610" s="448">
        <v>41124</v>
      </c>
    </row>
    <row r="611" spans="1:8" ht="13.2">
      <c r="A611" s="454" t="s">
        <v>790</v>
      </c>
      <c r="B611" s="452" t="str">
        <f>VLOOKUP(A611,'Thống kê'!$C$3:$D$669,2,0)</f>
        <v xml:space="preserve">Kẹp tóc bướm hồng </v>
      </c>
      <c r="C611" s="436" t="str">
        <f>VLOOKUP(A611,'Thống kê'!$C$3:$E$682,3,0)</f>
        <v>cái</v>
      </c>
      <c r="D611" s="437">
        <f>VLOOKUP(A611,'Thống kê'!$C$3:$M$682,4,0)</f>
        <v>40000</v>
      </c>
      <c r="E611" s="438">
        <v>1</v>
      </c>
      <c r="F611" s="439">
        <f t="shared" si="3"/>
        <v>40000</v>
      </c>
      <c r="G611" s="442"/>
      <c r="H611" s="447">
        <v>79580</v>
      </c>
    </row>
    <row r="612" spans="1:8" ht="13.2">
      <c r="A612" s="454" t="s">
        <v>796</v>
      </c>
      <c r="B612" s="452" t="str">
        <f>VLOOKUP(A612,'Thống kê'!$C$3:$D$669,2,0)</f>
        <v>Kẹp tóc bướm tím</v>
      </c>
      <c r="C612" s="436" t="str">
        <f>VLOOKUP(A612,'Thống kê'!$C$3:$E$682,3,0)</f>
        <v>cái</v>
      </c>
      <c r="D612" s="437">
        <f>VLOOKUP(A612,'Thống kê'!$C$3:$M$682,4,0)</f>
        <v>40000</v>
      </c>
      <c r="E612" s="438">
        <v>1</v>
      </c>
      <c r="F612" s="439">
        <f t="shared" si="3"/>
        <v>40000</v>
      </c>
      <c r="G612" s="442"/>
      <c r="H612" s="446"/>
    </row>
    <row r="613" spans="1:8" ht="13.2">
      <c r="A613" s="454" t="s">
        <v>734</v>
      </c>
      <c r="B613" s="452" t="str">
        <f>VLOOKUP(A613,'Thống kê'!$C$3:$D$669,2,0)</f>
        <v>Kẹp tóc hoa sứ hồng</v>
      </c>
      <c r="C613" s="436" t="str">
        <f>VLOOKUP(A613,'Thống kê'!$C$3:$E$682,3,0)</f>
        <v>cái</v>
      </c>
      <c r="D613" s="437">
        <f>VLOOKUP(A613,'Thống kê'!$C$3:$M$682,4,0)</f>
        <v>18500</v>
      </c>
      <c r="E613" s="438">
        <v>1</v>
      </c>
      <c r="F613" s="439">
        <f t="shared" si="3"/>
        <v>18500</v>
      </c>
      <c r="G613" s="442"/>
      <c r="H613" s="446"/>
    </row>
    <row r="614" spans="1:8" ht="13.2">
      <c r="A614" s="454" t="s">
        <v>788</v>
      </c>
      <c r="B614" s="452" t="str">
        <f>VLOOKUP(A614,'Thống kê'!$C$3:$D$669,2,0)</f>
        <v>Kẹp tóc bướm hồng phấn</v>
      </c>
      <c r="C614" s="436" t="str">
        <f>VLOOKUP(A614,'Thống kê'!$C$3:$E$682,3,0)</f>
        <v>cái</v>
      </c>
      <c r="D614" s="437">
        <f>VLOOKUP(A614,'Thống kê'!$C$3:$M$682,4,0)</f>
        <v>40000</v>
      </c>
      <c r="E614" s="438">
        <v>1</v>
      </c>
      <c r="F614" s="439">
        <f t="shared" si="3"/>
        <v>40000</v>
      </c>
      <c r="G614" s="442"/>
      <c r="H614" s="448">
        <v>35200</v>
      </c>
    </row>
    <row r="615" spans="1:8" ht="13.2">
      <c r="A615" s="454" t="s">
        <v>796</v>
      </c>
      <c r="B615" s="452" t="str">
        <f>VLOOKUP(A615,'Thống kê'!$C$3:$D$669,2,0)</f>
        <v>Kẹp tóc bướm tím</v>
      </c>
      <c r="C615" s="436" t="str">
        <f>VLOOKUP(A615,'Thống kê'!$C$3:$E$682,3,0)</f>
        <v>cái</v>
      </c>
      <c r="D615" s="437">
        <f>VLOOKUP(A615,'Thống kê'!$C$3:$M$682,4,0)</f>
        <v>40000</v>
      </c>
      <c r="E615" s="438">
        <v>1</v>
      </c>
      <c r="F615" s="439">
        <f t="shared" si="3"/>
        <v>40000</v>
      </c>
      <c r="G615" s="442"/>
      <c r="H615" s="448">
        <v>34640</v>
      </c>
    </row>
    <row r="616" spans="1:8" ht="13.2">
      <c r="A616" s="454" t="s">
        <v>1025</v>
      </c>
      <c r="B616" s="452" t="str">
        <f>VLOOKUP(A616,'Thống kê'!$C$3:$D$669,2,0)</f>
        <v>Mô hình mèo 1</v>
      </c>
      <c r="C616" s="436" t="str">
        <f>VLOOKUP(A616,'Thống kê'!$C$3:$E$682,3,0)</f>
        <v>cái</v>
      </c>
      <c r="D616" s="437">
        <f>VLOOKUP(A616,'Thống kê'!$C$3:$M$682,4,0)</f>
        <v>37800</v>
      </c>
      <c r="E616" s="438">
        <v>1</v>
      </c>
      <c r="F616" s="439">
        <f t="shared" si="3"/>
        <v>37800</v>
      </c>
      <c r="G616" s="442"/>
      <c r="H616" s="447">
        <v>97931</v>
      </c>
    </row>
    <row r="617" spans="1:8" ht="13.2">
      <c r="A617" s="454" t="s">
        <v>1064</v>
      </c>
      <c r="B617" s="452" t="str">
        <f>VLOOKUP(A617,'Thống kê'!$C$3:$D$669,2,0)</f>
        <v>Vớ trắng mỏng nhiều gấu</v>
      </c>
      <c r="C617" s="436" t="str">
        <f>VLOOKUP(A617,'Thống kê'!$C$3:$E$682,3,0)</f>
        <v>đôi</v>
      </c>
      <c r="D617" s="437">
        <f>VLOOKUP(A617,'Thống kê'!$C$3:$M$682,4,0)</f>
        <v>9900</v>
      </c>
      <c r="E617" s="438">
        <v>1</v>
      </c>
      <c r="F617" s="439">
        <f t="shared" si="3"/>
        <v>9900</v>
      </c>
      <c r="G617" s="442"/>
      <c r="H617" s="446"/>
    </row>
    <row r="618" spans="1:8" ht="13.2">
      <c r="A618" s="454" t="s">
        <v>981</v>
      </c>
      <c r="B618" s="452" t="str">
        <f>VLOOKUP(A618,'Thống kê'!$C$3:$D$669,2,0)</f>
        <v>Móc khóa đôi corgy</v>
      </c>
      <c r="C618" s="436" t="str">
        <f>VLOOKUP(A618,'Thống kê'!$C$3:$E$682,3,0)</f>
        <v>cái</v>
      </c>
      <c r="D618" s="437">
        <f>VLOOKUP(A618,'Thống kê'!$C$3:$M$682,4,0)</f>
        <v>56580</v>
      </c>
      <c r="E618" s="438">
        <v>1</v>
      </c>
      <c r="F618" s="439">
        <f t="shared" si="3"/>
        <v>56580</v>
      </c>
      <c r="G618" s="442"/>
      <c r="H618" s="446"/>
    </row>
    <row r="619" spans="1:8" ht="13.2">
      <c r="A619" s="454" t="s">
        <v>1109</v>
      </c>
      <c r="B619" s="452" t="str">
        <f>VLOOKUP(A619,'Thống kê'!$C$3:$D$669,2,0)</f>
        <v>Vớ cổ cao trắng hoa tím</v>
      </c>
      <c r="C619" s="436" t="str">
        <f>VLOOKUP(A619,'Thống kê'!$C$3:$E$682,3,0)</f>
        <v>đôi</v>
      </c>
      <c r="D619" s="437">
        <f>VLOOKUP(A619,'Thống kê'!$C$3:$M$682,4,0)</f>
        <v>19800</v>
      </c>
      <c r="E619" s="438">
        <v>1</v>
      </c>
      <c r="F619" s="439">
        <f t="shared" si="3"/>
        <v>19800</v>
      </c>
      <c r="G619" s="442"/>
      <c r="H619" s="446"/>
    </row>
    <row r="620" spans="1:8" ht="13.2">
      <c r="A620" s="454" t="s">
        <v>891</v>
      </c>
      <c r="B620" s="452" t="str">
        <f>VLOOKUP(A620,'Thống kê'!$C$3:$D$669,2,0)</f>
        <v>Heo ú</v>
      </c>
      <c r="C620" s="436" t="str">
        <f>VLOOKUP(A620,'Thống kê'!$C$3:$E$682,3,0)</f>
        <v>cái</v>
      </c>
      <c r="D620" s="437">
        <f>VLOOKUP(A620,'Thống kê'!$C$3:$M$682,4,0)</f>
        <v>59500</v>
      </c>
      <c r="E620" s="438">
        <v>1</v>
      </c>
      <c r="F620" s="439">
        <f t="shared" si="3"/>
        <v>59500</v>
      </c>
      <c r="G620" s="442"/>
      <c r="H620" s="447">
        <v>98208</v>
      </c>
    </row>
    <row r="621" spans="1:8" ht="13.2">
      <c r="A621" s="454" t="s">
        <v>893</v>
      </c>
      <c r="B621" s="452" t="str">
        <f>VLOOKUP(A621,'Thống kê'!$C$3:$D$669,2,0)</f>
        <v>Heo ú bay</v>
      </c>
      <c r="C621" s="436" t="str">
        <f>VLOOKUP(A621,'Thống kê'!$C$3:$E$682,3,0)</f>
        <v>cái</v>
      </c>
      <c r="D621" s="437">
        <f>VLOOKUP(A621,'Thống kê'!$C$3:$M$682,4,0)</f>
        <v>64500</v>
      </c>
      <c r="E621" s="438">
        <v>1</v>
      </c>
      <c r="F621" s="439">
        <f t="shared" si="3"/>
        <v>64500</v>
      </c>
      <c r="G621" s="442"/>
      <c r="H621" s="446"/>
    </row>
    <row r="622" spans="1:8" ht="13.2">
      <c r="A622" s="454" t="s">
        <v>788</v>
      </c>
      <c r="B622" s="452" t="str">
        <f>VLOOKUP(A622,'Thống kê'!$C$3:$D$669,2,0)</f>
        <v>Kẹp tóc bướm hồng phấn</v>
      </c>
      <c r="C622" s="436" t="str">
        <f>VLOOKUP(A622,'Thống kê'!$C$3:$E$682,3,0)</f>
        <v>cái</v>
      </c>
      <c r="D622" s="437">
        <f>VLOOKUP(A622,'Thống kê'!$C$3:$M$682,4,0)</f>
        <v>40000</v>
      </c>
      <c r="E622" s="438">
        <v>1</v>
      </c>
      <c r="F622" s="439">
        <f t="shared" si="3"/>
        <v>40000</v>
      </c>
      <c r="G622" s="442"/>
      <c r="H622" s="448">
        <v>35060</v>
      </c>
    </row>
    <row r="623" spans="1:8" ht="13.2">
      <c r="A623" s="454" t="s">
        <v>1027</v>
      </c>
      <c r="B623" s="452" t="str">
        <f>VLOOKUP(A623,'Thống kê'!$C$3:$D$669,2,0)</f>
        <v>Mô hình mèo 2</v>
      </c>
      <c r="C623" s="436" t="str">
        <f>VLOOKUP(A623,'Thống kê'!$C$3:$E$682,3,0)</f>
        <v>cái</v>
      </c>
      <c r="D623" s="437">
        <f>VLOOKUP(A623,'Thống kê'!$C$3:$M$682,4,0)</f>
        <v>37800</v>
      </c>
      <c r="E623" s="438">
        <v>1</v>
      </c>
      <c r="F623" s="439">
        <f t="shared" si="3"/>
        <v>37800</v>
      </c>
      <c r="G623" s="442"/>
      <c r="H623" s="447">
        <v>59656</v>
      </c>
    </row>
    <row r="624" spans="1:8" ht="13.2">
      <c r="A624" s="454" t="s">
        <v>1033</v>
      </c>
      <c r="B624" s="452" t="str">
        <f>VLOOKUP(A624,'Thống kê'!$C$3:$D$669,2,0)</f>
        <v>Mô hình mèo 5</v>
      </c>
      <c r="C624" s="436" t="str">
        <f>VLOOKUP(A624,'Thống kê'!$C$3:$E$682,3,0)</f>
        <v>cái</v>
      </c>
      <c r="D624" s="437">
        <f>VLOOKUP(A624,'Thống kê'!$C$3:$M$682,4,0)</f>
        <v>37800</v>
      </c>
      <c r="E624" s="438">
        <v>1</v>
      </c>
      <c r="F624" s="439">
        <f t="shared" si="3"/>
        <v>37800</v>
      </c>
      <c r="G624" s="442"/>
      <c r="H624" s="446"/>
    </row>
    <row r="625" spans="1:8" ht="13.2">
      <c r="A625" s="454" t="s">
        <v>852</v>
      </c>
      <c r="B625" s="452" t="str">
        <f>VLOOKUP(A625,'Thống kê'!$C$3:$D$669,2,0)</f>
        <v>Hộp thuốc nơ hồng</v>
      </c>
      <c r="C625" s="436" t="str">
        <f>VLOOKUP(A625,'Thống kê'!$C$3:$E$682,3,0)</f>
        <v>hộp</v>
      </c>
      <c r="D625" s="437">
        <f>VLOOKUP(A625,'Thống kê'!$C$3:$M$682,4,0)</f>
        <v>11000</v>
      </c>
      <c r="E625" s="438">
        <v>1</v>
      </c>
      <c r="F625" s="439">
        <f t="shared" si="3"/>
        <v>11000</v>
      </c>
      <c r="G625" s="442"/>
      <c r="H625" s="447">
        <v>232760</v>
      </c>
    </row>
    <row r="626" spans="1:8" ht="13.2">
      <c r="A626" s="454" t="s">
        <v>905</v>
      </c>
      <c r="B626" s="452" t="str">
        <f>VLOOKUP(A626,'Thống kê'!$C$3:$D$669,2,0)</f>
        <v>Vịt ú bay</v>
      </c>
      <c r="C626" s="436" t="str">
        <f>VLOOKUP(A626,'Thống kê'!$C$3:$E$682,3,0)</f>
        <v>cái</v>
      </c>
      <c r="D626" s="437">
        <f>VLOOKUP(A626,'Thống kê'!$C$3:$M$682,4,0)</f>
        <v>64500</v>
      </c>
      <c r="E626" s="438">
        <v>1</v>
      </c>
      <c r="F626" s="439">
        <f t="shared" si="3"/>
        <v>64500</v>
      </c>
      <c r="G626" s="442"/>
      <c r="H626" s="446"/>
    </row>
    <row r="627" spans="1:8" ht="13.2">
      <c r="A627" s="454" t="s">
        <v>891</v>
      </c>
      <c r="B627" s="452" t="str">
        <f>VLOOKUP(A627,'Thống kê'!$C$3:$D$669,2,0)</f>
        <v>Heo ú</v>
      </c>
      <c r="C627" s="436" t="str">
        <f>VLOOKUP(A627,'Thống kê'!$C$3:$E$682,3,0)</f>
        <v>cái</v>
      </c>
      <c r="D627" s="437">
        <f>VLOOKUP(A627,'Thống kê'!$C$3:$M$682,4,0)</f>
        <v>59500</v>
      </c>
      <c r="E627" s="438">
        <v>1</v>
      </c>
      <c r="F627" s="439">
        <f t="shared" si="3"/>
        <v>59500</v>
      </c>
      <c r="G627" s="442"/>
      <c r="H627" s="446"/>
    </row>
    <row r="628" spans="1:8" ht="13.2">
      <c r="A628" s="454" t="s">
        <v>895</v>
      </c>
      <c r="B628" s="452" t="str">
        <f>VLOOKUP(A628,'Thống kê'!$C$3:$D$669,2,0)</f>
        <v>Thỏ ú</v>
      </c>
      <c r="C628" s="436" t="str">
        <f>VLOOKUP(A628,'Thống kê'!$C$3:$E$682,3,0)</f>
        <v>cái</v>
      </c>
      <c r="D628" s="437">
        <f>VLOOKUP(A628,'Thống kê'!$C$3:$M$682,4,0)</f>
        <v>59500</v>
      </c>
      <c r="E628" s="438">
        <v>1</v>
      </c>
      <c r="F628" s="439">
        <f t="shared" si="3"/>
        <v>59500</v>
      </c>
      <c r="G628" s="442"/>
      <c r="H628" s="446"/>
    </row>
    <row r="629" spans="1:8" ht="13.2">
      <c r="A629" s="454" t="s">
        <v>913</v>
      </c>
      <c r="B629" s="452" t="str">
        <f>VLOOKUP(A629,'Thống kê'!$C$3:$D$669,2,0)</f>
        <v>Thỏ máy bay gắn xe</v>
      </c>
      <c r="C629" s="436" t="str">
        <f>VLOOKUP(A629,'Thống kê'!$C$3:$E$682,3,0)</f>
        <v>cái</v>
      </c>
      <c r="D629" s="437">
        <f>VLOOKUP(A629,'Thống kê'!$C$3:$M$682,4,0)</f>
        <v>45000</v>
      </c>
      <c r="E629" s="438">
        <v>1</v>
      </c>
      <c r="F629" s="439">
        <f t="shared" si="3"/>
        <v>45000</v>
      </c>
      <c r="G629" s="442"/>
      <c r="H629" s="446"/>
    </row>
    <row r="630" spans="1:8" ht="13.2">
      <c r="A630" s="454" t="s">
        <v>915</v>
      </c>
      <c r="B630" s="452" t="str">
        <f>VLOOKUP(A630,'Thống kê'!$C$3:$D$669,2,0)</f>
        <v>Thỏ chạy xe gắn xe</v>
      </c>
      <c r="C630" s="436" t="str">
        <f>VLOOKUP(A630,'Thống kê'!$C$3:$E$682,3,0)</f>
        <v>cái</v>
      </c>
      <c r="D630" s="437">
        <f>VLOOKUP(A630,'Thống kê'!$C$3:$M$682,4,0)</f>
        <v>45000</v>
      </c>
      <c r="E630" s="438">
        <v>1</v>
      </c>
      <c r="F630" s="439">
        <f t="shared" si="3"/>
        <v>45000</v>
      </c>
      <c r="G630" s="442"/>
      <c r="H630" s="446"/>
    </row>
    <row r="631" spans="1:8" ht="13.2">
      <c r="A631" s="454" t="s">
        <v>1027</v>
      </c>
      <c r="B631" s="452" t="str">
        <f>VLOOKUP(A631,'Thống kê'!$C$3:$D$669,2,0)</f>
        <v>Mô hình mèo 2</v>
      </c>
      <c r="C631" s="436" t="str">
        <f>VLOOKUP(A631,'Thống kê'!$C$3:$E$682,3,0)</f>
        <v>cái</v>
      </c>
      <c r="D631" s="437">
        <f>VLOOKUP(A631,'Thống kê'!$C$3:$M$682,4,0)</f>
        <v>37800</v>
      </c>
      <c r="E631" s="438">
        <v>1</v>
      </c>
      <c r="F631" s="439">
        <f t="shared" si="3"/>
        <v>37800</v>
      </c>
      <c r="G631" s="442"/>
      <c r="H631" s="447">
        <v>59815</v>
      </c>
    </row>
    <row r="632" spans="1:8" ht="13.2">
      <c r="A632" s="454" t="s">
        <v>1033</v>
      </c>
      <c r="B632" s="452" t="str">
        <f>VLOOKUP(A632,'Thống kê'!$C$3:$D$669,2,0)</f>
        <v>Mô hình mèo 5</v>
      </c>
      <c r="C632" s="436" t="str">
        <f>VLOOKUP(A632,'Thống kê'!$C$3:$E$682,3,0)</f>
        <v>cái</v>
      </c>
      <c r="D632" s="437">
        <f>VLOOKUP(A632,'Thống kê'!$C$3:$M$682,4,0)</f>
        <v>37800</v>
      </c>
      <c r="E632" s="438">
        <v>1</v>
      </c>
      <c r="F632" s="439">
        <f t="shared" si="3"/>
        <v>37800</v>
      </c>
      <c r="G632" s="442"/>
      <c r="H632" s="446"/>
    </row>
    <row r="633" spans="1:8" ht="13.2">
      <c r="A633" s="454" t="s">
        <v>794</v>
      </c>
      <c r="B633" s="452" t="str">
        <f>VLOOKUP(A633,'Thống kê'!$C$3:$D$669,2,0)</f>
        <v>Kẹp tóc bướm xanh tím</v>
      </c>
      <c r="C633" s="436" t="str">
        <f>VLOOKUP(A633,'Thống kê'!$C$3:$E$682,3,0)</f>
        <v>cái</v>
      </c>
      <c r="D633" s="437">
        <f>VLOOKUP(A633,'Thống kê'!$C$3:$M$682,4,0)</f>
        <v>40000</v>
      </c>
      <c r="E633" s="438">
        <v>1</v>
      </c>
      <c r="F633" s="439">
        <f t="shared" si="3"/>
        <v>40000</v>
      </c>
      <c r="G633" s="442"/>
      <c r="H633" s="448">
        <v>35200</v>
      </c>
    </row>
    <row r="634" spans="1:8" ht="13.2">
      <c r="A634" s="454" t="s">
        <v>981</v>
      </c>
      <c r="B634" s="452" t="str">
        <f>VLOOKUP(A634,'Thống kê'!$C$3:$D$669,2,0)</f>
        <v>Móc khóa đôi corgy</v>
      </c>
      <c r="C634" s="436" t="str">
        <f>VLOOKUP(A634,'Thống kê'!$C$3:$E$682,3,0)</f>
        <v>cái</v>
      </c>
      <c r="D634" s="437">
        <f>VLOOKUP(A634,'Thống kê'!$C$3:$M$682,4,0)</f>
        <v>56580</v>
      </c>
      <c r="E634" s="438">
        <v>1</v>
      </c>
      <c r="F634" s="439">
        <f t="shared" si="3"/>
        <v>56580</v>
      </c>
      <c r="G634" s="442"/>
      <c r="H634" s="448">
        <v>44151</v>
      </c>
    </row>
    <row r="635" spans="1:8" ht="13.2">
      <c r="A635" s="454" t="s">
        <v>798</v>
      </c>
      <c r="B635" s="452" t="str">
        <f>VLOOKUP(A635,'Thống kê'!$C$3:$D$669,2,0)</f>
        <v>Kẹp tóc bướm trắng</v>
      </c>
      <c r="C635" s="436" t="str">
        <f>VLOOKUP(A635,'Thống kê'!$C$3:$E$682,3,0)</f>
        <v>cái</v>
      </c>
      <c r="D635" s="437">
        <f>VLOOKUP(A635,'Thống kê'!$C$3:$M$682,4,0)</f>
        <v>40000</v>
      </c>
      <c r="E635" s="438">
        <v>1</v>
      </c>
      <c r="F635" s="439">
        <f t="shared" si="3"/>
        <v>40000</v>
      </c>
      <c r="G635" s="442"/>
      <c r="H635" s="447">
        <v>46668</v>
      </c>
    </row>
    <row r="636" spans="1:8" ht="13.2">
      <c r="A636" s="454" t="s">
        <v>802</v>
      </c>
      <c r="B636" s="452" t="str">
        <f>VLOOKUP(A636,'Thống kê'!$C$3:$D$669,2,0)</f>
        <v>Kẹp tóc bướm hồng đỏ</v>
      </c>
      <c r="C636" s="436" t="str">
        <f>VLOOKUP(A636,'Thống kê'!$C$3:$E$682,3,0)</f>
        <v>cái</v>
      </c>
      <c r="D636" s="437">
        <f>VLOOKUP(A636,'Thống kê'!$C$3:$M$682,4,0)</f>
        <v>19000</v>
      </c>
      <c r="E636" s="438">
        <v>1</v>
      </c>
      <c r="F636" s="439">
        <f t="shared" si="3"/>
        <v>19000</v>
      </c>
      <c r="G636" s="442"/>
      <c r="H636" s="446"/>
    </row>
    <row r="637" spans="1:8" ht="13.2">
      <c r="A637" s="454" t="s">
        <v>736</v>
      </c>
      <c r="B637" s="452" t="str">
        <f>VLOOKUP(A637,'Thống kê'!$C$3:$D$669,2,0)</f>
        <v>Kẹp tóc hoa sứ vàng</v>
      </c>
      <c r="C637" s="436" t="str">
        <f>VLOOKUP(A637,'Thống kê'!$C$3:$E$682,3,0)</f>
        <v>cái</v>
      </c>
      <c r="D637" s="437">
        <f>VLOOKUP(A637,'Thống kê'!$C$3:$M$682,4,0)</f>
        <v>18500</v>
      </c>
      <c r="E637" s="438">
        <v>1</v>
      </c>
      <c r="F637" s="439">
        <f t="shared" si="3"/>
        <v>18500</v>
      </c>
      <c r="G637" s="442"/>
      <c r="H637" s="447">
        <v>24908</v>
      </c>
    </row>
    <row r="638" spans="1:8" ht="13.2">
      <c r="A638" s="454" t="s">
        <v>734</v>
      </c>
      <c r="B638" s="452" t="str">
        <f>VLOOKUP(A638,'Thống kê'!$C$3:$D$669,2,0)</f>
        <v>Kẹp tóc hoa sứ hồng</v>
      </c>
      <c r="C638" s="436" t="str">
        <f>VLOOKUP(A638,'Thống kê'!$C$3:$E$682,3,0)</f>
        <v>cái</v>
      </c>
      <c r="D638" s="437">
        <f>VLOOKUP(A638,'Thống kê'!$C$3:$M$682,4,0)</f>
        <v>18500</v>
      </c>
      <c r="E638" s="438">
        <v>1</v>
      </c>
      <c r="F638" s="439">
        <f t="shared" si="3"/>
        <v>18500</v>
      </c>
      <c r="G638" s="442"/>
      <c r="H638" s="446"/>
    </row>
    <row r="639" spans="1:8" ht="13.2">
      <c r="A639" s="454" t="s">
        <v>825</v>
      </c>
      <c r="B639" s="452" t="str">
        <f>VLOOKUP(A639,'Thống kê'!$C$3:$D$669,2,0)</f>
        <v>Kẹp tóc bướm hồng cam</v>
      </c>
      <c r="C639" s="436" t="str">
        <f>VLOOKUP(A639,'Thống kê'!$C$3:$E$682,3,0)</f>
        <v>cái</v>
      </c>
      <c r="D639" s="437">
        <f>VLOOKUP(A639,'Thống kê'!$C$3:$M$682,4,0)</f>
        <v>52000</v>
      </c>
      <c r="E639" s="438">
        <v>1</v>
      </c>
      <c r="F639" s="439">
        <f t="shared" si="3"/>
        <v>52000</v>
      </c>
      <c r="G639" s="442"/>
      <c r="H639" s="448">
        <v>45240</v>
      </c>
    </row>
    <row r="640" spans="1:8" ht="13.2">
      <c r="A640" s="454" t="s">
        <v>981</v>
      </c>
      <c r="B640" s="452" t="str">
        <f>VLOOKUP(A640,'Thống kê'!$C$3:$D$669,2,0)</f>
        <v>Móc khóa đôi corgy</v>
      </c>
      <c r="C640" s="436" t="str">
        <f>VLOOKUP(A640,'Thống kê'!$C$3:$E$682,3,0)</f>
        <v>cái</v>
      </c>
      <c r="D640" s="437">
        <f>VLOOKUP(A640,'Thống kê'!$C$3:$M$682,4,0)</f>
        <v>56580</v>
      </c>
      <c r="E640" s="438">
        <v>1</v>
      </c>
      <c r="F640" s="439">
        <f t="shared" si="3"/>
        <v>56580</v>
      </c>
      <c r="G640" s="442"/>
      <c r="H640" s="448">
        <v>44651</v>
      </c>
    </row>
    <row r="641" spans="1:8" ht="13.2">
      <c r="A641" s="454" t="s">
        <v>979</v>
      </c>
      <c r="B641" s="452" t="str">
        <f>VLOOKUP(A641,'Thống kê'!$C$3:$D$669,2,0)</f>
        <v>Móc khóa đôi thỏ cà rốt</v>
      </c>
      <c r="C641" s="436" t="str">
        <f>VLOOKUP(A641,'Thống kê'!$C$3:$E$682,3,0)</f>
        <v>cái</v>
      </c>
      <c r="D641" s="437">
        <f>VLOOKUP(A641,'Thống kê'!$C$3:$M$682,4,0)</f>
        <v>48300</v>
      </c>
      <c r="E641" s="438">
        <v>1</v>
      </c>
      <c r="F641" s="439">
        <f t="shared" si="3"/>
        <v>48300</v>
      </c>
      <c r="G641" s="442"/>
      <c r="H641" s="448">
        <v>42444</v>
      </c>
    </row>
    <row r="642" spans="1:8" ht="13.2">
      <c r="A642" s="454" t="s">
        <v>977</v>
      </c>
      <c r="B642" s="452" t="str">
        <f>VLOOKUP(A642,'Thống kê'!$C$3:$D$669,2,0)</f>
        <v>Móc khóa đôi heo</v>
      </c>
      <c r="C642" s="436" t="str">
        <f>VLOOKUP(A642,'Thống kê'!$C$3:$E$682,3,0)</f>
        <v>cái</v>
      </c>
      <c r="D642" s="437">
        <f>VLOOKUP(A642,'Thống kê'!$C$3:$M$682,4,0)</f>
        <v>56580</v>
      </c>
      <c r="E642" s="438">
        <v>1</v>
      </c>
      <c r="F642" s="439">
        <f t="shared" si="3"/>
        <v>56580</v>
      </c>
      <c r="G642" s="442"/>
      <c r="H642" s="448">
        <v>44511</v>
      </c>
    </row>
    <row r="643" spans="1:8" ht="13.2">
      <c r="A643" s="454" t="s">
        <v>981</v>
      </c>
      <c r="B643" s="452" t="str">
        <f>VLOOKUP(A643,'Thống kê'!$C$3:$D$669,2,0)</f>
        <v>Móc khóa đôi corgy</v>
      </c>
      <c r="C643" s="436" t="str">
        <f>VLOOKUP(A643,'Thống kê'!$C$3:$E$682,3,0)</f>
        <v>cái</v>
      </c>
      <c r="D643" s="437">
        <f>VLOOKUP(A643,'Thống kê'!$C$3:$M$682,4,0)</f>
        <v>56580</v>
      </c>
      <c r="E643" s="438">
        <v>1</v>
      </c>
      <c r="F643" s="439">
        <f t="shared" si="3"/>
        <v>56580</v>
      </c>
      <c r="G643" s="442"/>
      <c r="H643" s="448">
        <v>48651</v>
      </c>
    </row>
    <row r="644" spans="1:8" ht="13.2">
      <c r="A644" s="454" t="s">
        <v>981</v>
      </c>
      <c r="B644" s="452" t="str">
        <f>VLOOKUP(A644,'Thống kê'!$C$3:$D$669,2,0)</f>
        <v>Móc khóa đôi corgy</v>
      </c>
      <c r="C644" s="436" t="str">
        <f>VLOOKUP(A644,'Thống kê'!$C$3:$E$682,3,0)</f>
        <v>cái</v>
      </c>
      <c r="D644" s="437">
        <f>VLOOKUP(A644,'Thống kê'!$C$3:$M$682,4,0)</f>
        <v>56580</v>
      </c>
      <c r="E644" s="438">
        <v>1</v>
      </c>
      <c r="F644" s="439">
        <f t="shared" si="3"/>
        <v>56580</v>
      </c>
      <c r="G644" s="442"/>
      <c r="H644" s="448">
        <v>44811</v>
      </c>
    </row>
    <row r="645" spans="1:8" ht="13.2">
      <c r="A645" s="454" t="s">
        <v>796</v>
      </c>
      <c r="B645" s="452" t="str">
        <f>VLOOKUP(A645,'Thống kê'!$C$3:$D$669,2,0)</f>
        <v>Kẹp tóc bướm tím</v>
      </c>
      <c r="C645" s="436" t="str">
        <f>VLOOKUP(A645,'Thống kê'!$C$3:$E$682,3,0)</f>
        <v>cái</v>
      </c>
      <c r="D645" s="437">
        <f>VLOOKUP(A645,'Thống kê'!$C$3:$M$682,4,0)</f>
        <v>40000</v>
      </c>
      <c r="E645" s="438">
        <v>1</v>
      </c>
      <c r="F645" s="439">
        <f t="shared" si="3"/>
        <v>40000</v>
      </c>
      <c r="G645" s="442"/>
      <c r="H645" s="448">
        <v>34540</v>
      </c>
    </row>
    <row r="646" spans="1:8" ht="13.2">
      <c r="A646" s="454" t="s">
        <v>989</v>
      </c>
      <c r="B646" s="452" t="str">
        <f>VLOOKUP(A646,'Thống kê'!$C$3:$D$669,2,0)</f>
        <v>Móc khóa đôi 2 quả lê có nam châm</v>
      </c>
      <c r="C646" s="436" t="str">
        <f>VLOOKUP(A646,'Thống kê'!$C$3:$E$682,3,0)</f>
        <v>cái</v>
      </c>
      <c r="D646" s="437">
        <f>VLOOKUP(A646,'Thống kê'!$C$3:$M$682,4,0)</f>
        <v>59000</v>
      </c>
      <c r="E646" s="438">
        <v>1</v>
      </c>
      <c r="F646" s="439">
        <f t="shared" si="3"/>
        <v>59000</v>
      </c>
      <c r="G646" s="442"/>
      <c r="H646" s="448">
        <v>64968</v>
      </c>
    </row>
    <row r="647" spans="1:8" ht="13.2">
      <c r="A647" s="454" t="s">
        <v>796</v>
      </c>
      <c r="B647" s="452" t="str">
        <f>VLOOKUP(A647,'Thống kê'!$C$3:$D$669,2,0)</f>
        <v>Kẹp tóc bướm tím</v>
      </c>
      <c r="C647" s="436" t="str">
        <f>VLOOKUP(A647,'Thống kê'!$C$3:$E$682,3,0)</f>
        <v>cái</v>
      </c>
      <c r="D647" s="437">
        <f>VLOOKUP(A647,'Thống kê'!$C$3:$M$682,4,0)</f>
        <v>40000</v>
      </c>
      <c r="E647" s="438">
        <v>1</v>
      </c>
      <c r="F647" s="439">
        <f t="shared" si="3"/>
        <v>40000</v>
      </c>
      <c r="G647" s="442"/>
      <c r="H647" s="447">
        <v>73200</v>
      </c>
    </row>
    <row r="648" spans="1:8" ht="13.2">
      <c r="A648" s="454" t="s">
        <v>823</v>
      </c>
      <c r="B648" s="452" t="str">
        <f>VLOOKUP(A648,'Thống kê'!$C$3:$D$669,2,0)</f>
        <v>Kẹp tóc bướm xanh vàng</v>
      </c>
      <c r="C648" s="436" t="str">
        <f>VLOOKUP(A648,'Thống kê'!$C$3:$E$682,3,0)</f>
        <v>cái</v>
      </c>
      <c r="D648" s="437">
        <f>VLOOKUP(A648,'Thống kê'!$C$3:$M$682,4,0)</f>
        <v>52000</v>
      </c>
      <c r="E648" s="438">
        <v>1</v>
      </c>
      <c r="F648" s="439">
        <f t="shared" si="3"/>
        <v>52000</v>
      </c>
      <c r="G648" s="442"/>
      <c r="H648" s="446"/>
    </row>
    <row r="649" spans="1:8" ht="13.2">
      <c r="A649" s="454" t="s">
        <v>989</v>
      </c>
      <c r="B649" s="452" t="str">
        <f>VLOOKUP(A649,'Thống kê'!$C$3:$D$669,2,0)</f>
        <v>Móc khóa đôi 2 quả lê có nam châm</v>
      </c>
      <c r="C649" s="436" t="str">
        <f>VLOOKUP(A649,'Thống kê'!$C$3:$E$682,3,0)</f>
        <v>cái</v>
      </c>
      <c r="D649" s="437">
        <f>VLOOKUP(A649,'Thống kê'!$C$3:$M$682,4,0)</f>
        <v>59000</v>
      </c>
      <c r="E649" s="438">
        <v>1</v>
      </c>
      <c r="F649" s="439">
        <f t="shared" si="3"/>
        <v>59000</v>
      </c>
      <c r="G649" s="442"/>
      <c r="H649" s="448">
        <v>46668</v>
      </c>
    </row>
    <row r="650" spans="1:8" ht="13.2">
      <c r="A650" s="454" t="s">
        <v>792</v>
      </c>
      <c r="B650" s="452" t="str">
        <f>VLOOKUP(A650,'Thống kê'!$C$3:$D$669,2,0)</f>
        <v>Kẹp tóc bướm xanh ngọc</v>
      </c>
      <c r="C650" s="436" t="str">
        <f>VLOOKUP(A650,'Thống kê'!$C$3:$E$682,3,0)</f>
        <v>cái</v>
      </c>
      <c r="D650" s="437">
        <f>VLOOKUP(A650,'Thống kê'!$C$3:$M$682,4,0)</f>
        <v>38000</v>
      </c>
      <c r="E650" s="438">
        <v>1</v>
      </c>
      <c r="F650" s="439">
        <f t="shared" si="3"/>
        <v>38000</v>
      </c>
      <c r="G650" s="442"/>
      <c r="H650" s="447">
        <v>63300</v>
      </c>
    </row>
    <row r="651" spans="1:8" ht="13.2">
      <c r="A651" s="454" t="s">
        <v>796</v>
      </c>
      <c r="B651" s="452" t="str">
        <f>VLOOKUP(A651,'Thống kê'!$C$3:$D$669,2,0)</f>
        <v>Kẹp tóc bướm tím</v>
      </c>
      <c r="C651" s="436" t="str">
        <f>VLOOKUP(A651,'Thống kê'!$C$3:$E$682,3,0)</f>
        <v>cái</v>
      </c>
      <c r="D651" s="437">
        <f>VLOOKUP(A651,'Thống kê'!$C$3:$M$682,4,0)</f>
        <v>40000</v>
      </c>
      <c r="E651" s="438">
        <v>1</v>
      </c>
      <c r="F651" s="439">
        <f t="shared" si="3"/>
        <v>40000</v>
      </c>
      <c r="G651" s="442"/>
      <c r="H651" s="446"/>
    </row>
    <row r="652" spans="1:8" ht="13.2">
      <c r="A652" s="454" t="s">
        <v>788</v>
      </c>
      <c r="B652" s="452" t="str">
        <f>VLOOKUP(A652,'Thống kê'!$C$3:$D$669,2,0)</f>
        <v>Kẹp tóc bướm hồng phấn</v>
      </c>
      <c r="C652" s="436" t="str">
        <f>VLOOKUP(A652,'Thống kê'!$C$3:$E$682,3,0)</f>
        <v>cái</v>
      </c>
      <c r="D652" s="437">
        <f>VLOOKUP(A652,'Thống kê'!$C$3:$M$682,4,0)</f>
        <v>40000</v>
      </c>
      <c r="E652" s="438">
        <v>1</v>
      </c>
      <c r="F652" s="439">
        <f t="shared" si="3"/>
        <v>40000</v>
      </c>
      <c r="G652" s="442"/>
      <c r="H652" s="447">
        <v>63300</v>
      </c>
    </row>
    <row r="653" spans="1:8" ht="13.2">
      <c r="A653" s="454" t="s">
        <v>798</v>
      </c>
      <c r="B653" s="452" t="str">
        <f>VLOOKUP(A653,'Thống kê'!$C$3:$D$669,2,0)</f>
        <v>Kẹp tóc bướm trắng</v>
      </c>
      <c r="C653" s="436" t="str">
        <f>VLOOKUP(A653,'Thống kê'!$C$3:$E$682,3,0)</f>
        <v>cái</v>
      </c>
      <c r="D653" s="437">
        <f>VLOOKUP(A653,'Thống kê'!$C$3:$M$682,4,0)</f>
        <v>40000</v>
      </c>
      <c r="E653" s="438">
        <v>1</v>
      </c>
      <c r="F653" s="439">
        <f t="shared" si="3"/>
        <v>40000</v>
      </c>
      <c r="G653" s="442"/>
      <c r="H653" s="446"/>
    </row>
    <row r="654" spans="1:8" ht="13.2">
      <c r="A654" s="454" t="s">
        <v>915</v>
      </c>
      <c r="B654" s="452" t="str">
        <f>VLOOKUP(A654,'Thống kê'!$C$3:$D$669,2,0)</f>
        <v>Thỏ chạy xe gắn xe</v>
      </c>
      <c r="C654" s="436" t="str">
        <f>VLOOKUP(A654,'Thống kê'!$C$3:$E$682,3,0)</f>
        <v>cái</v>
      </c>
      <c r="D654" s="437">
        <f>VLOOKUP(A654,'Thống kê'!$C$3:$M$682,4,0)</f>
        <v>45000</v>
      </c>
      <c r="E654" s="438">
        <v>1</v>
      </c>
      <c r="F654" s="439">
        <f t="shared" si="3"/>
        <v>45000</v>
      </c>
      <c r="G654" s="442"/>
      <c r="H654" s="448">
        <v>39600</v>
      </c>
    </row>
    <row r="655" spans="1:8" ht="13.2">
      <c r="A655" s="454" t="s">
        <v>798</v>
      </c>
      <c r="B655" s="452" t="str">
        <f>VLOOKUP(A655,'Thống kê'!$C$3:$D$669,2,0)</f>
        <v>Kẹp tóc bướm trắng</v>
      </c>
      <c r="C655" s="436" t="str">
        <f>VLOOKUP(A655,'Thống kê'!$C$3:$E$682,3,0)</f>
        <v>cái</v>
      </c>
      <c r="D655" s="437">
        <f>VLOOKUP(A655,'Thống kê'!$C$3:$M$682,4,0)</f>
        <v>40000</v>
      </c>
      <c r="E655" s="438">
        <v>1</v>
      </c>
      <c r="F655" s="439">
        <f t="shared" si="3"/>
        <v>40000</v>
      </c>
      <c r="G655" s="442"/>
      <c r="H655" s="448">
        <v>34480</v>
      </c>
    </row>
    <row r="656" spans="1:8" ht="13.2">
      <c r="A656" s="454" t="s">
        <v>719</v>
      </c>
      <c r="B656" s="452" t="str">
        <f>VLOOKUP(A656,'Thống kê'!$C$3:$D$669,2,0)</f>
        <v>Kẹp nơ hồng</v>
      </c>
      <c r="C656" s="436" t="str">
        <f>VLOOKUP(A656,'Thống kê'!$C$3:$E$682,3,0)</f>
        <v>cái</v>
      </c>
      <c r="D656" s="437">
        <f>VLOOKUP(A656,'Thống kê'!$C$3:$M$682,4,0)</f>
        <v>22000</v>
      </c>
      <c r="E656" s="438">
        <v>1</v>
      </c>
      <c r="F656" s="439">
        <f t="shared" si="3"/>
        <v>22000</v>
      </c>
      <c r="G656" s="442"/>
      <c r="H656" s="448">
        <v>18000</v>
      </c>
    </row>
    <row r="657" spans="1:8" ht="13.2">
      <c r="A657" s="454" t="s">
        <v>827</v>
      </c>
      <c r="B657" s="452" t="str">
        <f>VLOOKUP(A657,'Thống kê'!$C$3:$D$669,2,0)</f>
        <v>Kẹp tóc bướm hồng</v>
      </c>
      <c r="C657" s="436" t="str">
        <f>VLOOKUP(A657,'Thống kê'!$C$3:$E$682,3,0)</f>
        <v>cái</v>
      </c>
      <c r="D657" s="437">
        <f>VLOOKUP(A657,'Thống kê'!$C$3:$M$682,4,0)</f>
        <v>52000</v>
      </c>
      <c r="E657" s="438">
        <v>1</v>
      </c>
      <c r="F657" s="439">
        <f t="shared" si="3"/>
        <v>52000</v>
      </c>
      <c r="G657" s="442"/>
      <c r="H657" s="447">
        <v>57300</v>
      </c>
    </row>
    <row r="658" spans="1:8" ht="13.2">
      <c r="A658" s="454" t="s">
        <v>812</v>
      </c>
      <c r="B658" s="452" t="str">
        <f>VLOOKUP(A658,'Thống kê'!$C$3:$D$669,2,0)</f>
        <v>Kẹp tóc bướm tím</v>
      </c>
      <c r="C658" s="436" t="str">
        <f>VLOOKUP(A658,'Thống kê'!$C$3:$E$682,3,0)</f>
        <v>cái</v>
      </c>
      <c r="D658" s="437">
        <f>VLOOKUP(A658,'Thống kê'!$C$3:$M$682,4,0)</f>
        <v>18000</v>
      </c>
      <c r="E658" s="438">
        <v>1</v>
      </c>
      <c r="F658" s="439">
        <f t="shared" si="3"/>
        <v>18000</v>
      </c>
      <c r="G658" s="442"/>
      <c r="H658" s="446"/>
    </row>
    <row r="659" spans="1:8" ht="13.2">
      <c r="A659" s="454" t="s">
        <v>756</v>
      </c>
      <c r="B659" s="452" t="str">
        <f>VLOOKUP(A659,'Thống kê'!$C$3:$D$669,2,0)</f>
        <v>Kẹp tóc hoa năm cánh xanh</v>
      </c>
      <c r="C659" s="436" t="str">
        <f>VLOOKUP(A659,'Thống kê'!$C$3:$E$682,3,0)</f>
        <v>cái</v>
      </c>
      <c r="D659" s="437">
        <f>VLOOKUP(A659,'Thống kê'!$C$3:$M$682,4,0)</f>
        <v>14500</v>
      </c>
      <c r="E659" s="438">
        <v>1</v>
      </c>
      <c r="F659" s="439">
        <f t="shared" si="3"/>
        <v>14500</v>
      </c>
      <c r="G659" s="442"/>
      <c r="H659" s="446"/>
    </row>
    <row r="660" spans="1:8" ht="13.2">
      <c r="A660" s="454" t="s">
        <v>788</v>
      </c>
      <c r="B660" s="452" t="str">
        <f>VLOOKUP(A660,'Thống kê'!$C$3:$D$669,2,0)</f>
        <v>Kẹp tóc bướm hồng phấn</v>
      </c>
      <c r="C660" s="436" t="str">
        <f>VLOOKUP(A660,'Thống kê'!$C$3:$E$682,3,0)</f>
        <v>cái</v>
      </c>
      <c r="D660" s="437">
        <f>VLOOKUP(A660,'Thống kê'!$C$3:$M$682,4,0)</f>
        <v>40000</v>
      </c>
      <c r="E660" s="438">
        <v>7</v>
      </c>
      <c r="F660" s="439">
        <f t="shared" si="3"/>
        <v>280000</v>
      </c>
      <c r="G660" s="442"/>
      <c r="H660" s="447">
        <v>871200</v>
      </c>
    </row>
    <row r="661" spans="1:8" ht="13.2">
      <c r="A661" s="454" t="s">
        <v>796</v>
      </c>
      <c r="B661" s="452" t="str">
        <f>VLOOKUP(A661,'Thống kê'!$C$3:$D$669,2,0)</f>
        <v>Kẹp tóc bướm tím</v>
      </c>
      <c r="C661" s="436" t="str">
        <f>VLOOKUP(A661,'Thống kê'!$C$3:$E$682,3,0)</f>
        <v>cái</v>
      </c>
      <c r="D661" s="437">
        <f>VLOOKUP(A661,'Thống kê'!$C$3:$M$682,4,0)</f>
        <v>40000</v>
      </c>
      <c r="E661" s="438">
        <v>9</v>
      </c>
      <c r="F661" s="439">
        <f t="shared" si="3"/>
        <v>360000</v>
      </c>
      <c r="G661" s="442"/>
      <c r="H661" s="446"/>
    </row>
    <row r="662" spans="1:8" ht="13.2">
      <c r="A662" s="454" t="s">
        <v>798</v>
      </c>
      <c r="B662" s="452" t="str">
        <f>VLOOKUP(A662,'Thống kê'!$C$3:$D$669,2,0)</f>
        <v>Kẹp tóc bướm trắng</v>
      </c>
      <c r="C662" s="436" t="str">
        <f>VLOOKUP(A662,'Thống kê'!$C$3:$E$682,3,0)</f>
        <v>cái</v>
      </c>
      <c r="D662" s="437">
        <f>VLOOKUP(A662,'Thống kê'!$C$3:$M$682,4,0)</f>
        <v>40000</v>
      </c>
      <c r="E662" s="438">
        <v>5</v>
      </c>
      <c r="F662" s="439">
        <f t="shared" si="3"/>
        <v>200000</v>
      </c>
      <c r="G662" s="442"/>
      <c r="H662" s="446"/>
    </row>
    <row r="663" spans="1:8" ht="13.2">
      <c r="A663" s="454" t="s">
        <v>827</v>
      </c>
      <c r="B663" s="452" t="str">
        <f>VLOOKUP(A663,'Thống kê'!$C$3:$D$669,2,0)</f>
        <v>Kẹp tóc bướm hồng</v>
      </c>
      <c r="C663" s="436" t="str">
        <f>VLOOKUP(A663,'Thống kê'!$C$3:$E$682,3,0)</f>
        <v>cái</v>
      </c>
      <c r="D663" s="437">
        <f>VLOOKUP(A663,'Thống kê'!$C$3:$M$682,4,0)</f>
        <v>52000</v>
      </c>
      <c r="E663" s="438">
        <v>4</v>
      </c>
      <c r="F663" s="439">
        <f t="shared" si="3"/>
        <v>208000</v>
      </c>
      <c r="G663" s="442"/>
      <c r="H663" s="446"/>
    </row>
    <row r="664" spans="1:8" ht="13.2">
      <c r="A664" s="454" t="s">
        <v>989</v>
      </c>
      <c r="B664" s="452" t="str">
        <f>VLOOKUP(A664,'Thống kê'!$C$3:$D$669,2,0)</f>
        <v>Móc khóa đôi 2 quả lê có nam châm</v>
      </c>
      <c r="C664" s="436" t="str">
        <f>VLOOKUP(A664,'Thống kê'!$C$3:$E$682,3,0)</f>
        <v>cái</v>
      </c>
      <c r="D664" s="437">
        <f>VLOOKUP(A664,'Thống kê'!$C$3:$M$682,4,0)</f>
        <v>59000</v>
      </c>
      <c r="E664" s="438">
        <v>1</v>
      </c>
      <c r="F664" s="439">
        <f t="shared" si="3"/>
        <v>59000</v>
      </c>
      <c r="G664" s="442"/>
      <c r="H664" s="448">
        <v>54408</v>
      </c>
    </row>
    <row r="665" spans="1:8" ht="13.2">
      <c r="A665" s="454" t="s">
        <v>788</v>
      </c>
      <c r="B665" s="452" t="str">
        <f>VLOOKUP(A665,'Thống kê'!$C$3:$D$669,2,0)</f>
        <v>Kẹp tóc bướm hồng phấn</v>
      </c>
      <c r="C665" s="436" t="str">
        <f>VLOOKUP(A665,'Thống kê'!$C$3:$E$682,3,0)</f>
        <v>cái</v>
      </c>
      <c r="D665" s="437">
        <f>VLOOKUP(A665,'Thống kê'!$C$3:$M$682,4,0)</f>
        <v>40000</v>
      </c>
      <c r="E665" s="438">
        <v>1</v>
      </c>
      <c r="F665" s="439">
        <f t="shared" si="3"/>
        <v>40000</v>
      </c>
      <c r="G665" s="442"/>
      <c r="H665" s="448">
        <v>34860</v>
      </c>
    </row>
    <row r="666" spans="1:8" ht="13.2">
      <c r="A666" s="454" t="s">
        <v>989</v>
      </c>
      <c r="B666" s="452" t="str">
        <f>VLOOKUP(A666,'Thống kê'!$C$3:$D$669,2,0)</f>
        <v>Móc khóa đôi 2 quả lê có nam châm</v>
      </c>
      <c r="C666" s="436" t="str">
        <f>VLOOKUP(A666,'Thống kê'!$C$3:$E$682,3,0)</f>
        <v>cái</v>
      </c>
      <c r="D666" s="437">
        <f>VLOOKUP(A666,'Thống kê'!$C$3:$M$682,4,0)</f>
        <v>59000</v>
      </c>
      <c r="E666" s="438">
        <v>1</v>
      </c>
      <c r="F666" s="439">
        <f t="shared" si="3"/>
        <v>59000</v>
      </c>
      <c r="G666" s="442"/>
      <c r="H666" s="448">
        <v>46668</v>
      </c>
    </row>
    <row r="667" spans="1:8" ht="13.2">
      <c r="A667" s="454" t="s">
        <v>915</v>
      </c>
      <c r="B667" s="452" t="str">
        <f>VLOOKUP(A667,'Thống kê'!$C$3:$D$669,2,0)</f>
        <v>Thỏ chạy xe gắn xe</v>
      </c>
      <c r="C667" s="436" t="str">
        <f>VLOOKUP(A667,'Thống kê'!$C$3:$E$682,3,0)</f>
        <v>cái</v>
      </c>
      <c r="D667" s="437">
        <f>VLOOKUP(A667,'Thống kê'!$C$3:$M$682,4,0)</f>
        <v>45000</v>
      </c>
      <c r="E667" s="438">
        <v>1</v>
      </c>
      <c r="F667" s="439">
        <f t="shared" si="3"/>
        <v>45000</v>
      </c>
      <c r="G667" s="442"/>
      <c r="H667" s="448">
        <v>39540</v>
      </c>
    </row>
    <row r="668" spans="1:8" ht="13.2">
      <c r="A668" s="454" t="s">
        <v>392</v>
      </c>
      <c r="B668" s="452" t="str">
        <f>VLOOKUP(A668,'Thống kê'!$C$3:$D$669,2,0)</f>
        <v>Túi chườm bụng trái bơ 1000ml</v>
      </c>
      <c r="C668" s="436" t="str">
        <f>VLOOKUP(A668,'Thống kê'!$C$3:$E$682,3,0)</f>
        <v>túi</v>
      </c>
      <c r="D668" s="437">
        <f>VLOOKUP(A668,'Thống kê'!$C$3:$M$682,4,0)</f>
        <v>101150</v>
      </c>
      <c r="E668" s="438">
        <v>1</v>
      </c>
      <c r="F668" s="439">
        <f t="shared" si="3"/>
        <v>101150</v>
      </c>
      <c r="G668" s="442"/>
      <c r="H668" s="448">
        <v>80111</v>
      </c>
    </row>
    <row r="669" spans="1:8" ht="13.2">
      <c r="A669" s="454" t="s">
        <v>1025</v>
      </c>
      <c r="B669" s="452" t="str">
        <f>VLOOKUP(A669,'Thống kê'!$C$3:$D$669,2,0)</f>
        <v>Mô hình mèo 1</v>
      </c>
      <c r="C669" s="436" t="str">
        <f>VLOOKUP(A669,'Thống kê'!$C$3:$E$682,3,0)</f>
        <v>cái</v>
      </c>
      <c r="D669" s="437">
        <f>VLOOKUP(A669,'Thống kê'!$C$3:$M$682,4,0)</f>
        <v>37800</v>
      </c>
      <c r="E669" s="438">
        <v>1</v>
      </c>
      <c r="F669" s="439">
        <f t="shared" si="3"/>
        <v>37800</v>
      </c>
      <c r="G669" s="442"/>
      <c r="H669" s="447">
        <v>89813</v>
      </c>
    </row>
    <row r="670" spans="1:8" ht="13.2">
      <c r="A670" s="454" t="s">
        <v>1027</v>
      </c>
      <c r="B670" s="452" t="str">
        <f>VLOOKUP(A670,'Thống kê'!$C$3:$D$669,2,0)</f>
        <v>Mô hình mèo 2</v>
      </c>
      <c r="C670" s="436" t="str">
        <f>VLOOKUP(A670,'Thống kê'!$C$3:$E$682,3,0)</f>
        <v>cái</v>
      </c>
      <c r="D670" s="437">
        <f>VLOOKUP(A670,'Thống kê'!$C$3:$M$682,4,0)</f>
        <v>37800</v>
      </c>
      <c r="E670" s="438">
        <v>1</v>
      </c>
      <c r="F670" s="439">
        <f t="shared" si="3"/>
        <v>37800</v>
      </c>
      <c r="G670" s="442"/>
      <c r="H670" s="446"/>
    </row>
    <row r="671" spans="1:8" ht="13.2">
      <c r="A671" s="454" t="s">
        <v>1029</v>
      </c>
      <c r="B671" s="452" t="str">
        <f>VLOOKUP(A671,'Thống kê'!$C$3:$D$669,2,0)</f>
        <v>Mô hình mèo 3</v>
      </c>
      <c r="C671" s="436" t="str">
        <f>VLOOKUP(A671,'Thống kê'!$C$3:$E$682,3,0)</f>
        <v>cái</v>
      </c>
      <c r="D671" s="437">
        <f>VLOOKUP(A671,'Thống kê'!$C$3:$M$682,4,0)</f>
        <v>37800</v>
      </c>
      <c r="E671" s="438">
        <v>1</v>
      </c>
      <c r="F671" s="439">
        <f t="shared" si="3"/>
        <v>37800</v>
      </c>
      <c r="G671" s="442"/>
      <c r="H671" s="446"/>
    </row>
    <row r="672" spans="1:8" ht="13.2">
      <c r="A672" s="454" t="s">
        <v>1027</v>
      </c>
      <c r="B672" s="452" t="str">
        <f>VLOOKUP(A672,'Thống kê'!$C$3:$D$669,2,0)</f>
        <v>Mô hình mèo 2</v>
      </c>
      <c r="C672" s="436" t="str">
        <f>VLOOKUP(A672,'Thống kê'!$C$3:$E$682,3,0)</f>
        <v>cái</v>
      </c>
      <c r="D672" s="437">
        <f>VLOOKUP(A672,'Thống kê'!$C$3:$M$682,4,0)</f>
        <v>37800</v>
      </c>
      <c r="E672" s="438">
        <v>1</v>
      </c>
      <c r="F672" s="439">
        <f t="shared" si="3"/>
        <v>37800</v>
      </c>
      <c r="G672" s="442"/>
      <c r="H672" s="448">
        <v>33164</v>
      </c>
    </row>
    <row r="673" spans="1:8" ht="13.2">
      <c r="A673" s="454" t="s">
        <v>535</v>
      </c>
      <c r="B673" s="452" t="str">
        <f>VLOOKUP(A673,'Thống kê'!$C$3:$D$669,2,0)</f>
        <v>Trâm cài 27</v>
      </c>
      <c r="C673" s="436" t="str">
        <f>VLOOKUP(A673,'Thống kê'!$C$3:$E$682,3,0)</f>
        <v>cây</v>
      </c>
      <c r="D673" s="437">
        <f>VLOOKUP(A673,'Thống kê'!$C$3:$M$682,4,0)</f>
        <v>36340</v>
      </c>
      <c r="E673" s="438">
        <v>1</v>
      </c>
      <c r="F673" s="439">
        <f t="shared" si="3"/>
        <v>36340</v>
      </c>
      <c r="G673" s="442"/>
      <c r="H673" s="447">
        <v>57503</v>
      </c>
    </row>
    <row r="674" spans="1:8" ht="13.2">
      <c r="A674" s="454" t="s">
        <v>539</v>
      </c>
      <c r="B674" s="452" t="str">
        <f>VLOOKUP(A674,'Thống kê'!$C$3:$D$669,2,0)</f>
        <v>Trâm cài 29</v>
      </c>
      <c r="C674" s="436" t="str">
        <f>VLOOKUP(A674,'Thống kê'!$C$3:$E$682,3,0)</f>
        <v>cây</v>
      </c>
      <c r="D674" s="437">
        <f>VLOOKUP(A674,'Thống kê'!$C$3:$M$682,4,0)</f>
        <v>36340</v>
      </c>
      <c r="E674" s="438">
        <v>1</v>
      </c>
      <c r="F674" s="439">
        <f t="shared" si="3"/>
        <v>36340</v>
      </c>
      <c r="G674" s="442"/>
      <c r="H674" s="446"/>
    </row>
    <row r="675" spans="1:8" ht="13.2">
      <c r="A675" s="454" t="s">
        <v>451</v>
      </c>
      <c r="B675" s="452" t="str">
        <f>VLOOKUP(A675,'Thống kê'!$C$3:$D$669,2,0)</f>
        <v>Cài áo ngọc trai bướm vàng</v>
      </c>
      <c r="C675" s="436" t="str">
        <f>VLOOKUP(A675,'Thống kê'!$C$3:$E$682,3,0)</f>
        <v>cái</v>
      </c>
      <c r="D675" s="437">
        <f>VLOOKUP(A675,'Thống kê'!$C$3:$M$682,4,0)</f>
        <v>23900</v>
      </c>
      <c r="E675" s="438">
        <v>1</v>
      </c>
      <c r="F675" s="439">
        <f t="shared" si="3"/>
        <v>23900</v>
      </c>
      <c r="G675" s="442"/>
      <c r="H675" s="447">
        <v>275854</v>
      </c>
    </row>
    <row r="676" spans="1:8" ht="13.2">
      <c r="A676" s="454" t="s">
        <v>449</v>
      </c>
      <c r="B676" s="452" t="str">
        <f>VLOOKUP(A676,'Thống kê'!$C$3:$D$669,2,0)</f>
        <v>Cài áo hoa hồng trắng có ngọc trai</v>
      </c>
      <c r="C676" s="436" t="str">
        <f>VLOOKUP(A676,'Thống kê'!$C$3:$E$682,3,0)</f>
        <v>cái</v>
      </c>
      <c r="D676" s="437">
        <f>VLOOKUP(A676,'Thống kê'!$C$3:$M$682,4,0)</f>
        <v>24900</v>
      </c>
      <c r="E676" s="438">
        <v>1</v>
      </c>
      <c r="F676" s="439">
        <f t="shared" si="3"/>
        <v>24900</v>
      </c>
      <c r="G676" s="442"/>
      <c r="H676" s="446"/>
    </row>
    <row r="677" spans="1:8" ht="13.2">
      <c r="A677" s="454" t="s">
        <v>1046</v>
      </c>
      <c r="B677" s="452" t="str">
        <f>VLOOKUP(A677,'Thống kê'!$C$3:$D$669,2,0)</f>
        <v>Vớ cổ ngắn set xanh bơ 1</v>
      </c>
      <c r="C677" s="436" t="str">
        <f>VLOOKUP(A677,'Thống kê'!$C$3:$E$682,3,0)</f>
        <v>đôi</v>
      </c>
      <c r="D677" s="437">
        <f>VLOOKUP(A677,'Thống kê'!$C$3:$M$682,4,0)</f>
        <v>9800</v>
      </c>
      <c r="E677" s="438">
        <v>1</v>
      </c>
      <c r="F677" s="439">
        <f t="shared" si="3"/>
        <v>9800</v>
      </c>
      <c r="G677" s="442"/>
      <c r="H677" s="446"/>
    </row>
    <row r="678" spans="1:8" ht="13.2">
      <c r="A678" s="454" t="s">
        <v>985</v>
      </c>
      <c r="B678" s="452" t="str">
        <f>VLOOKUP(A678,'Thống kê'!$C$3:$D$669,2,0)</f>
        <v>Móc khóa đôi gấu trúc</v>
      </c>
      <c r="C678" s="436" t="str">
        <f>VLOOKUP(A678,'Thống kê'!$C$3:$E$682,3,0)</f>
        <v>cái</v>
      </c>
      <c r="D678" s="437">
        <f>VLOOKUP(A678,'Thống kê'!$C$3:$M$682,4,0)</f>
        <v>56580</v>
      </c>
      <c r="E678" s="438">
        <v>1</v>
      </c>
      <c r="F678" s="439">
        <f t="shared" si="3"/>
        <v>56580</v>
      </c>
      <c r="G678" s="442"/>
      <c r="H678" s="446"/>
    </row>
    <row r="679" spans="1:8" ht="13.2">
      <c r="A679" s="454" t="s">
        <v>823</v>
      </c>
      <c r="B679" s="452" t="str">
        <f>VLOOKUP(A679,'Thống kê'!$C$3:$D$669,2,0)</f>
        <v>Kẹp tóc bướm xanh vàng</v>
      </c>
      <c r="C679" s="436" t="str">
        <f>VLOOKUP(A679,'Thống kê'!$C$3:$E$682,3,0)</f>
        <v>cái</v>
      </c>
      <c r="D679" s="437">
        <f>VLOOKUP(A679,'Thống kê'!$C$3:$M$682,4,0)</f>
        <v>52000</v>
      </c>
      <c r="E679" s="438">
        <v>1</v>
      </c>
      <c r="F679" s="439">
        <f t="shared" si="3"/>
        <v>52000</v>
      </c>
      <c r="G679" s="442"/>
      <c r="H679" s="446"/>
    </row>
    <row r="680" spans="1:8" ht="13.2">
      <c r="A680" s="454" t="s">
        <v>736</v>
      </c>
      <c r="B680" s="452" t="str">
        <f>VLOOKUP(A680,'Thống kê'!$C$3:$D$669,2,0)</f>
        <v>Kẹp tóc hoa sứ vàng</v>
      </c>
      <c r="C680" s="436" t="str">
        <f>VLOOKUP(A680,'Thống kê'!$C$3:$E$682,3,0)</f>
        <v>cái</v>
      </c>
      <c r="D680" s="437">
        <f>VLOOKUP(A680,'Thống kê'!$C$3:$M$682,4,0)</f>
        <v>18500</v>
      </c>
      <c r="E680" s="438">
        <v>1</v>
      </c>
      <c r="F680" s="439">
        <f t="shared" si="3"/>
        <v>18500</v>
      </c>
      <c r="G680" s="442"/>
      <c r="H680" s="446"/>
    </row>
    <row r="681" spans="1:8" ht="13.2">
      <c r="A681" s="454" t="s">
        <v>401</v>
      </c>
      <c r="B681" s="452" t="str">
        <f>VLOOKUP(A681,'Thống kê'!$C$3:$D$669,2,0)</f>
        <v>Túi chườm bụng dâu (hồng đất) 1000ml</v>
      </c>
      <c r="C681" s="436" t="str">
        <f>VLOOKUP(A681,'Thống kê'!$C$3:$E$682,3,0)</f>
        <v>túi</v>
      </c>
      <c r="D681" s="437">
        <f>VLOOKUP(A681,'Thống kê'!$C$3:$M$682,4,0)</f>
        <v>101150</v>
      </c>
      <c r="E681" s="438">
        <v>1</v>
      </c>
      <c r="F681" s="439">
        <f t="shared" si="3"/>
        <v>101150</v>
      </c>
      <c r="G681" s="442"/>
      <c r="H681" s="446"/>
    </row>
    <row r="682" spans="1:8" ht="13.2">
      <c r="A682" s="454" t="s">
        <v>734</v>
      </c>
      <c r="B682" s="452" t="str">
        <f>VLOOKUP(A682,'Thống kê'!$C$3:$D$669,2,0)</f>
        <v>Kẹp tóc hoa sứ hồng</v>
      </c>
      <c r="C682" s="436" t="str">
        <f>VLOOKUP(A682,'Thống kê'!$C$3:$E$682,3,0)</f>
        <v>cái</v>
      </c>
      <c r="D682" s="437">
        <f>VLOOKUP(A682,'Thống kê'!$C$3:$M$682,4,0)</f>
        <v>18500</v>
      </c>
      <c r="E682" s="438">
        <v>1</v>
      </c>
      <c r="F682" s="439">
        <f t="shared" si="3"/>
        <v>18500</v>
      </c>
      <c r="G682" s="442"/>
      <c r="H682" s="446"/>
    </row>
    <row r="683" spans="1:8" ht="13.2">
      <c r="A683" s="454" t="s">
        <v>742</v>
      </c>
      <c r="B683" s="452" t="str">
        <f>VLOOKUP(A683,'Thống kê'!$C$3:$D$669,2,0)</f>
        <v>Kẹp tóc hoa sứ xanh</v>
      </c>
      <c r="C683" s="436" t="str">
        <f>VLOOKUP(A683,'Thống kê'!$C$3:$E$682,3,0)</f>
        <v>cái</v>
      </c>
      <c r="D683" s="437">
        <f>VLOOKUP(A683,'Thống kê'!$C$3:$M$682,4,0)</f>
        <v>18500</v>
      </c>
      <c r="E683" s="438">
        <v>1</v>
      </c>
      <c r="F683" s="439">
        <f t="shared" si="3"/>
        <v>18500</v>
      </c>
      <c r="G683" s="442"/>
      <c r="H683" s="446"/>
    </row>
    <row r="684" spans="1:8" ht="13.2">
      <c r="A684" s="454" t="s">
        <v>732</v>
      </c>
      <c r="B684" s="452" t="str">
        <f>VLOOKUP(A684,'Thống kê'!$C$3:$D$669,2,0)</f>
        <v>Kẹp tóc hoa sứ tím</v>
      </c>
      <c r="C684" s="436" t="str">
        <f>VLOOKUP(A684,'Thống kê'!$C$3:$E$682,3,0)</f>
        <v>cái</v>
      </c>
      <c r="D684" s="437">
        <f>VLOOKUP(A684,'Thống kê'!$C$3:$M$682,4,0)</f>
        <v>18500</v>
      </c>
      <c r="E684" s="438">
        <v>1</v>
      </c>
      <c r="F684" s="439">
        <f t="shared" si="3"/>
        <v>18500</v>
      </c>
      <c r="G684" s="442"/>
      <c r="H684" s="446"/>
    </row>
    <row r="685" spans="1:8" ht="13.2">
      <c r="A685" s="454" t="s">
        <v>891</v>
      </c>
      <c r="B685" s="452" t="str">
        <f>VLOOKUP(A685,'Thống kê'!$C$3:$D$669,2,0)</f>
        <v>Heo ú</v>
      </c>
      <c r="C685" s="436" t="str">
        <f>VLOOKUP(A685,'Thống kê'!$C$3:$E$682,3,0)</f>
        <v>cái</v>
      </c>
      <c r="D685" s="437">
        <f>VLOOKUP(A685,'Thống kê'!$C$3:$M$682,4,0)</f>
        <v>59500</v>
      </c>
      <c r="E685" s="438">
        <v>1</v>
      </c>
      <c r="F685" s="439">
        <f t="shared" si="3"/>
        <v>59500</v>
      </c>
      <c r="G685" s="442"/>
      <c r="H685" s="448">
        <v>46404</v>
      </c>
    </row>
    <row r="686" spans="1:8" ht="13.2">
      <c r="A686" s="454" t="s">
        <v>823</v>
      </c>
      <c r="B686" s="452" t="str">
        <f>VLOOKUP(A686,'Thống kê'!$C$3:$D$669,2,0)</f>
        <v>Kẹp tóc bướm xanh vàng</v>
      </c>
      <c r="C686" s="436" t="str">
        <f>VLOOKUP(A686,'Thống kê'!$C$3:$E$682,3,0)</f>
        <v>cái</v>
      </c>
      <c r="D686" s="437">
        <f>VLOOKUP(A686,'Thống kê'!$C$3:$M$682,4,0)</f>
        <v>52000</v>
      </c>
      <c r="E686" s="438">
        <v>1</v>
      </c>
      <c r="F686" s="439">
        <f t="shared" si="3"/>
        <v>52000</v>
      </c>
      <c r="G686" s="442"/>
      <c r="H686" s="447">
        <v>55536</v>
      </c>
    </row>
    <row r="687" spans="1:8" ht="13.2">
      <c r="A687" s="454" t="s">
        <v>732</v>
      </c>
      <c r="B687" s="452" t="str">
        <f>VLOOKUP(A687,'Thống kê'!$C$3:$D$669,2,0)</f>
        <v>Kẹp tóc hoa sứ tím</v>
      </c>
      <c r="C687" s="436" t="str">
        <f>VLOOKUP(A687,'Thống kê'!$C$3:$E$682,3,0)</f>
        <v>cái</v>
      </c>
      <c r="D687" s="437">
        <f>VLOOKUP(A687,'Thống kê'!$C$3:$M$682,4,0)</f>
        <v>18500</v>
      </c>
      <c r="E687" s="438">
        <v>1</v>
      </c>
      <c r="F687" s="439">
        <f t="shared" si="3"/>
        <v>18500</v>
      </c>
      <c r="G687" s="442"/>
      <c r="H687" s="446"/>
    </row>
    <row r="688" spans="1:8" ht="13.2">
      <c r="A688" s="454" t="s">
        <v>719</v>
      </c>
      <c r="B688" s="452" t="str">
        <f>VLOOKUP(A688,'Thống kê'!$C$3:$D$669,2,0)</f>
        <v>Kẹp nơ hồng</v>
      </c>
      <c r="C688" s="436" t="str">
        <f>VLOOKUP(A688,'Thống kê'!$C$3:$E$682,3,0)</f>
        <v>cái</v>
      </c>
      <c r="D688" s="437">
        <f>VLOOKUP(A688,'Thống kê'!$C$3:$M$682,4,0)</f>
        <v>22000</v>
      </c>
      <c r="E688" s="438">
        <v>1</v>
      </c>
      <c r="F688" s="439">
        <f t="shared" si="3"/>
        <v>22000</v>
      </c>
      <c r="G688" s="442"/>
      <c r="H688" s="448">
        <v>15000</v>
      </c>
    </row>
    <row r="689" spans="1:8" ht="13.2">
      <c r="A689" s="454" t="s">
        <v>1005</v>
      </c>
      <c r="B689" s="452" t="str">
        <f>VLOOKUP(A689,'Thống kê'!$C$3:$D$669,2,0)</f>
        <v>Mô hình trái cây 06</v>
      </c>
      <c r="C689" s="436" t="str">
        <f>VLOOKUP(A689,'Thống kê'!$C$3:$E$682,3,0)</f>
        <v>cái</v>
      </c>
      <c r="D689" s="437">
        <f>VLOOKUP(A689,'Thống kê'!$C$3:$M$682,4,0)</f>
        <v>39000</v>
      </c>
      <c r="E689" s="438">
        <v>1</v>
      </c>
      <c r="F689" s="439">
        <f t="shared" si="3"/>
        <v>39000</v>
      </c>
      <c r="G689" s="442"/>
      <c r="H689" s="447">
        <v>300000</v>
      </c>
    </row>
    <row r="690" spans="1:8" ht="13.2">
      <c r="A690" s="454" t="s">
        <v>1007</v>
      </c>
      <c r="B690" s="452" t="str">
        <f>VLOOKUP(A690,'Thống kê'!$C$3:$D$669,2,0)</f>
        <v>Mô hình trái cây 07</v>
      </c>
      <c r="C690" s="436" t="str">
        <f>VLOOKUP(A690,'Thống kê'!$C$3:$E$682,3,0)</f>
        <v>cái</v>
      </c>
      <c r="D690" s="437">
        <f>VLOOKUP(A690,'Thống kê'!$C$3:$M$682,4,0)</f>
        <v>39000</v>
      </c>
      <c r="E690" s="438">
        <v>1</v>
      </c>
      <c r="F690" s="439">
        <f t="shared" si="3"/>
        <v>39000</v>
      </c>
      <c r="G690" s="442"/>
      <c r="H690" s="446"/>
    </row>
    <row r="691" spans="1:8" ht="13.2">
      <c r="A691" s="454" t="s">
        <v>1009</v>
      </c>
      <c r="B691" s="452" t="str">
        <f>VLOOKUP(A691,'Thống kê'!$C$3:$D$669,2,0)</f>
        <v>Mô hình trái cây 08</v>
      </c>
      <c r="C691" s="436" t="str">
        <f>VLOOKUP(A691,'Thống kê'!$C$3:$E$682,3,0)</f>
        <v>cái</v>
      </c>
      <c r="D691" s="437">
        <f>VLOOKUP(A691,'Thống kê'!$C$3:$M$682,4,0)</f>
        <v>39000</v>
      </c>
      <c r="E691" s="438">
        <v>1</v>
      </c>
      <c r="F691" s="439">
        <f t="shared" si="3"/>
        <v>39000</v>
      </c>
      <c r="G691" s="442"/>
      <c r="H691" s="446"/>
    </row>
    <row r="692" spans="1:8" ht="13.2">
      <c r="A692" s="454" t="s">
        <v>1011</v>
      </c>
      <c r="B692" s="452" t="str">
        <f>VLOOKUP(A692,'Thống kê'!$C$3:$D$669,2,0)</f>
        <v>Mô hình trái cây 09</v>
      </c>
      <c r="C692" s="436" t="str">
        <f>VLOOKUP(A692,'Thống kê'!$C$3:$E$682,3,0)</f>
        <v>cái</v>
      </c>
      <c r="D692" s="437">
        <f>VLOOKUP(A692,'Thống kê'!$C$3:$M$682,4,0)</f>
        <v>39000</v>
      </c>
      <c r="E692" s="438">
        <v>1</v>
      </c>
      <c r="F692" s="439">
        <f t="shared" si="3"/>
        <v>39000</v>
      </c>
      <c r="G692" s="442"/>
      <c r="H692" s="446"/>
    </row>
    <row r="693" spans="1:8" ht="13.2">
      <c r="A693" s="454" t="s">
        <v>1013</v>
      </c>
      <c r="B693" s="452" t="str">
        <f>VLOOKUP(A693,'Thống kê'!$C$3:$D$669,2,0)</f>
        <v>Mô hình trái cây 10</v>
      </c>
      <c r="C693" s="436" t="str">
        <f>VLOOKUP(A693,'Thống kê'!$C$3:$E$682,3,0)</f>
        <v>cái</v>
      </c>
      <c r="D693" s="437">
        <f>VLOOKUP(A693,'Thống kê'!$C$3:$M$682,4,0)</f>
        <v>39000</v>
      </c>
      <c r="E693" s="438">
        <v>1</v>
      </c>
      <c r="F693" s="439">
        <f t="shared" si="3"/>
        <v>39000</v>
      </c>
      <c r="G693" s="442"/>
      <c r="H693" s="446"/>
    </row>
    <row r="694" spans="1:8" ht="13.2">
      <c r="A694" s="454" t="s">
        <v>1015</v>
      </c>
      <c r="B694" s="452" t="str">
        <f>VLOOKUP(A694,'Thống kê'!$C$3:$D$669,2,0)</f>
        <v>Mô hình trái cây 11</v>
      </c>
      <c r="C694" s="436" t="str">
        <f>VLOOKUP(A694,'Thống kê'!$C$3:$E$682,3,0)</f>
        <v>cái</v>
      </c>
      <c r="D694" s="437">
        <f>VLOOKUP(A694,'Thống kê'!$C$3:$M$682,4,0)</f>
        <v>39000</v>
      </c>
      <c r="E694" s="438">
        <v>1</v>
      </c>
      <c r="F694" s="439">
        <f t="shared" si="3"/>
        <v>39000</v>
      </c>
      <c r="G694" s="442"/>
      <c r="H694" s="446"/>
    </row>
    <row r="695" spans="1:8" ht="13.2">
      <c r="A695" s="454" t="s">
        <v>1017</v>
      </c>
      <c r="B695" s="452" t="str">
        <f>VLOOKUP(A695,'Thống kê'!$C$3:$D$669,2,0)</f>
        <v>Mô hình trái cây 12</v>
      </c>
      <c r="C695" s="436" t="str">
        <f>VLOOKUP(A695,'Thống kê'!$C$3:$E$682,3,0)</f>
        <v>cái</v>
      </c>
      <c r="D695" s="437">
        <f>VLOOKUP(A695,'Thống kê'!$C$3:$M$682,4,0)</f>
        <v>39000</v>
      </c>
      <c r="E695" s="438">
        <v>1</v>
      </c>
      <c r="F695" s="439">
        <f t="shared" si="3"/>
        <v>39000</v>
      </c>
      <c r="G695" s="442"/>
      <c r="H695" s="446"/>
    </row>
    <row r="696" spans="1:8" ht="13.2">
      <c r="A696" s="454" t="s">
        <v>1019</v>
      </c>
      <c r="B696" s="452" t="str">
        <f>VLOOKUP(A696,'Thống kê'!$C$3:$D$669,2,0)</f>
        <v>Mô hình trái cây 13</v>
      </c>
      <c r="C696" s="436" t="str">
        <f>VLOOKUP(A696,'Thống kê'!$C$3:$E$682,3,0)</f>
        <v>cái</v>
      </c>
      <c r="D696" s="437">
        <f>VLOOKUP(A696,'Thống kê'!$C$3:$M$682,4,0)</f>
        <v>39000</v>
      </c>
      <c r="E696" s="438">
        <v>1</v>
      </c>
      <c r="F696" s="439">
        <f t="shared" si="3"/>
        <v>39000</v>
      </c>
      <c r="G696" s="442"/>
      <c r="H696" s="446"/>
    </row>
    <row r="697" spans="1:8" ht="13.2">
      <c r="A697" s="454" t="s">
        <v>1021</v>
      </c>
      <c r="B697" s="452" t="str">
        <f>VLOOKUP(A697,'Thống kê'!$C$3:$D$669,2,0)</f>
        <v>Mô hình trái cây 14</v>
      </c>
      <c r="C697" s="436" t="str">
        <f>VLOOKUP(A697,'Thống kê'!$C$3:$E$682,3,0)</f>
        <v>cái</v>
      </c>
      <c r="D697" s="437">
        <f>VLOOKUP(A697,'Thống kê'!$C$3:$M$682,4,0)</f>
        <v>39000</v>
      </c>
      <c r="E697" s="438">
        <v>1</v>
      </c>
      <c r="F697" s="439">
        <f t="shared" si="3"/>
        <v>39000</v>
      </c>
      <c r="G697" s="442"/>
      <c r="H697" s="446"/>
    </row>
    <row r="698" spans="1:8" ht="13.2">
      <c r="A698" s="454" t="s">
        <v>1023</v>
      </c>
      <c r="B698" s="452" t="str">
        <f>VLOOKUP(A698,'Thống kê'!$C$3:$D$669,2,0)</f>
        <v>Mô hình trái cây 15</v>
      </c>
      <c r="C698" s="436" t="str">
        <f>VLOOKUP(A698,'Thống kê'!$C$3:$E$682,3,0)</f>
        <v>cái</v>
      </c>
      <c r="D698" s="437">
        <f>VLOOKUP(A698,'Thống kê'!$C$3:$M$682,4,0)</f>
        <v>39000</v>
      </c>
      <c r="E698" s="438">
        <v>1</v>
      </c>
      <c r="F698" s="439">
        <f t="shared" si="3"/>
        <v>39000</v>
      </c>
      <c r="G698" s="442"/>
      <c r="H698" s="446"/>
    </row>
    <row r="699" spans="1:8" ht="13.2">
      <c r="A699" s="454" t="s">
        <v>985</v>
      </c>
      <c r="B699" s="452" t="str">
        <f>VLOOKUP(A699,'Thống kê'!$C$3:$D$669,2,0)</f>
        <v>Móc khóa đôi gấu trúc</v>
      </c>
      <c r="C699" s="436" t="str">
        <f>VLOOKUP(A699,'Thống kê'!$C$3:$E$682,3,0)</f>
        <v>cái</v>
      </c>
      <c r="D699" s="437">
        <f>VLOOKUP(A699,'Thống kê'!$C$3:$M$682,4,0)</f>
        <v>56580</v>
      </c>
      <c r="E699" s="438">
        <v>1</v>
      </c>
      <c r="F699" s="439">
        <f t="shared" si="3"/>
        <v>56580</v>
      </c>
      <c r="G699" s="442"/>
      <c r="H699" s="447">
        <v>53555</v>
      </c>
    </row>
    <row r="700" spans="1:8" ht="13.2">
      <c r="A700" s="454" t="s">
        <v>489</v>
      </c>
      <c r="B700" s="452" t="str">
        <f>VLOOKUP(A700,'Thống kê'!$C$3:$D$669,2,0)</f>
        <v>Trâm cài 04</v>
      </c>
      <c r="C700" s="436" t="str">
        <f>VLOOKUP(A700,'Thống kê'!$C$3:$E$682,3,0)</f>
        <v>cây</v>
      </c>
      <c r="D700" s="437">
        <f>VLOOKUP(A700,'Thống kê'!$C$3:$M$682,4,0)</f>
        <v>11040</v>
      </c>
      <c r="E700" s="438">
        <v>1</v>
      </c>
      <c r="F700" s="439">
        <f t="shared" si="3"/>
        <v>11040</v>
      </c>
      <c r="G700" s="442"/>
      <c r="H700" s="446"/>
    </row>
    <row r="701" spans="1:8" ht="13.2">
      <c r="A701" s="454" t="s">
        <v>989</v>
      </c>
      <c r="B701" s="452" t="str">
        <f>VLOOKUP(A701,'Thống kê'!$C$3:$D$669,2,0)</f>
        <v>Móc khóa đôi 2 quả lê có nam châm</v>
      </c>
      <c r="C701" s="436" t="str">
        <f>VLOOKUP(A701,'Thống kê'!$C$3:$E$682,3,0)</f>
        <v>cái</v>
      </c>
      <c r="D701" s="437">
        <f>VLOOKUP(A701,'Thống kê'!$C$3:$M$682,4,0)</f>
        <v>59000</v>
      </c>
      <c r="E701" s="438">
        <v>1</v>
      </c>
      <c r="F701" s="439">
        <f t="shared" si="3"/>
        <v>59000</v>
      </c>
      <c r="G701" s="442"/>
      <c r="H701" s="448">
        <v>46208</v>
      </c>
    </row>
    <row r="702" spans="1:8" ht="13.2">
      <c r="A702" s="454" t="s">
        <v>405</v>
      </c>
      <c r="B702" s="452" t="str">
        <f>VLOOKUP(A702,'Thống kê'!$C$3:$D$669,2,0)</f>
        <v>Túi chườm bụng dứa (xanh đậm) 1000ml</v>
      </c>
      <c r="C702" s="436" t="str">
        <f>VLOOKUP(A702,'Thống kê'!$C$3:$E$682,3,0)</f>
        <v>túi</v>
      </c>
      <c r="D702" s="437">
        <f>VLOOKUP(A702,'Thống kê'!$C$3:$M$682,4,0)</f>
        <v>101150</v>
      </c>
      <c r="E702" s="438">
        <v>1</v>
      </c>
      <c r="F702" s="439">
        <f t="shared" si="3"/>
        <v>101150</v>
      </c>
      <c r="G702" s="442"/>
      <c r="H702" s="448">
        <v>79391</v>
      </c>
    </row>
    <row r="703" spans="1:8" ht="13.2">
      <c r="A703" s="454" t="s">
        <v>887</v>
      </c>
      <c r="B703" s="452" t="str">
        <f>VLOOKUP(A703,'Thống kê'!$C$3:$D$669,2,0)</f>
        <v>Mèo ú</v>
      </c>
      <c r="C703" s="436" t="str">
        <f>VLOOKUP(A703,'Thống kê'!$C$3:$E$682,3,0)</f>
        <v>cái</v>
      </c>
      <c r="D703" s="437">
        <f>VLOOKUP(A703,'Thống kê'!$C$3:$M$682,4,0)</f>
        <v>59500</v>
      </c>
      <c r="E703" s="438">
        <v>1</v>
      </c>
      <c r="F703" s="439">
        <f t="shared" si="3"/>
        <v>59500</v>
      </c>
      <c r="G703" s="442"/>
      <c r="H703" s="447">
        <v>94248</v>
      </c>
    </row>
    <row r="704" spans="1:8" ht="13.2">
      <c r="A704" s="454" t="s">
        <v>885</v>
      </c>
      <c r="B704" s="452" t="str">
        <f>VLOOKUP(A704,'Thống kê'!$C$3:$D$669,2,0)</f>
        <v>Gấu ú</v>
      </c>
      <c r="C704" s="436" t="str">
        <f>VLOOKUP(A704,'Thống kê'!$C$3:$E$682,3,0)</f>
        <v>cái</v>
      </c>
      <c r="D704" s="437">
        <f>VLOOKUP(A704,'Thống kê'!$C$3:$M$682,4,0)</f>
        <v>59500</v>
      </c>
      <c r="E704" s="438">
        <v>1</v>
      </c>
      <c r="F704" s="439">
        <f t="shared" si="3"/>
        <v>59500</v>
      </c>
      <c r="G704" s="442"/>
      <c r="H704" s="446"/>
    </row>
    <row r="705" spans="1:8" ht="13.2">
      <c r="A705" s="454" t="s">
        <v>790</v>
      </c>
      <c r="B705" s="452" t="str">
        <f>VLOOKUP(A705,'Thống kê'!$C$3:$D$669,2,0)</f>
        <v xml:space="preserve">Kẹp tóc bướm hồng </v>
      </c>
      <c r="C705" s="436" t="str">
        <f>VLOOKUP(A705,'Thống kê'!$C$3:$E$682,3,0)</f>
        <v>cái</v>
      </c>
      <c r="D705" s="437">
        <f>VLOOKUP(A705,'Thống kê'!$C$3:$M$682,4,0)</f>
        <v>40000</v>
      </c>
      <c r="E705" s="438">
        <v>-1</v>
      </c>
      <c r="F705" s="439">
        <f t="shared" si="3"/>
        <v>-40000</v>
      </c>
      <c r="G705" s="442"/>
      <c r="H705" s="447">
        <v>-72000</v>
      </c>
    </row>
    <row r="706" spans="1:8" ht="13.2">
      <c r="A706" s="454" t="s">
        <v>800</v>
      </c>
      <c r="B706" s="452" t="str">
        <f>VLOOKUP(A706,'Thống kê'!$C$3:$D$669,2,0)</f>
        <v>Kẹp tóc bướm kem</v>
      </c>
      <c r="C706" s="436" t="str">
        <f>VLOOKUP(A706,'Thống kê'!$C$3:$E$682,3,0)</f>
        <v>cái</v>
      </c>
      <c r="D706" s="437">
        <f>VLOOKUP(A706,'Thống kê'!$C$3:$M$682,4,0)</f>
        <v>38000</v>
      </c>
      <c r="E706" s="438">
        <v>-1</v>
      </c>
      <c r="F706" s="439">
        <f t="shared" si="3"/>
        <v>-38000</v>
      </c>
      <c r="G706" s="442"/>
      <c r="H706" s="446"/>
    </row>
    <row r="707" spans="1:8" ht="13.2">
      <c r="A707" s="454" t="s">
        <v>829</v>
      </c>
      <c r="B707" s="452" t="str">
        <f>VLOOKUP(A707,'Thống kê'!$C$3:$D$669,2,0)</f>
        <v>Kẹp tóc bướm trắng</v>
      </c>
      <c r="C707" s="436" t="str">
        <f>VLOOKUP(A707,'Thống kê'!$C$3:$E$682,3,0)</f>
        <v>cái</v>
      </c>
      <c r="D707" s="437">
        <f>VLOOKUP(A707,'Thống kê'!$C$3:$M$682,4,0)</f>
        <v>52000</v>
      </c>
      <c r="E707" s="438">
        <v>8</v>
      </c>
      <c r="F707" s="439">
        <f t="shared" si="3"/>
        <v>416000</v>
      </c>
      <c r="G707" s="442"/>
      <c r="H707" s="448">
        <v>320320</v>
      </c>
    </row>
    <row r="708" spans="1:8" ht="13.2">
      <c r="A708" s="454" t="s">
        <v>732</v>
      </c>
      <c r="B708" s="452" t="str">
        <f>VLOOKUP(A708,'Thống kê'!$C$3:$D$669,2,0)</f>
        <v>Kẹp tóc hoa sứ tím</v>
      </c>
      <c r="C708" s="436" t="str">
        <f>VLOOKUP(A708,'Thống kê'!$C$3:$E$682,3,0)</f>
        <v>cái</v>
      </c>
      <c r="D708" s="437">
        <f>VLOOKUP(A708,'Thống kê'!$C$3:$M$682,4,0)</f>
        <v>18500</v>
      </c>
      <c r="E708" s="438">
        <v>2</v>
      </c>
      <c r="F708" s="439">
        <f t="shared" si="3"/>
        <v>37000</v>
      </c>
      <c r="G708" s="442"/>
      <c r="H708" s="447">
        <v>260000</v>
      </c>
    </row>
    <row r="709" spans="1:8" ht="13.2">
      <c r="A709" s="454" t="s">
        <v>734</v>
      </c>
      <c r="B709" s="452" t="str">
        <f>VLOOKUP(A709,'Thống kê'!$C$3:$D$669,2,0)</f>
        <v>Kẹp tóc hoa sứ hồng</v>
      </c>
      <c r="C709" s="436" t="str">
        <f>VLOOKUP(A709,'Thống kê'!$C$3:$E$682,3,0)</f>
        <v>cái</v>
      </c>
      <c r="D709" s="437">
        <f>VLOOKUP(A709,'Thống kê'!$C$3:$M$682,4,0)</f>
        <v>18500</v>
      </c>
      <c r="E709" s="438">
        <v>2</v>
      </c>
      <c r="F709" s="439">
        <f t="shared" si="3"/>
        <v>37000</v>
      </c>
      <c r="G709" s="442"/>
      <c r="H709" s="446"/>
    </row>
    <row r="710" spans="1:8" ht="13.2">
      <c r="A710" s="454" t="s">
        <v>736</v>
      </c>
      <c r="B710" s="452" t="str">
        <f>VLOOKUP(A710,'Thống kê'!$C$3:$D$669,2,0)</f>
        <v>Kẹp tóc hoa sứ vàng</v>
      </c>
      <c r="C710" s="436" t="str">
        <f>VLOOKUP(A710,'Thống kê'!$C$3:$E$682,3,0)</f>
        <v>cái</v>
      </c>
      <c r="D710" s="437">
        <f>VLOOKUP(A710,'Thống kê'!$C$3:$M$682,4,0)</f>
        <v>18500</v>
      </c>
      <c r="E710" s="438">
        <v>2</v>
      </c>
      <c r="F710" s="439">
        <f t="shared" si="3"/>
        <v>37000</v>
      </c>
      <c r="G710" s="442"/>
      <c r="H710" s="446"/>
    </row>
    <row r="711" spans="1:8" ht="13.2">
      <c r="A711" s="454" t="s">
        <v>738</v>
      </c>
      <c r="B711" s="452" t="str">
        <f>VLOOKUP(A711,'Thống kê'!$C$3:$D$669,2,0)</f>
        <v>Kẹp tóc hoa sứ cam</v>
      </c>
      <c r="C711" s="436" t="str">
        <f>VLOOKUP(A711,'Thống kê'!$C$3:$E$682,3,0)</f>
        <v>cái</v>
      </c>
      <c r="D711" s="437">
        <f>VLOOKUP(A711,'Thống kê'!$C$3:$M$682,4,0)</f>
        <v>18500</v>
      </c>
      <c r="E711" s="438">
        <v>2</v>
      </c>
      <c r="F711" s="439">
        <f t="shared" si="3"/>
        <v>37000</v>
      </c>
      <c r="G711" s="442"/>
      <c r="H711" s="446"/>
    </row>
    <row r="712" spans="1:8" ht="13.2">
      <c r="A712" s="454" t="s">
        <v>740</v>
      </c>
      <c r="B712" s="452" t="str">
        <f>VLOOKUP(A712,'Thống kê'!$C$3:$D$669,2,0)</f>
        <v>Kẹp tóc hoa sứ đỏ</v>
      </c>
      <c r="C712" s="436" t="str">
        <f>VLOOKUP(A712,'Thống kê'!$C$3:$E$682,3,0)</f>
        <v>cái</v>
      </c>
      <c r="D712" s="437">
        <f>VLOOKUP(A712,'Thống kê'!$C$3:$M$682,4,0)</f>
        <v>18500</v>
      </c>
      <c r="E712" s="438">
        <v>2</v>
      </c>
      <c r="F712" s="439">
        <f t="shared" si="3"/>
        <v>37000</v>
      </c>
      <c r="G712" s="442"/>
      <c r="H712" s="446"/>
    </row>
    <row r="713" spans="1:8" ht="13.2">
      <c r="A713" s="454" t="s">
        <v>742</v>
      </c>
      <c r="B713" s="452" t="str">
        <f>VLOOKUP(A713,'Thống kê'!$C$3:$D$669,2,0)</f>
        <v>Kẹp tóc hoa sứ xanh</v>
      </c>
      <c r="C713" s="436" t="str">
        <f>VLOOKUP(A713,'Thống kê'!$C$3:$E$682,3,0)</f>
        <v>cái</v>
      </c>
      <c r="D713" s="437">
        <f>VLOOKUP(A713,'Thống kê'!$C$3:$M$682,4,0)</f>
        <v>18500</v>
      </c>
      <c r="E713" s="438">
        <v>2</v>
      </c>
      <c r="F713" s="439">
        <f t="shared" si="3"/>
        <v>37000</v>
      </c>
      <c r="G713" s="442"/>
      <c r="H713" s="446"/>
    </row>
    <row r="714" spans="1:8" ht="13.2">
      <c r="A714" s="454" t="s">
        <v>744</v>
      </c>
      <c r="B714" s="452" t="str">
        <f>VLOOKUP(A714,'Thống kê'!$C$3:$D$669,2,0)</f>
        <v>Kẹp tóc hoa sứ đỏ hồng đậm</v>
      </c>
      <c r="C714" s="436" t="str">
        <f>VLOOKUP(A714,'Thống kê'!$C$3:$E$682,3,0)</f>
        <v>cái</v>
      </c>
      <c r="D714" s="437">
        <f>VLOOKUP(A714,'Thống kê'!$C$3:$M$682,4,0)</f>
        <v>18500</v>
      </c>
      <c r="E714" s="438">
        <v>2</v>
      </c>
      <c r="F714" s="439">
        <f t="shared" si="3"/>
        <v>37000</v>
      </c>
      <c r="G714" s="442"/>
      <c r="H714" s="446"/>
    </row>
    <row r="715" spans="1:8" ht="13.2">
      <c r="A715" s="454" t="s">
        <v>738</v>
      </c>
      <c r="B715" s="452" t="str">
        <f>VLOOKUP(A715,'Thống kê'!$C$3:$D$669,2,0)</f>
        <v>Kẹp tóc hoa sứ cam</v>
      </c>
      <c r="C715" s="436" t="str">
        <f>VLOOKUP(A715,'Thống kê'!$C$3:$E$682,3,0)</f>
        <v>cái</v>
      </c>
      <c r="D715" s="437">
        <f>VLOOKUP(A715,'Thống kê'!$C$3:$M$682,4,0)</f>
        <v>18500</v>
      </c>
      <c r="E715" s="438">
        <v>1</v>
      </c>
      <c r="F715" s="439">
        <f t="shared" si="3"/>
        <v>18500</v>
      </c>
      <c r="G715" s="442"/>
      <c r="H715" s="447">
        <v>24000</v>
      </c>
    </row>
    <row r="716" spans="1:8" ht="13.2">
      <c r="A716" s="454" t="s">
        <v>740</v>
      </c>
      <c r="B716" s="452" t="str">
        <f>VLOOKUP(A716,'Thống kê'!$C$3:$D$669,2,0)</f>
        <v>Kẹp tóc hoa sứ đỏ</v>
      </c>
      <c r="C716" s="436" t="str">
        <f>VLOOKUP(A716,'Thống kê'!$C$3:$E$682,3,0)</f>
        <v>cái</v>
      </c>
      <c r="D716" s="437">
        <f>VLOOKUP(A716,'Thống kê'!$C$3:$M$682,4,0)</f>
        <v>18500</v>
      </c>
      <c r="E716" s="438">
        <v>1</v>
      </c>
      <c r="F716" s="439">
        <f t="shared" si="3"/>
        <v>18500</v>
      </c>
      <c r="G716" s="442"/>
      <c r="H716" s="446"/>
    </row>
    <row r="717" spans="1:8" ht="13.2">
      <c r="A717" s="454" t="s">
        <v>533</v>
      </c>
      <c r="B717" s="452" t="str">
        <f>VLOOKUP(A717,'Thống kê'!$C$3:$D$669,2,0)</f>
        <v>Trâm cài 26</v>
      </c>
      <c r="C717" s="436" t="str">
        <f>VLOOKUP(A717,'Thống kê'!$C$3:$E$682,3,0)</f>
        <v>cây</v>
      </c>
      <c r="D717" s="437">
        <f>VLOOKUP(A717,'Thống kê'!$C$3:$M$682,4,0)</f>
        <v>33120</v>
      </c>
      <c r="E717" s="438">
        <v>1</v>
      </c>
      <c r="F717" s="439">
        <f t="shared" si="3"/>
        <v>33120</v>
      </c>
      <c r="G717" s="442"/>
      <c r="H717" s="448">
        <v>29000</v>
      </c>
    </row>
    <row r="718" spans="1:8" ht="13.2">
      <c r="A718" s="454" t="s">
        <v>556</v>
      </c>
      <c r="B718" s="452" t="str">
        <f>VLOOKUP(A718,'Thống kê'!$C$3:$D$669,2,0)</f>
        <v>Ống 50 dây cột tóc đen be nâu</v>
      </c>
      <c r="C718" s="436" t="str">
        <f>VLOOKUP(A718,'Thống kê'!$C$3:$E$682,3,0)</f>
        <v>ống</v>
      </c>
      <c r="D718" s="437">
        <f>VLOOKUP(A718,'Thống kê'!$C$3:$M$682,4,0)</f>
        <v>23000</v>
      </c>
      <c r="E718" s="438">
        <v>1</v>
      </c>
      <c r="F718" s="439">
        <f t="shared" si="3"/>
        <v>23000</v>
      </c>
      <c r="G718" s="442"/>
      <c r="H718" s="447">
        <v>45000</v>
      </c>
    </row>
    <row r="719" spans="1:8" ht="13.2">
      <c r="A719" s="454" t="s">
        <v>554</v>
      </c>
      <c r="B719" s="452" t="str">
        <f>VLOOKUP(A719,'Thống kê'!$C$3:$D$669,2,0)</f>
        <v>Ống 50 dây cột tóc đen</v>
      </c>
      <c r="C719" s="436" t="str">
        <f>VLOOKUP(A719,'Thống kê'!$C$3:$E$682,3,0)</f>
        <v>ống</v>
      </c>
      <c r="D719" s="437">
        <f>VLOOKUP(A719,'Thống kê'!$C$3:$M$682,4,0)</f>
        <v>20000</v>
      </c>
      <c r="E719" s="438">
        <v>1</v>
      </c>
      <c r="F719" s="439">
        <f t="shared" si="3"/>
        <v>20000</v>
      </c>
      <c r="G719" s="442"/>
      <c r="H719" s="446"/>
    </row>
    <row r="720" spans="1:8" ht="13.2">
      <c r="A720" s="454" t="s">
        <v>558</v>
      </c>
      <c r="B720" s="452" t="str">
        <f>VLOOKUP(A720,'Thống kê'!$C$3:$D$669,2,0)</f>
        <v>Ống 50 dây cột tóc be nâu</v>
      </c>
      <c r="C720" s="436" t="str">
        <f>VLOOKUP(A720,'Thống kê'!$C$3:$E$682,3,0)</f>
        <v>ống</v>
      </c>
      <c r="D720" s="437">
        <f>VLOOKUP(A720,'Thống kê'!$C$3:$M$682,4,0)</f>
        <v>23000</v>
      </c>
      <c r="E720" s="438">
        <v>1</v>
      </c>
      <c r="F720" s="439">
        <f t="shared" si="3"/>
        <v>23000</v>
      </c>
      <c r="G720" s="442"/>
      <c r="H720" s="446"/>
    </row>
    <row r="721" spans="1:8" ht="13.2">
      <c r="A721" s="454" t="s">
        <v>796</v>
      </c>
      <c r="B721" s="452" t="str">
        <f>VLOOKUP(A721,'Thống kê'!$C$3:$D$669,2,0)</f>
        <v>Kẹp tóc bướm tím</v>
      </c>
      <c r="C721" s="436" t="str">
        <f>VLOOKUP(A721,'Thống kê'!$C$3:$E$682,3,0)</f>
        <v>cái</v>
      </c>
      <c r="D721" s="437">
        <f>VLOOKUP(A721,'Thống kê'!$C$3:$M$682,4,0)</f>
        <v>40000</v>
      </c>
      <c r="E721" s="438">
        <v>1</v>
      </c>
      <c r="F721" s="439">
        <f t="shared" si="3"/>
        <v>40000</v>
      </c>
      <c r="G721" s="442"/>
      <c r="H721" s="448">
        <v>28000</v>
      </c>
    </row>
    <row r="722" spans="1:8" ht="13.2">
      <c r="A722" s="454" t="s">
        <v>720</v>
      </c>
      <c r="B722" s="452" t="str">
        <f>VLOOKUP(A722,'Thống kê'!$C$3:$D$669,2,0)</f>
        <v>Kẹp nơ trắng</v>
      </c>
      <c r="C722" s="436" t="str">
        <f>VLOOKUP(A722,'Thống kê'!$C$3:$E$682,3,0)</f>
        <v>cái</v>
      </c>
      <c r="D722" s="437">
        <f>VLOOKUP(A722,'Thống kê'!$C$3:$M$682,4,0)</f>
        <v>22000</v>
      </c>
      <c r="E722" s="438">
        <v>1</v>
      </c>
      <c r="F722" s="439">
        <f t="shared" si="3"/>
        <v>22000</v>
      </c>
      <c r="G722" s="442"/>
      <c r="H722" s="448">
        <v>18000</v>
      </c>
    </row>
    <row r="723" spans="1:8" ht="13.2">
      <c r="A723" s="454" t="s">
        <v>535</v>
      </c>
      <c r="B723" s="452" t="str">
        <f>VLOOKUP(A723,'Thống kê'!$C$3:$D$669,2,0)</f>
        <v>Trâm cài 27</v>
      </c>
      <c r="C723" s="436" t="str">
        <f>VLOOKUP(A723,'Thống kê'!$C$3:$E$682,3,0)</f>
        <v>cây</v>
      </c>
      <c r="D723" s="437">
        <f>VLOOKUP(A723,'Thống kê'!$C$3:$M$682,4,0)</f>
        <v>36340</v>
      </c>
      <c r="E723" s="438">
        <v>1</v>
      </c>
      <c r="F723" s="439">
        <f t="shared" si="3"/>
        <v>36340</v>
      </c>
      <c r="G723" s="442"/>
      <c r="H723" s="448">
        <v>29000</v>
      </c>
    </row>
    <row r="724" spans="1:8" ht="13.2">
      <c r="A724" s="454" t="s">
        <v>499</v>
      </c>
      <c r="B724" s="452" t="str">
        <f>VLOOKUP(A724,'Thống kê'!$C$3:$D$669,2,0)</f>
        <v>Trâm cài 09</v>
      </c>
      <c r="C724" s="436" t="str">
        <f>VLOOKUP(A724,'Thống kê'!$C$3:$E$682,3,0)</f>
        <v>cây</v>
      </c>
      <c r="D724" s="437">
        <f>VLOOKUP(A724,'Thống kê'!$C$3:$M$682,4,0)</f>
        <v>28520</v>
      </c>
      <c r="E724" s="438">
        <v>1</v>
      </c>
      <c r="F724" s="439">
        <f t="shared" si="3"/>
        <v>28520</v>
      </c>
      <c r="G724" s="442"/>
      <c r="H724" s="448">
        <v>25000</v>
      </c>
    </row>
    <row r="725" spans="1:8" ht="13.2">
      <c r="A725" s="454" t="s">
        <v>893</v>
      </c>
      <c r="B725" s="452" t="str">
        <f>VLOOKUP(A725,'Thống kê'!$C$3:$D$669,2,0)</f>
        <v>Heo ú bay</v>
      </c>
      <c r="C725" s="436" t="str">
        <f>VLOOKUP(A725,'Thống kê'!$C$3:$E$682,3,0)</f>
        <v>cái</v>
      </c>
      <c r="D725" s="437">
        <f>VLOOKUP(A725,'Thống kê'!$C$3:$M$682,4,0)</f>
        <v>64500</v>
      </c>
      <c r="E725" s="438">
        <v>2</v>
      </c>
      <c r="F725" s="439">
        <f t="shared" si="3"/>
        <v>129000</v>
      </c>
      <c r="G725" s="442"/>
      <c r="H725" s="447">
        <v>147257</v>
      </c>
    </row>
    <row r="726" spans="1:8" ht="13.2">
      <c r="A726" s="454" t="s">
        <v>889</v>
      </c>
      <c r="B726" s="452" t="str">
        <f>VLOOKUP(A726,'Thống kê'!$C$3:$D$669,2,0)</f>
        <v>Mèo ú bay</v>
      </c>
      <c r="C726" s="436" t="str">
        <f>VLOOKUP(A726,'Thống kê'!$C$3:$E$682,3,0)</f>
        <v>cái</v>
      </c>
      <c r="D726" s="437">
        <f>VLOOKUP(A726,'Thống kê'!$C$3:$M$682,4,0)</f>
        <v>64500</v>
      </c>
      <c r="E726" s="438">
        <v>1</v>
      </c>
      <c r="F726" s="439">
        <f t="shared" si="3"/>
        <v>64500</v>
      </c>
      <c r="G726" s="442"/>
      <c r="H726" s="446"/>
    </row>
    <row r="727" spans="1:8" ht="13.2">
      <c r="A727" s="454" t="s">
        <v>989</v>
      </c>
      <c r="B727" s="452" t="str">
        <f>VLOOKUP(A727,'Thống kê'!$C$3:$D$669,2,0)</f>
        <v>Móc khóa đôi 2 quả lê có nam châm</v>
      </c>
      <c r="C727" s="436" t="str">
        <f>VLOOKUP(A727,'Thống kê'!$C$3:$E$682,3,0)</f>
        <v>cái</v>
      </c>
      <c r="D727" s="437">
        <f>VLOOKUP(A727,'Thống kê'!$C$3:$M$682,4,0)</f>
        <v>59000</v>
      </c>
      <c r="E727" s="438">
        <v>1</v>
      </c>
      <c r="F727" s="439">
        <f t="shared" si="3"/>
        <v>59000</v>
      </c>
      <c r="G727" s="442"/>
      <c r="H727" s="448">
        <v>46668</v>
      </c>
    </row>
    <row r="728" spans="1:8" ht="13.2">
      <c r="A728" s="454" t="s">
        <v>905</v>
      </c>
      <c r="B728" s="452" t="str">
        <f>VLOOKUP(A728,'Thống kê'!$C$3:$D$669,2,0)</f>
        <v>Vịt ú bay</v>
      </c>
      <c r="C728" s="436" t="str">
        <f>VLOOKUP(A728,'Thống kê'!$C$3:$E$682,3,0)</f>
        <v>cái</v>
      </c>
      <c r="D728" s="437">
        <f>VLOOKUP(A728,'Thống kê'!$C$3:$M$682,4,0)</f>
        <v>64500</v>
      </c>
      <c r="E728" s="438">
        <v>1</v>
      </c>
      <c r="F728" s="439">
        <f t="shared" si="3"/>
        <v>64500</v>
      </c>
      <c r="G728" s="442"/>
      <c r="H728" s="447">
        <v>196344</v>
      </c>
    </row>
    <row r="729" spans="1:8" ht="13.2">
      <c r="A729" s="454" t="s">
        <v>893</v>
      </c>
      <c r="B729" s="452" t="str">
        <f>VLOOKUP(A729,'Thống kê'!$C$3:$D$669,2,0)</f>
        <v>Heo ú bay</v>
      </c>
      <c r="C729" s="436" t="str">
        <f>VLOOKUP(A729,'Thống kê'!$C$3:$E$682,3,0)</f>
        <v>cái</v>
      </c>
      <c r="D729" s="437">
        <f>VLOOKUP(A729,'Thống kê'!$C$3:$M$682,4,0)</f>
        <v>64500</v>
      </c>
      <c r="E729" s="438">
        <v>1</v>
      </c>
      <c r="F729" s="439">
        <f t="shared" si="3"/>
        <v>64500</v>
      </c>
      <c r="G729" s="442"/>
      <c r="H729" s="446"/>
    </row>
    <row r="730" spans="1:8" ht="13.2">
      <c r="A730" s="454" t="s">
        <v>889</v>
      </c>
      <c r="B730" s="452" t="str">
        <f>VLOOKUP(A730,'Thống kê'!$C$3:$D$669,2,0)</f>
        <v>Mèo ú bay</v>
      </c>
      <c r="C730" s="436" t="str">
        <f>VLOOKUP(A730,'Thống kê'!$C$3:$E$682,3,0)</f>
        <v>cái</v>
      </c>
      <c r="D730" s="437">
        <f>VLOOKUP(A730,'Thống kê'!$C$3:$M$682,4,0)</f>
        <v>64500</v>
      </c>
      <c r="E730" s="438">
        <v>1</v>
      </c>
      <c r="F730" s="439">
        <f t="shared" si="3"/>
        <v>64500</v>
      </c>
      <c r="G730" s="442"/>
      <c r="H730" s="446"/>
    </row>
    <row r="731" spans="1:8" ht="13.2">
      <c r="A731" s="454" t="s">
        <v>897</v>
      </c>
      <c r="B731" s="452" t="str">
        <f>VLOOKUP(A731,'Thống kê'!$C$3:$D$669,2,0)</f>
        <v>Thỏ ú bay</v>
      </c>
      <c r="C731" s="436" t="str">
        <f>VLOOKUP(A731,'Thống kê'!$C$3:$E$682,3,0)</f>
        <v>cái</v>
      </c>
      <c r="D731" s="437">
        <f>VLOOKUP(A731,'Thống kê'!$C$3:$M$682,4,0)</f>
        <v>64500</v>
      </c>
      <c r="E731" s="438">
        <v>1</v>
      </c>
      <c r="F731" s="439">
        <f t="shared" si="3"/>
        <v>64500</v>
      </c>
      <c r="G731" s="442"/>
      <c r="H731" s="446"/>
    </row>
    <row r="732" spans="1:8" ht="13.2">
      <c r="A732" s="454" t="s">
        <v>891</v>
      </c>
      <c r="B732" s="452" t="str">
        <f>VLOOKUP(A732,'Thống kê'!$C$3:$D$669,2,0)</f>
        <v>Heo ú</v>
      </c>
      <c r="C732" s="436" t="str">
        <f>VLOOKUP(A732,'Thống kê'!$C$3:$E$682,3,0)</f>
        <v>cái</v>
      </c>
      <c r="D732" s="437">
        <f>VLOOKUP(A732,'Thống kê'!$C$3:$M$682,4,0)</f>
        <v>59500</v>
      </c>
      <c r="E732" s="438">
        <v>1</v>
      </c>
      <c r="F732" s="439">
        <f t="shared" si="3"/>
        <v>59500</v>
      </c>
      <c r="G732" s="442"/>
      <c r="H732" s="448">
        <v>48111</v>
      </c>
    </row>
    <row r="733" spans="1:8" ht="13.2">
      <c r="A733" s="454" t="s">
        <v>1716</v>
      </c>
      <c r="B733" s="452" t="str">
        <f>VLOOKUP(A733,'Thống kê'!$C$3:$D$669,2,0)</f>
        <v>Móc khóa đôi 2 quả lê có nam châm</v>
      </c>
      <c r="C733" s="436" t="str">
        <f>VLOOKUP(A733,'Thống kê'!$C$3:$E$682,3,0)</f>
        <v>cái</v>
      </c>
      <c r="D733" s="437">
        <f>VLOOKUP(A733,'Thống kê'!$C$3:$M$682,4,0)</f>
        <v>59000</v>
      </c>
      <c r="E733" s="438">
        <v>1</v>
      </c>
      <c r="F733" s="439">
        <f t="shared" si="3"/>
        <v>59000</v>
      </c>
      <c r="G733" s="442"/>
      <c r="H733" s="448">
        <v>51200</v>
      </c>
    </row>
    <row r="734" spans="1:8" ht="13.2">
      <c r="A734" s="454" t="s">
        <v>1716</v>
      </c>
      <c r="B734" s="452" t="str">
        <f>VLOOKUP(A734,'Thống kê'!$C$3:$D$669,2,0)</f>
        <v>Móc khóa đôi 2 quả lê có nam châm</v>
      </c>
      <c r="C734" s="436" t="str">
        <f>VLOOKUP(A734,'Thống kê'!$C$3:$E$682,3,0)</f>
        <v>cái</v>
      </c>
      <c r="D734" s="437">
        <f>VLOOKUP(A734,'Thống kê'!$C$3:$M$682,4,0)</f>
        <v>59000</v>
      </c>
      <c r="E734" s="438">
        <v>2</v>
      </c>
      <c r="F734" s="439">
        <f t="shared" si="3"/>
        <v>118000</v>
      </c>
      <c r="G734" s="442" t="s">
        <v>1809</v>
      </c>
      <c r="H734" s="448">
        <v>0</v>
      </c>
    </row>
    <row r="735" spans="1:8" ht="13.2">
      <c r="A735" s="454" t="s">
        <v>1908</v>
      </c>
      <c r="B735" s="452" t="str">
        <f>VLOOKUP(A735,'Thống kê'!$C$3:$D$669,2,0)</f>
        <v>Kẹp tóc trắng</v>
      </c>
      <c r="C735" s="436" t="str">
        <f>VLOOKUP(A735,'Thống kê'!$C$3:$E$682,3,0)</f>
        <v>cái</v>
      </c>
      <c r="D735" s="437">
        <f>VLOOKUP(A735,'Thống kê'!$C$3:$M$682,4,0)</f>
        <v>14000</v>
      </c>
      <c r="E735" s="438">
        <v>1</v>
      </c>
      <c r="F735" s="439">
        <f t="shared" si="3"/>
        <v>14000</v>
      </c>
      <c r="G735" s="442"/>
      <c r="H735" s="447">
        <v>54497</v>
      </c>
    </row>
    <row r="736" spans="1:8" ht="13.2">
      <c r="A736" s="454" t="s">
        <v>1909</v>
      </c>
      <c r="B736" s="452" t="str">
        <f>VLOOKUP(A736,'Thống kê'!$C$3:$D$669,2,0)</f>
        <v>Kẹp tóc hồng</v>
      </c>
      <c r="C736" s="436" t="str">
        <f>VLOOKUP(A736,'Thống kê'!$C$3:$E$682,3,0)</f>
        <v>cái</v>
      </c>
      <c r="D736" s="437">
        <f>VLOOKUP(A736,'Thống kê'!$C$3:$M$682,4,0)</f>
        <v>14000</v>
      </c>
      <c r="E736" s="438">
        <v>1</v>
      </c>
      <c r="F736" s="439">
        <f t="shared" si="3"/>
        <v>14000</v>
      </c>
      <c r="G736" s="442"/>
      <c r="H736" s="446"/>
    </row>
    <row r="737" spans="1:8" ht="13.2">
      <c r="A737" s="454" t="s">
        <v>1910</v>
      </c>
      <c r="B737" s="452" t="str">
        <f>VLOOKUP(A737,'Thống kê'!$C$3:$D$669,2,0)</f>
        <v>Vớ cổ cao full hồng</v>
      </c>
      <c r="C737" s="436" t="str">
        <f>VLOOKUP(A737,'Thống kê'!$C$3:$E$682,3,0)</f>
        <v>đôi</v>
      </c>
      <c r="D737" s="437">
        <f>VLOOKUP(A737,'Thống kê'!$C$3:$M$682,4,0)</f>
        <v>15900</v>
      </c>
      <c r="E737" s="438">
        <v>1</v>
      </c>
      <c r="F737" s="439">
        <f t="shared" si="3"/>
        <v>15900</v>
      </c>
      <c r="G737" s="442"/>
      <c r="H737" s="446"/>
    </row>
    <row r="738" spans="1:8" ht="13.2">
      <c r="A738" s="454" t="s">
        <v>1911</v>
      </c>
      <c r="B738" s="452" t="str">
        <f>VLOOKUP(A738,'Thống kê'!$C$3:$D$669,2,0)</f>
        <v>Vớ cổ cao trắng hoa hồng</v>
      </c>
      <c r="C738" s="436" t="str">
        <f>VLOOKUP(A738,'Thống kê'!$C$3:$E$682,3,0)</f>
        <v>đôi</v>
      </c>
      <c r="D738" s="437">
        <f>VLOOKUP(A738,'Thống kê'!$C$3:$M$682,4,0)</f>
        <v>19800</v>
      </c>
      <c r="E738" s="438">
        <v>1</v>
      </c>
      <c r="F738" s="439">
        <f t="shared" si="3"/>
        <v>19800</v>
      </c>
      <c r="G738" s="442"/>
      <c r="H738" s="446"/>
    </row>
    <row r="739" spans="1:8" ht="13.2">
      <c r="A739" s="454" t="s">
        <v>1912</v>
      </c>
      <c r="B739" s="452" t="str">
        <f>VLOOKUP(A739,'Thống kê'!$C$3:$D$669,2,0)</f>
        <v>Kẹp tóc hoa lan 01</v>
      </c>
      <c r="C739" s="436" t="str">
        <f>VLOOKUP(A739,'Thống kê'!$C$3:$E$682,3,0)</f>
        <v>cái</v>
      </c>
      <c r="D739" s="437">
        <f>VLOOKUP(A739,'Thống kê'!$C$3:$M$682,4,0)</f>
        <v>19680</v>
      </c>
      <c r="E739" s="438">
        <v>1</v>
      </c>
      <c r="F739" s="439">
        <f t="shared" si="3"/>
        <v>19680</v>
      </c>
      <c r="G739" s="442"/>
      <c r="H739" s="448">
        <v>10000</v>
      </c>
    </row>
    <row r="740" spans="1:8" ht="13.2">
      <c r="A740" s="454" t="s">
        <v>1913</v>
      </c>
      <c r="B740" s="452" t="str">
        <f>VLOOKUP(A740,'Thống kê'!$C$3:$D$669,2,0)</f>
        <v>Kẹp càng cua lông hình gấu nâu gấu trắng</v>
      </c>
      <c r="C740" s="436" t="str">
        <f>VLOOKUP(A740,'Thống kê'!$C$3:$E$682,3,0)</f>
        <v>cái</v>
      </c>
      <c r="D740" s="437">
        <f>VLOOKUP(A740,'Thống kê'!$C$3:$M$682,4,0)</f>
        <v>18000</v>
      </c>
      <c r="E740" s="438">
        <v>1</v>
      </c>
      <c r="F740" s="439">
        <f t="shared" si="3"/>
        <v>18000</v>
      </c>
      <c r="G740" s="442"/>
      <c r="H740" s="448">
        <v>15000</v>
      </c>
    </row>
    <row r="741" spans="1:8" ht="13.2">
      <c r="A741" s="454" t="s">
        <v>1616</v>
      </c>
      <c r="B741" s="452" t="str">
        <f>VLOOKUP(A741,'Thống kê'!$C$3:$D$669,2,0)</f>
        <v>Kẹp tóc bướm hồng phấn</v>
      </c>
      <c r="C741" s="436" t="str">
        <f>VLOOKUP(A741,'Thống kê'!$C$3:$E$682,3,0)</f>
        <v>cái</v>
      </c>
      <c r="D741" s="437">
        <f>VLOOKUP(A741,'Thống kê'!$C$3:$M$682,4,0)</f>
        <v>40000</v>
      </c>
      <c r="E741" s="438">
        <v>1</v>
      </c>
      <c r="F741" s="439">
        <f t="shared" si="3"/>
        <v>40000</v>
      </c>
      <c r="G741" s="442"/>
      <c r="H741" s="448">
        <v>28000</v>
      </c>
    </row>
    <row r="742" spans="1:8" ht="13.2">
      <c r="A742" s="454" t="s">
        <v>1617</v>
      </c>
      <c r="B742" s="452" t="str">
        <f>VLOOKUP(A742,'Thống kê'!$C$3:$D$669,2,0)</f>
        <v xml:space="preserve">Kẹp tóc bướm hồng </v>
      </c>
      <c r="C742" s="436" t="str">
        <f>VLOOKUP(A742,'Thống kê'!$C$3:$E$682,3,0)</f>
        <v>cái</v>
      </c>
      <c r="D742" s="437">
        <f>VLOOKUP(A742,'Thống kê'!$C$3:$M$682,4,0)</f>
        <v>40000</v>
      </c>
      <c r="E742" s="438">
        <v>1</v>
      </c>
      <c r="F742" s="439">
        <f t="shared" si="3"/>
        <v>40000</v>
      </c>
      <c r="G742" s="442"/>
      <c r="H742" s="448">
        <v>28000</v>
      </c>
    </row>
    <row r="743" spans="1:8" ht="13.2">
      <c r="A743" s="454" t="s">
        <v>1614</v>
      </c>
      <c r="B743" s="452" t="str">
        <f>VLOOKUP(A743,'Thống kê'!$C$3:$D$669,2,0)</f>
        <v>Kẹp tóc bướm xanh ngọc</v>
      </c>
      <c r="C743" s="436" t="str">
        <f>VLOOKUP(A743,'Thống kê'!$C$3:$E$682,3,0)</f>
        <v>cái</v>
      </c>
      <c r="D743" s="437">
        <f>VLOOKUP(A743,'Thống kê'!$C$3:$M$682,4,0)</f>
        <v>38000</v>
      </c>
      <c r="E743" s="438">
        <v>1</v>
      </c>
      <c r="F743" s="439">
        <f t="shared" si="3"/>
        <v>38000</v>
      </c>
      <c r="G743" s="442"/>
      <c r="H743" s="448">
        <v>28000</v>
      </c>
    </row>
    <row r="744" spans="1:8" ht="13.2">
      <c r="A744" s="454" t="s">
        <v>1613</v>
      </c>
      <c r="B744" s="452" t="str">
        <f>VLOOKUP(A744,'Thống kê'!$C$3:$D$669,2,0)</f>
        <v>Kẹp tóc bướm xanh tím</v>
      </c>
      <c r="C744" s="436" t="str">
        <f>VLOOKUP(A744,'Thống kê'!$C$3:$E$682,3,0)</f>
        <v>cái</v>
      </c>
      <c r="D744" s="437">
        <f>VLOOKUP(A744,'Thống kê'!$C$3:$M$682,4,0)</f>
        <v>40000</v>
      </c>
      <c r="E744" s="438">
        <v>1</v>
      </c>
      <c r="F744" s="439">
        <f t="shared" si="3"/>
        <v>40000</v>
      </c>
      <c r="G744" s="442"/>
      <c r="H744" s="448">
        <v>28000</v>
      </c>
    </row>
    <row r="745" spans="1:8" ht="13.2">
      <c r="A745" s="454" t="s">
        <v>1615</v>
      </c>
      <c r="B745" s="452" t="str">
        <f>VLOOKUP(A745,'Thống kê'!$C$3:$D$669,2,0)</f>
        <v>Kẹp tóc bướm tím</v>
      </c>
      <c r="C745" s="436" t="str">
        <f>VLOOKUP(A745,'Thống kê'!$C$3:$E$682,3,0)</f>
        <v>cái</v>
      </c>
      <c r="D745" s="437">
        <f>VLOOKUP(A745,'Thống kê'!$C$3:$M$682,4,0)</f>
        <v>40000</v>
      </c>
      <c r="E745" s="438">
        <v>1</v>
      </c>
      <c r="F745" s="439">
        <f t="shared" si="3"/>
        <v>40000</v>
      </c>
      <c r="G745" s="442"/>
      <c r="H745" s="448">
        <v>28000</v>
      </c>
    </row>
    <row r="746" spans="1:8" ht="13.2">
      <c r="A746" s="454" t="s">
        <v>1612</v>
      </c>
      <c r="B746" s="452" t="str">
        <f>VLOOKUP(A746,'Thống kê'!$C$3:$D$669,2,0)</f>
        <v>Kẹp tóc bướm trắng</v>
      </c>
      <c r="C746" s="436" t="str">
        <f>VLOOKUP(A746,'Thống kê'!$C$3:$E$682,3,0)</f>
        <v>cái</v>
      </c>
      <c r="D746" s="437">
        <f>VLOOKUP(A746,'Thống kê'!$C$3:$M$682,4,0)</f>
        <v>40000</v>
      </c>
      <c r="E746" s="438">
        <v>1</v>
      </c>
      <c r="F746" s="439">
        <f t="shared" si="3"/>
        <v>40000</v>
      </c>
      <c r="G746" s="442"/>
      <c r="H746" s="448">
        <v>28000</v>
      </c>
    </row>
    <row r="747" spans="1:8" ht="13.2">
      <c r="A747" s="454" t="s">
        <v>1625</v>
      </c>
      <c r="B747" s="452" t="str">
        <f>VLOOKUP(A747,'Thống kê'!$C$3:$D$669,2,0)</f>
        <v>Móc khóa đôi 2 mèo trắng nâu</v>
      </c>
      <c r="C747" s="436" t="str">
        <f>VLOOKUP(A747,'Thống kê'!$C$3:$E$682,3,0)</f>
        <v>cái</v>
      </c>
      <c r="D747" s="437">
        <f>VLOOKUP(A747,'Thống kê'!$C$3:$M$682,4,0)</f>
        <v>59000</v>
      </c>
      <c r="E747" s="438">
        <v>1</v>
      </c>
      <c r="F747" s="439">
        <f t="shared" si="3"/>
        <v>59000</v>
      </c>
      <c r="G747" s="442"/>
      <c r="H747" s="448">
        <v>51760</v>
      </c>
    </row>
    <row r="748" spans="1:8" ht="13.2">
      <c r="A748" s="454" t="s">
        <v>115</v>
      </c>
      <c r="B748" s="452" t="str">
        <f>VLOOKUP(A748,'Thống kê'!$C$3:$D$669,2,0)</f>
        <v>Heo ú</v>
      </c>
      <c r="C748" s="436" t="str">
        <f>VLOOKUP(A748,'Thống kê'!$C$3:$E$682,3,0)</f>
        <v>cái</v>
      </c>
      <c r="D748" s="437">
        <f>VLOOKUP(A748,'Thống kê'!$C$3:$M$682,4,0)</f>
        <v>59500</v>
      </c>
      <c r="E748" s="438">
        <v>1</v>
      </c>
      <c r="F748" s="439">
        <f t="shared" si="3"/>
        <v>59500</v>
      </c>
      <c r="G748" s="442"/>
      <c r="H748" s="448">
        <v>47831</v>
      </c>
    </row>
    <row r="749" spans="1:8" ht="13.2">
      <c r="A749" s="458" t="s">
        <v>933</v>
      </c>
      <c r="B749" s="452" t="str">
        <f>VLOOKUP(A749,'Thống kê'!$C$3:$D$669,2,0)</f>
        <v>Kẹp khuếch tán tinh dầu gấu dâu</v>
      </c>
      <c r="C749" s="436" t="str">
        <f>VLOOKUP(A749,'Thống kê'!$C$3:$E$682,3,0)</f>
        <v>cái</v>
      </c>
      <c r="D749" s="437">
        <f>VLOOKUP(A749,'Thống kê'!$C$3:$M$682,4,0)</f>
        <v>173550</v>
      </c>
      <c r="E749" s="438">
        <v>1</v>
      </c>
      <c r="F749" s="439">
        <f t="shared" si="3"/>
        <v>173550</v>
      </c>
      <c r="G749" s="442"/>
      <c r="H749" s="447">
        <v>140706</v>
      </c>
    </row>
    <row r="750" spans="1:8" ht="13.2">
      <c r="A750" s="454" t="s">
        <v>939</v>
      </c>
      <c r="B750" s="452" t="str">
        <f>VLOOKUP(A750,'Thống kê'!$C$3:$D$669,2,0)</f>
        <v>10 túi viên khuếch tán tinh dầu</v>
      </c>
      <c r="C750" s="436" t="str">
        <f>VLOOKUP(A750,'Thống kê'!$C$3:$E$682,3,0)</f>
        <v>túi</v>
      </c>
      <c r="D750" s="437">
        <f>VLOOKUP(A750,'Thống kê'!$C$3:$M$682,4,0)</f>
        <v>45000</v>
      </c>
      <c r="E750" s="438">
        <v>1</v>
      </c>
      <c r="F750" s="439">
        <f t="shared" si="3"/>
        <v>45000</v>
      </c>
      <c r="G750" s="442"/>
      <c r="H750" s="446"/>
    </row>
    <row r="751" spans="1:8" ht="13.2">
      <c r="A751" s="454" t="s">
        <v>949</v>
      </c>
      <c r="B751" s="452" t="str">
        <f>VLOOKUP(A751,'Thống kê'!$C$3:$D$669,2,0)</f>
        <v>Viên khuếch tán tinh dầu 05 ( ocean )</v>
      </c>
      <c r="C751" s="436" t="str">
        <f>VLOOKUP(A751,'Thống kê'!$C$3:$E$682,3,0)</f>
        <v>cái</v>
      </c>
      <c r="D751" s="437">
        <f>VLOOKUP(A751,'Thống kê'!$C$3:$M$682,4,0)</f>
        <v>8000</v>
      </c>
      <c r="E751" s="438">
        <v>1</v>
      </c>
      <c r="F751" s="439">
        <f t="shared" si="3"/>
        <v>8000</v>
      </c>
      <c r="G751" s="442"/>
      <c r="H751" s="446"/>
    </row>
    <row r="752" spans="1:8" ht="13.2">
      <c r="A752" s="454" t="s">
        <v>1622</v>
      </c>
      <c r="B752" s="452" t="str">
        <f>VLOOKUP(A752,'Thống kê'!$C$3:$D$669,2,0)</f>
        <v>Mô hình mèo 1</v>
      </c>
      <c r="C752" s="436" t="str">
        <f>VLOOKUP(A752,'Thống kê'!$C$3:$E$682,3,0)</f>
        <v>cái</v>
      </c>
      <c r="D752" s="437">
        <f>VLOOKUP(A752,'Thống kê'!$C$3:$M$682,4,0)</f>
        <v>37800</v>
      </c>
      <c r="E752" s="438">
        <v>1</v>
      </c>
      <c r="F752" s="439">
        <f t="shared" si="3"/>
        <v>37800</v>
      </c>
      <c r="G752" s="442"/>
      <c r="H752" s="448">
        <v>33663</v>
      </c>
    </row>
    <row r="753" spans="1:8" ht="13.2">
      <c r="A753" s="454" t="s">
        <v>227</v>
      </c>
      <c r="B753" s="452" t="str">
        <f>VLOOKUP(A753,'Thống kê'!$C$3:$D$669,2,0)</f>
        <v>Móc khóa đôi corgy</v>
      </c>
      <c r="C753" s="436" t="str">
        <f>VLOOKUP(A753,'Thống kê'!$C$3:$E$682,3,0)</f>
        <v>cái</v>
      </c>
      <c r="D753" s="437">
        <f>VLOOKUP(A753,'Thống kê'!$C$3:$M$682,4,0)</f>
        <v>56580</v>
      </c>
      <c r="E753" s="438">
        <v>1</v>
      </c>
      <c r="F753" s="439">
        <f t="shared" si="3"/>
        <v>56580</v>
      </c>
      <c r="G753" s="442"/>
      <c r="H753" s="448">
        <v>49791</v>
      </c>
    </row>
    <row r="754" spans="1:8" ht="13.2">
      <c r="A754" s="454" t="s">
        <v>1625</v>
      </c>
      <c r="B754" s="452" t="str">
        <f>VLOOKUP(A754,'Thống kê'!$C$3:$D$669,2,0)</f>
        <v>Móc khóa đôi 2 mèo trắng nâu</v>
      </c>
      <c r="C754" s="436" t="str">
        <f>VLOOKUP(A754,'Thống kê'!$C$3:$E$682,3,0)</f>
        <v>cái</v>
      </c>
      <c r="D754" s="437">
        <f>VLOOKUP(A754,'Thống kê'!$C$3:$M$682,4,0)</f>
        <v>59000</v>
      </c>
      <c r="E754" s="438">
        <v>1</v>
      </c>
      <c r="F754" s="439">
        <f t="shared" si="3"/>
        <v>59000</v>
      </c>
      <c r="G754" s="442"/>
      <c r="H754" s="448">
        <v>51860</v>
      </c>
    </row>
    <row r="755" spans="1:8" ht="13.2">
      <c r="A755" s="454" t="s">
        <v>1716</v>
      </c>
      <c r="B755" s="452" t="str">
        <f>VLOOKUP(A755,'Thống kê'!$C$3:$D$669,2,0)</f>
        <v>Móc khóa đôi 2 quả lê có nam châm</v>
      </c>
      <c r="C755" s="436" t="str">
        <f>VLOOKUP(A755,'Thống kê'!$C$3:$E$682,3,0)</f>
        <v>cái</v>
      </c>
      <c r="D755" s="437">
        <f>VLOOKUP(A755,'Thống kê'!$C$3:$M$682,4,0)</f>
        <v>59000</v>
      </c>
      <c r="E755" s="438">
        <v>1</v>
      </c>
      <c r="F755" s="439">
        <f t="shared" si="3"/>
        <v>59000</v>
      </c>
      <c r="G755" s="442"/>
      <c r="H755" s="448">
        <v>51400</v>
      </c>
    </row>
    <row r="756" spans="1:8" ht="13.2">
      <c r="A756" s="454" t="s">
        <v>128</v>
      </c>
      <c r="B756" s="452" t="str">
        <f>VLOOKUP(A756,'Thống kê'!$C$3:$D$669,2,0)</f>
        <v>Mèo ú bay</v>
      </c>
      <c r="C756" s="436" t="str">
        <f>VLOOKUP(A756,'Thống kê'!$C$3:$E$682,3,0)</f>
        <v>cái</v>
      </c>
      <c r="D756" s="437">
        <f>VLOOKUP(A756,'Thống kê'!$C$3:$M$682,4,0)</f>
        <v>64500</v>
      </c>
      <c r="E756" s="438">
        <v>1</v>
      </c>
      <c r="F756" s="439">
        <f t="shared" si="3"/>
        <v>64500</v>
      </c>
      <c r="G756" s="442"/>
      <c r="H756" s="448">
        <v>52219</v>
      </c>
    </row>
    <row r="757" spans="1:8" ht="13.2">
      <c r="A757" s="454" t="s">
        <v>1716</v>
      </c>
      <c r="B757" s="452" t="str">
        <f>VLOOKUP(A757,'Thống kê'!$C$3:$D$669,2,0)</f>
        <v>Móc khóa đôi 2 quả lê có nam châm</v>
      </c>
      <c r="C757" s="436" t="str">
        <f>VLOOKUP(A757,'Thống kê'!$C$3:$E$682,3,0)</f>
        <v>cái</v>
      </c>
      <c r="D757" s="437">
        <f>VLOOKUP(A757,'Thống kê'!$C$3:$M$682,4,0)</f>
        <v>59000</v>
      </c>
      <c r="E757" s="438">
        <v>1</v>
      </c>
      <c r="F757" s="439">
        <f t="shared" si="3"/>
        <v>59000</v>
      </c>
      <c r="G757" s="442"/>
      <c r="H757" s="448">
        <v>51860</v>
      </c>
    </row>
    <row r="758" spans="1:8" ht="13.2">
      <c r="A758" s="454" t="s">
        <v>1622</v>
      </c>
      <c r="B758" s="452" t="str">
        <f>VLOOKUP(A758,'Thống kê'!$C$3:$D$669,2,0)</f>
        <v>Mô hình mèo 1</v>
      </c>
      <c r="C758" s="436" t="str">
        <f>VLOOKUP(A758,'Thống kê'!$C$3:$E$682,3,0)</f>
        <v>cái</v>
      </c>
      <c r="D758" s="437">
        <f>VLOOKUP(A758,'Thống kê'!$C$3:$M$682,4,0)</f>
        <v>37800</v>
      </c>
      <c r="E758" s="438">
        <v>1</v>
      </c>
      <c r="F758" s="439">
        <f t="shared" si="3"/>
        <v>37800</v>
      </c>
      <c r="G758" s="442"/>
      <c r="H758" s="447">
        <v>199388</v>
      </c>
    </row>
    <row r="759" spans="1:8" ht="13.2">
      <c r="A759" s="454" t="s">
        <v>1621</v>
      </c>
      <c r="B759" s="452" t="str">
        <f>VLOOKUP(A759,'Thống kê'!$C$3:$D$669,2,0)</f>
        <v>Mô hình mèo 2</v>
      </c>
      <c r="C759" s="436" t="str">
        <f>VLOOKUP(A759,'Thống kê'!$C$3:$E$682,3,0)</f>
        <v>cái</v>
      </c>
      <c r="D759" s="437">
        <f>VLOOKUP(A759,'Thống kê'!$C$3:$M$682,4,0)</f>
        <v>37800</v>
      </c>
      <c r="E759" s="438">
        <v>1</v>
      </c>
      <c r="F759" s="439">
        <f t="shared" si="3"/>
        <v>37800</v>
      </c>
      <c r="G759" s="442"/>
      <c r="H759" s="446"/>
    </row>
    <row r="760" spans="1:8" ht="13.2">
      <c r="A760" s="454" t="s">
        <v>1636</v>
      </c>
      <c r="B760" s="452" t="str">
        <f>VLOOKUP(A760,'Thống kê'!$C$3:$D$669,2,0)</f>
        <v>Mô hình mèo 3</v>
      </c>
      <c r="C760" s="436" t="str">
        <f>VLOOKUP(A760,'Thống kê'!$C$3:$E$682,3,0)</f>
        <v>cái</v>
      </c>
      <c r="D760" s="437">
        <f>VLOOKUP(A760,'Thống kê'!$C$3:$M$682,4,0)</f>
        <v>37800</v>
      </c>
      <c r="E760" s="438">
        <v>1</v>
      </c>
      <c r="F760" s="439">
        <f t="shared" si="3"/>
        <v>37800</v>
      </c>
      <c r="G760" s="442"/>
      <c r="H760" s="446"/>
    </row>
    <row r="761" spans="1:8" ht="13.2">
      <c r="A761" s="454" t="s">
        <v>1635</v>
      </c>
      <c r="B761" s="452" t="str">
        <f>VLOOKUP(A761,'Thống kê'!$C$3:$D$669,2,0)</f>
        <v>Mô hình mèo 4</v>
      </c>
      <c r="C761" s="436" t="str">
        <f>VLOOKUP(A761,'Thống kê'!$C$3:$E$682,3,0)</f>
        <v>cái</v>
      </c>
      <c r="D761" s="437">
        <f>VLOOKUP(A761,'Thống kê'!$C$3:$M$682,4,0)</f>
        <v>37800</v>
      </c>
      <c r="E761" s="438">
        <v>1</v>
      </c>
      <c r="F761" s="439">
        <f t="shared" si="3"/>
        <v>37800</v>
      </c>
      <c r="G761" s="442"/>
      <c r="H761" s="446"/>
    </row>
    <row r="762" spans="1:8" ht="13.2">
      <c r="A762" s="454" t="s">
        <v>1623</v>
      </c>
      <c r="B762" s="452" t="str">
        <f>VLOOKUP(A762,'Thống kê'!$C$3:$D$669,2,0)</f>
        <v>Mô hình mèo 5</v>
      </c>
      <c r="C762" s="436" t="str">
        <f>VLOOKUP(A762,'Thống kê'!$C$3:$E$682,3,0)</f>
        <v>cái</v>
      </c>
      <c r="D762" s="437">
        <f>VLOOKUP(A762,'Thống kê'!$C$3:$M$682,4,0)</f>
        <v>37800</v>
      </c>
      <c r="E762" s="438">
        <v>1</v>
      </c>
      <c r="F762" s="439">
        <f t="shared" si="3"/>
        <v>37800</v>
      </c>
      <c r="G762" s="442"/>
      <c r="H762" s="446"/>
    </row>
    <row r="763" spans="1:8" ht="13.2">
      <c r="A763" s="454" t="s">
        <v>1914</v>
      </c>
      <c r="B763" s="452" t="str">
        <f>VLOOKUP(A763,'Thống kê'!$C$3:$D$669,2,0)</f>
        <v>Mô hình trái cây 12</v>
      </c>
      <c r="C763" s="436" t="str">
        <f>VLOOKUP(A763,'Thống kê'!$C$3:$E$682,3,0)</f>
        <v>cái</v>
      </c>
      <c r="D763" s="437">
        <f>VLOOKUP(A763,'Thống kê'!$C$3:$M$682,4,0)</f>
        <v>39000</v>
      </c>
      <c r="E763" s="438">
        <v>1</v>
      </c>
      <c r="F763" s="439">
        <f t="shared" si="3"/>
        <v>39000</v>
      </c>
      <c r="G763" s="442"/>
      <c r="H763" s="446"/>
    </row>
    <row r="764" spans="1:8" ht="13.2">
      <c r="A764" s="454" t="s">
        <v>1625</v>
      </c>
      <c r="B764" s="452" t="str">
        <f>VLOOKUP(A764,'Thống kê'!$C$3:$D$669,2,0)</f>
        <v>Móc khóa đôi 2 mèo trắng nâu</v>
      </c>
      <c r="C764" s="436" t="str">
        <f>VLOOKUP(A764,'Thống kê'!$C$3:$E$682,3,0)</f>
        <v>cái</v>
      </c>
      <c r="D764" s="437">
        <f>VLOOKUP(A764,'Thống kê'!$C$3:$M$682,4,0)</f>
        <v>59000</v>
      </c>
      <c r="E764" s="438">
        <v>1</v>
      </c>
      <c r="F764" s="439">
        <f t="shared" si="3"/>
        <v>59000</v>
      </c>
      <c r="G764" s="442"/>
      <c r="H764" s="448">
        <v>46668</v>
      </c>
    </row>
    <row r="765" spans="1:8" ht="13.2">
      <c r="A765" s="454" t="s">
        <v>115</v>
      </c>
      <c r="B765" s="452" t="str">
        <f>VLOOKUP(A765,'Thống kê'!$C$3:$D$669,2,0)</f>
        <v>Heo ú</v>
      </c>
      <c r="C765" s="436" t="str">
        <f>VLOOKUP(A765,'Thống kê'!$C$3:$E$682,3,0)</f>
        <v>cái</v>
      </c>
      <c r="D765" s="437">
        <f>VLOOKUP(A765,'Thống kê'!$C$3:$M$682,4,0)</f>
        <v>59500</v>
      </c>
      <c r="E765" s="438">
        <v>1</v>
      </c>
      <c r="F765" s="439">
        <f t="shared" si="3"/>
        <v>59500</v>
      </c>
      <c r="G765" s="442"/>
      <c r="H765" s="448">
        <v>48171</v>
      </c>
    </row>
    <row r="766" spans="1:8" ht="13.2">
      <c r="A766" s="454" t="s">
        <v>231</v>
      </c>
      <c r="B766" s="452" t="str">
        <f>VLOOKUP(A766,'Thống kê'!$C$3:$D$669,2,0)</f>
        <v>Móc khóa đôi gấu trúc</v>
      </c>
      <c r="C766" s="436" t="str">
        <f>VLOOKUP(A766,'Thống kê'!$C$3:$E$682,3,0)</f>
        <v>cái</v>
      </c>
      <c r="D766" s="437">
        <f>VLOOKUP(A766,'Thống kê'!$C$3:$M$682,4,0)</f>
        <v>56580</v>
      </c>
      <c r="E766" s="438">
        <v>1</v>
      </c>
      <c r="F766" s="439">
        <f t="shared" si="3"/>
        <v>56580</v>
      </c>
      <c r="G766" s="442"/>
      <c r="H766" s="448">
        <v>49731</v>
      </c>
    </row>
    <row r="767" spans="1:8" ht="13.2">
      <c r="A767" s="454" t="s">
        <v>115</v>
      </c>
      <c r="B767" s="452" t="str">
        <f>VLOOKUP(A767,'Thống kê'!$C$3:$D$669,2,0)</f>
        <v>Heo ú</v>
      </c>
      <c r="C767" s="436" t="str">
        <f>VLOOKUP(A767,'Thống kê'!$C$3:$E$682,3,0)</f>
        <v>cái</v>
      </c>
      <c r="D767" s="437">
        <f>VLOOKUP(A767,'Thống kê'!$C$3:$M$682,4,0)</f>
        <v>59500</v>
      </c>
      <c r="E767" s="438">
        <v>1</v>
      </c>
      <c r="F767" s="439">
        <f t="shared" si="3"/>
        <v>59500</v>
      </c>
      <c r="G767" s="442"/>
      <c r="H767" s="448">
        <v>47451</v>
      </c>
    </row>
    <row r="768" spans="1:8" ht="13.2">
      <c r="A768" s="454" t="s">
        <v>1915</v>
      </c>
      <c r="B768" s="452" t="str">
        <f>VLOOKUP(A768,'Thống kê'!$C$3:$D$669,2,0)</f>
        <v>Kẹp tóc bướm trắng</v>
      </c>
      <c r="C768" s="436" t="str">
        <f>VLOOKUP(A768,'Thống kê'!$C$3:$E$682,3,0)</f>
        <v>cái</v>
      </c>
      <c r="D768" s="437">
        <f>VLOOKUP(A768,'Thống kê'!$C$3:$M$682,4,0)</f>
        <v>19000</v>
      </c>
      <c r="E768" s="438">
        <v>1</v>
      </c>
      <c r="F768" s="439">
        <f t="shared" si="3"/>
        <v>19000</v>
      </c>
      <c r="G768" s="442"/>
      <c r="H768" s="447">
        <v>93104</v>
      </c>
    </row>
    <row r="769" spans="1:8" ht="13.2">
      <c r="A769" s="454" t="s">
        <v>1916</v>
      </c>
      <c r="B769" s="452" t="str">
        <f>VLOOKUP(A769,'Thống kê'!$C$3:$D$669,2,0)</f>
        <v>Vớ trắng mỏng nhiều hoa</v>
      </c>
      <c r="C769" s="436" t="str">
        <f>VLOOKUP(A769,'Thống kê'!$C$3:$E$682,3,0)</f>
        <v>đôi</v>
      </c>
      <c r="D769" s="437">
        <f>VLOOKUP(A769,'Thống kê'!$C$3:$M$682,4,0)</f>
        <v>9900</v>
      </c>
      <c r="E769" s="438">
        <v>1</v>
      </c>
      <c r="F769" s="439">
        <f t="shared" si="3"/>
        <v>9900</v>
      </c>
      <c r="G769" s="442"/>
      <c r="H769" s="446"/>
    </row>
    <row r="770" spans="1:8" ht="13.2">
      <c r="A770" s="454" t="s">
        <v>1917</v>
      </c>
      <c r="B770" s="452" t="str">
        <f>VLOOKUP(A770,'Thống kê'!$C$3:$D$669,2,0)</f>
        <v>Móc khóa đôi thỏ cà rốt</v>
      </c>
      <c r="C770" s="436" t="str">
        <f>VLOOKUP(A770,'Thống kê'!$C$3:$E$682,3,0)</f>
        <v>cái</v>
      </c>
      <c r="D770" s="437">
        <f>VLOOKUP(A770,'Thống kê'!$C$3:$M$682,4,0)</f>
        <v>48300</v>
      </c>
      <c r="E770" s="438">
        <v>1</v>
      </c>
      <c r="F770" s="439">
        <f t="shared" si="3"/>
        <v>48300</v>
      </c>
      <c r="G770" s="442"/>
      <c r="H770" s="446"/>
    </row>
    <row r="771" spans="1:8" ht="13.2">
      <c r="A771" s="454" t="s">
        <v>1918</v>
      </c>
      <c r="B771" s="452" t="str">
        <f>VLOOKUP(A771,'Thống kê'!$C$3:$D$669,2,0)</f>
        <v>Vớ cổ cao trắng hoa vàng</v>
      </c>
      <c r="C771" s="436" t="str">
        <f>VLOOKUP(A771,'Thống kê'!$C$3:$E$682,3,0)</f>
        <v>đôi</v>
      </c>
      <c r="D771" s="437">
        <f>VLOOKUP(A771,'Thống kê'!$C$3:$M$682,4,0)</f>
        <v>19800</v>
      </c>
      <c r="E771" s="438">
        <v>1</v>
      </c>
      <c r="F771" s="439">
        <f t="shared" si="3"/>
        <v>19800</v>
      </c>
      <c r="G771" s="442"/>
      <c r="H771" s="446"/>
    </row>
    <row r="772" spans="1:8" ht="13.2">
      <c r="A772" s="454" t="s">
        <v>1919</v>
      </c>
      <c r="B772" s="452" t="str">
        <f>VLOOKUP(A772,'Thống kê'!$C$3:$D$669,2,0)</f>
        <v>Vớ cổ cao trắng hoa đen</v>
      </c>
      <c r="C772" s="436" t="str">
        <f>VLOOKUP(A772,'Thống kê'!$C$3:$E$682,3,0)</f>
        <v>đôi</v>
      </c>
      <c r="D772" s="437">
        <f>VLOOKUP(A772,'Thống kê'!$C$3:$M$682,4,0)</f>
        <v>19800</v>
      </c>
      <c r="E772" s="438">
        <v>1</v>
      </c>
      <c r="F772" s="439">
        <f t="shared" si="3"/>
        <v>19800</v>
      </c>
      <c r="G772" s="442"/>
      <c r="H772" s="446"/>
    </row>
    <row r="773" spans="1:8" ht="13.2">
      <c r="A773" s="454" t="s">
        <v>1908</v>
      </c>
      <c r="B773" s="452" t="str">
        <f>VLOOKUP(A773,'Thống kê'!$C$3:$D$669,2,0)</f>
        <v>Kẹp tóc trắng</v>
      </c>
      <c r="C773" s="436" t="str">
        <f>VLOOKUP(A773,'Thống kê'!$C$3:$E$682,3,0)</f>
        <v>cái</v>
      </c>
      <c r="D773" s="437">
        <f>VLOOKUP(A773,'Thống kê'!$C$3:$M$682,4,0)</f>
        <v>14000</v>
      </c>
      <c r="E773" s="438">
        <v>1</v>
      </c>
      <c r="F773" s="439">
        <f t="shared" si="3"/>
        <v>14000</v>
      </c>
      <c r="G773" s="442"/>
      <c r="H773" s="448">
        <v>12260</v>
      </c>
    </row>
    <row r="774" spans="1:8" ht="13.2">
      <c r="A774" s="459" t="s">
        <v>933</v>
      </c>
      <c r="B774" s="452" t="str">
        <f>VLOOKUP(A774,'Thống kê'!$C$3:$D$669,2,0)</f>
        <v>Kẹp khuếch tán tinh dầu gấu dâu</v>
      </c>
      <c r="C774" s="436" t="str">
        <f>VLOOKUP(A774,'Thống kê'!$C$3:$E$682,3,0)</f>
        <v>cái</v>
      </c>
      <c r="D774" s="437">
        <f>VLOOKUP(A774,'Thống kê'!$C$3:$M$682,4,0)</f>
        <v>173550</v>
      </c>
      <c r="E774" s="438">
        <v>1</v>
      </c>
      <c r="F774" s="439">
        <f t="shared" si="3"/>
        <v>173550</v>
      </c>
      <c r="G774" s="442"/>
      <c r="H774" s="447">
        <v>111220</v>
      </c>
    </row>
    <row r="775" spans="1:8" ht="13.2">
      <c r="A775" s="454" t="s">
        <v>941</v>
      </c>
      <c r="B775" s="452" t="str">
        <f>VLOOKUP(A775,'Thống kê'!$C$3:$D$669,2,0)</f>
        <v>Viên khuếch tán tinh dầu 01 ( lemon )</v>
      </c>
      <c r="C775" s="436" t="str">
        <f>VLOOKUP(A775,'Thống kê'!$C$3:$E$682,3,0)</f>
        <v>cái</v>
      </c>
      <c r="D775" s="437">
        <f>VLOOKUP(A775,'Thống kê'!$C$3:$M$682,4,0)</f>
        <v>8000</v>
      </c>
      <c r="E775" s="438">
        <v>1</v>
      </c>
      <c r="F775" s="439">
        <f t="shared" si="3"/>
        <v>8000</v>
      </c>
      <c r="G775" s="442"/>
      <c r="H775" s="446"/>
    </row>
    <row r="776" spans="1:8" ht="13.2">
      <c r="A776" s="454" t="s">
        <v>128</v>
      </c>
      <c r="B776" s="452" t="str">
        <f>VLOOKUP(A776,'Thống kê'!$C$3:$D$669,2,0)</f>
        <v>Mèo ú bay</v>
      </c>
      <c r="C776" s="436" t="str">
        <f>VLOOKUP(A776,'Thống kê'!$C$3:$E$682,3,0)</f>
        <v>cái</v>
      </c>
      <c r="D776" s="437">
        <f>VLOOKUP(A776,'Thống kê'!$C$3:$M$682,4,0)</f>
        <v>64500</v>
      </c>
      <c r="E776" s="438">
        <v>1</v>
      </c>
      <c r="F776" s="439">
        <f t="shared" si="3"/>
        <v>64500</v>
      </c>
      <c r="G776" s="442"/>
      <c r="H776" s="447">
        <v>64479</v>
      </c>
    </row>
    <row r="777" spans="1:8" ht="13.2">
      <c r="A777" s="454" t="s">
        <v>1791</v>
      </c>
      <c r="B777" s="452" t="str">
        <f>VLOOKUP(A777,'Thống kê'!$C$3:$D$669,2,0)</f>
        <v>Kẹp tóc kim loại ngôi sao</v>
      </c>
      <c r="C777" s="436" t="str">
        <f>VLOOKUP(A777,'Thống kê'!$C$3:$E$682,3,0)</f>
        <v>cái</v>
      </c>
      <c r="D777" s="437">
        <f>VLOOKUP(A777,'Thống kê'!$C$3:$M$682,4,0)</f>
        <v>14000</v>
      </c>
      <c r="E777" s="438">
        <v>1</v>
      </c>
      <c r="F777" s="439">
        <f t="shared" si="3"/>
        <v>14000</v>
      </c>
      <c r="G777" s="442"/>
      <c r="H777" s="446"/>
    </row>
    <row r="778" spans="1:8" ht="13.2">
      <c r="A778" s="454" t="s">
        <v>115</v>
      </c>
      <c r="B778" s="452" t="str">
        <f>VLOOKUP(A778,'Thống kê'!$C$3:$D$669,2,0)</f>
        <v>Heo ú</v>
      </c>
      <c r="C778" s="436" t="str">
        <f>VLOOKUP(A778,'Thống kê'!$C$3:$E$682,3,0)</f>
        <v>cái</v>
      </c>
      <c r="D778" s="437">
        <f>VLOOKUP(A778,'Thống kê'!$C$3:$M$682,4,0)</f>
        <v>59500</v>
      </c>
      <c r="E778" s="438">
        <v>1</v>
      </c>
      <c r="F778" s="439">
        <f t="shared" si="3"/>
        <v>59500</v>
      </c>
      <c r="G778" s="442"/>
      <c r="H778" s="448">
        <v>47511</v>
      </c>
    </row>
    <row r="779" spans="1:8" ht="13.2">
      <c r="A779" s="454" t="s">
        <v>128</v>
      </c>
      <c r="B779" s="452" t="str">
        <f>VLOOKUP(A779,'Thống kê'!$C$3:$D$669,2,0)</f>
        <v>Mèo ú bay</v>
      </c>
      <c r="C779" s="436" t="str">
        <f>VLOOKUP(A779,'Thống kê'!$C$3:$E$682,3,0)</f>
        <v>cái</v>
      </c>
      <c r="D779" s="437">
        <f>VLOOKUP(A779,'Thống kê'!$C$3:$M$682,4,0)</f>
        <v>64500</v>
      </c>
      <c r="E779" s="438">
        <v>1</v>
      </c>
      <c r="F779" s="439">
        <f t="shared" si="3"/>
        <v>64500</v>
      </c>
      <c r="G779" s="442"/>
      <c r="H779" s="447">
        <v>104439</v>
      </c>
    </row>
    <row r="780" spans="1:8" ht="13.2">
      <c r="A780" s="454" t="s">
        <v>186</v>
      </c>
      <c r="B780" s="452" t="str">
        <f>VLOOKUP(A780,'Thống kê'!$C$3:$D$669,2,0)</f>
        <v>Thỏ ú bay</v>
      </c>
      <c r="C780" s="436" t="str">
        <f>VLOOKUP(A780,'Thống kê'!$C$3:$E$682,3,0)</f>
        <v>cái</v>
      </c>
      <c r="D780" s="437">
        <f>VLOOKUP(A780,'Thống kê'!$C$3:$M$682,4,0)</f>
        <v>64500</v>
      </c>
      <c r="E780" s="438">
        <v>1</v>
      </c>
      <c r="F780" s="439">
        <f t="shared" si="3"/>
        <v>64500</v>
      </c>
      <c r="G780" s="442"/>
      <c r="H780" s="446"/>
    </row>
    <row r="781" spans="1:8" ht="13.2">
      <c r="A781" s="454" t="s">
        <v>1625</v>
      </c>
      <c r="B781" s="452" t="str">
        <f>VLOOKUP(A781,'Thống kê'!$C$3:$D$669,2,0)</f>
        <v>Móc khóa đôi 2 mèo trắng nâu</v>
      </c>
      <c r="C781" s="436" t="str">
        <f>VLOOKUP(A781,'Thống kê'!$C$3:$E$682,3,0)</f>
        <v>cái</v>
      </c>
      <c r="D781" s="437">
        <f>VLOOKUP(A781,'Thống kê'!$C$3:$M$682,4,0)</f>
        <v>59000</v>
      </c>
      <c r="E781" s="438">
        <v>1</v>
      </c>
      <c r="F781" s="439">
        <f t="shared" si="3"/>
        <v>59000</v>
      </c>
      <c r="G781" s="442"/>
      <c r="H781" s="448">
        <v>51620</v>
      </c>
    </row>
    <row r="782" spans="1:8" ht="13.2">
      <c r="A782" s="454" t="s">
        <v>1920</v>
      </c>
      <c r="B782" s="452" t="str">
        <f>VLOOKUP(A782,'Thống kê'!$C$3:$D$669,2,0)</f>
        <v>Thỏ đi vịt gắn xe</v>
      </c>
      <c r="C782" s="436" t="str">
        <f>VLOOKUP(A782,'Thống kê'!$C$3:$E$682,3,0)</f>
        <v>cái</v>
      </c>
      <c r="D782" s="437">
        <f>VLOOKUP(A782,'Thống kê'!$C$3:$M$682,4,0)</f>
        <v>45000</v>
      </c>
      <c r="E782" s="438">
        <v>1</v>
      </c>
      <c r="F782" s="439">
        <f t="shared" si="3"/>
        <v>45000</v>
      </c>
      <c r="G782" s="442"/>
      <c r="H782" s="447">
        <v>65416</v>
      </c>
    </row>
    <row r="783" spans="1:8" ht="13.2">
      <c r="A783" s="454" t="s">
        <v>189</v>
      </c>
      <c r="B783" s="452" t="str">
        <f>VLOOKUP(A783,'Thống kê'!$C$3:$D$669,2,0)</f>
        <v>Gấu nâu gắn xe</v>
      </c>
      <c r="C783" s="436" t="str">
        <f>VLOOKUP(A783,'Thống kê'!$C$3:$E$682,3,0)</f>
        <v>cái</v>
      </c>
      <c r="D783" s="437">
        <f>VLOOKUP(A783,'Thống kê'!$C$3:$M$682,4,0)</f>
        <v>45000</v>
      </c>
      <c r="E783" s="438">
        <v>1</v>
      </c>
      <c r="F783" s="439">
        <f t="shared" si="3"/>
        <v>45000</v>
      </c>
      <c r="G783" s="442"/>
      <c r="H783" s="446"/>
    </row>
    <row r="784" spans="1:8" ht="13.2">
      <c r="A784" s="454" t="s">
        <v>1614</v>
      </c>
      <c r="B784" s="452" t="str">
        <f>VLOOKUP(A784,'Thống kê'!$C$3:$D$669,2,0)</f>
        <v>Kẹp tóc bướm xanh ngọc</v>
      </c>
      <c r="C784" s="436" t="str">
        <f>VLOOKUP(A784,'Thống kê'!$C$3:$E$682,3,0)</f>
        <v>cái</v>
      </c>
      <c r="D784" s="437">
        <f>VLOOKUP(A784,'Thống kê'!$C$3:$M$682,4,0)</f>
        <v>38000</v>
      </c>
      <c r="E784" s="438">
        <v>1</v>
      </c>
      <c r="F784" s="439">
        <f t="shared" si="3"/>
        <v>38000</v>
      </c>
      <c r="G784" s="442"/>
      <c r="H784" s="448">
        <v>35200</v>
      </c>
    </row>
    <row r="785" spans="1:8" ht="13.2">
      <c r="A785" s="454" t="s">
        <v>592</v>
      </c>
      <c r="B785" s="452" t="str">
        <f>VLOOKUP(A785,'Thống kê'!$C$3:$D$669,2,0)</f>
        <v>Kẹp tóc hồng</v>
      </c>
      <c r="C785" s="436" t="str">
        <f>VLOOKUP(A785,'Thống kê'!$C$3:$E$682,3,0)</f>
        <v>cái</v>
      </c>
      <c r="D785" s="437">
        <f>VLOOKUP(A785,'Thống kê'!$C$3:$M$682,4,0)</f>
        <v>14000</v>
      </c>
      <c r="E785" s="438">
        <v>1</v>
      </c>
      <c r="F785" s="439">
        <f t="shared" si="3"/>
        <v>14000</v>
      </c>
      <c r="G785" s="442"/>
      <c r="H785" s="447">
        <v>372000</v>
      </c>
    </row>
    <row r="786" spans="1:8" ht="13.2">
      <c r="A786" s="454" t="s">
        <v>594</v>
      </c>
      <c r="B786" s="452" t="str">
        <f>VLOOKUP(A786,'Thống kê'!$C$3:$D$669,2,0)</f>
        <v>Kẹp tóc trắng</v>
      </c>
      <c r="C786" s="436" t="str">
        <f>VLOOKUP(A786,'Thống kê'!$C$3:$E$682,3,0)</f>
        <v>cái</v>
      </c>
      <c r="D786" s="437">
        <f>VLOOKUP(A786,'Thống kê'!$C$3:$M$682,4,0)</f>
        <v>14000</v>
      </c>
      <c r="E786" s="438">
        <v>2</v>
      </c>
      <c r="F786" s="439">
        <f t="shared" si="3"/>
        <v>28000</v>
      </c>
      <c r="G786" s="442"/>
      <c r="H786" s="446"/>
    </row>
    <row r="787" spans="1:8" ht="13.2">
      <c r="A787" s="454" t="s">
        <v>596</v>
      </c>
      <c r="B787" s="452" t="str">
        <f>VLOOKUP(A787,'Thống kê'!$C$3:$D$669,2,0)</f>
        <v>Kẹp tóc nâu</v>
      </c>
      <c r="C787" s="436" t="str">
        <f>VLOOKUP(A787,'Thống kê'!$C$3:$E$682,3,0)</f>
        <v>cái</v>
      </c>
      <c r="D787" s="437">
        <f>VLOOKUP(A787,'Thống kê'!$C$3:$M$682,4,0)</f>
        <v>14000</v>
      </c>
      <c r="E787" s="438">
        <v>1</v>
      </c>
      <c r="F787" s="439">
        <f t="shared" si="3"/>
        <v>14000</v>
      </c>
      <c r="G787" s="442"/>
      <c r="H787" s="446"/>
    </row>
    <row r="788" spans="1:8" ht="13.2">
      <c r="A788" s="454" t="s">
        <v>598</v>
      </c>
      <c r="B788" s="452" t="str">
        <f>VLOOKUP(A788,'Thống kê'!$C$3:$D$669,2,0)</f>
        <v>Kẹp tóc rêu</v>
      </c>
      <c r="C788" s="436" t="str">
        <f>VLOOKUP(A788,'Thống kê'!$C$3:$E$682,3,0)</f>
        <v>cái</v>
      </c>
      <c r="D788" s="437">
        <f>VLOOKUP(A788,'Thống kê'!$C$3:$M$682,4,0)</f>
        <v>14000</v>
      </c>
      <c r="E788" s="438">
        <v>1</v>
      </c>
      <c r="F788" s="439">
        <f t="shared" si="3"/>
        <v>14000</v>
      </c>
      <c r="G788" s="442"/>
      <c r="H788" s="446"/>
    </row>
    <row r="789" spans="1:8" ht="13.2">
      <c r="A789" s="454" t="s">
        <v>600</v>
      </c>
      <c r="B789" s="452" t="str">
        <f>VLOOKUP(A789,'Thống kê'!$C$3:$D$669,2,0)</f>
        <v>Kẹp tóc xám trong</v>
      </c>
      <c r="C789" s="436" t="str">
        <f>VLOOKUP(A789,'Thống kê'!$C$3:$E$682,3,0)</f>
        <v>cái</v>
      </c>
      <c r="D789" s="437">
        <f>VLOOKUP(A789,'Thống kê'!$C$3:$M$682,4,0)</f>
        <v>14000</v>
      </c>
      <c r="E789" s="438">
        <v>3</v>
      </c>
      <c r="F789" s="439">
        <f t="shared" si="3"/>
        <v>42000</v>
      </c>
      <c r="G789" s="442"/>
      <c r="H789" s="446"/>
    </row>
    <row r="790" spans="1:8" ht="13.2">
      <c r="A790" s="454" t="s">
        <v>602</v>
      </c>
      <c r="B790" s="452" t="str">
        <f>VLOOKUP(A790,'Thống kê'!$C$3:$D$669,2,0)</f>
        <v>Kẹp tóc nâu lạnh</v>
      </c>
      <c r="C790" s="436" t="str">
        <f>VLOOKUP(A790,'Thống kê'!$C$3:$E$682,3,0)</f>
        <v>cái</v>
      </c>
      <c r="D790" s="437">
        <f>VLOOKUP(A790,'Thống kê'!$C$3:$M$682,4,0)</f>
        <v>15000</v>
      </c>
      <c r="E790" s="438">
        <v>1</v>
      </c>
      <c r="F790" s="439">
        <f t="shared" si="3"/>
        <v>15000</v>
      </c>
      <c r="G790" s="442"/>
      <c r="H790" s="446"/>
    </row>
    <row r="791" spans="1:8" ht="13.8">
      <c r="A791" s="460" t="s">
        <v>830</v>
      </c>
      <c r="B791" s="452" t="str">
        <f>VLOOKUP(A791,'Thống kê'!$C$3:$D$669,2,0)</f>
        <v>Kẹp càng cua lông hình gấu nâu đậm</v>
      </c>
      <c r="C791" s="436" t="str">
        <f>VLOOKUP(A791,'Thống kê'!$C$3:$E$682,3,0)</f>
        <v>cái</v>
      </c>
      <c r="D791" s="437">
        <f>VLOOKUP(A791,'Thống kê'!$C$3:$M$682,4,0)</f>
        <v>18000</v>
      </c>
      <c r="E791" s="438">
        <v>1</v>
      </c>
      <c r="F791" s="439">
        <f t="shared" si="3"/>
        <v>18000</v>
      </c>
      <c r="G791" s="442"/>
      <c r="H791" s="446"/>
    </row>
    <row r="792" spans="1:8" ht="13.2">
      <c r="A792" s="454" t="s">
        <v>608</v>
      </c>
      <c r="B792" s="452" t="str">
        <f>VLOOKUP(A792,'Thống kê'!$C$3:$D$669,2,0)</f>
        <v>Kẹp tóc trắng sữa</v>
      </c>
      <c r="C792" s="436" t="str">
        <f>VLOOKUP(A792,'Thống kê'!$C$3:$E$682,3,0)</f>
        <v>cái</v>
      </c>
      <c r="D792" s="437">
        <f>VLOOKUP(A792,'Thống kê'!$C$3:$M$682,4,0)</f>
        <v>14000</v>
      </c>
      <c r="E792" s="438">
        <v>2</v>
      </c>
      <c r="F792" s="439">
        <f t="shared" si="3"/>
        <v>28000</v>
      </c>
      <c r="G792" s="442"/>
      <c r="H792" s="446"/>
    </row>
    <row r="793" spans="1:8" ht="13.2">
      <c r="A793" s="454" t="s">
        <v>610</v>
      </c>
      <c r="B793" s="452" t="str">
        <f>VLOOKUP(A793,'Thống kê'!$C$3:$D$669,2,0)</f>
        <v>Kẹp tóc be</v>
      </c>
      <c r="C793" s="436" t="str">
        <f>VLOOKUP(A793,'Thống kê'!$C$3:$E$682,3,0)</f>
        <v>cái</v>
      </c>
      <c r="D793" s="437">
        <f>VLOOKUP(A793,'Thống kê'!$C$3:$M$682,4,0)</f>
        <v>14000</v>
      </c>
      <c r="E793" s="438">
        <v>1</v>
      </c>
      <c r="F793" s="439">
        <f t="shared" si="3"/>
        <v>14000</v>
      </c>
      <c r="G793" s="442"/>
      <c r="H793" s="446"/>
    </row>
    <row r="794" spans="1:8" ht="13.2">
      <c r="A794" s="454" t="s">
        <v>612</v>
      </c>
      <c r="B794" s="452" t="str">
        <f>VLOOKUP(A794,'Thống kê'!$C$3:$D$669,2,0)</f>
        <v>Kẹp tóc nâu đậm</v>
      </c>
      <c r="C794" s="436" t="str">
        <f>VLOOKUP(A794,'Thống kê'!$C$3:$E$682,3,0)</f>
        <v>cái</v>
      </c>
      <c r="D794" s="437">
        <f>VLOOKUP(A794,'Thống kê'!$C$3:$M$682,4,0)</f>
        <v>14000</v>
      </c>
      <c r="E794" s="438">
        <v>1</v>
      </c>
      <c r="F794" s="439">
        <f t="shared" si="3"/>
        <v>14000</v>
      </c>
      <c r="G794" s="442"/>
      <c r="H794" s="446"/>
    </row>
    <row r="795" spans="1:8" ht="13.2">
      <c r="A795" s="454" t="s">
        <v>614</v>
      </c>
      <c r="B795" s="452" t="str">
        <f>VLOOKUP(A795,'Thống kê'!$C$3:$D$669,2,0)</f>
        <v>Kẹp tóc nâu lạnh</v>
      </c>
      <c r="C795" s="436" t="str">
        <f>VLOOKUP(A795,'Thống kê'!$C$3:$E$682,3,0)</f>
        <v>cái</v>
      </c>
      <c r="D795" s="437">
        <f>VLOOKUP(A795,'Thống kê'!$C$3:$M$682,4,0)</f>
        <v>14000</v>
      </c>
      <c r="E795" s="438">
        <v>2</v>
      </c>
      <c r="F795" s="439">
        <f t="shared" si="3"/>
        <v>28000</v>
      </c>
      <c r="G795" s="442"/>
      <c r="H795" s="446"/>
    </row>
    <row r="796" spans="1:8" ht="13.2">
      <c r="A796" s="454" t="s">
        <v>615</v>
      </c>
      <c r="B796" s="452" t="str">
        <f>VLOOKUP(A796,'Thống kê'!$C$3:$D$669,2,0)</f>
        <v>Kẹp tóc đen</v>
      </c>
      <c r="C796" s="436" t="str">
        <f>VLOOKUP(A796,'Thống kê'!$C$3:$E$682,3,0)</f>
        <v>cái</v>
      </c>
      <c r="D796" s="437">
        <f>VLOOKUP(A796,'Thống kê'!$C$3:$M$682,4,0)</f>
        <v>14000</v>
      </c>
      <c r="E796" s="438">
        <v>1</v>
      </c>
      <c r="F796" s="439">
        <f t="shared" si="3"/>
        <v>14000</v>
      </c>
      <c r="G796" s="442"/>
      <c r="H796" s="446"/>
    </row>
    <row r="797" spans="1:8" ht="13.8">
      <c r="A797" s="460" t="s">
        <v>832</v>
      </c>
      <c r="B797" s="452" t="str">
        <f>VLOOKUP(A797,'Thống kê'!$C$3:$D$669,2,0)</f>
        <v>Kẹp càng cua lông hình gấu nâu gấu trắng</v>
      </c>
      <c r="C797" s="436" t="str">
        <f>VLOOKUP(A797,'Thống kê'!$C$3:$E$682,3,0)</f>
        <v>cái</v>
      </c>
      <c r="D797" s="437">
        <f>VLOOKUP(A797,'Thống kê'!$C$3:$M$682,4,0)</f>
        <v>18000</v>
      </c>
      <c r="E797" s="438">
        <v>2</v>
      </c>
      <c r="F797" s="439">
        <f t="shared" si="3"/>
        <v>36000</v>
      </c>
      <c r="G797" s="442"/>
      <c r="H797" s="446"/>
    </row>
    <row r="798" spans="1:8" ht="13.8">
      <c r="A798" s="460" t="s">
        <v>834</v>
      </c>
      <c r="B798" s="452" t="str">
        <f>VLOOKUP(A798,'Thống kê'!$C$3:$D$669,2,0)</f>
        <v>Kẹp càng cua lông hình gấu nâu gấu nâu</v>
      </c>
      <c r="C798" s="436" t="str">
        <f>VLOOKUP(A798,'Thống kê'!$C$3:$E$682,3,0)</f>
        <v>cái</v>
      </c>
      <c r="D798" s="437">
        <f>VLOOKUP(A798,'Thống kê'!$C$3:$M$682,4,0)</f>
        <v>18000</v>
      </c>
      <c r="E798" s="438">
        <v>3</v>
      </c>
      <c r="F798" s="439">
        <f t="shared" si="3"/>
        <v>54000</v>
      </c>
      <c r="G798" s="442"/>
      <c r="H798" s="446"/>
    </row>
    <row r="799" spans="1:8" ht="13.8">
      <c r="A799" s="460" t="s">
        <v>836</v>
      </c>
      <c r="B799" s="452" t="str">
        <f>VLOOKUP(A799,'Thống kê'!$C$3:$D$669,2,0)</f>
        <v>Kẹp càng cua lông hình gấu be</v>
      </c>
      <c r="C799" s="436" t="str">
        <f>VLOOKUP(A799,'Thống kê'!$C$3:$E$682,3,0)</f>
        <v>cái</v>
      </c>
      <c r="D799" s="437">
        <f>VLOOKUP(A799,'Thống kê'!$C$3:$M$682,4,0)</f>
        <v>18000</v>
      </c>
      <c r="E799" s="438">
        <v>2</v>
      </c>
      <c r="F799" s="439">
        <f t="shared" si="3"/>
        <v>36000</v>
      </c>
      <c r="G799" s="442"/>
      <c r="H799" s="446"/>
    </row>
    <row r="800" spans="1:8" ht="13.2">
      <c r="A800" s="454" t="s">
        <v>622</v>
      </c>
      <c r="B800" s="452" t="str">
        <f>VLOOKUP(A800,'Thống kê'!$C$3:$D$669,2,0)</f>
        <v>Kẹp tóc nâu</v>
      </c>
      <c r="C800" s="436" t="str">
        <f>VLOOKUP(A800,'Thống kê'!$C$3:$E$682,3,0)</f>
        <v>cái</v>
      </c>
      <c r="D800" s="437">
        <f>VLOOKUP(A800,'Thống kê'!$C$3:$M$682,4,0)</f>
        <v>14000</v>
      </c>
      <c r="E800" s="438">
        <v>2</v>
      </c>
      <c r="F800" s="439">
        <f t="shared" si="3"/>
        <v>28000</v>
      </c>
      <c r="G800" s="442"/>
      <c r="H800" s="446"/>
    </row>
    <row r="801" spans="1:8" ht="13.2">
      <c r="A801" s="454" t="s">
        <v>623</v>
      </c>
      <c r="B801" s="452" t="str">
        <f>VLOOKUP(A801,'Thống kê'!$C$3:$D$669,2,0)</f>
        <v>Kẹp tóc đen</v>
      </c>
      <c r="C801" s="436" t="str">
        <f>VLOOKUP(A801,'Thống kê'!$C$3:$E$682,3,0)</f>
        <v>cái</v>
      </c>
      <c r="D801" s="437">
        <f>VLOOKUP(A801,'Thống kê'!$C$3:$M$682,4,0)</f>
        <v>14000</v>
      </c>
      <c r="E801" s="438">
        <v>2</v>
      </c>
      <c r="F801" s="439">
        <f t="shared" si="3"/>
        <v>28000</v>
      </c>
      <c r="G801" s="442"/>
      <c r="H801" s="446"/>
    </row>
    <row r="802" spans="1:8" ht="13.2">
      <c r="A802" s="454" t="s">
        <v>624</v>
      </c>
      <c r="B802" s="452" t="str">
        <f>VLOOKUP(A802,'Thống kê'!$C$3:$D$669,2,0)</f>
        <v>Kẹp tóc kem</v>
      </c>
      <c r="C802" s="436" t="str">
        <f>VLOOKUP(A802,'Thống kê'!$C$3:$E$682,3,0)</f>
        <v>cái</v>
      </c>
      <c r="D802" s="437">
        <f>VLOOKUP(A802,'Thống kê'!$C$3:$M$682,4,0)</f>
        <v>14000</v>
      </c>
      <c r="E802" s="438">
        <v>1</v>
      </c>
      <c r="F802" s="439">
        <f t="shared" si="3"/>
        <v>14000</v>
      </c>
      <c r="G802" s="442"/>
      <c r="H802" s="446"/>
    </row>
    <row r="803" spans="1:8" ht="13.2">
      <c r="A803" s="454" t="s">
        <v>625</v>
      </c>
      <c r="B803" s="452" t="str">
        <f>VLOOKUP(A803,'Thống kê'!$C$3:$D$669,2,0)</f>
        <v>Kẹp tóc cà phê</v>
      </c>
      <c r="C803" s="436" t="str">
        <f>VLOOKUP(A803,'Thống kê'!$C$3:$E$682,3,0)</f>
        <v>cái</v>
      </c>
      <c r="D803" s="437">
        <f>VLOOKUP(A803,'Thống kê'!$C$3:$M$682,4,0)</f>
        <v>14000</v>
      </c>
      <c r="E803" s="438">
        <v>2</v>
      </c>
      <c r="F803" s="439">
        <f t="shared" si="3"/>
        <v>28000</v>
      </c>
      <c r="G803" s="442"/>
      <c r="H803" s="446"/>
    </row>
    <row r="804" spans="1:8" ht="13.2">
      <c r="A804" s="454" t="s">
        <v>832</v>
      </c>
      <c r="B804" s="452" t="str">
        <f>VLOOKUP(A804,'Thống kê'!$C$3:$D$669,2,0)</f>
        <v>Kẹp càng cua lông hình gấu nâu gấu trắng</v>
      </c>
      <c r="C804" s="436" t="str">
        <f>VLOOKUP(A804,'Thống kê'!$C$3:$E$682,3,0)</f>
        <v>cái</v>
      </c>
      <c r="D804" s="437">
        <f>VLOOKUP(A804,'Thống kê'!$C$3:$M$682,4,0)</f>
        <v>18000</v>
      </c>
      <c r="E804" s="438">
        <v>1</v>
      </c>
      <c r="F804" s="439">
        <f t="shared" si="3"/>
        <v>18000</v>
      </c>
      <c r="G804" s="442"/>
      <c r="H804" s="448">
        <v>0</v>
      </c>
    </row>
    <row r="805" spans="1:8" ht="13.2">
      <c r="A805" s="454" t="s">
        <v>1921</v>
      </c>
      <c r="B805" s="452" t="str">
        <f>VLOOKUP(A805,'Thống kê'!$C$3:$D$669,2,0)</f>
        <v>Kẹp tóc đen</v>
      </c>
      <c r="C805" s="436" t="str">
        <f>VLOOKUP(A805,'Thống kê'!$C$3:$E$682,3,0)</f>
        <v>cái</v>
      </c>
      <c r="D805" s="437">
        <f>VLOOKUP(A805,'Thống kê'!$C$3:$M$682,4,0)</f>
        <v>14000</v>
      </c>
      <c r="E805" s="438">
        <v>1</v>
      </c>
      <c r="F805" s="439">
        <f t="shared" si="3"/>
        <v>14000</v>
      </c>
      <c r="G805" s="442"/>
      <c r="H805" s="448">
        <v>0</v>
      </c>
    </row>
    <row r="806" spans="1:8" ht="13.2">
      <c r="A806" s="454" t="s">
        <v>1608</v>
      </c>
      <c r="B806" s="452" t="str">
        <f>VLOOKUP(A806,'Thống kê'!$C$3:$D$669,2,0)</f>
        <v>Kẹp nhựa đen có hoa</v>
      </c>
      <c r="C806" s="436" t="str">
        <f>VLOOKUP(A806,'Thống kê'!$C$3:$E$682,3,0)</f>
        <v>cái</v>
      </c>
      <c r="D806" s="437">
        <f>VLOOKUP(A806,'Thống kê'!$C$3:$M$682,4,0)</f>
        <v>0</v>
      </c>
      <c r="E806" s="438">
        <v>2</v>
      </c>
      <c r="F806" s="439">
        <f t="shared" si="3"/>
        <v>0</v>
      </c>
      <c r="G806" s="442"/>
      <c r="H806" s="447">
        <v>0</v>
      </c>
    </row>
    <row r="807" spans="1:8" ht="13.2">
      <c r="A807" s="454" t="s">
        <v>1609</v>
      </c>
      <c r="B807" s="452" t="str">
        <f>VLOOKUP(A807,'Thống kê'!$C$3:$D$669,2,0)</f>
        <v>Kẹp nhựa xanh bóng có hoa</v>
      </c>
      <c r="C807" s="436" t="str">
        <f>VLOOKUP(A807,'Thống kê'!$C$3:$E$682,3,0)</f>
        <v>cái</v>
      </c>
      <c r="D807" s="437">
        <f>VLOOKUP(A807,'Thống kê'!$C$3:$M$682,4,0)</f>
        <v>0</v>
      </c>
      <c r="E807" s="438">
        <v>1</v>
      </c>
      <c r="F807" s="439">
        <f t="shared" si="3"/>
        <v>0</v>
      </c>
      <c r="G807" s="442"/>
      <c r="H807" s="446"/>
    </row>
    <row r="808" spans="1:8" ht="13.2">
      <c r="A808" s="454" t="s">
        <v>1610</v>
      </c>
      <c r="B808" s="452" t="str">
        <f>VLOOKUP(A808,'Thống kê'!$C$3:$D$669,2,0)</f>
        <v>Kẹp nhựa xanh mờ có hoa</v>
      </c>
      <c r="C808" s="436" t="str">
        <f>VLOOKUP(A808,'Thống kê'!$C$3:$E$682,3,0)</f>
        <v>cái</v>
      </c>
      <c r="D808" s="437">
        <f>VLOOKUP(A808,'Thống kê'!$C$3:$M$682,4,0)</f>
        <v>0</v>
      </c>
      <c r="E808" s="438">
        <v>1</v>
      </c>
      <c r="F808" s="439">
        <f t="shared" si="3"/>
        <v>0</v>
      </c>
      <c r="G808" s="442"/>
      <c r="H808" s="446"/>
    </row>
    <row r="809" spans="1:8" ht="13.2">
      <c r="A809" s="454" t="s">
        <v>1611</v>
      </c>
      <c r="B809" s="452" t="str">
        <f>VLOOKUP(A809,'Thống kê'!$C$3:$D$669,2,0)</f>
        <v>Kẹp nhựa nâu có hoa</v>
      </c>
      <c r="C809" s="436" t="str">
        <f>VLOOKUP(A809,'Thống kê'!$C$3:$E$682,3,0)</f>
        <v>cái</v>
      </c>
      <c r="D809" s="437">
        <f>VLOOKUP(A809,'Thống kê'!$C$3:$M$682,4,0)</f>
        <v>0</v>
      </c>
      <c r="E809" s="438">
        <v>1</v>
      </c>
      <c r="F809" s="439">
        <f t="shared" si="3"/>
        <v>0</v>
      </c>
      <c r="G809" s="442"/>
      <c r="H809" s="446"/>
    </row>
    <row r="810" spans="1:8" ht="13.2">
      <c r="A810" s="454" t="s">
        <v>1612</v>
      </c>
      <c r="B810" s="452" t="str">
        <f>VLOOKUP(A810,'Thống kê'!$C$3:$D$669,2,0)</f>
        <v>Kẹp tóc bướm trắng</v>
      </c>
      <c r="C810" s="436" t="str">
        <f>VLOOKUP(A810,'Thống kê'!$C$3:$E$682,3,0)</f>
        <v>cái</v>
      </c>
      <c r="D810" s="437">
        <f>VLOOKUP(A810,'Thống kê'!$C$3:$M$682,4,0)</f>
        <v>40000</v>
      </c>
      <c r="E810" s="438">
        <v>1</v>
      </c>
      <c r="F810" s="439">
        <f t="shared" si="3"/>
        <v>40000</v>
      </c>
      <c r="G810" s="442"/>
      <c r="H810" s="448">
        <v>35020</v>
      </c>
    </row>
    <row r="811" spans="1:8" ht="13.2">
      <c r="A811" s="454" t="s">
        <v>1716</v>
      </c>
      <c r="B811" s="452" t="str">
        <f>VLOOKUP(A811,'Thống kê'!$C$3:$D$669,2,0)</f>
        <v>Móc khóa đôi 2 quả lê có nam châm</v>
      </c>
      <c r="C811" s="436" t="str">
        <f>VLOOKUP(A811,'Thống kê'!$C$3:$E$682,3,0)</f>
        <v>cái</v>
      </c>
      <c r="D811" s="437">
        <f>VLOOKUP(A811,'Thống kê'!$C$3:$M$682,4,0)</f>
        <v>59000</v>
      </c>
      <c r="E811" s="438">
        <v>1</v>
      </c>
      <c r="F811" s="439">
        <f t="shared" si="3"/>
        <v>59000</v>
      </c>
      <c r="G811" s="442"/>
      <c r="H811" s="448">
        <v>51620</v>
      </c>
    </row>
    <row r="812" spans="1:8" ht="13.2">
      <c r="A812" s="454" t="s">
        <v>1908</v>
      </c>
      <c r="B812" s="452" t="str">
        <f>VLOOKUP(A812,'Thống kê'!$C$3:$D$669,2,0)</f>
        <v>Kẹp tóc trắng</v>
      </c>
      <c r="C812" s="436" t="str">
        <f>VLOOKUP(A812,'Thống kê'!$C$3:$E$682,3,0)</f>
        <v>cái</v>
      </c>
      <c r="D812" s="437">
        <f>VLOOKUP(A812,'Thống kê'!$C$3:$M$682,4,0)</f>
        <v>14000</v>
      </c>
      <c r="E812" s="438">
        <v>1</v>
      </c>
      <c r="F812" s="439">
        <f t="shared" si="3"/>
        <v>14000</v>
      </c>
      <c r="G812" s="442"/>
      <c r="H812" s="447">
        <v>36660</v>
      </c>
    </row>
    <row r="813" spans="1:8" ht="13.2">
      <c r="A813" s="454" t="s">
        <v>1909</v>
      </c>
      <c r="B813" s="452" t="str">
        <f>VLOOKUP(A813,'Thống kê'!$C$3:$D$669,2,0)</f>
        <v>Kẹp tóc hồng</v>
      </c>
      <c r="C813" s="436" t="str">
        <f>VLOOKUP(A813,'Thống kê'!$C$3:$E$682,3,0)</f>
        <v>cái</v>
      </c>
      <c r="D813" s="437">
        <f>VLOOKUP(A813,'Thống kê'!$C$3:$M$682,4,0)</f>
        <v>14000</v>
      </c>
      <c r="E813" s="438">
        <v>1</v>
      </c>
      <c r="F813" s="439">
        <f t="shared" si="3"/>
        <v>14000</v>
      </c>
      <c r="G813" s="442"/>
      <c r="H813" s="446"/>
    </row>
    <row r="814" spans="1:8" ht="13.2">
      <c r="A814" s="454" t="s">
        <v>1922</v>
      </c>
      <c r="B814" s="452" t="str">
        <f>VLOOKUP(A814,'Thống kê'!$C$3:$D$669,2,0)</f>
        <v>Kẹp tóc trắng sữa</v>
      </c>
      <c r="C814" s="436" t="str">
        <f>VLOOKUP(A814,'Thống kê'!$C$3:$E$682,3,0)</f>
        <v>cái</v>
      </c>
      <c r="D814" s="437">
        <f>VLOOKUP(A814,'Thống kê'!$C$3:$M$682,4,0)</f>
        <v>14000</v>
      </c>
      <c r="E814" s="438">
        <v>1</v>
      </c>
      <c r="F814" s="439">
        <f t="shared" si="3"/>
        <v>14000</v>
      </c>
      <c r="G814" s="442"/>
      <c r="H814" s="446"/>
    </row>
    <row r="815" spans="1:8" ht="13.2">
      <c r="A815" s="454" t="s">
        <v>1625</v>
      </c>
      <c r="B815" s="452" t="str">
        <f>VLOOKUP(A815,'Thống kê'!$C$3:$D$669,2,0)</f>
        <v>Móc khóa đôi 2 mèo trắng nâu</v>
      </c>
      <c r="C815" s="436" t="str">
        <f>VLOOKUP(A815,'Thống kê'!$C$3:$E$682,3,0)</f>
        <v>cái</v>
      </c>
      <c r="D815" s="437">
        <f>VLOOKUP(A815,'Thống kê'!$C$3:$M$682,4,0)</f>
        <v>59000</v>
      </c>
      <c r="E815" s="438">
        <v>1</v>
      </c>
      <c r="F815" s="439">
        <f t="shared" si="3"/>
        <v>59000</v>
      </c>
      <c r="G815" s="442"/>
      <c r="H815" s="448">
        <v>51860</v>
      </c>
    </row>
    <row r="816" spans="1:8" ht="13.2">
      <c r="A816" s="454" t="s">
        <v>115</v>
      </c>
      <c r="B816" s="452" t="str">
        <f>VLOOKUP(A816,'Thống kê'!$C$3:$D$669,2,0)</f>
        <v>Heo ú</v>
      </c>
      <c r="C816" s="436" t="str">
        <f>VLOOKUP(A816,'Thống kê'!$C$3:$E$682,3,0)</f>
        <v>cái</v>
      </c>
      <c r="D816" s="437">
        <f>VLOOKUP(A816,'Thống kê'!$C$3:$M$682,4,0)</f>
        <v>59500</v>
      </c>
      <c r="E816" s="438">
        <v>1</v>
      </c>
      <c r="F816" s="439">
        <f t="shared" si="3"/>
        <v>59500</v>
      </c>
      <c r="G816" s="442"/>
      <c r="H816" s="447">
        <v>84131</v>
      </c>
    </row>
    <row r="817" spans="1:8" ht="13.2">
      <c r="A817" s="454" t="s">
        <v>119</v>
      </c>
      <c r="B817" s="452" t="str">
        <f>VLOOKUP(A817,'Thống kê'!$C$3:$D$669,2,0)</f>
        <v>Thỏ chạy xe gắn xe</v>
      </c>
      <c r="C817" s="436" t="str">
        <f>VLOOKUP(A817,'Thống kê'!$C$3:$E$682,3,0)</f>
        <v>cái</v>
      </c>
      <c r="D817" s="437">
        <f>VLOOKUP(A817,'Thống kê'!$C$3:$M$682,4,0)</f>
        <v>45000</v>
      </c>
      <c r="E817" s="438">
        <v>1</v>
      </c>
      <c r="F817" s="439">
        <f t="shared" si="3"/>
        <v>45000</v>
      </c>
      <c r="G817" s="442"/>
      <c r="H817" s="446"/>
    </row>
    <row r="818" spans="1:8" ht="13.2">
      <c r="A818" s="454" t="s">
        <v>1625</v>
      </c>
      <c r="B818" s="452" t="str">
        <f>VLOOKUP(A818,'Thống kê'!$C$3:$D$669,2,0)</f>
        <v>Móc khóa đôi 2 mèo trắng nâu</v>
      </c>
      <c r="C818" s="436" t="str">
        <f>VLOOKUP(A818,'Thống kê'!$C$3:$E$682,3,0)</f>
        <v>cái</v>
      </c>
      <c r="D818" s="437">
        <f>VLOOKUP(A818,'Thống kê'!$C$3:$M$682,4,0)</f>
        <v>59000</v>
      </c>
      <c r="E818" s="438">
        <v>1</v>
      </c>
      <c r="F818" s="439">
        <f t="shared" si="3"/>
        <v>59000</v>
      </c>
      <c r="G818" s="442"/>
      <c r="H818" s="448">
        <v>51920</v>
      </c>
    </row>
    <row r="819" spans="1:8" ht="13.2">
      <c r="A819" s="454" t="s">
        <v>1625</v>
      </c>
      <c r="B819" s="452" t="str">
        <f>VLOOKUP(A819,'Thống kê'!$C$3:$D$669,2,0)</f>
        <v>Móc khóa đôi 2 mèo trắng nâu</v>
      </c>
      <c r="C819" s="436" t="str">
        <f>VLOOKUP(A819,'Thống kê'!$C$3:$E$682,3,0)</f>
        <v>cái</v>
      </c>
      <c r="D819" s="437">
        <f>VLOOKUP(A819,'Thống kê'!$C$3:$M$682,4,0)</f>
        <v>59000</v>
      </c>
      <c r="E819" s="438">
        <v>1</v>
      </c>
      <c r="F819" s="439">
        <f t="shared" si="3"/>
        <v>59000</v>
      </c>
      <c r="G819" s="442"/>
      <c r="H819" s="448">
        <v>51620</v>
      </c>
    </row>
    <row r="820" spans="1:8" ht="13.2">
      <c r="A820" s="454" t="s">
        <v>1923</v>
      </c>
      <c r="B820" s="452" t="str">
        <f>VLOOKUP(A820,'Thống kê'!$C$3:$D$669,2,0)</f>
        <v>Trâm cài 04</v>
      </c>
      <c r="C820" s="436" t="str">
        <f>VLOOKUP(A820,'Thống kê'!$C$3:$E$682,3,0)</f>
        <v>cây</v>
      </c>
      <c r="D820" s="437">
        <f>VLOOKUP(A820,'Thống kê'!$C$3:$M$682,4,0)</f>
        <v>11040</v>
      </c>
      <c r="E820" s="438">
        <v>1</v>
      </c>
      <c r="F820" s="439">
        <f t="shared" ref="F820:F1074" si="4">D820*E820</f>
        <v>11040</v>
      </c>
      <c r="G820" s="442"/>
      <c r="H820" s="447">
        <v>92400</v>
      </c>
    </row>
    <row r="821" spans="1:8" ht="13.2">
      <c r="A821" s="454" t="s">
        <v>1848</v>
      </c>
      <c r="B821" s="452" t="str">
        <f>VLOOKUP(A821,'Thống kê'!$C$3:$D$669,2,0)</f>
        <v>Trâm cài 02</v>
      </c>
      <c r="C821" s="436" t="str">
        <f>VLOOKUP(A821,'Thống kê'!$C$3:$E$682,3,0)</f>
        <v>cây</v>
      </c>
      <c r="D821" s="437">
        <f>VLOOKUP(A821,'Thống kê'!$C$3:$M$682,4,0)</f>
        <v>30360</v>
      </c>
      <c r="E821" s="438">
        <v>1</v>
      </c>
      <c r="F821" s="439">
        <f t="shared" si="4"/>
        <v>30360</v>
      </c>
      <c r="G821" s="442"/>
      <c r="H821" s="446"/>
    </row>
    <row r="822" spans="1:8" ht="13.2">
      <c r="A822" s="454" t="s">
        <v>1856</v>
      </c>
      <c r="B822" s="452" t="str">
        <f>VLOOKUP(A822,'Thống kê'!$C$3:$D$669,2,0)</f>
        <v>Trâm cài 03</v>
      </c>
      <c r="C822" s="436" t="str">
        <f>VLOOKUP(A822,'Thống kê'!$C$3:$E$682,3,0)</f>
        <v>cây</v>
      </c>
      <c r="D822" s="437">
        <f>VLOOKUP(A822,'Thống kê'!$C$3:$M$682,4,0)</f>
        <v>32200</v>
      </c>
      <c r="E822" s="438">
        <v>1</v>
      </c>
      <c r="F822" s="439">
        <f t="shared" si="4"/>
        <v>32200</v>
      </c>
      <c r="G822" s="442"/>
      <c r="H822" s="446"/>
    </row>
    <row r="823" spans="1:8" ht="13.2">
      <c r="A823" s="454" t="s">
        <v>1786</v>
      </c>
      <c r="B823" s="452" t="str">
        <f>VLOOKUP(A823,'Thống kê'!$C$3:$D$669,2,0)</f>
        <v>Trâm cài 09</v>
      </c>
      <c r="C823" s="436" t="str">
        <f>VLOOKUP(A823,'Thống kê'!$C$3:$E$682,3,0)</f>
        <v>cây</v>
      </c>
      <c r="D823" s="437">
        <f>VLOOKUP(A823,'Thống kê'!$C$3:$M$682,4,0)</f>
        <v>28520</v>
      </c>
      <c r="E823" s="438">
        <v>1</v>
      </c>
      <c r="F823" s="439">
        <f t="shared" si="4"/>
        <v>28520</v>
      </c>
      <c r="G823" s="442"/>
      <c r="H823" s="446"/>
    </row>
    <row r="824" spans="1:8" ht="13.2">
      <c r="A824" s="454" t="s">
        <v>1924</v>
      </c>
      <c r="B824" s="452" t="str">
        <f>VLOOKUP(A824,'Thống kê'!$C$3:$D$669,2,0)</f>
        <v>Trâm cài 06</v>
      </c>
      <c r="C824" s="436" t="str">
        <f>VLOOKUP(A824,'Thống kê'!$C$3:$E$682,3,0)</f>
        <v>cây</v>
      </c>
      <c r="D824" s="437">
        <f>VLOOKUP(A824,'Thống kê'!$C$3:$M$682,4,0)</f>
        <v>12880</v>
      </c>
      <c r="E824" s="438">
        <v>1</v>
      </c>
      <c r="F824" s="439">
        <f t="shared" si="4"/>
        <v>12880</v>
      </c>
      <c r="G824" s="442"/>
      <c r="H824" s="446"/>
    </row>
    <row r="825" spans="1:8" ht="13.2">
      <c r="A825" s="454" t="s">
        <v>1625</v>
      </c>
      <c r="B825" s="452" t="str">
        <f>VLOOKUP(A825,'Thống kê'!$C$3:$D$669,2,0)</f>
        <v>Móc khóa đôi 2 mèo trắng nâu</v>
      </c>
      <c r="C825" s="436" t="str">
        <f>VLOOKUP(A825,'Thống kê'!$C$3:$E$682,3,0)</f>
        <v>cái</v>
      </c>
      <c r="D825" s="437">
        <f>VLOOKUP(A825,'Thống kê'!$C$3:$M$682,4,0)</f>
        <v>59000</v>
      </c>
      <c r="E825" s="438">
        <v>1</v>
      </c>
      <c r="F825" s="439">
        <f t="shared" si="4"/>
        <v>59000</v>
      </c>
      <c r="G825" s="442"/>
      <c r="H825" s="447">
        <v>59848</v>
      </c>
    </row>
    <row r="826" spans="1:8" ht="13.2">
      <c r="A826" s="454" t="s">
        <v>1925</v>
      </c>
      <c r="B826" s="452" t="str">
        <f>VLOOKUP(A826,'Thống kê'!$C$3:$D$669,2,0)</f>
        <v>Kẹp tóc hoa sứ đỏ</v>
      </c>
      <c r="C826" s="436" t="str">
        <f>VLOOKUP(A826,'Thống kê'!$C$3:$E$682,3,0)</f>
        <v>cái</v>
      </c>
      <c r="D826" s="437">
        <f>VLOOKUP(A826,'Thống kê'!$C$3:$M$682,4,0)</f>
        <v>18500</v>
      </c>
      <c r="E826" s="438">
        <v>1</v>
      </c>
      <c r="F826" s="439">
        <f t="shared" si="4"/>
        <v>18500</v>
      </c>
      <c r="G826" s="442"/>
      <c r="H826" s="446"/>
    </row>
    <row r="827" spans="1:8" ht="13.2">
      <c r="A827" s="454" t="s">
        <v>1926</v>
      </c>
      <c r="B827" s="452" t="str">
        <f>VLOOKUP(A827,'Thống kê'!$C$3:$D$669,2,0)</f>
        <v>Kẹp tóc nâu nhạt</v>
      </c>
      <c r="C827" s="436" t="str">
        <f>VLOOKUP(A827,'Thống kê'!$C$3:$E$682,3,0)</f>
        <v>cái</v>
      </c>
      <c r="D827" s="437">
        <f>VLOOKUP(A827,'Thống kê'!$C$3:$M$682,4,0)</f>
        <v>15000</v>
      </c>
      <c r="E827" s="438">
        <v>1</v>
      </c>
      <c r="F827" s="439">
        <f t="shared" si="4"/>
        <v>15000</v>
      </c>
      <c r="G827" s="442"/>
      <c r="H827" s="447">
        <v>62671</v>
      </c>
    </row>
    <row r="828" spans="1:8" ht="13.2">
      <c r="A828" s="454" t="s">
        <v>1594</v>
      </c>
      <c r="B828" s="452" t="str">
        <f>VLOOKUP(A828,'Thống kê'!$C$3:$D$669,2,0)</f>
        <v>Móc khóa đôi heo</v>
      </c>
      <c r="C828" s="436" t="str">
        <f>VLOOKUP(A828,'Thống kê'!$C$3:$E$682,3,0)</f>
        <v>cái</v>
      </c>
      <c r="D828" s="437">
        <f>VLOOKUP(A828,'Thống kê'!$C$3:$M$682,4,0)</f>
        <v>56580</v>
      </c>
      <c r="E828" s="438">
        <v>1</v>
      </c>
      <c r="F828" s="439">
        <f t="shared" si="4"/>
        <v>56580</v>
      </c>
      <c r="G828" s="442"/>
      <c r="H828" s="446"/>
    </row>
    <row r="829" spans="1:8" ht="13.2">
      <c r="A829" s="454" t="s">
        <v>1625</v>
      </c>
      <c r="B829" s="452" t="str">
        <f>VLOOKUP(A829,'Thống kê'!$C$3:$D$669,2,0)</f>
        <v>Móc khóa đôi 2 mèo trắng nâu</v>
      </c>
      <c r="C829" s="436" t="str">
        <f>VLOOKUP(A829,'Thống kê'!$C$3:$E$682,3,0)</f>
        <v>cái</v>
      </c>
      <c r="D829" s="437">
        <f>VLOOKUP(A829,'Thống kê'!$C$3:$M$682,4,0)</f>
        <v>59000</v>
      </c>
      <c r="E829" s="438">
        <v>1</v>
      </c>
      <c r="F829" s="439">
        <f t="shared" si="4"/>
        <v>59000</v>
      </c>
      <c r="G829" s="442"/>
      <c r="H829" s="448">
        <v>51360</v>
      </c>
    </row>
    <row r="830" spans="1:8" ht="13.2">
      <c r="A830" s="454" t="s">
        <v>1625</v>
      </c>
      <c r="B830" s="452" t="str">
        <f>VLOOKUP(A830,'Thống kê'!$C$3:$D$669,2,0)</f>
        <v>Móc khóa đôi 2 mèo trắng nâu</v>
      </c>
      <c r="C830" s="436" t="str">
        <f>VLOOKUP(A830,'Thống kê'!$C$3:$E$682,3,0)</f>
        <v>cái</v>
      </c>
      <c r="D830" s="437">
        <f>VLOOKUP(A830,'Thống kê'!$C$3:$M$682,4,0)</f>
        <v>59000</v>
      </c>
      <c r="E830" s="438">
        <v>1</v>
      </c>
      <c r="F830" s="439">
        <f t="shared" si="4"/>
        <v>59000</v>
      </c>
      <c r="G830" s="442"/>
      <c r="H830" s="448">
        <v>51860</v>
      </c>
    </row>
    <row r="831" spans="1:8" ht="13.2">
      <c r="A831" s="454" t="s">
        <v>1625</v>
      </c>
      <c r="B831" s="452" t="str">
        <f>VLOOKUP(A831,'Thống kê'!$C$3:$D$669,2,0)</f>
        <v>Móc khóa đôi 2 mèo trắng nâu</v>
      </c>
      <c r="C831" s="436" t="str">
        <f>VLOOKUP(A831,'Thống kê'!$C$3:$E$682,3,0)</f>
        <v>cái</v>
      </c>
      <c r="D831" s="437">
        <f>VLOOKUP(A831,'Thống kê'!$C$3:$M$682,4,0)</f>
        <v>59000</v>
      </c>
      <c r="E831" s="438">
        <v>1</v>
      </c>
      <c r="F831" s="439">
        <f t="shared" si="4"/>
        <v>59000</v>
      </c>
      <c r="G831" s="442"/>
      <c r="H831" s="448">
        <v>51920</v>
      </c>
    </row>
    <row r="832" spans="1:8" ht="13.2">
      <c r="A832" s="454" t="s">
        <v>1625</v>
      </c>
      <c r="B832" s="452" t="str">
        <f>VLOOKUP(A832,'Thống kê'!$C$3:$D$669,2,0)</f>
        <v>Móc khóa đôi 2 mèo trắng nâu</v>
      </c>
      <c r="C832" s="436" t="str">
        <f>VLOOKUP(A832,'Thống kê'!$C$3:$E$682,3,0)</f>
        <v>cái</v>
      </c>
      <c r="D832" s="437">
        <f>VLOOKUP(A832,'Thống kê'!$C$3:$M$682,4,0)</f>
        <v>59000</v>
      </c>
      <c r="E832" s="438">
        <v>1</v>
      </c>
      <c r="F832" s="439">
        <f t="shared" si="4"/>
        <v>59000</v>
      </c>
      <c r="G832" s="442"/>
      <c r="H832" s="448">
        <v>51760</v>
      </c>
    </row>
    <row r="833" spans="1:8" ht="13.2">
      <c r="A833" s="454" t="s">
        <v>1590</v>
      </c>
      <c r="B833" s="452" t="str">
        <f>VLOOKUP(A833,'Thống kê'!$C$3:$D$669,2,0)</f>
        <v>Cún ú hoa</v>
      </c>
      <c r="C833" s="436" t="str">
        <f>VLOOKUP(A833,'Thống kê'!$C$3:$E$682,3,0)</f>
        <v>cái</v>
      </c>
      <c r="D833" s="437">
        <f>VLOOKUP(A833,'Thống kê'!$C$3:$M$682,4,0)</f>
        <v>64500</v>
      </c>
      <c r="E833" s="438">
        <v>1</v>
      </c>
      <c r="F833" s="439">
        <f t="shared" si="4"/>
        <v>64500</v>
      </c>
      <c r="G833" s="442"/>
      <c r="H833" s="448">
        <v>56600</v>
      </c>
    </row>
    <row r="834" spans="1:8" ht="13.2">
      <c r="A834" s="454" t="s">
        <v>1927</v>
      </c>
      <c r="B834" s="452" t="str">
        <f>VLOOKUP(A834,'Thống kê'!$C$3:$D$669,2,0)</f>
        <v>Kẹp tóc bướm tím</v>
      </c>
      <c r="C834" s="436" t="str">
        <f>VLOOKUP(A834,'Thống kê'!$C$3:$E$682,3,0)</f>
        <v>cái</v>
      </c>
      <c r="D834" s="437">
        <f>VLOOKUP(A834,'Thống kê'!$C$3:$M$682,4,0)</f>
        <v>19000</v>
      </c>
      <c r="E834" s="438">
        <v>1</v>
      </c>
      <c r="F834" s="439">
        <f t="shared" si="4"/>
        <v>19000</v>
      </c>
      <c r="G834" s="442"/>
      <c r="H834" s="447">
        <v>31620</v>
      </c>
    </row>
    <row r="835" spans="1:8" ht="13.2">
      <c r="A835" s="454" t="s">
        <v>1915</v>
      </c>
      <c r="B835" s="452" t="str">
        <f>VLOOKUP(A835,'Thống kê'!$C$3:$D$669,2,0)</f>
        <v>Kẹp tóc bướm trắng</v>
      </c>
      <c r="C835" s="436" t="str">
        <f>VLOOKUP(A835,'Thống kê'!$C$3:$E$682,3,0)</f>
        <v>cái</v>
      </c>
      <c r="D835" s="437">
        <f>VLOOKUP(A835,'Thống kê'!$C$3:$M$682,4,0)</f>
        <v>19000</v>
      </c>
      <c r="E835" s="438">
        <v>1</v>
      </c>
      <c r="F835" s="439">
        <f t="shared" si="4"/>
        <v>19000</v>
      </c>
      <c r="G835" s="442"/>
      <c r="H835" s="446"/>
    </row>
    <row r="836" spans="1:8" ht="13.2">
      <c r="A836" s="454" t="s">
        <v>1591</v>
      </c>
      <c r="B836" s="452" t="str">
        <f>VLOOKUP(A836,'Thống kê'!$C$3:$D$669,2,0)</f>
        <v>Thỏ ú</v>
      </c>
      <c r="C836" s="436" t="str">
        <f>VLOOKUP(A836,'Thống kê'!$C$3:$E$682,3,0)</f>
        <v>cái</v>
      </c>
      <c r="D836" s="437">
        <f>VLOOKUP(A836,'Thống kê'!$C$3:$M$682,4,0)</f>
        <v>59500</v>
      </c>
      <c r="E836" s="438">
        <v>1</v>
      </c>
      <c r="F836" s="439">
        <f t="shared" si="4"/>
        <v>59500</v>
      </c>
      <c r="G836" s="442"/>
      <c r="H836" s="448">
        <v>48171</v>
      </c>
    </row>
    <row r="837" spans="1:8" ht="13.2">
      <c r="A837" s="454" t="s">
        <v>1625</v>
      </c>
      <c r="B837" s="452" t="str">
        <f>VLOOKUP(A837,'Thống kê'!$C$3:$D$669,2,0)</f>
        <v>Móc khóa đôi 2 mèo trắng nâu</v>
      </c>
      <c r="C837" s="436" t="str">
        <f>VLOOKUP(A837,'Thống kê'!$C$3:$E$682,3,0)</f>
        <v>cái</v>
      </c>
      <c r="D837" s="437">
        <f>VLOOKUP(A837,'Thống kê'!$C$3:$M$682,4,0)</f>
        <v>59000</v>
      </c>
      <c r="E837" s="438">
        <v>1</v>
      </c>
      <c r="F837" s="439">
        <f t="shared" si="4"/>
        <v>59000</v>
      </c>
      <c r="G837" s="442"/>
      <c r="H837" s="448">
        <v>51600</v>
      </c>
    </row>
    <row r="838" spans="1:8" ht="13.2">
      <c r="A838" s="454" t="s">
        <v>115</v>
      </c>
      <c r="B838" s="452" t="str">
        <f>VLOOKUP(A838,'Thống kê'!$C$3:$D$669,2,0)</f>
        <v>Heo ú</v>
      </c>
      <c r="C838" s="436" t="str">
        <f>VLOOKUP(A838,'Thống kê'!$C$3:$E$682,3,0)</f>
        <v>cái</v>
      </c>
      <c r="D838" s="437">
        <f>VLOOKUP(A838,'Thống kê'!$C$3:$M$682,4,0)</f>
        <v>59500</v>
      </c>
      <c r="E838" s="438">
        <v>1</v>
      </c>
      <c r="F838" s="439">
        <f t="shared" si="4"/>
        <v>59500</v>
      </c>
      <c r="G838" s="442"/>
      <c r="H838" s="447">
        <v>100391</v>
      </c>
    </row>
    <row r="839" spans="1:8" ht="13.2">
      <c r="A839" s="454" t="s">
        <v>1589</v>
      </c>
      <c r="B839" s="452" t="str">
        <f>VLOOKUP(A839,'Thống kê'!$C$3:$D$669,2,0)</f>
        <v>Heo ú bay</v>
      </c>
      <c r="C839" s="436" t="str">
        <f>VLOOKUP(A839,'Thống kê'!$C$3:$E$682,3,0)</f>
        <v>cái</v>
      </c>
      <c r="D839" s="437">
        <f>VLOOKUP(A839,'Thống kê'!$C$3:$M$682,4,0)</f>
        <v>64500</v>
      </c>
      <c r="E839" s="438">
        <v>1</v>
      </c>
      <c r="F839" s="439">
        <f t="shared" si="4"/>
        <v>64500</v>
      </c>
      <c r="G839" s="442"/>
      <c r="H839" s="446"/>
    </row>
    <row r="840" spans="1:8" ht="13.2">
      <c r="A840" s="454" t="s">
        <v>1928</v>
      </c>
      <c r="B840" s="452" t="str">
        <f>VLOOKUP(A840,'Thống kê'!$C$3:$D$669,2,0)</f>
        <v>Kẹp tóc xám trong</v>
      </c>
      <c r="C840" s="436" t="str">
        <f>VLOOKUP(A840,'Thống kê'!$C$3:$E$682,3,0)</f>
        <v>cái</v>
      </c>
      <c r="D840" s="437">
        <f>VLOOKUP(A840,'Thống kê'!$C$3:$M$682,4,0)</f>
        <v>14000</v>
      </c>
      <c r="E840" s="438">
        <v>1</v>
      </c>
      <c r="F840" s="439">
        <f t="shared" si="4"/>
        <v>14000</v>
      </c>
      <c r="G840" s="442"/>
      <c r="H840" s="447">
        <v>39260</v>
      </c>
    </row>
    <row r="841" spans="1:8" ht="13.2">
      <c r="A841" s="454" t="s">
        <v>1909</v>
      </c>
      <c r="B841" s="452" t="str">
        <f>VLOOKUP(A841,'Thống kê'!$C$3:$D$669,2,0)</f>
        <v>Kẹp tóc hồng</v>
      </c>
      <c r="C841" s="436" t="str">
        <f>VLOOKUP(A841,'Thống kê'!$C$3:$E$682,3,0)</f>
        <v>cái</v>
      </c>
      <c r="D841" s="437">
        <f>VLOOKUP(A841,'Thống kê'!$C$3:$M$682,4,0)</f>
        <v>14000</v>
      </c>
      <c r="E841" s="438">
        <v>1</v>
      </c>
      <c r="F841" s="439">
        <f t="shared" si="4"/>
        <v>14000</v>
      </c>
      <c r="G841" s="442"/>
      <c r="H841" s="446"/>
    </row>
    <row r="842" spans="1:8" ht="13.2">
      <c r="A842" s="454" t="s">
        <v>1929</v>
      </c>
      <c r="B842" s="452" t="str">
        <f>VLOOKUP(A842,'Thống kê'!$C$3:$D$669,2,0)</f>
        <v>Kẹp nơ nâu</v>
      </c>
      <c r="C842" s="436" t="str">
        <f>VLOOKUP(A842,'Thống kê'!$C$3:$E$682,3,0)</f>
        <v>cái</v>
      </c>
      <c r="D842" s="437">
        <f>VLOOKUP(A842,'Thống kê'!$C$3:$M$682,4,0)</f>
        <v>22000</v>
      </c>
      <c r="E842" s="438">
        <v>1</v>
      </c>
      <c r="F842" s="439">
        <f t="shared" si="4"/>
        <v>22000</v>
      </c>
      <c r="G842" s="442"/>
      <c r="H842" s="446"/>
    </row>
    <row r="843" spans="1:8" ht="13.2">
      <c r="A843" s="454" t="s">
        <v>1627</v>
      </c>
      <c r="B843" s="452" t="str">
        <f>VLOOKUP(A843,'Thống kê'!$C$3:$D$669,2,0)</f>
        <v>Móc khóa capybara 15 - sổ mũi ko móc khóa</v>
      </c>
      <c r="C843" s="436" t="str">
        <f>VLOOKUP(A843,'Thống kê'!$C$3:$E$682,3,0)</f>
        <v>cái</v>
      </c>
      <c r="D843" s="437">
        <f>VLOOKUP(A843,'Thống kê'!$C$3:$M$682,4,0)</f>
        <v>56500</v>
      </c>
      <c r="E843" s="438">
        <v>1</v>
      </c>
      <c r="F843" s="439">
        <f t="shared" si="4"/>
        <v>56500</v>
      </c>
      <c r="G843" s="442"/>
      <c r="H843" s="448">
        <v>49720</v>
      </c>
    </row>
    <row r="844" spans="1:8" ht="13.2">
      <c r="A844" s="454" t="s">
        <v>1625</v>
      </c>
      <c r="B844" s="452" t="str">
        <f>VLOOKUP(A844,'Thống kê'!$C$3:$D$669,2,0)</f>
        <v>Móc khóa đôi 2 mèo trắng nâu</v>
      </c>
      <c r="C844" s="436" t="str">
        <f>VLOOKUP(A844,'Thống kê'!$C$3:$E$682,3,0)</f>
        <v>cái</v>
      </c>
      <c r="D844" s="437">
        <f>VLOOKUP(A844,'Thống kê'!$C$3:$M$682,4,0)</f>
        <v>59000</v>
      </c>
      <c r="E844" s="438">
        <v>1</v>
      </c>
      <c r="F844" s="439">
        <f t="shared" si="4"/>
        <v>59000</v>
      </c>
      <c r="G844" s="442"/>
      <c r="H844" s="448">
        <v>51860</v>
      </c>
    </row>
    <row r="845" spans="1:8" ht="13.2">
      <c r="A845" s="454" t="s">
        <v>145</v>
      </c>
      <c r="B845" s="452" t="str">
        <f>VLOOKUP(A845,'Thống kê'!$C$3:$D$669,2,0)</f>
        <v>Thỏ đi vịt gắn xe</v>
      </c>
      <c r="C845" s="436" t="str">
        <f>VLOOKUP(A845,'Thống kê'!$C$3:$E$682,3,0)</f>
        <v>cái</v>
      </c>
      <c r="D845" s="437">
        <f>VLOOKUP(A845,'Thống kê'!$C$3:$M$682,4,0)</f>
        <v>45000</v>
      </c>
      <c r="E845" s="438">
        <v>1</v>
      </c>
      <c r="F845" s="439">
        <f t="shared" si="4"/>
        <v>45000</v>
      </c>
      <c r="G845" s="442"/>
      <c r="H845" s="447">
        <v>72980</v>
      </c>
    </row>
    <row r="846" spans="1:8" ht="13.2">
      <c r="A846" s="454" t="s">
        <v>119</v>
      </c>
      <c r="B846" s="452" t="str">
        <f>VLOOKUP(A846,'Thống kê'!$C$3:$D$669,2,0)</f>
        <v>Thỏ chạy xe gắn xe</v>
      </c>
      <c r="C846" s="436" t="str">
        <f>VLOOKUP(A846,'Thống kê'!$C$3:$E$682,3,0)</f>
        <v>cái</v>
      </c>
      <c r="D846" s="437">
        <f>VLOOKUP(A846,'Thống kê'!$C$3:$M$682,4,0)</f>
        <v>45000</v>
      </c>
      <c r="E846" s="438">
        <v>1</v>
      </c>
      <c r="F846" s="439">
        <f t="shared" si="4"/>
        <v>45000</v>
      </c>
      <c r="G846" s="442"/>
      <c r="H846" s="446"/>
    </row>
    <row r="847" spans="1:8" ht="13.2">
      <c r="A847" s="454" t="s">
        <v>1625</v>
      </c>
      <c r="B847" s="452" t="str">
        <f>VLOOKUP(A847,'Thống kê'!$C$3:$D$669,2,0)</f>
        <v>Móc khóa đôi 2 mèo trắng nâu</v>
      </c>
      <c r="C847" s="436" t="str">
        <f>VLOOKUP(A847,'Thống kê'!$C$3:$E$682,3,0)</f>
        <v>cái</v>
      </c>
      <c r="D847" s="437">
        <f>VLOOKUP(A847,'Thống kê'!$C$3:$M$682,4,0)</f>
        <v>59000</v>
      </c>
      <c r="E847" s="438">
        <v>1</v>
      </c>
      <c r="F847" s="439">
        <f t="shared" si="4"/>
        <v>59000</v>
      </c>
      <c r="G847" s="442"/>
      <c r="H847" s="447">
        <v>124960</v>
      </c>
    </row>
    <row r="848" spans="1:8" ht="13.2">
      <c r="A848" s="454" t="s">
        <v>119</v>
      </c>
      <c r="B848" s="452" t="str">
        <f>VLOOKUP(A848,'Thống kê'!$C$3:$D$669,2,0)</f>
        <v>Thỏ chạy xe gắn xe</v>
      </c>
      <c r="C848" s="436" t="str">
        <f>VLOOKUP(A848,'Thống kê'!$C$3:$E$682,3,0)</f>
        <v>cái</v>
      </c>
      <c r="D848" s="437">
        <f>VLOOKUP(A848,'Thống kê'!$C$3:$M$682,4,0)</f>
        <v>45000</v>
      </c>
      <c r="E848" s="438">
        <v>1</v>
      </c>
      <c r="F848" s="439">
        <f t="shared" si="4"/>
        <v>45000</v>
      </c>
      <c r="G848" s="442"/>
      <c r="H848" s="446"/>
    </row>
    <row r="849" spans="1:8" ht="13.2">
      <c r="A849" s="454" t="s">
        <v>189</v>
      </c>
      <c r="B849" s="452" t="str">
        <f>VLOOKUP(A849,'Thống kê'!$C$3:$D$669,2,0)</f>
        <v>Gấu nâu gắn xe</v>
      </c>
      <c r="C849" s="436" t="str">
        <f>VLOOKUP(A849,'Thống kê'!$C$3:$E$682,3,0)</f>
        <v>cái</v>
      </c>
      <c r="D849" s="437">
        <f>VLOOKUP(A849,'Thống kê'!$C$3:$M$682,4,0)</f>
        <v>45000</v>
      </c>
      <c r="E849" s="438">
        <v>1</v>
      </c>
      <c r="F849" s="439">
        <f t="shared" si="4"/>
        <v>45000</v>
      </c>
      <c r="G849" s="442"/>
      <c r="H849" s="446"/>
    </row>
    <row r="850" spans="1:8" ht="13.2">
      <c r="A850" s="454" t="s">
        <v>1625</v>
      </c>
      <c r="B850" s="452" t="str">
        <f>VLOOKUP(A850,'Thống kê'!$C$3:$D$669,2,0)</f>
        <v>Móc khóa đôi 2 mèo trắng nâu</v>
      </c>
      <c r="C850" s="436" t="str">
        <f>VLOOKUP(A850,'Thống kê'!$C$3:$E$682,3,0)</f>
        <v>cái</v>
      </c>
      <c r="D850" s="437">
        <f>VLOOKUP(A850,'Thống kê'!$C$3:$M$682,4,0)</f>
        <v>59000</v>
      </c>
      <c r="E850" s="438">
        <v>1</v>
      </c>
      <c r="F850" s="439">
        <f t="shared" si="4"/>
        <v>59000</v>
      </c>
      <c r="G850" s="442"/>
      <c r="H850" s="447">
        <v>71220</v>
      </c>
    </row>
    <row r="851" spans="1:8" ht="13.2">
      <c r="A851" s="454" t="s">
        <v>1930</v>
      </c>
      <c r="B851" s="452" t="str">
        <f>VLOOKUP(A851,'Thống kê'!$C$3:$D$669,2,0)</f>
        <v>Kẹp nơ hồng</v>
      </c>
      <c r="C851" s="436" t="str">
        <f>VLOOKUP(A851,'Thống kê'!$C$3:$E$682,3,0)</f>
        <v>cái</v>
      </c>
      <c r="D851" s="437">
        <f>VLOOKUP(A851,'Thống kê'!$C$3:$M$682,4,0)</f>
        <v>22000</v>
      </c>
      <c r="E851" s="438">
        <v>1</v>
      </c>
      <c r="F851" s="439">
        <f t="shared" si="4"/>
        <v>22000</v>
      </c>
      <c r="G851" s="442"/>
      <c r="H851" s="446"/>
    </row>
    <row r="852" spans="1:8" ht="13.2">
      <c r="A852" s="454" t="s">
        <v>1613</v>
      </c>
      <c r="B852" s="452" t="str">
        <f>VLOOKUP(A852,'Thống kê'!$C$3:$D$669,2,0)</f>
        <v>Kẹp tóc bướm xanh tím</v>
      </c>
      <c r="C852" s="436" t="str">
        <f>VLOOKUP(A852,'Thống kê'!$C$3:$E$682,3,0)</f>
        <v>cái</v>
      </c>
      <c r="D852" s="437">
        <f>VLOOKUP(A852,'Thống kê'!$C$3:$M$682,4,0)</f>
        <v>40000</v>
      </c>
      <c r="E852" s="438">
        <v>1</v>
      </c>
      <c r="F852" s="439">
        <f t="shared" si="4"/>
        <v>40000</v>
      </c>
      <c r="G852" s="442"/>
      <c r="H852" s="448">
        <v>34740</v>
      </c>
    </row>
    <row r="853" spans="1:8" ht="13.2">
      <c r="A853" s="454" t="s">
        <v>1616</v>
      </c>
      <c r="B853" s="452" t="str">
        <f>VLOOKUP(A853,'Thống kê'!$C$3:$D$669,2,0)</f>
        <v>Kẹp tóc bướm hồng phấn</v>
      </c>
      <c r="C853" s="436" t="str">
        <f>VLOOKUP(A853,'Thống kê'!$C$3:$E$682,3,0)</f>
        <v>cái</v>
      </c>
      <c r="D853" s="437">
        <f>VLOOKUP(A853,'Thống kê'!$C$3:$M$682,4,0)</f>
        <v>40000</v>
      </c>
      <c r="E853" s="438">
        <v>1</v>
      </c>
      <c r="F853" s="439">
        <f t="shared" si="4"/>
        <v>40000</v>
      </c>
      <c r="G853" s="442"/>
      <c r="H853" s="448">
        <v>34340</v>
      </c>
    </row>
    <row r="854" spans="1:8" ht="13.2">
      <c r="A854" s="454" t="s">
        <v>1617</v>
      </c>
      <c r="B854" s="452" t="str">
        <f>VLOOKUP(A854,'Thống kê'!$C$3:$D$669,2,0)</f>
        <v xml:space="preserve">Kẹp tóc bướm hồng </v>
      </c>
      <c r="C854" s="436" t="str">
        <f>VLOOKUP(A854,'Thống kê'!$C$3:$E$682,3,0)</f>
        <v>cái</v>
      </c>
      <c r="D854" s="437">
        <f>VLOOKUP(A854,'Thống kê'!$C$3:$M$682,4,0)</f>
        <v>40000</v>
      </c>
      <c r="E854" s="438">
        <v>1</v>
      </c>
      <c r="F854" s="439">
        <f t="shared" si="4"/>
        <v>40000</v>
      </c>
      <c r="G854" s="442"/>
      <c r="H854" s="448">
        <v>34860</v>
      </c>
    </row>
    <row r="855" spans="1:8" ht="13.2">
      <c r="A855" s="454" t="s">
        <v>1625</v>
      </c>
      <c r="B855" s="452" t="str">
        <f>VLOOKUP(A855,'Thống kê'!$C$3:$D$669,2,0)</f>
        <v>Móc khóa đôi 2 mèo trắng nâu</v>
      </c>
      <c r="C855" s="436" t="str">
        <f>VLOOKUP(A855,'Thống kê'!$C$3:$E$682,3,0)</f>
        <v>cái</v>
      </c>
      <c r="D855" s="437">
        <f>VLOOKUP(A855,'Thống kê'!$C$3:$M$682,4,0)</f>
        <v>59000</v>
      </c>
      <c r="E855" s="438">
        <v>1</v>
      </c>
      <c r="F855" s="439">
        <f t="shared" si="4"/>
        <v>59000</v>
      </c>
      <c r="G855" s="442"/>
      <c r="H855" s="448">
        <v>46668</v>
      </c>
    </row>
    <row r="856" spans="1:8" ht="13.2">
      <c r="A856" s="454" t="s">
        <v>1622</v>
      </c>
      <c r="B856" s="452" t="str">
        <f>VLOOKUP(A856,'Thống kê'!$C$3:$D$669,2,0)</f>
        <v>Mô hình mèo 1</v>
      </c>
      <c r="C856" s="436" t="str">
        <f>VLOOKUP(A856,'Thống kê'!$C$3:$E$682,3,0)</f>
        <v>cái</v>
      </c>
      <c r="D856" s="437">
        <f>VLOOKUP(A856,'Thống kê'!$C$3:$M$682,4,0)</f>
        <v>37800</v>
      </c>
      <c r="E856" s="438">
        <v>1</v>
      </c>
      <c r="F856" s="439">
        <f t="shared" si="4"/>
        <v>37800</v>
      </c>
      <c r="G856" s="442"/>
      <c r="H856" s="448">
        <v>33243</v>
      </c>
    </row>
    <row r="857" spans="1:8" ht="13.2">
      <c r="A857" s="454" t="s">
        <v>186</v>
      </c>
      <c r="B857" s="452" t="str">
        <f>VLOOKUP(A857,'Thống kê'!$C$3:$D$669,2,0)</f>
        <v>Thỏ ú bay</v>
      </c>
      <c r="C857" s="436" t="str">
        <f>VLOOKUP(A857,'Thống kê'!$C$3:$E$682,3,0)</f>
        <v>cái</v>
      </c>
      <c r="D857" s="437">
        <f>VLOOKUP(A857,'Thống kê'!$C$3:$M$682,4,0)</f>
        <v>64500</v>
      </c>
      <c r="E857" s="438">
        <v>1</v>
      </c>
      <c r="F857" s="439">
        <f t="shared" si="4"/>
        <v>64500</v>
      </c>
      <c r="G857" s="442"/>
      <c r="H857" s="448">
        <v>51499</v>
      </c>
    </row>
    <row r="858" spans="1:8" ht="13.2">
      <c r="A858" s="454" t="s">
        <v>1931</v>
      </c>
      <c r="B858" s="452" t="str">
        <f>VLOOKUP(A858,'Thống kê'!$C$3:$D$669,2,0)</f>
        <v>Cài áo hoa hồng xanh có ngọc trai</v>
      </c>
      <c r="C858" s="436" t="str">
        <f>VLOOKUP(A858,'Thống kê'!$C$3:$E$682,3,0)</f>
        <v>cái</v>
      </c>
      <c r="D858" s="437">
        <f>VLOOKUP(A858,'Thống kê'!$C$3:$M$682,4,0)</f>
        <v>24900</v>
      </c>
      <c r="E858" s="438">
        <v>1</v>
      </c>
      <c r="F858" s="439">
        <f t="shared" si="4"/>
        <v>24900</v>
      </c>
      <c r="G858" s="442"/>
      <c r="H858" s="447">
        <v>114847</v>
      </c>
    </row>
    <row r="859" spans="1:8" ht="13.2">
      <c r="A859" s="454" t="s">
        <v>1932</v>
      </c>
      <c r="B859" s="452" t="str">
        <f>VLOOKUP(A859,'Thống kê'!$C$3:$D$669,2,0)</f>
        <v>Móc khóa capybara 10 - mũ gà</v>
      </c>
      <c r="C859" s="436" t="str">
        <f>VLOOKUP(A859,'Thống kê'!$C$3:$E$682,3,0)</f>
        <v>cái</v>
      </c>
      <c r="D859" s="437">
        <f>VLOOKUP(A859,'Thống kê'!$C$3:$M$682,4,0)</f>
        <v>58800</v>
      </c>
      <c r="E859" s="438">
        <v>1</v>
      </c>
      <c r="F859" s="439">
        <f t="shared" si="4"/>
        <v>58800</v>
      </c>
      <c r="G859" s="442"/>
      <c r="H859" s="446"/>
    </row>
    <row r="860" spans="1:8" ht="13.2">
      <c r="A860" s="454" t="s">
        <v>1933</v>
      </c>
      <c r="B860" s="452" t="str">
        <f>VLOOKUP(A860,'Thống kê'!$C$3:$D$669,2,0)</f>
        <v>Móc khóa capybara 3 - bóng tennis</v>
      </c>
      <c r="C860" s="436" t="str">
        <f>VLOOKUP(A860,'Thống kê'!$C$3:$E$682,3,0)</f>
        <v>cái</v>
      </c>
      <c r="D860" s="437">
        <f>VLOOKUP(A860,'Thống kê'!$C$3:$M$682,4,0)</f>
        <v>58800</v>
      </c>
      <c r="E860" s="438">
        <v>1</v>
      </c>
      <c r="F860" s="439">
        <f t="shared" si="4"/>
        <v>58800</v>
      </c>
      <c r="G860" s="442"/>
      <c r="H860" s="446"/>
    </row>
    <row r="861" spans="1:8" ht="13.2">
      <c r="A861" s="454" t="s">
        <v>1625</v>
      </c>
      <c r="B861" s="452" t="str">
        <f>VLOOKUP(A861,'Thống kê'!$C$3:$D$669,2,0)</f>
        <v>Móc khóa đôi 2 mèo trắng nâu</v>
      </c>
      <c r="C861" s="436" t="str">
        <f>VLOOKUP(A861,'Thống kê'!$C$3:$E$682,3,0)</f>
        <v>cái</v>
      </c>
      <c r="D861" s="437">
        <f>VLOOKUP(A861,'Thống kê'!$C$3:$M$682,4,0)</f>
        <v>59000</v>
      </c>
      <c r="E861" s="438">
        <v>1</v>
      </c>
      <c r="F861" s="439">
        <f t="shared" si="4"/>
        <v>59000</v>
      </c>
      <c r="G861" s="442"/>
      <c r="H861" s="448">
        <v>51600</v>
      </c>
    </row>
    <row r="862" spans="1:8" ht="13.2">
      <c r="A862" s="454" t="s">
        <v>115</v>
      </c>
      <c r="B862" s="452" t="str">
        <f>VLOOKUP(A862,'Thống kê'!$C$3:$D$669,2,0)</f>
        <v>Heo ú</v>
      </c>
      <c r="C862" s="436" t="str">
        <f>VLOOKUP(A862,'Thống kê'!$C$3:$E$682,3,0)</f>
        <v>cái</v>
      </c>
      <c r="D862" s="437">
        <f>VLOOKUP(A862,'Thống kê'!$C$3:$M$682,4,0)</f>
        <v>59500</v>
      </c>
      <c r="E862" s="438">
        <v>1</v>
      </c>
      <c r="F862" s="439">
        <f t="shared" si="4"/>
        <v>59500</v>
      </c>
      <c r="G862" s="442"/>
      <c r="H862" s="448">
        <v>43194</v>
      </c>
    </row>
    <row r="863" spans="1:8" ht="13.2">
      <c r="A863" s="454" t="s">
        <v>325</v>
      </c>
      <c r="B863" s="452" t="str">
        <f>VLOOKUP(A863,'Thống kê'!$C$3:$D$669,2,0)</f>
        <v>Gấu ú</v>
      </c>
      <c r="C863" s="436" t="str">
        <f>VLOOKUP(A863,'Thống kê'!$C$3:$E$682,3,0)</f>
        <v>cái</v>
      </c>
      <c r="D863" s="437">
        <f>VLOOKUP(A863,'Thống kê'!$C$3:$M$682,4,0)</f>
        <v>59500</v>
      </c>
      <c r="E863" s="438">
        <v>1</v>
      </c>
      <c r="F863" s="439">
        <f t="shared" si="4"/>
        <v>59500</v>
      </c>
      <c r="G863" s="442"/>
      <c r="H863" s="448">
        <v>48011</v>
      </c>
    </row>
    <row r="864" spans="1:8" ht="13.2">
      <c r="A864" s="454" t="s">
        <v>1625</v>
      </c>
      <c r="B864" s="452" t="str">
        <f>VLOOKUP(A864,'Thống kê'!$C$3:$D$669,2,0)</f>
        <v>Móc khóa đôi 2 mèo trắng nâu</v>
      </c>
      <c r="C864" s="436" t="str">
        <f>VLOOKUP(A864,'Thống kê'!$C$3:$E$682,3,0)</f>
        <v>cái</v>
      </c>
      <c r="D864" s="437">
        <f>VLOOKUP(A864,'Thống kê'!$C$3:$M$682,4,0)</f>
        <v>59000</v>
      </c>
      <c r="E864" s="438">
        <v>1</v>
      </c>
      <c r="F864" s="439">
        <f t="shared" si="4"/>
        <v>59000</v>
      </c>
      <c r="G864" s="442"/>
      <c r="H864" s="448">
        <v>46728</v>
      </c>
    </row>
    <row r="865" spans="1:8" ht="13.2">
      <c r="A865" s="454" t="s">
        <v>1934</v>
      </c>
      <c r="B865" s="452" t="str">
        <f>VLOOKUP(A865,'Thống kê'!$C$3:$D$669,2,0)</f>
        <v>Kẹp tóc hoa sứ tím</v>
      </c>
      <c r="C865" s="436" t="str">
        <f>VLOOKUP(A865,'Thống kê'!$C$3:$E$682,3,0)</f>
        <v>cái</v>
      </c>
      <c r="D865" s="437">
        <f>VLOOKUP(A865,'Thống kê'!$C$3:$M$682,4,0)</f>
        <v>18500</v>
      </c>
      <c r="E865" s="438">
        <v>2</v>
      </c>
      <c r="F865" s="439">
        <f t="shared" si="4"/>
        <v>37000</v>
      </c>
      <c r="G865" s="442"/>
      <c r="H865" s="447">
        <v>240000</v>
      </c>
    </row>
    <row r="866" spans="1:8" ht="13.2">
      <c r="A866" s="454" t="s">
        <v>1935</v>
      </c>
      <c r="B866" s="452" t="str">
        <f>VLOOKUP(A866,'Thống kê'!$C$3:$D$669,2,0)</f>
        <v>Kẹp tóc hoa sứ hồng</v>
      </c>
      <c r="C866" s="436" t="str">
        <f>VLOOKUP(A866,'Thống kê'!$C$3:$E$682,3,0)</f>
        <v>cái</v>
      </c>
      <c r="D866" s="437">
        <f>VLOOKUP(A866,'Thống kê'!$C$3:$M$682,4,0)</f>
        <v>18500</v>
      </c>
      <c r="E866" s="438">
        <v>2</v>
      </c>
      <c r="F866" s="439">
        <f t="shared" si="4"/>
        <v>37000</v>
      </c>
      <c r="G866" s="442"/>
      <c r="H866" s="446"/>
    </row>
    <row r="867" spans="1:8" ht="13.2">
      <c r="A867" s="454" t="s">
        <v>1936</v>
      </c>
      <c r="B867" s="452" t="str">
        <f>VLOOKUP(A867,'Thống kê'!$C$3:$D$669,2,0)</f>
        <v>Kẹp tóc hoa sứ vàng</v>
      </c>
      <c r="C867" s="436" t="str">
        <f>VLOOKUP(A867,'Thống kê'!$C$3:$E$682,3,0)</f>
        <v>cái</v>
      </c>
      <c r="D867" s="437">
        <f>VLOOKUP(A867,'Thống kê'!$C$3:$M$682,4,0)</f>
        <v>18500</v>
      </c>
      <c r="E867" s="438">
        <v>5</v>
      </c>
      <c r="F867" s="439">
        <f t="shared" si="4"/>
        <v>92500</v>
      </c>
      <c r="G867" s="442"/>
      <c r="H867" s="446"/>
    </row>
    <row r="868" spans="1:8" ht="13.2">
      <c r="A868" s="454" t="s">
        <v>1937</v>
      </c>
      <c r="B868" s="452" t="str">
        <f>VLOOKUP(A868,'Thống kê'!$C$3:$D$669,2,0)</f>
        <v>Kẹp tóc hoa sứ cam</v>
      </c>
      <c r="C868" s="436" t="str">
        <f>VLOOKUP(A868,'Thống kê'!$C$3:$E$682,3,0)</f>
        <v>cái</v>
      </c>
      <c r="D868" s="437">
        <f>VLOOKUP(A868,'Thống kê'!$C$3:$M$682,4,0)</f>
        <v>18500</v>
      </c>
      <c r="E868" s="438">
        <v>2</v>
      </c>
      <c r="F868" s="439">
        <f t="shared" si="4"/>
        <v>37000</v>
      </c>
      <c r="G868" s="442"/>
      <c r="H868" s="446"/>
    </row>
    <row r="869" spans="1:8" ht="13.2">
      <c r="A869" s="454" t="s">
        <v>1925</v>
      </c>
      <c r="B869" s="452" t="str">
        <f>VLOOKUP(A869,'Thống kê'!$C$3:$D$669,2,0)</f>
        <v>Kẹp tóc hoa sứ đỏ</v>
      </c>
      <c r="C869" s="436" t="str">
        <f>VLOOKUP(A869,'Thống kê'!$C$3:$E$682,3,0)</f>
        <v>cái</v>
      </c>
      <c r="D869" s="437">
        <f>VLOOKUP(A869,'Thống kê'!$C$3:$M$682,4,0)</f>
        <v>18500</v>
      </c>
      <c r="E869" s="438">
        <v>2</v>
      </c>
      <c r="F869" s="439">
        <f t="shared" si="4"/>
        <v>37000</v>
      </c>
      <c r="G869" s="442"/>
      <c r="H869" s="446"/>
    </row>
    <row r="870" spans="1:8" ht="13.2">
      <c r="A870" s="454" t="s">
        <v>1938</v>
      </c>
      <c r="B870" s="452" t="str">
        <f>VLOOKUP(A870,'Thống kê'!$C$3:$D$669,2,0)</f>
        <v>Kẹp tóc hoa sứ xanh</v>
      </c>
      <c r="C870" s="436" t="str">
        <f>VLOOKUP(A870,'Thống kê'!$C$3:$E$682,3,0)</f>
        <v>cái</v>
      </c>
      <c r="D870" s="437">
        <f>VLOOKUP(A870,'Thống kê'!$C$3:$M$682,4,0)</f>
        <v>18500</v>
      </c>
      <c r="E870" s="438">
        <v>5</v>
      </c>
      <c r="F870" s="439">
        <f t="shared" si="4"/>
        <v>92500</v>
      </c>
      <c r="G870" s="442"/>
      <c r="H870" s="446"/>
    </row>
    <row r="871" spans="1:8" ht="13.2">
      <c r="A871" s="454" t="s">
        <v>1939</v>
      </c>
      <c r="B871" s="452" t="str">
        <f>VLOOKUP(A871,'Thống kê'!$C$3:$D$669,2,0)</f>
        <v>Kẹp tóc hoa sứ đỏ hồng đậm</v>
      </c>
      <c r="C871" s="436" t="str">
        <f>VLOOKUP(A871,'Thống kê'!$C$3:$E$682,3,0)</f>
        <v>cái</v>
      </c>
      <c r="D871" s="437">
        <f>VLOOKUP(A871,'Thống kê'!$C$3:$M$682,4,0)</f>
        <v>18500</v>
      </c>
      <c r="E871" s="438">
        <v>2</v>
      </c>
      <c r="F871" s="439">
        <f t="shared" si="4"/>
        <v>37000</v>
      </c>
      <c r="G871" s="442"/>
      <c r="H871" s="446"/>
    </row>
    <row r="872" spans="1:8" ht="13.2">
      <c r="A872" s="454" t="s">
        <v>1940</v>
      </c>
      <c r="B872" s="452" t="str">
        <f>VLOOKUP(A872,'Thống kê'!$C$3:$D$669,2,0)</f>
        <v>Kẹp tóc kim loại bông hoa</v>
      </c>
      <c r="C872" s="436" t="str">
        <f>VLOOKUP(A872,'Thống kê'!$C$3:$E$682,3,0)</f>
        <v>cái</v>
      </c>
      <c r="D872" s="437">
        <f>VLOOKUP(A872,'Thống kê'!$C$3:$M$682,4,0)</f>
        <v>14000</v>
      </c>
      <c r="E872" s="438">
        <v>1</v>
      </c>
      <c r="F872" s="439">
        <f t="shared" si="4"/>
        <v>14000</v>
      </c>
      <c r="G872" s="442"/>
      <c r="H872" s="447">
        <v>24000</v>
      </c>
    </row>
    <row r="873" spans="1:8" ht="13.2">
      <c r="A873" s="454" t="s">
        <v>1791</v>
      </c>
      <c r="B873" s="452" t="str">
        <f>VLOOKUP(A873,'Thống kê'!$C$3:$D$669,2,0)</f>
        <v>Kẹp tóc kim loại ngôi sao</v>
      </c>
      <c r="C873" s="436" t="str">
        <f>VLOOKUP(A873,'Thống kê'!$C$3:$E$682,3,0)</f>
        <v>cái</v>
      </c>
      <c r="D873" s="437">
        <f>VLOOKUP(A873,'Thống kê'!$C$3:$M$682,4,0)</f>
        <v>14000</v>
      </c>
      <c r="E873" s="438">
        <v>1</v>
      </c>
      <c r="F873" s="439">
        <f t="shared" si="4"/>
        <v>14000</v>
      </c>
      <c r="G873" s="442"/>
      <c r="H873" s="446"/>
    </row>
    <row r="874" spans="1:8" ht="13.2">
      <c r="A874" s="454" t="s">
        <v>115</v>
      </c>
      <c r="B874" s="452" t="str">
        <f>VLOOKUP(A874,'Thống kê'!$C$3:$D$669,2,0)</f>
        <v>Heo ú</v>
      </c>
      <c r="C874" s="436" t="str">
        <f>VLOOKUP(A874,'Thống kê'!$C$3:$E$682,3,0)</f>
        <v>cái</v>
      </c>
      <c r="D874" s="437">
        <f>VLOOKUP(A874,'Thống kê'!$C$3:$M$682,4,0)</f>
        <v>59500</v>
      </c>
      <c r="E874" s="438">
        <v>1</v>
      </c>
      <c r="F874" s="439">
        <f t="shared" si="4"/>
        <v>59500</v>
      </c>
      <c r="G874" s="442"/>
      <c r="H874" s="447">
        <v>90951</v>
      </c>
    </row>
    <row r="875" spans="1:8" ht="13.2">
      <c r="A875" s="454" t="s">
        <v>1716</v>
      </c>
      <c r="B875" s="452" t="str">
        <f>VLOOKUP(A875,'Thống kê'!$C$3:$D$669,2,0)</f>
        <v>Móc khóa đôi 2 quả lê có nam châm</v>
      </c>
      <c r="C875" s="436" t="str">
        <f>VLOOKUP(A875,'Thống kê'!$C$3:$E$682,3,0)</f>
        <v>cái</v>
      </c>
      <c r="D875" s="437">
        <f>VLOOKUP(A875,'Thống kê'!$C$3:$M$682,4,0)</f>
        <v>59000</v>
      </c>
      <c r="E875" s="438">
        <v>1</v>
      </c>
      <c r="F875" s="439">
        <f t="shared" si="4"/>
        <v>59000</v>
      </c>
      <c r="G875" s="442"/>
      <c r="H875" s="446"/>
    </row>
    <row r="876" spans="1:8" ht="13.2">
      <c r="A876" s="454" t="s">
        <v>1625</v>
      </c>
      <c r="B876" s="452" t="str">
        <f>VLOOKUP(A876,'Thống kê'!$C$3:$D$669,2,0)</f>
        <v>Móc khóa đôi 2 mèo trắng nâu</v>
      </c>
      <c r="C876" s="436" t="str">
        <f>VLOOKUP(A876,'Thống kê'!$C$3:$E$682,3,0)</f>
        <v>cái</v>
      </c>
      <c r="D876" s="437">
        <f>VLOOKUP(A876,'Thống kê'!$C$3:$M$682,4,0)</f>
        <v>59000</v>
      </c>
      <c r="E876" s="438">
        <v>1</v>
      </c>
      <c r="F876" s="439">
        <f t="shared" si="4"/>
        <v>59000</v>
      </c>
      <c r="G876" s="442"/>
      <c r="H876" s="448">
        <v>51360</v>
      </c>
    </row>
    <row r="877" spans="1:8" ht="13.2">
      <c r="A877" s="454" t="s">
        <v>1622</v>
      </c>
      <c r="B877" s="452" t="str">
        <f>VLOOKUP(A877,'Thống kê'!$C$3:$D$669,2,0)</f>
        <v>Mô hình mèo 1</v>
      </c>
      <c r="C877" s="436" t="str">
        <f>VLOOKUP(A877,'Thống kê'!$C$3:$E$682,3,0)</f>
        <v>cái</v>
      </c>
      <c r="D877" s="437">
        <f>VLOOKUP(A877,'Thống kê'!$C$3:$M$682,4,0)</f>
        <v>37800</v>
      </c>
      <c r="E877" s="438">
        <v>1</v>
      </c>
      <c r="F877" s="439">
        <f t="shared" si="4"/>
        <v>37800</v>
      </c>
      <c r="G877" s="442"/>
      <c r="H877" s="447">
        <v>102009</v>
      </c>
    </row>
    <row r="878" spans="1:8" ht="13.2">
      <c r="A878" s="454" t="s">
        <v>1635</v>
      </c>
      <c r="B878" s="452" t="str">
        <f>VLOOKUP(A878,'Thống kê'!$C$3:$D$669,2,0)</f>
        <v>Mô hình mèo 4</v>
      </c>
      <c r="C878" s="436" t="str">
        <f>VLOOKUP(A878,'Thống kê'!$C$3:$E$682,3,0)</f>
        <v>cái</v>
      </c>
      <c r="D878" s="437">
        <f>VLOOKUP(A878,'Thống kê'!$C$3:$M$682,4,0)</f>
        <v>37800</v>
      </c>
      <c r="E878" s="438">
        <v>1</v>
      </c>
      <c r="F878" s="439">
        <f t="shared" si="4"/>
        <v>37800</v>
      </c>
      <c r="G878" s="442"/>
      <c r="H878" s="446"/>
    </row>
    <row r="879" spans="1:8" ht="13.2">
      <c r="A879" s="454" t="s">
        <v>1623</v>
      </c>
      <c r="B879" s="452" t="str">
        <f>VLOOKUP(A879,'Thống kê'!$C$3:$D$669,2,0)</f>
        <v>Mô hình mèo 5</v>
      </c>
      <c r="C879" s="436" t="str">
        <f>VLOOKUP(A879,'Thống kê'!$C$3:$E$682,3,0)</f>
        <v>cái</v>
      </c>
      <c r="D879" s="437">
        <f>VLOOKUP(A879,'Thống kê'!$C$3:$M$682,4,0)</f>
        <v>37800</v>
      </c>
      <c r="E879" s="438">
        <v>1</v>
      </c>
      <c r="F879" s="439">
        <f t="shared" si="4"/>
        <v>37800</v>
      </c>
      <c r="G879" s="442"/>
      <c r="H879" s="446"/>
    </row>
    <row r="880" spans="1:8" ht="13.2">
      <c r="A880" s="454" t="s">
        <v>1587</v>
      </c>
      <c r="B880" s="452" t="str">
        <f>VLOOKUP(A880,'Thống kê'!$C$3:$D$669,2,0)</f>
        <v>Vịt ú bay</v>
      </c>
      <c r="C880" s="436" t="str">
        <f>VLOOKUP(A880,'Thống kê'!$C$3:$E$682,3,0)</f>
        <v>cái</v>
      </c>
      <c r="D880" s="437">
        <f>VLOOKUP(A880,'Thống kê'!$C$3:$M$682,4,0)</f>
        <v>64500</v>
      </c>
      <c r="E880" s="438">
        <v>1</v>
      </c>
      <c r="F880" s="439">
        <f t="shared" si="4"/>
        <v>64500</v>
      </c>
      <c r="G880" s="442"/>
      <c r="H880" s="448">
        <v>52159</v>
      </c>
    </row>
    <row r="881" spans="1:8" ht="13.2">
      <c r="A881" s="454" t="s">
        <v>1621</v>
      </c>
      <c r="B881" s="452" t="str">
        <f>VLOOKUP(A881,'Thống kê'!$C$3:$D$669,2,0)</f>
        <v>Mô hình mèo 2</v>
      </c>
      <c r="C881" s="436" t="str">
        <f>VLOOKUP(A881,'Thống kê'!$C$3:$E$682,3,0)</f>
        <v>cái</v>
      </c>
      <c r="D881" s="437">
        <f>VLOOKUP(A881,'Thống kê'!$C$3:$M$682,4,0)</f>
        <v>37800</v>
      </c>
      <c r="E881" s="438">
        <v>1</v>
      </c>
      <c r="F881" s="439">
        <f t="shared" si="4"/>
        <v>37800</v>
      </c>
      <c r="G881" s="442"/>
      <c r="H881" s="447">
        <v>67947</v>
      </c>
    </row>
    <row r="882" spans="1:8" ht="13.2">
      <c r="A882" s="454" t="s">
        <v>1623</v>
      </c>
      <c r="B882" s="452" t="str">
        <f>VLOOKUP(A882,'Thống kê'!$C$3:$D$669,2,0)</f>
        <v>Mô hình mèo 5</v>
      </c>
      <c r="C882" s="436" t="str">
        <f>VLOOKUP(A882,'Thống kê'!$C$3:$E$682,3,0)</f>
        <v>cái</v>
      </c>
      <c r="D882" s="437">
        <f>VLOOKUP(A882,'Thống kê'!$C$3:$M$682,4,0)</f>
        <v>37800</v>
      </c>
      <c r="E882" s="438">
        <v>1</v>
      </c>
      <c r="F882" s="439">
        <f t="shared" si="4"/>
        <v>37800</v>
      </c>
      <c r="G882" s="442"/>
      <c r="H882" s="446"/>
    </row>
    <row r="883" spans="1:8" ht="13.2">
      <c r="A883" s="454" t="s">
        <v>1596</v>
      </c>
      <c r="B883" s="452" t="str">
        <f>VLOOKUP(A883,'Thống kê'!$C$3:$D$669,2,0)</f>
        <v>Dao rọc giấy 11</v>
      </c>
      <c r="C883" s="436" t="str">
        <f>VLOOKUP(A883,'Thống kê'!$C$3:$E$682,3,0)</f>
        <v>cái</v>
      </c>
      <c r="D883" s="437">
        <f>VLOOKUP(A883,'Thống kê'!$C$3:$M$682,4,0)</f>
        <v>12000</v>
      </c>
      <c r="E883" s="438">
        <v>1</v>
      </c>
      <c r="F883" s="439">
        <f t="shared" si="4"/>
        <v>12000</v>
      </c>
      <c r="G883" s="442"/>
      <c r="H883" s="447">
        <v>91520</v>
      </c>
    </row>
    <row r="884" spans="1:8" ht="13.2">
      <c r="A884" s="454" t="s">
        <v>1647</v>
      </c>
      <c r="B884" s="452" t="str">
        <f>VLOOKUP(A884,'Thống kê'!$C$3:$D$669,2,0)</f>
        <v>Túi chườm bụng dứa (xanh đậm) 500ml</v>
      </c>
      <c r="C884" s="436" t="str">
        <f>VLOOKUP(A884,'Thống kê'!$C$3:$E$682,3,0)</f>
        <v>túi</v>
      </c>
      <c r="D884" s="437">
        <f>VLOOKUP(A884,'Thống kê'!$C$3:$M$682,4,0)</f>
        <v>78200</v>
      </c>
      <c r="E884" s="438">
        <v>1</v>
      </c>
      <c r="F884" s="439">
        <f t="shared" si="4"/>
        <v>78200</v>
      </c>
      <c r="G884" s="442"/>
      <c r="H884" s="446"/>
    </row>
    <row r="885" spans="1:8" ht="13.2">
      <c r="A885" s="454" t="s">
        <v>1632</v>
      </c>
      <c r="B885" s="452" t="str">
        <f>VLOOKUP(A885,'Thống kê'!$C$3:$D$669,2,0)</f>
        <v>Móc khóa đôi mèo trắng</v>
      </c>
      <c r="C885" s="436" t="str">
        <f>VLOOKUP(A885,'Thống kê'!$C$3:$E$682,3,0)</f>
        <v>cái</v>
      </c>
      <c r="D885" s="437">
        <f>VLOOKUP(A885,'Thống kê'!$C$3:$M$682,4,0)</f>
        <v>59000</v>
      </c>
      <c r="E885" s="438">
        <v>1</v>
      </c>
      <c r="F885" s="439">
        <f t="shared" si="4"/>
        <v>59000</v>
      </c>
      <c r="G885" s="442"/>
      <c r="H885" s="448">
        <v>51920</v>
      </c>
    </row>
    <row r="886" spans="1:8" ht="13.2">
      <c r="A886" s="454" t="s">
        <v>1941</v>
      </c>
      <c r="B886" s="452" t="str">
        <f>VLOOKUP(A886,'Thống kê'!$C$3:$D$669,2,0)</f>
        <v>Móc khóa capybara 7 - táo</v>
      </c>
      <c r="C886" s="436" t="str">
        <f>VLOOKUP(A886,'Thống kê'!$C$3:$E$682,3,0)</f>
        <v>cái</v>
      </c>
      <c r="D886" s="437">
        <f>VLOOKUP(A886,'Thống kê'!$C$3:$M$682,4,0)</f>
        <v>58800</v>
      </c>
      <c r="E886" s="438">
        <v>1</v>
      </c>
      <c r="F886" s="439">
        <f t="shared" si="4"/>
        <v>58800</v>
      </c>
      <c r="G886" s="442"/>
      <c r="H886" s="448">
        <v>46509</v>
      </c>
    </row>
    <row r="887" spans="1:8" ht="13.2">
      <c r="A887" s="454" t="s">
        <v>143</v>
      </c>
      <c r="B887" s="452" t="str">
        <f>VLOOKUP(A887,'Thống kê'!$C$3:$D$669,2,0)</f>
        <v>Mèo ú</v>
      </c>
      <c r="C887" s="436" t="str">
        <f>VLOOKUP(A887,'Thống kê'!$C$3:$E$682,3,0)</f>
        <v>cái</v>
      </c>
      <c r="D887" s="437">
        <f>VLOOKUP(A887,'Thống kê'!$C$3:$M$682,4,0)</f>
        <v>59500</v>
      </c>
      <c r="E887" s="438">
        <v>1</v>
      </c>
      <c r="F887" s="439">
        <f t="shared" si="4"/>
        <v>59500</v>
      </c>
      <c r="G887" s="442"/>
      <c r="H887" s="447">
        <v>139307</v>
      </c>
    </row>
    <row r="888" spans="1:8" ht="13.2">
      <c r="A888" s="454" t="s">
        <v>325</v>
      </c>
      <c r="B888" s="452" t="str">
        <f>VLOOKUP(A888,'Thống kê'!$C$3:$D$669,2,0)</f>
        <v>Gấu ú</v>
      </c>
      <c r="C888" s="436" t="str">
        <f>VLOOKUP(A888,'Thống kê'!$C$3:$E$682,3,0)</f>
        <v>cái</v>
      </c>
      <c r="D888" s="437">
        <f>VLOOKUP(A888,'Thống kê'!$C$3:$M$682,4,0)</f>
        <v>59500</v>
      </c>
      <c r="E888" s="438">
        <v>1</v>
      </c>
      <c r="F888" s="439">
        <f t="shared" si="4"/>
        <v>59500</v>
      </c>
      <c r="G888" s="442"/>
      <c r="H888" s="446"/>
    </row>
    <row r="889" spans="1:8" ht="13.2">
      <c r="A889" s="454" t="s">
        <v>1589</v>
      </c>
      <c r="B889" s="452" t="str">
        <f>VLOOKUP(A889,'Thống kê'!$C$3:$D$669,2,0)</f>
        <v>Heo ú bay</v>
      </c>
      <c r="C889" s="436" t="str">
        <f>VLOOKUP(A889,'Thống kê'!$C$3:$E$682,3,0)</f>
        <v>cái</v>
      </c>
      <c r="D889" s="437">
        <f>VLOOKUP(A889,'Thống kê'!$C$3:$M$682,4,0)</f>
        <v>64500</v>
      </c>
      <c r="E889" s="438">
        <v>1</v>
      </c>
      <c r="F889" s="439">
        <f t="shared" si="4"/>
        <v>64500</v>
      </c>
      <c r="G889" s="442"/>
      <c r="H889" s="446"/>
    </row>
    <row r="890" spans="1:8" ht="13.2">
      <c r="A890" s="454" t="s">
        <v>1842</v>
      </c>
      <c r="B890" s="452" t="str">
        <f>VLOOKUP(A890,'Thống kê'!$C$3:$D$669,2,0)</f>
        <v>Trâm cài 27</v>
      </c>
      <c r="C890" s="436" t="str">
        <f>VLOOKUP(A890,'Thống kê'!$C$3:$E$682,3,0)</f>
        <v>cây</v>
      </c>
      <c r="D890" s="437">
        <f>VLOOKUP(A890,'Thống kê'!$C$3:$M$682,4,0)</f>
        <v>36340</v>
      </c>
      <c r="E890" s="438">
        <v>1</v>
      </c>
      <c r="F890" s="439">
        <f t="shared" si="4"/>
        <v>36340</v>
      </c>
      <c r="G890" s="442"/>
      <c r="H890" s="447">
        <v>66732</v>
      </c>
    </row>
    <row r="891" spans="1:8" ht="13.2">
      <c r="A891" s="454" t="s">
        <v>1923</v>
      </c>
      <c r="B891" s="452" t="str">
        <f>VLOOKUP(A891,'Thống kê'!$C$3:$D$669,2,0)</f>
        <v>Trâm cài 04</v>
      </c>
      <c r="C891" s="436" t="str">
        <f>VLOOKUP(A891,'Thống kê'!$C$3:$E$682,3,0)</f>
        <v>cây</v>
      </c>
      <c r="D891" s="437">
        <f>VLOOKUP(A891,'Thống kê'!$C$3:$M$682,4,0)</f>
        <v>11040</v>
      </c>
      <c r="E891" s="438">
        <v>1</v>
      </c>
      <c r="F891" s="439">
        <f t="shared" si="4"/>
        <v>11040</v>
      </c>
      <c r="G891" s="442"/>
      <c r="H891" s="446"/>
    </row>
    <row r="892" spans="1:8" ht="13.2">
      <c r="A892" s="454" t="s">
        <v>1786</v>
      </c>
      <c r="B892" s="452" t="str">
        <f>VLOOKUP(A892,'Thống kê'!$C$3:$D$669,2,0)</f>
        <v>Trâm cài 09</v>
      </c>
      <c r="C892" s="436" t="str">
        <f>VLOOKUP(A892,'Thống kê'!$C$3:$E$682,3,0)</f>
        <v>cây</v>
      </c>
      <c r="D892" s="437">
        <f>VLOOKUP(A892,'Thống kê'!$C$3:$M$682,4,0)</f>
        <v>28520</v>
      </c>
      <c r="E892" s="438">
        <v>1</v>
      </c>
      <c r="F892" s="439">
        <f t="shared" si="4"/>
        <v>28520</v>
      </c>
      <c r="G892" s="442"/>
      <c r="H892" s="446"/>
    </row>
    <row r="893" spans="1:8" ht="13.2">
      <c r="A893" s="454" t="s">
        <v>1909</v>
      </c>
      <c r="B893" s="452" t="str">
        <f>VLOOKUP(A893,'Thống kê'!$C$3:$D$669,2,0)</f>
        <v>Kẹp tóc hồng</v>
      </c>
      <c r="C893" s="436" t="str">
        <f>VLOOKUP(A893,'Thống kê'!$C$3:$E$682,3,0)</f>
        <v>cái</v>
      </c>
      <c r="D893" s="437">
        <f>VLOOKUP(A893,'Thống kê'!$C$3:$M$682,4,0)</f>
        <v>14000</v>
      </c>
      <c r="E893" s="438">
        <v>1</v>
      </c>
      <c r="F893" s="439">
        <f t="shared" si="4"/>
        <v>14000</v>
      </c>
      <c r="G893" s="442"/>
      <c r="H893" s="448">
        <v>12000</v>
      </c>
    </row>
    <row r="894" spans="1:8" ht="13.2">
      <c r="A894" s="454" t="s">
        <v>1613</v>
      </c>
      <c r="B894" s="452" t="str">
        <f>VLOOKUP(A894,'Thống kê'!$C$3:$D$669,2,0)</f>
        <v>Kẹp tóc bướm xanh tím</v>
      </c>
      <c r="C894" s="436" t="str">
        <f>VLOOKUP(A894,'Thống kê'!$C$3:$E$682,3,0)</f>
        <v>cái</v>
      </c>
      <c r="D894" s="437">
        <f>VLOOKUP(A894,'Thống kê'!$C$3:$M$682,4,0)</f>
        <v>40000</v>
      </c>
      <c r="E894" s="438">
        <v>1</v>
      </c>
      <c r="F894" s="439">
        <f t="shared" si="4"/>
        <v>40000</v>
      </c>
      <c r="G894" s="442"/>
      <c r="H894" s="448">
        <v>32384</v>
      </c>
    </row>
    <row r="895" spans="1:8" ht="13.2">
      <c r="A895" s="454" t="s">
        <v>1590</v>
      </c>
      <c r="B895" s="452" t="str">
        <f>VLOOKUP(A895,'Thống kê'!$C$3:$D$669,2,0)</f>
        <v>Cún ú hoa</v>
      </c>
      <c r="C895" s="436" t="str">
        <f>VLOOKUP(A895,'Thống kê'!$C$3:$E$682,3,0)</f>
        <v>cái</v>
      </c>
      <c r="D895" s="437">
        <f>VLOOKUP(A895,'Thống kê'!$C$3:$M$682,4,0)</f>
        <v>64500</v>
      </c>
      <c r="E895" s="438">
        <v>1</v>
      </c>
      <c r="F895" s="439">
        <f t="shared" si="4"/>
        <v>64500</v>
      </c>
      <c r="G895" s="442"/>
      <c r="H895" s="448">
        <v>50924</v>
      </c>
    </row>
    <row r="896" spans="1:8" ht="13.2">
      <c r="A896" s="454" t="s">
        <v>1622</v>
      </c>
      <c r="B896" s="452" t="str">
        <f>VLOOKUP(A896,'Thống kê'!$C$3:$D$669,2,0)</f>
        <v>Mô hình mèo 1</v>
      </c>
      <c r="C896" s="436" t="str">
        <f>VLOOKUP(A896,'Thống kê'!$C$3:$E$682,3,0)</f>
        <v>cái</v>
      </c>
      <c r="D896" s="437">
        <f>VLOOKUP(A896,'Thống kê'!$C$3:$M$682,4,0)</f>
        <v>37800</v>
      </c>
      <c r="E896" s="438">
        <v>1</v>
      </c>
      <c r="F896" s="439">
        <f t="shared" si="4"/>
        <v>37800</v>
      </c>
      <c r="G896" s="442"/>
      <c r="H896" s="447">
        <v>159815</v>
      </c>
    </row>
    <row r="897" spans="1:8" ht="13.2">
      <c r="A897" s="454" t="s">
        <v>1621</v>
      </c>
      <c r="B897" s="452" t="str">
        <f>VLOOKUP(A897,'Thống kê'!$C$3:$D$669,2,0)</f>
        <v>Mô hình mèo 2</v>
      </c>
      <c r="C897" s="436" t="str">
        <f>VLOOKUP(A897,'Thống kê'!$C$3:$E$682,3,0)</f>
        <v>cái</v>
      </c>
      <c r="D897" s="437">
        <f>VLOOKUP(A897,'Thống kê'!$C$3:$M$682,4,0)</f>
        <v>37800</v>
      </c>
      <c r="E897" s="438">
        <v>1</v>
      </c>
      <c r="F897" s="439">
        <f t="shared" si="4"/>
        <v>37800</v>
      </c>
      <c r="G897" s="442"/>
      <c r="H897" s="446"/>
    </row>
    <row r="898" spans="1:8" ht="13.2">
      <c r="A898" s="454" t="s">
        <v>1636</v>
      </c>
      <c r="B898" s="452" t="str">
        <f>VLOOKUP(A898,'Thống kê'!$C$3:$D$669,2,0)</f>
        <v>Mô hình mèo 3</v>
      </c>
      <c r="C898" s="436" t="str">
        <f>VLOOKUP(A898,'Thống kê'!$C$3:$E$682,3,0)</f>
        <v>cái</v>
      </c>
      <c r="D898" s="437">
        <f>VLOOKUP(A898,'Thống kê'!$C$3:$M$682,4,0)</f>
        <v>37800</v>
      </c>
      <c r="E898" s="438">
        <v>1</v>
      </c>
      <c r="F898" s="439">
        <f t="shared" si="4"/>
        <v>37800</v>
      </c>
      <c r="G898" s="442"/>
      <c r="H898" s="446"/>
    </row>
    <row r="899" spans="1:8" ht="13.2">
      <c r="A899" s="454" t="s">
        <v>1635</v>
      </c>
      <c r="B899" s="452" t="str">
        <f>VLOOKUP(A899,'Thống kê'!$C$3:$D$669,2,0)</f>
        <v>Mô hình mèo 4</v>
      </c>
      <c r="C899" s="436" t="str">
        <f>VLOOKUP(A899,'Thống kê'!$C$3:$E$682,3,0)</f>
        <v>cái</v>
      </c>
      <c r="D899" s="437">
        <f>VLOOKUP(A899,'Thống kê'!$C$3:$M$682,4,0)</f>
        <v>37800</v>
      </c>
      <c r="E899" s="438">
        <v>1</v>
      </c>
      <c r="F899" s="439">
        <f t="shared" si="4"/>
        <v>37800</v>
      </c>
      <c r="G899" s="442"/>
      <c r="H899" s="446"/>
    </row>
    <row r="900" spans="1:8" ht="13.2">
      <c r="A900" s="454" t="s">
        <v>1623</v>
      </c>
      <c r="B900" s="452" t="str">
        <f>VLOOKUP(A900,'Thống kê'!$C$3:$D$669,2,0)</f>
        <v>Mô hình mèo 5</v>
      </c>
      <c r="C900" s="436" t="str">
        <f>VLOOKUP(A900,'Thống kê'!$C$3:$E$682,3,0)</f>
        <v>cái</v>
      </c>
      <c r="D900" s="437">
        <f>VLOOKUP(A900,'Thống kê'!$C$3:$M$682,4,0)</f>
        <v>37800</v>
      </c>
      <c r="E900" s="438">
        <v>1</v>
      </c>
      <c r="F900" s="439">
        <f t="shared" si="4"/>
        <v>37800</v>
      </c>
      <c r="G900" s="442"/>
      <c r="H900" s="446"/>
    </row>
    <row r="901" spans="1:8" ht="13.2">
      <c r="A901" s="454" t="s">
        <v>1616</v>
      </c>
      <c r="B901" s="452" t="str">
        <f>VLOOKUP(A901,'Thống kê'!$C$3:$D$669,2,0)</f>
        <v>Kẹp tóc bướm hồng phấn</v>
      </c>
      <c r="C901" s="436" t="str">
        <f>VLOOKUP(A901,'Thống kê'!$C$3:$E$682,3,0)</f>
        <v>cái</v>
      </c>
      <c r="D901" s="437">
        <f>VLOOKUP(A901,'Thống kê'!$C$3:$M$682,4,0)</f>
        <v>40000</v>
      </c>
      <c r="E901" s="438">
        <v>1</v>
      </c>
      <c r="F901" s="439">
        <f t="shared" si="4"/>
        <v>40000</v>
      </c>
      <c r="G901" s="442"/>
      <c r="H901" s="447">
        <v>58231</v>
      </c>
    </row>
    <row r="902" spans="1:8" ht="13.2">
      <c r="A902" s="454" t="s">
        <v>1615</v>
      </c>
      <c r="B902" s="452" t="str">
        <f>VLOOKUP(A902,'Thống kê'!$C$3:$D$669,2,0)</f>
        <v>Kẹp tóc bướm tím</v>
      </c>
      <c r="C902" s="436" t="str">
        <f>VLOOKUP(A902,'Thống kê'!$C$3:$E$682,3,0)</f>
        <v>cái</v>
      </c>
      <c r="D902" s="437">
        <f>VLOOKUP(A902,'Thống kê'!$C$3:$M$682,4,0)</f>
        <v>40000</v>
      </c>
      <c r="E902" s="438">
        <v>1</v>
      </c>
      <c r="F902" s="439">
        <f t="shared" si="4"/>
        <v>40000</v>
      </c>
      <c r="G902" s="442"/>
      <c r="H902" s="446"/>
    </row>
    <row r="903" spans="1:8" ht="13.2">
      <c r="A903" s="454" t="s">
        <v>1612</v>
      </c>
      <c r="B903" s="452" t="str">
        <f>VLOOKUP(A903,'Thống kê'!$C$3:$D$669,2,0)</f>
        <v>Kẹp tóc bướm trắng</v>
      </c>
      <c r="C903" s="436" t="str">
        <f>VLOOKUP(A903,'Thống kê'!$C$3:$E$682,3,0)</f>
        <v>cái</v>
      </c>
      <c r="D903" s="437">
        <f>VLOOKUP(A903,'Thống kê'!$C$3:$M$682,4,0)</f>
        <v>40000</v>
      </c>
      <c r="E903" s="438">
        <v>1</v>
      </c>
      <c r="F903" s="439">
        <f t="shared" si="4"/>
        <v>40000</v>
      </c>
      <c r="G903" s="442"/>
      <c r="H903" s="448">
        <v>32324</v>
      </c>
    </row>
    <row r="904" spans="1:8" ht="13.2">
      <c r="A904" s="454" t="s">
        <v>115</v>
      </c>
      <c r="B904" s="452" t="str">
        <f>VLOOKUP(A904,'Thống kê'!$C$3:$D$669,2,0)</f>
        <v>Heo ú</v>
      </c>
      <c r="C904" s="436" t="str">
        <f>VLOOKUP(A904,'Thống kê'!$C$3:$E$682,3,0)</f>
        <v>cái</v>
      </c>
      <c r="D904" s="437">
        <f>VLOOKUP(A904,'Thống kê'!$C$3:$M$682,4,0)</f>
        <v>59500</v>
      </c>
      <c r="E904" s="438">
        <v>1</v>
      </c>
      <c r="F904" s="439">
        <f t="shared" si="4"/>
        <v>59500</v>
      </c>
      <c r="G904" s="442"/>
      <c r="H904" s="447">
        <v>137273</v>
      </c>
    </row>
    <row r="905" spans="1:8" ht="13.2">
      <c r="A905" s="454" t="s">
        <v>1591</v>
      </c>
      <c r="B905" s="452" t="str">
        <f>VLOOKUP(A905,'Thống kê'!$C$3:$D$669,2,0)</f>
        <v>Thỏ ú</v>
      </c>
      <c r="C905" s="436" t="str">
        <f>VLOOKUP(A905,'Thống kê'!$C$3:$E$682,3,0)</f>
        <v>cái</v>
      </c>
      <c r="D905" s="437">
        <f>VLOOKUP(A905,'Thống kê'!$C$3:$M$682,4,0)</f>
        <v>59500</v>
      </c>
      <c r="E905" s="438">
        <v>1</v>
      </c>
      <c r="F905" s="439">
        <f t="shared" si="4"/>
        <v>59500</v>
      </c>
      <c r="G905" s="442"/>
      <c r="H905" s="446"/>
    </row>
    <row r="906" spans="1:8" ht="13.2">
      <c r="A906" s="454" t="s">
        <v>227</v>
      </c>
      <c r="B906" s="452" t="str">
        <f>VLOOKUP(A906,'Thống kê'!$C$3:$D$669,2,0)</f>
        <v>Móc khóa đôi corgy</v>
      </c>
      <c r="C906" s="436" t="str">
        <f>VLOOKUP(A906,'Thống kê'!$C$3:$E$682,3,0)</f>
        <v>cái</v>
      </c>
      <c r="D906" s="437">
        <f>VLOOKUP(A906,'Thống kê'!$C$3:$M$682,4,0)</f>
        <v>56580</v>
      </c>
      <c r="E906" s="438">
        <v>1</v>
      </c>
      <c r="F906" s="439">
        <f t="shared" si="4"/>
        <v>56580</v>
      </c>
      <c r="G906" s="442"/>
      <c r="H906" s="446"/>
    </row>
    <row r="907" spans="1:8" ht="13.2">
      <c r="A907" s="454" t="s">
        <v>1716</v>
      </c>
      <c r="B907" s="452" t="str">
        <f>VLOOKUP(A907,'Thống kê'!$C$3:$D$669,2,0)</f>
        <v>Móc khóa đôi 2 quả lê có nam châm</v>
      </c>
      <c r="C907" s="436" t="str">
        <f>VLOOKUP(A907,'Thống kê'!$C$3:$E$682,3,0)</f>
        <v>cái</v>
      </c>
      <c r="D907" s="437">
        <f>VLOOKUP(A907,'Thống kê'!$C$3:$M$682,4,0)</f>
        <v>59000</v>
      </c>
      <c r="E907" s="438">
        <v>1</v>
      </c>
      <c r="F907" s="439">
        <f t="shared" si="4"/>
        <v>59000</v>
      </c>
      <c r="G907" s="442"/>
      <c r="H907" s="447">
        <v>86080</v>
      </c>
    </row>
    <row r="908" spans="1:8" ht="13.2">
      <c r="A908" s="454" t="s">
        <v>1942</v>
      </c>
      <c r="B908" s="452" t="s">
        <v>1943</v>
      </c>
      <c r="C908" s="436" t="s">
        <v>1037</v>
      </c>
      <c r="D908" s="437">
        <v>39000</v>
      </c>
      <c r="E908" s="438">
        <v>1</v>
      </c>
      <c r="F908" s="439">
        <f t="shared" si="4"/>
        <v>39000</v>
      </c>
      <c r="G908" s="442"/>
      <c r="H908" s="446"/>
    </row>
    <row r="909" spans="1:8" ht="13.2">
      <c r="A909" s="454" t="s">
        <v>177</v>
      </c>
      <c r="B909" s="452" t="str">
        <f>VLOOKUP(A909,'Thống kê'!$C$3:$D$669,2,0)</f>
        <v>Dao rọc giấy 15</v>
      </c>
      <c r="C909" s="436" t="str">
        <f>VLOOKUP(A909,'Thống kê'!$C$3:$E$682,3,0)</f>
        <v>cái</v>
      </c>
      <c r="D909" s="437">
        <f>VLOOKUP(A909,'Thống kê'!$C$3:$M$682,4,0)</f>
        <v>12000</v>
      </c>
      <c r="E909" s="438">
        <v>1</v>
      </c>
      <c r="F909" s="439">
        <f t="shared" si="4"/>
        <v>12000</v>
      </c>
      <c r="G909" s="442"/>
      <c r="H909" s="447">
        <v>137703</v>
      </c>
    </row>
    <row r="910" spans="1:8" ht="13.2">
      <c r="A910" s="454" t="s">
        <v>115</v>
      </c>
      <c r="B910" s="452" t="str">
        <f>VLOOKUP(A910,'Thống kê'!$C$3:$D$669,2,0)</f>
        <v>Heo ú</v>
      </c>
      <c r="C910" s="436" t="str">
        <f>VLOOKUP(A910,'Thống kê'!$C$3:$E$682,3,0)</f>
        <v>cái</v>
      </c>
      <c r="D910" s="437">
        <f>VLOOKUP(A910,'Thống kê'!$C$3:$M$682,4,0)</f>
        <v>59500</v>
      </c>
      <c r="E910" s="438">
        <v>1</v>
      </c>
      <c r="F910" s="439">
        <f t="shared" si="4"/>
        <v>59500</v>
      </c>
      <c r="G910" s="442"/>
      <c r="H910" s="446"/>
    </row>
    <row r="911" spans="1:8" ht="13.2">
      <c r="A911" s="454" t="s">
        <v>1591</v>
      </c>
      <c r="B911" s="452" t="str">
        <f>VLOOKUP(A911,'Thống kê'!$C$3:$D$669,2,0)</f>
        <v>Thỏ ú</v>
      </c>
      <c r="C911" s="436" t="str">
        <f>VLOOKUP(A911,'Thống kê'!$C$3:$E$682,3,0)</f>
        <v>cái</v>
      </c>
      <c r="D911" s="437">
        <f>VLOOKUP(A911,'Thống kê'!$C$3:$M$682,4,0)</f>
        <v>59500</v>
      </c>
      <c r="E911" s="438">
        <v>1</v>
      </c>
      <c r="F911" s="439">
        <f t="shared" si="4"/>
        <v>59500</v>
      </c>
      <c r="G911" s="442"/>
      <c r="H911" s="446"/>
    </row>
    <row r="912" spans="1:8" ht="13.2">
      <c r="A912" s="454" t="s">
        <v>1944</v>
      </c>
      <c r="B912" s="452" t="str">
        <f>VLOOKUP(A912,'Thống kê'!$C$3:$D$669,2,0)</f>
        <v>Ống 100 dây cột tóc be nâu</v>
      </c>
      <c r="C912" s="436" t="str">
        <f>VLOOKUP(A912,'Thống kê'!$C$3:$E$682,3,0)</f>
        <v>ống</v>
      </c>
      <c r="D912" s="437">
        <f>VLOOKUP(A912,'Thống kê'!$C$3:$M$682,4,0)</f>
        <v>30000</v>
      </c>
      <c r="E912" s="438">
        <v>1</v>
      </c>
      <c r="F912" s="439">
        <f t="shared" si="4"/>
        <v>30000</v>
      </c>
      <c r="G912" s="442"/>
      <c r="H912" s="446"/>
    </row>
    <row r="913" spans="1:8" ht="13.2">
      <c r="A913" s="454" t="s">
        <v>1789</v>
      </c>
      <c r="B913" s="452" t="str">
        <f>VLOOKUP(A913,'Thống kê'!$C$3:$D$669,2,0)</f>
        <v>Ống 50 dây cột tóc đen</v>
      </c>
      <c r="C913" s="436" t="str">
        <f>VLOOKUP(A913,'Thống kê'!$C$3:$E$682,3,0)</f>
        <v>ống</v>
      </c>
      <c r="D913" s="437">
        <f>VLOOKUP(A913,'Thống kê'!$C$3:$M$682,4,0)</f>
        <v>20000</v>
      </c>
      <c r="E913" s="438">
        <v>1</v>
      </c>
      <c r="F913" s="439">
        <f t="shared" si="4"/>
        <v>20000</v>
      </c>
      <c r="G913" s="442"/>
      <c r="H913" s="446"/>
    </row>
    <row r="914" spans="1:8" ht="13.2">
      <c r="A914" s="454" t="s">
        <v>143</v>
      </c>
      <c r="B914" s="452" t="str">
        <f>VLOOKUP(A914,'Thống kê'!$C$3:$D$669,2,0)</f>
        <v>Mèo ú</v>
      </c>
      <c r="C914" s="436" t="str">
        <f>VLOOKUP(A914,'Thống kê'!$C$3:$E$682,3,0)</f>
        <v>cái</v>
      </c>
      <c r="D914" s="437">
        <f>VLOOKUP(A914,'Thống kê'!$C$3:$M$682,4,0)</f>
        <v>59500</v>
      </c>
      <c r="E914" s="438">
        <v>1</v>
      </c>
      <c r="F914" s="439">
        <f t="shared" si="4"/>
        <v>59500</v>
      </c>
      <c r="G914" s="442"/>
      <c r="H914" s="448">
        <v>47851</v>
      </c>
    </row>
    <row r="915" spans="1:8" ht="13.2">
      <c r="A915" s="454" t="s">
        <v>1591</v>
      </c>
      <c r="B915" s="452" t="str">
        <f>VLOOKUP(A915,'Thống kê'!$C$3:$D$669,2,0)</f>
        <v>Thỏ ú</v>
      </c>
      <c r="C915" s="436" t="str">
        <f>VLOOKUP(A915,'Thống kê'!$C$3:$E$682,3,0)</f>
        <v>cái</v>
      </c>
      <c r="D915" s="437">
        <f>VLOOKUP(A915,'Thống kê'!$C$3:$M$682,4,0)</f>
        <v>59500</v>
      </c>
      <c r="E915" s="438">
        <v>1</v>
      </c>
      <c r="F915" s="439">
        <f t="shared" si="4"/>
        <v>59500</v>
      </c>
      <c r="G915" s="442"/>
      <c r="H915" s="448">
        <v>48111</v>
      </c>
    </row>
    <row r="916" spans="1:8" ht="13.2">
      <c r="A916" s="454" t="s">
        <v>145</v>
      </c>
      <c r="B916" s="452" t="str">
        <f>VLOOKUP(A916,'Thống kê'!$C$3:$D$669,2,0)</f>
        <v>Thỏ đi vịt gắn xe</v>
      </c>
      <c r="C916" s="436" t="str">
        <f>VLOOKUP(A916,'Thống kê'!$C$3:$E$682,3,0)</f>
        <v>cái</v>
      </c>
      <c r="D916" s="437">
        <f>VLOOKUP(A916,'Thống kê'!$C$3:$M$682,4,0)</f>
        <v>45000</v>
      </c>
      <c r="E916" s="438">
        <v>-1</v>
      </c>
      <c r="F916" s="439">
        <f t="shared" si="4"/>
        <v>-45000</v>
      </c>
      <c r="G916" s="442"/>
      <c r="H916" s="447">
        <v>-74700</v>
      </c>
    </row>
    <row r="917" spans="1:8" ht="13.2">
      <c r="A917" s="454" t="s">
        <v>189</v>
      </c>
      <c r="B917" s="452" t="str">
        <f>VLOOKUP(A917,'Thống kê'!$C$3:$D$669,2,0)</f>
        <v>Gấu nâu gắn xe</v>
      </c>
      <c r="C917" s="436" t="str">
        <f>VLOOKUP(A917,'Thống kê'!$C$3:$E$682,3,0)</f>
        <v>cái</v>
      </c>
      <c r="D917" s="437">
        <f>VLOOKUP(A917,'Thống kê'!$C$3:$M$682,4,0)</f>
        <v>45000</v>
      </c>
      <c r="E917" s="438">
        <v>-1</v>
      </c>
      <c r="F917" s="439">
        <f t="shared" si="4"/>
        <v>-45000</v>
      </c>
      <c r="G917" s="442"/>
      <c r="H917" s="446"/>
    </row>
    <row r="918" spans="1:8" ht="13.2">
      <c r="A918" s="454" t="s">
        <v>1625</v>
      </c>
      <c r="B918" s="452" t="str">
        <f>VLOOKUP(A918,'Thống kê'!$C$3:$D$669,2,0)</f>
        <v>Móc khóa đôi 2 mèo trắng nâu</v>
      </c>
      <c r="C918" s="436" t="str">
        <f>VLOOKUP(A918,'Thống kê'!$C$3:$E$682,3,0)</f>
        <v>cái</v>
      </c>
      <c r="D918" s="437">
        <f>VLOOKUP(A918,'Thống kê'!$C$3:$M$682,4,0)</f>
        <v>59000</v>
      </c>
      <c r="E918" s="438">
        <v>-1</v>
      </c>
      <c r="F918" s="439">
        <f t="shared" si="4"/>
        <v>-59000</v>
      </c>
      <c r="G918" s="442"/>
      <c r="H918" s="448">
        <v>-49000</v>
      </c>
    </row>
    <row r="919" spans="1:8" ht="13.2">
      <c r="A919" s="454" t="s">
        <v>1945</v>
      </c>
      <c r="B919" s="452" t="str">
        <f>VLOOKUP(A919,'Thống kê'!$C$3:$D$669,2,0)</f>
        <v>Móc khóa capybara 8 - sổ mũi cam</v>
      </c>
      <c r="C919" s="436" t="str">
        <f>VLOOKUP(A919,'Thống kê'!$C$3:$E$682,3,0)</f>
        <v>cái</v>
      </c>
      <c r="D919" s="437">
        <f>VLOOKUP(A919,'Thống kê'!$C$3:$M$682,4,0)</f>
        <v>58800</v>
      </c>
      <c r="E919" s="438">
        <v>1</v>
      </c>
      <c r="F919" s="439">
        <f t="shared" si="4"/>
        <v>58800</v>
      </c>
      <c r="G919" s="442"/>
      <c r="H919" s="448">
        <v>51024</v>
      </c>
    </row>
    <row r="920" spans="1:8" ht="13.2">
      <c r="A920" s="454" t="s">
        <v>1594</v>
      </c>
      <c r="B920" s="452" t="str">
        <f>VLOOKUP(A920,'Thống kê'!$C$3:$D$669,2,0)</f>
        <v>Móc khóa đôi heo</v>
      </c>
      <c r="C920" s="436" t="str">
        <f>VLOOKUP(A920,'Thống kê'!$C$3:$E$682,3,0)</f>
        <v>cái</v>
      </c>
      <c r="D920" s="437">
        <f>VLOOKUP(A920,'Thống kê'!$C$3:$M$682,4,0)</f>
        <v>56580</v>
      </c>
      <c r="E920" s="438">
        <v>1</v>
      </c>
      <c r="F920" s="439">
        <f t="shared" si="4"/>
        <v>56580</v>
      </c>
      <c r="G920" s="442"/>
      <c r="H920" s="447">
        <v>99581</v>
      </c>
    </row>
    <row r="921" spans="1:8" ht="13.2">
      <c r="A921" s="454" t="s">
        <v>1633</v>
      </c>
      <c r="B921" s="452" t="str">
        <f>VLOOKUP(A921,'Thống kê'!$C$3:$D$669,2,0)</f>
        <v>Móc khóa đôi gà rán bia</v>
      </c>
      <c r="C921" s="436" t="str">
        <f>VLOOKUP(A921,'Thống kê'!$C$3:$E$682,3,0)</f>
        <v>cái</v>
      </c>
      <c r="D921" s="437">
        <f>VLOOKUP(A921,'Thống kê'!$C$3:$M$682,4,0)</f>
        <v>56580</v>
      </c>
      <c r="E921" s="438">
        <v>1</v>
      </c>
      <c r="F921" s="439">
        <f t="shared" si="4"/>
        <v>56580</v>
      </c>
      <c r="G921" s="442"/>
      <c r="H921" s="446"/>
    </row>
    <row r="922" spans="1:8" ht="13.2">
      <c r="A922" s="459" t="s">
        <v>925</v>
      </c>
      <c r="B922" s="452" t="str">
        <f>VLOOKUP(A922,'Thống kê'!$C$3:$D$669,2,0)</f>
        <v>Kẹp khuếch tán tinh dầu vịt nâu</v>
      </c>
      <c r="C922" s="436" t="str">
        <f>VLOOKUP(A922,'Thống kê'!$C$3:$E$682,3,0)</f>
        <v>cái</v>
      </c>
      <c r="D922" s="437">
        <f>VLOOKUP(A922,'Thống kê'!$C$3:$M$682,4,0)</f>
        <v>142400</v>
      </c>
      <c r="E922" s="438">
        <v>1</v>
      </c>
      <c r="F922" s="439">
        <f t="shared" si="4"/>
        <v>142400</v>
      </c>
      <c r="G922" s="442"/>
      <c r="H922" s="448">
        <v>104720</v>
      </c>
    </row>
    <row r="923" spans="1:8" ht="13.2">
      <c r="A923" s="454" t="s">
        <v>1716</v>
      </c>
      <c r="B923" s="452" t="str">
        <f>VLOOKUP(A923,'Thống kê'!$C$3:$D$669,2,0)</f>
        <v>Móc khóa đôi 2 quả lê có nam châm</v>
      </c>
      <c r="C923" s="436" t="str">
        <f>VLOOKUP(A923,'Thống kê'!$C$3:$E$682,3,0)</f>
        <v>cái</v>
      </c>
      <c r="D923" s="437">
        <f>VLOOKUP(A923,'Thống kê'!$C$3:$M$682,4,0)</f>
        <v>59000</v>
      </c>
      <c r="E923" s="438">
        <v>1</v>
      </c>
      <c r="F923" s="439">
        <f t="shared" si="4"/>
        <v>59000</v>
      </c>
      <c r="G923" s="442"/>
      <c r="H923" s="448">
        <v>51620</v>
      </c>
    </row>
    <row r="924" spans="1:8" ht="13.2">
      <c r="A924" s="454" t="s">
        <v>1594</v>
      </c>
      <c r="B924" s="452" t="str">
        <f>VLOOKUP(A924,'Thống kê'!$C$3:$D$669,2,0)</f>
        <v>Móc khóa đôi heo</v>
      </c>
      <c r="C924" s="436" t="str">
        <f>VLOOKUP(A924,'Thống kê'!$C$3:$E$682,3,0)</f>
        <v>cái</v>
      </c>
      <c r="D924" s="437">
        <f>VLOOKUP(A924,'Thống kê'!$C$3:$M$682,4,0)</f>
        <v>56580</v>
      </c>
      <c r="E924" s="438">
        <v>1</v>
      </c>
      <c r="F924" s="439">
        <f t="shared" si="4"/>
        <v>56580</v>
      </c>
      <c r="G924" s="442"/>
      <c r="H924" s="448">
        <v>49731</v>
      </c>
    </row>
    <row r="925" spans="1:8" ht="13.2">
      <c r="A925" s="454" t="s">
        <v>1591</v>
      </c>
      <c r="B925" s="452" t="str">
        <f>VLOOKUP(A925,'Thống kê'!$C$3:$D$669,2,0)</f>
        <v>Thỏ ú</v>
      </c>
      <c r="C925" s="436" t="str">
        <f>VLOOKUP(A925,'Thống kê'!$C$3:$E$682,3,0)</f>
        <v>cái</v>
      </c>
      <c r="D925" s="437">
        <f>VLOOKUP(A925,'Thống kê'!$C$3:$M$682,4,0)</f>
        <v>59500</v>
      </c>
      <c r="E925" s="438">
        <v>1</v>
      </c>
      <c r="F925" s="439">
        <f t="shared" si="4"/>
        <v>59500</v>
      </c>
      <c r="G925" s="442"/>
      <c r="H925" s="447">
        <v>100291</v>
      </c>
    </row>
    <row r="926" spans="1:8" ht="13.2">
      <c r="A926" s="454" t="s">
        <v>186</v>
      </c>
      <c r="B926" s="452" t="str">
        <f>VLOOKUP(A926,'Thống kê'!$C$3:$D$669,2,0)</f>
        <v>Thỏ ú bay</v>
      </c>
      <c r="C926" s="436" t="str">
        <f>VLOOKUP(A926,'Thống kê'!$C$3:$E$682,3,0)</f>
        <v>cái</v>
      </c>
      <c r="D926" s="437">
        <f>VLOOKUP(A926,'Thống kê'!$C$3:$M$682,4,0)</f>
        <v>64500</v>
      </c>
      <c r="E926" s="438">
        <v>1</v>
      </c>
      <c r="F926" s="439">
        <f t="shared" si="4"/>
        <v>64500</v>
      </c>
      <c r="G926" s="442"/>
      <c r="H926" s="446"/>
    </row>
    <row r="927" spans="1:8" ht="13.2">
      <c r="A927" s="454" t="s">
        <v>325</v>
      </c>
      <c r="B927" s="452" t="str">
        <f>VLOOKUP(A927,'Thống kê'!$C$3:$D$669,2,0)</f>
        <v>Gấu ú</v>
      </c>
      <c r="C927" s="436" t="str">
        <f>VLOOKUP(A927,'Thống kê'!$C$3:$E$682,3,0)</f>
        <v>cái</v>
      </c>
      <c r="D927" s="437">
        <f>VLOOKUP(A927,'Thống kê'!$C$3:$M$682,4,0)</f>
        <v>59500</v>
      </c>
      <c r="E927" s="438">
        <v>1</v>
      </c>
      <c r="F927" s="439">
        <f t="shared" si="4"/>
        <v>59500</v>
      </c>
      <c r="G927" s="442"/>
      <c r="H927" s="447">
        <v>119979</v>
      </c>
    </row>
    <row r="928" spans="1:8" ht="13.2">
      <c r="A928" s="454" t="s">
        <v>1588</v>
      </c>
      <c r="B928" s="452" t="str">
        <f>VLOOKUP(A928,'Thống kê'!$C$3:$D$669,2,0)</f>
        <v>Heo ú hoa</v>
      </c>
      <c r="C928" s="436" t="str">
        <f>VLOOKUP(A928,'Thống kê'!$C$3:$E$682,3,0)</f>
        <v>cái</v>
      </c>
      <c r="D928" s="437">
        <f>VLOOKUP(A928,'Thống kê'!$C$3:$M$682,4,0)</f>
        <v>64500</v>
      </c>
      <c r="E928" s="438">
        <v>1</v>
      </c>
      <c r="F928" s="439">
        <f t="shared" si="4"/>
        <v>64500</v>
      </c>
      <c r="G928" s="442"/>
      <c r="H928" s="446"/>
    </row>
    <row r="929" spans="1:8" ht="13.2">
      <c r="A929" s="454" t="s">
        <v>1946</v>
      </c>
      <c r="B929" s="452" t="str">
        <f>VLOOKUP(A929,'Thống kê'!$C$3:$D$669,2,0)</f>
        <v>Ống 20 dây cột tóc kem be nâu</v>
      </c>
      <c r="C929" s="436" t="str">
        <f>VLOOKUP(A929,'Thống kê'!$C$3:$E$682,3,0)</f>
        <v>ống</v>
      </c>
      <c r="D929" s="437">
        <f>VLOOKUP(A929,'Thống kê'!$C$3:$M$682,4,0)</f>
        <v>19000</v>
      </c>
      <c r="E929" s="438">
        <v>1</v>
      </c>
      <c r="F929" s="439">
        <f t="shared" si="4"/>
        <v>19000</v>
      </c>
      <c r="G929" s="442"/>
      <c r="H929" s="446"/>
    </row>
    <row r="930" spans="1:8" ht="13.2">
      <c r="A930" s="454" t="s">
        <v>266</v>
      </c>
      <c r="B930" s="452" t="str">
        <f>VLOOKUP(A930,'Thống kê'!$C$3:$D$669,2,0)</f>
        <v>Kẹp Snack hình tam giác</v>
      </c>
      <c r="C930" s="436" t="str">
        <f>VLOOKUP(A930,'Thống kê'!$C$3:$E$682,3,0)</f>
        <v>cái</v>
      </c>
      <c r="D930" s="437">
        <f>VLOOKUP(A930,'Thống kê'!$C$3:$M$682,4,0)</f>
        <v>12000</v>
      </c>
      <c r="E930" s="438">
        <v>1</v>
      </c>
      <c r="F930" s="439">
        <f t="shared" si="4"/>
        <v>12000</v>
      </c>
      <c r="G930" s="442"/>
      <c r="H930" s="447">
        <v>125840</v>
      </c>
    </row>
    <row r="931" spans="1:8" ht="13.2">
      <c r="A931" s="454" t="s">
        <v>1928</v>
      </c>
      <c r="B931" s="452" t="str">
        <f>VLOOKUP(A931,'Thống kê'!$C$3:$D$669,2,0)</f>
        <v>Kẹp tóc xám trong</v>
      </c>
      <c r="C931" s="436" t="str">
        <f>VLOOKUP(A931,'Thống kê'!$C$3:$E$682,3,0)</f>
        <v>cái</v>
      </c>
      <c r="D931" s="437">
        <f>VLOOKUP(A931,'Thống kê'!$C$3:$M$682,4,0)</f>
        <v>14000</v>
      </c>
      <c r="E931" s="438">
        <v>1</v>
      </c>
      <c r="F931" s="439">
        <f t="shared" si="4"/>
        <v>14000</v>
      </c>
      <c r="G931" s="442"/>
      <c r="H931" s="446"/>
    </row>
    <row r="932" spans="1:8" ht="13.2">
      <c r="A932" s="454" t="s">
        <v>1922</v>
      </c>
      <c r="B932" s="452" t="str">
        <f>VLOOKUP(A932,'Thống kê'!$C$3:$D$669,2,0)</f>
        <v>Kẹp tóc trắng sữa</v>
      </c>
      <c r="C932" s="436" t="str">
        <f>VLOOKUP(A932,'Thống kê'!$C$3:$E$682,3,0)</f>
        <v>cái</v>
      </c>
      <c r="D932" s="437">
        <f>VLOOKUP(A932,'Thống kê'!$C$3:$M$682,4,0)</f>
        <v>14000</v>
      </c>
      <c r="E932" s="438">
        <v>1</v>
      </c>
      <c r="F932" s="439">
        <f t="shared" si="4"/>
        <v>14000</v>
      </c>
      <c r="G932" s="442"/>
      <c r="H932" s="446"/>
    </row>
    <row r="933" spans="1:8" ht="13.2">
      <c r="A933" s="454" t="s">
        <v>1947</v>
      </c>
      <c r="B933" s="452" t="str">
        <f>VLOOKUP(A933,'Thống kê'!$C$3:$D$669,2,0)</f>
        <v>Kẹp nơ trắng</v>
      </c>
      <c r="C933" s="436" t="str">
        <f>VLOOKUP(A933,'Thống kê'!$C$3:$E$682,3,0)</f>
        <v>cái</v>
      </c>
      <c r="D933" s="437">
        <f>VLOOKUP(A933,'Thống kê'!$C$3:$M$682,4,0)</f>
        <v>22000</v>
      </c>
      <c r="E933" s="438">
        <v>1</v>
      </c>
      <c r="F933" s="439">
        <f t="shared" si="4"/>
        <v>22000</v>
      </c>
      <c r="G933" s="442"/>
      <c r="H933" s="446"/>
    </row>
    <row r="934" spans="1:8" ht="13.2">
      <c r="A934" s="454" t="s">
        <v>1944</v>
      </c>
      <c r="B934" s="452" t="str">
        <f>VLOOKUP(A934,'Thống kê'!$C$3:$D$669,2,0)</f>
        <v>Ống 100 dây cột tóc be nâu</v>
      </c>
      <c r="C934" s="436" t="str">
        <f>VLOOKUP(A934,'Thống kê'!$C$3:$E$682,3,0)</f>
        <v>ống</v>
      </c>
      <c r="D934" s="437">
        <f>VLOOKUP(A934,'Thống kê'!$C$3:$M$682,4,0)</f>
        <v>30000</v>
      </c>
      <c r="E934" s="438">
        <v>1</v>
      </c>
      <c r="F934" s="439">
        <f t="shared" si="4"/>
        <v>30000</v>
      </c>
      <c r="G934" s="442"/>
      <c r="H934" s="446"/>
    </row>
    <row r="935" spans="1:8" ht="13.2">
      <c r="A935" s="454" t="s">
        <v>1948</v>
      </c>
      <c r="B935" s="452" t="str">
        <f>VLOOKUP(A935,'Thống kê'!$C$3:$D$669,2,0)</f>
        <v>Ống 6 dây cột tóc be nâu</v>
      </c>
      <c r="C935" s="436" t="str">
        <f>VLOOKUP(A935,'Thống kê'!$C$3:$E$682,3,0)</f>
        <v>ống</v>
      </c>
      <c r="D935" s="437">
        <f>VLOOKUP(A935,'Thống kê'!$C$3:$M$682,4,0)</f>
        <v>20000</v>
      </c>
      <c r="E935" s="438">
        <v>1</v>
      </c>
      <c r="F935" s="439">
        <f t="shared" si="4"/>
        <v>20000</v>
      </c>
      <c r="G935" s="442"/>
      <c r="H935" s="446"/>
    </row>
    <row r="936" spans="1:8" ht="13.2">
      <c r="A936" s="454" t="s">
        <v>1940</v>
      </c>
      <c r="B936" s="452" t="str">
        <f>VLOOKUP(A936,'Thống kê'!$C$3:$D$669,2,0)</f>
        <v>Kẹp tóc kim loại bông hoa</v>
      </c>
      <c r="C936" s="436" t="str">
        <f>VLOOKUP(A936,'Thống kê'!$C$3:$E$682,3,0)</f>
        <v>cái</v>
      </c>
      <c r="D936" s="437">
        <f>VLOOKUP(A936,'Thống kê'!$C$3:$M$682,4,0)</f>
        <v>14000</v>
      </c>
      <c r="E936" s="438">
        <v>1</v>
      </c>
      <c r="F936" s="439">
        <f t="shared" si="4"/>
        <v>14000</v>
      </c>
      <c r="G936" s="442"/>
      <c r="H936" s="446"/>
    </row>
    <row r="937" spans="1:8" ht="13.2">
      <c r="A937" s="454" t="s">
        <v>1949</v>
      </c>
      <c r="B937" s="452" t="str">
        <f>VLOOKUP(A937,'Thống kê'!$C$3:$D$669,2,0)</f>
        <v>Mô hình cún 02</v>
      </c>
      <c r="C937" s="436" t="str">
        <f>VLOOKUP(A937,'Thống kê'!$C$3:$E$682,3,0)</f>
        <v>cái</v>
      </c>
      <c r="D937" s="437">
        <f>VLOOKUP(A937,'Thống kê'!$C$3:$M$682,4,0)</f>
        <v>39000</v>
      </c>
      <c r="E937" s="438">
        <v>1</v>
      </c>
      <c r="F937" s="439">
        <f t="shared" si="4"/>
        <v>39000</v>
      </c>
      <c r="G937" s="442"/>
      <c r="H937" s="447">
        <v>126297</v>
      </c>
    </row>
    <row r="938" spans="1:8" ht="13.2">
      <c r="A938" s="454" t="s">
        <v>1950</v>
      </c>
      <c r="B938" s="452" t="str">
        <f>VLOOKUP(A938,'Thống kê'!$C$3:$D$669,2,0)</f>
        <v>Mô hình cún 03</v>
      </c>
      <c r="C938" s="436" t="str">
        <f>VLOOKUP(A938,'Thống kê'!$C$3:$E$682,3,0)</f>
        <v>cái</v>
      </c>
      <c r="D938" s="437">
        <f>VLOOKUP(A938,'Thống kê'!$C$3:$M$682,4,0)</f>
        <v>39000</v>
      </c>
      <c r="E938" s="438">
        <v>1</v>
      </c>
      <c r="F938" s="439">
        <f t="shared" si="4"/>
        <v>39000</v>
      </c>
      <c r="G938" s="442"/>
      <c r="H938" s="446"/>
    </row>
    <row r="939" spans="1:8" ht="13.2">
      <c r="A939" s="454" t="s">
        <v>1951</v>
      </c>
      <c r="B939" s="452" t="str">
        <f>VLOOKUP(A939,'Thống kê'!$C$3:$D$669,2,0)</f>
        <v>Mô hình cún 04</v>
      </c>
      <c r="C939" s="436" t="str">
        <f>VLOOKUP(A939,'Thống kê'!$C$3:$E$682,3,0)</f>
        <v>cái</v>
      </c>
      <c r="D939" s="437">
        <f>VLOOKUP(A939,'Thống kê'!$C$3:$M$682,4,0)</f>
        <v>39000</v>
      </c>
      <c r="E939" s="438">
        <v>1</v>
      </c>
      <c r="F939" s="439">
        <f t="shared" si="4"/>
        <v>39000</v>
      </c>
      <c r="G939" s="442"/>
      <c r="H939" s="446"/>
    </row>
    <row r="940" spans="1:8" ht="13.2">
      <c r="A940" s="454" t="s">
        <v>1952</v>
      </c>
      <c r="B940" s="452" t="str">
        <f>VLOOKUP(A940,'Thống kê'!$C$3:$D$669,2,0)</f>
        <v>Túi chườm bụng vịt vàng 500ml</v>
      </c>
      <c r="C940" s="436" t="str">
        <f>VLOOKUP(A940,'Thống kê'!$C$3:$E$682,3,0)</f>
        <v>túi</v>
      </c>
      <c r="D940" s="437">
        <f>VLOOKUP(A940,'Thống kê'!$C$3:$M$682,4,0)</f>
        <v>81000</v>
      </c>
      <c r="E940" s="438">
        <v>1</v>
      </c>
      <c r="F940" s="439">
        <f t="shared" si="4"/>
        <v>81000</v>
      </c>
      <c r="G940" s="442"/>
      <c r="H940" s="448">
        <v>64092</v>
      </c>
    </row>
    <row r="941" spans="1:8" ht="13.2">
      <c r="A941" s="454" t="s">
        <v>189</v>
      </c>
      <c r="B941" s="452" t="str">
        <f>VLOOKUP(A941,'Thống kê'!$C$3:$D$669,2,0)</f>
        <v>Gấu nâu gắn xe</v>
      </c>
      <c r="C941" s="436" t="str">
        <f>VLOOKUP(A941,'Thống kê'!$C$3:$E$682,3,0)</f>
        <v>cái</v>
      </c>
      <c r="D941" s="437">
        <f>VLOOKUP(A941,'Thống kê'!$C$3:$M$682,4,0)</f>
        <v>45000</v>
      </c>
      <c r="E941" s="438">
        <v>1</v>
      </c>
      <c r="F941" s="439">
        <f t="shared" si="4"/>
        <v>45000</v>
      </c>
      <c r="G941" s="442"/>
      <c r="H941" s="448">
        <v>36360</v>
      </c>
    </row>
    <row r="942" spans="1:8" ht="13.2">
      <c r="A942" s="454" t="s">
        <v>1632</v>
      </c>
      <c r="B942" s="452" t="str">
        <f>VLOOKUP(A942,'Thống kê'!$C$3:$D$669,2,0)</f>
        <v>Móc khóa đôi mèo trắng</v>
      </c>
      <c r="C942" s="436" t="str">
        <f>VLOOKUP(A942,'Thống kê'!$C$3:$E$682,3,0)</f>
        <v>cái</v>
      </c>
      <c r="D942" s="437">
        <f>VLOOKUP(A942,'Thống kê'!$C$3:$M$682,4,0)</f>
        <v>59000</v>
      </c>
      <c r="E942" s="438">
        <v>1</v>
      </c>
      <c r="F942" s="439">
        <f t="shared" si="4"/>
        <v>59000</v>
      </c>
      <c r="G942" s="442"/>
      <c r="H942" s="448">
        <v>46428</v>
      </c>
    </row>
    <row r="943" spans="1:8" ht="13.2">
      <c r="A943" s="454" t="s">
        <v>1614</v>
      </c>
      <c r="B943" s="452" t="str">
        <f>VLOOKUP(A943,'Thống kê'!$C$3:$D$669,2,0)</f>
        <v>Kẹp tóc bướm xanh ngọc</v>
      </c>
      <c r="C943" s="436" t="str">
        <f>VLOOKUP(A943,'Thống kê'!$C$3:$E$682,3,0)</f>
        <v>cái</v>
      </c>
      <c r="D943" s="437">
        <f>VLOOKUP(A943,'Thống kê'!$C$3:$M$682,4,0)</f>
        <v>38000</v>
      </c>
      <c r="E943" s="438">
        <v>1</v>
      </c>
      <c r="F943" s="439">
        <f t="shared" si="4"/>
        <v>38000</v>
      </c>
      <c r="G943" s="442"/>
      <c r="H943" s="447">
        <v>47707</v>
      </c>
    </row>
    <row r="944" spans="1:8" ht="13.2">
      <c r="A944" s="454" t="s">
        <v>1915</v>
      </c>
      <c r="B944" s="452" t="str">
        <f>VLOOKUP(A944,'Thống kê'!$C$3:$D$669,2,0)</f>
        <v>Kẹp tóc bướm trắng</v>
      </c>
      <c r="C944" s="436" t="str">
        <f>VLOOKUP(A944,'Thống kê'!$C$3:$E$682,3,0)</f>
        <v>cái</v>
      </c>
      <c r="D944" s="437">
        <f>VLOOKUP(A944,'Thống kê'!$C$3:$M$682,4,0)</f>
        <v>19000</v>
      </c>
      <c r="E944" s="438">
        <v>1</v>
      </c>
      <c r="F944" s="439">
        <f t="shared" si="4"/>
        <v>19000</v>
      </c>
      <c r="G944" s="442"/>
      <c r="H944" s="446"/>
    </row>
    <row r="945" spans="1:8" ht="13.2">
      <c r="A945" s="454" t="s">
        <v>143</v>
      </c>
      <c r="B945" s="452" t="str">
        <f>VLOOKUP(A945,'Thống kê'!$C$3:$D$669,2,0)</f>
        <v>Mèo ú</v>
      </c>
      <c r="C945" s="436" t="str">
        <f>VLOOKUP(A945,'Thống kê'!$C$3:$E$682,3,0)</f>
        <v>cái</v>
      </c>
      <c r="D945" s="437">
        <f>VLOOKUP(A945,'Thống kê'!$C$3:$M$682,4,0)</f>
        <v>59500</v>
      </c>
      <c r="E945" s="438">
        <v>1</v>
      </c>
      <c r="F945" s="439">
        <f t="shared" si="4"/>
        <v>59500</v>
      </c>
      <c r="G945" s="442"/>
      <c r="H945" s="447">
        <v>181123</v>
      </c>
    </row>
    <row r="946" spans="1:8" ht="13.2">
      <c r="A946" s="454" t="s">
        <v>115</v>
      </c>
      <c r="B946" s="452" t="str">
        <f>VLOOKUP(A946,'Thống kê'!$C$3:$D$669,2,0)</f>
        <v>Heo ú</v>
      </c>
      <c r="C946" s="436" t="str">
        <f>VLOOKUP(A946,'Thống kê'!$C$3:$E$682,3,0)</f>
        <v>cái</v>
      </c>
      <c r="D946" s="437">
        <f>VLOOKUP(A946,'Thống kê'!$C$3:$M$682,4,0)</f>
        <v>59500</v>
      </c>
      <c r="E946" s="438">
        <v>1</v>
      </c>
      <c r="F946" s="439">
        <f t="shared" si="4"/>
        <v>59500</v>
      </c>
      <c r="G946" s="442"/>
      <c r="H946" s="446"/>
    </row>
    <row r="947" spans="1:8" ht="13.2">
      <c r="A947" s="454" t="s">
        <v>1591</v>
      </c>
      <c r="B947" s="452" t="str">
        <f>VLOOKUP(A947,'Thống kê'!$C$3:$D$669,2,0)</f>
        <v>Thỏ ú</v>
      </c>
      <c r="C947" s="436" t="str">
        <f>VLOOKUP(A947,'Thống kê'!$C$3:$E$682,3,0)</f>
        <v>cái</v>
      </c>
      <c r="D947" s="437">
        <f>VLOOKUP(A947,'Thống kê'!$C$3:$M$682,4,0)</f>
        <v>59500</v>
      </c>
      <c r="E947" s="438">
        <v>1</v>
      </c>
      <c r="F947" s="439">
        <f t="shared" si="4"/>
        <v>59500</v>
      </c>
      <c r="G947" s="442"/>
      <c r="H947" s="446"/>
    </row>
    <row r="948" spans="1:8" ht="13.2">
      <c r="A948" s="454" t="s">
        <v>325</v>
      </c>
      <c r="B948" s="452" t="str">
        <f>VLOOKUP(A948,'Thống kê'!$C$3:$D$669,2,0)</f>
        <v>Gấu ú</v>
      </c>
      <c r="C948" s="436" t="str">
        <f>VLOOKUP(A948,'Thống kê'!$C$3:$E$682,3,0)</f>
        <v>cái</v>
      </c>
      <c r="D948" s="437">
        <f>VLOOKUP(A948,'Thống kê'!$C$3:$M$682,4,0)</f>
        <v>59500</v>
      </c>
      <c r="E948" s="438">
        <v>1</v>
      </c>
      <c r="F948" s="439">
        <f t="shared" si="4"/>
        <v>59500</v>
      </c>
      <c r="G948" s="442"/>
      <c r="H948" s="446"/>
    </row>
    <row r="949" spans="1:8" ht="13.2">
      <c r="A949" s="454" t="s">
        <v>1594</v>
      </c>
      <c r="B949" s="452" t="str">
        <f>VLOOKUP(A949,'Thống kê'!$C$3:$D$669,2,0)</f>
        <v>Móc khóa đôi heo</v>
      </c>
      <c r="C949" s="436" t="str">
        <f>VLOOKUP(A949,'Thống kê'!$C$3:$E$682,3,0)</f>
        <v>cái</v>
      </c>
      <c r="D949" s="437">
        <f>VLOOKUP(A949,'Thống kê'!$C$3:$M$682,4,0)</f>
        <v>56580</v>
      </c>
      <c r="E949" s="438">
        <v>1</v>
      </c>
      <c r="F949" s="439">
        <f t="shared" si="4"/>
        <v>56580</v>
      </c>
      <c r="G949" s="442"/>
      <c r="H949" s="448">
        <v>44751</v>
      </c>
    </row>
    <row r="950" spans="1:8" ht="13.2">
      <c r="A950" s="454" t="s">
        <v>1927</v>
      </c>
      <c r="B950" s="452" t="str">
        <f>VLOOKUP(A950,'Thống kê'!$C$3:$D$669,2,0)</f>
        <v>Kẹp tóc bướm tím</v>
      </c>
      <c r="C950" s="436" t="str">
        <f>VLOOKUP(A950,'Thống kê'!$C$3:$E$682,3,0)</f>
        <v>cái</v>
      </c>
      <c r="D950" s="437">
        <f>VLOOKUP(A950,'Thống kê'!$C$3:$M$682,4,0)</f>
        <v>19000</v>
      </c>
      <c r="E950" s="438">
        <v>1</v>
      </c>
      <c r="F950" s="439">
        <f t="shared" si="4"/>
        <v>19000</v>
      </c>
      <c r="G950" s="442"/>
      <c r="H950" s="447">
        <v>95431</v>
      </c>
    </row>
    <row r="951" spans="1:8" ht="13.2">
      <c r="A951" s="454" t="s">
        <v>1616</v>
      </c>
      <c r="B951" s="452" t="str">
        <f>VLOOKUP(A951,'Thống kê'!$C$3:$D$669,2,0)</f>
        <v>Kẹp tóc bướm hồng phấn</v>
      </c>
      <c r="C951" s="436" t="str">
        <f>VLOOKUP(A951,'Thống kê'!$C$3:$E$682,3,0)</f>
        <v>cái</v>
      </c>
      <c r="D951" s="437">
        <f>VLOOKUP(A951,'Thống kê'!$C$3:$M$682,4,0)</f>
        <v>40000</v>
      </c>
      <c r="E951" s="438">
        <v>1</v>
      </c>
      <c r="F951" s="439">
        <f t="shared" si="4"/>
        <v>40000</v>
      </c>
      <c r="G951" s="442"/>
      <c r="H951" s="446"/>
    </row>
    <row r="952" spans="1:8" ht="13.2">
      <c r="A952" s="454" t="s">
        <v>1614</v>
      </c>
      <c r="B952" s="452" t="str">
        <f>VLOOKUP(A952,'Thống kê'!$C$3:$D$669,2,0)</f>
        <v>Kẹp tóc bướm xanh ngọc</v>
      </c>
      <c r="C952" s="436" t="str">
        <f>VLOOKUP(A952,'Thống kê'!$C$3:$E$682,3,0)</f>
        <v>cái</v>
      </c>
      <c r="D952" s="437">
        <f>VLOOKUP(A952,'Thống kê'!$C$3:$M$682,4,0)</f>
        <v>38000</v>
      </c>
      <c r="E952" s="438">
        <v>1</v>
      </c>
      <c r="F952" s="439">
        <f t="shared" si="4"/>
        <v>38000</v>
      </c>
      <c r="G952" s="442"/>
      <c r="H952" s="446"/>
    </row>
    <row r="953" spans="1:8" ht="13.2">
      <c r="A953" s="454" t="s">
        <v>1915</v>
      </c>
      <c r="B953" s="452" t="str">
        <f>VLOOKUP(A953,'Thống kê'!$C$3:$D$669,2,0)</f>
        <v>Kẹp tóc bướm trắng</v>
      </c>
      <c r="C953" s="436" t="str">
        <f>VLOOKUP(A953,'Thống kê'!$C$3:$E$682,3,0)</f>
        <v>cái</v>
      </c>
      <c r="D953" s="437">
        <f>VLOOKUP(A953,'Thống kê'!$C$3:$M$682,4,0)</f>
        <v>19000</v>
      </c>
      <c r="E953" s="438">
        <v>1</v>
      </c>
      <c r="F953" s="439">
        <f t="shared" si="4"/>
        <v>19000</v>
      </c>
      <c r="G953" s="442"/>
      <c r="H953" s="446"/>
    </row>
    <row r="954" spans="1:8" ht="13.2">
      <c r="A954" s="454" t="s">
        <v>1953</v>
      </c>
      <c r="B954" s="452" t="str">
        <f>VLOOKUP(A954,'Thống kê'!$C$3:$D$669,2,0)</f>
        <v>Móc khóa capybara 1 - hồng áo tennis</v>
      </c>
      <c r="C954" s="436" t="str">
        <f>VLOOKUP(A954,'Thống kê'!$C$3:$E$682,3,0)</f>
        <v>cái</v>
      </c>
      <c r="D954" s="437">
        <f>VLOOKUP(A954,'Thống kê'!$C$3:$M$682,4,0)</f>
        <v>58800</v>
      </c>
      <c r="E954" s="438">
        <v>1</v>
      </c>
      <c r="F954" s="439">
        <f t="shared" si="4"/>
        <v>58800</v>
      </c>
      <c r="G954" s="442"/>
      <c r="H954" s="448">
        <v>51424</v>
      </c>
    </row>
    <row r="955" spans="1:8" ht="13.2">
      <c r="A955" s="454" t="s">
        <v>227</v>
      </c>
      <c r="B955" s="452" t="str">
        <f>VLOOKUP(A955,'Thống kê'!$C$3:$D$669,2,0)</f>
        <v>Móc khóa đôi corgy</v>
      </c>
      <c r="C955" s="436" t="str">
        <f>VLOOKUP(A955,'Thống kê'!$C$3:$E$682,3,0)</f>
        <v>cái</v>
      </c>
      <c r="D955" s="437">
        <f>VLOOKUP(A955,'Thống kê'!$C$3:$M$682,4,0)</f>
        <v>56580</v>
      </c>
      <c r="E955" s="438">
        <v>1</v>
      </c>
      <c r="F955" s="439">
        <f t="shared" si="4"/>
        <v>56580</v>
      </c>
      <c r="G955" s="442"/>
      <c r="H955" s="448">
        <v>49731</v>
      </c>
    </row>
    <row r="956" spans="1:8" ht="13.2">
      <c r="A956" s="454" t="s">
        <v>119</v>
      </c>
      <c r="B956" s="452" t="str">
        <f>VLOOKUP(A956,'Thống kê'!$C$3:$D$669,2,0)</f>
        <v>Thỏ chạy xe gắn xe</v>
      </c>
      <c r="C956" s="436" t="str">
        <f>VLOOKUP(A956,'Thống kê'!$C$3:$E$682,3,0)</f>
        <v>cái</v>
      </c>
      <c r="D956" s="437">
        <f>VLOOKUP(A956,'Thống kê'!$C$3:$M$682,4,0)</f>
        <v>45000</v>
      </c>
      <c r="E956" s="438">
        <v>1</v>
      </c>
      <c r="F956" s="439">
        <f t="shared" si="4"/>
        <v>45000</v>
      </c>
      <c r="G956" s="442"/>
      <c r="H956" s="448">
        <v>36000</v>
      </c>
    </row>
    <row r="957" spans="1:8" ht="13.2">
      <c r="A957" s="454" t="s">
        <v>1954</v>
      </c>
      <c r="B957" s="452" t="str">
        <f>VLOOKUP(A957,'Thống kê'!$C$3:$D$669,2,0)</f>
        <v>Bạch tuyết treo gương</v>
      </c>
      <c r="C957" s="436" t="str">
        <f>VLOOKUP(A957,'Thống kê'!$C$3:$E$682,3,0)</f>
        <v>cái</v>
      </c>
      <c r="D957" s="437">
        <f>VLOOKUP(A957,'Thống kê'!$C$3:$M$682,4,0)</f>
        <v>155000</v>
      </c>
      <c r="E957" s="438">
        <v>1</v>
      </c>
      <c r="F957" s="439">
        <f t="shared" si="4"/>
        <v>155000</v>
      </c>
      <c r="G957" s="442"/>
      <c r="H957" s="448">
        <v>122760</v>
      </c>
    </row>
    <row r="958" spans="1:8" ht="13.2">
      <c r="A958" s="454" t="s">
        <v>1953</v>
      </c>
      <c r="B958" s="452" t="str">
        <f>VLOOKUP(A958,'Thống kê'!$C$3:$D$669,2,0)</f>
        <v>Móc khóa capybara 1 - hồng áo tennis</v>
      </c>
      <c r="C958" s="436" t="str">
        <f>VLOOKUP(A958,'Thống kê'!$C$3:$E$682,3,0)</f>
        <v>cái</v>
      </c>
      <c r="D958" s="437">
        <f>VLOOKUP(A958,'Thống kê'!$C$3:$M$682,4,0)</f>
        <v>58800</v>
      </c>
      <c r="E958" s="438">
        <v>1</v>
      </c>
      <c r="F958" s="439">
        <f t="shared" si="4"/>
        <v>58800</v>
      </c>
      <c r="G958" s="442"/>
      <c r="H958" s="448">
        <v>51684</v>
      </c>
    </row>
    <row r="959" spans="1:8" ht="13.2">
      <c r="A959" s="454" t="s">
        <v>1955</v>
      </c>
      <c r="B959" s="452" t="str">
        <f>VLOOKUP(A959,'Thống kê'!$C$3:$D$669,2,0)</f>
        <v>Kẹp tóc bướm xanh da trời</v>
      </c>
      <c r="C959" s="436" t="str">
        <f>VLOOKUP(A959,'Thống kê'!$C$3:$E$682,3,0)</f>
        <v>cái</v>
      </c>
      <c r="D959" s="437">
        <f>VLOOKUP(A959,'Thống kê'!$C$3:$M$682,4,0)</f>
        <v>18000</v>
      </c>
      <c r="E959" s="438">
        <v>1</v>
      </c>
      <c r="F959" s="439">
        <f t="shared" si="4"/>
        <v>18000</v>
      </c>
      <c r="G959" s="442"/>
      <c r="H959" s="447">
        <v>51508</v>
      </c>
    </row>
    <row r="960" spans="1:8" ht="13.2">
      <c r="A960" s="454" t="s">
        <v>119</v>
      </c>
      <c r="B960" s="452" t="str">
        <f>VLOOKUP(A960,'Thống kê'!$C$3:$D$669,2,0)</f>
        <v>Thỏ chạy xe gắn xe</v>
      </c>
      <c r="C960" s="436" t="str">
        <f>VLOOKUP(A960,'Thống kê'!$C$3:$E$682,3,0)</f>
        <v>cái</v>
      </c>
      <c r="D960" s="437">
        <f>VLOOKUP(A960,'Thống kê'!$C$3:$M$682,4,0)</f>
        <v>45000</v>
      </c>
      <c r="E960" s="438">
        <v>1</v>
      </c>
      <c r="F960" s="439">
        <f t="shared" si="4"/>
        <v>45000</v>
      </c>
      <c r="G960" s="442"/>
      <c r="H960" s="446"/>
    </row>
    <row r="961" spans="1:8" ht="13.2">
      <c r="A961" s="454" t="s">
        <v>145</v>
      </c>
      <c r="B961" s="452" t="str">
        <f>VLOOKUP(A961,'Thống kê'!$C$3:$D$669,2,0)</f>
        <v>Thỏ đi vịt gắn xe</v>
      </c>
      <c r="C961" s="436" t="str">
        <f>VLOOKUP(A961,'Thống kê'!$C$3:$E$682,3,0)</f>
        <v>cái</v>
      </c>
      <c r="D961" s="437">
        <f>VLOOKUP(A961,'Thống kê'!$C$3:$M$682,4,0)</f>
        <v>45000</v>
      </c>
      <c r="E961" s="438">
        <v>1</v>
      </c>
      <c r="F961" s="439">
        <f t="shared" si="4"/>
        <v>45000</v>
      </c>
      <c r="G961" s="442"/>
      <c r="H961" s="448">
        <v>36180</v>
      </c>
    </row>
    <row r="962" spans="1:8" ht="13.2">
      <c r="A962" s="454" t="s">
        <v>1941</v>
      </c>
      <c r="B962" s="452" t="str">
        <f>VLOOKUP(A962,'Thống kê'!$C$3:$D$669,2,0)</f>
        <v>Móc khóa capybara 7 - táo</v>
      </c>
      <c r="C962" s="436" t="str">
        <f>VLOOKUP(A962,'Thống kê'!$C$3:$E$682,3,0)</f>
        <v>cái</v>
      </c>
      <c r="D962" s="437">
        <f>VLOOKUP(A962,'Thống kê'!$C$3:$M$682,4,0)</f>
        <v>58800</v>
      </c>
      <c r="E962" s="438">
        <v>1</v>
      </c>
      <c r="F962" s="439">
        <f t="shared" si="4"/>
        <v>58800</v>
      </c>
      <c r="G962" s="442"/>
      <c r="H962" s="448">
        <v>50844</v>
      </c>
    </row>
    <row r="963" spans="1:8" ht="13.2">
      <c r="A963" s="454" t="s">
        <v>227</v>
      </c>
      <c r="B963" s="452" t="str">
        <f>VLOOKUP(A963,'Thống kê'!$C$3:$D$669,2,0)</f>
        <v>Móc khóa đôi corgy</v>
      </c>
      <c r="C963" s="436" t="str">
        <f>VLOOKUP(A963,'Thống kê'!$C$3:$E$682,3,0)</f>
        <v>cái</v>
      </c>
      <c r="D963" s="437">
        <f>VLOOKUP(A963,'Thống kê'!$C$3:$M$682,4,0)</f>
        <v>56580</v>
      </c>
      <c r="E963" s="438">
        <v>1</v>
      </c>
      <c r="F963" s="439">
        <f t="shared" si="4"/>
        <v>56580</v>
      </c>
      <c r="G963" s="442"/>
      <c r="H963" s="447">
        <v>82115</v>
      </c>
    </row>
    <row r="964" spans="1:8" ht="13.2">
      <c r="A964" s="454" t="s">
        <v>1613</v>
      </c>
      <c r="B964" s="452" t="str">
        <f>VLOOKUP(A964,'Thống kê'!$C$3:$D$669,2,0)</f>
        <v>Kẹp tóc bướm xanh tím</v>
      </c>
      <c r="C964" s="436" t="str">
        <f>VLOOKUP(A964,'Thống kê'!$C$3:$E$682,3,0)</f>
        <v>cái</v>
      </c>
      <c r="D964" s="437">
        <f>VLOOKUP(A964,'Thống kê'!$C$3:$M$682,4,0)</f>
        <v>40000</v>
      </c>
      <c r="E964" s="438">
        <v>1</v>
      </c>
      <c r="F964" s="439">
        <f t="shared" si="4"/>
        <v>40000</v>
      </c>
      <c r="G964" s="442"/>
      <c r="H964" s="446"/>
    </row>
    <row r="965" spans="1:8" ht="13.2">
      <c r="A965" s="454" t="s">
        <v>1792</v>
      </c>
      <c r="B965" s="452" t="str">
        <f>VLOOKUP(A965,'Thống kê'!$C$3:$D$669,2,0)</f>
        <v>Mèo da treo gương</v>
      </c>
      <c r="C965" s="436" t="str">
        <f>VLOOKUP(A965,'Thống kê'!$C$3:$E$682,3,0)</f>
        <v>cái</v>
      </c>
      <c r="D965" s="437">
        <f>VLOOKUP(A965,'Thống kê'!$C$3:$M$682,4,0)</f>
        <v>71500</v>
      </c>
      <c r="E965" s="438">
        <v>1</v>
      </c>
      <c r="F965" s="439">
        <f t="shared" si="4"/>
        <v>71500</v>
      </c>
      <c r="G965" s="442"/>
      <c r="H965" s="448">
        <v>56568</v>
      </c>
    </row>
    <row r="966" spans="1:8" ht="13.2">
      <c r="A966" s="454" t="s">
        <v>1587</v>
      </c>
      <c r="B966" s="452" t="str">
        <f>VLOOKUP(A966,'Thống kê'!$C$3:$D$669,2,0)</f>
        <v>Vịt ú bay</v>
      </c>
      <c r="C966" s="436" t="str">
        <f>VLOOKUP(A966,'Thống kê'!$C$3:$E$682,3,0)</f>
        <v>cái</v>
      </c>
      <c r="D966" s="437">
        <f>VLOOKUP(A966,'Thống kê'!$C$3:$M$682,4,0)</f>
        <v>64500</v>
      </c>
      <c r="E966" s="438">
        <v>1</v>
      </c>
      <c r="F966" s="439">
        <f t="shared" si="4"/>
        <v>64500</v>
      </c>
      <c r="G966" s="442"/>
      <c r="H966" s="447">
        <v>128695</v>
      </c>
    </row>
    <row r="967" spans="1:8" ht="13.2">
      <c r="A967" s="454" t="s">
        <v>115</v>
      </c>
      <c r="B967" s="452" t="str">
        <f>VLOOKUP(A967,'Thống kê'!$C$3:$D$669,2,0)</f>
        <v>Heo ú</v>
      </c>
      <c r="C967" s="436" t="str">
        <f>VLOOKUP(A967,'Thống kê'!$C$3:$E$682,3,0)</f>
        <v>cái</v>
      </c>
      <c r="D967" s="437">
        <f>VLOOKUP(A967,'Thống kê'!$C$3:$M$682,4,0)</f>
        <v>59500</v>
      </c>
      <c r="E967" s="438">
        <v>1</v>
      </c>
      <c r="F967" s="439">
        <f t="shared" si="4"/>
        <v>59500</v>
      </c>
      <c r="G967" s="442"/>
      <c r="H967" s="446"/>
    </row>
    <row r="968" spans="1:8" ht="13.2">
      <c r="A968" s="454" t="s">
        <v>145</v>
      </c>
      <c r="B968" s="452" t="str">
        <f>VLOOKUP(A968,'Thống kê'!$C$3:$D$669,2,0)</f>
        <v>Thỏ đi vịt gắn xe</v>
      </c>
      <c r="C968" s="436" t="str">
        <f>VLOOKUP(A968,'Thống kê'!$C$3:$E$682,3,0)</f>
        <v>cái</v>
      </c>
      <c r="D968" s="437">
        <f>VLOOKUP(A968,'Thống kê'!$C$3:$M$682,4,0)</f>
        <v>45000</v>
      </c>
      <c r="E968" s="438">
        <v>1</v>
      </c>
      <c r="F968" s="439">
        <f t="shared" si="4"/>
        <v>45000</v>
      </c>
      <c r="G968" s="442"/>
      <c r="H968" s="446"/>
    </row>
    <row r="969" spans="1:8" ht="13.2">
      <c r="A969" s="454" t="s">
        <v>269</v>
      </c>
      <c r="B969" s="452" t="str">
        <f>VLOOKUP(A969,'Thống kê'!$C$3:$D$669,2,0)</f>
        <v>Dao rọc giấy 17</v>
      </c>
      <c r="C969" s="436" t="str">
        <f>VLOOKUP(A969,'Thống kê'!$C$3:$E$682,3,0)</f>
        <v>cái</v>
      </c>
      <c r="D969" s="437">
        <f>VLOOKUP(A969,'Thống kê'!$C$3:$M$682,4,0)</f>
        <v>12000</v>
      </c>
      <c r="E969" s="438">
        <v>1</v>
      </c>
      <c r="F969" s="439">
        <f t="shared" si="4"/>
        <v>12000</v>
      </c>
      <c r="G969" s="442"/>
      <c r="H969" s="447">
        <v>48520</v>
      </c>
    </row>
    <row r="970" spans="1:8" ht="13.2">
      <c r="A970" s="454" t="s">
        <v>145</v>
      </c>
      <c r="B970" s="452" t="str">
        <f>VLOOKUP(A970,'Thống kê'!$C$3:$D$669,2,0)</f>
        <v>Thỏ đi vịt gắn xe</v>
      </c>
      <c r="C970" s="436" t="str">
        <f>VLOOKUP(A970,'Thống kê'!$C$3:$E$682,3,0)</f>
        <v>cái</v>
      </c>
      <c r="D970" s="437">
        <f>VLOOKUP(A970,'Thống kê'!$C$3:$M$682,4,0)</f>
        <v>45000</v>
      </c>
      <c r="E970" s="438">
        <v>1</v>
      </c>
      <c r="F970" s="439">
        <f t="shared" si="4"/>
        <v>45000</v>
      </c>
      <c r="G970" s="442"/>
      <c r="H970" s="446"/>
    </row>
    <row r="971" spans="1:8" ht="13.2">
      <c r="A971" s="454" t="s">
        <v>1625</v>
      </c>
      <c r="B971" s="452" t="str">
        <f>VLOOKUP(A971,'Thống kê'!$C$3:$D$669,2,0)</f>
        <v>Móc khóa đôi 2 mèo trắng nâu</v>
      </c>
      <c r="C971" s="436" t="str">
        <f>VLOOKUP(A971,'Thống kê'!$C$3:$E$682,3,0)</f>
        <v>cái</v>
      </c>
      <c r="D971" s="437">
        <f>VLOOKUP(A971,'Thống kê'!$C$3:$M$682,4,0)</f>
        <v>59000</v>
      </c>
      <c r="E971" s="438">
        <v>1</v>
      </c>
      <c r="F971" s="439">
        <f t="shared" si="4"/>
        <v>59000</v>
      </c>
      <c r="G971" s="442"/>
      <c r="H971" s="447">
        <v>103664</v>
      </c>
    </row>
    <row r="972" spans="1:8" ht="13.2">
      <c r="A972" s="454" t="s">
        <v>1956</v>
      </c>
      <c r="B972" s="452" t="str">
        <f>VLOOKUP(A972,'Thống kê'!$C$3:$D$669,2,0)</f>
        <v>Móc khóa capybara 9 - mũ gấu</v>
      </c>
      <c r="C972" s="436" t="str">
        <f>VLOOKUP(A972,'Thống kê'!$C$3:$E$682,3,0)</f>
        <v>cái</v>
      </c>
      <c r="D972" s="437">
        <f>VLOOKUP(A972,'Thống kê'!$C$3:$M$682,4,0)</f>
        <v>58800</v>
      </c>
      <c r="E972" s="438">
        <v>1</v>
      </c>
      <c r="F972" s="439">
        <f t="shared" si="4"/>
        <v>58800</v>
      </c>
      <c r="G972" s="442"/>
      <c r="H972" s="446"/>
    </row>
    <row r="973" spans="1:8" ht="13.2">
      <c r="A973" s="454" t="s">
        <v>1594</v>
      </c>
      <c r="B973" s="452" t="str">
        <f>VLOOKUP(A973,'Thống kê'!$C$3:$D$669,2,0)</f>
        <v>Móc khóa đôi heo</v>
      </c>
      <c r="C973" s="436" t="str">
        <f>VLOOKUP(A973,'Thống kê'!$C$3:$E$682,3,0)</f>
        <v>cái</v>
      </c>
      <c r="D973" s="437">
        <f>VLOOKUP(A973,'Thống kê'!$C$3:$M$682,4,0)</f>
        <v>56580</v>
      </c>
      <c r="E973" s="438">
        <v>1</v>
      </c>
      <c r="F973" s="439">
        <f t="shared" si="4"/>
        <v>56580</v>
      </c>
      <c r="G973" s="442"/>
      <c r="H973" s="448">
        <v>49731</v>
      </c>
    </row>
    <row r="974" spans="1:8" ht="13.2">
      <c r="A974" s="454" t="s">
        <v>143</v>
      </c>
      <c r="B974" s="452" t="str">
        <f>VLOOKUP(A974,'Thống kê'!$C$3:$D$669,2,0)</f>
        <v>Mèo ú</v>
      </c>
      <c r="C974" s="436" t="str">
        <f>VLOOKUP(A974,'Thống kê'!$C$3:$E$682,3,0)</f>
        <v>cái</v>
      </c>
      <c r="D974" s="437">
        <f>VLOOKUP(A974,'Thống kê'!$C$3:$M$682,4,0)</f>
        <v>59500</v>
      </c>
      <c r="E974" s="438">
        <v>1</v>
      </c>
      <c r="F974" s="439">
        <f t="shared" si="4"/>
        <v>59500</v>
      </c>
      <c r="G974" s="442"/>
      <c r="H974" s="447">
        <v>91291</v>
      </c>
    </row>
    <row r="975" spans="1:8" ht="13.2">
      <c r="A975" s="454" t="s">
        <v>1632</v>
      </c>
      <c r="B975" s="452" t="str">
        <f>VLOOKUP(A975,'Thống kê'!$C$3:$D$669,2,0)</f>
        <v>Móc khóa đôi mèo trắng</v>
      </c>
      <c r="C975" s="436" t="str">
        <f>VLOOKUP(A975,'Thống kê'!$C$3:$E$682,3,0)</f>
        <v>cái</v>
      </c>
      <c r="D975" s="437">
        <f>VLOOKUP(A975,'Thống kê'!$C$3:$M$682,4,0)</f>
        <v>59000</v>
      </c>
      <c r="E975" s="438">
        <v>1</v>
      </c>
      <c r="F975" s="439">
        <f t="shared" si="4"/>
        <v>59000</v>
      </c>
      <c r="G975" s="442"/>
      <c r="H975" s="446"/>
    </row>
    <row r="976" spans="1:8" ht="13.8">
      <c r="A976" s="457" t="s">
        <v>1930</v>
      </c>
      <c r="B976" s="452" t="str">
        <f>VLOOKUP(A976,'Thống kê'!$C$3:$D$669,2,0)</f>
        <v>Kẹp nơ hồng</v>
      </c>
      <c r="C976" s="436" t="str">
        <f>VLOOKUP(A976,'Thống kê'!$C$3:$E$682,3,0)</f>
        <v>cái</v>
      </c>
      <c r="D976" s="437">
        <f>VLOOKUP(A976,'Thống kê'!$C$3:$M$682,4,0)</f>
        <v>22000</v>
      </c>
      <c r="E976" s="438">
        <v>1</v>
      </c>
      <c r="F976" s="439">
        <f t="shared" si="4"/>
        <v>22000</v>
      </c>
      <c r="G976" s="442"/>
      <c r="H976" s="447">
        <v>38720</v>
      </c>
    </row>
    <row r="977" spans="1:8" ht="13.8">
      <c r="A977" s="457" t="s">
        <v>1947</v>
      </c>
      <c r="B977" s="452" t="str">
        <f>VLOOKUP(A977,'Thống kê'!$C$3:$D$669,2,0)</f>
        <v>Kẹp nơ trắng</v>
      </c>
      <c r="C977" s="436" t="str">
        <f>VLOOKUP(A977,'Thống kê'!$C$3:$E$682,3,0)</f>
        <v>cái</v>
      </c>
      <c r="D977" s="437">
        <f>VLOOKUP(A977,'Thống kê'!$C$3:$M$682,4,0)</f>
        <v>22000</v>
      </c>
      <c r="E977" s="438">
        <v>1</v>
      </c>
      <c r="F977" s="439">
        <f t="shared" si="4"/>
        <v>22000</v>
      </c>
      <c r="G977" s="442"/>
      <c r="H977" s="446"/>
    </row>
    <row r="978" spans="1:8" ht="13.8">
      <c r="A978" s="457" t="s">
        <v>1945</v>
      </c>
      <c r="B978" s="452" t="str">
        <f>VLOOKUP(A978,'Thống kê'!$C$3:$D$669,2,0)</f>
        <v>Móc khóa capybara 8 - sổ mũi cam</v>
      </c>
      <c r="C978" s="436" t="str">
        <f>VLOOKUP(A978,'Thống kê'!$C$3:$E$682,3,0)</f>
        <v>cái</v>
      </c>
      <c r="D978" s="437">
        <f>VLOOKUP(A978,'Thống kê'!$C$3:$M$682,4,0)</f>
        <v>58800</v>
      </c>
      <c r="E978" s="438">
        <v>1</v>
      </c>
      <c r="F978" s="439">
        <f t="shared" si="4"/>
        <v>58800</v>
      </c>
      <c r="G978" s="442"/>
      <c r="H978" s="448">
        <v>51224</v>
      </c>
    </row>
    <row r="979" spans="1:8" ht="13.8">
      <c r="A979" s="457" t="s">
        <v>1594</v>
      </c>
      <c r="B979" s="452" t="str">
        <f>VLOOKUP(A979,'Thống kê'!$C$3:$D$669,2,0)</f>
        <v>Móc khóa đôi heo</v>
      </c>
      <c r="C979" s="436" t="str">
        <f>VLOOKUP(A979,'Thống kê'!$C$3:$E$682,3,0)</f>
        <v>cái</v>
      </c>
      <c r="D979" s="437">
        <f>VLOOKUP(A979,'Thống kê'!$C$3:$M$682,4,0)</f>
        <v>56580</v>
      </c>
      <c r="E979" s="438">
        <v>1</v>
      </c>
      <c r="F979" s="439">
        <f t="shared" si="4"/>
        <v>56580</v>
      </c>
      <c r="G979" s="442"/>
      <c r="H979" s="448">
        <v>49791</v>
      </c>
    </row>
    <row r="980" spans="1:8" ht="13.8">
      <c r="A980" s="457" t="s">
        <v>1612</v>
      </c>
      <c r="B980" s="452" t="str">
        <f>VLOOKUP(A980,'Thống kê'!$C$3:$D$669,2,0)</f>
        <v>Kẹp tóc bướm trắng</v>
      </c>
      <c r="C980" s="436" t="str">
        <f>VLOOKUP(A980,'Thống kê'!$C$3:$E$682,3,0)</f>
        <v>cái</v>
      </c>
      <c r="D980" s="437">
        <f>VLOOKUP(A980,'Thống kê'!$C$3:$M$682,4,0)</f>
        <v>40000</v>
      </c>
      <c r="E980" s="438">
        <v>1</v>
      </c>
      <c r="F980" s="439">
        <f t="shared" si="4"/>
        <v>40000</v>
      </c>
      <c r="G980" s="442"/>
      <c r="H980" s="447">
        <v>116583</v>
      </c>
    </row>
    <row r="981" spans="1:8" ht="13.2">
      <c r="A981" s="454" t="s">
        <v>1618</v>
      </c>
      <c r="B981" s="452" t="str">
        <f>VLOOKUP(A981,'Thống kê'!$C$3:$D$669,2,0)</f>
        <v>Kẹp tóc bướm hồng trắng</v>
      </c>
      <c r="C981" s="436" t="str">
        <f>VLOOKUP(A981,'Thống kê'!$C$3:$E$682,3,0)</f>
        <v>cái</v>
      </c>
      <c r="D981" s="437">
        <f>VLOOKUP(A981,'Thống kê'!$C$3:$M$682,4,0)</f>
        <v>52000</v>
      </c>
      <c r="E981" s="438">
        <v>1</v>
      </c>
      <c r="F981" s="439">
        <f t="shared" si="4"/>
        <v>52000</v>
      </c>
      <c r="G981" s="442"/>
      <c r="H981" s="446"/>
    </row>
    <row r="982" spans="1:8" ht="13.2">
      <c r="A982" s="454" t="s">
        <v>1632</v>
      </c>
      <c r="B982" s="452" t="str">
        <f>VLOOKUP(A982,'Thống kê'!$C$3:$D$669,2,0)</f>
        <v>Móc khóa đôi mèo trắng</v>
      </c>
      <c r="C982" s="436" t="str">
        <f>VLOOKUP(A982,'Thống kê'!$C$3:$E$682,3,0)</f>
        <v>cái</v>
      </c>
      <c r="D982" s="437">
        <f>VLOOKUP(A982,'Thống kê'!$C$3:$M$682,4,0)</f>
        <v>59000</v>
      </c>
      <c r="E982" s="438">
        <v>1</v>
      </c>
      <c r="F982" s="439">
        <f t="shared" si="4"/>
        <v>59000</v>
      </c>
      <c r="G982" s="442"/>
      <c r="H982" s="448">
        <v>51860</v>
      </c>
    </row>
    <row r="983" spans="1:8" ht="13.2">
      <c r="A983" s="454" t="s">
        <v>119</v>
      </c>
      <c r="B983" s="452" t="str">
        <f>VLOOKUP(A983,'Thống kê'!$C$3:$D$669,2,0)</f>
        <v>Thỏ chạy xe gắn xe</v>
      </c>
      <c r="C983" s="436" t="str">
        <f>VLOOKUP(A983,'Thống kê'!$C$3:$E$682,3,0)</f>
        <v>cái</v>
      </c>
      <c r="D983" s="437">
        <f>VLOOKUP(A983,'Thống kê'!$C$3:$M$682,4,0)</f>
        <v>45000</v>
      </c>
      <c r="E983" s="438">
        <v>1</v>
      </c>
      <c r="F983" s="439">
        <f t="shared" si="4"/>
        <v>45000</v>
      </c>
      <c r="G983" s="442"/>
      <c r="H983" s="448">
        <v>36180</v>
      </c>
    </row>
    <row r="984" spans="1:8" ht="13.2">
      <c r="A984" s="454" t="s">
        <v>1619</v>
      </c>
      <c r="B984" s="452" t="str">
        <f>VLOOKUP(A984,'Thống kê'!$C$3:$D$669,2,0)</f>
        <v>Kẹp tóc bướm xanh trắng</v>
      </c>
      <c r="C984" s="436" t="str">
        <f>VLOOKUP(A984,'Thống kê'!$C$3:$E$682,3,0)</f>
        <v>cái</v>
      </c>
      <c r="D984" s="437">
        <f>VLOOKUP(A984,'Thống kê'!$C$3:$M$682,4,0)</f>
        <v>52000</v>
      </c>
      <c r="E984" s="438">
        <v>1</v>
      </c>
      <c r="F984" s="439">
        <f t="shared" si="4"/>
        <v>52000</v>
      </c>
      <c r="G984" s="442"/>
      <c r="H984" s="448">
        <v>42039</v>
      </c>
    </row>
    <row r="985" spans="1:8" ht="13.2">
      <c r="A985" s="454" t="s">
        <v>1622</v>
      </c>
      <c r="B985" s="452" t="str">
        <f>VLOOKUP(A985,'Thống kê'!$C$3:$D$669,2,0)</f>
        <v>Mô hình mèo 1</v>
      </c>
      <c r="C985" s="436" t="str">
        <f>VLOOKUP(A985,'Thống kê'!$C$3:$E$682,3,0)</f>
        <v>cái</v>
      </c>
      <c r="D985" s="437">
        <f>VLOOKUP(A985,'Thống kê'!$C$3:$M$682,4,0)</f>
        <v>37800</v>
      </c>
      <c r="E985" s="438">
        <v>1</v>
      </c>
      <c r="F985" s="439">
        <f t="shared" si="4"/>
        <v>37800</v>
      </c>
      <c r="G985" s="442"/>
      <c r="H985" s="447">
        <v>67287</v>
      </c>
    </row>
    <row r="986" spans="1:8" ht="13.2">
      <c r="A986" s="454" t="s">
        <v>1635</v>
      </c>
      <c r="B986" s="452" t="str">
        <f>VLOOKUP(A986,'Thống kê'!$C$3:$D$669,2,0)</f>
        <v>Mô hình mèo 4</v>
      </c>
      <c r="C986" s="436" t="str">
        <f>VLOOKUP(A986,'Thống kê'!$C$3:$E$682,3,0)</f>
        <v>cái</v>
      </c>
      <c r="D986" s="437">
        <f>VLOOKUP(A986,'Thống kê'!$C$3:$M$682,4,0)</f>
        <v>37800</v>
      </c>
      <c r="E986" s="438">
        <v>1</v>
      </c>
      <c r="F986" s="439">
        <f t="shared" si="4"/>
        <v>37800</v>
      </c>
      <c r="G986" s="442"/>
      <c r="H986" s="446"/>
    </row>
    <row r="987" spans="1:8" ht="13.2">
      <c r="A987" s="454" t="s">
        <v>1594</v>
      </c>
      <c r="B987" s="452" t="str">
        <f>VLOOKUP(A987,'Thống kê'!$C$3:$D$669,2,0)</f>
        <v>Móc khóa đôi heo</v>
      </c>
      <c r="C987" s="436" t="str">
        <f>VLOOKUP(A987,'Thống kê'!$C$3:$E$682,3,0)</f>
        <v>cái</v>
      </c>
      <c r="D987" s="437">
        <f>VLOOKUP(A987,'Thống kê'!$C$3:$M$682,4,0)</f>
        <v>56580</v>
      </c>
      <c r="E987" s="438">
        <v>1</v>
      </c>
      <c r="F987" s="439">
        <f t="shared" si="4"/>
        <v>56580</v>
      </c>
      <c r="G987" s="442"/>
      <c r="H987" s="448">
        <v>49091</v>
      </c>
    </row>
    <row r="988" spans="1:8" ht="13.2">
      <c r="A988" s="454" t="s">
        <v>1642</v>
      </c>
      <c r="B988" s="452" t="str">
        <f>VLOOKUP(A988,'Thống kê'!$C$3:$D$669,2,0)</f>
        <v>Túi chườm bụng dứa (xanh đậm) 1000ml</v>
      </c>
      <c r="C988" s="436" t="str">
        <f>VLOOKUP(A988,'Thống kê'!$C$3:$E$682,3,0)</f>
        <v>túi</v>
      </c>
      <c r="D988" s="437">
        <f>VLOOKUP(A988,'Thống kê'!$C$3:$M$682,4,0)</f>
        <v>101150</v>
      </c>
      <c r="E988" s="438">
        <v>1</v>
      </c>
      <c r="F988" s="439">
        <f t="shared" si="4"/>
        <v>101150</v>
      </c>
      <c r="G988" s="442"/>
      <c r="H988" s="448">
        <v>104620</v>
      </c>
    </row>
    <row r="989" spans="1:8" ht="13.2">
      <c r="A989" s="454" t="s">
        <v>1632</v>
      </c>
      <c r="B989" s="452" t="str">
        <f>VLOOKUP(A989,'Thống kê'!$C$3:$D$669,2,0)</f>
        <v>Móc khóa đôi mèo trắng</v>
      </c>
      <c r="C989" s="436" t="str">
        <f>VLOOKUP(A989,'Thống kê'!$C$3:$E$682,3,0)</f>
        <v>cái</v>
      </c>
      <c r="D989" s="437">
        <f>VLOOKUP(A989,'Thống kê'!$C$3:$M$682,4,0)</f>
        <v>59000</v>
      </c>
      <c r="E989" s="438">
        <v>1</v>
      </c>
      <c r="F989" s="439">
        <f t="shared" si="4"/>
        <v>59000</v>
      </c>
      <c r="G989" s="442"/>
      <c r="H989" s="448">
        <v>50612</v>
      </c>
    </row>
    <row r="990" spans="1:8" ht="13.2">
      <c r="A990" s="454" t="s">
        <v>1618</v>
      </c>
      <c r="B990" s="452" t="str">
        <f>VLOOKUP(A990,'Thống kê'!$C$3:$D$669,2,0)</f>
        <v>Kẹp tóc bướm hồng trắng</v>
      </c>
      <c r="C990" s="436" t="str">
        <f>VLOOKUP(A990,'Thống kê'!$C$3:$E$682,3,0)</f>
        <v>cái</v>
      </c>
      <c r="D990" s="437">
        <f>VLOOKUP(A990,'Thống kê'!$C$3:$M$682,4,0)</f>
        <v>52000</v>
      </c>
      <c r="E990" s="438">
        <v>1</v>
      </c>
      <c r="F990" s="439">
        <f t="shared" si="4"/>
        <v>52000</v>
      </c>
      <c r="G990" s="442"/>
      <c r="H990" s="447">
        <v>75719</v>
      </c>
    </row>
    <row r="991" spans="1:8" ht="13.2">
      <c r="A991" s="454" t="s">
        <v>1619</v>
      </c>
      <c r="B991" s="452" t="str">
        <f>VLOOKUP(A991,'Thống kê'!$C$3:$D$669,2,0)</f>
        <v>Kẹp tóc bướm xanh trắng</v>
      </c>
      <c r="C991" s="436" t="str">
        <f>VLOOKUP(A991,'Thống kê'!$C$3:$E$682,3,0)</f>
        <v>cái</v>
      </c>
      <c r="D991" s="437">
        <f>VLOOKUP(A991,'Thống kê'!$C$3:$M$682,4,0)</f>
        <v>52000</v>
      </c>
      <c r="E991" s="438">
        <v>1</v>
      </c>
      <c r="F991" s="439">
        <f t="shared" si="4"/>
        <v>52000</v>
      </c>
      <c r="G991" s="442"/>
      <c r="H991" s="446"/>
    </row>
    <row r="992" spans="1:8" ht="13.2">
      <c r="A992" s="454" t="s">
        <v>1594</v>
      </c>
      <c r="B992" s="452" t="str">
        <f>VLOOKUP(A992,'Thống kê'!$C$3:$D$669,2,0)</f>
        <v>Móc khóa đôi heo</v>
      </c>
      <c r="C992" s="436" t="str">
        <f>VLOOKUP(A992,'Thống kê'!$C$3:$E$682,3,0)</f>
        <v>cái</v>
      </c>
      <c r="D992" s="437">
        <f>VLOOKUP(A992,'Thống kê'!$C$3:$M$682,4,0)</f>
        <v>56580</v>
      </c>
      <c r="E992" s="438">
        <v>1</v>
      </c>
      <c r="F992" s="439">
        <f t="shared" si="4"/>
        <v>56580</v>
      </c>
      <c r="G992" s="442"/>
      <c r="H992" s="447">
        <v>104861</v>
      </c>
    </row>
    <row r="993" spans="1:8" ht="13.2">
      <c r="A993" s="454" t="s">
        <v>1606</v>
      </c>
      <c r="B993" s="452" t="str">
        <f>VLOOKUP(A993,'Thống kê'!$C$3:$D$669,2,0)</f>
        <v>Kẹp Snack hình khoai tay gọt</v>
      </c>
      <c r="C993" s="436" t="str">
        <f>VLOOKUP(A993,'Thống kê'!$C$3:$E$682,3,0)</f>
        <v>cái</v>
      </c>
      <c r="D993" s="437">
        <f>VLOOKUP(A993,'Thống kê'!$C$3:$M$682,4,0)</f>
        <v>12000</v>
      </c>
      <c r="E993" s="438">
        <v>1</v>
      </c>
      <c r="F993" s="439">
        <f t="shared" si="4"/>
        <v>12000</v>
      </c>
      <c r="G993" s="442"/>
      <c r="H993" s="446"/>
    </row>
    <row r="994" spans="1:8" ht="13.2">
      <c r="A994" s="454" t="s">
        <v>1633</v>
      </c>
      <c r="B994" s="452" t="str">
        <f>VLOOKUP(A994,'Thống kê'!$C$3:$D$669,2,0)</f>
        <v>Móc khóa đôi gà rán bia</v>
      </c>
      <c r="C994" s="436" t="str">
        <f>VLOOKUP(A994,'Thống kê'!$C$3:$E$682,3,0)</f>
        <v>cái</v>
      </c>
      <c r="D994" s="437">
        <f>VLOOKUP(A994,'Thống kê'!$C$3:$M$682,4,0)</f>
        <v>56580</v>
      </c>
      <c r="E994" s="438">
        <v>1</v>
      </c>
      <c r="F994" s="439">
        <f t="shared" si="4"/>
        <v>56580</v>
      </c>
      <c r="G994" s="442"/>
      <c r="H994" s="446"/>
    </row>
    <row r="995" spans="1:8" ht="13.2">
      <c r="A995" s="454" t="s">
        <v>1843</v>
      </c>
      <c r="B995" s="452" t="str">
        <f>VLOOKUP(A995,'Thống kê'!$C$3:$D$669,2,0)</f>
        <v>Trâm cài 23</v>
      </c>
      <c r="C995" s="436" t="str">
        <f>VLOOKUP(A995,'Thống kê'!$C$3:$E$682,3,0)</f>
        <v>cây</v>
      </c>
      <c r="D995" s="437">
        <f>VLOOKUP(A995,'Thống kê'!$C$3:$M$682,4,0)</f>
        <v>33120</v>
      </c>
      <c r="E995" s="438">
        <v>1</v>
      </c>
      <c r="F995" s="439">
        <f t="shared" si="4"/>
        <v>33120</v>
      </c>
      <c r="G995" s="442"/>
      <c r="H995" s="447">
        <v>52322</v>
      </c>
    </row>
    <row r="996" spans="1:8" ht="13.2">
      <c r="A996" s="454" t="s">
        <v>1873</v>
      </c>
      <c r="B996" s="452" t="str">
        <f>VLOOKUP(A996,'Thống kê'!$C$3:$D$669,2,0)</f>
        <v>Trâm cài 26</v>
      </c>
      <c r="C996" s="436" t="str">
        <f>VLOOKUP(A996,'Thống kê'!$C$3:$E$682,3,0)</f>
        <v>cây</v>
      </c>
      <c r="D996" s="437">
        <f>VLOOKUP(A996,'Thống kê'!$C$3:$M$682,4,0)</f>
        <v>33120</v>
      </c>
      <c r="E996" s="438">
        <v>1</v>
      </c>
      <c r="F996" s="439">
        <f t="shared" si="4"/>
        <v>33120</v>
      </c>
      <c r="G996" s="442"/>
      <c r="H996" s="446"/>
    </row>
    <row r="997" spans="1:8" ht="13.2">
      <c r="A997" s="454" t="s">
        <v>186</v>
      </c>
      <c r="B997" s="452" t="str">
        <f>VLOOKUP(A997,'Thống kê'!$C$3:$D$669,2,0)</f>
        <v>Thỏ ú bay</v>
      </c>
      <c r="C997" s="436" t="str">
        <f>VLOOKUP(A997,'Thống kê'!$C$3:$E$682,3,0)</f>
        <v>cái</v>
      </c>
      <c r="D997" s="437">
        <f>VLOOKUP(A997,'Thống kê'!$C$3:$M$682,4,0)</f>
        <v>64500</v>
      </c>
      <c r="E997" s="438">
        <v>2</v>
      </c>
      <c r="F997" s="439">
        <f t="shared" si="4"/>
        <v>129000</v>
      </c>
      <c r="G997" s="442"/>
      <c r="H997" s="447">
        <v>151526</v>
      </c>
    </row>
    <row r="998" spans="1:8" ht="13.2">
      <c r="A998" s="454" t="s">
        <v>1590</v>
      </c>
      <c r="B998" s="452" t="str">
        <f>VLOOKUP(A998,'Thống kê'!$C$3:$D$669,2,0)</f>
        <v>Cún ú hoa</v>
      </c>
      <c r="C998" s="436" t="str">
        <f>VLOOKUP(A998,'Thống kê'!$C$3:$E$682,3,0)</f>
        <v>cái</v>
      </c>
      <c r="D998" s="437">
        <f>VLOOKUP(A998,'Thống kê'!$C$3:$M$682,4,0)</f>
        <v>64500</v>
      </c>
      <c r="E998" s="438">
        <v>1</v>
      </c>
      <c r="F998" s="439">
        <f t="shared" si="4"/>
        <v>64500</v>
      </c>
      <c r="G998" s="442"/>
      <c r="H998" s="446"/>
    </row>
    <row r="999" spans="1:8" ht="13.2">
      <c r="A999" s="454" t="s">
        <v>1792</v>
      </c>
      <c r="B999" s="452" t="str">
        <f>VLOOKUP(A999,'Thống kê'!$C$3:$D$669,2,0)</f>
        <v>Mèo da treo gương</v>
      </c>
      <c r="C999" s="436" t="str">
        <f>VLOOKUP(A999,'Thống kê'!$C$3:$E$682,3,0)</f>
        <v>cái</v>
      </c>
      <c r="D999" s="437">
        <f>VLOOKUP(A999,'Thống kê'!$C$3:$M$682,4,0)</f>
        <v>71500</v>
      </c>
      <c r="E999" s="438">
        <v>1</v>
      </c>
      <c r="F999" s="439">
        <f t="shared" si="4"/>
        <v>71500</v>
      </c>
      <c r="G999" s="442"/>
      <c r="H999" s="447">
        <v>308809</v>
      </c>
    </row>
    <row r="1000" spans="1:8" ht="13.2">
      <c r="A1000" s="454" t="s">
        <v>1782</v>
      </c>
      <c r="B1000" s="452" t="str">
        <f>VLOOKUP(A1000,'Thống kê'!$C$3:$D$669,2,0)</f>
        <v>Mèo xám treo gương</v>
      </c>
      <c r="C1000" s="436" t="str">
        <f>VLOOKUP(A1000,'Thống kê'!$C$3:$E$682,3,0)</f>
        <v>cái</v>
      </c>
      <c r="D1000" s="437">
        <f>VLOOKUP(A1000,'Thống kê'!$C$3:$M$682,4,0)</f>
        <v>71500</v>
      </c>
      <c r="E1000" s="438">
        <v>1</v>
      </c>
      <c r="F1000" s="439">
        <f t="shared" si="4"/>
        <v>71500</v>
      </c>
      <c r="G1000" s="442"/>
      <c r="H1000" s="446"/>
    </row>
    <row r="1001" spans="1:8" ht="13.2">
      <c r="A1001" s="454" t="s">
        <v>1854</v>
      </c>
      <c r="B1001" s="452" t="str">
        <f>VLOOKUP(A1001,'Thống kê'!$C$3:$D$669,2,0)</f>
        <v>Mèo vàng treo gương</v>
      </c>
      <c r="C1001" s="436" t="str">
        <f>VLOOKUP(A1001,'Thống kê'!$C$3:$E$682,3,0)</f>
        <v>cái</v>
      </c>
      <c r="D1001" s="437">
        <f>VLOOKUP(A1001,'Thống kê'!$C$3:$M$682,4,0)</f>
        <v>71500</v>
      </c>
      <c r="E1001" s="438">
        <v>1</v>
      </c>
      <c r="F1001" s="439">
        <f t="shared" si="4"/>
        <v>71500</v>
      </c>
      <c r="G1001" s="442"/>
      <c r="H1001" s="446"/>
    </row>
    <row r="1002" spans="1:8" ht="13.2">
      <c r="A1002" s="454" t="s">
        <v>1818</v>
      </c>
      <c r="B1002" s="452" t="str">
        <f>VLOOKUP(A1002,'Thống kê'!$C$3:$D$669,2,0)</f>
        <v>Mèo trắng treo gương</v>
      </c>
      <c r="C1002" s="436" t="str">
        <f>VLOOKUP(A1002,'Thống kê'!$C$3:$E$682,3,0)</f>
        <v>cái</v>
      </c>
      <c r="D1002" s="437">
        <f>VLOOKUP(A1002,'Thống kê'!$C$3:$M$682,4,0)</f>
        <v>71500</v>
      </c>
      <c r="E1002" s="438">
        <v>1</v>
      </c>
      <c r="F1002" s="439">
        <f t="shared" si="4"/>
        <v>71500</v>
      </c>
      <c r="G1002" s="442"/>
      <c r="H1002" s="446"/>
    </row>
    <row r="1003" spans="1:8" ht="13.2">
      <c r="A1003" s="454" t="s">
        <v>1621</v>
      </c>
      <c r="B1003" s="452" t="str">
        <f>VLOOKUP(A1003,'Thống kê'!$C$3:$D$669,2,0)</f>
        <v>Mô hình mèo 2</v>
      </c>
      <c r="C1003" s="436" t="str">
        <f>VLOOKUP(A1003,'Thống kê'!$C$3:$E$682,3,0)</f>
        <v>cái</v>
      </c>
      <c r="D1003" s="437">
        <f>VLOOKUP(A1003,'Thống kê'!$C$3:$M$682,4,0)</f>
        <v>37800</v>
      </c>
      <c r="E1003" s="438">
        <v>1</v>
      </c>
      <c r="F1003" s="439">
        <f t="shared" si="4"/>
        <v>37800</v>
      </c>
      <c r="G1003" s="442"/>
      <c r="H1003" s="446"/>
    </row>
    <row r="1004" spans="1:8" ht="13.2">
      <c r="A1004" s="454" t="s">
        <v>1636</v>
      </c>
      <c r="B1004" s="452" t="str">
        <f>VLOOKUP(A1004,'Thống kê'!$C$3:$D$669,2,0)</f>
        <v>Mô hình mèo 3</v>
      </c>
      <c r="C1004" s="436" t="str">
        <f>VLOOKUP(A1004,'Thống kê'!$C$3:$E$682,3,0)</f>
        <v>cái</v>
      </c>
      <c r="D1004" s="437">
        <f>VLOOKUP(A1004,'Thống kê'!$C$3:$M$682,4,0)</f>
        <v>37800</v>
      </c>
      <c r="E1004" s="438">
        <v>1</v>
      </c>
      <c r="F1004" s="439">
        <f t="shared" si="4"/>
        <v>37800</v>
      </c>
      <c r="G1004" s="442"/>
      <c r="H1004" s="446"/>
    </row>
    <row r="1005" spans="1:8" ht="13.2">
      <c r="A1005" s="454" t="s">
        <v>1635</v>
      </c>
      <c r="B1005" s="452" t="str">
        <f>VLOOKUP(A1005,'Thống kê'!$C$3:$D$669,2,0)</f>
        <v>Mô hình mèo 4</v>
      </c>
      <c r="C1005" s="436" t="str">
        <f>VLOOKUP(A1005,'Thống kê'!$C$3:$E$682,3,0)</f>
        <v>cái</v>
      </c>
      <c r="D1005" s="437">
        <f>VLOOKUP(A1005,'Thống kê'!$C$3:$M$682,4,0)</f>
        <v>37800</v>
      </c>
      <c r="E1005" s="438">
        <v>1</v>
      </c>
      <c r="F1005" s="439">
        <f t="shared" si="4"/>
        <v>37800</v>
      </c>
      <c r="G1005" s="442"/>
      <c r="H1005" s="446"/>
    </row>
    <row r="1006" spans="1:8" ht="13.2">
      <c r="A1006" s="454" t="s">
        <v>1957</v>
      </c>
      <c r="B1006" s="452" t="str">
        <f>VLOOKUP(A1006,'Thống kê'!$C$3:$D$669,2,0)</f>
        <v>Móc khóa capybara 14 - tóc hồng</v>
      </c>
      <c r="C1006" s="436" t="str">
        <f>VLOOKUP(A1006,'Thống kê'!$C$3:$E$682,3,0)</f>
        <v>cái</v>
      </c>
      <c r="D1006" s="437">
        <f>VLOOKUP(A1006,'Thống kê'!$C$3:$M$682,4,0)</f>
        <v>38000</v>
      </c>
      <c r="E1006" s="438">
        <v>1</v>
      </c>
      <c r="F1006" s="439">
        <f t="shared" si="4"/>
        <v>38000</v>
      </c>
      <c r="G1006" s="442"/>
      <c r="H1006" s="448">
        <v>33440</v>
      </c>
    </row>
    <row r="1007" spans="1:8" ht="13.2">
      <c r="A1007" s="454" t="s">
        <v>143</v>
      </c>
      <c r="B1007" s="452" t="str">
        <f>VLOOKUP(A1007,'Thống kê'!$C$3:$D$669,2,0)</f>
        <v>Mèo ú</v>
      </c>
      <c r="C1007" s="436" t="str">
        <f>VLOOKUP(A1007,'Thống kê'!$C$3:$E$682,3,0)</f>
        <v>cái</v>
      </c>
      <c r="D1007" s="437">
        <f>VLOOKUP(A1007,'Thống kê'!$C$3:$M$682,4,0)</f>
        <v>59500</v>
      </c>
      <c r="E1007" s="438">
        <v>1</v>
      </c>
      <c r="F1007" s="439">
        <f t="shared" si="4"/>
        <v>59500</v>
      </c>
      <c r="G1007" s="442"/>
      <c r="H1007" s="447">
        <v>159220</v>
      </c>
    </row>
    <row r="1008" spans="1:8" ht="13.2">
      <c r="A1008" s="454" t="s">
        <v>325</v>
      </c>
      <c r="B1008" s="452" t="str">
        <f>VLOOKUP(A1008,'Thống kê'!$C$3:$D$669,2,0)</f>
        <v>Gấu ú</v>
      </c>
      <c r="C1008" s="436" t="str">
        <f>VLOOKUP(A1008,'Thống kê'!$C$3:$E$682,3,0)</f>
        <v>cái</v>
      </c>
      <c r="D1008" s="437">
        <f>VLOOKUP(A1008,'Thống kê'!$C$3:$M$682,4,0)</f>
        <v>59500</v>
      </c>
      <c r="E1008" s="438">
        <v>1</v>
      </c>
      <c r="F1008" s="439">
        <f t="shared" si="4"/>
        <v>59500</v>
      </c>
      <c r="G1008" s="442"/>
      <c r="H1008" s="446"/>
    </row>
    <row r="1009" spans="1:8" ht="13.2">
      <c r="A1009" s="454" t="s">
        <v>119</v>
      </c>
      <c r="B1009" s="452" t="str">
        <f>VLOOKUP(A1009,'Thống kê'!$C$3:$D$669,2,0)</f>
        <v>Thỏ chạy xe gắn xe</v>
      </c>
      <c r="C1009" s="436" t="str">
        <f>VLOOKUP(A1009,'Thống kê'!$C$3:$E$682,3,0)</f>
        <v>cái</v>
      </c>
      <c r="D1009" s="437">
        <f>VLOOKUP(A1009,'Thống kê'!$C$3:$M$682,4,0)</f>
        <v>45000</v>
      </c>
      <c r="E1009" s="438">
        <v>1</v>
      </c>
      <c r="F1009" s="439">
        <f t="shared" si="4"/>
        <v>45000</v>
      </c>
      <c r="G1009" s="442"/>
      <c r="H1009" s="446"/>
    </row>
    <row r="1010" spans="1:8" ht="13.2">
      <c r="A1010" s="454" t="s">
        <v>189</v>
      </c>
      <c r="B1010" s="452" t="str">
        <f>VLOOKUP(A1010,'Thống kê'!$C$3:$D$669,2,0)</f>
        <v>Gấu nâu gắn xe</v>
      </c>
      <c r="C1010" s="436" t="str">
        <f>VLOOKUP(A1010,'Thống kê'!$C$3:$E$682,3,0)</f>
        <v>cái</v>
      </c>
      <c r="D1010" s="437">
        <f>VLOOKUP(A1010,'Thống kê'!$C$3:$M$682,4,0)</f>
        <v>45000</v>
      </c>
      <c r="E1010" s="438">
        <v>1</v>
      </c>
      <c r="F1010" s="439">
        <f t="shared" si="4"/>
        <v>45000</v>
      </c>
      <c r="G1010" s="442"/>
      <c r="H1010" s="446"/>
    </row>
    <row r="1011" spans="1:8" ht="13.2">
      <c r="A1011" s="454" t="s">
        <v>1909</v>
      </c>
      <c r="B1011" s="452" t="str">
        <f>VLOOKUP(A1011,'Thống kê'!$C$3:$D$669,2,0)</f>
        <v>Kẹp tóc hồng</v>
      </c>
      <c r="C1011" s="436" t="str">
        <f>VLOOKUP(A1011,'Thống kê'!$C$3:$E$682,3,0)</f>
        <v>cái</v>
      </c>
      <c r="D1011" s="437">
        <f>VLOOKUP(A1011,'Thống kê'!$C$3:$M$682,4,0)</f>
        <v>14000</v>
      </c>
      <c r="E1011" s="438">
        <v>1</v>
      </c>
      <c r="F1011" s="439">
        <f t="shared" si="4"/>
        <v>14000</v>
      </c>
      <c r="G1011" s="442"/>
      <c r="H1011" s="448">
        <v>12260</v>
      </c>
    </row>
    <row r="1012" spans="1:8" ht="13.2">
      <c r="A1012" s="454" t="s">
        <v>1594</v>
      </c>
      <c r="B1012" s="452" t="str">
        <f>VLOOKUP(A1012,'Thống kê'!$C$3:$D$669,2,0)</f>
        <v>Móc khóa đôi heo</v>
      </c>
      <c r="C1012" s="436" t="str">
        <f>VLOOKUP(A1012,'Thống kê'!$C$3:$E$682,3,0)</f>
        <v>cái</v>
      </c>
      <c r="D1012" s="437">
        <f>VLOOKUP(A1012,'Thống kê'!$C$3:$M$682,4,0)</f>
        <v>56580</v>
      </c>
      <c r="E1012" s="438">
        <v>1</v>
      </c>
      <c r="F1012" s="439">
        <f t="shared" si="4"/>
        <v>56580</v>
      </c>
      <c r="G1012" s="442"/>
      <c r="H1012" s="448">
        <v>44471</v>
      </c>
    </row>
    <row r="1013" spans="1:8" ht="13.2">
      <c r="A1013" s="454" t="s">
        <v>1716</v>
      </c>
      <c r="B1013" s="452" t="str">
        <f>VLOOKUP(A1013,'Thống kê'!$C$3:$D$669,2,0)</f>
        <v>Móc khóa đôi 2 quả lê có nam châm</v>
      </c>
      <c r="C1013" s="436" t="str">
        <f>VLOOKUP(A1013,'Thống kê'!$C$3:$E$682,3,0)</f>
        <v>cái</v>
      </c>
      <c r="D1013" s="437">
        <f>VLOOKUP(A1013,'Thống kê'!$C$3:$M$682,4,0)</f>
        <v>59000</v>
      </c>
      <c r="E1013" s="438">
        <v>1</v>
      </c>
      <c r="F1013" s="439">
        <f t="shared" si="4"/>
        <v>59000</v>
      </c>
      <c r="G1013" s="442"/>
      <c r="H1013" s="448">
        <v>51640</v>
      </c>
    </row>
    <row r="1014" spans="1:8" ht="13.2">
      <c r="A1014" s="454" t="s">
        <v>1803</v>
      </c>
      <c r="B1014" s="452" t="str">
        <f>VLOOKUP(A1014,'Thống kê'!$C$3:$D$669,2,0)</f>
        <v>Hộp thuốc ông mặt trời</v>
      </c>
      <c r="C1014" s="436" t="str">
        <f>VLOOKUP(A1014,'Thống kê'!$C$3:$E$682,3,0)</f>
        <v>hộp</v>
      </c>
      <c r="D1014" s="437">
        <f>VLOOKUP(A1014,'Thống kê'!$C$3:$M$682,4,0)</f>
        <v>11000</v>
      </c>
      <c r="E1014" s="438">
        <v>1</v>
      </c>
      <c r="F1014" s="439">
        <f t="shared" si="4"/>
        <v>11000</v>
      </c>
      <c r="G1014" s="442"/>
      <c r="H1014" s="447">
        <v>104000</v>
      </c>
    </row>
    <row r="1015" spans="1:8" ht="13.2">
      <c r="A1015" s="454" t="s">
        <v>1632</v>
      </c>
      <c r="B1015" s="452" t="str">
        <f>VLOOKUP(A1015,'Thống kê'!$C$3:$D$669,2,0)</f>
        <v>Móc khóa đôi mèo trắng</v>
      </c>
      <c r="C1015" s="436" t="str">
        <f>VLOOKUP(A1015,'Thống kê'!$C$3:$E$682,3,0)</f>
        <v>cái</v>
      </c>
      <c r="D1015" s="437">
        <f>VLOOKUP(A1015,'Thống kê'!$C$3:$M$682,4,0)</f>
        <v>59000</v>
      </c>
      <c r="E1015" s="438">
        <v>1</v>
      </c>
      <c r="F1015" s="439">
        <f t="shared" si="4"/>
        <v>59000</v>
      </c>
      <c r="G1015" s="442"/>
      <c r="H1015" s="446"/>
    </row>
    <row r="1016" spans="1:8" ht="13.2">
      <c r="A1016" s="454" t="s">
        <v>1852</v>
      </c>
      <c r="B1016" s="452" t="str">
        <f>VLOOKUP(A1016,'Thống kê'!$C$3:$D$669,2,0)</f>
        <v>Ống 100 dây cột tóc đen</v>
      </c>
      <c r="C1016" s="436" t="str">
        <f>VLOOKUP(A1016,'Thống kê'!$C$3:$E$682,3,0)</f>
        <v>ống</v>
      </c>
      <c r="D1016" s="437">
        <f>VLOOKUP(A1016,'Thống kê'!$C$3:$M$682,4,0)</f>
        <v>30000</v>
      </c>
      <c r="E1016" s="438">
        <v>1</v>
      </c>
      <c r="F1016" s="439">
        <f t="shared" si="4"/>
        <v>30000</v>
      </c>
      <c r="G1016" s="442"/>
      <c r="H1016" s="446"/>
    </row>
    <row r="1017" spans="1:8" ht="13.2">
      <c r="A1017" s="454" t="s">
        <v>1832</v>
      </c>
      <c r="B1017" s="452" t="str">
        <f>VLOOKUP(A1017,'Thống kê'!$C$3:$D$669,2,0)</f>
        <v>Ống 10 dây cột tóc đen</v>
      </c>
      <c r="C1017" s="436" t="str">
        <f>VLOOKUP(A1017,'Thống kê'!$C$3:$E$682,3,0)</f>
        <v>ống</v>
      </c>
      <c r="D1017" s="437">
        <f>VLOOKUP(A1017,'Thống kê'!$C$3:$M$682,4,0)</f>
        <v>30000</v>
      </c>
      <c r="E1017" s="438">
        <v>1</v>
      </c>
      <c r="F1017" s="439">
        <f t="shared" si="4"/>
        <v>30000</v>
      </c>
      <c r="G1017" s="442"/>
      <c r="H1017" s="446"/>
    </row>
    <row r="1018" spans="1:8" ht="13.2">
      <c r="A1018" s="459" t="s">
        <v>923</v>
      </c>
      <c r="B1018" s="452" t="str">
        <f>VLOOKUP(A1018,'Thống kê'!$C$3:$D$669,2,0)</f>
        <v>Kẹp khuếch tán tinh dầu vịt vàng</v>
      </c>
      <c r="C1018" s="436" t="str">
        <f>VLOOKUP(A1018,'Thống kê'!$C$3:$E$682,3,0)</f>
        <v>cái</v>
      </c>
      <c r="D1018" s="437">
        <f>VLOOKUP(A1018,'Thống kê'!$C$3:$M$682,4,0)</f>
        <v>142400</v>
      </c>
      <c r="E1018" s="438">
        <v>1</v>
      </c>
      <c r="F1018" s="439">
        <f t="shared" si="4"/>
        <v>142400</v>
      </c>
      <c r="G1018" s="442"/>
      <c r="H1018" s="447">
        <v>196873</v>
      </c>
    </row>
    <row r="1019" spans="1:8" ht="13.2">
      <c r="A1019" s="461" t="s">
        <v>931</v>
      </c>
      <c r="B1019" s="452" t="str">
        <f>VLOOKUP(A1019,'Thống kê'!$C$3:$D$669,2,0)</f>
        <v>Kẹp khuếch tán tinh dầu thỏ hồng</v>
      </c>
      <c r="C1019" s="436" t="str">
        <f>VLOOKUP(A1019,'Thống kê'!$C$3:$E$682,3,0)</f>
        <v>cái</v>
      </c>
      <c r="D1019" s="437">
        <f>VLOOKUP(A1019,'Thống kê'!$C$3:$M$682,4,0)</f>
        <v>142400</v>
      </c>
      <c r="E1019" s="438">
        <v>1</v>
      </c>
      <c r="F1019" s="439">
        <f t="shared" si="4"/>
        <v>142400</v>
      </c>
      <c r="G1019" s="442"/>
      <c r="H1019" s="446"/>
    </row>
    <row r="1020" spans="1:8" ht="13.2">
      <c r="A1020" s="454" t="s">
        <v>941</v>
      </c>
      <c r="B1020" s="452" t="str">
        <f>VLOOKUP(A1020,'Thống kê'!$C$3:$D$669,2,0)</f>
        <v>Viên khuếch tán tinh dầu 01 ( lemon )</v>
      </c>
      <c r="C1020" s="436" t="str">
        <f>VLOOKUP(A1020,'Thống kê'!$C$3:$E$682,3,0)</f>
        <v>cái</v>
      </c>
      <c r="D1020" s="437">
        <f>VLOOKUP(A1020,'Thống kê'!$C$3:$M$682,4,0)</f>
        <v>8000</v>
      </c>
      <c r="E1020" s="438">
        <v>1</v>
      </c>
      <c r="F1020" s="439">
        <f t="shared" si="4"/>
        <v>8000</v>
      </c>
      <c r="G1020" s="442"/>
      <c r="H1020" s="446"/>
    </row>
    <row r="1021" spans="1:8" ht="13.2">
      <c r="A1021" s="454" t="s">
        <v>1612</v>
      </c>
      <c r="B1021" s="452" t="str">
        <f>VLOOKUP(A1021,'Thống kê'!$C$3:$D$669,2,0)</f>
        <v>Kẹp tóc bướm trắng</v>
      </c>
      <c r="C1021" s="436" t="str">
        <f>VLOOKUP(A1021,'Thống kê'!$C$3:$E$682,3,0)</f>
        <v>cái</v>
      </c>
      <c r="D1021" s="437">
        <f>VLOOKUP(A1021,'Thống kê'!$C$3:$M$682,4,0)</f>
        <v>40000</v>
      </c>
      <c r="E1021" s="438">
        <v>1</v>
      </c>
      <c r="F1021" s="439">
        <f t="shared" si="4"/>
        <v>40000</v>
      </c>
      <c r="G1021" s="442"/>
      <c r="H1021" s="448">
        <v>32244</v>
      </c>
    </row>
    <row r="1022" spans="1:8" ht="13.2">
      <c r="A1022" s="454" t="s">
        <v>1594</v>
      </c>
      <c r="B1022" s="452" t="str">
        <f>VLOOKUP(A1022,'Thống kê'!$C$3:$D$669,2,0)</f>
        <v>Móc khóa đôi heo</v>
      </c>
      <c r="C1022" s="436" t="str">
        <f>VLOOKUP(A1022,'Thống kê'!$C$3:$E$682,3,0)</f>
        <v>cái</v>
      </c>
      <c r="D1022" s="437">
        <f>VLOOKUP(A1022,'Thống kê'!$C$3:$M$682,4,0)</f>
        <v>56580</v>
      </c>
      <c r="E1022" s="438">
        <v>1</v>
      </c>
      <c r="F1022" s="439">
        <f t="shared" si="4"/>
        <v>56580</v>
      </c>
      <c r="G1022" s="442"/>
      <c r="H1022" s="448">
        <v>49631</v>
      </c>
    </row>
    <row r="1023" spans="1:8" ht="13.2">
      <c r="A1023" s="454" t="s">
        <v>1958</v>
      </c>
      <c r="B1023" s="452" t="str">
        <f>VLOOKUP(A1023,'Thống kê'!$C$3:$D$669,2,0)</f>
        <v>Buộc tóc trắng vải nhung</v>
      </c>
      <c r="C1023" s="436" t="str">
        <f>VLOOKUP(A1023,'Thống kê'!$C$3:$E$682,3,0)</f>
        <v>cái</v>
      </c>
      <c r="D1023" s="437">
        <f>VLOOKUP(A1023,'Thống kê'!$C$3:$M$682,4,0)</f>
        <v>11000</v>
      </c>
      <c r="E1023" s="438">
        <v>1</v>
      </c>
      <c r="F1023" s="439">
        <f t="shared" si="4"/>
        <v>11000</v>
      </c>
      <c r="G1023" s="442"/>
      <c r="H1023" s="447">
        <v>46140</v>
      </c>
    </row>
    <row r="1024" spans="1:8" ht="13.2">
      <c r="A1024" s="454" t="s">
        <v>119</v>
      </c>
      <c r="B1024" s="452" t="str">
        <f>VLOOKUP(A1024,'Thống kê'!$C$3:$D$669,2,0)</f>
        <v>Thỏ chạy xe gắn xe</v>
      </c>
      <c r="C1024" s="436" t="str">
        <f>VLOOKUP(A1024,'Thống kê'!$C$3:$E$682,3,0)</f>
        <v>cái</v>
      </c>
      <c r="D1024" s="437">
        <f>VLOOKUP(A1024,'Thống kê'!$C$3:$M$682,4,0)</f>
        <v>45000</v>
      </c>
      <c r="E1024" s="438">
        <v>1</v>
      </c>
      <c r="F1024" s="439">
        <f t="shared" si="4"/>
        <v>45000</v>
      </c>
      <c r="G1024" s="442"/>
      <c r="H1024" s="446"/>
    </row>
    <row r="1025" spans="1:8" ht="13.2">
      <c r="A1025" s="454" t="s">
        <v>1621</v>
      </c>
      <c r="B1025" s="452" t="str">
        <f>VLOOKUP(A1025,'Thống kê'!$C$3:$D$669,2,0)</f>
        <v>Mô hình mèo 2</v>
      </c>
      <c r="C1025" s="436" t="str">
        <f>VLOOKUP(A1025,'Thống kê'!$C$3:$E$682,3,0)</f>
        <v>cái</v>
      </c>
      <c r="D1025" s="437">
        <f>VLOOKUP(A1025,'Thống kê'!$C$3:$M$682,4,0)</f>
        <v>37800</v>
      </c>
      <c r="E1025" s="438">
        <v>1</v>
      </c>
      <c r="F1025" s="439">
        <f t="shared" si="4"/>
        <v>37800</v>
      </c>
      <c r="G1025" s="442"/>
      <c r="H1025" s="447">
        <v>102009</v>
      </c>
    </row>
    <row r="1026" spans="1:8" ht="13.2">
      <c r="A1026" s="454" t="s">
        <v>1636</v>
      </c>
      <c r="B1026" s="452" t="str">
        <f>VLOOKUP(A1026,'Thống kê'!$C$3:$D$669,2,0)</f>
        <v>Mô hình mèo 3</v>
      </c>
      <c r="C1026" s="436" t="str">
        <f>VLOOKUP(A1026,'Thống kê'!$C$3:$E$682,3,0)</f>
        <v>cái</v>
      </c>
      <c r="D1026" s="437">
        <f>VLOOKUP(A1026,'Thống kê'!$C$3:$M$682,4,0)</f>
        <v>37800</v>
      </c>
      <c r="E1026" s="438">
        <v>1</v>
      </c>
      <c r="F1026" s="439">
        <f t="shared" si="4"/>
        <v>37800</v>
      </c>
      <c r="G1026" s="442"/>
      <c r="H1026" s="446"/>
    </row>
    <row r="1027" spans="1:8" ht="13.2">
      <c r="A1027" s="454" t="s">
        <v>1635</v>
      </c>
      <c r="B1027" s="452" t="str">
        <f>VLOOKUP(A1027,'Thống kê'!$C$3:$D$669,2,0)</f>
        <v>Mô hình mèo 4</v>
      </c>
      <c r="C1027" s="436" t="str">
        <f>VLOOKUP(A1027,'Thống kê'!$C$3:$E$682,3,0)</f>
        <v>cái</v>
      </c>
      <c r="D1027" s="437">
        <f>VLOOKUP(A1027,'Thống kê'!$C$3:$M$682,4,0)</f>
        <v>37800</v>
      </c>
      <c r="E1027" s="438">
        <v>1</v>
      </c>
      <c r="F1027" s="439">
        <f t="shared" si="4"/>
        <v>37800</v>
      </c>
      <c r="G1027" s="442"/>
      <c r="H1027" s="446"/>
    </row>
    <row r="1028" spans="1:8" ht="13.2">
      <c r="A1028" s="454" t="s">
        <v>1621</v>
      </c>
      <c r="B1028" s="452" t="str">
        <f>VLOOKUP(A1028,'Thống kê'!$C$3:$D$669,2,0)</f>
        <v>Mô hình mèo 2</v>
      </c>
      <c r="C1028" s="436" t="str">
        <f>VLOOKUP(A1028,'Thống kê'!$C$3:$E$682,3,0)</f>
        <v>cái</v>
      </c>
      <c r="D1028" s="437">
        <f>VLOOKUP(A1028,'Thống kê'!$C$3:$M$682,4,0)</f>
        <v>37800</v>
      </c>
      <c r="E1028" s="438">
        <v>1</v>
      </c>
      <c r="F1028" s="439">
        <f t="shared" si="4"/>
        <v>37800</v>
      </c>
      <c r="G1028" s="442"/>
      <c r="H1028" s="448">
        <v>33943</v>
      </c>
    </row>
    <row r="1029" spans="1:8" ht="13.2">
      <c r="A1029" s="454" t="s">
        <v>1619</v>
      </c>
      <c r="B1029" s="452" t="str">
        <f>VLOOKUP(A1029,'Thống kê'!$C$3:$D$669,2,0)</f>
        <v>Kẹp tóc bướm xanh trắng</v>
      </c>
      <c r="C1029" s="436" t="str">
        <f>VLOOKUP(A1029,'Thống kê'!$C$3:$E$682,3,0)</f>
        <v>cái</v>
      </c>
      <c r="D1029" s="437">
        <f>VLOOKUP(A1029,'Thống kê'!$C$3:$M$682,4,0)</f>
        <v>52000</v>
      </c>
      <c r="E1029" s="438">
        <v>1</v>
      </c>
      <c r="F1029" s="439">
        <f t="shared" si="4"/>
        <v>52000</v>
      </c>
      <c r="G1029" s="442"/>
      <c r="H1029" s="448">
        <v>42039</v>
      </c>
    </row>
    <row r="1030" spans="1:8" ht="13.2">
      <c r="A1030" s="454" t="s">
        <v>119</v>
      </c>
      <c r="B1030" s="452" t="str">
        <f>VLOOKUP(A1030,'Thống kê'!$C$3:$D$669,2,0)</f>
        <v>Thỏ chạy xe gắn xe</v>
      </c>
      <c r="C1030" s="436" t="str">
        <f>VLOOKUP(A1030,'Thống kê'!$C$3:$E$682,3,0)</f>
        <v>cái</v>
      </c>
      <c r="D1030" s="437">
        <f>VLOOKUP(A1030,'Thống kê'!$C$3:$M$682,4,0)</f>
        <v>45000</v>
      </c>
      <c r="E1030" s="438">
        <v>1</v>
      </c>
      <c r="F1030" s="439">
        <f t="shared" si="4"/>
        <v>45000</v>
      </c>
      <c r="G1030" s="442"/>
      <c r="H1030" s="448">
        <v>35800</v>
      </c>
    </row>
    <row r="1031" spans="1:8" ht="13.2">
      <c r="A1031" s="454" t="s">
        <v>119</v>
      </c>
      <c r="B1031" s="452" t="str">
        <f>VLOOKUP(A1031,'Thống kê'!$C$3:$D$669,2,0)</f>
        <v>Thỏ chạy xe gắn xe</v>
      </c>
      <c r="C1031" s="436" t="str">
        <f>VLOOKUP(A1031,'Thống kê'!$C$3:$E$682,3,0)</f>
        <v>cái</v>
      </c>
      <c r="D1031" s="437">
        <f>VLOOKUP(A1031,'Thống kê'!$C$3:$M$682,4,0)</f>
        <v>45000</v>
      </c>
      <c r="E1031" s="438">
        <v>1</v>
      </c>
      <c r="F1031" s="439">
        <f t="shared" si="4"/>
        <v>45000</v>
      </c>
      <c r="G1031" s="442"/>
      <c r="H1031" s="447">
        <v>43500</v>
      </c>
    </row>
    <row r="1032" spans="1:8" ht="13.2">
      <c r="A1032" s="454" t="s">
        <v>941</v>
      </c>
      <c r="B1032" s="452" t="str">
        <f>VLOOKUP(A1032,'Thống kê'!$C$3:$D$669,2,0)</f>
        <v>Viên khuếch tán tinh dầu 01 ( lemon )</v>
      </c>
      <c r="C1032" s="436" t="str">
        <f>VLOOKUP(A1032,'Thống kê'!$C$3:$E$682,3,0)</f>
        <v>cái</v>
      </c>
      <c r="D1032" s="437">
        <f>VLOOKUP(A1032,'Thống kê'!$C$3:$M$682,4,0)</f>
        <v>8000</v>
      </c>
      <c r="E1032" s="438">
        <v>1</v>
      </c>
      <c r="F1032" s="439">
        <f t="shared" si="4"/>
        <v>8000</v>
      </c>
      <c r="G1032" s="442"/>
      <c r="H1032" s="446"/>
    </row>
    <row r="1033" spans="1:8" ht="13.2">
      <c r="A1033" s="454" t="s">
        <v>186</v>
      </c>
      <c r="B1033" s="452" t="str">
        <f>VLOOKUP(A1033,'Thống kê'!$C$3:$D$669,2,0)</f>
        <v>Thỏ ú bay</v>
      </c>
      <c r="C1033" s="436" t="str">
        <f>VLOOKUP(A1033,'Thống kê'!$C$3:$E$682,3,0)</f>
        <v>cái</v>
      </c>
      <c r="D1033" s="437">
        <f>VLOOKUP(A1033,'Thống kê'!$C$3:$M$682,4,0)</f>
        <v>64500</v>
      </c>
      <c r="E1033" s="438">
        <v>1</v>
      </c>
      <c r="F1033" s="439">
        <f t="shared" si="4"/>
        <v>64500</v>
      </c>
      <c r="G1033" s="442"/>
      <c r="H1033" s="448">
        <v>52159</v>
      </c>
    </row>
    <row r="1034" spans="1:8" ht="13.2">
      <c r="A1034" s="454" t="s">
        <v>1716</v>
      </c>
      <c r="B1034" s="452" t="str">
        <f>VLOOKUP(A1034,'Thống kê'!$C$3:$D$669,2,0)</f>
        <v>Móc khóa đôi 2 quả lê có nam châm</v>
      </c>
      <c r="C1034" s="436" t="str">
        <f>VLOOKUP(A1034,'Thống kê'!$C$3:$E$682,3,0)</f>
        <v>cái</v>
      </c>
      <c r="D1034" s="437">
        <f>VLOOKUP(A1034,'Thống kê'!$C$3:$M$682,4,0)</f>
        <v>59000</v>
      </c>
      <c r="E1034" s="438">
        <v>1</v>
      </c>
      <c r="F1034" s="439">
        <f t="shared" si="4"/>
        <v>59000</v>
      </c>
      <c r="G1034" s="442"/>
      <c r="H1034" s="448">
        <v>46668</v>
      </c>
    </row>
    <row r="1035" spans="1:8" ht="13.2">
      <c r="A1035" s="454" t="s">
        <v>1632</v>
      </c>
      <c r="B1035" s="452" t="str">
        <f>VLOOKUP(A1035,'Thống kê'!$C$3:$D$669,2,0)</f>
        <v>Móc khóa đôi mèo trắng</v>
      </c>
      <c r="C1035" s="436" t="str">
        <f>VLOOKUP(A1035,'Thống kê'!$C$3:$E$682,3,0)</f>
        <v>cái</v>
      </c>
      <c r="D1035" s="437">
        <f>VLOOKUP(A1035,'Thống kê'!$C$3:$M$682,4,0)</f>
        <v>59000</v>
      </c>
      <c r="E1035" s="438">
        <v>1</v>
      </c>
      <c r="F1035" s="439">
        <f t="shared" si="4"/>
        <v>59000</v>
      </c>
      <c r="G1035" s="442"/>
      <c r="H1035" s="448">
        <v>46388</v>
      </c>
    </row>
    <row r="1036" spans="1:8" ht="13.2">
      <c r="A1036" s="454" t="s">
        <v>1591</v>
      </c>
      <c r="B1036" s="452" t="str">
        <f>VLOOKUP(A1036,'Thống kê'!$C$3:$D$669,2,0)</f>
        <v>Thỏ ú</v>
      </c>
      <c r="C1036" s="436" t="str">
        <f>VLOOKUP(A1036,'Thống kê'!$C$3:$E$682,3,0)</f>
        <v>cái</v>
      </c>
      <c r="D1036" s="437">
        <f>VLOOKUP(A1036,'Thống kê'!$C$3:$M$682,4,0)</f>
        <v>59500</v>
      </c>
      <c r="E1036" s="438">
        <v>1</v>
      </c>
      <c r="F1036" s="439">
        <f t="shared" si="4"/>
        <v>59500</v>
      </c>
      <c r="G1036" s="442"/>
      <c r="H1036" s="448">
        <v>47991</v>
      </c>
    </row>
    <row r="1037" spans="1:8" ht="13.2">
      <c r="A1037" s="454" t="s">
        <v>1625</v>
      </c>
      <c r="B1037" s="452" t="str">
        <f>VLOOKUP(A1037,'Thống kê'!$C$3:$D$669,2,0)</f>
        <v>Móc khóa đôi 2 mèo trắng nâu</v>
      </c>
      <c r="C1037" s="436" t="str">
        <f>VLOOKUP(A1037,'Thống kê'!$C$3:$E$682,3,0)</f>
        <v>cái</v>
      </c>
      <c r="D1037" s="437">
        <f>VLOOKUP(A1037,'Thống kê'!$C$3:$M$682,4,0)</f>
        <v>59000</v>
      </c>
      <c r="E1037" s="438">
        <v>-1</v>
      </c>
      <c r="F1037" s="439">
        <f t="shared" si="4"/>
        <v>-59000</v>
      </c>
      <c r="G1037" s="442"/>
      <c r="H1037" s="447">
        <v>-67800</v>
      </c>
    </row>
    <row r="1038" spans="1:8" ht="13.2">
      <c r="A1038" s="454" t="s">
        <v>1956</v>
      </c>
      <c r="B1038" s="452" t="str">
        <f>VLOOKUP(A1038,'Thống kê'!$C$3:$D$669,2,0)</f>
        <v>Móc khóa capybara 9 - mũ gấu</v>
      </c>
      <c r="C1038" s="436" t="str">
        <f>VLOOKUP(A1038,'Thống kê'!$C$3:$E$682,3,0)</f>
        <v>cái</v>
      </c>
      <c r="D1038" s="437">
        <f>VLOOKUP(A1038,'Thống kê'!$C$3:$M$682,4,0)</f>
        <v>58800</v>
      </c>
      <c r="E1038" s="438">
        <v>-1</v>
      </c>
      <c r="F1038" s="439">
        <f t="shared" si="4"/>
        <v>-58800</v>
      </c>
      <c r="G1038" s="442"/>
      <c r="H1038" s="446"/>
    </row>
    <row r="1039" spans="1:8" ht="13.2">
      <c r="A1039" s="454" t="s">
        <v>1612</v>
      </c>
      <c r="B1039" s="452" t="str">
        <f>VLOOKUP(A1039,'Thống kê'!$C$3:$D$669,2,0)</f>
        <v>Kẹp tóc bướm trắng</v>
      </c>
      <c r="C1039" s="436" t="str">
        <f>VLOOKUP(A1039,'Thống kê'!$C$3:$E$682,3,0)</f>
        <v>cái</v>
      </c>
      <c r="D1039" s="437">
        <f>VLOOKUP(A1039,'Thống kê'!$C$3:$M$682,4,0)</f>
        <v>40000</v>
      </c>
      <c r="E1039" s="438">
        <v>1</v>
      </c>
      <c r="F1039" s="439">
        <f t="shared" si="4"/>
        <v>40000</v>
      </c>
      <c r="G1039" s="442"/>
      <c r="H1039" s="448">
        <v>32324</v>
      </c>
    </row>
    <row r="1040" spans="1:8" ht="13.2">
      <c r="A1040" s="454" t="s">
        <v>227</v>
      </c>
      <c r="B1040" s="452" t="str">
        <f>VLOOKUP(A1040,'Thống kê'!$C$3:$D$669,2,0)</f>
        <v>Móc khóa đôi corgy</v>
      </c>
      <c r="C1040" s="436" t="str">
        <f>VLOOKUP(A1040,'Thống kê'!$C$3:$E$682,3,0)</f>
        <v>cái</v>
      </c>
      <c r="D1040" s="437">
        <f>VLOOKUP(A1040,'Thống kê'!$C$3:$M$682,4,0)</f>
        <v>56580</v>
      </c>
      <c r="E1040" s="438">
        <v>1</v>
      </c>
      <c r="F1040" s="439">
        <f t="shared" si="4"/>
        <v>56580</v>
      </c>
      <c r="G1040" s="442"/>
      <c r="H1040" s="447">
        <v>99581</v>
      </c>
    </row>
    <row r="1041" spans="1:8" ht="13.2">
      <c r="A1041" s="454" t="s">
        <v>1633</v>
      </c>
      <c r="B1041" s="452" t="str">
        <f>VLOOKUP(A1041,'Thống kê'!$C$3:$D$669,2,0)</f>
        <v>Móc khóa đôi gà rán bia</v>
      </c>
      <c r="C1041" s="436" t="str">
        <f>VLOOKUP(A1041,'Thống kê'!$C$3:$E$682,3,0)</f>
        <v>cái</v>
      </c>
      <c r="D1041" s="437">
        <f>VLOOKUP(A1041,'Thống kê'!$C$3:$M$682,4,0)</f>
        <v>56580</v>
      </c>
      <c r="E1041" s="438">
        <v>1</v>
      </c>
      <c r="F1041" s="439">
        <f t="shared" si="4"/>
        <v>56580</v>
      </c>
      <c r="G1041" s="442"/>
      <c r="H1041" s="446"/>
    </row>
    <row r="1042" spans="1:8" ht="13.2">
      <c r="A1042" s="454" t="s">
        <v>119</v>
      </c>
      <c r="B1042" s="452" t="str">
        <f>VLOOKUP(A1042,'Thống kê'!$C$3:$D$669,2,0)</f>
        <v>Thỏ chạy xe gắn xe</v>
      </c>
      <c r="C1042" s="436" t="str">
        <f>VLOOKUP(A1042,'Thống kê'!$C$3:$E$682,3,0)</f>
        <v>cái</v>
      </c>
      <c r="D1042" s="437">
        <f>VLOOKUP(A1042,'Thống kê'!$C$3:$M$682,4,0)</f>
        <v>45000</v>
      </c>
      <c r="E1042" s="438">
        <v>1</v>
      </c>
      <c r="F1042" s="439">
        <f t="shared" si="4"/>
        <v>45000</v>
      </c>
      <c r="G1042" s="442"/>
      <c r="H1042" s="448">
        <v>36380</v>
      </c>
    </row>
    <row r="1043" spans="1:8" ht="13.2">
      <c r="A1043" s="454" t="s">
        <v>1716</v>
      </c>
      <c r="B1043" s="452" t="str">
        <f>VLOOKUP(A1043,'Thống kê'!$C$3:$D$669,2,0)</f>
        <v>Móc khóa đôi 2 quả lê có nam châm</v>
      </c>
      <c r="C1043" s="436" t="str">
        <f>VLOOKUP(A1043,'Thống kê'!$C$3:$E$682,3,0)</f>
        <v>cái</v>
      </c>
      <c r="D1043" s="437">
        <f>VLOOKUP(A1043,'Thống kê'!$C$3:$M$682,4,0)</f>
        <v>59000</v>
      </c>
      <c r="E1043" s="438">
        <v>1</v>
      </c>
      <c r="F1043" s="439">
        <f t="shared" si="4"/>
        <v>59000</v>
      </c>
      <c r="G1043" s="442"/>
      <c r="H1043" s="448">
        <v>56720</v>
      </c>
    </row>
    <row r="1044" spans="1:8" ht="13.2">
      <c r="A1044" s="454" t="s">
        <v>1959</v>
      </c>
      <c r="B1044" s="452" t="str">
        <f>VLOOKUP(A1044,'Thống kê'!$C$3:$D$669,2,0)</f>
        <v>Vớ trắng icon be 4</v>
      </c>
      <c r="C1044" s="436" t="str">
        <f>VLOOKUP(A1044,'Thống kê'!$C$3:$E$682,3,0)</f>
        <v>đôi</v>
      </c>
      <c r="D1044" s="437">
        <f>VLOOKUP(A1044,'Thống kê'!$C$3:$M$682,4,0)</f>
        <v>9900</v>
      </c>
      <c r="E1044" s="438">
        <v>1</v>
      </c>
      <c r="F1044" s="439">
        <f t="shared" si="4"/>
        <v>9900</v>
      </c>
      <c r="G1044" s="442"/>
      <c r="H1044" s="447">
        <v>50751</v>
      </c>
    </row>
    <row r="1045" spans="1:8" ht="13.2">
      <c r="A1045" s="454" t="s">
        <v>1618</v>
      </c>
      <c r="B1045" s="452" t="str">
        <f>VLOOKUP(A1045,'Thống kê'!$C$3:$D$669,2,0)</f>
        <v>Kẹp tóc bướm hồng trắng</v>
      </c>
      <c r="C1045" s="436" t="str">
        <f>VLOOKUP(A1045,'Thống kê'!$C$3:$E$682,3,0)</f>
        <v>cái</v>
      </c>
      <c r="D1045" s="437">
        <f>VLOOKUP(A1045,'Thống kê'!$C$3:$M$682,4,0)</f>
        <v>52000</v>
      </c>
      <c r="E1045" s="438">
        <v>1</v>
      </c>
      <c r="F1045" s="439">
        <f t="shared" si="4"/>
        <v>52000</v>
      </c>
      <c r="G1045" s="442"/>
      <c r="H1045" s="446"/>
    </row>
    <row r="1046" spans="1:8" ht="13.2">
      <c r="A1046" s="454" t="s">
        <v>1636</v>
      </c>
      <c r="B1046" s="452" t="str">
        <f>VLOOKUP(A1046,'Thống kê'!$C$3:$D$669,2,0)</f>
        <v>Mô hình mèo 3</v>
      </c>
      <c r="C1046" s="436" t="str">
        <f>VLOOKUP(A1046,'Thống kê'!$C$3:$E$682,3,0)</f>
        <v>cái</v>
      </c>
      <c r="D1046" s="437">
        <f>VLOOKUP(A1046,'Thống kê'!$C$3:$M$682,4,0)</f>
        <v>37800</v>
      </c>
      <c r="E1046" s="438">
        <v>1</v>
      </c>
      <c r="F1046" s="439">
        <f t="shared" si="4"/>
        <v>37800</v>
      </c>
      <c r="G1046" s="442"/>
      <c r="H1046" s="447">
        <v>61066</v>
      </c>
    </row>
    <row r="1047" spans="1:8" ht="13.2">
      <c r="A1047" s="454" t="s">
        <v>1635</v>
      </c>
      <c r="B1047" s="452" t="str">
        <f>VLOOKUP(A1047,'Thống kê'!$C$3:$D$669,2,0)</f>
        <v>Mô hình mèo 4</v>
      </c>
      <c r="C1047" s="436" t="str">
        <f>VLOOKUP(A1047,'Thống kê'!$C$3:$E$682,3,0)</f>
        <v>cái</v>
      </c>
      <c r="D1047" s="437">
        <f>VLOOKUP(A1047,'Thống kê'!$C$3:$M$682,4,0)</f>
        <v>37800</v>
      </c>
      <c r="E1047" s="438">
        <v>1</v>
      </c>
      <c r="F1047" s="439">
        <f t="shared" si="4"/>
        <v>37800</v>
      </c>
      <c r="G1047" s="442"/>
      <c r="H1047" s="446"/>
    </row>
    <row r="1048" spans="1:8" ht="13.2">
      <c r="A1048" s="454" t="s">
        <v>1612</v>
      </c>
      <c r="B1048" s="452" t="str">
        <f>VLOOKUP(A1048,'Thống kê'!$C$3:$D$669,2,0)</f>
        <v>Kẹp tóc bướm trắng</v>
      </c>
      <c r="C1048" s="436" t="str">
        <f>VLOOKUP(A1048,'Thống kê'!$C$3:$E$682,3,0)</f>
        <v>cái</v>
      </c>
      <c r="D1048" s="437">
        <f>VLOOKUP(A1048,'Thống kê'!$C$3:$M$682,4,0)</f>
        <v>40000</v>
      </c>
      <c r="E1048" s="438">
        <v>1</v>
      </c>
      <c r="F1048" s="439">
        <f t="shared" si="4"/>
        <v>40000</v>
      </c>
      <c r="G1048" s="442"/>
      <c r="H1048" s="448">
        <v>32324</v>
      </c>
    </row>
    <row r="1049" spans="1:8" ht="13.2">
      <c r="A1049" s="454" t="s">
        <v>1594</v>
      </c>
      <c r="B1049" s="452" t="str">
        <f>VLOOKUP(A1049,'Thống kê'!$C$3:$D$669,2,0)</f>
        <v>Móc khóa đôi heo</v>
      </c>
      <c r="C1049" s="436" t="str">
        <f>VLOOKUP(A1049,'Thống kê'!$C$3:$E$682,3,0)</f>
        <v>cái</v>
      </c>
      <c r="D1049" s="437">
        <f>VLOOKUP(A1049,'Thống kê'!$C$3:$M$682,4,0)</f>
        <v>56580</v>
      </c>
      <c r="E1049" s="438">
        <v>1</v>
      </c>
      <c r="F1049" s="439">
        <f t="shared" si="4"/>
        <v>56580</v>
      </c>
      <c r="G1049" s="442"/>
      <c r="H1049" s="448">
        <v>49651</v>
      </c>
    </row>
    <row r="1050" spans="1:8" ht="13.2">
      <c r="A1050" s="454" t="s">
        <v>1622</v>
      </c>
      <c r="B1050" s="452" t="str">
        <f>VLOOKUP(A1050,'Thống kê'!$C$3:$D$669,2,0)</f>
        <v>Mô hình mèo 1</v>
      </c>
      <c r="C1050" s="436" t="str">
        <f>VLOOKUP(A1050,'Thống kê'!$C$3:$E$682,3,0)</f>
        <v>cái</v>
      </c>
      <c r="D1050" s="437">
        <f>VLOOKUP(A1050,'Thống kê'!$C$3:$M$682,4,0)</f>
        <v>37800</v>
      </c>
      <c r="E1050" s="438">
        <v>1</v>
      </c>
      <c r="F1050" s="439">
        <f t="shared" si="4"/>
        <v>37800</v>
      </c>
      <c r="G1050" s="442"/>
      <c r="H1050" s="447">
        <v>102009</v>
      </c>
    </row>
    <row r="1051" spans="1:8" ht="13.2">
      <c r="A1051" s="454" t="s">
        <v>1636</v>
      </c>
      <c r="B1051" s="452" t="str">
        <f>VLOOKUP(A1051,'Thống kê'!$C$3:$D$669,2,0)</f>
        <v>Mô hình mèo 3</v>
      </c>
      <c r="C1051" s="436" t="str">
        <f>VLOOKUP(A1051,'Thống kê'!$C$3:$E$682,3,0)</f>
        <v>cái</v>
      </c>
      <c r="D1051" s="437">
        <f>VLOOKUP(A1051,'Thống kê'!$C$3:$M$682,4,0)</f>
        <v>37800</v>
      </c>
      <c r="E1051" s="438">
        <v>1</v>
      </c>
      <c r="F1051" s="439">
        <f t="shared" si="4"/>
        <v>37800</v>
      </c>
      <c r="G1051" s="442"/>
      <c r="H1051" s="446"/>
    </row>
    <row r="1052" spans="1:8" ht="13.2">
      <c r="A1052" s="454" t="s">
        <v>1623</v>
      </c>
      <c r="B1052" s="452" t="str">
        <f>VLOOKUP(A1052,'Thống kê'!$C$3:$D$669,2,0)</f>
        <v>Mô hình mèo 5</v>
      </c>
      <c r="C1052" s="436" t="str">
        <f>VLOOKUP(A1052,'Thống kê'!$C$3:$E$682,3,0)</f>
        <v>cái</v>
      </c>
      <c r="D1052" s="437">
        <f>VLOOKUP(A1052,'Thống kê'!$C$3:$M$682,4,0)</f>
        <v>37800</v>
      </c>
      <c r="E1052" s="438">
        <v>1</v>
      </c>
      <c r="F1052" s="439">
        <f t="shared" si="4"/>
        <v>37800</v>
      </c>
      <c r="G1052" s="442"/>
      <c r="H1052" s="446"/>
    </row>
    <row r="1053" spans="1:8" ht="13.2">
      <c r="A1053" s="454" t="s">
        <v>1612</v>
      </c>
      <c r="B1053" s="452" t="str">
        <f>VLOOKUP(A1053,'Thống kê'!$C$3:$D$669,2,0)</f>
        <v>Kẹp tóc bướm trắng</v>
      </c>
      <c r="C1053" s="436" t="str">
        <f>VLOOKUP(A1053,'Thống kê'!$C$3:$E$682,3,0)</f>
        <v>cái</v>
      </c>
      <c r="D1053" s="437">
        <f>VLOOKUP(A1053,'Thống kê'!$C$3:$M$682,4,0)</f>
        <v>40000</v>
      </c>
      <c r="E1053" s="438">
        <v>1</v>
      </c>
      <c r="F1053" s="439">
        <f t="shared" si="4"/>
        <v>40000</v>
      </c>
      <c r="G1053" s="442"/>
      <c r="H1053" s="448">
        <v>32064</v>
      </c>
    </row>
    <row r="1054" spans="1:8" ht="13.2">
      <c r="A1054" s="454" t="s">
        <v>1917</v>
      </c>
      <c r="B1054" s="452" t="str">
        <f>VLOOKUP(A1054,'Thống kê'!$C$3:$D$669,2,0)</f>
        <v>Móc khóa đôi thỏ cà rốt</v>
      </c>
      <c r="C1054" s="436" t="str">
        <f>VLOOKUP(A1054,'Thống kê'!$C$3:$E$682,3,0)</f>
        <v>cái</v>
      </c>
      <c r="D1054" s="437">
        <f>VLOOKUP(A1054,'Thống kê'!$C$3:$M$682,4,0)</f>
        <v>48300</v>
      </c>
      <c r="E1054" s="438">
        <v>1</v>
      </c>
      <c r="F1054" s="439">
        <f t="shared" si="4"/>
        <v>48300</v>
      </c>
      <c r="G1054" s="442"/>
      <c r="H1054" s="448">
        <v>42264</v>
      </c>
    </row>
    <row r="1055" spans="1:8" ht="13.2">
      <c r="A1055" s="454" t="s">
        <v>183</v>
      </c>
      <c r="B1055" s="452" t="str">
        <f>VLOOKUP(A1055,'Thống kê'!$C$3:$D$669,2,0)</f>
        <v>Thỏ máy bay gắn xe</v>
      </c>
      <c r="C1055" s="436" t="str">
        <f>VLOOKUP(A1055,'Thống kê'!$C$3:$E$682,3,0)</f>
        <v>cái</v>
      </c>
      <c r="D1055" s="437">
        <f>VLOOKUP(A1055,'Thống kê'!$C$3:$M$682,4,0)</f>
        <v>45000</v>
      </c>
      <c r="E1055" s="438">
        <v>1</v>
      </c>
      <c r="F1055" s="439">
        <f t="shared" si="4"/>
        <v>45000</v>
      </c>
      <c r="G1055" s="442"/>
      <c r="H1055" s="447">
        <v>72900</v>
      </c>
    </row>
    <row r="1056" spans="1:8" ht="13.2">
      <c r="A1056" s="454" t="s">
        <v>119</v>
      </c>
      <c r="B1056" s="452" t="str">
        <f>VLOOKUP(A1056,'Thống kê'!$C$3:$D$669,2,0)</f>
        <v>Thỏ chạy xe gắn xe</v>
      </c>
      <c r="C1056" s="436" t="str">
        <f>VLOOKUP(A1056,'Thống kê'!$C$3:$E$682,3,0)</f>
        <v>cái</v>
      </c>
      <c r="D1056" s="437">
        <f>VLOOKUP(A1056,'Thống kê'!$C$3:$M$682,4,0)</f>
        <v>45000</v>
      </c>
      <c r="E1056" s="438">
        <v>1</v>
      </c>
      <c r="F1056" s="439">
        <f t="shared" si="4"/>
        <v>45000</v>
      </c>
      <c r="G1056" s="442"/>
      <c r="H1056" s="446"/>
    </row>
    <row r="1057" spans="1:8" ht="13.2">
      <c r="A1057" s="454" t="s">
        <v>1618</v>
      </c>
      <c r="B1057" s="452" t="str">
        <f>VLOOKUP(A1057,'Thống kê'!$C$3:$D$669,2,0)</f>
        <v>Kẹp tóc bướm hồng trắng</v>
      </c>
      <c r="C1057" s="436" t="str">
        <f>VLOOKUP(A1057,'Thống kê'!$C$3:$E$682,3,0)</f>
        <v>cái</v>
      </c>
      <c r="D1057" s="437">
        <f>VLOOKUP(A1057,'Thống kê'!$C$3:$M$682,4,0)</f>
        <v>52000</v>
      </c>
      <c r="E1057" s="438">
        <v>1</v>
      </c>
      <c r="F1057" s="439">
        <f t="shared" si="4"/>
        <v>52000</v>
      </c>
      <c r="G1057" s="442"/>
      <c r="H1057" s="448">
        <v>42039</v>
      </c>
    </row>
    <row r="1058" spans="1:8" ht="13.2">
      <c r="A1058" s="454" t="s">
        <v>1622</v>
      </c>
      <c r="B1058" s="452" t="str">
        <f>VLOOKUP(A1058,'Thống kê'!$C$3:$D$669,2,0)</f>
        <v>Mô hình mèo 1</v>
      </c>
      <c r="C1058" s="436" t="str">
        <f>VLOOKUP(A1058,'Thống kê'!$C$3:$E$682,3,0)</f>
        <v>cái</v>
      </c>
      <c r="D1058" s="437">
        <f>VLOOKUP(A1058,'Thống kê'!$C$3:$M$682,4,0)</f>
        <v>37800</v>
      </c>
      <c r="E1058" s="438">
        <v>1</v>
      </c>
      <c r="F1058" s="439">
        <f t="shared" si="4"/>
        <v>37800</v>
      </c>
      <c r="G1058" s="442"/>
      <c r="H1058" s="447">
        <v>93209</v>
      </c>
    </row>
    <row r="1059" spans="1:8" ht="13.2">
      <c r="A1059" s="454" t="s">
        <v>1621</v>
      </c>
      <c r="B1059" s="452" t="str">
        <f>VLOOKUP(A1059,'Thống kê'!$C$3:$D$669,2,0)</f>
        <v>Mô hình mèo 2</v>
      </c>
      <c r="C1059" s="436" t="str">
        <f>VLOOKUP(A1059,'Thống kê'!$C$3:$E$682,3,0)</f>
        <v>cái</v>
      </c>
      <c r="D1059" s="437">
        <f>VLOOKUP(A1059,'Thống kê'!$C$3:$M$682,4,0)</f>
        <v>37800</v>
      </c>
      <c r="E1059" s="438">
        <v>1</v>
      </c>
      <c r="F1059" s="439">
        <f t="shared" si="4"/>
        <v>37800</v>
      </c>
      <c r="G1059" s="442"/>
      <c r="H1059" s="446"/>
    </row>
    <row r="1060" spans="1:8" ht="13.2">
      <c r="A1060" s="454" t="s">
        <v>1635</v>
      </c>
      <c r="B1060" s="452" t="str">
        <f>VLOOKUP(A1060,'Thống kê'!$C$3:$D$669,2,0)</f>
        <v>Mô hình mèo 4</v>
      </c>
      <c r="C1060" s="436" t="str">
        <f>VLOOKUP(A1060,'Thống kê'!$C$3:$E$682,3,0)</f>
        <v>cái</v>
      </c>
      <c r="D1060" s="437">
        <f>VLOOKUP(A1060,'Thống kê'!$C$3:$M$682,4,0)</f>
        <v>37800</v>
      </c>
      <c r="E1060" s="438">
        <v>1</v>
      </c>
      <c r="F1060" s="439">
        <f t="shared" si="4"/>
        <v>37800</v>
      </c>
      <c r="G1060" s="442"/>
      <c r="H1060" s="446"/>
    </row>
    <row r="1061" spans="1:8" ht="13.2">
      <c r="A1061" s="454" t="s">
        <v>1856</v>
      </c>
      <c r="B1061" s="452" t="str">
        <f>VLOOKUP(A1061,'Thống kê'!$C$3:$D$669,2,0)</f>
        <v>Trâm cài 03</v>
      </c>
      <c r="C1061" s="436" t="str">
        <f>VLOOKUP(A1061,'Thống kê'!$C$3:$E$682,3,0)</f>
        <v>cây</v>
      </c>
      <c r="D1061" s="437">
        <f>VLOOKUP(A1061,'Thống kê'!$C$3:$M$682,4,0)</f>
        <v>32200</v>
      </c>
      <c r="E1061" s="438">
        <v>1</v>
      </c>
      <c r="F1061" s="439">
        <f t="shared" si="4"/>
        <v>32200</v>
      </c>
      <c r="G1061" s="442"/>
      <c r="H1061" s="448">
        <v>23823</v>
      </c>
    </row>
    <row r="1062" spans="1:8" ht="13.2">
      <c r="A1062" s="454" t="s">
        <v>1632</v>
      </c>
      <c r="B1062" s="452" t="str">
        <f>VLOOKUP(A1062,'Thống kê'!$C$3:$D$669,2,0)</f>
        <v>Móc khóa đôi mèo trắng</v>
      </c>
      <c r="C1062" s="436" t="str">
        <f>VLOOKUP(A1062,'Thống kê'!$C$3:$E$682,3,0)</f>
        <v>cái</v>
      </c>
      <c r="D1062" s="437">
        <f>VLOOKUP(A1062,'Thống kê'!$C$3:$M$682,4,0)</f>
        <v>59000</v>
      </c>
      <c r="E1062" s="438">
        <v>1</v>
      </c>
      <c r="F1062" s="439">
        <f t="shared" si="4"/>
        <v>59000</v>
      </c>
      <c r="G1062" s="442"/>
      <c r="H1062" s="448">
        <v>51600</v>
      </c>
    </row>
    <row r="1063" spans="1:8" ht="13.2">
      <c r="A1063" s="454" t="s">
        <v>119</v>
      </c>
      <c r="B1063" s="452" t="str">
        <f>VLOOKUP(A1063,'Thống kê'!$C$3:$D$669,2,0)</f>
        <v>Thỏ chạy xe gắn xe</v>
      </c>
      <c r="C1063" s="436" t="str">
        <f>VLOOKUP(A1063,'Thống kê'!$C$3:$E$682,3,0)</f>
        <v>cái</v>
      </c>
      <c r="D1063" s="437">
        <f>VLOOKUP(A1063,'Thống kê'!$C$3:$M$682,4,0)</f>
        <v>45000</v>
      </c>
      <c r="E1063" s="438">
        <v>1</v>
      </c>
      <c r="F1063" s="439">
        <f t="shared" si="4"/>
        <v>45000</v>
      </c>
      <c r="G1063" s="442"/>
      <c r="H1063" s="448">
        <v>35860</v>
      </c>
    </row>
    <row r="1064" spans="1:8" ht="13.2">
      <c r="A1064" s="454" t="s">
        <v>1960</v>
      </c>
      <c r="B1064" s="452" t="str">
        <f>VLOOKUP(A1064,'Thống kê'!$C$3:$D$669,2,0)</f>
        <v>Cài áo ong</v>
      </c>
      <c r="C1064" s="436" t="str">
        <f>VLOOKUP(A1064,'Thống kê'!$C$3:$E$682,3,0)</f>
        <v>cái</v>
      </c>
      <c r="D1064" s="437">
        <f>VLOOKUP(A1064,'Thống kê'!$C$3:$M$682,4,0)</f>
        <v>34900</v>
      </c>
      <c r="E1064" s="438">
        <v>1</v>
      </c>
      <c r="F1064" s="439">
        <f t="shared" si="4"/>
        <v>34900</v>
      </c>
      <c r="G1064" s="442"/>
      <c r="H1064" s="447">
        <v>96543</v>
      </c>
    </row>
    <row r="1065" spans="1:8" ht="13.2">
      <c r="A1065" s="454" t="s">
        <v>1909</v>
      </c>
      <c r="B1065" s="452" t="str">
        <f>VLOOKUP(A1065,'Thống kê'!$C$3:$D$669,2,0)</f>
        <v>Kẹp tóc hồng</v>
      </c>
      <c r="C1065" s="436" t="str">
        <f>VLOOKUP(A1065,'Thống kê'!$C$3:$E$682,3,0)</f>
        <v>cái</v>
      </c>
      <c r="D1065" s="437">
        <f>VLOOKUP(A1065,'Thống kê'!$C$3:$M$682,4,0)</f>
        <v>14000</v>
      </c>
      <c r="E1065" s="438">
        <v>1</v>
      </c>
      <c r="F1065" s="439">
        <f t="shared" si="4"/>
        <v>14000</v>
      </c>
      <c r="G1065" s="442"/>
      <c r="H1065" s="446"/>
    </row>
    <row r="1066" spans="1:8" ht="13.2">
      <c r="A1066" s="454" t="s">
        <v>1617</v>
      </c>
      <c r="B1066" s="452" t="str">
        <f>VLOOKUP(A1066,'Thống kê'!$C$3:$D$669,2,0)</f>
        <v xml:space="preserve">Kẹp tóc bướm hồng </v>
      </c>
      <c r="C1066" s="436" t="str">
        <f>VLOOKUP(A1066,'Thống kê'!$C$3:$E$682,3,0)</f>
        <v>cái</v>
      </c>
      <c r="D1066" s="437">
        <f>VLOOKUP(A1066,'Thống kê'!$C$3:$M$682,4,0)</f>
        <v>40000</v>
      </c>
      <c r="E1066" s="438">
        <v>1</v>
      </c>
      <c r="F1066" s="439">
        <f t="shared" si="4"/>
        <v>40000</v>
      </c>
      <c r="G1066" s="442"/>
      <c r="H1066" s="446"/>
    </row>
    <row r="1067" spans="1:8" ht="13.2">
      <c r="A1067" s="454" t="s">
        <v>1613</v>
      </c>
      <c r="B1067" s="452" t="str">
        <f>VLOOKUP(A1067,'Thống kê'!$C$3:$D$669,2,0)</f>
        <v>Kẹp tóc bướm xanh tím</v>
      </c>
      <c r="C1067" s="436" t="str">
        <f>VLOOKUP(A1067,'Thống kê'!$C$3:$E$682,3,0)</f>
        <v>cái</v>
      </c>
      <c r="D1067" s="437">
        <f>VLOOKUP(A1067,'Thống kê'!$C$3:$M$682,4,0)</f>
        <v>40000</v>
      </c>
      <c r="E1067" s="438">
        <v>1</v>
      </c>
      <c r="F1067" s="439">
        <f t="shared" si="4"/>
        <v>40000</v>
      </c>
      <c r="G1067" s="442"/>
      <c r="H1067" s="446"/>
    </row>
    <row r="1068" spans="1:8" ht="13.2">
      <c r="A1068" s="454" t="s">
        <v>1936</v>
      </c>
      <c r="B1068" s="452" t="str">
        <f>VLOOKUP(A1068,'Thống kê'!$C$3:$D$669,2,0)</f>
        <v>Kẹp tóc hoa sứ vàng</v>
      </c>
      <c r="C1068" s="436" t="str">
        <f>VLOOKUP(A1068,'Thống kê'!$C$3:$E$682,3,0)</f>
        <v>cái</v>
      </c>
      <c r="D1068" s="437">
        <f>VLOOKUP(A1068,'Thống kê'!$C$3:$M$682,4,0)</f>
        <v>18500</v>
      </c>
      <c r="E1068" s="438">
        <v>1</v>
      </c>
      <c r="F1068" s="439">
        <f t="shared" si="4"/>
        <v>18500</v>
      </c>
      <c r="G1068" s="442"/>
      <c r="H1068" s="446"/>
    </row>
    <row r="1069" spans="1:8" ht="13.2">
      <c r="A1069" s="454" t="s">
        <v>1617</v>
      </c>
      <c r="B1069" s="452" t="str">
        <f>VLOOKUP(A1069,'Thống kê'!$C$3:$D$669,2,0)</f>
        <v xml:space="preserve">Kẹp tóc bướm hồng </v>
      </c>
      <c r="C1069" s="436" t="str">
        <f>VLOOKUP(A1069,'Thống kê'!$C$3:$E$682,3,0)</f>
        <v>cái</v>
      </c>
      <c r="D1069" s="437">
        <f>VLOOKUP(A1069,'Thống kê'!$C$3:$M$682,4,0)</f>
        <v>40000</v>
      </c>
      <c r="E1069" s="438">
        <v>1</v>
      </c>
      <c r="F1069" s="439">
        <f t="shared" si="4"/>
        <v>40000</v>
      </c>
      <c r="G1069" s="442"/>
      <c r="H1069" s="447">
        <v>57971</v>
      </c>
    </row>
    <row r="1070" spans="1:8" ht="13.2">
      <c r="A1070" s="454" t="s">
        <v>1613</v>
      </c>
      <c r="B1070" s="452" t="str">
        <f>VLOOKUP(A1070,'Thống kê'!$C$3:$D$669,2,0)</f>
        <v>Kẹp tóc bướm xanh tím</v>
      </c>
      <c r="C1070" s="436" t="str">
        <f>VLOOKUP(A1070,'Thống kê'!$C$3:$E$682,3,0)</f>
        <v>cái</v>
      </c>
      <c r="D1070" s="437">
        <f>VLOOKUP(A1070,'Thống kê'!$C$3:$M$682,4,0)</f>
        <v>40000</v>
      </c>
      <c r="E1070" s="438">
        <v>1</v>
      </c>
      <c r="F1070" s="439">
        <f t="shared" si="4"/>
        <v>40000</v>
      </c>
      <c r="G1070" s="442"/>
      <c r="H1070" s="446"/>
    </row>
    <row r="1071" spans="1:8" ht="13.2">
      <c r="A1071" s="454" t="s">
        <v>1961</v>
      </c>
      <c r="B1071" s="452" t="str">
        <f>VLOOKUP(A1071,'Thống kê'!$C$3:$D$669,2,0)</f>
        <v>Kẹp tóc tím</v>
      </c>
      <c r="C1071" s="436" t="str">
        <f>VLOOKUP(A1071,'Thống kê'!$C$3:$E$682,3,0)</f>
        <v>cái</v>
      </c>
      <c r="D1071" s="437">
        <f>VLOOKUP(A1071,'Thống kê'!$C$3:$M$682,4,0)</f>
        <v>19500</v>
      </c>
      <c r="E1071" s="438">
        <v>1</v>
      </c>
      <c r="F1071" s="439">
        <f t="shared" si="4"/>
        <v>19500</v>
      </c>
      <c r="G1071" s="442"/>
      <c r="H1071" s="446"/>
    </row>
    <row r="1072" spans="1:8" ht="13.2">
      <c r="A1072" s="454" t="s">
        <v>1624</v>
      </c>
      <c r="B1072" s="452" t="str">
        <f>VLOOKUP(A1072,'Thống kê'!$C$3:$D$669,2,0)</f>
        <v>Móc khóa mèo trái tim</v>
      </c>
      <c r="C1072" s="436" t="str">
        <f>VLOOKUP(A1072,'Thống kê'!$C$3:$E$682,3,0)</f>
        <v>cái</v>
      </c>
      <c r="D1072" s="437">
        <f>VLOOKUP(A1072,'Thống kê'!$C$3:$M$682,4,0)</f>
        <v>59000</v>
      </c>
      <c r="E1072" s="438">
        <v>1</v>
      </c>
      <c r="F1072" s="439">
        <f t="shared" si="4"/>
        <v>59000</v>
      </c>
      <c r="G1072" s="442"/>
      <c r="H1072" s="448">
        <v>51400</v>
      </c>
    </row>
    <row r="1073" spans="1:8" ht="13.2">
      <c r="A1073" s="454" t="s">
        <v>1616</v>
      </c>
      <c r="B1073" s="452" t="str">
        <f>VLOOKUP(A1073,'Thống kê'!$C$3:$D$669,2,0)</f>
        <v>Kẹp tóc bướm hồng phấn</v>
      </c>
      <c r="C1073" s="436" t="str">
        <f>VLOOKUP(A1073,'Thống kê'!$C$3:$E$682,3,0)</f>
        <v>cái</v>
      </c>
      <c r="D1073" s="437">
        <f>VLOOKUP(A1073,'Thống kê'!$C$3:$M$682,4,0)</f>
        <v>40000</v>
      </c>
      <c r="E1073" s="438">
        <v>1</v>
      </c>
      <c r="F1073" s="439">
        <f t="shared" si="4"/>
        <v>40000</v>
      </c>
      <c r="G1073" s="442"/>
      <c r="H1073" s="448">
        <v>32324</v>
      </c>
    </row>
    <row r="1074" spans="1:8" ht="13.2">
      <c r="A1074" s="454" t="s">
        <v>1594</v>
      </c>
      <c r="B1074" s="452" t="str">
        <f>VLOOKUP(A1074,'Thống kê'!$C$3:$D$669,2,0)</f>
        <v>Móc khóa đôi heo</v>
      </c>
      <c r="C1074" s="436" t="str">
        <f>VLOOKUP(A1074,'Thống kê'!$C$3:$E$682,3,0)</f>
        <v>cái</v>
      </c>
      <c r="D1074" s="437">
        <f>VLOOKUP(A1074,'Thống kê'!$C$3:$M$682,4,0)</f>
        <v>56580</v>
      </c>
      <c r="E1074" s="438">
        <v>1</v>
      </c>
      <c r="F1074" s="439">
        <f t="shared" si="4"/>
        <v>56580</v>
      </c>
      <c r="G1074" s="442"/>
      <c r="H1074" s="448">
        <v>49631</v>
      </c>
    </row>
    <row r="1075" spans="1:8" ht="13.2">
      <c r="A1075" s="454" t="s">
        <v>1624</v>
      </c>
      <c r="B1075" s="452" t="str">
        <f>VLOOKUP(A1075,'Thống kê'!$C$3:$D$669,2,0)</f>
        <v>Móc khóa mèo trái tim</v>
      </c>
      <c r="C1075" s="436" t="str">
        <f>VLOOKUP(A1075,'Thống kê'!$C$3:$E$682,3,0)</f>
        <v>cái</v>
      </c>
      <c r="D1075" s="437">
        <f>VLOOKUP(A1075,'Thống kê'!$C$3:$M$682,4,0)</f>
        <v>59000</v>
      </c>
      <c r="E1075" s="438">
        <v>1</v>
      </c>
      <c r="F1075" s="439">
        <f t="shared" ref="F1075:F1329" si="5">D1075*E1075</f>
        <v>59000</v>
      </c>
      <c r="G1075" s="442"/>
      <c r="H1075" s="448">
        <v>51860</v>
      </c>
    </row>
    <row r="1076" spans="1:8" ht="13.2">
      <c r="A1076" s="454" t="s">
        <v>1613</v>
      </c>
      <c r="B1076" s="452" t="str">
        <f>VLOOKUP(A1076,'Thống kê'!$C$3:$D$669,2,0)</f>
        <v>Kẹp tóc bướm xanh tím</v>
      </c>
      <c r="C1076" s="436" t="str">
        <f>VLOOKUP(A1076,'Thống kê'!$C$3:$E$682,3,0)</f>
        <v>cái</v>
      </c>
      <c r="D1076" s="437">
        <f>VLOOKUP(A1076,'Thống kê'!$C$3:$M$682,4,0)</f>
        <v>40000</v>
      </c>
      <c r="E1076" s="438">
        <v>1</v>
      </c>
      <c r="F1076" s="439">
        <f t="shared" si="5"/>
        <v>40000</v>
      </c>
      <c r="G1076" s="442"/>
      <c r="H1076" s="448">
        <v>32324</v>
      </c>
    </row>
    <row r="1077" spans="1:8" ht="13.2">
      <c r="A1077" s="454" t="s">
        <v>1716</v>
      </c>
      <c r="B1077" s="452" t="str">
        <f>VLOOKUP(A1077,'Thống kê'!$C$3:$D$669,2,0)</f>
        <v>Móc khóa đôi 2 quả lê có nam châm</v>
      </c>
      <c r="C1077" s="436" t="str">
        <f>VLOOKUP(A1077,'Thống kê'!$C$3:$E$682,3,0)</f>
        <v>cái</v>
      </c>
      <c r="D1077" s="437">
        <f>VLOOKUP(A1077,'Thống kê'!$C$3:$M$682,4,0)</f>
        <v>59000</v>
      </c>
      <c r="E1077" s="438">
        <v>1</v>
      </c>
      <c r="F1077" s="439">
        <f t="shared" si="5"/>
        <v>59000</v>
      </c>
      <c r="G1077" s="442"/>
      <c r="H1077" s="448">
        <v>46488</v>
      </c>
    </row>
    <row r="1078" spans="1:8" ht="13.2">
      <c r="A1078" s="454" t="s">
        <v>115</v>
      </c>
      <c r="B1078" s="452" t="str">
        <f>VLOOKUP(A1078,'Thống kê'!$C$3:$D$669,2,0)</f>
        <v>Heo ú</v>
      </c>
      <c r="C1078" s="436" t="str">
        <f>VLOOKUP(A1078,'Thống kê'!$C$3:$E$682,3,0)</f>
        <v>cái</v>
      </c>
      <c r="D1078" s="437">
        <f>VLOOKUP(A1078,'Thống kê'!$C$3:$M$682,4,0)</f>
        <v>59500</v>
      </c>
      <c r="E1078" s="438">
        <v>2</v>
      </c>
      <c r="F1078" s="439">
        <f t="shared" si="5"/>
        <v>119000</v>
      </c>
      <c r="G1078" s="442"/>
      <c r="H1078" s="448">
        <v>96343</v>
      </c>
    </row>
    <row r="1079" spans="1:8" ht="13.2">
      <c r="A1079" s="454" t="s">
        <v>1625</v>
      </c>
      <c r="B1079" s="452" t="str">
        <f>VLOOKUP(A1079,'Thống kê'!$C$3:$D$669,2,0)</f>
        <v>Móc khóa đôi 2 mèo trắng nâu</v>
      </c>
      <c r="C1079" s="436" t="str">
        <f>VLOOKUP(A1079,'Thống kê'!$C$3:$E$682,3,0)</f>
        <v>cái</v>
      </c>
      <c r="D1079" s="437">
        <f>VLOOKUP(A1079,'Thống kê'!$C$3:$M$682,4,0)</f>
        <v>59000</v>
      </c>
      <c r="E1079" s="438">
        <v>1</v>
      </c>
      <c r="F1079" s="439">
        <f t="shared" si="5"/>
        <v>59000</v>
      </c>
      <c r="G1079" s="442"/>
      <c r="H1079" s="448">
        <v>51860</v>
      </c>
    </row>
    <row r="1080" spans="1:8" ht="13.2">
      <c r="A1080" s="454" t="s">
        <v>1928</v>
      </c>
      <c r="B1080" s="452" t="str">
        <f>VLOOKUP(A1080,'Thống kê'!$C$3:$D$669,2,0)</f>
        <v>Kẹp tóc xám trong</v>
      </c>
      <c r="C1080" s="436" t="str">
        <f>VLOOKUP(A1080,'Thống kê'!$C$3:$E$682,3,0)</f>
        <v>cái</v>
      </c>
      <c r="D1080" s="437">
        <f>VLOOKUP(A1080,'Thống kê'!$C$3:$M$682,4,0)</f>
        <v>14000</v>
      </c>
      <c r="E1080" s="438">
        <v>1</v>
      </c>
      <c r="F1080" s="439">
        <f t="shared" si="5"/>
        <v>14000</v>
      </c>
      <c r="G1080" s="442"/>
      <c r="H1080" s="448">
        <v>12320</v>
      </c>
    </row>
    <row r="1081" spans="1:8" ht="13.2">
      <c r="A1081" s="454" t="s">
        <v>150</v>
      </c>
      <c r="B1081" s="452" t="str">
        <f>VLOOKUP(A1081,'Thống kê'!$C$3:$D$669,2,0)</f>
        <v>Móc khóa có chuông</v>
      </c>
      <c r="C1081" s="436" t="str">
        <f>VLOOKUP(A1081,'Thống kê'!$C$3:$E$682,3,0)</f>
        <v>cái</v>
      </c>
      <c r="D1081" s="437">
        <f>VLOOKUP(A1081,'Thống kê'!$C$3:$M$682,4,0)</f>
        <v>59000</v>
      </c>
      <c r="E1081" s="438">
        <v>1</v>
      </c>
      <c r="F1081" s="439">
        <f t="shared" si="5"/>
        <v>59000</v>
      </c>
      <c r="G1081" s="442"/>
      <c r="H1081" s="448">
        <v>46568</v>
      </c>
    </row>
    <row r="1082" spans="1:8" ht="13.2">
      <c r="A1082" s="454" t="s">
        <v>1716</v>
      </c>
      <c r="B1082" s="452" t="str">
        <f>VLOOKUP(A1082,'Thống kê'!$C$3:$D$669,2,0)</f>
        <v>Móc khóa đôi 2 quả lê có nam châm</v>
      </c>
      <c r="C1082" s="436" t="str">
        <f>VLOOKUP(A1082,'Thống kê'!$C$3:$E$682,3,0)</f>
        <v>cái</v>
      </c>
      <c r="D1082" s="437">
        <f>VLOOKUP(A1082,'Thống kê'!$C$3:$M$682,4,0)</f>
        <v>59000</v>
      </c>
      <c r="E1082" s="438">
        <v>1</v>
      </c>
      <c r="F1082" s="439">
        <f t="shared" si="5"/>
        <v>59000</v>
      </c>
      <c r="G1082" s="442"/>
      <c r="H1082" s="447">
        <v>95040</v>
      </c>
    </row>
    <row r="1083" spans="1:8" ht="13.2">
      <c r="A1083" s="454" t="s">
        <v>150</v>
      </c>
      <c r="B1083" s="452" t="str">
        <f>VLOOKUP(A1083,'Thống kê'!$C$3:$D$669,2,0)</f>
        <v>Móc khóa có chuông</v>
      </c>
      <c r="C1083" s="436" t="str">
        <f>VLOOKUP(A1083,'Thống kê'!$C$3:$E$682,3,0)</f>
        <v>cái</v>
      </c>
      <c r="D1083" s="437">
        <f>VLOOKUP(A1083,'Thống kê'!$C$3:$M$682,4,0)</f>
        <v>59000</v>
      </c>
      <c r="E1083" s="438">
        <v>1</v>
      </c>
      <c r="F1083" s="439">
        <f t="shared" si="5"/>
        <v>59000</v>
      </c>
      <c r="G1083" s="442"/>
      <c r="H1083" s="446"/>
    </row>
    <row r="1084" spans="1:8" ht="13.2">
      <c r="A1084" s="454" t="s">
        <v>1635</v>
      </c>
      <c r="B1084" s="452" t="str">
        <f>VLOOKUP(A1084,'Thống kê'!$C$3:$D$669,2,0)</f>
        <v>Mô hình mèo 4</v>
      </c>
      <c r="C1084" s="436" t="str">
        <f>VLOOKUP(A1084,'Thống kê'!$C$3:$E$682,3,0)</f>
        <v>cái</v>
      </c>
      <c r="D1084" s="437">
        <f>VLOOKUP(A1084,'Thống kê'!$C$3:$M$682,4,0)</f>
        <v>37800</v>
      </c>
      <c r="E1084" s="438">
        <v>1</v>
      </c>
      <c r="F1084" s="439">
        <f t="shared" si="5"/>
        <v>37800</v>
      </c>
      <c r="G1084" s="442"/>
      <c r="H1084" s="447">
        <v>61146</v>
      </c>
    </row>
    <row r="1085" spans="1:8" ht="13.2">
      <c r="A1085" s="454" t="s">
        <v>1623</v>
      </c>
      <c r="B1085" s="452" t="str">
        <f>VLOOKUP(A1085,'Thống kê'!$C$3:$D$669,2,0)</f>
        <v>Mô hình mèo 5</v>
      </c>
      <c r="C1085" s="436" t="str">
        <f>VLOOKUP(A1085,'Thống kê'!$C$3:$E$682,3,0)</f>
        <v>cái</v>
      </c>
      <c r="D1085" s="437">
        <f>VLOOKUP(A1085,'Thống kê'!$C$3:$M$682,4,0)</f>
        <v>37800</v>
      </c>
      <c r="E1085" s="438">
        <v>1</v>
      </c>
      <c r="F1085" s="439">
        <f t="shared" si="5"/>
        <v>37800</v>
      </c>
      <c r="G1085" s="442"/>
      <c r="H1085" s="446"/>
    </row>
    <row r="1086" spans="1:8" ht="13.2">
      <c r="A1086" s="454" t="s">
        <v>128</v>
      </c>
      <c r="B1086" s="452" t="str">
        <f>VLOOKUP(A1086,'Thống kê'!$C$3:$D$669,2,0)</f>
        <v>Mèo ú bay</v>
      </c>
      <c r="C1086" s="436" t="str">
        <f>VLOOKUP(A1086,'Thống kê'!$C$3:$E$682,3,0)</f>
        <v>cái</v>
      </c>
      <c r="D1086" s="437">
        <f>VLOOKUP(A1086,'Thống kê'!$C$3:$M$682,4,0)</f>
        <v>64500</v>
      </c>
      <c r="E1086" s="438">
        <v>1</v>
      </c>
      <c r="F1086" s="439">
        <f t="shared" si="5"/>
        <v>64500</v>
      </c>
      <c r="G1086" s="442"/>
      <c r="H1086" s="448">
        <v>46998</v>
      </c>
    </row>
    <row r="1087" spans="1:8" ht="13.2">
      <c r="A1087" s="454" t="s">
        <v>115</v>
      </c>
      <c r="B1087" s="452" t="str">
        <f>VLOOKUP(A1087,'Thống kê'!$C$3:$D$669,2,0)</f>
        <v>Heo ú</v>
      </c>
      <c r="C1087" s="436" t="str">
        <f>VLOOKUP(A1087,'Thống kê'!$C$3:$E$682,3,0)</f>
        <v>cái</v>
      </c>
      <c r="D1087" s="437">
        <f>VLOOKUP(A1087,'Thống kê'!$C$3:$M$682,4,0)</f>
        <v>59500</v>
      </c>
      <c r="E1087" s="438">
        <v>1</v>
      </c>
      <c r="F1087" s="439">
        <f t="shared" si="5"/>
        <v>59500</v>
      </c>
      <c r="G1087" s="442"/>
      <c r="H1087" s="447">
        <v>90931</v>
      </c>
    </row>
    <row r="1088" spans="1:8" ht="13.2">
      <c r="A1088" s="454" t="s">
        <v>1589</v>
      </c>
      <c r="B1088" s="452" t="str">
        <f>VLOOKUP(A1088,'Thống kê'!$C$3:$D$669,2,0)</f>
        <v>Heo ú bay</v>
      </c>
      <c r="C1088" s="436" t="str">
        <f>VLOOKUP(A1088,'Thống kê'!$C$3:$E$682,3,0)</f>
        <v>cái</v>
      </c>
      <c r="D1088" s="437">
        <f>VLOOKUP(A1088,'Thống kê'!$C$3:$M$682,4,0)</f>
        <v>64500</v>
      </c>
      <c r="E1088" s="438">
        <v>1</v>
      </c>
      <c r="F1088" s="439">
        <f t="shared" si="5"/>
        <v>64500</v>
      </c>
      <c r="G1088" s="442"/>
      <c r="H1088" s="446"/>
    </row>
    <row r="1089" spans="1:8" ht="13.2">
      <c r="A1089" s="454" t="s">
        <v>1962</v>
      </c>
      <c r="B1089" s="452" t="str">
        <f>VLOOKUP(A1089,'Thống kê'!$C$3:$D$669,2,0)</f>
        <v>Dao rọc giấy cún vàng</v>
      </c>
      <c r="C1089" s="436" t="str">
        <f>VLOOKUP(A1089,'Thống kê'!$C$3:$E$682,3,0)</f>
        <v>cái</v>
      </c>
      <c r="D1089" s="437">
        <f>VLOOKUP(A1089,'Thống kê'!$C$3:$M$682,4,0)</f>
        <v>9000</v>
      </c>
      <c r="E1089" s="438">
        <v>1</v>
      </c>
      <c r="F1089" s="439">
        <f t="shared" si="5"/>
        <v>9000</v>
      </c>
      <c r="G1089" s="442"/>
      <c r="H1089" s="447">
        <v>72804</v>
      </c>
    </row>
    <row r="1090" spans="1:8" ht="13.2">
      <c r="A1090" s="454" t="s">
        <v>232</v>
      </c>
      <c r="B1090" s="452" t="str">
        <f>VLOOKUP(A1090,'Thống kê'!$C$3:$D$669,2,0)</f>
        <v>Cáo gắn xe</v>
      </c>
      <c r="C1090" s="436" t="str">
        <f>VLOOKUP(A1090,'Thống kê'!$C$3:$E$682,3,0)</f>
        <v>cái</v>
      </c>
      <c r="D1090" s="437">
        <f>VLOOKUP(A1090,'Thống kê'!$C$3:$M$682,4,0)</f>
        <v>45000</v>
      </c>
      <c r="E1090" s="438">
        <v>1</v>
      </c>
      <c r="F1090" s="439">
        <f t="shared" si="5"/>
        <v>45000</v>
      </c>
      <c r="G1090" s="442"/>
      <c r="H1090" s="446"/>
    </row>
    <row r="1091" spans="1:8" ht="13.2">
      <c r="A1091" s="462" t="s">
        <v>1592</v>
      </c>
      <c r="B1091" s="452" t="str">
        <f>VLOOKUP(A1091,'Thống kê'!$C$3:$D$669,2,0)</f>
        <v>Gấu trắng gắn xe</v>
      </c>
      <c r="C1091" s="436" t="str">
        <f>VLOOKUP(A1091,'Thống kê'!$C$3:$E$682,3,0)</f>
        <v>cái</v>
      </c>
      <c r="D1091" s="437">
        <f>VLOOKUP(A1091,'Thống kê'!$C$3:$M$682,4,0)</f>
        <v>45000</v>
      </c>
      <c r="E1091" s="438">
        <v>1</v>
      </c>
      <c r="F1091" s="439">
        <f t="shared" si="5"/>
        <v>45000</v>
      </c>
      <c r="G1091" s="442"/>
      <c r="H1091" s="446"/>
    </row>
    <row r="1092" spans="1:8" ht="13.2">
      <c r="A1092" s="462" t="s">
        <v>119</v>
      </c>
      <c r="B1092" s="452" t="str">
        <f>VLOOKUP(A1092,'Thống kê'!$C$3:$D$669,2,0)</f>
        <v>Thỏ chạy xe gắn xe</v>
      </c>
      <c r="C1092" s="436" t="str">
        <f>VLOOKUP(A1092,'Thống kê'!$C$3:$E$682,3,0)</f>
        <v>cái</v>
      </c>
      <c r="D1092" s="437">
        <f>VLOOKUP(A1092,'Thống kê'!$C$3:$M$682,4,0)</f>
        <v>45000</v>
      </c>
      <c r="E1092" s="438">
        <v>1</v>
      </c>
      <c r="F1092" s="439">
        <f t="shared" si="5"/>
        <v>45000</v>
      </c>
      <c r="G1092" s="442"/>
      <c r="H1092" s="449">
        <v>35800</v>
      </c>
    </row>
    <row r="1093" spans="1:8" ht="13.2">
      <c r="A1093" s="454" t="s">
        <v>119</v>
      </c>
      <c r="B1093" s="452" t="str">
        <f>VLOOKUP(A1093,'Thống kê'!$C$3:$D$669,2,0)</f>
        <v>Thỏ chạy xe gắn xe</v>
      </c>
      <c r="C1093" s="436" t="str">
        <f>VLOOKUP(A1093,'Thống kê'!$C$3:$E$682,3,0)</f>
        <v>cái</v>
      </c>
      <c r="D1093" s="437">
        <f>VLOOKUP(A1093,'Thống kê'!$C$3:$M$682,4,0)</f>
        <v>45000</v>
      </c>
      <c r="E1093" s="438">
        <v>1</v>
      </c>
      <c r="F1093" s="439">
        <f t="shared" si="5"/>
        <v>45000</v>
      </c>
      <c r="G1093" s="442"/>
      <c r="H1093" s="448">
        <v>36520</v>
      </c>
    </row>
    <row r="1094" spans="1:8" ht="13.2">
      <c r="A1094" s="454" t="s">
        <v>115</v>
      </c>
      <c r="B1094" s="452" t="str">
        <f>VLOOKUP(A1094,'Thống kê'!$C$3:$D$669,2,0)</f>
        <v>Heo ú</v>
      </c>
      <c r="C1094" s="436" t="str">
        <f>VLOOKUP(A1094,'Thống kê'!$C$3:$E$682,3,0)</f>
        <v>cái</v>
      </c>
      <c r="D1094" s="437">
        <f>VLOOKUP(A1094,'Thống kê'!$C$3:$M$682,4,0)</f>
        <v>59500</v>
      </c>
      <c r="E1094" s="438">
        <v>1</v>
      </c>
      <c r="F1094" s="439">
        <f t="shared" si="5"/>
        <v>59500</v>
      </c>
      <c r="G1094" s="442"/>
      <c r="H1094" s="447">
        <v>143577</v>
      </c>
    </row>
    <row r="1095" spans="1:8" ht="13.2">
      <c r="A1095" s="454" t="s">
        <v>923</v>
      </c>
      <c r="B1095" s="452" t="str">
        <f>VLOOKUP(A1095,'Thống kê'!$C$3:$D$669,2,0)</f>
        <v>Kẹp khuếch tán tinh dầu vịt vàng</v>
      </c>
      <c r="C1095" s="436" t="str">
        <f>VLOOKUP(A1095,'Thống kê'!$C$3:$E$682,3,0)</f>
        <v>cái</v>
      </c>
      <c r="D1095" s="437">
        <f>VLOOKUP(A1095,'Thống kê'!$C$3:$M$682,4,0)</f>
        <v>142400</v>
      </c>
      <c r="E1095" s="438">
        <v>1</v>
      </c>
      <c r="F1095" s="439">
        <f t="shared" si="5"/>
        <v>142400</v>
      </c>
      <c r="G1095" s="442"/>
      <c r="H1095" s="446"/>
    </row>
    <row r="1096" spans="1:8" ht="13.2">
      <c r="A1096" s="454" t="s">
        <v>941</v>
      </c>
      <c r="B1096" s="452" t="str">
        <f>VLOOKUP(A1096,'Thống kê'!$C$3:$D$669,2,0)</f>
        <v>Viên khuếch tán tinh dầu 01 ( lemon )</v>
      </c>
      <c r="C1096" s="436" t="str">
        <f>VLOOKUP(A1096,'Thống kê'!$C$3:$E$682,3,0)</f>
        <v>cái</v>
      </c>
      <c r="D1096" s="437">
        <f>VLOOKUP(A1096,'Thống kê'!$C$3:$M$682,4,0)</f>
        <v>8000</v>
      </c>
      <c r="E1096" s="438">
        <v>1</v>
      </c>
      <c r="F1096" s="439">
        <f t="shared" si="5"/>
        <v>8000</v>
      </c>
      <c r="G1096" s="442"/>
      <c r="H1096" s="446"/>
    </row>
    <row r="1097" spans="1:8" ht="13.2">
      <c r="A1097" s="454" t="s">
        <v>1945</v>
      </c>
      <c r="B1097" s="452" t="str">
        <f>VLOOKUP(A1097,'Thống kê'!$C$3:$D$669,2,0)</f>
        <v>Móc khóa capybara 8 - sổ mũi cam</v>
      </c>
      <c r="C1097" s="436" t="str">
        <f>VLOOKUP(A1097,'Thống kê'!$C$3:$E$682,3,0)</f>
        <v>cái</v>
      </c>
      <c r="D1097" s="437">
        <f>VLOOKUP(A1097,'Thống kê'!$C$3:$M$682,4,0)</f>
        <v>58800</v>
      </c>
      <c r="E1097" s="438">
        <v>1</v>
      </c>
      <c r="F1097" s="439">
        <f t="shared" si="5"/>
        <v>58800</v>
      </c>
      <c r="G1097" s="442"/>
      <c r="H1097" s="448">
        <v>45421</v>
      </c>
    </row>
    <row r="1098" spans="1:8" ht="13.2">
      <c r="A1098" s="454" t="s">
        <v>1624</v>
      </c>
      <c r="B1098" s="452" t="str">
        <f>VLOOKUP(A1098,'Thống kê'!$C$3:$D$669,2,0)</f>
        <v>Móc khóa mèo trái tim</v>
      </c>
      <c r="C1098" s="436" t="str">
        <f>VLOOKUP(A1098,'Thống kê'!$C$3:$E$682,3,0)</f>
        <v>cái</v>
      </c>
      <c r="D1098" s="437">
        <f>VLOOKUP(A1098,'Thống kê'!$C$3:$M$682,4,0)</f>
        <v>59000</v>
      </c>
      <c r="E1098" s="438">
        <v>1</v>
      </c>
      <c r="F1098" s="439">
        <f t="shared" si="5"/>
        <v>59000</v>
      </c>
      <c r="G1098" s="442"/>
      <c r="H1098" s="448">
        <v>46668</v>
      </c>
    </row>
    <row r="1099" spans="1:8" ht="13.2">
      <c r="A1099" s="454" t="s">
        <v>1594</v>
      </c>
      <c r="B1099" s="452" t="str">
        <f>VLOOKUP(A1099,'Thống kê'!$C$3:$D$669,2,0)</f>
        <v>Móc khóa đôi heo</v>
      </c>
      <c r="C1099" s="436" t="str">
        <f>VLOOKUP(A1099,'Thống kê'!$C$3:$E$682,3,0)</f>
        <v>cái</v>
      </c>
      <c r="D1099" s="437">
        <f>VLOOKUP(A1099,'Thống kê'!$C$3:$M$682,4,0)</f>
        <v>56580</v>
      </c>
      <c r="E1099" s="438">
        <v>1</v>
      </c>
      <c r="F1099" s="439">
        <f t="shared" si="5"/>
        <v>56580</v>
      </c>
      <c r="G1099" s="442"/>
      <c r="H1099" s="448">
        <v>44751</v>
      </c>
    </row>
    <row r="1100" spans="1:8" ht="13.2">
      <c r="A1100" s="454" t="s">
        <v>1716</v>
      </c>
      <c r="B1100" s="452" t="str">
        <f>VLOOKUP(A1100,'Thống kê'!$C$3:$D$669,2,0)</f>
        <v>Móc khóa đôi 2 quả lê có nam châm</v>
      </c>
      <c r="C1100" s="436" t="str">
        <f>VLOOKUP(A1100,'Thống kê'!$C$3:$E$682,3,0)</f>
        <v>cái</v>
      </c>
      <c r="D1100" s="437">
        <f>VLOOKUP(A1100,'Thống kê'!$C$3:$M$682,4,0)</f>
        <v>59000</v>
      </c>
      <c r="E1100" s="438">
        <v>1</v>
      </c>
      <c r="F1100" s="439">
        <f t="shared" si="5"/>
        <v>59000</v>
      </c>
      <c r="G1100" s="442"/>
      <c r="H1100" s="447">
        <v>95040</v>
      </c>
    </row>
    <row r="1101" spans="1:8" ht="13.2">
      <c r="A1101" s="454" t="s">
        <v>150</v>
      </c>
      <c r="B1101" s="452" t="str">
        <f>VLOOKUP(A1101,'Thống kê'!$C$3:$D$669,2,0)</f>
        <v>Móc khóa có chuông</v>
      </c>
      <c r="C1101" s="436" t="str">
        <f>VLOOKUP(A1101,'Thống kê'!$C$3:$E$682,3,0)</f>
        <v>cái</v>
      </c>
      <c r="D1101" s="437">
        <f>VLOOKUP(A1101,'Thống kê'!$C$3:$M$682,4,0)</f>
        <v>59000</v>
      </c>
      <c r="E1101" s="438">
        <v>1</v>
      </c>
      <c r="F1101" s="439">
        <f t="shared" si="5"/>
        <v>59000</v>
      </c>
      <c r="G1101" s="442"/>
      <c r="H1101" s="446"/>
    </row>
    <row r="1102" spans="1:8" ht="13.2">
      <c r="A1102" s="454" t="s">
        <v>1617</v>
      </c>
      <c r="B1102" s="452" t="str">
        <f>VLOOKUP(A1102,'Thống kê'!$C$3:$D$669,2,0)</f>
        <v xml:space="preserve">Kẹp tóc bướm hồng </v>
      </c>
      <c r="C1102" s="436" t="str">
        <f>VLOOKUP(A1102,'Thống kê'!$C$3:$E$682,3,0)</f>
        <v>cái</v>
      </c>
      <c r="D1102" s="437">
        <f>VLOOKUP(A1102,'Thống kê'!$C$3:$M$682,4,0)</f>
        <v>40000</v>
      </c>
      <c r="E1102" s="438">
        <v>1</v>
      </c>
      <c r="F1102" s="439">
        <f t="shared" si="5"/>
        <v>40000</v>
      </c>
      <c r="G1102" s="442"/>
      <c r="H1102" s="447">
        <v>58151</v>
      </c>
    </row>
    <row r="1103" spans="1:8" ht="13.2">
      <c r="A1103" s="454" t="s">
        <v>1614</v>
      </c>
      <c r="B1103" s="452" t="str">
        <f>VLOOKUP(A1103,'Thống kê'!$C$3:$D$669,2,0)</f>
        <v>Kẹp tóc bướm xanh ngọc</v>
      </c>
      <c r="C1103" s="436" t="str">
        <f>VLOOKUP(A1103,'Thống kê'!$C$3:$E$682,3,0)</f>
        <v>cái</v>
      </c>
      <c r="D1103" s="437">
        <f>VLOOKUP(A1103,'Thống kê'!$C$3:$M$682,4,0)</f>
        <v>38000</v>
      </c>
      <c r="E1103" s="438">
        <v>1</v>
      </c>
      <c r="F1103" s="439">
        <f t="shared" si="5"/>
        <v>38000</v>
      </c>
      <c r="G1103" s="442"/>
      <c r="H1103" s="446"/>
    </row>
    <row r="1104" spans="1:8" ht="13.2">
      <c r="A1104" s="454" t="s">
        <v>1963</v>
      </c>
      <c r="B1104" s="452" t="str">
        <f>VLOOKUP(A1104,'Thống kê'!$C$3:$D$669,2,0)</f>
        <v>Kẹp tóc hoa năm cánh đỏ hồng</v>
      </c>
      <c r="C1104" s="436" t="str">
        <f>VLOOKUP(A1104,'Thống kê'!$C$3:$E$682,3,0)</f>
        <v>cái</v>
      </c>
      <c r="D1104" s="437">
        <f>VLOOKUP(A1104,'Thống kê'!$C$3:$M$682,4,0)</f>
        <v>18500</v>
      </c>
      <c r="E1104" s="438">
        <v>1</v>
      </c>
      <c r="F1104" s="439">
        <f t="shared" si="5"/>
        <v>18500</v>
      </c>
      <c r="G1104" s="442"/>
      <c r="H1104" s="446"/>
    </row>
    <row r="1105" spans="1:8" ht="13.2">
      <c r="A1105" s="454" t="s">
        <v>1964</v>
      </c>
      <c r="B1105" s="452" t="str">
        <f>VLOOKUP(A1105,'Thống kê'!$C$3:$D$669,2,0)</f>
        <v>Túi chườm bụng gấu trúc 500ml</v>
      </c>
      <c r="C1105" s="436" t="str">
        <f>VLOOKUP(A1105,'Thống kê'!$C$3:$E$682,3,0)</f>
        <v>túi</v>
      </c>
      <c r="D1105" s="437">
        <f>VLOOKUP(A1105,'Thống kê'!$C$3:$M$682,4,0)</f>
        <v>81000</v>
      </c>
      <c r="E1105" s="438">
        <v>1</v>
      </c>
      <c r="F1105" s="439">
        <f t="shared" si="5"/>
        <v>81000</v>
      </c>
      <c r="G1105" s="442"/>
      <c r="H1105" s="448">
        <v>64092</v>
      </c>
    </row>
    <row r="1106" spans="1:8" ht="13.2">
      <c r="A1106" s="454" t="s">
        <v>927</v>
      </c>
      <c r="B1106" s="452" t="str">
        <f>VLOOKUP(A1106,'Thống kê'!$C$3:$D$669,2,0)</f>
        <v>Kẹp khuếch tán tinh dầu mèo hồng</v>
      </c>
      <c r="C1106" s="436" t="str">
        <f>VLOOKUP(A1106,'Thống kê'!$C$3:$E$682,3,0)</f>
        <v>cái</v>
      </c>
      <c r="D1106" s="437">
        <f>VLOOKUP(A1106,'Thống kê'!$C$3:$M$682,4,0)</f>
        <v>142400</v>
      </c>
      <c r="E1106" s="438">
        <v>1</v>
      </c>
      <c r="F1106" s="439">
        <f t="shared" si="5"/>
        <v>142400</v>
      </c>
      <c r="G1106" s="442"/>
      <c r="H1106" s="447">
        <v>210109</v>
      </c>
    </row>
    <row r="1107" spans="1:8" ht="13.2">
      <c r="A1107" s="454" t="s">
        <v>929</v>
      </c>
      <c r="B1107" s="452" t="str">
        <f>VLOOKUP(A1107,'Thống kê'!$C$3:$D$669,2,0)</f>
        <v>Kẹp khuếch tán tinh dầu vịt đen</v>
      </c>
      <c r="C1107" s="436" t="str">
        <f>VLOOKUP(A1107,'Thống kê'!$C$3:$E$682,3,0)</f>
        <v>cái</v>
      </c>
      <c r="D1107" s="437">
        <f>VLOOKUP(A1107,'Thống kê'!$C$3:$M$682,4,0)</f>
        <v>142400</v>
      </c>
      <c r="E1107" s="438">
        <v>1</v>
      </c>
      <c r="F1107" s="439">
        <f t="shared" si="5"/>
        <v>142400</v>
      </c>
      <c r="G1107" s="442"/>
      <c r="H1107" s="446"/>
    </row>
    <row r="1108" spans="1:8" ht="13.2">
      <c r="A1108" s="454" t="s">
        <v>941</v>
      </c>
      <c r="B1108" s="452" t="str">
        <f>VLOOKUP(A1108,'Thống kê'!$C$3:$D$669,2,0)</f>
        <v>Viên khuếch tán tinh dầu 01 ( lemon )</v>
      </c>
      <c r="C1108" s="436" t="str">
        <f>VLOOKUP(A1108,'Thống kê'!$C$3:$E$682,3,0)</f>
        <v>cái</v>
      </c>
      <c r="D1108" s="437">
        <f>VLOOKUP(A1108,'Thống kê'!$C$3:$M$682,4,0)</f>
        <v>8000</v>
      </c>
      <c r="E1108" s="438">
        <v>1</v>
      </c>
      <c r="F1108" s="439">
        <f t="shared" si="5"/>
        <v>8000</v>
      </c>
      <c r="G1108" s="442"/>
      <c r="H1108" s="446"/>
    </row>
    <row r="1109" spans="1:8" ht="13.2">
      <c r="A1109" s="454" t="s">
        <v>941</v>
      </c>
      <c r="B1109" s="452" t="str">
        <f>VLOOKUP(A1109,'Thống kê'!$C$3:$D$669,2,0)</f>
        <v>Viên khuếch tán tinh dầu 01 ( lemon )</v>
      </c>
      <c r="C1109" s="436" t="str">
        <f>VLOOKUP(A1109,'Thống kê'!$C$3:$E$682,3,0)</f>
        <v>cái</v>
      </c>
      <c r="D1109" s="437">
        <f>VLOOKUP(A1109,'Thống kê'!$C$3:$M$682,4,0)</f>
        <v>8000</v>
      </c>
      <c r="E1109" s="438">
        <v>1</v>
      </c>
      <c r="F1109" s="439">
        <f t="shared" si="5"/>
        <v>8000</v>
      </c>
      <c r="G1109" s="442"/>
      <c r="H1109" s="446"/>
    </row>
    <row r="1110" spans="1:8" ht="13.2">
      <c r="A1110" s="454" t="s">
        <v>945</v>
      </c>
      <c r="B1110" s="452" t="str">
        <f>VLOOKUP(A1110,'Thống kê'!$C$3:$D$669,2,0)</f>
        <v>Viên khuếch tán tinh dầu 03 ( green tea )</v>
      </c>
      <c r="C1110" s="436" t="str">
        <f>VLOOKUP(A1110,'Thống kê'!$C$3:$E$682,3,0)</f>
        <v>cái</v>
      </c>
      <c r="D1110" s="437">
        <f>VLOOKUP(A1110,'Thống kê'!$C$3:$M$682,4,0)</f>
        <v>8000</v>
      </c>
      <c r="E1110" s="438">
        <v>1</v>
      </c>
      <c r="F1110" s="439">
        <f t="shared" si="5"/>
        <v>8000</v>
      </c>
      <c r="G1110" s="442"/>
      <c r="H1110" s="446"/>
    </row>
    <row r="1111" spans="1:8" ht="13.2">
      <c r="A1111" s="454" t="s">
        <v>1616</v>
      </c>
      <c r="B1111" s="452" t="str">
        <f>VLOOKUP(A1111,'Thống kê'!$C$3:$D$669,2,0)</f>
        <v>Kẹp tóc bướm hồng phấn</v>
      </c>
      <c r="C1111" s="436" t="str">
        <f>VLOOKUP(A1111,'Thống kê'!$C$3:$E$682,3,0)</f>
        <v>cái</v>
      </c>
      <c r="D1111" s="437">
        <f>VLOOKUP(A1111,'Thống kê'!$C$3:$M$682,4,0)</f>
        <v>40000</v>
      </c>
      <c r="E1111" s="438">
        <v>1</v>
      </c>
      <c r="F1111" s="439">
        <f t="shared" si="5"/>
        <v>40000</v>
      </c>
      <c r="G1111" s="442"/>
      <c r="H1111" s="447">
        <v>73913</v>
      </c>
    </row>
    <row r="1112" spans="1:8" ht="13.2">
      <c r="A1112" s="454" t="s">
        <v>1614</v>
      </c>
      <c r="B1112" s="452" t="str">
        <f>VLOOKUP(A1112,'Thống kê'!$C$3:$D$669,2,0)</f>
        <v>Kẹp tóc bướm xanh ngọc</v>
      </c>
      <c r="C1112" s="436" t="str">
        <f>VLOOKUP(A1112,'Thống kê'!$C$3:$E$682,3,0)</f>
        <v>cái</v>
      </c>
      <c r="D1112" s="437">
        <f>VLOOKUP(A1112,'Thống kê'!$C$3:$M$682,4,0)</f>
        <v>38000</v>
      </c>
      <c r="E1112" s="438">
        <v>1</v>
      </c>
      <c r="F1112" s="439">
        <f t="shared" si="5"/>
        <v>38000</v>
      </c>
      <c r="G1112" s="442"/>
      <c r="H1112" s="446"/>
    </row>
    <row r="1113" spans="1:8" ht="13.2">
      <c r="A1113" s="454" t="s">
        <v>1963</v>
      </c>
      <c r="B1113" s="452" t="str">
        <f>VLOOKUP(A1113,'Thống kê'!$C$3:$D$669,2,0)</f>
        <v>Kẹp tóc hoa năm cánh đỏ hồng</v>
      </c>
      <c r="C1113" s="436" t="str">
        <f>VLOOKUP(A1113,'Thống kê'!$C$3:$E$682,3,0)</f>
        <v>cái</v>
      </c>
      <c r="D1113" s="437">
        <f>VLOOKUP(A1113,'Thống kê'!$C$3:$M$682,4,0)</f>
        <v>18500</v>
      </c>
      <c r="E1113" s="438">
        <v>1</v>
      </c>
      <c r="F1113" s="439">
        <f t="shared" si="5"/>
        <v>18500</v>
      </c>
      <c r="G1113" s="442"/>
      <c r="H1113" s="446"/>
    </row>
    <row r="1114" spans="1:8" ht="13.2">
      <c r="A1114" s="454" t="s">
        <v>1911</v>
      </c>
      <c r="B1114" s="452" t="str">
        <f>VLOOKUP(A1114,'Thống kê'!$C$3:$D$669,2,0)</f>
        <v>Vớ cổ cao trắng hoa hồng</v>
      </c>
      <c r="C1114" s="436" t="str">
        <f>VLOOKUP(A1114,'Thống kê'!$C$3:$E$682,3,0)</f>
        <v>đôi</v>
      </c>
      <c r="D1114" s="437">
        <f>VLOOKUP(A1114,'Thống kê'!$C$3:$M$682,4,0)</f>
        <v>19800</v>
      </c>
      <c r="E1114" s="438">
        <v>1</v>
      </c>
      <c r="F1114" s="439">
        <f t="shared" si="5"/>
        <v>19800</v>
      </c>
      <c r="G1114" s="442"/>
      <c r="H1114" s="446"/>
    </row>
    <row r="1115" spans="1:8" ht="13.2">
      <c r="A1115" s="454" t="s">
        <v>1622</v>
      </c>
      <c r="B1115" s="452" t="str">
        <f>VLOOKUP(A1115,'Thống kê'!$C$3:$D$669,2,0)</f>
        <v>Mô hình mèo 1</v>
      </c>
      <c r="C1115" s="436" t="str">
        <f>VLOOKUP(A1115,'Thống kê'!$C$3:$E$682,3,0)</f>
        <v>cái</v>
      </c>
      <c r="D1115" s="437">
        <f>VLOOKUP(A1115,'Thống kê'!$C$3:$M$682,4,0)</f>
        <v>37800</v>
      </c>
      <c r="E1115" s="438">
        <v>1</v>
      </c>
      <c r="F1115" s="439">
        <f t="shared" si="5"/>
        <v>37800</v>
      </c>
      <c r="G1115" s="442"/>
      <c r="H1115" s="448">
        <v>33243</v>
      </c>
    </row>
    <row r="1116" spans="1:8" ht="13.2">
      <c r="A1116" s="454" t="s">
        <v>1617</v>
      </c>
      <c r="B1116" s="452" t="str">
        <f>VLOOKUP(A1116,'Thống kê'!$C$3:$D$669,2,0)</f>
        <v xml:space="preserve">Kẹp tóc bướm hồng </v>
      </c>
      <c r="C1116" s="436" t="str">
        <f>VLOOKUP(A1116,'Thống kê'!$C$3:$E$682,3,0)</f>
        <v>cái</v>
      </c>
      <c r="D1116" s="437">
        <f>VLOOKUP(A1116,'Thống kê'!$C$3:$M$682,4,0)</f>
        <v>40000</v>
      </c>
      <c r="E1116" s="438">
        <v>1</v>
      </c>
      <c r="F1116" s="439">
        <f t="shared" si="5"/>
        <v>40000</v>
      </c>
      <c r="G1116" s="442"/>
      <c r="H1116" s="447">
        <v>58231</v>
      </c>
    </row>
    <row r="1117" spans="1:8" ht="13.2">
      <c r="A1117" s="454" t="s">
        <v>1613</v>
      </c>
      <c r="B1117" s="452" t="str">
        <f>VLOOKUP(A1117,'Thống kê'!$C$3:$D$669,2,0)</f>
        <v>Kẹp tóc bướm xanh tím</v>
      </c>
      <c r="C1117" s="436" t="str">
        <f>VLOOKUP(A1117,'Thống kê'!$C$3:$E$682,3,0)</f>
        <v>cái</v>
      </c>
      <c r="D1117" s="437">
        <f>VLOOKUP(A1117,'Thống kê'!$C$3:$M$682,4,0)</f>
        <v>40000</v>
      </c>
      <c r="E1117" s="438">
        <v>1</v>
      </c>
      <c r="F1117" s="439">
        <f t="shared" si="5"/>
        <v>40000</v>
      </c>
      <c r="G1117" s="442"/>
      <c r="H1117" s="446"/>
    </row>
    <row r="1118" spans="1:8" ht="13.2">
      <c r="A1118" s="454" t="s">
        <v>1938</v>
      </c>
      <c r="B1118" s="452" t="str">
        <f>VLOOKUP(A1118,'Thống kê'!$C$3:$D$669,2,0)</f>
        <v>Kẹp tóc hoa sứ xanh</v>
      </c>
      <c r="C1118" s="436" t="str">
        <f>VLOOKUP(A1118,'Thống kê'!$C$3:$E$682,3,0)</f>
        <v>cái</v>
      </c>
      <c r="D1118" s="437">
        <f>VLOOKUP(A1118,'Thống kê'!$C$3:$M$682,4,0)</f>
        <v>18500</v>
      </c>
      <c r="E1118" s="438">
        <v>1</v>
      </c>
      <c r="F1118" s="439">
        <f t="shared" si="5"/>
        <v>18500</v>
      </c>
      <c r="G1118" s="442"/>
      <c r="H1118" s="446"/>
    </row>
    <row r="1119" spans="1:8" ht="13.2">
      <c r="A1119" s="454" t="s">
        <v>1589</v>
      </c>
      <c r="B1119" s="452" t="str">
        <f>VLOOKUP(A1119,'Thống kê'!$C$3:$D$669,2,0)</f>
        <v>Heo ú bay</v>
      </c>
      <c r="C1119" s="436" t="str">
        <f>VLOOKUP(A1119,'Thống kê'!$C$3:$E$682,3,0)</f>
        <v>cái</v>
      </c>
      <c r="D1119" s="437">
        <f>VLOOKUP(A1119,'Thống kê'!$C$3:$M$682,4,0)</f>
        <v>64500</v>
      </c>
      <c r="E1119" s="438">
        <v>1</v>
      </c>
      <c r="F1119" s="439">
        <f t="shared" si="5"/>
        <v>64500</v>
      </c>
      <c r="G1119" s="442"/>
      <c r="H1119" s="447">
        <v>116459</v>
      </c>
    </row>
    <row r="1120" spans="1:8" ht="13.2">
      <c r="A1120" s="454" t="s">
        <v>119</v>
      </c>
      <c r="B1120" s="452" t="str">
        <f>VLOOKUP(A1120,'Thống kê'!$C$3:$D$669,2,0)</f>
        <v>Thỏ chạy xe gắn xe</v>
      </c>
      <c r="C1120" s="436" t="str">
        <f>VLOOKUP(A1120,'Thống kê'!$C$3:$E$682,3,0)</f>
        <v>cái</v>
      </c>
      <c r="D1120" s="437">
        <f>VLOOKUP(A1120,'Thống kê'!$C$3:$M$682,4,0)</f>
        <v>45000</v>
      </c>
      <c r="E1120" s="438">
        <v>1</v>
      </c>
      <c r="F1120" s="439">
        <f t="shared" si="5"/>
        <v>45000</v>
      </c>
      <c r="G1120" s="442"/>
      <c r="H1120" s="446"/>
    </row>
    <row r="1121" spans="1:8" ht="13.2">
      <c r="A1121" s="454" t="s">
        <v>232</v>
      </c>
      <c r="B1121" s="452" t="str">
        <f>VLOOKUP(A1121,'Thống kê'!$C$3:$D$669,2,0)</f>
        <v>Cáo gắn xe</v>
      </c>
      <c r="C1121" s="436" t="str">
        <f>VLOOKUP(A1121,'Thống kê'!$C$3:$E$682,3,0)</f>
        <v>cái</v>
      </c>
      <c r="D1121" s="437">
        <f>VLOOKUP(A1121,'Thống kê'!$C$3:$M$682,4,0)</f>
        <v>45000</v>
      </c>
      <c r="E1121" s="438">
        <v>1</v>
      </c>
      <c r="F1121" s="439">
        <f t="shared" si="5"/>
        <v>45000</v>
      </c>
      <c r="G1121" s="442"/>
      <c r="H1121" s="446"/>
    </row>
    <row r="1122" spans="1:8" ht="13.2">
      <c r="A1122" s="454" t="s">
        <v>1621</v>
      </c>
      <c r="B1122" s="452" t="str">
        <f>VLOOKUP(A1122,'Thống kê'!$C$3:$D$669,2,0)</f>
        <v>Mô hình mèo 2</v>
      </c>
      <c r="C1122" s="436" t="str">
        <f>VLOOKUP(A1122,'Thống kê'!$C$3:$E$682,3,0)</f>
        <v>cái</v>
      </c>
      <c r="D1122" s="437">
        <f>VLOOKUP(A1122,'Thống kê'!$C$3:$M$682,4,0)</f>
        <v>37800</v>
      </c>
      <c r="E1122" s="438">
        <v>1</v>
      </c>
      <c r="F1122" s="439">
        <f t="shared" si="5"/>
        <v>37800</v>
      </c>
      <c r="G1122" s="442"/>
      <c r="H1122" s="447">
        <v>61066</v>
      </c>
    </row>
    <row r="1123" spans="1:8" ht="13.2">
      <c r="A1123" s="454" t="s">
        <v>1635</v>
      </c>
      <c r="B1123" s="452" t="str">
        <f>VLOOKUP(A1123,'Thống kê'!$C$3:$D$669,2,0)</f>
        <v>Mô hình mèo 4</v>
      </c>
      <c r="C1123" s="436" t="str">
        <f>VLOOKUP(A1123,'Thống kê'!$C$3:$E$682,3,0)</f>
        <v>cái</v>
      </c>
      <c r="D1123" s="437">
        <f>VLOOKUP(A1123,'Thống kê'!$C$3:$M$682,4,0)</f>
        <v>37800</v>
      </c>
      <c r="E1123" s="438">
        <v>1</v>
      </c>
      <c r="F1123" s="439">
        <f t="shared" si="5"/>
        <v>37800</v>
      </c>
      <c r="G1123" s="442"/>
      <c r="H1123" s="446"/>
    </row>
    <row r="1124" spans="1:8" ht="13.2">
      <c r="A1124" s="454" t="s">
        <v>1589</v>
      </c>
      <c r="B1124" s="452" t="str">
        <f>VLOOKUP(A1124,'Thống kê'!$C$3:$D$669,2,0)</f>
        <v>Heo ú bay</v>
      </c>
      <c r="C1124" s="436" t="str">
        <f>VLOOKUP(A1124,'Thống kê'!$C$3:$E$682,3,0)</f>
        <v>cái</v>
      </c>
      <c r="D1124" s="437">
        <f>VLOOKUP(A1124,'Thống kê'!$C$3:$M$682,4,0)</f>
        <v>64500</v>
      </c>
      <c r="E1124" s="438">
        <v>1</v>
      </c>
      <c r="F1124" s="439">
        <f t="shared" si="5"/>
        <v>64500</v>
      </c>
      <c r="G1124" s="442"/>
      <c r="H1124" s="447">
        <v>194259</v>
      </c>
    </row>
    <row r="1125" spans="1:8" ht="13.2">
      <c r="A1125" s="454" t="s">
        <v>927</v>
      </c>
      <c r="B1125" s="452" t="str">
        <f>VLOOKUP(A1125,'Thống kê'!$C$3:$D$669,2,0)</f>
        <v>Kẹp khuếch tán tinh dầu mèo hồng</v>
      </c>
      <c r="C1125" s="436" t="str">
        <f>VLOOKUP(A1125,'Thống kê'!$C$3:$E$682,3,0)</f>
        <v>cái</v>
      </c>
      <c r="D1125" s="437">
        <f>VLOOKUP(A1125,'Thống kê'!$C$3:$M$682,4,0)</f>
        <v>142400</v>
      </c>
      <c r="E1125" s="438">
        <v>1</v>
      </c>
      <c r="F1125" s="439">
        <f t="shared" si="5"/>
        <v>142400</v>
      </c>
      <c r="G1125" s="442"/>
      <c r="H1125" s="446"/>
    </row>
    <row r="1126" spans="1:8" ht="13.2">
      <c r="A1126" s="454" t="s">
        <v>943</v>
      </c>
      <c r="B1126" s="452" t="str">
        <f>VLOOKUP(A1126,'Thống kê'!$C$3:$D$669,2,0)</f>
        <v>Viên khuếch tán tinh dầu 02 ( rosie )</v>
      </c>
      <c r="C1126" s="436" t="str">
        <f>VLOOKUP(A1126,'Thống kê'!$C$3:$E$682,3,0)</f>
        <v>cái</v>
      </c>
      <c r="D1126" s="437">
        <f>VLOOKUP(A1126,'Thống kê'!$C$3:$M$682,4,0)</f>
        <v>8000</v>
      </c>
      <c r="E1126" s="438">
        <v>1</v>
      </c>
      <c r="F1126" s="439">
        <f t="shared" si="5"/>
        <v>8000</v>
      </c>
      <c r="G1126" s="442"/>
      <c r="H1126" s="446"/>
    </row>
    <row r="1127" spans="1:8" ht="13.2">
      <c r="A1127" s="454" t="s">
        <v>1627</v>
      </c>
      <c r="B1127" s="452" t="str">
        <f>VLOOKUP(A1127,'Thống kê'!$C$3:$D$669,2,0)</f>
        <v>Móc khóa capybara 15 - sổ mũi ko móc khóa</v>
      </c>
      <c r="C1127" s="436" t="str">
        <f>VLOOKUP(A1127,'Thống kê'!$C$3:$E$682,3,0)</f>
        <v>cái</v>
      </c>
      <c r="D1127" s="437">
        <f>VLOOKUP(A1127,'Thống kê'!$C$3:$M$682,4,0)</f>
        <v>56500</v>
      </c>
      <c r="E1127" s="438">
        <v>1</v>
      </c>
      <c r="F1127" s="439">
        <f t="shared" si="5"/>
        <v>56500</v>
      </c>
      <c r="G1127" s="442"/>
      <c r="H1127" s="446"/>
    </row>
    <row r="1128" spans="1:8" ht="13.2">
      <c r="A1128" s="454" t="s">
        <v>1616</v>
      </c>
      <c r="B1128" s="452" t="str">
        <f>VLOOKUP(A1128,'Thống kê'!$C$3:$D$669,2,0)</f>
        <v>Kẹp tóc bướm hồng phấn</v>
      </c>
      <c r="C1128" s="436" t="str">
        <f>VLOOKUP(A1128,'Thống kê'!$C$3:$E$682,3,0)</f>
        <v>cái</v>
      </c>
      <c r="D1128" s="437">
        <f>VLOOKUP(A1128,'Thống kê'!$C$3:$M$682,4,0)</f>
        <v>40000</v>
      </c>
      <c r="E1128" s="438">
        <v>1</v>
      </c>
      <c r="F1128" s="439">
        <f t="shared" si="5"/>
        <v>40000</v>
      </c>
      <c r="G1128" s="442"/>
      <c r="H1128" s="447">
        <v>134112</v>
      </c>
    </row>
    <row r="1129" spans="1:8" ht="13.2">
      <c r="A1129" s="454" t="s">
        <v>1617</v>
      </c>
      <c r="B1129" s="452" t="str">
        <f>VLOOKUP(A1129,'Thống kê'!$C$3:$D$669,2,0)</f>
        <v xml:space="preserve">Kẹp tóc bướm hồng </v>
      </c>
      <c r="C1129" s="436" t="str">
        <f>VLOOKUP(A1129,'Thống kê'!$C$3:$E$682,3,0)</f>
        <v>cái</v>
      </c>
      <c r="D1129" s="437">
        <f>VLOOKUP(A1129,'Thống kê'!$C$3:$M$682,4,0)</f>
        <v>40000</v>
      </c>
      <c r="E1129" s="438">
        <v>1</v>
      </c>
      <c r="F1129" s="439">
        <f t="shared" si="5"/>
        <v>40000</v>
      </c>
      <c r="G1129" s="442"/>
      <c r="H1129" s="446"/>
    </row>
    <row r="1130" spans="1:8" ht="13.2">
      <c r="A1130" s="454" t="s">
        <v>1613</v>
      </c>
      <c r="B1130" s="452" t="str">
        <f>VLOOKUP(A1130,'Thống kê'!$C$3:$D$669,2,0)</f>
        <v>Kẹp tóc bướm xanh tím</v>
      </c>
      <c r="C1130" s="436" t="str">
        <f>VLOOKUP(A1130,'Thống kê'!$C$3:$E$682,3,0)</f>
        <v>cái</v>
      </c>
      <c r="D1130" s="437">
        <f>VLOOKUP(A1130,'Thống kê'!$C$3:$M$682,4,0)</f>
        <v>40000</v>
      </c>
      <c r="E1130" s="438">
        <v>1</v>
      </c>
      <c r="F1130" s="439">
        <f t="shared" si="5"/>
        <v>40000</v>
      </c>
      <c r="G1130" s="442"/>
      <c r="H1130" s="446"/>
    </row>
    <row r="1131" spans="1:8" ht="13.2">
      <c r="A1131" s="454" t="s">
        <v>1631</v>
      </c>
      <c r="B1131" s="452" t="str">
        <f>VLOOKUP(A1131,'Thống kê'!$C$3:$D$669,2,0)</f>
        <v>Kẹp tóc bướm xanh vàng</v>
      </c>
      <c r="C1131" s="436" t="str">
        <f>VLOOKUP(A1131,'Thống kê'!$C$3:$E$682,3,0)</f>
        <v>cái</v>
      </c>
      <c r="D1131" s="437">
        <f>VLOOKUP(A1131,'Thống kê'!$C$3:$M$682,4,0)</f>
        <v>52000</v>
      </c>
      <c r="E1131" s="438">
        <v>1</v>
      </c>
      <c r="F1131" s="439">
        <f t="shared" si="5"/>
        <v>52000</v>
      </c>
      <c r="G1131" s="442"/>
      <c r="H1131" s="446"/>
    </row>
    <row r="1132" spans="1:8" ht="13.2">
      <c r="A1132" s="454" t="s">
        <v>1963</v>
      </c>
      <c r="B1132" s="452" t="str">
        <f>VLOOKUP(A1132,'Thống kê'!$C$3:$D$669,2,0)</f>
        <v>Kẹp tóc hoa năm cánh đỏ hồng</v>
      </c>
      <c r="C1132" s="436" t="str">
        <f>VLOOKUP(A1132,'Thống kê'!$C$3:$E$682,3,0)</f>
        <v>cái</v>
      </c>
      <c r="D1132" s="437">
        <f>VLOOKUP(A1132,'Thống kê'!$C$3:$M$682,4,0)</f>
        <v>18500</v>
      </c>
      <c r="E1132" s="438">
        <v>1</v>
      </c>
      <c r="F1132" s="439">
        <f t="shared" si="5"/>
        <v>18500</v>
      </c>
      <c r="G1132" s="442"/>
      <c r="H1132" s="446"/>
    </row>
    <row r="1133" spans="1:8" ht="13.2">
      <c r="A1133" s="454" t="s">
        <v>1594</v>
      </c>
      <c r="B1133" s="452" t="str">
        <f>VLOOKUP(A1133,'Thống kê'!$C$3:$D$669,2,0)</f>
        <v>Móc khóa đôi heo</v>
      </c>
      <c r="C1133" s="436" t="str">
        <f>VLOOKUP(A1133,'Thống kê'!$C$3:$E$682,3,0)</f>
        <v>cái</v>
      </c>
      <c r="D1133" s="437">
        <f>VLOOKUP(A1133,'Thống kê'!$C$3:$M$682,4,0)</f>
        <v>56580</v>
      </c>
      <c r="E1133" s="438">
        <v>1</v>
      </c>
      <c r="F1133" s="439">
        <f t="shared" si="5"/>
        <v>56580</v>
      </c>
      <c r="G1133" s="442"/>
      <c r="H1133" s="448">
        <v>44651</v>
      </c>
    </row>
    <row r="1134" spans="1:8" ht="13.2">
      <c r="A1134" s="454" t="s">
        <v>1624</v>
      </c>
      <c r="B1134" s="452" t="str">
        <f>VLOOKUP(A1134,'Thống kê'!$C$3:$D$669,2,0)</f>
        <v>Móc khóa mèo trái tim</v>
      </c>
      <c r="C1134" s="436" t="str">
        <f>VLOOKUP(A1134,'Thống kê'!$C$3:$E$682,3,0)</f>
        <v>cái</v>
      </c>
      <c r="D1134" s="437">
        <f>VLOOKUP(A1134,'Thống kê'!$C$3:$M$682,4,0)</f>
        <v>59000</v>
      </c>
      <c r="E1134" s="438">
        <v>1</v>
      </c>
      <c r="F1134" s="439">
        <f t="shared" si="5"/>
        <v>59000</v>
      </c>
      <c r="G1134" s="442"/>
      <c r="H1134" s="448">
        <v>46668</v>
      </c>
    </row>
    <row r="1135" spans="1:8" ht="13.2">
      <c r="A1135" s="454" t="s">
        <v>150</v>
      </c>
      <c r="B1135" s="452" t="str">
        <f>VLOOKUP(A1135,'Thống kê'!$C$3:$D$669,2,0)</f>
        <v>Móc khóa có chuông</v>
      </c>
      <c r="C1135" s="436" t="str">
        <f>VLOOKUP(A1135,'Thống kê'!$C$3:$E$682,3,0)</f>
        <v>cái</v>
      </c>
      <c r="D1135" s="437">
        <f>VLOOKUP(A1135,'Thống kê'!$C$3:$M$682,4,0)</f>
        <v>59000</v>
      </c>
      <c r="E1135" s="438">
        <v>1</v>
      </c>
      <c r="F1135" s="439">
        <f t="shared" si="5"/>
        <v>59000</v>
      </c>
      <c r="G1135" s="442"/>
      <c r="H1135" s="448">
        <v>46668</v>
      </c>
    </row>
    <row r="1136" spans="1:8" ht="13.2">
      <c r="A1136" s="454" t="s">
        <v>1622</v>
      </c>
      <c r="B1136" s="452" t="str">
        <f>VLOOKUP(A1136,'Thống kê'!$C$3:$D$669,2,0)</f>
        <v>Mô hình mèo 1</v>
      </c>
      <c r="C1136" s="436" t="str">
        <f>VLOOKUP(A1136,'Thống kê'!$C$3:$E$682,3,0)</f>
        <v>cái</v>
      </c>
      <c r="D1136" s="437">
        <f>VLOOKUP(A1136,'Thống kê'!$C$3:$M$682,4,0)</f>
        <v>37800</v>
      </c>
      <c r="E1136" s="438">
        <v>1</v>
      </c>
      <c r="F1136" s="439">
        <f t="shared" si="5"/>
        <v>37800</v>
      </c>
      <c r="G1136" s="442"/>
      <c r="H1136" s="447">
        <v>60546</v>
      </c>
    </row>
    <row r="1137" spans="1:8" ht="13.2">
      <c r="A1137" s="454" t="s">
        <v>1621</v>
      </c>
      <c r="B1137" s="452" t="str">
        <f>VLOOKUP(A1137,'Thống kê'!$C$3:$D$669,2,0)</f>
        <v>Mô hình mèo 2</v>
      </c>
      <c r="C1137" s="436" t="str">
        <f>VLOOKUP(A1137,'Thống kê'!$C$3:$E$682,3,0)</f>
        <v>cái</v>
      </c>
      <c r="D1137" s="437">
        <f>VLOOKUP(A1137,'Thống kê'!$C$3:$M$682,4,0)</f>
        <v>37800</v>
      </c>
      <c r="E1137" s="438">
        <v>1</v>
      </c>
      <c r="F1137" s="439">
        <f t="shared" si="5"/>
        <v>37800</v>
      </c>
      <c r="G1137" s="442"/>
      <c r="H1137" s="446"/>
    </row>
    <row r="1138" spans="1:8" ht="13.2">
      <c r="A1138" s="454" t="s">
        <v>1624</v>
      </c>
      <c r="B1138" s="452" t="str">
        <f>VLOOKUP(A1138,'Thống kê'!$C$3:$D$669,2,0)</f>
        <v>Móc khóa mèo trái tim</v>
      </c>
      <c r="C1138" s="436" t="str">
        <f>VLOOKUP(A1138,'Thống kê'!$C$3:$E$682,3,0)</f>
        <v>cái</v>
      </c>
      <c r="D1138" s="437">
        <f>VLOOKUP(A1138,'Thống kê'!$C$3:$M$682,4,0)</f>
        <v>59000</v>
      </c>
      <c r="E1138" s="438">
        <v>1</v>
      </c>
      <c r="F1138" s="439">
        <f t="shared" si="5"/>
        <v>59000</v>
      </c>
      <c r="G1138" s="442"/>
      <c r="H1138" s="448">
        <v>46588</v>
      </c>
    </row>
    <row r="1139" spans="1:8" ht="13.2">
      <c r="A1139" s="454" t="s">
        <v>1930</v>
      </c>
      <c r="B1139" s="452" t="str">
        <f>VLOOKUP(A1139,'Thống kê'!$C$3:$D$669,2,0)</f>
        <v>Kẹp nơ hồng</v>
      </c>
      <c r="C1139" s="436" t="str">
        <f>VLOOKUP(A1139,'Thống kê'!$C$3:$E$682,3,0)</f>
        <v>cái</v>
      </c>
      <c r="D1139" s="437">
        <f>VLOOKUP(A1139,'Thống kê'!$C$3:$M$682,4,0)</f>
        <v>22000</v>
      </c>
      <c r="E1139" s="438">
        <v>1</v>
      </c>
      <c r="F1139" s="439">
        <f t="shared" si="5"/>
        <v>22000</v>
      </c>
      <c r="G1139" s="442"/>
      <c r="H1139" s="448">
        <v>38420</v>
      </c>
    </row>
    <row r="1140" spans="1:8" ht="13.2">
      <c r="A1140" s="454" t="s">
        <v>1623</v>
      </c>
      <c r="B1140" s="452" t="str">
        <f>VLOOKUP(A1140,'Thống kê'!$C$3:$D$669,2,0)</f>
        <v>Mô hình mèo 5</v>
      </c>
      <c r="C1140" s="436" t="str">
        <f>VLOOKUP(A1140,'Thống kê'!$C$3:$E$682,3,0)</f>
        <v>cái</v>
      </c>
      <c r="D1140" s="437">
        <f>VLOOKUP(A1140,'Thống kê'!$C$3:$M$682,4,0)</f>
        <v>37800</v>
      </c>
      <c r="E1140" s="438">
        <v>1</v>
      </c>
      <c r="F1140" s="439">
        <f t="shared" si="5"/>
        <v>37800</v>
      </c>
      <c r="G1140" s="442"/>
      <c r="H1140" s="448">
        <v>32495</v>
      </c>
    </row>
    <row r="1141" spans="1:8" ht="13.2">
      <c r="A1141" s="454" t="s">
        <v>1210</v>
      </c>
      <c r="B1141" s="452" t="str">
        <f>VLOOKUP(A1141,'Thống kê'!$C$3:$D$669,2,0)</f>
        <v>Shiba ú cầm hoa</v>
      </c>
      <c r="C1141" s="436" t="str">
        <f>VLOOKUP(A1141,'Thống kê'!$C$3:$E$682,3,0)</f>
        <v>cái</v>
      </c>
      <c r="D1141" s="437">
        <f>VLOOKUP(A1141,'Thống kê'!$C$3:$M$682,4,0)</f>
        <v>64500</v>
      </c>
      <c r="E1141" s="438">
        <v>1</v>
      </c>
      <c r="F1141" s="439">
        <f t="shared" si="5"/>
        <v>64500</v>
      </c>
      <c r="G1141" s="442"/>
      <c r="H1141" s="448">
        <v>51024</v>
      </c>
    </row>
    <row r="1142" spans="1:8" ht="13.2">
      <c r="A1142" s="454" t="s">
        <v>1625</v>
      </c>
      <c r="B1142" s="452" t="str">
        <f>VLOOKUP(A1142,'Thống kê'!$C$3:$D$669,2,0)</f>
        <v>Móc khóa đôi 2 mèo trắng nâu</v>
      </c>
      <c r="C1142" s="436" t="str">
        <f>VLOOKUP(A1142,'Thống kê'!$C$3:$E$682,3,0)</f>
        <v>cái</v>
      </c>
      <c r="D1142" s="437">
        <f>VLOOKUP(A1142,'Thống kê'!$C$3:$M$682,4,0)</f>
        <v>59000</v>
      </c>
      <c r="E1142" s="438">
        <v>1</v>
      </c>
      <c r="F1142" s="439">
        <f t="shared" si="5"/>
        <v>59000</v>
      </c>
      <c r="G1142" s="442"/>
      <c r="H1142" s="448">
        <v>46668</v>
      </c>
    </row>
    <row r="1143" spans="1:8" ht="13.2">
      <c r="A1143" s="454" t="s">
        <v>1625</v>
      </c>
      <c r="B1143" s="452" t="str">
        <f>VLOOKUP(A1143,'Thống kê'!$C$3:$D$669,2,0)</f>
        <v>Móc khóa đôi 2 mèo trắng nâu</v>
      </c>
      <c r="C1143" s="436" t="str">
        <f>VLOOKUP(A1143,'Thống kê'!$C$3:$E$682,3,0)</f>
        <v>cái</v>
      </c>
      <c r="D1143" s="437">
        <f>VLOOKUP(A1143,'Thống kê'!$C$3:$M$682,4,0)</f>
        <v>59000</v>
      </c>
      <c r="E1143" s="438">
        <v>1</v>
      </c>
      <c r="F1143" s="439">
        <f t="shared" si="5"/>
        <v>59000</v>
      </c>
      <c r="G1143" s="442"/>
      <c r="H1143" s="448">
        <v>46408</v>
      </c>
    </row>
    <row r="1144" spans="1:8" ht="13.2">
      <c r="A1144" s="454" t="s">
        <v>1854</v>
      </c>
      <c r="B1144" s="452" t="str">
        <f>VLOOKUP(A1144,'Thống kê'!$C$3:$D$669,2,0)</f>
        <v>Mèo vàng treo gương</v>
      </c>
      <c r="C1144" s="436" t="str">
        <f>VLOOKUP(A1144,'Thống kê'!$C$3:$E$682,3,0)</f>
        <v>cái</v>
      </c>
      <c r="D1144" s="437">
        <f>VLOOKUP(A1144,'Thống kê'!$C$3:$M$682,4,0)</f>
        <v>71500</v>
      </c>
      <c r="E1144" s="438">
        <v>1</v>
      </c>
      <c r="F1144" s="439">
        <f t="shared" si="5"/>
        <v>71500</v>
      </c>
      <c r="G1144" s="442"/>
      <c r="H1144" s="448">
        <v>50685</v>
      </c>
    </row>
    <row r="1145" spans="1:8" ht="13.2">
      <c r="A1145" s="454" t="s">
        <v>1595</v>
      </c>
      <c r="B1145" s="452" t="str">
        <f>VLOOKUP(A1145,'Thống kê'!$C$3:$D$669,2,0)</f>
        <v>Dao rọc giấy 08</v>
      </c>
      <c r="C1145" s="436" t="str">
        <f>VLOOKUP(A1145,'Thống kê'!$C$3:$E$682,3,0)</f>
        <v>cái</v>
      </c>
      <c r="D1145" s="437">
        <f>VLOOKUP(A1145,'Thống kê'!$C$3:$M$682,4,0)</f>
        <v>12000</v>
      </c>
      <c r="E1145" s="438">
        <v>1</v>
      </c>
      <c r="F1145" s="439">
        <f t="shared" si="5"/>
        <v>12000</v>
      </c>
      <c r="G1145" s="442"/>
      <c r="H1145" s="447">
        <v>56172</v>
      </c>
    </row>
    <row r="1146" spans="1:8" ht="13.2">
      <c r="A1146" s="454" t="s">
        <v>1624</v>
      </c>
      <c r="B1146" s="452" t="str">
        <f>VLOOKUP(A1146,'Thống kê'!$C$3:$D$669,2,0)</f>
        <v>Móc khóa mèo trái tim</v>
      </c>
      <c r="C1146" s="436" t="str">
        <f>VLOOKUP(A1146,'Thống kê'!$C$3:$E$682,3,0)</f>
        <v>cái</v>
      </c>
      <c r="D1146" s="437">
        <f>VLOOKUP(A1146,'Thống kê'!$C$3:$M$682,4,0)</f>
        <v>59000</v>
      </c>
      <c r="E1146" s="438">
        <v>1</v>
      </c>
      <c r="F1146" s="439">
        <f t="shared" si="5"/>
        <v>59000</v>
      </c>
      <c r="G1146" s="442"/>
      <c r="H1146" s="446"/>
    </row>
    <row r="1147" spans="1:8" ht="13.2">
      <c r="A1147" s="454" t="s">
        <v>1614</v>
      </c>
      <c r="B1147" s="452" t="str">
        <f>VLOOKUP(A1147,'Thống kê'!$C$3:$D$669,2,0)</f>
        <v>Kẹp tóc bướm xanh ngọc</v>
      </c>
      <c r="C1147" s="436" t="str">
        <f>VLOOKUP(A1147,'Thống kê'!$C$3:$E$682,3,0)</f>
        <v>cái</v>
      </c>
      <c r="D1147" s="437">
        <f>VLOOKUP(A1147,'Thống kê'!$C$3:$M$682,4,0)</f>
        <v>38000</v>
      </c>
      <c r="E1147" s="438">
        <v>1</v>
      </c>
      <c r="F1147" s="439">
        <f t="shared" si="5"/>
        <v>38000</v>
      </c>
      <c r="G1147" s="442"/>
      <c r="H1147" s="447">
        <v>58231</v>
      </c>
    </row>
    <row r="1148" spans="1:8" ht="13.2">
      <c r="A1148" s="454" t="s">
        <v>1613</v>
      </c>
      <c r="B1148" s="452" t="str">
        <f>VLOOKUP(A1148,'Thống kê'!$C$3:$D$669,2,0)</f>
        <v>Kẹp tóc bướm xanh tím</v>
      </c>
      <c r="C1148" s="436" t="str">
        <f>VLOOKUP(A1148,'Thống kê'!$C$3:$E$682,3,0)</f>
        <v>cái</v>
      </c>
      <c r="D1148" s="437">
        <f>VLOOKUP(A1148,'Thống kê'!$C$3:$M$682,4,0)</f>
        <v>40000</v>
      </c>
      <c r="E1148" s="438">
        <v>1</v>
      </c>
      <c r="F1148" s="439">
        <f t="shared" si="5"/>
        <v>40000</v>
      </c>
      <c r="G1148" s="442"/>
      <c r="H1148" s="446"/>
    </row>
    <row r="1149" spans="1:8" ht="13.2">
      <c r="A1149" s="454" t="s">
        <v>1934</v>
      </c>
      <c r="B1149" s="452" t="str">
        <f>VLOOKUP(A1149,'Thống kê'!$C$3:$D$669,2,0)</f>
        <v>Kẹp tóc hoa sứ tím</v>
      </c>
      <c r="C1149" s="436" t="str">
        <f>VLOOKUP(A1149,'Thống kê'!$C$3:$E$682,3,0)</f>
        <v>cái</v>
      </c>
      <c r="D1149" s="437">
        <f>VLOOKUP(A1149,'Thống kê'!$C$3:$M$682,4,0)</f>
        <v>18500</v>
      </c>
      <c r="E1149" s="438">
        <v>1</v>
      </c>
      <c r="F1149" s="439">
        <f t="shared" si="5"/>
        <v>18500</v>
      </c>
      <c r="G1149" s="442"/>
      <c r="H1149" s="446"/>
    </row>
    <row r="1150" spans="1:8" ht="13.2">
      <c r="A1150" s="454" t="s">
        <v>929</v>
      </c>
      <c r="B1150" s="452" t="str">
        <f>VLOOKUP(A1150,'Thống kê'!$C$3:$D$669,2,0)</f>
        <v>Kẹp khuếch tán tinh dầu vịt đen</v>
      </c>
      <c r="C1150" s="436" t="str">
        <f>VLOOKUP(A1150,'Thống kê'!$C$3:$E$682,3,0)</f>
        <v>cái</v>
      </c>
      <c r="D1150" s="437">
        <f>VLOOKUP(A1150,'Thống kê'!$C$3:$M$682,4,0)</f>
        <v>142400</v>
      </c>
      <c r="E1150" s="438">
        <v>1</v>
      </c>
      <c r="F1150" s="439">
        <f t="shared" si="5"/>
        <v>142400</v>
      </c>
      <c r="G1150" s="442"/>
      <c r="H1150" s="447">
        <v>95920</v>
      </c>
    </row>
    <row r="1151" spans="1:8" ht="13.2">
      <c r="A1151" s="454" t="s">
        <v>945</v>
      </c>
      <c r="B1151" s="452" t="str">
        <f>VLOOKUP(A1151,'Thống kê'!$C$3:$D$669,2,0)</f>
        <v>Viên khuếch tán tinh dầu 03 ( green tea )</v>
      </c>
      <c r="C1151" s="436" t="str">
        <f>VLOOKUP(A1151,'Thống kê'!$C$3:$E$682,3,0)</f>
        <v>cái</v>
      </c>
      <c r="D1151" s="437">
        <f>VLOOKUP(A1151,'Thống kê'!$C$3:$M$682,4,0)</f>
        <v>8000</v>
      </c>
      <c r="E1151" s="438">
        <v>1</v>
      </c>
      <c r="F1151" s="439">
        <f t="shared" si="5"/>
        <v>8000</v>
      </c>
      <c r="G1151" s="442"/>
      <c r="H1151" s="446"/>
    </row>
    <row r="1152" spans="1:8" ht="13.2">
      <c r="A1152" s="454" t="s">
        <v>1965</v>
      </c>
      <c r="B1152" s="452" t="str">
        <f>VLOOKUP(A1152,'Thống kê'!$C$3:$D$669,2,0)</f>
        <v>Kẹp tóc nâu lạnh</v>
      </c>
      <c r="C1152" s="436" t="str">
        <f>VLOOKUP(A1152,'Thống kê'!$C$3:$E$682,3,0)</f>
        <v>cái</v>
      </c>
      <c r="D1152" s="437">
        <f>VLOOKUP(A1152,'Thống kê'!$C$3:$M$682,4,0)</f>
        <v>14000</v>
      </c>
      <c r="E1152" s="438">
        <v>1</v>
      </c>
      <c r="F1152" s="439">
        <f t="shared" si="5"/>
        <v>14000</v>
      </c>
      <c r="G1152" s="442"/>
      <c r="H1152" s="447">
        <v>174638</v>
      </c>
    </row>
    <row r="1153" spans="1:8" ht="13.2">
      <c r="A1153" s="454" t="s">
        <v>236</v>
      </c>
      <c r="B1153" s="452" t="str">
        <f>VLOOKUP(A1153,'Thống kê'!$C$3:$D$669,2,0)</f>
        <v>Cài tóc nâu</v>
      </c>
      <c r="C1153" s="436" t="str">
        <f>VLOOKUP(A1153,'Thống kê'!$C$3:$E$682,3,0)</f>
        <v>cái</v>
      </c>
      <c r="D1153" s="437">
        <f>VLOOKUP(A1153,'Thống kê'!$C$3:$M$682,4,0)</f>
        <v>21000</v>
      </c>
      <c r="E1153" s="438">
        <v>1</v>
      </c>
      <c r="F1153" s="439">
        <f t="shared" si="5"/>
        <v>21000</v>
      </c>
      <c r="G1153" s="442"/>
      <c r="H1153" s="446"/>
    </row>
    <row r="1154" spans="1:8" ht="13.2">
      <c r="A1154" s="454" t="s">
        <v>1622</v>
      </c>
      <c r="B1154" s="452" t="str">
        <f>VLOOKUP(A1154,'Thống kê'!$C$3:$D$669,2,0)</f>
        <v>Mô hình mèo 1</v>
      </c>
      <c r="C1154" s="436" t="str">
        <f>VLOOKUP(A1154,'Thống kê'!$C$3:$E$682,3,0)</f>
        <v>cái</v>
      </c>
      <c r="D1154" s="437">
        <f>VLOOKUP(A1154,'Thống kê'!$C$3:$M$682,4,0)</f>
        <v>37800</v>
      </c>
      <c r="E1154" s="438">
        <v>1</v>
      </c>
      <c r="F1154" s="439">
        <f t="shared" si="5"/>
        <v>37800</v>
      </c>
      <c r="G1154" s="442"/>
      <c r="H1154" s="446"/>
    </row>
    <row r="1155" spans="1:8" ht="13.2">
      <c r="A1155" s="454" t="s">
        <v>1623</v>
      </c>
      <c r="B1155" s="452" t="str">
        <f>VLOOKUP(A1155,'Thống kê'!$C$3:$D$669,2,0)</f>
        <v>Mô hình mèo 5</v>
      </c>
      <c r="C1155" s="436" t="str">
        <f>VLOOKUP(A1155,'Thống kê'!$C$3:$E$682,3,0)</f>
        <v>cái</v>
      </c>
      <c r="D1155" s="437">
        <f>VLOOKUP(A1155,'Thống kê'!$C$3:$M$682,4,0)</f>
        <v>37800</v>
      </c>
      <c r="E1155" s="438">
        <v>1</v>
      </c>
      <c r="F1155" s="439">
        <f t="shared" si="5"/>
        <v>37800</v>
      </c>
      <c r="G1155" s="442"/>
      <c r="H1155" s="446"/>
    </row>
    <row r="1156" spans="1:8" ht="13.2">
      <c r="A1156" s="454" t="s">
        <v>227</v>
      </c>
      <c r="B1156" s="452" t="str">
        <f>VLOOKUP(A1156,'Thống kê'!$C$3:$D$669,2,0)</f>
        <v>Móc khóa đôi corgy</v>
      </c>
      <c r="C1156" s="436" t="str">
        <f>VLOOKUP(A1156,'Thống kê'!$C$3:$E$682,3,0)</f>
        <v>cái</v>
      </c>
      <c r="D1156" s="437">
        <f>VLOOKUP(A1156,'Thống kê'!$C$3:$M$682,4,0)</f>
        <v>56580</v>
      </c>
      <c r="E1156" s="438">
        <v>1</v>
      </c>
      <c r="F1156" s="439">
        <f t="shared" si="5"/>
        <v>56580</v>
      </c>
      <c r="G1156" s="442"/>
      <c r="H1156" s="446"/>
    </row>
    <row r="1157" spans="1:8" ht="13.2">
      <c r="A1157" s="454" t="s">
        <v>1848</v>
      </c>
      <c r="B1157" s="452" t="str">
        <f>VLOOKUP(A1157,'Thống kê'!$C$3:$D$669,2,0)</f>
        <v>Trâm cài 02</v>
      </c>
      <c r="C1157" s="436" t="str">
        <f>VLOOKUP(A1157,'Thống kê'!$C$3:$E$682,3,0)</f>
        <v>cây</v>
      </c>
      <c r="D1157" s="437">
        <f>VLOOKUP(A1157,'Thống kê'!$C$3:$M$682,4,0)</f>
        <v>30360</v>
      </c>
      <c r="E1157" s="438">
        <v>1</v>
      </c>
      <c r="F1157" s="439">
        <f t="shared" si="5"/>
        <v>30360</v>
      </c>
      <c r="G1157" s="442"/>
      <c r="H1157" s="446"/>
    </row>
    <row r="1158" spans="1:8" ht="13.2">
      <c r="A1158" s="454" t="s">
        <v>1940</v>
      </c>
      <c r="B1158" s="452" t="str">
        <f>VLOOKUP(A1158,'Thống kê'!$C$3:$D$669,2,0)</f>
        <v>Kẹp tóc kim loại bông hoa</v>
      </c>
      <c r="C1158" s="436" t="str">
        <f>VLOOKUP(A1158,'Thống kê'!$C$3:$E$682,3,0)</f>
        <v>cái</v>
      </c>
      <c r="D1158" s="437">
        <f>VLOOKUP(A1158,'Thống kê'!$C$3:$M$682,4,0)</f>
        <v>14000</v>
      </c>
      <c r="E1158" s="438">
        <v>1</v>
      </c>
      <c r="F1158" s="439">
        <f t="shared" si="5"/>
        <v>14000</v>
      </c>
      <c r="G1158" s="442"/>
      <c r="H1158" s="446"/>
    </row>
    <row r="1159" spans="1:8" ht="13.2">
      <c r="A1159" s="454" t="s">
        <v>145</v>
      </c>
      <c r="B1159" s="452" t="str">
        <f>VLOOKUP(A1159,'Thống kê'!$C$3:$D$669,2,0)</f>
        <v>Thỏ đi vịt gắn xe</v>
      </c>
      <c r="C1159" s="436" t="str">
        <f>VLOOKUP(A1159,'Thống kê'!$C$3:$E$682,3,0)</f>
        <v>cái</v>
      </c>
      <c r="D1159" s="437">
        <f>VLOOKUP(A1159,'Thống kê'!$C$3:$M$682,4,0)</f>
        <v>45000</v>
      </c>
      <c r="E1159" s="438">
        <v>1</v>
      </c>
      <c r="F1159" s="439">
        <f t="shared" si="5"/>
        <v>45000</v>
      </c>
      <c r="G1159" s="442"/>
      <c r="H1159" s="448">
        <v>36520</v>
      </c>
    </row>
    <row r="1160" spans="1:8" ht="13.2">
      <c r="A1160" s="454" t="s">
        <v>1930</v>
      </c>
      <c r="B1160" s="452" t="str">
        <f>VLOOKUP(A1160,'Thống kê'!$C$3:$D$669,2,0)</f>
        <v>Kẹp nơ hồng</v>
      </c>
      <c r="C1160" s="436" t="str">
        <f>VLOOKUP(A1160,'Thống kê'!$C$3:$E$682,3,0)</f>
        <v>cái</v>
      </c>
      <c r="D1160" s="437">
        <f>VLOOKUP(A1160,'Thống kê'!$C$3:$M$682,4,0)</f>
        <v>22000</v>
      </c>
      <c r="E1160" s="438">
        <v>1</v>
      </c>
      <c r="F1160" s="439">
        <f t="shared" si="5"/>
        <v>22000</v>
      </c>
      <c r="G1160" s="442"/>
      <c r="H1160" s="447">
        <v>107712</v>
      </c>
    </row>
    <row r="1161" spans="1:8" ht="13.2">
      <c r="A1161" s="454" t="s">
        <v>1616</v>
      </c>
      <c r="B1161" s="452" t="str">
        <f>VLOOKUP(A1161,'Thống kê'!$C$3:$D$669,2,0)</f>
        <v>Kẹp tóc bướm hồng phấn</v>
      </c>
      <c r="C1161" s="436" t="str">
        <f>VLOOKUP(A1161,'Thống kê'!$C$3:$E$682,3,0)</f>
        <v>cái</v>
      </c>
      <c r="D1161" s="437">
        <f>VLOOKUP(A1161,'Thống kê'!$C$3:$M$682,4,0)</f>
        <v>40000</v>
      </c>
      <c r="E1161" s="438">
        <v>1</v>
      </c>
      <c r="F1161" s="439">
        <f t="shared" si="5"/>
        <v>40000</v>
      </c>
      <c r="G1161" s="442"/>
      <c r="H1161" s="446"/>
    </row>
    <row r="1162" spans="1:8" ht="13.2">
      <c r="A1162" s="454" t="s">
        <v>1613</v>
      </c>
      <c r="B1162" s="452" t="str">
        <f>VLOOKUP(A1162,'Thống kê'!$C$3:$D$669,2,0)</f>
        <v>Kẹp tóc bướm xanh tím</v>
      </c>
      <c r="C1162" s="436" t="str">
        <f>VLOOKUP(A1162,'Thống kê'!$C$3:$E$682,3,0)</f>
        <v>cái</v>
      </c>
      <c r="D1162" s="437">
        <f>VLOOKUP(A1162,'Thống kê'!$C$3:$M$682,4,0)</f>
        <v>40000</v>
      </c>
      <c r="E1162" s="438">
        <v>1</v>
      </c>
      <c r="F1162" s="439">
        <f t="shared" si="5"/>
        <v>40000</v>
      </c>
      <c r="G1162" s="442"/>
      <c r="H1162" s="446"/>
    </row>
    <row r="1163" spans="1:8" ht="13.2">
      <c r="A1163" s="454" t="s">
        <v>1612</v>
      </c>
      <c r="B1163" s="452" t="str">
        <f>VLOOKUP(A1163,'Thống kê'!$C$3:$D$669,2,0)</f>
        <v>Kẹp tóc bướm trắng</v>
      </c>
      <c r="C1163" s="436" t="str">
        <f>VLOOKUP(A1163,'Thống kê'!$C$3:$E$682,3,0)</f>
        <v>cái</v>
      </c>
      <c r="D1163" s="437">
        <f>VLOOKUP(A1163,'Thống kê'!$C$3:$M$682,4,0)</f>
        <v>40000</v>
      </c>
      <c r="E1163" s="438">
        <v>1</v>
      </c>
      <c r="F1163" s="439">
        <f t="shared" si="5"/>
        <v>40000</v>
      </c>
      <c r="G1163" s="442"/>
      <c r="H1163" s="446"/>
    </row>
    <row r="1164" spans="1:8" ht="13.2">
      <c r="A1164" s="454" t="s">
        <v>1934</v>
      </c>
      <c r="B1164" s="452" t="str">
        <f>VLOOKUP(A1164,'Thống kê'!$C$3:$D$669,2,0)</f>
        <v>Kẹp tóc hoa sứ tím</v>
      </c>
      <c r="C1164" s="436" t="str">
        <f>VLOOKUP(A1164,'Thống kê'!$C$3:$E$682,3,0)</f>
        <v>cái</v>
      </c>
      <c r="D1164" s="437">
        <f>VLOOKUP(A1164,'Thống kê'!$C$3:$M$682,4,0)</f>
        <v>18500</v>
      </c>
      <c r="E1164" s="438">
        <v>1</v>
      </c>
      <c r="F1164" s="439">
        <f t="shared" si="5"/>
        <v>18500</v>
      </c>
      <c r="G1164" s="442"/>
      <c r="H1164" s="446"/>
    </row>
    <row r="1165" spans="1:8" ht="13.2">
      <c r="A1165" s="454" t="s">
        <v>150</v>
      </c>
      <c r="B1165" s="452" t="str">
        <f>VLOOKUP(A1165,'Thống kê'!$C$3:$D$669,2,0)</f>
        <v>Móc khóa có chuông</v>
      </c>
      <c r="C1165" s="436" t="str">
        <f>VLOOKUP(A1165,'Thống kê'!$C$3:$E$682,3,0)</f>
        <v>cái</v>
      </c>
      <c r="D1165" s="437">
        <f>VLOOKUP(A1165,'Thống kê'!$C$3:$M$682,4,0)</f>
        <v>59000</v>
      </c>
      <c r="E1165" s="438">
        <v>1</v>
      </c>
      <c r="F1165" s="439">
        <f t="shared" si="5"/>
        <v>59000</v>
      </c>
      <c r="G1165" s="442"/>
      <c r="H1165" s="448">
        <v>46488</v>
      </c>
    </row>
    <row r="1166" spans="1:8" ht="13.2">
      <c r="A1166" s="454" t="s">
        <v>1966</v>
      </c>
      <c r="B1166" s="452" t="str">
        <f>VLOOKUP(A1166,'Thống kê'!$C$3:$D$669,2,0)</f>
        <v>Túi chườm bụng vịt vàng 500ml</v>
      </c>
      <c r="C1166" s="436" t="str">
        <f>VLOOKUP(A1166,'Thống kê'!$C$3:$E$682,3,0)</f>
        <v>túi</v>
      </c>
      <c r="D1166" s="437">
        <f>VLOOKUP(A1166,'Thống kê'!$C$3:$M$682,4,0)</f>
        <v>72250</v>
      </c>
      <c r="E1166" s="438">
        <v>1</v>
      </c>
      <c r="F1166" s="439">
        <f t="shared" si="5"/>
        <v>72250</v>
      </c>
      <c r="G1166" s="442"/>
      <c r="H1166" s="448">
        <v>66980</v>
      </c>
    </row>
    <row r="1167" spans="1:8" ht="13.2">
      <c r="A1167" s="454" t="s">
        <v>150</v>
      </c>
      <c r="B1167" s="452" t="str">
        <f>VLOOKUP(A1167,'Thống kê'!$C$3:$D$669,2,0)</f>
        <v>Móc khóa có chuông</v>
      </c>
      <c r="C1167" s="436" t="str">
        <f>VLOOKUP(A1167,'Thống kê'!$C$3:$E$682,3,0)</f>
        <v>cái</v>
      </c>
      <c r="D1167" s="437">
        <f>VLOOKUP(A1167,'Thống kê'!$C$3:$M$682,4,0)</f>
        <v>59000</v>
      </c>
      <c r="E1167" s="438">
        <v>1</v>
      </c>
      <c r="F1167" s="439">
        <f t="shared" si="5"/>
        <v>59000</v>
      </c>
      <c r="G1167" s="442"/>
      <c r="H1167" s="448">
        <v>46628</v>
      </c>
    </row>
    <row r="1168" spans="1:8" ht="13.2">
      <c r="A1168" s="454" t="s">
        <v>1616</v>
      </c>
      <c r="B1168" s="452" t="str">
        <f>VLOOKUP(A1168,'Thống kê'!$C$3:$D$669,2,0)</f>
        <v>Kẹp tóc bướm hồng phấn</v>
      </c>
      <c r="C1168" s="436" t="str">
        <f>VLOOKUP(A1168,'Thống kê'!$C$3:$E$682,3,0)</f>
        <v>cái</v>
      </c>
      <c r="D1168" s="437">
        <f>VLOOKUP(A1168,'Thống kê'!$C$3:$M$682,4,0)</f>
        <v>40000</v>
      </c>
      <c r="E1168" s="438">
        <v>1</v>
      </c>
      <c r="F1168" s="439">
        <f t="shared" si="5"/>
        <v>40000</v>
      </c>
      <c r="G1168" s="442"/>
      <c r="H1168" s="447">
        <v>58231</v>
      </c>
    </row>
    <row r="1169" spans="1:8" ht="13.2">
      <c r="A1169" s="454" t="s">
        <v>1613</v>
      </c>
      <c r="B1169" s="452" t="str">
        <f>VLOOKUP(A1169,'Thống kê'!$C$3:$D$669,2,0)</f>
        <v>Kẹp tóc bướm xanh tím</v>
      </c>
      <c r="C1169" s="436" t="str">
        <f>VLOOKUP(A1169,'Thống kê'!$C$3:$E$682,3,0)</f>
        <v>cái</v>
      </c>
      <c r="D1169" s="437">
        <f>VLOOKUP(A1169,'Thống kê'!$C$3:$M$682,4,0)</f>
        <v>40000</v>
      </c>
      <c r="E1169" s="438">
        <v>1</v>
      </c>
      <c r="F1169" s="439">
        <f t="shared" si="5"/>
        <v>40000</v>
      </c>
      <c r="G1169" s="442"/>
      <c r="H1169" s="446"/>
    </row>
    <row r="1170" spans="1:8" ht="13.2">
      <c r="A1170" s="454" t="s">
        <v>1934</v>
      </c>
      <c r="B1170" s="452" t="str">
        <f>VLOOKUP(A1170,'Thống kê'!$C$3:$D$669,2,0)</f>
        <v>Kẹp tóc hoa sứ tím</v>
      </c>
      <c r="C1170" s="436" t="str">
        <f>VLOOKUP(A1170,'Thống kê'!$C$3:$E$682,3,0)</f>
        <v>cái</v>
      </c>
      <c r="D1170" s="437">
        <f>VLOOKUP(A1170,'Thống kê'!$C$3:$M$682,4,0)</f>
        <v>18500</v>
      </c>
      <c r="E1170" s="438">
        <v>1</v>
      </c>
      <c r="F1170" s="439">
        <f t="shared" si="5"/>
        <v>18500</v>
      </c>
      <c r="G1170" s="442"/>
      <c r="H1170" s="446"/>
    </row>
    <row r="1171" spans="1:8" ht="13.2">
      <c r="A1171" s="454" t="s">
        <v>150</v>
      </c>
      <c r="B1171" s="452" t="str">
        <f>VLOOKUP(A1171,'Thống kê'!$C$3:$D$669,2,0)</f>
        <v>Móc khóa có chuông</v>
      </c>
      <c r="C1171" s="436" t="str">
        <f>VLOOKUP(A1171,'Thống kê'!$C$3:$E$682,3,0)</f>
        <v>cái</v>
      </c>
      <c r="D1171" s="437">
        <f>VLOOKUP(A1171,'Thống kê'!$C$3:$M$682,4,0)</f>
        <v>59000</v>
      </c>
      <c r="E1171" s="438">
        <v>1</v>
      </c>
      <c r="F1171" s="439">
        <f t="shared" si="5"/>
        <v>59000</v>
      </c>
      <c r="G1171" s="442"/>
      <c r="H1171" s="448">
        <v>46448</v>
      </c>
    </row>
    <row r="1172" spans="1:8" ht="13.2">
      <c r="A1172" s="454" t="s">
        <v>927</v>
      </c>
      <c r="B1172" s="452" t="str">
        <f>VLOOKUP(A1172,'Thống kê'!$C$3:$D$669,2,0)</f>
        <v>Kẹp khuếch tán tinh dầu mèo hồng</v>
      </c>
      <c r="C1172" s="436" t="str">
        <f>VLOOKUP(A1172,'Thống kê'!$C$3:$E$682,3,0)</f>
        <v>cái</v>
      </c>
      <c r="D1172" s="437">
        <f>VLOOKUP(A1172,'Thống kê'!$C$3:$M$682,4,0)</f>
        <v>142400</v>
      </c>
      <c r="E1172" s="438">
        <v>1</v>
      </c>
      <c r="F1172" s="439">
        <f t="shared" si="5"/>
        <v>142400</v>
      </c>
      <c r="G1172" s="442"/>
      <c r="H1172" s="447">
        <v>95920</v>
      </c>
    </row>
    <row r="1173" spans="1:8" ht="13.2">
      <c r="A1173" s="454" t="s">
        <v>943</v>
      </c>
      <c r="B1173" s="452" t="str">
        <f>VLOOKUP(A1173,'Thống kê'!$C$3:$D$669,2,0)</f>
        <v>Viên khuếch tán tinh dầu 02 ( rosie )</v>
      </c>
      <c r="C1173" s="436" t="str">
        <f>VLOOKUP(A1173,'Thống kê'!$C$3:$E$682,3,0)</f>
        <v>cái</v>
      </c>
      <c r="D1173" s="437">
        <f>VLOOKUP(A1173,'Thống kê'!$C$3:$M$682,4,0)</f>
        <v>8000</v>
      </c>
      <c r="E1173" s="438">
        <v>1</v>
      </c>
      <c r="F1173" s="439">
        <f t="shared" si="5"/>
        <v>8000</v>
      </c>
      <c r="G1173" s="442"/>
      <c r="H1173" s="446"/>
    </row>
    <row r="1174" spans="1:8" ht="13.2">
      <c r="A1174" s="454" t="s">
        <v>1625</v>
      </c>
      <c r="B1174" s="452" t="str">
        <f>VLOOKUP(A1174,'Thống kê'!$C$3:$D$669,2,0)</f>
        <v>Móc khóa đôi 2 mèo trắng nâu</v>
      </c>
      <c r="C1174" s="436" t="str">
        <f>VLOOKUP(A1174,'Thống kê'!$C$3:$E$682,3,0)</f>
        <v>cái</v>
      </c>
      <c r="D1174" s="437">
        <f>VLOOKUP(A1174,'Thống kê'!$C$3:$M$682,4,0)</f>
        <v>59000</v>
      </c>
      <c r="E1174" s="438">
        <v>1</v>
      </c>
      <c r="F1174" s="439">
        <f t="shared" si="5"/>
        <v>59000</v>
      </c>
      <c r="G1174" s="442"/>
      <c r="H1174" s="448">
        <v>46668</v>
      </c>
    </row>
    <row r="1175" spans="1:8" ht="13.2">
      <c r="A1175" s="454" t="s">
        <v>1624</v>
      </c>
      <c r="B1175" s="452" t="str">
        <f>VLOOKUP(A1175,'Thống kê'!$C$3:$D$669,2,0)</f>
        <v>Móc khóa mèo trái tim</v>
      </c>
      <c r="C1175" s="436" t="str">
        <f>VLOOKUP(A1175,'Thống kê'!$C$3:$E$682,3,0)</f>
        <v>cái</v>
      </c>
      <c r="D1175" s="437">
        <f>VLOOKUP(A1175,'Thống kê'!$C$3:$M$682,4,0)</f>
        <v>59000</v>
      </c>
      <c r="E1175" s="438">
        <v>1</v>
      </c>
      <c r="F1175" s="439">
        <f t="shared" si="5"/>
        <v>59000</v>
      </c>
      <c r="G1175" s="442"/>
      <c r="H1175" s="448">
        <v>46668</v>
      </c>
    </row>
    <row r="1176" spans="1:8" ht="13.2">
      <c r="A1176" s="454" t="s">
        <v>1616</v>
      </c>
      <c r="B1176" s="452" t="str">
        <f>VLOOKUP(A1176,'Thống kê'!$C$3:$D$669,2,0)</f>
        <v>Kẹp tóc bướm hồng phấn</v>
      </c>
      <c r="C1176" s="436" t="str">
        <f>VLOOKUP(A1176,'Thống kê'!$C$3:$E$682,3,0)</f>
        <v>cái</v>
      </c>
      <c r="D1176" s="437">
        <f>VLOOKUP(A1176,'Thống kê'!$C$3:$M$682,4,0)</f>
        <v>40000</v>
      </c>
      <c r="E1176" s="438">
        <v>1</v>
      </c>
      <c r="F1176" s="439">
        <f t="shared" si="5"/>
        <v>40000</v>
      </c>
      <c r="G1176" s="442"/>
      <c r="H1176" s="448">
        <v>32244</v>
      </c>
    </row>
    <row r="1177" spans="1:8" ht="13.2">
      <c r="A1177" s="454" t="s">
        <v>1629</v>
      </c>
      <c r="B1177" s="452" t="str">
        <f>VLOOKUP(A1177,'Thống kê'!$C$3:$D$669,2,0)</f>
        <v>Móc khóa capybara</v>
      </c>
      <c r="C1177" s="436" t="str">
        <f>VLOOKUP(A1177,'Thống kê'!$C$3:$E$682,3,0)</f>
        <v>cái</v>
      </c>
      <c r="D1177" s="437">
        <f>VLOOKUP(A1177,'Thống kê'!$C$3:$M$682,4,0)</f>
        <v>58800</v>
      </c>
      <c r="E1177" s="438">
        <v>1</v>
      </c>
      <c r="F1177" s="439">
        <f t="shared" si="5"/>
        <v>58800</v>
      </c>
      <c r="G1177" s="442"/>
      <c r="H1177" s="448">
        <v>46409</v>
      </c>
    </row>
    <row r="1178" spans="1:8" ht="13.2">
      <c r="A1178" s="454" t="s">
        <v>1591</v>
      </c>
      <c r="B1178" s="452" t="str">
        <f>VLOOKUP(A1178,'Thống kê'!$C$3:$D$669,2,0)</f>
        <v>Thỏ ú</v>
      </c>
      <c r="C1178" s="436" t="str">
        <f>VLOOKUP(A1178,'Thống kê'!$C$3:$E$682,3,0)</f>
        <v>cái</v>
      </c>
      <c r="D1178" s="437">
        <f>VLOOKUP(A1178,'Thống kê'!$C$3:$M$682,4,0)</f>
        <v>59500</v>
      </c>
      <c r="E1178" s="438">
        <v>1</v>
      </c>
      <c r="F1178" s="439">
        <f t="shared" si="5"/>
        <v>59500</v>
      </c>
      <c r="G1178" s="442"/>
      <c r="H1178" s="448">
        <v>48031</v>
      </c>
    </row>
    <row r="1179" spans="1:8" ht="13.2">
      <c r="A1179" s="454" t="s">
        <v>119</v>
      </c>
      <c r="B1179" s="452" t="str">
        <f>VLOOKUP(A1179,'Thống kê'!$C$3:$D$669,2,0)</f>
        <v>Thỏ chạy xe gắn xe</v>
      </c>
      <c r="C1179" s="436" t="str">
        <f>VLOOKUP(A1179,'Thống kê'!$C$3:$E$682,3,0)</f>
        <v>cái</v>
      </c>
      <c r="D1179" s="437">
        <f>VLOOKUP(A1179,'Thống kê'!$C$3:$M$682,4,0)</f>
        <v>45000</v>
      </c>
      <c r="E1179" s="438">
        <v>1</v>
      </c>
      <c r="F1179" s="439">
        <f t="shared" si="5"/>
        <v>45000</v>
      </c>
      <c r="G1179" s="442"/>
      <c r="H1179" s="448">
        <v>36060</v>
      </c>
    </row>
    <row r="1180" spans="1:8" ht="13.2">
      <c r="A1180" s="454" t="s">
        <v>1947</v>
      </c>
      <c r="B1180" s="452" t="str">
        <f>VLOOKUP(A1180,'Thống kê'!$C$3:$D$669,2,0)</f>
        <v>Kẹp nơ trắng</v>
      </c>
      <c r="C1180" s="436" t="str">
        <f>VLOOKUP(A1180,'Thống kê'!$C$3:$E$682,3,0)</f>
        <v>cái</v>
      </c>
      <c r="D1180" s="437">
        <f>VLOOKUP(A1180,'Thống kê'!$C$3:$M$682,4,0)</f>
        <v>22000</v>
      </c>
      <c r="E1180" s="438">
        <v>1</v>
      </c>
      <c r="F1180" s="439">
        <f t="shared" si="5"/>
        <v>22000</v>
      </c>
      <c r="G1180" s="442"/>
      <c r="H1180" s="448">
        <v>19180</v>
      </c>
    </row>
    <row r="1181" spans="1:8" ht="13.2">
      <c r="A1181" s="454" t="s">
        <v>1629</v>
      </c>
      <c r="B1181" s="452" t="str">
        <f>VLOOKUP(A1181,'Thống kê'!$C$3:$D$669,2,0)</f>
        <v>Móc khóa capybara</v>
      </c>
      <c r="C1181" s="436" t="str">
        <f>VLOOKUP(A1181,'Thống kê'!$C$3:$E$682,3,0)</f>
        <v>cái</v>
      </c>
      <c r="D1181" s="437">
        <f>VLOOKUP(A1181,'Thống kê'!$C$3:$M$682,4,0)</f>
        <v>58800</v>
      </c>
      <c r="E1181" s="438">
        <v>2</v>
      </c>
      <c r="F1181" s="439">
        <f t="shared" si="5"/>
        <v>117600</v>
      </c>
      <c r="G1181" s="442"/>
      <c r="H1181" s="448">
        <v>94508</v>
      </c>
    </row>
    <row r="1182" spans="1:8" ht="13.2">
      <c r="A1182" s="454" t="s">
        <v>1636</v>
      </c>
      <c r="B1182" s="452" t="str">
        <f>VLOOKUP(A1182,'Thống kê'!$C$3:$D$669,2,0)</f>
        <v>Mô hình mèo 3</v>
      </c>
      <c r="C1182" s="436" t="str">
        <f>VLOOKUP(A1182,'Thống kê'!$C$3:$E$682,3,0)</f>
        <v>cái</v>
      </c>
      <c r="D1182" s="437">
        <f>VLOOKUP(A1182,'Thống kê'!$C$3:$M$682,4,0)</f>
        <v>37800</v>
      </c>
      <c r="E1182" s="438">
        <v>1</v>
      </c>
      <c r="F1182" s="439">
        <f t="shared" si="5"/>
        <v>37800</v>
      </c>
      <c r="G1182" s="442"/>
      <c r="H1182" s="447">
        <v>60866</v>
      </c>
    </row>
    <row r="1183" spans="1:8" ht="13.2">
      <c r="A1183" s="454" t="s">
        <v>1635</v>
      </c>
      <c r="B1183" s="452" t="str">
        <f>VLOOKUP(A1183,'Thống kê'!$C$3:$D$669,2,0)</f>
        <v>Mô hình mèo 4</v>
      </c>
      <c r="C1183" s="436" t="str">
        <f>VLOOKUP(A1183,'Thống kê'!$C$3:$E$682,3,0)</f>
        <v>cái</v>
      </c>
      <c r="D1183" s="437">
        <f>VLOOKUP(A1183,'Thống kê'!$C$3:$M$682,4,0)</f>
        <v>37800</v>
      </c>
      <c r="E1183" s="438">
        <v>1</v>
      </c>
      <c r="F1183" s="439">
        <f t="shared" si="5"/>
        <v>37800</v>
      </c>
      <c r="G1183" s="442"/>
      <c r="H1183" s="446"/>
    </row>
    <row r="1184" spans="1:8" ht="13.2">
      <c r="A1184" s="454" t="s">
        <v>1909</v>
      </c>
      <c r="B1184" s="452" t="str">
        <f>VLOOKUP(A1184,'Thống kê'!$C$3:$D$669,2,0)</f>
        <v>Kẹp tóc hồng</v>
      </c>
      <c r="C1184" s="436" t="str">
        <f>VLOOKUP(A1184,'Thống kê'!$C$3:$E$682,3,0)</f>
        <v>cái</v>
      </c>
      <c r="D1184" s="437">
        <f>VLOOKUP(A1184,'Thống kê'!$C$3:$M$682,4,0)</f>
        <v>14000</v>
      </c>
      <c r="E1184" s="438">
        <v>1</v>
      </c>
      <c r="F1184" s="439">
        <f t="shared" si="5"/>
        <v>14000</v>
      </c>
      <c r="G1184" s="442"/>
      <c r="H1184" s="447">
        <v>43616</v>
      </c>
    </row>
    <row r="1185" spans="1:8" ht="13.2">
      <c r="A1185" s="454" t="s">
        <v>145</v>
      </c>
      <c r="B1185" s="452" t="str">
        <f>VLOOKUP(A1185,'Thống kê'!$C$3:$D$669,2,0)</f>
        <v>Thỏ đi vịt gắn xe</v>
      </c>
      <c r="C1185" s="436" t="str">
        <f>VLOOKUP(A1185,'Thống kê'!$C$3:$E$682,3,0)</f>
        <v>cái</v>
      </c>
      <c r="D1185" s="437">
        <f>VLOOKUP(A1185,'Thống kê'!$C$3:$M$682,4,0)</f>
        <v>45000</v>
      </c>
      <c r="E1185" s="438">
        <v>1</v>
      </c>
      <c r="F1185" s="439">
        <f t="shared" si="5"/>
        <v>45000</v>
      </c>
      <c r="G1185" s="442"/>
      <c r="H1185" s="446"/>
    </row>
    <row r="1186" spans="1:8" ht="13.2">
      <c r="A1186" s="454" t="s">
        <v>1587</v>
      </c>
      <c r="B1186" s="452" t="str">
        <f>VLOOKUP(A1186,'Thống kê'!$C$3:$D$669,2,0)</f>
        <v>Vịt ú bay</v>
      </c>
      <c r="C1186" s="436" t="str">
        <f>VLOOKUP(A1186,'Thống kê'!$C$3:$E$682,3,0)</f>
        <v>cái</v>
      </c>
      <c r="D1186" s="437">
        <f>VLOOKUP(A1186,'Thống kê'!$C$3:$M$682,4,0)</f>
        <v>64500</v>
      </c>
      <c r="E1186" s="438">
        <v>1</v>
      </c>
      <c r="F1186" s="439">
        <f t="shared" si="5"/>
        <v>64500</v>
      </c>
      <c r="G1186" s="442"/>
      <c r="H1186" s="447">
        <v>367508</v>
      </c>
    </row>
    <row r="1187" spans="1:8" ht="13.2">
      <c r="A1187" s="454" t="s">
        <v>1591</v>
      </c>
      <c r="B1187" s="452" t="str">
        <f>VLOOKUP(A1187,'Thống kê'!$C$3:$D$669,2,0)</f>
        <v>Thỏ ú</v>
      </c>
      <c r="C1187" s="436" t="str">
        <f>VLOOKUP(A1187,'Thống kê'!$C$3:$E$682,3,0)</f>
        <v>cái</v>
      </c>
      <c r="D1187" s="437">
        <f>VLOOKUP(A1187,'Thống kê'!$C$3:$M$682,4,0)</f>
        <v>59500</v>
      </c>
      <c r="E1187" s="438">
        <v>1</v>
      </c>
      <c r="F1187" s="439">
        <f t="shared" si="5"/>
        <v>59500</v>
      </c>
      <c r="G1187" s="442"/>
      <c r="H1187" s="446"/>
    </row>
    <row r="1188" spans="1:8" ht="13.2">
      <c r="A1188" s="454" t="s">
        <v>931</v>
      </c>
      <c r="B1188" s="452" t="str">
        <f>VLOOKUP(A1188,'Thống kê'!$C$3:$D$669,2,0)</f>
        <v>Kẹp khuếch tán tinh dầu thỏ hồng</v>
      </c>
      <c r="C1188" s="436" t="str">
        <f>VLOOKUP(A1188,'Thống kê'!$C$3:$E$682,3,0)</f>
        <v>cái</v>
      </c>
      <c r="D1188" s="437">
        <f>VLOOKUP(A1188,'Thống kê'!$C$3:$M$682,4,0)</f>
        <v>142400</v>
      </c>
      <c r="E1188" s="438">
        <v>1</v>
      </c>
      <c r="F1188" s="439">
        <f t="shared" si="5"/>
        <v>142400</v>
      </c>
      <c r="G1188" s="442"/>
      <c r="H1188" s="446"/>
    </row>
    <row r="1189" spans="1:8" ht="13.2">
      <c r="A1189" s="454" t="s">
        <v>941</v>
      </c>
      <c r="B1189" s="452" t="str">
        <f>VLOOKUP(A1189,'Thống kê'!$C$3:$D$669,2,0)</f>
        <v>Viên khuếch tán tinh dầu 01 ( lemon )</v>
      </c>
      <c r="C1189" s="436" t="str">
        <f>VLOOKUP(A1189,'Thống kê'!$C$3:$E$682,3,0)</f>
        <v>cái</v>
      </c>
      <c r="D1189" s="437">
        <f>VLOOKUP(A1189,'Thống kê'!$C$3:$M$682,4,0)</f>
        <v>8000</v>
      </c>
      <c r="E1189" s="438">
        <v>1</v>
      </c>
      <c r="F1189" s="439">
        <f t="shared" si="5"/>
        <v>8000</v>
      </c>
      <c r="G1189" s="442"/>
      <c r="H1189" s="446"/>
    </row>
    <row r="1190" spans="1:8" ht="13.2">
      <c r="A1190" s="454" t="s">
        <v>1622</v>
      </c>
      <c r="B1190" s="452" t="str">
        <f>VLOOKUP(A1190,'Thống kê'!$C$3:$D$669,2,0)</f>
        <v>Mô hình mèo 1</v>
      </c>
      <c r="C1190" s="436" t="str">
        <f>VLOOKUP(A1190,'Thống kê'!$C$3:$E$682,3,0)</f>
        <v>cái</v>
      </c>
      <c r="D1190" s="437">
        <f>VLOOKUP(A1190,'Thống kê'!$C$3:$M$682,4,0)</f>
        <v>37800</v>
      </c>
      <c r="E1190" s="438">
        <v>1</v>
      </c>
      <c r="F1190" s="439">
        <f t="shared" si="5"/>
        <v>37800</v>
      </c>
      <c r="G1190" s="442"/>
      <c r="H1190" s="446"/>
    </row>
    <row r="1191" spans="1:8" ht="13.2">
      <c r="A1191" s="454" t="s">
        <v>1621</v>
      </c>
      <c r="B1191" s="452" t="str">
        <f>VLOOKUP(A1191,'Thống kê'!$C$3:$D$669,2,0)</f>
        <v>Mô hình mèo 2</v>
      </c>
      <c r="C1191" s="436" t="str">
        <f>VLOOKUP(A1191,'Thống kê'!$C$3:$E$682,3,0)</f>
        <v>cái</v>
      </c>
      <c r="D1191" s="437">
        <f>VLOOKUP(A1191,'Thống kê'!$C$3:$M$682,4,0)</f>
        <v>37800</v>
      </c>
      <c r="E1191" s="438">
        <v>1</v>
      </c>
      <c r="F1191" s="439">
        <f t="shared" si="5"/>
        <v>37800</v>
      </c>
      <c r="G1191" s="442"/>
      <c r="H1191" s="446"/>
    </row>
    <row r="1192" spans="1:8" ht="13.2">
      <c r="A1192" s="454" t="s">
        <v>1636</v>
      </c>
      <c r="B1192" s="452" t="str">
        <f>VLOOKUP(A1192,'Thống kê'!$C$3:$D$669,2,0)</f>
        <v>Mô hình mèo 3</v>
      </c>
      <c r="C1192" s="436" t="str">
        <f>VLOOKUP(A1192,'Thống kê'!$C$3:$E$682,3,0)</f>
        <v>cái</v>
      </c>
      <c r="D1192" s="437">
        <f>VLOOKUP(A1192,'Thống kê'!$C$3:$M$682,4,0)</f>
        <v>37800</v>
      </c>
      <c r="E1192" s="438">
        <v>1</v>
      </c>
      <c r="F1192" s="439">
        <f t="shared" si="5"/>
        <v>37800</v>
      </c>
      <c r="G1192" s="442"/>
      <c r="H1192" s="446"/>
    </row>
    <row r="1193" spans="1:8" ht="13.2">
      <c r="A1193" s="454" t="s">
        <v>1635</v>
      </c>
      <c r="B1193" s="452" t="str">
        <f>VLOOKUP(A1193,'Thống kê'!$C$3:$D$669,2,0)</f>
        <v>Mô hình mèo 4</v>
      </c>
      <c r="C1193" s="436" t="str">
        <f>VLOOKUP(A1193,'Thống kê'!$C$3:$E$682,3,0)</f>
        <v>cái</v>
      </c>
      <c r="D1193" s="437">
        <f>VLOOKUP(A1193,'Thống kê'!$C$3:$M$682,4,0)</f>
        <v>37800</v>
      </c>
      <c r="E1193" s="438">
        <v>1</v>
      </c>
      <c r="F1193" s="439">
        <f t="shared" si="5"/>
        <v>37800</v>
      </c>
      <c r="G1193" s="442"/>
      <c r="H1193" s="446"/>
    </row>
    <row r="1194" spans="1:8" ht="13.2">
      <c r="A1194" s="454" t="s">
        <v>1623</v>
      </c>
      <c r="B1194" s="452" t="str">
        <f>VLOOKUP(A1194,'Thống kê'!$C$3:$D$669,2,0)</f>
        <v>Mô hình mèo 5</v>
      </c>
      <c r="C1194" s="436" t="str">
        <f>VLOOKUP(A1194,'Thống kê'!$C$3:$E$682,3,0)</f>
        <v>cái</v>
      </c>
      <c r="D1194" s="437">
        <f>VLOOKUP(A1194,'Thống kê'!$C$3:$M$682,4,0)</f>
        <v>37800</v>
      </c>
      <c r="E1194" s="438">
        <v>1</v>
      </c>
      <c r="F1194" s="439">
        <f t="shared" si="5"/>
        <v>37800</v>
      </c>
      <c r="G1194" s="442"/>
      <c r="H1194" s="446"/>
    </row>
    <row r="1195" spans="1:8" ht="13.2">
      <c r="A1195" s="454" t="s">
        <v>1605</v>
      </c>
      <c r="B1195" s="452" t="str">
        <f>VLOOKUP(A1195,'Thống kê'!$C$3:$D$669,2,0)</f>
        <v>Thước dây xanh</v>
      </c>
      <c r="C1195" s="436" t="str">
        <f>VLOOKUP(A1195,'Thống kê'!$C$3:$E$682,3,0)</f>
        <v>cái</v>
      </c>
      <c r="D1195" s="437">
        <f>VLOOKUP(A1195,'Thống kê'!$C$3:$M$682,4,0)</f>
        <v>9000</v>
      </c>
      <c r="E1195" s="438">
        <v>1</v>
      </c>
      <c r="F1195" s="439">
        <f t="shared" si="5"/>
        <v>9000</v>
      </c>
      <c r="G1195" s="442"/>
      <c r="H1195" s="446"/>
    </row>
    <row r="1196" spans="1:8" ht="13.2">
      <c r="A1196" s="454" t="s">
        <v>1602</v>
      </c>
      <c r="B1196" s="452" t="str">
        <f>VLOOKUP(A1196,'Thống kê'!$C$3:$D$669,2,0)</f>
        <v>Thước dây hồng đất</v>
      </c>
      <c r="C1196" s="436" t="str">
        <f>VLOOKUP(A1196,'Thống kê'!$C$3:$E$682,3,0)</f>
        <v>cái</v>
      </c>
      <c r="D1196" s="437">
        <f>VLOOKUP(A1196,'Thống kê'!$C$3:$M$682,4,0)</f>
        <v>9000</v>
      </c>
      <c r="E1196" s="438">
        <v>1</v>
      </c>
      <c r="F1196" s="439">
        <f t="shared" si="5"/>
        <v>9000</v>
      </c>
      <c r="G1196" s="442"/>
      <c r="H1196" s="446"/>
    </row>
    <row r="1197" spans="1:8" ht="13.2">
      <c r="A1197" s="454" t="s">
        <v>181</v>
      </c>
      <c r="B1197" s="452" t="str">
        <f>VLOOKUP(A1197,'Thống kê'!$C$3:$D$669,2,0)</f>
        <v>Thỏ mặt trăng gắn xe</v>
      </c>
      <c r="C1197" s="436" t="str">
        <f>VLOOKUP(A1197,'Thống kê'!$C$3:$E$682,3,0)</f>
        <v>cái</v>
      </c>
      <c r="D1197" s="437">
        <f>VLOOKUP(A1197,'Thống kê'!$C$3:$M$682,4,0)</f>
        <v>45000</v>
      </c>
      <c r="E1197" s="438">
        <v>1</v>
      </c>
      <c r="F1197" s="439">
        <f t="shared" si="5"/>
        <v>45000</v>
      </c>
      <c r="G1197" s="442"/>
      <c r="H1197" s="447">
        <v>100620</v>
      </c>
    </row>
    <row r="1198" spans="1:8" ht="13.2">
      <c r="A1198" s="454" t="s">
        <v>119</v>
      </c>
      <c r="B1198" s="452" t="str">
        <f>VLOOKUP(A1198,'Thống kê'!$C$3:$D$669,2,0)</f>
        <v>Thỏ chạy xe gắn xe</v>
      </c>
      <c r="C1198" s="436" t="str">
        <f>VLOOKUP(A1198,'Thống kê'!$C$3:$E$682,3,0)</f>
        <v>cái</v>
      </c>
      <c r="D1198" s="437">
        <f>VLOOKUP(A1198,'Thống kê'!$C$3:$M$682,4,0)</f>
        <v>45000</v>
      </c>
      <c r="E1198" s="438">
        <v>1</v>
      </c>
      <c r="F1198" s="439">
        <f t="shared" si="5"/>
        <v>45000</v>
      </c>
      <c r="G1198" s="442"/>
      <c r="H1198" s="446"/>
    </row>
    <row r="1199" spans="1:8" ht="13.2">
      <c r="A1199" s="454" t="s">
        <v>1592</v>
      </c>
      <c r="B1199" s="452" t="str">
        <f>VLOOKUP(A1199,'Thống kê'!$C$3:$D$669,2,0)</f>
        <v>Gấu trắng gắn xe</v>
      </c>
      <c r="C1199" s="436" t="str">
        <f>VLOOKUP(A1199,'Thống kê'!$C$3:$E$682,3,0)</f>
        <v>cái</v>
      </c>
      <c r="D1199" s="437">
        <f>VLOOKUP(A1199,'Thống kê'!$C$3:$M$682,4,0)</f>
        <v>45000</v>
      </c>
      <c r="E1199" s="438">
        <v>1</v>
      </c>
      <c r="F1199" s="439">
        <f t="shared" si="5"/>
        <v>45000</v>
      </c>
      <c r="G1199" s="442"/>
      <c r="H1199" s="446"/>
    </row>
    <row r="1200" spans="1:8" ht="13.2">
      <c r="A1200" s="454" t="s">
        <v>1613</v>
      </c>
      <c r="B1200" s="452" t="str">
        <f>VLOOKUP(A1200,'Thống kê'!$C$3:$D$669,2,0)</f>
        <v>Kẹp tóc bướm xanh tím</v>
      </c>
      <c r="C1200" s="436" t="str">
        <f>VLOOKUP(A1200,'Thống kê'!$C$3:$E$682,3,0)</f>
        <v>cái</v>
      </c>
      <c r="D1200" s="437">
        <f>VLOOKUP(A1200,'Thống kê'!$C$3:$M$682,4,0)</f>
        <v>40000</v>
      </c>
      <c r="E1200" s="438">
        <v>1</v>
      </c>
      <c r="F1200" s="439">
        <f t="shared" si="5"/>
        <v>40000</v>
      </c>
      <c r="G1200" s="442"/>
      <c r="H1200" s="448">
        <v>32324</v>
      </c>
    </row>
    <row r="1201" spans="1:8" ht="13.2">
      <c r="A1201" s="454" t="s">
        <v>1594</v>
      </c>
      <c r="B1201" s="452" t="str">
        <f>VLOOKUP(A1201,'Thống kê'!$C$3:$D$669,2,0)</f>
        <v>Móc khóa đôi heo</v>
      </c>
      <c r="C1201" s="436" t="str">
        <f>VLOOKUP(A1201,'Thống kê'!$C$3:$E$682,3,0)</f>
        <v>cái</v>
      </c>
      <c r="D1201" s="437">
        <f>VLOOKUP(A1201,'Thống kê'!$C$3:$M$682,4,0)</f>
        <v>56580</v>
      </c>
      <c r="E1201" s="438">
        <v>1</v>
      </c>
      <c r="F1201" s="439">
        <f t="shared" si="5"/>
        <v>56580</v>
      </c>
      <c r="G1201" s="442"/>
      <c r="H1201" s="448">
        <v>44751</v>
      </c>
    </row>
    <row r="1202" spans="1:8" ht="13.2">
      <c r="A1202" s="454" t="s">
        <v>150</v>
      </c>
      <c r="B1202" s="452" t="str">
        <f>VLOOKUP(A1202,'Thống kê'!$C$3:$D$669,2,0)</f>
        <v>Móc khóa có chuông</v>
      </c>
      <c r="C1202" s="436" t="str">
        <f>VLOOKUP(A1202,'Thống kê'!$C$3:$E$682,3,0)</f>
        <v>cái</v>
      </c>
      <c r="D1202" s="437">
        <f>VLOOKUP(A1202,'Thống kê'!$C$3:$M$682,4,0)</f>
        <v>59000</v>
      </c>
      <c r="E1202" s="438">
        <v>1</v>
      </c>
      <c r="F1202" s="439">
        <f t="shared" si="5"/>
        <v>59000</v>
      </c>
      <c r="G1202" s="442"/>
      <c r="H1202" s="448">
        <v>46588</v>
      </c>
    </row>
    <row r="1203" spans="1:8" ht="13.2">
      <c r="A1203" s="454" t="s">
        <v>1627</v>
      </c>
      <c r="B1203" s="452" t="str">
        <f>VLOOKUP(A1203,'Thống kê'!$C$3:$D$669,2,0)</f>
        <v>Móc khóa capybara 15 - sổ mũi ko móc khóa</v>
      </c>
      <c r="C1203" s="436" t="str">
        <f>VLOOKUP(A1203,'Thống kê'!$C$3:$E$682,3,0)</f>
        <v>cái</v>
      </c>
      <c r="D1203" s="437">
        <f>VLOOKUP(A1203,'Thống kê'!$C$3:$M$682,4,0)</f>
        <v>56500</v>
      </c>
      <c r="E1203" s="438">
        <v>1</v>
      </c>
      <c r="F1203" s="439">
        <f t="shared" si="5"/>
        <v>56500</v>
      </c>
      <c r="G1203" s="442"/>
      <c r="H1203" s="448">
        <v>44408</v>
      </c>
    </row>
    <row r="1204" spans="1:8" ht="13.2">
      <c r="A1204" s="454" t="s">
        <v>1594</v>
      </c>
      <c r="B1204" s="452" t="str">
        <f>VLOOKUP(A1204,'Thống kê'!$C$3:$D$669,2,0)</f>
        <v>Móc khóa đôi heo</v>
      </c>
      <c r="C1204" s="436" t="str">
        <f>VLOOKUP(A1204,'Thống kê'!$C$3:$E$682,3,0)</f>
        <v>cái</v>
      </c>
      <c r="D1204" s="437">
        <f>VLOOKUP(A1204,'Thống kê'!$C$3:$M$682,4,0)</f>
        <v>56580</v>
      </c>
      <c r="E1204" s="438">
        <v>1</v>
      </c>
      <c r="F1204" s="439">
        <f t="shared" si="5"/>
        <v>56580</v>
      </c>
      <c r="G1204" s="442"/>
      <c r="H1204" s="448">
        <v>51531</v>
      </c>
    </row>
    <row r="1205" spans="1:8" ht="13.2">
      <c r="A1205" s="454" t="s">
        <v>119</v>
      </c>
      <c r="B1205" s="452" t="str">
        <f>VLOOKUP(A1205,'Thống kê'!$C$3:$D$669,2,0)</f>
        <v>Thỏ chạy xe gắn xe</v>
      </c>
      <c r="C1205" s="436" t="str">
        <f>VLOOKUP(A1205,'Thống kê'!$C$3:$E$682,3,0)</f>
        <v>cái</v>
      </c>
      <c r="D1205" s="437">
        <f>VLOOKUP(A1205,'Thống kê'!$C$3:$M$682,4,0)</f>
        <v>45000</v>
      </c>
      <c r="E1205" s="438">
        <v>1</v>
      </c>
      <c r="F1205" s="439">
        <f t="shared" si="5"/>
        <v>45000</v>
      </c>
      <c r="G1205" s="442"/>
      <c r="H1205" s="448">
        <v>36220</v>
      </c>
    </row>
    <row r="1206" spans="1:8" ht="13.2">
      <c r="A1206" s="454" t="s">
        <v>1908</v>
      </c>
      <c r="B1206" s="452" t="str">
        <f>VLOOKUP(A1206,'Thống kê'!$C$3:$D$669,2,0)</f>
        <v>Kẹp tóc trắng</v>
      </c>
      <c r="C1206" s="436" t="str">
        <f>VLOOKUP(A1206,'Thống kê'!$C$3:$E$682,3,0)</f>
        <v>cái</v>
      </c>
      <c r="D1206" s="437">
        <f>VLOOKUP(A1206,'Thống kê'!$C$3:$M$682,4,0)</f>
        <v>14000</v>
      </c>
      <c r="E1206" s="438">
        <v>1</v>
      </c>
      <c r="F1206" s="439">
        <f t="shared" si="5"/>
        <v>14000</v>
      </c>
      <c r="G1206" s="442"/>
      <c r="H1206" s="448">
        <v>24300</v>
      </c>
    </row>
    <row r="1207" spans="1:8" ht="13.2">
      <c r="A1207" s="454" t="s">
        <v>115</v>
      </c>
      <c r="B1207" s="452" t="str">
        <f>VLOOKUP(A1207,'Thống kê'!$C$3:$D$669,2,0)</f>
        <v>Heo ú</v>
      </c>
      <c r="C1207" s="436" t="str">
        <f>VLOOKUP(A1207,'Thống kê'!$C$3:$E$682,3,0)</f>
        <v>cái</v>
      </c>
      <c r="D1207" s="437">
        <f>VLOOKUP(A1207,'Thống kê'!$C$3:$M$682,4,0)</f>
        <v>59500</v>
      </c>
      <c r="E1207" s="438">
        <v>1</v>
      </c>
      <c r="F1207" s="439">
        <f t="shared" si="5"/>
        <v>59500</v>
      </c>
      <c r="G1207" s="442"/>
      <c r="H1207" s="448">
        <v>47931</v>
      </c>
    </row>
    <row r="1208" spans="1:8" ht="13.2">
      <c r="A1208" s="454" t="s">
        <v>1624</v>
      </c>
      <c r="B1208" s="452" t="str">
        <f>VLOOKUP(A1208,'Thống kê'!$C$3:$D$669,2,0)</f>
        <v>Móc khóa mèo trái tim</v>
      </c>
      <c r="C1208" s="436" t="str">
        <f>VLOOKUP(A1208,'Thống kê'!$C$3:$E$682,3,0)</f>
        <v>cái</v>
      </c>
      <c r="D1208" s="437">
        <f>VLOOKUP(A1208,'Thống kê'!$C$3:$M$682,4,0)</f>
        <v>59000</v>
      </c>
      <c r="E1208" s="438">
        <v>1</v>
      </c>
      <c r="F1208" s="439">
        <f t="shared" si="5"/>
        <v>59000</v>
      </c>
      <c r="G1208" s="442"/>
      <c r="H1208" s="448">
        <v>53448</v>
      </c>
    </row>
    <row r="1209" spans="1:8" ht="13.2">
      <c r="A1209" s="454" t="s">
        <v>1967</v>
      </c>
      <c r="B1209" s="452" t="str">
        <f>VLOOKUP(A1209,'Thống kê'!$C$3:$D$669,2,0)</f>
        <v>Kẹp càng cua lông hình gấu nâu gấu nâu</v>
      </c>
      <c r="C1209" s="436" t="str">
        <f>VLOOKUP(A1209,'Thống kê'!$C$3:$E$682,3,0)</f>
        <v>cái</v>
      </c>
      <c r="D1209" s="437">
        <f>VLOOKUP(A1209,'Thống kê'!$C$3:$M$682,4,0)</f>
        <v>18000</v>
      </c>
      <c r="E1209" s="438">
        <v>1</v>
      </c>
      <c r="F1209" s="439">
        <f t="shared" si="5"/>
        <v>18000</v>
      </c>
      <c r="G1209" s="442"/>
      <c r="H1209" s="447">
        <v>175000</v>
      </c>
    </row>
    <row r="1210" spans="1:8" ht="13.2">
      <c r="A1210" s="454" t="s">
        <v>1947</v>
      </c>
      <c r="B1210" s="452" t="str">
        <f>VLOOKUP(A1210,'Thống kê'!$C$3:$D$669,2,0)</f>
        <v>Kẹp nơ trắng</v>
      </c>
      <c r="C1210" s="436" t="str">
        <f>VLOOKUP(A1210,'Thống kê'!$C$3:$E$682,3,0)</f>
        <v>cái</v>
      </c>
      <c r="D1210" s="437">
        <f>VLOOKUP(A1210,'Thống kê'!$C$3:$M$682,4,0)</f>
        <v>22000</v>
      </c>
      <c r="E1210" s="438">
        <v>1</v>
      </c>
      <c r="F1210" s="439">
        <f t="shared" si="5"/>
        <v>22000</v>
      </c>
      <c r="G1210" s="442"/>
      <c r="H1210" s="446"/>
    </row>
    <row r="1211" spans="1:8" ht="13.2">
      <c r="A1211" s="454" t="s">
        <v>1615</v>
      </c>
      <c r="B1211" s="452" t="str">
        <f>VLOOKUP(A1211,'Thống kê'!$C$3:$D$669,2,0)</f>
        <v>Kẹp tóc bướm tím</v>
      </c>
      <c r="C1211" s="436" t="str">
        <f>VLOOKUP(A1211,'Thống kê'!$C$3:$E$682,3,0)</f>
        <v>cái</v>
      </c>
      <c r="D1211" s="437">
        <f>VLOOKUP(A1211,'Thống kê'!$C$3:$M$682,4,0)</f>
        <v>40000</v>
      </c>
      <c r="E1211" s="438">
        <v>1</v>
      </c>
      <c r="F1211" s="439">
        <f t="shared" si="5"/>
        <v>40000</v>
      </c>
      <c r="G1211" s="442"/>
      <c r="H1211" s="446"/>
    </row>
    <row r="1212" spans="1:8" ht="13.2">
      <c r="A1212" s="454" t="s">
        <v>1645</v>
      </c>
      <c r="B1212" s="452" t="str">
        <f>VLOOKUP(A1212,'Thống kê'!$C$3:$D$669,2,0)</f>
        <v>Túi chườm bụng trái bơ 500ml</v>
      </c>
      <c r="C1212" s="436" t="str">
        <f>VLOOKUP(A1212,'Thống kê'!$C$3:$E$682,3,0)</f>
        <v>túi</v>
      </c>
      <c r="D1212" s="437">
        <f>VLOOKUP(A1212,'Thống kê'!$C$3:$M$682,4,0)</f>
        <v>78200</v>
      </c>
      <c r="E1212" s="438">
        <v>1</v>
      </c>
      <c r="F1212" s="439">
        <f t="shared" si="5"/>
        <v>78200</v>
      </c>
      <c r="G1212" s="442"/>
      <c r="H1212" s="446"/>
    </row>
    <row r="1213" spans="1:8" ht="13.2">
      <c r="A1213" s="454" t="s">
        <v>1936</v>
      </c>
      <c r="B1213" s="452" t="str">
        <f>VLOOKUP(A1213,'Thống kê'!$C$3:$D$669,2,0)</f>
        <v>Kẹp tóc hoa sứ vàng</v>
      </c>
      <c r="C1213" s="436" t="str">
        <f>VLOOKUP(A1213,'Thống kê'!$C$3:$E$682,3,0)</f>
        <v>cái</v>
      </c>
      <c r="D1213" s="437">
        <f>VLOOKUP(A1213,'Thống kê'!$C$3:$M$682,4,0)</f>
        <v>18500</v>
      </c>
      <c r="E1213" s="438">
        <v>1</v>
      </c>
      <c r="F1213" s="439">
        <f t="shared" si="5"/>
        <v>18500</v>
      </c>
      <c r="G1213" s="442"/>
      <c r="H1213" s="446"/>
    </row>
    <row r="1214" spans="1:8" ht="13.2">
      <c r="A1214" s="454" t="s">
        <v>1937</v>
      </c>
      <c r="B1214" s="452" t="str">
        <f>VLOOKUP(A1214,'Thống kê'!$C$3:$D$669,2,0)</f>
        <v>Kẹp tóc hoa sứ cam</v>
      </c>
      <c r="C1214" s="436" t="str">
        <f>VLOOKUP(A1214,'Thống kê'!$C$3:$E$682,3,0)</f>
        <v>cái</v>
      </c>
      <c r="D1214" s="437">
        <f>VLOOKUP(A1214,'Thống kê'!$C$3:$M$682,4,0)</f>
        <v>18500</v>
      </c>
      <c r="E1214" s="438">
        <v>1</v>
      </c>
      <c r="F1214" s="439">
        <f t="shared" si="5"/>
        <v>18500</v>
      </c>
      <c r="G1214" s="442"/>
      <c r="H1214" s="446"/>
    </row>
    <row r="1215" spans="1:8" ht="13.2">
      <c r="A1215" s="454" t="s">
        <v>1635</v>
      </c>
      <c r="B1215" s="452" t="str">
        <f>VLOOKUP(A1215,'Thống kê'!$C$3:$D$669,2,0)</f>
        <v>Mô hình mèo 4</v>
      </c>
      <c r="C1215" s="436" t="str">
        <f>VLOOKUP(A1215,'Thống kê'!$C$3:$E$682,3,0)</f>
        <v>cái</v>
      </c>
      <c r="D1215" s="437">
        <f>VLOOKUP(A1215,'Thống kê'!$C$3:$M$682,4,0)</f>
        <v>37800</v>
      </c>
      <c r="E1215" s="438">
        <v>1</v>
      </c>
      <c r="F1215" s="439">
        <f t="shared" si="5"/>
        <v>37800</v>
      </c>
      <c r="G1215" s="442"/>
      <c r="H1215" s="448">
        <v>33943</v>
      </c>
    </row>
    <row r="1216" spans="1:8" ht="13.2">
      <c r="A1216" s="454" t="s">
        <v>1613</v>
      </c>
      <c r="B1216" s="452" t="str">
        <f>VLOOKUP(A1216,'Thống kê'!$C$3:$D$669,2,0)</f>
        <v>Kẹp tóc bướm xanh tím</v>
      </c>
      <c r="C1216" s="436" t="str">
        <f>VLOOKUP(A1216,'Thống kê'!$C$3:$E$682,3,0)</f>
        <v>cái</v>
      </c>
      <c r="D1216" s="437">
        <f>VLOOKUP(A1216,'Thống kê'!$C$3:$M$682,4,0)</f>
        <v>40000</v>
      </c>
      <c r="E1216" s="438">
        <v>1</v>
      </c>
      <c r="F1216" s="439">
        <f t="shared" si="5"/>
        <v>40000</v>
      </c>
      <c r="G1216" s="442"/>
      <c r="H1216" s="448">
        <v>32064</v>
      </c>
    </row>
    <row r="1217" spans="1:8" ht="13.2">
      <c r="A1217" s="454" t="s">
        <v>1625</v>
      </c>
      <c r="B1217" s="452" t="str">
        <f>VLOOKUP(A1217,'Thống kê'!$C$3:$D$669,2,0)</f>
        <v>Móc khóa đôi 2 mèo trắng nâu</v>
      </c>
      <c r="C1217" s="436" t="str">
        <f>VLOOKUP(A1217,'Thống kê'!$C$3:$E$682,3,0)</f>
        <v>cái</v>
      </c>
      <c r="D1217" s="437">
        <f>VLOOKUP(A1217,'Thống kê'!$C$3:$M$682,4,0)</f>
        <v>59000</v>
      </c>
      <c r="E1217" s="438">
        <v>1</v>
      </c>
      <c r="F1217" s="439">
        <f t="shared" si="5"/>
        <v>59000</v>
      </c>
      <c r="G1217" s="442"/>
      <c r="H1217" s="448">
        <v>46448</v>
      </c>
    </row>
    <row r="1218" spans="1:8" ht="13.2">
      <c r="A1218" s="454" t="s">
        <v>1930</v>
      </c>
      <c r="B1218" s="452" t="str">
        <f>VLOOKUP(A1218,'Thống kê'!$C$3:$D$669,2,0)</f>
        <v>Kẹp nơ hồng</v>
      </c>
      <c r="C1218" s="436" t="str">
        <f>VLOOKUP(A1218,'Thống kê'!$C$3:$E$682,3,0)</f>
        <v>cái</v>
      </c>
      <c r="D1218" s="437">
        <f>VLOOKUP(A1218,'Thống kê'!$C$3:$M$682,4,0)</f>
        <v>22000</v>
      </c>
      <c r="E1218" s="438">
        <v>2</v>
      </c>
      <c r="F1218" s="439">
        <f t="shared" si="5"/>
        <v>44000</v>
      </c>
      <c r="G1218" s="442"/>
      <c r="H1218" s="447">
        <v>88000</v>
      </c>
    </row>
    <row r="1219" spans="1:8" ht="13.2">
      <c r="A1219" s="454" t="s">
        <v>1947</v>
      </c>
      <c r="B1219" s="452" t="str">
        <f>VLOOKUP(A1219,'Thống kê'!$C$3:$D$669,2,0)</f>
        <v>Kẹp nơ trắng</v>
      </c>
      <c r="C1219" s="436" t="str">
        <f>VLOOKUP(A1219,'Thống kê'!$C$3:$E$682,3,0)</f>
        <v>cái</v>
      </c>
      <c r="D1219" s="437">
        <f>VLOOKUP(A1219,'Thống kê'!$C$3:$M$682,4,0)</f>
        <v>22000</v>
      </c>
      <c r="E1219" s="438">
        <v>2</v>
      </c>
      <c r="F1219" s="439">
        <f t="shared" si="5"/>
        <v>44000</v>
      </c>
      <c r="G1219" s="442"/>
      <c r="H1219" s="446"/>
    </row>
    <row r="1220" spans="1:8" ht="13.2">
      <c r="A1220" s="454" t="s">
        <v>1968</v>
      </c>
      <c r="B1220" s="452" t="str">
        <f>VLOOKUP(A1220,'Thống kê'!$C$3:$D$669,2,0)</f>
        <v>Kẹp nơ đen</v>
      </c>
      <c r="C1220" s="436" t="str">
        <f>VLOOKUP(A1220,'Thống kê'!$C$3:$E$682,3,0)</f>
        <v>cái</v>
      </c>
      <c r="D1220" s="437">
        <f>VLOOKUP(A1220,'Thống kê'!$C$3:$M$682,4,0)</f>
        <v>22000</v>
      </c>
      <c r="E1220" s="438">
        <v>1</v>
      </c>
      <c r="F1220" s="439">
        <f t="shared" si="5"/>
        <v>22000</v>
      </c>
      <c r="G1220" s="442"/>
      <c r="H1220" s="446"/>
    </row>
    <row r="1221" spans="1:8" ht="13.2">
      <c r="A1221" s="454" t="s">
        <v>1624</v>
      </c>
      <c r="B1221" s="452" t="str">
        <f>VLOOKUP(A1221,'Thống kê'!$C$3:$D$669,2,0)</f>
        <v>Móc khóa mèo trái tim</v>
      </c>
      <c r="C1221" s="436" t="str">
        <f>VLOOKUP(A1221,'Thống kê'!$C$3:$E$682,3,0)</f>
        <v>cái</v>
      </c>
      <c r="D1221" s="437">
        <f>VLOOKUP(A1221,'Thống kê'!$C$3:$M$682,4,0)</f>
        <v>59000</v>
      </c>
      <c r="E1221" s="438">
        <v>1</v>
      </c>
      <c r="F1221" s="439">
        <f t="shared" si="5"/>
        <v>59000</v>
      </c>
      <c r="G1221" s="442"/>
      <c r="H1221" s="448">
        <v>46568</v>
      </c>
    </row>
    <row r="1222" spans="1:8" ht="13.2">
      <c r="A1222" s="454" t="s">
        <v>1625</v>
      </c>
      <c r="B1222" s="452" t="str">
        <f>VLOOKUP(A1222,'Thống kê'!$C$3:$D$669,2,0)</f>
        <v>Móc khóa đôi 2 mèo trắng nâu</v>
      </c>
      <c r="C1222" s="436" t="str">
        <f>VLOOKUP(A1222,'Thống kê'!$C$3:$E$682,3,0)</f>
        <v>cái</v>
      </c>
      <c r="D1222" s="437">
        <f>VLOOKUP(A1222,'Thống kê'!$C$3:$M$682,4,0)</f>
        <v>59000</v>
      </c>
      <c r="E1222" s="438">
        <v>1</v>
      </c>
      <c r="F1222" s="439">
        <f t="shared" si="5"/>
        <v>59000</v>
      </c>
      <c r="G1222" s="442"/>
      <c r="H1222" s="448">
        <v>46588</v>
      </c>
    </row>
    <row r="1223" spans="1:8" ht="13.2">
      <c r="A1223" s="454" t="s">
        <v>150</v>
      </c>
      <c r="B1223" s="452" t="str">
        <f>VLOOKUP(A1223,'Thống kê'!$C$3:$D$669,2,0)</f>
        <v>Móc khóa có chuông</v>
      </c>
      <c r="C1223" s="436" t="str">
        <f>VLOOKUP(A1223,'Thống kê'!$C$3:$E$682,3,0)</f>
        <v>cái</v>
      </c>
      <c r="D1223" s="437">
        <f>VLOOKUP(A1223,'Thống kê'!$C$3:$M$682,4,0)</f>
        <v>59000</v>
      </c>
      <c r="E1223" s="438">
        <v>1</v>
      </c>
      <c r="F1223" s="439">
        <f t="shared" si="5"/>
        <v>59000</v>
      </c>
      <c r="G1223" s="442"/>
      <c r="H1223" s="448">
        <v>46388</v>
      </c>
    </row>
    <row r="1224" spans="1:8" ht="13.2">
      <c r="A1224" s="454" t="s">
        <v>1616</v>
      </c>
      <c r="B1224" s="452" t="str">
        <f>VLOOKUP(A1224,'Thống kê'!$C$3:$D$669,2,0)</f>
        <v>Kẹp tóc bướm hồng phấn</v>
      </c>
      <c r="C1224" s="436" t="str">
        <f>VLOOKUP(A1224,'Thống kê'!$C$3:$E$682,3,0)</f>
        <v>cái</v>
      </c>
      <c r="D1224" s="437">
        <f>VLOOKUP(A1224,'Thống kê'!$C$3:$M$682,4,0)</f>
        <v>40000</v>
      </c>
      <c r="E1224" s="438">
        <v>1</v>
      </c>
      <c r="F1224" s="439">
        <f t="shared" si="5"/>
        <v>40000</v>
      </c>
      <c r="G1224" s="442"/>
      <c r="H1224" s="448">
        <v>32044</v>
      </c>
    </row>
    <row r="1225" spans="1:8" ht="13.2">
      <c r="A1225" s="454" t="s">
        <v>1624</v>
      </c>
      <c r="B1225" s="452" t="str">
        <f>VLOOKUP(A1225,'Thống kê'!$C$3:$D$669,2,0)</f>
        <v>Móc khóa mèo trái tim</v>
      </c>
      <c r="C1225" s="436" t="str">
        <f>VLOOKUP(A1225,'Thống kê'!$C$3:$E$682,3,0)</f>
        <v>cái</v>
      </c>
      <c r="D1225" s="437">
        <f>VLOOKUP(A1225,'Thống kê'!$C$3:$M$682,4,0)</f>
        <v>59000</v>
      </c>
      <c r="E1225" s="438">
        <v>1</v>
      </c>
      <c r="F1225" s="439">
        <f t="shared" si="5"/>
        <v>59000</v>
      </c>
      <c r="G1225" s="442"/>
      <c r="H1225" s="448">
        <v>46488</v>
      </c>
    </row>
    <row r="1226" spans="1:8" ht="13.2">
      <c r="A1226" s="454" t="s">
        <v>1626</v>
      </c>
      <c r="B1226" s="452" t="str">
        <f>VLOOKUP(A1226,'Thống kê'!$C$3:$D$669,2,0)</f>
        <v>Móc khóa capybara</v>
      </c>
      <c r="C1226" s="436" t="str">
        <f>VLOOKUP(A1226,'Thống kê'!$C$3:$E$682,3,0)</f>
        <v>cái</v>
      </c>
      <c r="D1226" s="437">
        <f>VLOOKUP(A1226,'Thống kê'!$C$3:$M$682,4,0)</f>
        <v>58800</v>
      </c>
      <c r="E1226" s="438">
        <v>1</v>
      </c>
      <c r="F1226" s="439">
        <f t="shared" si="5"/>
        <v>58800</v>
      </c>
      <c r="G1226" s="442"/>
      <c r="H1226" s="448">
        <v>46229</v>
      </c>
    </row>
    <row r="1227" spans="1:8" ht="13.2">
      <c r="A1227" s="454" t="s">
        <v>1594</v>
      </c>
      <c r="B1227" s="452" t="str">
        <f>VLOOKUP(A1227,'Thống kê'!$C$3:$D$669,2,0)</f>
        <v>Móc khóa đôi heo</v>
      </c>
      <c r="C1227" s="436" t="str">
        <f>VLOOKUP(A1227,'Thống kê'!$C$3:$E$682,3,0)</f>
        <v>cái</v>
      </c>
      <c r="D1227" s="437">
        <f>VLOOKUP(A1227,'Thống kê'!$C$3:$M$682,4,0)</f>
        <v>56580</v>
      </c>
      <c r="E1227" s="438">
        <v>1</v>
      </c>
      <c r="F1227" s="439">
        <f t="shared" si="5"/>
        <v>56580</v>
      </c>
      <c r="G1227" s="442"/>
      <c r="H1227" s="448">
        <v>44091</v>
      </c>
    </row>
    <row r="1228" spans="1:8" ht="13.2">
      <c r="A1228" s="454" t="s">
        <v>1586</v>
      </c>
      <c r="B1228" s="452" t="str">
        <f>VLOOKUP(A1228,'Thống kê'!$C$3:$D$669,2,0)</f>
        <v>Thỏ ú hoa</v>
      </c>
      <c r="C1228" s="436" t="str">
        <f>VLOOKUP(A1228,'Thống kê'!$C$3:$E$682,3,0)</f>
        <v>cái</v>
      </c>
      <c r="D1228" s="437">
        <f>VLOOKUP(A1228,'Thống kê'!$C$3:$M$682,4,0)</f>
        <v>64500</v>
      </c>
      <c r="E1228" s="438">
        <v>1</v>
      </c>
      <c r="F1228" s="439">
        <f t="shared" si="5"/>
        <v>64500</v>
      </c>
      <c r="G1228" s="442"/>
      <c r="H1228" s="447">
        <v>134271</v>
      </c>
    </row>
    <row r="1229" spans="1:8" ht="13.2">
      <c r="A1229" s="454" t="s">
        <v>119</v>
      </c>
      <c r="B1229" s="452" t="str">
        <f>VLOOKUP(A1229,'Thống kê'!$C$3:$D$669,2,0)</f>
        <v>Thỏ chạy xe gắn xe</v>
      </c>
      <c r="C1229" s="436" t="str">
        <f>VLOOKUP(A1229,'Thống kê'!$C$3:$E$682,3,0)</f>
        <v>cái</v>
      </c>
      <c r="D1229" s="437">
        <f>VLOOKUP(A1229,'Thống kê'!$C$3:$M$682,4,0)</f>
        <v>45000</v>
      </c>
      <c r="E1229" s="438">
        <v>1</v>
      </c>
      <c r="F1229" s="439">
        <f t="shared" si="5"/>
        <v>45000</v>
      </c>
      <c r="G1229" s="442"/>
      <c r="H1229" s="446"/>
    </row>
    <row r="1230" spans="1:8" ht="13.2">
      <c r="A1230" s="454" t="s">
        <v>1594</v>
      </c>
      <c r="B1230" s="452" t="str">
        <f>VLOOKUP(A1230,'Thống kê'!$C$3:$D$669,2,0)</f>
        <v>Móc khóa đôi heo</v>
      </c>
      <c r="C1230" s="436" t="str">
        <f>VLOOKUP(A1230,'Thống kê'!$C$3:$E$682,3,0)</f>
        <v>cái</v>
      </c>
      <c r="D1230" s="437">
        <f>VLOOKUP(A1230,'Thống kê'!$C$3:$M$682,4,0)</f>
        <v>56580</v>
      </c>
      <c r="E1230" s="438">
        <v>1</v>
      </c>
      <c r="F1230" s="439">
        <f t="shared" si="5"/>
        <v>56580</v>
      </c>
      <c r="G1230" s="442"/>
      <c r="H1230" s="446"/>
    </row>
    <row r="1231" spans="1:8" ht="13.2">
      <c r="A1231" s="454" t="s">
        <v>1969</v>
      </c>
      <c r="B1231" s="452" t="str">
        <f>VLOOKUP(A1231,'Thống kê'!$C$3:$D$669,2,0)</f>
        <v>Kẹp tóc kem</v>
      </c>
      <c r="C1231" s="436" t="str">
        <f>VLOOKUP(A1231,'Thống kê'!$C$3:$E$682,3,0)</f>
        <v>cái</v>
      </c>
      <c r="D1231" s="437">
        <f>VLOOKUP(A1231,'Thống kê'!$C$3:$M$682,4,0)</f>
        <v>14000</v>
      </c>
      <c r="E1231" s="438">
        <v>1</v>
      </c>
      <c r="F1231" s="439">
        <f t="shared" si="5"/>
        <v>14000</v>
      </c>
      <c r="G1231" s="442"/>
      <c r="H1231" s="447">
        <v>51141</v>
      </c>
    </row>
    <row r="1232" spans="1:8" ht="13.2">
      <c r="A1232" s="454" t="s">
        <v>1928</v>
      </c>
      <c r="B1232" s="452" t="str">
        <f>VLOOKUP(A1232,'Thống kê'!$C$3:$D$669,2,0)</f>
        <v>Kẹp tóc xám trong</v>
      </c>
      <c r="C1232" s="436" t="str">
        <f>VLOOKUP(A1232,'Thống kê'!$C$3:$E$682,3,0)</f>
        <v>cái</v>
      </c>
      <c r="D1232" s="437">
        <f>VLOOKUP(A1232,'Thống kê'!$C$3:$M$682,4,0)</f>
        <v>14000</v>
      </c>
      <c r="E1232" s="438">
        <v>1</v>
      </c>
      <c r="F1232" s="439">
        <f t="shared" si="5"/>
        <v>14000</v>
      </c>
      <c r="G1232" s="442"/>
      <c r="H1232" s="446"/>
    </row>
    <row r="1233" spans="1:8" ht="13.2">
      <c r="A1233" s="454" t="s">
        <v>1615</v>
      </c>
      <c r="B1233" s="452" t="str">
        <f>VLOOKUP(A1233,'Thống kê'!$C$3:$D$669,2,0)</f>
        <v>Kẹp tóc bướm tím</v>
      </c>
      <c r="C1233" s="436" t="str">
        <f>VLOOKUP(A1233,'Thống kê'!$C$3:$E$682,3,0)</f>
        <v>cái</v>
      </c>
      <c r="D1233" s="437">
        <f>VLOOKUP(A1233,'Thống kê'!$C$3:$M$682,4,0)</f>
        <v>40000</v>
      </c>
      <c r="E1233" s="438">
        <v>1</v>
      </c>
      <c r="F1233" s="439">
        <f t="shared" si="5"/>
        <v>40000</v>
      </c>
      <c r="G1233" s="442"/>
      <c r="H1233" s="446"/>
    </row>
    <row r="1234" spans="1:8" ht="13.2">
      <c r="A1234" s="454" t="s">
        <v>1616</v>
      </c>
      <c r="B1234" s="452" t="str">
        <f>VLOOKUP(A1234,'Thống kê'!$C$3:$D$669,2,0)</f>
        <v>Kẹp tóc bướm hồng phấn</v>
      </c>
      <c r="C1234" s="436" t="str">
        <f>VLOOKUP(A1234,'Thống kê'!$C$3:$E$682,3,0)</f>
        <v>cái</v>
      </c>
      <c r="D1234" s="437">
        <f>VLOOKUP(A1234,'Thống kê'!$C$3:$M$682,4,0)</f>
        <v>40000</v>
      </c>
      <c r="E1234" s="438">
        <v>1</v>
      </c>
      <c r="F1234" s="439">
        <f t="shared" si="5"/>
        <v>40000</v>
      </c>
      <c r="G1234" s="442"/>
      <c r="H1234" s="448">
        <v>32384</v>
      </c>
    </row>
    <row r="1235" spans="1:8" ht="13.2">
      <c r="A1235" s="454" t="s">
        <v>119</v>
      </c>
      <c r="B1235" s="452" t="str">
        <f>VLOOKUP(A1235,'Thống kê'!$C$3:$D$669,2,0)</f>
        <v>Thỏ chạy xe gắn xe</v>
      </c>
      <c r="C1235" s="436" t="str">
        <f>VLOOKUP(A1235,'Thống kê'!$C$3:$E$682,3,0)</f>
        <v>cái</v>
      </c>
      <c r="D1235" s="437">
        <f>VLOOKUP(A1235,'Thống kê'!$C$3:$M$682,4,0)</f>
        <v>45000</v>
      </c>
      <c r="E1235" s="438">
        <v>1</v>
      </c>
      <c r="F1235" s="439">
        <f t="shared" si="5"/>
        <v>45000</v>
      </c>
      <c r="G1235" s="442"/>
      <c r="H1235" s="447">
        <v>65556</v>
      </c>
    </row>
    <row r="1236" spans="1:8" ht="13.2">
      <c r="A1236" s="454" t="s">
        <v>232</v>
      </c>
      <c r="B1236" s="452" t="str">
        <f>VLOOKUP(A1236,'Thống kê'!$C$3:$D$669,2,0)</f>
        <v>Cáo gắn xe</v>
      </c>
      <c r="C1236" s="436" t="str">
        <f>VLOOKUP(A1236,'Thống kê'!$C$3:$E$682,3,0)</f>
        <v>cái</v>
      </c>
      <c r="D1236" s="437">
        <f>VLOOKUP(A1236,'Thống kê'!$C$3:$M$682,4,0)</f>
        <v>45000</v>
      </c>
      <c r="E1236" s="438">
        <v>1</v>
      </c>
      <c r="F1236" s="439">
        <f t="shared" si="5"/>
        <v>45000</v>
      </c>
      <c r="G1236" s="442"/>
      <c r="H1236" s="446"/>
    </row>
    <row r="1237" spans="1:8" ht="13.2">
      <c r="A1237" s="454" t="s">
        <v>1970</v>
      </c>
      <c r="B1237" s="452" t="str">
        <f>VLOOKUP(A1237,'Thống kê'!$C$3:$D$669,2,0)</f>
        <v>Cài áo kính vàng</v>
      </c>
      <c r="C1237" s="436" t="str">
        <f>VLOOKUP(A1237,'Thống kê'!$C$3:$E$682,3,0)</f>
        <v>cái</v>
      </c>
      <c r="D1237" s="437">
        <f>VLOOKUP(A1237,'Thống kê'!$C$3:$M$682,4,0)</f>
        <v>12500</v>
      </c>
      <c r="E1237" s="438">
        <v>1</v>
      </c>
      <c r="F1237" s="439">
        <f t="shared" si="5"/>
        <v>12500</v>
      </c>
      <c r="G1237" s="442"/>
      <c r="H1237" s="447">
        <v>159705</v>
      </c>
    </row>
    <row r="1238" spans="1:8" ht="13.2">
      <c r="A1238" s="454" t="s">
        <v>1770</v>
      </c>
      <c r="B1238" s="452" t="str">
        <f>VLOOKUP(A1238,'Thống kê'!$C$3:$D$669,2,0)</f>
        <v>Cài áo trái tim bạc</v>
      </c>
      <c r="C1238" s="436" t="str">
        <f>VLOOKUP(A1238,'Thống kê'!$C$3:$E$682,3,0)</f>
        <v>cái</v>
      </c>
      <c r="D1238" s="437">
        <f>VLOOKUP(A1238,'Thống kê'!$C$3:$M$682,4,0)</f>
        <v>22900</v>
      </c>
      <c r="E1238" s="438">
        <v>1</v>
      </c>
      <c r="F1238" s="439">
        <f t="shared" si="5"/>
        <v>22900</v>
      </c>
      <c r="G1238" s="442"/>
      <c r="H1238" s="446"/>
    </row>
    <row r="1239" spans="1:8" ht="13.2">
      <c r="A1239" s="454" t="s">
        <v>119</v>
      </c>
      <c r="B1239" s="452" t="str">
        <f>VLOOKUP(A1239,'Thống kê'!$C$3:$D$669,2,0)</f>
        <v>Thỏ chạy xe gắn xe</v>
      </c>
      <c r="C1239" s="436" t="str">
        <f>VLOOKUP(A1239,'Thống kê'!$C$3:$E$682,3,0)</f>
        <v>cái</v>
      </c>
      <c r="D1239" s="437">
        <f>VLOOKUP(A1239,'Thống kê'!$C$3:$M$682,4,0)</f>
        <v>45000</v>
      </c>
      <c r="E1239" s="438">
        <v>1</v>
      </c>
      <c r="F1239" s="439">
        <f t="shared" si="5"/>
        <v>45000</v>
      </c>
      <c r="G1239" s="442"/>
      <c r="H1239" s="446"/>
    </row>
    <row r="1240" spans="1:8" ht="13.2">
      <c r="A1240" s="454" t="s">
        <v>925</v>
      </c>
      <c r="B1240" s="452" t="str">
        <f>VLOOKUP(A1240,'Thống kê'!$C$3:$D$669,2,0)</f>
        <v>Kẹp khuếch tán tinh dầu vịt nâu</v>
      </c>
      <c r="C1240" s="436" t="str">
        <f>VLOOKUP(A1240,'Thống kê'!$C$3:$E$682,3,0)</f>
        <v>cái</v>
      </c>
      <c r="D1240" s="437">
        <f>VLOOKUP(A1240,'Thống kê'!$C$3:$M$682,4,0)</f>
        <v>142400</v>
      </c>
      <c r="E1240" s="438">
        <v>1</v>
      </c>
      <c r="F1240" s="439">
        <f t="shared" si="5"/>
        <v>142400</v>
      </c>
      <c r="G1240" s="442"/>
      <c r="H1240" s="446"/>
    </row>
    <row r="1241" spans="1:8" ht="13.2">
      <c r="A1241" s="454" t="s">
        <v>941</v>
      </c>
      <c r="B1241" s="452" t="str">
        <f>VLOOKUP(A1241,'Thống kê'!$C$3:$D$669,2,0)</f>
        <v>Viên khuếch tán tinh dầu 01 ( lemon )</v>
      </c>
      <c r="C1241" s="436" t="str">
        <f>VLOOKUP(A1241,'Thống kê'!$C$3:$E$682,3,0)</f>
        <v>cái</v>
      </c>
      <c r="D1241" s="437">
        <f>VLOOKUP(A1241,'Thống kê'!$C$3:$M$682,4,0)</f>
        <v>8000</v>
      </c>
      <c r="E1241" s="438">
        <v>1</v>
      </c>
      <c r="F1241" s="439">
        <f t="shared" si="5"/>
        <v>8000</v>
      </c>
      <c r="G1241" s="442"/>
      <c r="H1241" s="446"/>
    </row>
    <row r="1242" spans="1:8" ht="13.2">
      <c r="A1242" s="454" t="s">
        <v>1932</v>
      </c>
      <c r="B1242" s="452" t="str">
        <f>VLOOKUP(A1242,'Thống kê'!$C$3:$D$669,2,0)</f>
        <v>Móc khóa capybara 10 - mũ gà</v>
      </c>
      <c r="C1242" s="436" t="str">
        <f>VLOOKUP(A1242,'Thống kê'!$C$3:$E$682,3,0)</f>
        <v>cái</v>
      </c>
      <c r="D1242" s="437">
        <f>VLOOKUP(A1242,'Thống kê'!$C$3:$M$682,4,0)</f>
        <v>58800</v>
      </c>
      <c r="E1242" s="438">
        <v>1</v>
      </c>
      <c r="F1242" s="439">
        <f t="shared" si="5"/>
        <v>58800</v>
      </c>
      <c r="G1242" s="442"/>
      <c r="H1242" s="447">
        <v>76605</v>
      </c>
    </row>
    <row r="1243" spans="1:8" ht="13.2">
      <c r="A1243" s="454" t="s">
        <v>1971</v>
      </c>
      <c r="B1243" s="452" t="str">
        <f>VLOOKUP(A1243,'Thống kê'!$C$3:$D$669,2,0)</f>
        <v>Móc khóa capybara 13 - tóc nâu</v>
      </c>
      <c r="C1243" s="436" t="str">
        <f>VLOOKUP(A1243,'Thống kê'!$C$3:$E$682,3,0)</f>
        <v>cái</v>
      </c>
      <c r="D1243" s="437">
        <f>VLOOKUP(A1243,'Thống kê'!$C$3:$M$682,4,0)</f>
        <v>38000</v>
      </c>
      <c r="E1243" s="438">
        <v>1</v>
      </c>
      <c r="F1243" s="439">
        <f t="shared" si="5"/>
        <v>38000</v>
      </c>
      <c r="G1243" s="442"/>
      <c r="H1243" s="446"/>
    </row>
    <row r="1244" spans="1:8" ht="13.2">
      <c r="A1244" s="454" t="s">
        <v>227</v>
      </c>
      <c r="B1244" s="452" t="str">
        <f>VLOOKUP(A1244,'Thống kê'!$C$3:$D$669,2,0)</f>
        <v>Móc khóa đôi corgy</v>
      </c>
      <c r="C1244" s="436" t="str">
        <f>VLOOKUP(A1244,'Thống kê'!$C$3:$E$682,3,0)</f>
        <v>cái</v>
      </c>
      <c r="D1244" s="437">
        <f>VLOOKUP(A1244,'Thống kê'!$C$3:$M$682,4,0)</f>
        <v>56580</v>
      </c>
      <c r="E1244" s="438">
        <v>1</v>
      </c>
      <c r="F1244" s="439">
        <f t="shared" si="5"/>
        <v>56580</v>
      </c>
      <c r="G1244" s="442"/>
      <c r="H1244" s="448">
        <v>44811</v>
      </c>
    </row>
    <row r="1245" spans="1:8" ht="13.2">
      <c r="A1245" s="454" t="s">
        <v>231</v>
      </c>
      <c r="B1245" s="452" t="str">
        <f>VLOOKUP(A1245,'Thống kê'!$C$3:$D$669,2,0)</f>
        <v>Móc khóa đôi gấu trúc</v>
      </c>
      <c r="C1245" s="436" t="str">
        <f>VLOOKUP(A1245,'Thống kê'!$C$3:$E$682,3,0)</f>
        <v>cái</v>
      </c>
      <c r="D1245" s="437">
        <f>VLOOKUP(A1245,'Thống kê'!$C$3:$M$682,4,0)</f>
        <v>56580</v>
      </c>
      <c r="E1245" s="438">
        <v>1</v>
      </c>
      <c r="F1245" s="439">
        <f t="shared" si="5"/>
        <v>56580</v>
      </c>
      <c r="G1245" s="442"/>
      <c r="H1245" s="448">
        <v>44671</v>
      </c>
    </row>
    <row r="1246" spans="1:8" ht="13.2">
      <c r="A1246" s="454" t="s">
        <v>925</v>
      </c>
      <c r="B1246" s="452" t="str">
        <f>VLOOKUP(A1246,'Thống kê'!$C$3:$D$669,2,0)</f>
        <v>Kẹp khuếch tán tinh dầu vịt nâu</v>
      </c>
      <c r="C1246" s="436" t="str">
        <f>VLOOKUP(A1246,'Thống kê'!$C$3:$E$682,3,0)</f>
        <v>cái</v>
      </c>
      <c r="D1246" s="437">
        <f>VLOOKUP(A1246,'Thống kê'!$C$3:$M$682,4,0)</f>
        <v>142400</v>
      </c>
      <c r="E1246" s="438">
        <v>1</v>
      </c>
      <c r="F1246" s="439">
        <f t="shared" si="5"/>
        <v>142400</v>
      </c>
      <c r="G1246" s="442"/>
      <c r="H1246" s="447">
        <v>95920</v>
      </c>
    </row>
    <row r="1247" spans="1:8" ht="13.2">
      <c r="A1247" s="454" t="s">
        <v>947</v>
      </c>
      <c r="B1247" s="452" t="str">
        <f>VLOOKUP(A1247,'Thống kê'!$C$3:$D$669,2,0)</f>
        <v>Viên khuếch tán tinh dầu 04 ( sea salt )</v>
      </c>
      <c r="C1247" s="436" t="str">
        <f>VLOOKUP(A1247,'Thống kê'!$C$3:$E$682,3,0)</f>
        <v>cái</v>
      </c>
      <c r="D1247" s="437">
        <f>VLOOKUP(A1247,'Thống kê'!$C$3:$M$682,4,0)</f>
        <v>8000</v>
      </c>
      <c r="E1247" s="438">
        <v>1</v>
      </c>
      <c r="F1247" s="439">
        <f t="shared" si="5"/>
        <v>8000</v>
      </c>
      <c r="G1247" s="442"/>
      <c r="H1247" s="446"/>
    </row>
    <row r="1248" spans="1:8" ht="13.2">
      <c r="A1248" s="454" t="s">
        <v>143</v>
      </c>
      <c r="B1248" s="452" t="str">
        <f>VLOOKUP(A1248,'Thống kê'!$C$3:$D$669,2,0)</f>
        <v>Mèo ú</v>
      </c>
      <c r="C1248" s="436" t="str">
        <f>VLOOKUP(A1248,'Thống kê'!$C$3:$E$682,3,0)</f>
        <v>cái</v>
      </c>
      <c r="D1248" s="437">
        <f>VLOOKUP(A1248,'Thống kê'!$C$3:$M$682,4,0)</f>
        <v>59500</v>
      </c>
      <c r="E1248" s="438">
        <v>1</v>
      </c>
      <c r="F1248" s="439">
        <f t="shared" si="5"/>
        <v>59500</v>
      </c>
      <c r="G1248" s="442"/>
      <c r="H1248" s="448">
        <v>47851</v>
      </c>
    </row>
    <row r="1249" spans="1:8" ht="13.2">
      <c r="A1249" s="454" t="s">
        <v>119</v>
      </c>
      <c r="B1249" s="452" t="str">
        <f>VLOOKUP(A1249,'Thống kê'!$C$3:$D$669,2,0)</f>
        <v>Thỏ chạy xe gắn xe</v>
      </c>
      <c r="C1249" s="436" t="str">
        <f>VLOOKUP(A1249,'Thống kê'!$C$3:$E$682,3,0)</f>
        <v>cái</v>
      </c>
      <c r="D1249" s="437">
        <f>VLOOKUP(A1249,'Thống kê'!$C$3:$M$682,4,0)</f>
        <v>45000</v>
      </c>
      <c r="E1249" s="438">
        <v>1</v>
      </c>
      <c r="F1249" s="439">
        <f t="shared" si="5"/>
        <v>45000</v>
      </c>
      <c r="G1249" s="442"/>
      <c r="H1249" s="448">
        <v>35860</v>
      </c>
    </row>
    <row r="1250" spans="1:8" ht="13.2">
      <c r="A1250" s="454" t="s">
        <v>1947</v>
      </c>
      <c r="B1250" s="452" t="str">
        <f>VLOOKUP(A1250,'Thống kê'!$C$3:$D$669,2,0)</f>
        <v>Kẹp nơ trắng</v>
      </c>
      <c r="C1250" s="436" t="str">
        <f>VLOOKUP(A1250,'Thống kê'!$C$3:$E$682,3,0)</f>
        <v>cái</v>
      </c>
      <c r="D1250" s="437">
        <f>VLOOKUP(A1250,'Thống kê'!$C$3:$M$682,4,0)</f>
        <v>22000</v>
      </c>
      <c r="E1250" s="438">
        <v>1</v>
      </c>
      <c r="F1250" s="439">
        <f t="shared" si="5"/>
        <v>22000</v>
      </c>
      <c r="G1250" s="442"/>
      <c r="H1250" s="447">
        <v>46409</v>
      </c>
    </row>
    <row r="1251" spans="1:8" ht="13.8">
      <c r="A1251" s="460" t="s">
        <v>1616</v>
      </c>
      <c r="B1251" s="452" t="str">
        <f>VLOOKUP(A1251,'Thống kê'!$C$3:$D$669,2,0)</f>
        <v>Kẹp tóc bướm hồng phấn</v>
      </c>
      <c r="C1251" s="436" t="str">
        <f>VLOOKUP(A1251,'Thống kê'!$C$3:$E$682,3,0)</f>
        <v>cái</v>
      </c>
      <c r="D1251" s="437">
        <f>VLOOKUP(A1251,'Thống kê'!$C$3:$M$682,4,0)</f>
        <v>40000</v>
      </c>
      <c r="E1251" s="438">
        <v>1</v>
      </c>
      <c r="F1251" s="439">
        <f t="shared" si="5"/>
        <v>40000</v>
      </c>
      <c r="G1251" s="442"/>
      <c r="H1251" s="446"/>
    </row>
    <row r="1252" spans="1:8" ht="13.2">
      <c r="A1252" s="454" t="s">
        <v>115</v>
      </c>
      <c r="B1252" s="452" t="str">
        <f>VLOOKUP(A1252,'Thống kê'!$C$3:$D$669,2,0)</f>
        <v>Heo ú</v>
      </c>
      <c r="C1252" s="436" t="str">
        <f>VLOOKUP(A1252,'Thống kê'!$C$3:$E$682,3,0)</f>
        <v>cái</v>
      </c>
      <c r="D1252" s="437">
        <f>VLOOKUP(A1252,'Thống kê'!$C$3:$M$682,4,0)</f>
        <v>59500</v>
      </c>
      <c r="E1252" s="438">
        <v>1</v>
      </c>
      <c r="F1252" s="439">
        <f t="shared" si="5"/>
        <v>59500</v>
      </c>
      <c r="G1252" s="442"/>
      <c r="H1252" s="448">
        <v>48111</v>
      </c>
    </row>
    <row r="1253" spans="1:8" ht="13.2">
      <c r="A1253" s="454" t="s">
        <v>1591</v>
      </c>
      <c r="B1253" s="452" t="str">
        <f>VLOOKUP(A1253,'Thống kê'!$C$3:$D$669,2,0)</f>
        <v>Thỏ ú</v>
      </c>
      <c r="C1253" s="436" t="str">
        <f>VLOOKUP(A1253,'Thống kê'!$C$3:$E$682,3,0)</f>
        <v>cái</v>
      </c>
      <c r="D1253" s="437">
        <f>VLOOKUP(A1253,'Thống kê'!$C$3:$M$682,4,0)</f>
        <v>59500</v>
      </c>
      <c r="E1253" s="438">
        <v>1</v>
      </c>
      <c r="F1253" s="439">
        <f t="shared" si="5"/>
        <v>59500</v>
      </c>
      <c r="G1253" s="442"/>
      <c r="H1253" s="448">
        <v>48111</v>
      </c>
    </row>
    <row r="1254" spans="1:8" ht="13.2">
      <c r="A1254" s="454" t="s">
        <v>1632</v>
      </c>
      <c r="B1254" s="452" t="str">
        <f>VLOOKUP(A1254,'Thống kê'!$C$3:$D$669,2,0)</f>
        <v>Móc khóa đôi mèo trắng</v>
      </c>
      <c r="C1254" s="436" t="str">
        <f>VLOOKUP(A1254,'Thống kê'!$C$3:$E$682,3,0)</f>
        <v>cái</v>
      </c>
      <c r="D1254" s="437">
        <f>VLOOKUP(A1254,'Thống kê'!$C$3:$M$682,4,0)</f>
        <v>59000</v>
      </c>
      <c r="E1254" s="438">
        <v>1</v>
      </c>
      <c r="F1254" s="439">
        <f t="shared" si="5"/>
        <v>59000</v>
      </c>
      <c r="G1254" s="442"/>
      <c r="H1254" s="448">
        <v>46268</v>
      </c>
    </row>
    <row r="1255" spans="1:8" ht="13.2">
      <c r="A1255" s="454" t="s">
        <v>119</v>
      </c>
      <c r="B1255" s="452" t="str">
        <f>VLOOKUP(A1255,'Thống kê'!$C$3:$D$669,2,0)</f>
        <v>Thỏ chạy xe gắn xe</v>
      </c>
      <c r="C1255" s="436" t="str">
        <f>VLOOKUP(A1255,'Thống kê'!$C$3:$E$682,3,0)</f>
        <v>cái</v>
      </c>
      <c r="D1255" s="437">
        <f>VLOOKUP(A1255,'Thống kê'!$C$3:$M$682,4,0)</f>
        <v>45000</v>
      </c>
      <c r="E1255" s="438">
        <v>2</v>
      </c>
      <c r="F1255" s="439">
        <f t="shared" si="5"/>
        <v>90000</v>
      </c>
      <c r="G1255" s="442"/>
      <c r="H1255" s="448">
        <v>65396</v>
      </c>
    </row>
    <row r="1256" spans="1:8" ht="13.2">
      <c r="A1256" s="454" t="s">
        <v>1594</v>
      </c>
      <c r="B1256" s="452" t="str">
        <f>VLOOKUP(A1256,'Thống kê'!$C$3:$D$669,2,0)</f>
        <v>Móc khóa đôi heo</v>
      </c>
      <c r="C1256" s="436" t="str">
        <f>VLOOKUP(A1256,'Thống kê'!$C$3:$E$682,3,0)</f>
        <v>cái</v>
      </c>
      <c r="D1256" s="437">
        <f>VLOOKUP(A1256,'Thống kê'!$C$3:$M$682,4,0)</f>
        <v>56580</v>
      </c>
      <c r="E1256" s="438">
        <v>1</v>
      </c>
      <c r="F1256" s="439">
        <f t="shared" si="5"/>
        <v>56580</v>
      </c>
      <c r="G1256" s="442"/>
      <c r="H1256" s="448">
        <v>44531</v>
      </c>
    </row>
    <row r="1257" spans="1:8" ht="13.2">
      <c r="A1257" s="454" t="s">
        <v>1616</v>
      </c>
      <c r="B1257" s="452" t="str">
        <f>VLOOKUP(A1257,'Thống kê'!$C$3:$D$669,2,0)</f>
        <v>Kẹp tóc bướm hồng phấn</v>
      </c>
      <c r="C1257" s="436" t="str">
        <f>VLOOKUP(A1257,'Thống kê'!$C$3:$E$682,3,0)</f>
        <v>cái</v>
      </c>
      <c r="D1257" s="437">
        <f>VLOOKUP(A1257,'Thống kê'!$C$3:$M$682,4,0)</f>
        <v>40000</v>
      </c>
      <c r="E1257" s="438">
        <v>1</v>
      </c>
      <c r="F1257" s="439">
        <f t="shared" si="5"/>
        <v>40000</v>
      </c>
      <c r="G1257" s="442"/>
      <c r="H1257" s="448">
        <v>36224</v>
      </c>
    </row>
    <row r="1258" spans="1:8" ht="13.2">
      <c r="A1258" s="454" t="s">
        <v>1966</v>
      </c>
      <c r="B1258" s="452" t="str">
        <f>VLOOKUP(A1258,'Thống kê'!$C$3:$D$669,2,0)</f>
        <v>Túi chườm bụng vịt vàng 500ml</v>
      </c>
      <c r="C1258" s="436" t="str">
        <f>VLOOKUP(A1258,'Thống kê'!$C$3:$E$682,3,0)</f>
        <v>túi</v>
      </c>
      <c r="D1258" s="437">
        <f>VLOOKUP(A1258,'Thống kê'!$C$3:$M$682,4,0)</f>
        <v>72250</v>
      </c>
      <c r="E1258" s="438">
        <v>1</v>
      </c>
      <c r="F1258" s="439">
        <f t="shared" si="5"/>
        <v>72250</v>
      </c>
      <c r="G1258" s="442"/>
      <c r="H1258" s="447">
        <v>140484</v>
      </c>
    </row>
    <row r="1259" spans="1:8" ht="13.2">
      <c r="A1259" s="454" t="s">
        <v>1972</v>
      </c>
      <c r="B1259" s="452" t="str">
        <f>VLOOKUP(A1259,'Thống kê'!$C$3:$D$669,2,0)</f>
        <v>Túi chườm bụng gấu nâu 500ml</v>
      </c>
      <c r="C1259" s="436" t="str">
        <f>VLOOKUP(A1259,'Thống kê'!$C$3:$E$682,3,0)</f>
        <v>túi</v>
      </c>
      <c r="D1259" s="437">
        <f>VLOOKUP(A1259,'Thống kê'!$C$3:$M$682,4,0)</f>
        <v>72250</v>
      </c>
      <c r="E1259" s="438">
        <v>1</v>
      </c>
      <c r="F1259" s="439">
        <f t="shared" si="5"/>
        <v>72250</v>
      </c>
      <c r="G1259" s="442"/>
      <c r="H1259" s="446"/>
    </row>
    <row r="1260" spans="1:8" ht="13.2">
      <c r="A1260" s="454" t="s">
        <v>1953</v>
      </c>
      <c r="B1260" s="452" t="str">
        <f>VLOOKUP(A1260,'Thống kê'!$C$3:$D$669,2,0)</f>
        <v>Móc khóa capybara 1 - hồng áo tennis</v>
      </c>
      <c r="C1260" s="436" t="str">
        <f>VLOOKUP(A1260,'Thống kê'!$C$3:$E$682,3,0)</f>
        <v>cái</v>
      </c>
      <c r="D1260" s="437">
        <f>VLOOKUP(A1260,'Thống kê'!$C$3:$M$682,4,0)</f>
        <v>58800</v>
      </c>
      <c r="E1260" s="438">
        <v>1</v>
      </c>
      <c r="F1260" s="439">
        <f t="shared" si="5"/>
        <v>58800</v>
      </c>
      <c r="G1260" s="442"/>
      <c r="H1260" s="447">
        <v>94688</v>
      </c>
    </row>
    <row r="1261" spans="1:8" ht="13.2">
      <c r="A1261" s="454" t="s">
        <v>1973</v>
      </c>
      <c r="B1261" s="452" t="str">
        <f>VLOOKUP(A1261,'Thống kê'!$C$3:$D$669,2,0)</f>
        <v>Móc khóa capybara 4 - áo tennis</v>
      </c>
      <c r="C1261" s="436" t="str">
        <f>VLOOKUP(A1261,'Thống kê'!$C$3:$E$682,3,0)</f>
        <v>cái</v>
      </c>
      <c r="D1261" s="437">
        <f>VLOOKUP(A1261,'Thống kê'!$C$3:$M$682,4,0)</f>
        <v>58800</v>
      </c>
      <c r="E1261" s="438">
        <v>1</v>
      </c>
      <c r="F1261" s="439">
        <f t="shared" si="5"/>
        <v>58800</v>
      </c>
      <c r="G1261" s="442"/>
      <c r="H1261" s="446"/>
    </row>
    <row r="1262" spans="1:8" ht="13.2">
      <c r="A1262" s="454" t="s">
        <v>150</v>
      </c>
      <c r="B1262" s="452" t="str">
        <f>VLOOKUP(A1262,'Thống kê'!$C$3:$D$669,2,0)</f>
        <v>Móc khóa có chuông</v>
      </c>
      <c r="C1262" s="436" t="str">
        <f>VLOOKUP(A1262,'Thống kê'!$C$3:$E$682,3,0)</f>
        <v>cái</v>
      </c>
      <c r="D1262" s="437">
        <f>VLOOKUP(A1262,'Thống kê'!$C$3:$M$682,4,0)</f>
        <v>59000</v>
      </c>
      <c r="E1262" s="438">
        <v>1</v>
      </c>
      <c r="F1262" s="439">
        <f t="shared" si="5"/>
        <v>59000</v>
      </c>
      <c r="G1262" s="442"/>
      <c r="H1262" s="448">
        <v>46668</v>
      </c>
    </row>
    <row r="1263" spans="1:8" ht="13.2">
      <c r="A1263" s="454" t="s">
        <v>1621</v>
      </c>
      <c r="B1263" s="452" t="str">
        <f>VLOOKUP(A1263,'Thống kê'!$C$3:$D$669,2,0)</f>
        <v>Mô hình mèo 2</v>
      </c>
      <c r="C1263" s="436" t="str">
        <f>VLOOKUP(A1263,'Thống kê'!$C$3:$E$682,3,0)</f>
        <v>cái</v>
      </c>
      <c r="D1263" s="437">
        <f>VLOOKUP(A1263,'Thống kê'!$C$3:$M$682,4,0)</f>
        <v>37800</v>
      </c>
      <c r="E1263" s="438">
        <v>1</v>
      </c>
      <c r="F1263" s="439">
        <f t="shared" si="5"/>
        <v>37800</v>
      </c>
      <c r="G1263" s="442"/>
      <c r="H1263" s="447">
        <v>61066</v>
      </c>
    </row>
    <row r="1264" spans="1:8" ht="13.2">
      <c r="A1264" s="454" t="s">
        <v>1623</v>
      </c>
      <c r="B1264" s="452" t="str">
        <f>VLOOKUP(A1264,'Thống kê'!$C$3:$D$669,2,0)</f>
        <v>Mô hình mèo 5</v>
      </c>
      <c r="C1264" s="436" t="str">
        <f>VLOOKUP(A1264,'Thống kê'!$C$3:$E$682,3,0)</f>
        <v>cái</v>
      </c>
      <c r="D1264" s="437">
        <f>VLOOKUP(A1264,'Thống kê'!$C$3:$M$682,4,0)</f>
        <v>37800</v>
      </c>
      <c r="E1264" s="438">
        <v>1</v>
      </c>
      <c r="F1264" s="439">
        <f t="shared" si="5"/>
        <v>37800</v>
      </c>
      <c r="G1264" s="442"/>
      <c r="H1264" s="446"/>
    </row>
    <row r="1265" spans="1:8" ht="13.2">
      <c r="A1265" s="454" t="s">
        <v>1588</v>
      </c>
      <c r="B1265" s="452" t="str">
        <f>VLOOKUP(A1265,'Thống kê'!$C$3:$D$669,2,0)</f>
        <v>Heo ú hoa</v>
      </c>
      <c r="C1265" s="436" t="str">
        <f>VLOOKUP(A1265,'Thống kê'!$C$3:$E$682,3,0)</f>
        <v>cái</v>
      </c>
      <c r="D1265" s="437">
        <f>VLOOKUP(A1265,'Thống kê'!$C$3:$M$682,4,0)</f>
        <v>64500</v>
      </c>
      <c r="E1265" s="438">
        <v>1</v>
      </c>
      <c r="F1265" s="439">
        <f t="shared" si="5"/>
        <v>64500</v>
      </c>
      <c r="G1265" s="442"/>
      <c r="H1265" s="448">
        <v>47448</v>
      </c>
    </row>
    <row r="1266" spans="1:8" ht="13.2">
      <c r="A1266" s="454" t="s">
        <v>1594</v>
      </c>
      <c r="B1266" s="452" t="str">
        <f>VLOOKUP(A1266,'Thống kê'!$C$3:$D$669,2,0)</f>
        <v>Móc khóa đôi heo</v>
      </c>
      <c r="C1266" s="436" t="str">
        <f>VLOOKUP(A1266,'Thống kê'!$C$3:$E$682,3,0)</f>
        <v>cái</v>
      </c>
      <c r="D1266" s="437">
        <f>VLOOKUP(A1266,'Thống kê'!$C$3:$M$682,4,0)</f>
        <v>56580</v>
      </c>
      <c r="E1266" s="438">
        <v>1</v>
      </c>
      <c r="F1266" s="439">
        <f t="shared" si="5"/>
        <v>56580</v>
      </c>
      <c r="G1266" s="442"/>
      <c r="H1266" s="448">
        <v>44671</v>
      </c>
    </row>
    <row r="1267" spans="1:8" ht="13.2">
      <c r="A1267" s="454" t="s">
        <v>1624</v>
      </c>
      <c r="B1267" s="452" t="str">
        <f>VLOOKUP(A1267,'Thống kê'!$C$3:$D$669,2,0)</f>
        <v>Móc khóa mèo trái tim</v>
      </c>
      <c r="C1267" s="436" t="str">
        <f>VLOOKUP(A1267,'Thống kê'!$C$3:$E$682,3,0)</f>
        <v>cái</v>
      </c>
      <c r="D1267" s="437">
        <f>VLOOKUP(A1267,'Thống kê'!$C$3:$M$682,4,0)</f>
        <v>59000</v>
      </c>
      <c r="E1267" s="438">
        <v>1</v>
      </c>
      <c r="F1267" s="439">
        <f t="shared" si="5"/>
        <v>59000</v>
      </c>
      <c r="G1267" s="442"/>
      <c r="H1267" s="448">
        <v>50568</v>
      </c>
    </row>
    <row r="1268" spans="1:8" ht="13.2">
      <c r="A1268" s="454" t="s">
        <v>1624</v>
      </c>
      <c r="B1268" s="452" t="str">
        <f>VLOOKUP(A1268,'Thống kê'!$C$3:$D$669,2,0)</f>
        <v>Móc khóa mèo trái tim</v>
      </c>
      <c r="C1268" s="436" t="str">
        <f>VLOOKUP(A1268,'Thống kê'!$C$3:$E$682,3,0)</f>
        <v>cái</v>
      </c>
      <c r="D1268" s="437">
        <f>VLOOKUP(A1268,'Thống kê'!$C$3:$M$682,4,0)</f>
        <v>59000</v>
      </c>
      <c r="E1268" s="438">
        <v>1</v>
      </c>
      <c r="F1268" s="439">
        <f t="shared" si="5"/>
        <v>59000</v>
      </c>
      <c r="G1268" s="442"/>
      <c r="H1268" s="448">
        <v>46668</v>
      </c>
    </row>
    <row r="1269" spans="1:8" ht="13.2">
      <c r="A1269" s="454" t="s">
        <v>1624</v>
      </c>
      <c r="B1269" s="452" t="str">
        <f>VLOOKUP(A1269,'Thống kê'!$C$3:$D$669,2,0)</f>
        <v>Móc khóa mèo trái tim</v>
      </c>
      <c r="C1269" s="436" t="str">
        <f>VLOOKUP(A1269,'Thống kê'!$C$3:$E$682,3,0)</f>
        <v>cái</v>
      </c>
      <c r="D1269" s="437">
        <f>VLOOKUP(A1269,'Thống kê'!$C$3:$M$682,4,0)</f>
        <v>59000</v>
      </c>
      <c r="E1269" s="438">
        <v>1</v>
      </c>
      <c r="F1269" s="439">
        <f t="shared" si="5"/>
        <v>59000</v>
      </c>
      <c r="G1269" s="442"/>
      <c r="H1269" s="448">
        <v>46668</v>
      </c>
    </row>
    <row r="1270" spans="1:8" ht="13.2">
      <c r="A1270" s="454" t="s">
        <v>1625</v>
      </c>
      <c r="B1270" s="452" t="str">
        <f>VLOOKUP(A1270,'Thống kê'!$C$3:$D$669,2,0)</f>
        <v>Móc khóa đôi 2 mèo trắng nâu</v>
      </c>
      <c r="C1270" s="436" t="str">
        <f>VLOOKUP(A1270,'Thống kê'!$C$3:$E$682,3,0)</f>
        <v>cái</v>
      </c>
      <c r="D1270" s="437">
        <f>VLOOKUP(A1270,'Thống kê'!$C$3:$M$682,4,0)</f>
        <v>59000</v>
      </c>
      <c r="E1270" s="438">
        <v>1</v>
      </c>
      <c r="F1270" s="439">
        <f t="shared" si="5"/>
        <v>59000</v>
      </c>
      <c r="G1270" s="442"/>
      <c r="H1270" s="448">
        <v>46668</v>
      </c>
    </row>
    <row r="1271" spans="1:8" ht="13.2">
      <c r="A1271" s="454" t="s">
        <v>150</v>
      </c>
      <c r="B1271" s="452" t="str">
        <f>VLOOKUP(A1271,'Thống kê'!$C$3:$D$669,2,0)</f>
        <v>Móc khóa có chuông</v>
      </c>
      <c r="C1271" s="436" t="str">
        <f>VLOOKUP(A1271,'Thống kê'!$C$3:$E$682,3,0)</f>
        <v>cái</v>
      </c>
      <c r="D1271" s="437">
        <f>VLOOKUP(A1271,'Thống kê'!$C$3:$M$682,4,0)</f>
        <v>59000</v>
      </c>
      <c r="E1271" s="438">
        <v>1</v>
      </c>
      <c r="F1271" s="439">
        <f t="shared" si="5"/>
        <v>59000</v>
      </c>
      <c r="G1271" s="442"/>
      <c r="H1271" s="448">
        <v>46668</v>
      </c>
    </row>
    <row r="1272" spans="1:8" ht="13.2">
      <c r="A1272" s="454" t="s">
        <v>1591</v>
      </c>
      <c r="B1272" s="452" t="str">
        <f>VLOOKUP(A1272,'Thống kê'!$C$3:$D$669,2,0)</f>
        <v>Thỏ ú</v>
      </c>
      <c r="C1272" s="436" t="str">
        <f>VLOOKUP(A1272,'Thống kê'!$C$3:$E$682,3,0)</f>
        <v>cái</v>
      </c>
      <c r="D1272" s="437">
        <f>VLOOKUP(A1272,'Thống kê'!$C$3:$M$682,4,0)</f>
        <v>59500</v>
      </c>
      <c r="E1272" s="438">
        <v>1</v>
      </c>
      <c r="F1272" s="439">
        <f t="shared" si="5"/>
        <v>59500</v>
      </c>
      <c r="G1272" s="442"/>
      <c r="H1272" s="447">
        <v>92158</v>
      </c>
    </row>
    <row r="1273" spans="1:8" ht="13.2">
      <c r="A1273" s="454" t="s">
        <v>1588</v>
      </c>
      <c r="B1273" s="452" t="str">
        <f>VLOOKUP(A1273,'Thống kê'!$C$3:$D$669,2,0)</f>
        <v>Heo ú hoa</v>
      </c>
      <c r="C1273" s="436" t="str">
        <f>VLOOKUP(A1273,'Thống kê'!$C$3:$E$682,3,0)</f>
        <v>cái</v>
      </c>
      <c r="D1273" s="437">
        <f>VLOOKUP(A1273,'Thống kê'!$C$3:$M$682,4,0)</f>
        <v>64500</v>
      </c>
      <c r="E1273" s="438">
        <v>1</v>
      </c>
      <c r="F1273" s="439">
        <f t="shared" si="5"/>
        <v>64500</v>
      </c>
      <c r="G1273" s="442"/>
      <c r="H1273" s="446"/>
    </row>
    <row r="1274" spans="1:8" ht="13.2">
      <c r="A1274" s="454" t="s">
        <v>1622</v>
      </c>
      <c r="B1274" s="452" t="str">
        <f>VLOOKUP(A1274,'Thống kê'!$C$3:$D$669,2,0)</f>
        <v>Mô hình mèo 1</v>
      </c>
      <c r="C1274" s="436" t="str">
        <f>VLOOKUP(A1274,'Thống kê'!$C$3:$E$682,3,0)</f>
        <v>cái</v>
      </c>
      <c r="D1274" s="437">
        <f>VLOOKUP(A1274,'Thống kê'!$C$3:$M$682,4,0)</f>
        <v>37800</v>
      </c>
      <c r="E1274" s="438">
        <v>1</v>
      </c>
      <c r="F1274" s="439">
        <f t="shared" si="5"/>
        <v>37800</v>
      </c>
      <c r="G1274" s="442"/>
      <c r="H1274" s="448">
        <v>33443</v>
      </c>
    </row>
    <row r="1275" spans="1:8" ht="13.2">
      <c r="A1275" s="454" t="s">
        <v>116</v>
      </c>
      <c r="B1275" s="452" t="str">
        <f>VLOOKUP(A1275,'Thống kê'!$C$3:$D$669,2,0)</f>
        <v>heo ú cầm hoa</v>
      </c>
      <c r="C1275" s="436" t="str">
        <f>VLOOKUP(A1275,'Thống kê'!$C$3:$E$682,3,0)</f>
        <v>cái</v>
      </c>
      <c r="D1275" s="437">
        <f>VLOOKUP(A1275,'Thống kê'!$C$3:$M$682,4,0)</f>
        <v>64500</v>
      </c>
      <c r="E1275" s="438">
        <v>1</v>
      </c>
      <c r="F1275" s="439">
        <f t="shared" si="5"/>
        <v>64500</v>
      </c>
      <c r="G1275" s="442"/>
      <c r="H1275" s="448">
        <v>50184</v>
      </c>
    </row>
    <row r="1276" spans="1:8" ht="13.2">
      <c r="A1276" s="454" t="s">
        <v>1594</v>
      </c>
      <c r="B1276" s="452" t="str">
        <f>VLOOKUP(A1276,'Thống kê'!$C$3:$D$669,2,0)</f>
        <v>Móc khóa đôi heo</v>
      </c>
      <c r="C1276" s="436" t="str">
        <f>VLOOKUP(A1276,'Thống kê'!$C$3:$E$682,3,0)</f>
        <v>cái</v>
      </c>
      <c r="D1276" s="437">
        <f>VLOOKUP(A1276,'Thống kê'!$C$3:$M$682,4,0)</f>
        <v>56580</v>
      </c>
      <c r="E1276" s="438">
        <v>1</v>
      </c>
      <c r="F1276" s="439">
        <f t="shared" si="5"/>
        <v>56580</v>
      </c>
      <c r="G1276" s="442"/>
      <c r="H1276" s="448">
        <v>44751</v>
      </c>
    </row>
    <row r="1277" spans="1:8" ht="13.2">
      <c r="A1277" s="454" t="s">
        <v>115</v>
      </c>
      <c r="B1277" s="452" t="str">
        <f>VLOOKUP(A1277,'Thống kê'!$C$3:$D$669,2,0)</f>
        <v>Heo ú</v>
      </c>
      <c r="C1277" s="436" t="str">
        <f>VLOOKUP(A1277,'Thống kê'!$C$3:$E$682,3,0)</f>
        <v>cái</v>
      </c>
      <c r="D1277" s="437">
        <f>VLOOKUP(A1277,'Thống kê'!$C$3:$M$682,4,0)</f>
        <v>59500</v>
      </c>
      <c r="E1277" s="438">
        <v>1</v>
      </c>
      <c r="F1277" s="439">
        <f t="shared" si="5"/>
        <v>59500</v>
      </c>
      <c r="G1277" s="442"/>
      <c r="H1277" s="448">
        <v>69771</v>
      </c>
    </row>
    <row r="1278" spans="1:8" ht="13.2">
      <c r="A1278" s="454" t="s">
        <v>1594</v>
      </c>
      <c r="B1278" s="452" t="str">
        <f>VLOOKUP(A1278,'Thống kê'!$C$3:$D$669,2,0)</f>
        <v>Móc khóa đôi heo</v>
      </c>
      <c r="C1278" s="436" t="str">
        <f>VLOOKUP(A1278,'Thống kê'!$C$3:$E$682,3,0)</f>
        <v>cái</v>
      </c>
      <c r="D1278" s="437">
        <f>VLOOKUP(A1278,'Thống kê'!$C$3:$M$682,4,0)</f>
        <v>56580</v>
      </c>
      <c r="E1278" s="438">
        <v>1</v>
      </c>
      <c r="F1278" s="439">
        <f t="shared" si="5"/>
        <v>56580</v>
      </c>
      <c r="G1278" s="442"/>
      <c r="H1278" s="448">
        <v>44471</v>
      </c>
    </row>
    <row r="1279" spans="1:8" ht="13.2">
      <c r="A1279" s="454" t="s">
        <v>1624</v>
      </c>
      <c r="B1279" s="452" t="str">
        <f>VLOOKUP(A1279,'Thống kê'!$C$3:$D$669,2,0)</f>
        <v>Móc khóa mèo trái tim</v>
      </c>
      <c r="C1279" s="436" t="str">
        <f>VLOOKUP(A1279,'Thống kê'!$C$3:$E$682,3,0)</f>
        <v>cái</v>
      </c>
      <c r="D1279" s="437">
        <f>VLOOKUP(A1279,'Thống kê'!$C$3:$M$682,4,0)</f>
        <v>59000</v>
      </c>
      <c r="E1279" s="438">
        <v>1</v>
      </c>
      <c r="F1279" s="439">
        <f t="shared" si="5"/>
        <v>59000</v>
      </c>
      <c r="G1279" s="442"/>
      <c r="H1279" s="448">
        <v>46728</v>
      </c>
    </row>
    <row r="1280" spans="1:8" ht="13.2">
      <c r="A1280" s="454" t="s">
        <v>1629</v>
      </c>
      <c r="B1280" s="452" t="str">
        <f>VLOOKUP(A1280,'Thống kê'!$C$3:$D$669,2,0)</f>
        <v>Móc khóa capybara</v>
      </c>
      <c r="C1280" s="436" t="str">
        <f>VLOOKUP(A1280,'Thống kê'!$C$3:$E$682,3,0)</f>
        <v>cái</v>
      </c>
      <c r="D1280" s="437">
        <f>VLOOKUP(A1280,'Thống kê'!$C$3:$M$682,4,0)</f>
        <v>58800</v>
      </c>
      <c r="E1280" s="438">
        <v>2</v>
      </c>
      <c r="F1280" s="439">
        <f t="shared" si="5"/>
        <v>117600</v>
      </c>
      <c r="G1280" s="442"/>
      <c r="H1280" s="448">
        <v>94688</v>
      </c>
    </row>
    <row r="1281" spans="1:8" ht="13.2">
      <c r="A1281" s="454" t="s">
        <v>150</v>
      </c>
      <c r="B1281" s="452" t="str">
        <f>VLOOKUP(A1281,'Thống kê'!$C$3:$D$669,2,0)</f>
        <v>Móc khóa có chuông</v>
      </c>
      <c r="C1281" s="436" t="str">
        <f>VLOOKUP(A1281,'Thống kê'!$C$3:$E$682,3,0)</f>
        <v>cái</v>
      </c>
      <c r="D1281" s="437">
        <f>VLOOKUP(A1281,'Thống kê'!$C$3:$M$682,4,0)</f>
        <v>59000</v>
      </c>
      <c r="E1281" s="438">
        <v>1</v>
      </c>
      <c r="F1281" s="439">
        <f t="shared" si="5"/>
        <v>59000</v>
      </c>
      <c r="G1281" s="442"/>
      <c r="H1281" s="448">
        <v>46408</v>
      </c>
    </row>
    <row r="1282" spans="1:8" ht="13.2">
      <c r="A1282" s="454" t="s">
        <v>1625</v>
      </c>
      <c r="B1282" s="452" t="str">
        <f>VLOOKUP(A1282,'Thống kê'!$C$3:$D$669,2,0)</f>
        <v>Móc khóa đôi 2 mèo trắng nâu</v>
      </c>
      <c r="C1282" s="436" t="str">
        <f>VLOOKUP(A1282,'Thống kê'!$C$3:$E$682,3,0)</f>
        <v>cái</v>
      </c>
      <c r="D1282" s="437">
        <f>VLOOKUP(A1282,'Thống kê'!$C$3:$M$682,4,0)</f>
        <v>59000</v>
      </c>
      <c r="E1282" s="438">
        <v>1</v>
      </c>
      <c r="F1282" s="439">
        <f t="shared" si="5"/>
        <v>59000</v>
      </c>
      <c r="G1282" s="442"/>
      <c r="H1282" s="448">
        <v>60168</v>
      </c>
    </row>
    <row r="1283" spans="1:8" ht="13.2">
      <c r="A1283" s="454" t="s">
        <v>1624</v>
      </c>
      <c r="B1283" s="452" t="str">
        <f>VLOOKUP(A1283,'Thống kê'!$C$3:$D$669,2,0)</f>
        <v>Móc khóa mèo trái tim</v>
      </c>
      <c r="C1283" s="436" t="str">
        <f>VLOOKUP(A1283,'Thống kê'!$C$3:$E$682,3,0)</f>
        <v>cái</v>
      </c>
      <c r="D1283" s="437">
        <f>VLOOKUP(A1283,'Thống kê'!$C$3:$M$682,4,0)</f>
        <v>59000</v>
      </c>
      <c r="E1283" s="438">
        <v>1</v>
      </c>
      <c r="F1283" s="439">
        <f t="shared" si="5"/>
        <v>59000</v>
      </c>
      <c r="G1283" s="442"/>
      <c r="H1283" s="448">
        <v>46668</v>
      </c>
    </row>
    <row r="1284" spans="1:8" ht="13.2">
      <c r="A1284" s="454" t="s">
        <v>1966</v>
      </c>
      <c r="B1284" s="452" t="str">
        <f>VLOOKUP(A1284,'Thống kê'!$C$3:$D$669,2,0)</f>
        <v>Túi chườm bụng vịt vàng 500ml</v>
      </c>
      <c r="C1284" s="436" t="str">
        <f>VLOOKUP(A1284,'Thống kê'!$C$3:$E$682,3,0)</f>
        <v>túi</v>
      </c>
      <c r="D1284" s="437">
        <f>VLOOKUP(A1284,'Thống kê'!$C$3:$M$682,4,0)</f>
        <v>72250</v>
      </c>
      <c r="E1284" s="438">
        <v>1</v>
      </c>
      <c r="F1284" s="439">
        <f t="shared" si="5"/>
        <v>72250</v>
      </c>
      <c r="G1284" s="442"/>
      <c r="H1284" s="448">
        <v>66600</v>
      </c>
    </row>
    <row r="1285" spans="1:8" ht="13.2">
      <c r="A1285" s="454" t="s">
        <v>1589</v>
      </c>
      <c r="B1285" s="452" t="str">
        <f>VLOOKUP(A1285,'Thống kê'!$C$3:$D$669,2,0)</f>
        <v>Heo ú bay</v>
      </c>
      <c r="C1285" s="436" t="str">
        <f>VLOOKUP(A1285,'Thống kê'!$C$3:$E$682,3,0)</f>
        <v>cái</v>
      </c>
      <c r="D1285" s="437">
        <f>VLOOKUP(A1285,'Thống kê'!$C$3:$M$682,4,0)</f>
        <v>64500</v>
      </c>
      <c r="E1285" s="438">
        <v>1</v>
      </c>
      <c r="F1285" s="439">
        <f t="shared" si="5"/>
        <v>64500</v>
      </c>
      <c r="G1285" s="442"/>
      <c r="H1285" s="448">
        <v>47021</v>
      </c>
    </row>
    <row r="1286" spans="1:8" ht="13.2">
      <c r="A1286" s="454" t="s">
        <v>175</v>
      </c>
      <c r="B1286" s="452" t="str">
        <f>VLOOKUP(A1286,'Thống kê'!$C$3:$D$669,2,0)</f>
        <v>Cài tóc đen</v>
      </c>
      <c r="C1286" s="436" t="str">
        <f>VLOOKUP(A1286,'Thống kê'!$C$3:$E$682,3,0)</f>
        <v>cái</v>
      </c>
      <c r="D1286" s="437">
        <f>VLOOKUP(A1286,'Thống kê'!$C$3:$M$682,4,0)</f>
        <v>21000</v>
      </c>
      <c r="E1286" s="438">
        <v>1</v>
      </c>
      <c r="F1286" s="439">
        <f t="shared" si="5"/>
        <v>21000</v>
      </c>
      <c r="G1286" s="442"/>
      <c r="H1286" s="447">
        <v>120472</v>
      </c>
    </row>
    <row r="1287" spans="1:8" ht="13.2">
      <c r="A1287" s="454" t="s">
        <v>1643</v>
      </c>
      <c r="B1287" s="452" t="str">
        <f>VLOOKUP(A1287,'Thống kê'!$C$3:$D$669,2,0)</f>
        <v>Túi chườm bụng dâu (hồng đất) 1000ml</v>
      </c>
      <c r="C1287" s="436" t="str">
        <f>VLOOKUP(A1287,'Thống kê'!$C$3:$E$682,3,0)</f>
        <v>túi</v>
      </c>
      <c r="D1287" s="437">
        <f>VLOOKUP(A1287,'Thống kê'!$C$3:$M$682,4,0)</f>
        <v>101150</v>
      </c>
      <c r="E1287" s="438">
        <v>1</v>
      </c>
      <c r="F1287" s="439">
        <f t="shared" si="5"/>
        <v>101150</v>
      </c>
      <c r="G1287" s="442"/>
      <c r="H1287" s="446"/>
    </row>
    <row r="1288" spans="1:8" ht="13.2">
      <c r="A1288" s="454" t="s">
        <v>1602</v>
      </c>
      <c r="B1288" s="452" t="str">
        <f>VLOOKUP(A1288,'Thống kê'!$C$3:$D$669,2,0)</f>
        <v>Thước dây hồng đất</v>
      </c>
      <c r="C1288" s="436" t="str">
        <f>VLOOKUP(A1288,'Thống kê'!$C$3:$E$682,3,0)</f>
        <v>cái</v>
      </c>
      <c r="D1288" s="437">
        <f>VLOOKUP(A1288,'Thống kê'!$C$3:$M$682,4,0)</f>
        <v>9000</v>
      </c>
      <c r="E1288" s="438">
        <v>1</v>
      </c>
      <c r="F1288" s="439">
        <f t="shared" si="5"/>
        <v>9000</v>
      </c>
      <c r="G1288" s="442"/>
      <c r="H1288" s="446"/>
    </row>
    <row r="1289" spans="1:8" ht="13.2">
      <c r="A1289" s="454" t="s">
        <v>1716</v>
      </c>
      <c r="B1289" s="452" t="str">
        <f>VLOOKUP(A1289,'Thống kê'!$C$3:$D$669,2,0)</f>
        <v>Móc khóa đôi 2 quả lê có nam châm</v>
      </c>
      <c r="C1289" s="436" t="str">
        <f>VLOOKUP(A1289,'Thống kê'!$C$3:$E$682,3,0)</f>
        <v>cái</v>
      </c>
      <c r="D1289" s="437">
        <f>VLOOKUP(A1289,'Thống kê'!$C$3:$M$682,4,0)</f>
        <v>59000</v>
      </c>
      <c r="E1289" s="438">
        <v>1</v>
      </c>
      <c r="F1289" s="439">
        <f t="shared" si="5"/>
        <v>59000</v>
      </c>
      <c r="G1289" s="442"/>
      <c r="H1289" s="448">
        <v>46388</v>
      </c>
    </row>
    <row r="1290" spans="1:8" ht="13.2">
      <c r="A1290" s="454" t="s">
        <v>1612</v>
      </c>
      <c r="B1290" s="452" t="str">
        <f>VLOOKUP(A1290,'Thống kê'!$C$3:$D$669,2,0)</f>
        <v>Kẹp tóc bướm trắng</v>
      </c>
      <c r="C1290" s="436" t="str">
        <f>VLOOKUP(A1290,'Thống kê'!$C$3:$E$682,3,0)</f>
        <v>cái</v>
      </c>
      <c r="D1290" s="437">
        <f>VLOOKUP(A1290,'Thống kê'!$C$3:$M$682,4,0)</f>
        <v>40000</v>
      </c>
      <c r="E1290" s="438">
        <v>1</v>
      </c>
      <c r="F1290" s="439">
        <f t="shared" si="5"/>
        <v>40000</v>
      </c>
      <c r="G1290" s="442"/>
      <c r="H1290" s="447">
        <v>79360</v>
      </c>
    </row>
    <row r="1291" spans="1:8" ht="13.2">
      <c r="A1291" s="454" t="s">
        <v>1618</v>
      </c>
      <c r="B1291" s="452" t="str">
        <f>VLOOKUP(A1291,'Thống kê'!$C$3:$D$669,2,0)</f>
        <v>Kẹp tóc bướm hồng trắng</v>
      </c>
      <c r="C1291" s="436" t="str">
        <f>VLOOKUP(A1291,'Thống kê'!$C$3:$E$682,3,0)</f>
        <v>cái</v>
      </c>
      <c r="D1291" s="437">
        <f>VLOOKUP(A1291,'Thống kê'!$C$3:$M$682,4,0)</f>
        <v>52000</v>
      </c>
      <c r="E1291" s="438">
        <v>1</v>
      </c>
      <c r="F1291" s="439">
        <f t="shared" si="5"/>
        <v>52000</v>
      </c>
      <c r="G1291" s="442"/>
      <c r="H1291" s="446"/>
    </row>
    <row r="1292" spans="1:8" ht="13.2">
      <c r="A1292" s="454" t="s">
        <v>1602</v>
      </c>
      <c r="B1292" s="452" t="str">
        <f>VLOOKUP(A1292,'Thống kê'!$C$3:$D$669,2,0)</f>
        <v>Thước dây hồng đất</v>
      </c>
      <c r="C1292" s="436" t="str">
        <f>VLOOKUP(A1292,'Thống kê'!$C$3:$E$682,3,0)</f>
        <v>cái</v>
      </c>
      <c r="D1292" s="437">
        <f>VLOOKUP(A1292,'Thống kê'!$C$3:$M$682,4,0)</f>
        <v>9000</v>
      </c>
      <c r="E1292" s="438">
        <v>1</v>
      </c>
      <c r="F1292" s="439">
        <f t="shared" si="5"/>
        <v>9000</v>
      </c>
      <c r="G1292" s="442"/>
      <c r="H1292" s="446"/>
    </row>
    <row r="1293" spans="1:8" ht="13.2">
      <c r="A1293" s="454" t="s">
        <v>1936</v>
      </c>
      <c r="B1293" s="452" t="str">
        <f>VLOOKUP(A1293,'Thống kê'!$C$3:$D$669,2,0)</f>
        <v>Kẹp tóc hoa sứ vàng</v>
      </c>
      <c r="C1293" s="436" t="str">
        <f>VLOOKUP(A1293,'Thống kê'!$C$3:$E$682,3,0)</f>
        <v>cái</v>
      </c>
      <c r="D1293" s="437">
        <f>VLOOKUP(A1293,'Thống kê'!$C$3:$M$682,4,0)</f>
        <v>18500</v>
      </c>
      <c r="E1293" s="438">
        <v>1</v>
      </c>
      <c r="F1293" s="439">
        <f t="shared" si="5"/>
        <v>18500</v>
      </c>
      <c r="G1293" s="442"/>
      <c r="H1293" s="446"/>
    </row>
    <row r="1294" spans="1:8" ht="13.2">
      <c r="A1294" s="454" t="s">
        <v>227</v>
      </c>
      <c r="B1294" s="452" t="str">
        <f>VLOOKUP(A1294,'Thống kê'!$C$3:$D$669,2,0)</f>
        <v>Móc khóa đôi corgy</v>
      </c>
      <c r="C1294" s="436" t="str">
        <f>VLOOKUP(A1294,'Thống kê'!$C$3:$E$682,3,0)</f>
        <v>cái</v>
      </c>
      <c r="D1294" s="437">
        <f>VLOOKUP(A1294,'Thống kê'!$C$3:$M$682,4,0)</f>
        <v>56580</v>
      </c>
      <c r="E1294" s="438">
        <v>1</v>
      </c>
      <c r="F1294" s="439">
        <f t="shared" si="5"/>
        <v>56580</v>
      </c>
      <c r="G1294" s="442"/>
      <c r="H1294" s="448">
        <v>50571</v>
      </c>
    </row>
    <row r="1295" spans="1:8" ht="13.2">
      <c r="A1295" s="454" t="s">
        <v>119</v>
      </c>
      <c r="B1295" s="452" t="str">
        <f>VLOOKUP(A1295,'Thống kê'!$C$3:$D$669,2,0)</f>
        <v>Thỏ chạy xe gắn xe</v>
      </c>
      <c r="C1295" s="436" t="str">
        <f>VLOOKUP(A1295,'Thống kê'!$C$3:$E$682,3,0)</f>
        <v>cái</v>
      </c>
      <c r="D1295" s="437">
        <f>VLOOKUP(A1295,'Thống kê'!$C$3:$M$682,4,0)</f>
        <v>45000</v>
      </c>
      <c r="E1295" s="438">
        <v>1</v>
      </c>
      <c r="F1295" s="439">
        <f t="shared" si="5"/>
        <v>45000</v>
      </c>
      <c r="G1295" s="442"/>
      <c r="H1295" s="448">
        <v>35860</v>
      </c>
    </row>
    <row r="1296" spans="1:8" ht="13.2">
      <c r="A1296" s="454" t="s">
        <v>227</v>
      </c>
      <c r="B1296" s="452" t="str">
        <f>VLOOKUP(A1296,'Thống kê'!$C$3:$D$669,2,0)</f>
        <v>Móc khóa đôi corgy</v>
      </c>
      <c r="C1296" s="436" t="str">
        <f>VLOOKUP(A1296,'Thống kê'!$C$3:$E$682,3,0)</f>
        <v>cái</v>
      </c>
      <c r="D1296" s="437">
        <f>VLOOKUP(A1296,'Thống kê'!$C$3:$M$682,4,0)</f>
        <v>56580</v>
      </c>
      <c r="E1296" s="438">
        <v>1</v>
      </c>
      <c r="F1296" s="439">
        <f t="shared" si="5"/>
        <v>56580</v>
      </c>
      <c r="G1296" s="442"/>
      <c r="H1296" s="448">
        <v>44251</v>
      </c>
    </row>
    <row r="1297" spans="1:8" ht="13.2">
      <c r="A1297" s="454" t="s">
        <v>925</v>
      </c>
      <c r="B1297" s="452" t="str">
        <f>VLOOKUP(A1297,'Thống kê'!$C$3:$D$669,2,0)</f>
        <v>Kẹp khuếch tán tinh dầu vịt nâu</v>
      </c>
      <c r="C1297" s="436" t="str">
        <f>VLOOKUP(A1297,'Thống kê'!$C$3:$E$682,3,0)</f>
        <v>cái</v>
      </c>
      <c r="D1297" s="437">
        <f>VLOOKUP(A1297,'Thống kê'!$C$3:$M$682,4,0)</f>
        <v>142400</v>
      </c>
      <c r="E1297" s="438">
        <v>1</v>
      </c>
      <c r="F1297" s="439">
        <f t="shared" si="5"/>
        <v>142400</v>
      </c>
      <c r="G1297" s="442"/>
      <c r="H1297" s="447">
        <v>196873</v>
      </c>
    </row>
    <row r="1298" spans="1:8" ht="13.2">
      <c r="A1298" s="454" t="s">
        <v>931</v>
      </c>
      <c r="B1298" s="452" t="str">
        <f>VLOOKUP(A1298,'Thống kê'!$C$3:$D$669,2,0)</f>
        <v>Kẹp khuếch tán tinh dầu thỏ hồng</v>
      </c>
      <c r="C1298" s="436" t="str">
        <f>VLOOKUP(A1298,'Thống kê'!$C$3:$E$682,3,0)</f>
        <v>cái</v>
      </c>
      <c r="D1298" s="437">
        <f>VLOOKUP(A1298,'Thống kê'!$C$3:$M$682,4,0)</f>
        <v>142400</v>
      </c>
      <c r="E1298" s="438">
        <v>1</v>
      </c>
      <c r="F1298" s="439">
        <f t="shared" si="5"/>
        <v>142400</v>
      </c>
      <c r="G1298" s="442"/>
      <c r="H1298" s="446"/>
    </row>
    <row r="1299" spans="1:8" ht="13.2">
      <c r="A1299" s="454" t="s">
        <v>115</v>
      </c>
      <c r="B1299" s="452" t="str">
        <f>VLOOKUP(A1299,'Thống kê'!$C$3:$D$669,2,0)</f>
        <v>Heo ú</v>
      </c>
      <c r="C1299" s="436" t="str">
        <f>VLOOKUP(A1299,'Thống kê'!$C$3:$E$682,3,0)</f>
        <v>cái</v>
      </c>
      <c r="D1299" s="437">
        <f>VLOOKUP(A1299,'Thống kê'!$C$3:$M$682,4,0)</f>
        <v>59500</v>
      </c>
      <c r="E1299" s="438">
        <v>1</v>
      </c>
      <c r="F1299" s="439">
        <f t="shared" si="5"/>
        <v>59500</v>
      </c>
      <c r="G1299" s="442"/>
      <c r="H1299" s="448">
        <v>42860</v>
      </c>
    </row>
    <row r="1300" spans="1:8" ht="13.2">
      <c r="A1300" s="454" t="s">
        <v>227</v>
      </c>
      <c r="B1300" s="452" t="str">
        <f>VLOOKUP(A1300,'Thống kê'!$C$3:$D$669,2,0)</f>
        <v>Móc khóa đôi corgy</v>
      </c>
      <c r="C1300" s="436" t="str">
        <f>VLOOKUP(A1300,'Thống kê'!$C$3:$E$682,3,0)</f>
        <v>cái</v>
      </c>
      <c r="D1300" s="437">
        <f>VLOOKUP(A1300,'Thống kê'!$C$3:$M$682,4,0)</f>
        <v>56580</v>
      </c>
      <c r="E1300" s="438">
        <v>1</v>
      </c>
      <c r="F1300" s="439">
        <f t="shared" si="5"/>
        <v>56580</v>
      </c>
      <c r="G1300" s="442"/>
      <c r="H1300" s="448">
        <v>44531</v>
      </c>
    </row>
    <row r="1301" spans="1:8" ht="13.2">
      <c r="A1301" s="454" t="s">
        <v>1594</v>
      </c>
      <c r="B1301" s="452" t="str">
        <f>VLOOKUP(A1301,'Thống kê'!$C$3:$D$669,2,0)</f>
        <v>Móc khóa đôi heo</v>
      </c>
      <c r="C1301" s="436" t="str">
        <f>VLOOKUP(A1301,'Thống kê'!$C$3:$E$682,3,0)</f>
        <v>cái</v>
      </c>
      <c r="D1301" s="437">
        <f>VLOOKUP(A1301,'Thống kê'!$C$3:$M$682,4,0)</f>
        <v>56580</v>
      </c>
      <c r="E1301" s="438">
        <v>1</v>
      </c>
      <c r="F1301" s="439">
        <f t="shared" si="5"/>
        <v>56580</v>
      </c>
      <c r="G1301" s="442"/>
      <c r="H1301" s="448">
        <v>44811</v>
      </c>
    </row>
    <row r="1302" spans="1:8" ht="13.2">
      <c r="A1302" s="454" t="s">
        <v>1625</v>
      </c>
      <c r="B1302" s="452" t="str">
        <f>VLOOKUP(A1302,'Thống kê'!$C$3:$D$669,2,0)</f>
        <v>Móc khóa đôi 2 mèo trắng nâu</v>
      </c>
      <c r="C1302" s="436" t="str">
        <f>VLOOKUP(A1302,'Thống kê'!$C$3:$E$682,3,0)</f>
        <v>cái</v>
      </c>
      <c r="D1302" s="437">
        <f>VLOOKUP(A1302,'Thống kê'!$C$3:$M$682,4,0)</f>
        <v>59000</v>
      </c>
      <c r="E1302" s="438">
        <v>1</v>
      </c>
      <c r="F1302" s="439">
        <f t="shared" si="5"/>
        <v>59000</v>
      </c>
      <c r="G1302" s="442"/>
      <c r="H1302" s="448">
        <v>46588</v>
      </c>
    </row>
    <row r="1303" spans="1:8" ht="13.2">
      <c r="A1303" s="454" t="s">
        <v>183</v>
      </c>
      <c r="B1303" s="452" t="str">
        <f>VLOOKUP(A1303,'Thống kê'!$C$3:$D$669,2,0)</f>
        <v>Thỏ máy bay gắn xe</v>
      </c>
      <c r="C1303" s="436" t="str">
        <f>VLOOKUP(A1303,'Thống kê'!$C$3:$E$682,3,0)</f>
        <v>cái</v>
      </c>
      <c r="D1303" s="437">
        <f>VLOOKUP(A1303,'Thống kê'!$C$3:$M$682,4,0)</f>
        <v>45000</v>
      </c>
      <c r="E1303" s="438">
        <v>1</v>
      </c>
      <c r="F1303" s="439">
        <f t="shared" si="5"/>
        <v>45000</v>
      </c>
      <c r="G1303" s="442"/>
      <c r="H1303" s="447">
        <v>172537</v>
      </c>
    </row>
    <row r="1304" spans="1:8" ht="13.2">
      <c r="A1304" s="454" t="s">
        <v>189</v>
      </c>
      <c r="B1304" s="452" t="str">
        <f>VLOOKUP(A1304,'Thống kê'!$C$3:$D$669,2,0)</f>
        <v>Gấu nâu gắn xe</v>
      </c>
      <c r="C1304" s="436" t="str">
        <f>VLOOKUP(A1304,'Thống kê'!$C$3:$E$682,3,0)</f>
        <v>cái</v>
      </c>
      <c r="D1304" s="437">
        <f>VLOOKUP(A1304,'Thống kê'!$C$3:$M$682,4,0)</f>
        <v>45000</v>
      </c>
      <c r="E1304" s="438">
        <v>1</v>
      </c>
      <c r="F1304" s="439">
        <f t="shared" si="5"/>
        <v>45000</v>
      </c>
      <c r="G1304" s="442"/>
      <c r="H1304" s="446"/>
    </row>
    <row r="1305" spans="1:8" ht="13.2">
      <c r="A1305" s="454" t="s">
        <v>1917</v>
      </c>
      <c r="B1305" s="452" t="str">
        <f>VLOOKUP(A1305,'Thống kê'!$C$3:$D$669,2,0)</f>
        <v>Móc khóa đôi thỏ cà rốt</v>
      </c>
      <c r="C1305" s="436" t="str">
        <f>VLOOKUP(A1305,'Thống kê'!$C$3:$E$682,3,0)</f>
        <v>cái</v>
      </c>
      <c r="D1305" s="437">
        <f>VLOOKUP(A1305,'Thống kê'!$C$3:$M$682,4,0)</f>
        <v>48300</v>
      </c>
      <c r="E1305" s="438">
        <v>1</v>
      </c>
      <c r="F1305" s="439">
        <f t="shared" si="5"/>
        <v>48300</v>
      </c>
      <c r="G1305" s="442"/>
      <c r="H1305" s="446"/>
    </row>
    <row r="1306" spans="1:8" ht="13.2">
      <c r="A1306" s="454" t="s">
        <v>1974</v>
      </c>
      <c r="B1306" s="452" t="str">
        <f>VLOOKUP(A1306,'Thống kê'!$C$3:$D$669,2,0)</f>
        <v>Mô hình cún 01</v>
      </c>
      <c r="C1306" s="436" t="str">
        <f>VLOOKUP(A1306,'Thống kê'!$C$3:$E$682,3,0)</f>
        <v>cái</v>
      </c>
      <c r="D1306" s="437">
        <f>VLOOKUP(A1306,'Thống kê'!$C$3:$M$682,4,0)</f>
        <v>39000</v>
      </c>
      <c r="E1306" s="438">
        <v>1</v>
      </c>
      <c r="F1306" s="439">
        <f t="shared" si="5"/>
        <v>39000</v>
      </c>
      <c r="G1306" s="442"/>
      <c r="H1306" s="446"/>
    </row>
    <row r="1307" spans="1:8" ht="13.2">
      <c r="A1307" s="454" t="s">
        <v>1622</v>
      </c>
      <c r="B1307" s="452" t="str">
        <f>VLOOKUP(A1307,'Thống kê'!$C$3:$D$669,2,0)</f>
        <v>Mô hình mèo 1</v>
      </c>
      <c r="C1307" s="436" t="str">
        <f>VLOOKUP(A1307,'Thống kê'!$C$3:$E$682,3,0)</f>
        <v>cái</v>
      </c>
      <c r="D1307" s="437">
        <f>VLOOKUP(A1307,'Thống kê'!$C$3:$M$682,4,0)</f>
        <v>37800</v>
      </c>
      <c r="E1307" s="438">
        <v>1</v>
      </c>
      <c r="F1307" s="439">
        <f t="shared" si="5"/>
        <v>37800</v>
      </c>
      <c r="G1307" s="442"/>
      <c r="H1307" s="446"/>
    </row>
    <row r="1308" spans="1:8" ht="13.2">
      <c r="A1308" s="454" t="s">
        <v>1591</v>
      </c>
      <c r="B1308" s="452" t="str">
        <f>VLOOKUP(A1308,'Thống kê'!$C$3:$D$669,2,0)</f>
        <v>Thỏ ú</v>
      </c>
      <c r="C1308" s="436" t="str">
        <f>VLOOKUP(A1308,'Thống kê'!$C$3:$E$682,3,0)</f>
        <v>cái</v>
      </c>
      <c r="D1308" s="437">
        <f>VLOOKUP(A1308,'Thống kê'!$C$3:$M$682,4,0)</f>
        <v>59500</v>
      </c>
      <c r="E1308" s="438">
        <v>1</v>
      </c>
      <c r="F1308" s="439">
        <f t="shared" si="5"/>
        <v>59500</v>
      </c>
      <c r="G1308" s="442"/>
      <c r="H1308" s="447">
        <v>57496</v>
      </c>
    </row>
    <row r="1309" spans="1:8" ht="13.2">
      <c r="A1309" s="454" t="s">
        <v>1915</v>
      </c>
      <c r="B1309" s="452" t="str">
        <f>VLOOKUP(A1309,'Thống kê'!$C$3:$D$669,2,0)</f>
        <v>Kẹp tóc bướm trắng</v>
      </c>
      <c r="C1309" s="436" t="str">
        <f>VLOOKUP(A1309,'Thống kê'!$C$3:$E$682,3,0)</f>
        <v>cái</v>
      </c>
      <c r="D1309" s="437">
        <f>VLOOKUP(A1309,'Thống kê'!$C$3:$M$682,4,0)</f>
        <v>19000</v>
      </c>
      <c r="E1309" s="438">
        <v>1</v>
      </c>
      <c r="F1309" s="439">
        <f t="shared" si="5"/>
        <v>19000</v>
      </c>
      <c r="G1309" s="442"/>
      <c r="H1309" s="446"/>
    </row>
    <row r="1310" spans="1:8" ht="13.2">
      <c r="A1310" s="454" t="s">
        <v>1617</v>
      </c>
      <c r="B1310" s="452" t="str">
        <f>VLOOKUP(A1310,'Thống kê'!$C$3:$D$669,2,0)</f>
        <v xml:space="preserve">Kẹp tóc bướm hồng </v>
      </c>
      <c r="C1310" s="436" t="str">
        <f>VLOOKUP(A1310,'Thống kê'!$C$3:$E$682,3,0)</f>
        <v>cái</v>
      </c>
      <c r="D1310" s="437">
        <f>VLOOKUP(A1310,'Thống kê'!$C$3:$M$682,4,0)</f>
        <v>40000</v>
      </c>
      <c r="E1310" s="438">
        <v>1</v>
      </c>
      <c r="F1310" s="439">
        <f t="shared" si="5"/>
        <v>40000</v>
      </c>
      <c r="G1310" s="442"/>
      <c r="H1310" s="447">
        <v>62260</v>
      </c>
    </row>
    <row r="1311" spans="1:8" ht="13.2">
      <c r="A1311" s="454" t="s">
        <v>1614</v>
      </c>
      <c r="B1311" s="452" t="str">
        <f>VLOOKUP(A1311,'Thống kê'!$C$3:$D$669,2,0)</f>
        <v>Kẹp tóc bướm xanh ngọc</v>
      </c>
      <c r="C1311" s="436" t="str">
        <f>VLOOKUP(A1311,'Thống kê'!$C$3:$E$682,3,0)</f>
        <v>cái</v>
      </c>
      <c r="D1311" s="437">
        <f>VLOOKUP(A1311,'Thống kê'!$C$3:$M$682,4,0)</f>
        <v>38000</v>
      </c>
      <c r="E1311" s="438">
        <v>1</v>
      </c>
      <c r="F1311" s="439">
        <f t="shared" si="5"/>
        <v>38000</v>
      </c>
      <c r="G1311" s="442"/>
      <c r="H1311" s="446"/>
    </row>
    <row r="1312" spans="1:8" ht="13.2">
      <c r="A1312" s="454" t="s">
        <v>1925</v>
      </c>
      <c r="B1312" s="452" t="str">
        <f>VLOOKUP(A1312,'Thống kê'!$C$3:$D$669,2,0)</f>
        <v>Kẹp tóc hoa sứ đỏ</v>
      </c>
      <c r="C1312" s="436" t="str">
        <f>VLOOKUP(A1312,'Thống kê'!$C$3:$E$682,3,0)</f>
        <v>cái</v>
      </c>
      <c r="D1312" s="437">
        <f>VLOOKUP(A1312,'Thống kê'!$C$3:$M$682,4,0)</f>
        <v>18500</v>
      </c>
      <c r="E1312" s="438">
        <v>1</v>
      </c>
      <c r="F1312" s="439">
        <f t="shared" si="5"/>
        <v>18500</v>
      </c>
      <c r="G1312" s="442"/>
      <c r="H1312" s="446"/>
    </row>
    <row r="1313" spans="1:8" ht="13.2">
      <c r="A1313" s="454" t="s">
        <v>119</v>
      </c>
      <c r="B1313" s="452" t="str">
        <f>VLOOKUP(A1313,'Thống kê'!$C$3:$D$669,2,0)</f>
        <v>Thỏ chạy xe gắn xe</v>
      </c>
      <c r="C1313" s="436" t="str">
        <f>VLOOKUP(A1313,'Thống kê'!$C$3:$E$682,3,0)</f>
        <v>cái</v>
      </c>
      <c r="D1313" s="437">
        <f>VLOOKUP(A1313,'Thống kê'!$C$3:$M$682,4,0)</f>
        <v>45000</v>
      </c>
      <c r="E1313" s="438">
        <v>1</v>
      </c>
      <c r="F1313" s="439">
        <f t="shared" si="5"/>
        <v>45000</v>
      </c>
      <c r="G1313" s="442"/>
      <c r="H1313" s="448">
        <v>36180</v>
      </c>
    </row>
    <row r="1314" spans="1:8" ht="13.2">
      <c r="A1314" s="454" t="s">
        <v>1625</v>
      </c>
      <c r="B1314" s="452" t="str">
        <f>VLOOKUP(A1314,'Thống kê'!$C$3:$D$669,2,0)</f>
        <v>Móc khóa đôi 2 mèo trắng nâu</v>
      </c>
      <c r="C1314" s="436" t="str">
        <f>VLOOKUP(A1314,'Thống kê'!$C$3:$E$682,3,0)</f>
        <v>cái</v>
      </c>
      <c r="D1314" s="437">
        <f>VLOOKUP(A1314,'Thống kê'!$C$3:$M$682,4,0)</f>
        <v>59000</v>
      </c>
      <c r="E1314" s="438">
        <v>1</v>
      </c>
      <c r="F1314" s="439">
        <f t="shared" si="5"/>
        <v>59000</v>
      </c>
      <c r="G1314" s="442"/>
      <c r="H1314" s="448">
        <v>46668</v>
      </c>
    </row>
    <row r="1315" spans="1:8" ht="13.2">
      <c r="A1315" s="454" t="s">
        <v>1587</v>
      </c>
      <c r="B1315" s="452" t="str">
        <f>VLOOKUP(A1315,'Thống kê'!$C$3:$D$669,2,0)</f>
        <v>Vịt ú bay</v>
      </c>
      <c r="C1315" s="436" t="str">
        <f>VLOOKUP(A1315,'Thống kê'!$C$3:$E$682,3,0)</f>
        <v>cái</v>
      </c>
      <c r="D1315" s="437">
        <f>VLOOKUP(A1315,'Thống kê'!$C$3:$M$682,4,0)</f>
        <v>64500</v>
      </c>
      <c r="E1315" s="438">
        <v>1</v>
      </c>
      <c r="F1315" s="439">
        <f t="shared" si="5"/>
        <v>64500</v>
      </c>
      <c r="G1315" s="442"/>
      <c r="H1315" s="448">
        <v>51201</v>
      </c>
    </row>
    <row r="1316" spans="1:8" ht="13.2">
      <c r="A1316" s="454" t="s">
        <v>1975</v>
      </c>
      <c r="B1316" s="452" t="str">
        <f>VLOOKUP(A1316,'Thống kê'!$C$3:$D$669,2,0)</f>
        <v>Móc khóa capybara 16 - hồng thơm</v>
      </c>
      <c r="C1316" s="436" t="str">
        <f>VLOOKUP(A1316,'Thống kê'!$C$3:$E$682,3,0)</f>
        <v>cái</v>
      </c>
      <c r="D1316" s="437">
        <f>VLOOKUP(A1316,'Thống kê'!$C$3:$M$682,4,0)</f>
        <v>58800</v>
      </c>
      <c r="E1316" s="438">
        <v>1</v>
      </c>
      <c r="F1316" s="439">
        <f t="shared" si="5"/>
        <v>58800</v>
      </c>
      <c r="G1316" s="442"/>
      <c r="H1316" s="448">
        <v>46509</v>
      </c>
    </row>
    <row r="1317" spans="1:8" ht="13.2">
      <c r="A1317" s="454" t="s">
        <v>1976</v>
      </c>
      <c r="B1317" s="452" t="str">
        <f>VLOOKUP(A1317,'Thống kê'!$C$3:$D$669,2,0)</f>
        <v>Dao rọc giấy cún trắng</v>
      </c>
      <c r="C1317" s="436" t="str">
        <f>VLOOKUP(A1317,'Thống kê'!$C$3:$E$682,3,0)</f>
        <v>cái</v>
      </c>
      <c r="D1317" s="437">
        <f>VLOOKUP(A1317,'Thống kê'!$C$3:$M$682,4,0)</f>
        <v>9000</v>
      </c>
      <c r="E1317" s="438">
        <v>1</v>
      </c>
      <c r="F1317" s="439">
        <f t="shared" si="5"/>
        <v>9000</v>
      </c>
      <c r="G1317" s="442"/>
      <c r="H1317" s="447">
        <v>107624</v>
      </c>
    </row>
    <row r="1318" spans="1:8" ht="13.2">
      <c r="A1318" s="454" t="s">
        <v>1977</v>
      </c>
      <c r="B1318" s="452" t="str">
        <f>VLOOKUP(A1318,'Thống kê'!$C$3:$D$669,2,0)</f>
        <v>Hộp thuốc dấu chân cún</v>
      </c>
      <c r="C1318" s="436" t="str">
        <f>VLOOKUP(A1318,'Thống kê'!$C$3:$E$682,3,0)</f>
        <v>hộp</v>
      </c>
      <c r="D1318" s="437">
        <f>VLOOKUP(A1318,'Thống kê'!$C$3:$M$682,4,0)</f>
        <v>11000</v>
      </c>
      <c r="E1318" s="438">
        <v>1</v>
      </c>
      <c r="F1318" s="439">
        <f t="shared" si="5"/>
        <v>11000</v>
      </c>
      <c r="G1318" s="442"/>
      <c r="H1318" s="446"/>
    </row>
    <row r="1319" spans="1:8" ht="13.2">
      <c r="A1319" s="454" t="s">
        <v>1590</v>
      </c>
      <c r="B1319" s="452" t="str">
        <f>VLOOKUP(A1319,'Thống kê'!$C$3:$D$669,2,0)</f>
        <v>Cún ú hoa</v>
      </c>
      <c r="C1319" s="436" t="str">
        <f>VLOOKUP(A1319,'Thống kê'!$C$3:$E$682,3,0)</f>
        <v>cái</v>
      </c>
      <c r="D1319" s="437">
        <f>VLOOKUP(A1319,'Thống kê'!$C$3:$M$682,4,0)</f>
        <v>64500</v>
      </c>
      <c r="E1319" s="438">
        <v>1</v>
      </c>
      <c r="F1319" s="439">
        <f t="shared" si="5"/>
        <v>64500</v>
      </c>
      <c r="G1319" s="442"/>
      <c r="H1319" s="446"/>
    </row>
    <row r="1320" spans="1:8" ht="13.2">
      <c r="A1320" s="454" t="s">
        <v>145</v>
      </c>
      <c r="B1320" s="452" t="str">
        <f>VLOOKUP(A1320,'Thống kê'!$C$3:$D$669,2,0)</f>
        <v>Thỏ đi vịt gắn xe</v>
      </c>
      <c r="C1320" s="436" t="str">
        <f>VLOOKUP(A1320,'Thống kê'!$C$3:$E$682,3,0)</f>
        <v>cái</v>
      </c>
      <c r="D1320" s="437">
        <f>VLOOKUP(A1320,'Thống kê'!$C$3:$M$682,4,0)</f>
        <v>45000</v>
      </c>
      <c r="E1320" s="438">
        <v>1</v>
      </c>
      <c r="F1320" s="439">
        <f t="shared" si="5"/>
        <v>45000</v>
      </c>
      <c r="G1320" s="442"/>
      <c r="H1320" s="446"/>
    </row>
    <row r="1321" spans="1:8" ht="13.2">
      <c r="A1321" s="454" t="s">
        <v>1978</v>
      </c>
      <c r="B1321" s="452" t="str">
        <f>VLOOKUP(A1321,'Thống kê'!$C$3:$D$669,2,0)</f>
        <v>Kẹp khuếch tán tinh dầu vịt nâu</v>
      </c>
      <c r="C1321" s="436" t="str">
        <f>VLOOKUP(A1321,'Thống kê'!$C$3:$E$682,3,0)</f>
        <v>cái</v>
      </c>
      <c r="D1321" s="437">
        <f>VLOOKUP(A1321,'Thống kê'!$C$3:$M$682,4,0)</f>
        <v>142400</v>
      </c>
      <c r="E1321" s="438">
        <v>1</v>
      </c>
      <c r="F1321" s="439">
        <f t="shared" si="5"/>
        <v>142400</v>
      </c>
      <c r="G1321" s="442"/>
      <c r="H1321" s="447">
        <v>196873</v>
      </c>
    </row>
    <row r="1322" spans="1:8" ht="13.2">
      <c r="A1322" s="454" t="s">
        <v>1979</v>
      </c>
      <c r="B1322" s="452" t="str">
        <f>VLOOKUP(A1322,'Thống kê'!$C$3:$D$669,2,0)</f>
        <v>Kẹp khuếch tán tinh dầu mèo hồng</v>
      </c>
      <c r="C1322" s="436" t="str">
        <f>VLOOKUP(A1322,'Thống kê'!$C$3:$E$682,3,0)</f>
        <v>cái</v>
      </c>
      <c r="D1322" s="437">
        <f>VLOOKUP(A1322,'Thống kê'!$C$3:$M$682,4,0)</f>
        <v>142400</v>
      </c>
      <c r="E1322" s="438">
        <v>1</v>
      </c>
      <c r="F1322" s="439">
        <f t="shared" si="5"/>
        <v>142400</v>
      </c>
      <c r="G1322" s="442"/>
      <c r="H1322" s="446"/>
    </row>
    <row r="1323" spans="1:8" ht="13.2">
      <c r="A1323" s="454" t="s">
        <v>1625</v>
      </c>
      <c r="B1323" s="452" t="str">
        <f>VLOOKUP(A1323,'Thống kê'!$C$3:$D$669,2,0)</f>
        <v>Móc khóa đôi 2 mèo trắng nâu</v>
      </c>
      <c r="C1323" s="436" t="str">
        <f>VLOOKUP(A1323,'Thống kê'!$C$3:$E$682,3,0)</f>
        <v>cái</v>
      </c>
      <c r="D1323" s="437">
        <f>VLOOKUP(A1323,'Thống kê'!$C$3:$M$682,4,0)</f>
        <v>59000</v>
      </c>
      <c r="E1323" s="438">
        <v>1</v>
      </c>
      <c r="F1323" s="439">
        <f t="shared" si="5"/>
        <v>59000</v>
      </c>
      <c r="G1323" s="442"/>
      <c r="H1323" s="448">
        <v>46448</v>
      </c>
    </row>
    <row r="1324" spans="1:8" ht="13.2">
      <c r="A1324" s="454" t="s">
        <v>150</v>
      </c>
      <c r="B1324" s="452" t="str">
        <f>VLOOKUP(A1324,'Thống kê'!$C$3:$D$669,2,0)</f>
        <v>Móc khóa có chuông</v>
      </c>
      <c r="C1324" s="436" t="str">
        <f>VLOOKUP(A1324,'Thống kê'!$C$3:$E$682,3,0)</f>
        <v>cái</v>
      </c>
      <c r="D1324" s="437">
        <f>VLOOKUP(A1324,'Thống kê'!$C$3:$M$682,4,0)</f>
        <v>59000</v>
      </c>
      <c r="E1324" s="438">
        <v>1</v>
      </c>
      <c r="F1324" s="439">
        <f t="shared" si="5"/>
        <v>59000</v>
      </c>
      <c r="G1324" s="442"/>
      <c r="H1324" s="448">
        <v>49608</v>
      </c>
    </row>
    <row r="1325" spans="1:8" ht="13.2">
      <c r="A1325" s="454" t="s">
        <v>1625</v>
      </c>
      <c r="B1325" s="452" t="str">
        <f>VLOOKUP(A1325,'Thống kê'!$C$3:$D$669,2,0)</f>
        <v>Móc khóa đôi 2 mèo trắng nâu</v>
      </c>
      <c r="C1325" s="436" t="str">
        <f>VLOOKUP(A1325,'Thống kê'!$C$3:$E$682,3,0)</f>
        <v>cái</v>
      </c>
      <c r="D1325" s="437">
        <f>VLOOKUP(A1325,'Thống kê'!$C$3:$M$682,4,0)</f>
        <v>59000</v>
      </c>
      <c r="E1325" s="438">
        <v>1</v>
      </c>
      <c r="F1325" s="439">
        <f t="shared" si="5"/>
        <v>59000</v>
      </c>
      <c r="G1325" s="442"/>
      <c r="H1325" s="448">
        <v>46728</v>
      </c>
    </row>
    <row r="1326" spans="1:8" ht="13.2">
      <c r="A1326" s="454" t="s">
        <v>1587</v>
      </c>
      <c r="B1326" s="452" t="str">
        <f>VLOOKUP(A1326,'Thống kê'!$C$3:$D$669,2,0)</f>
        <v>Vịt ú bay</v>
      </c>
      <c r="C1326" s="436" t="str">
        <f>VLOOKUP(A1326,'Thống kê'!$C$3:$E$682,3,0)</f>
        <v>cái</v>
      </c>
      <c r="D1326" s="437">
        <f>VLOOKUP(A1326,'Thống kê'!$C$3:$M$682,4,0)</f>
        <v>64500</v>
      </c>
      <c r="E1326" s="438">
        <v>1</v>
      </c>
      <c r="F1326" s="439">
        <f t="shared" si="5"/>
        <v>64500</v>
      </c>
      <c r="G1326" s="442"/>
      <c r="H1326" s="448">
        <v>47361</v>
      </c>
    </row>
    <row r="1327" spans="1:8" ht="13.2">
      <c r="A1327" s="454" t="s">
        <v>1612</v>
      </c>
      <c r="B1327" s="452" t="str">
        <f>VLOOKUP(A1327,'Thống kê'!$C$3:$D$669,2,0)</f>
        <v>Kẹp tóc bướm trắng</v>
      </c>
      <c r="C1327" s="436" t="str">
        <f>VLOOKUP(A1327,'Thống kê'!$C$3:$E$682,3,0)</f>
        <v>cái</v>
      </c>
      <c r="D1327" s="437">
        <f>VLOOKUP(A1327,'Thống kê'!$C$3:$M$682,4,0)</f>
        <v>40000</v>
      </c>
      <c r="E1327" s="438">
        <v>1</v>
      </c>
      <c r="F1327" s="439">
        <f t="shared" si="5"/>
        <v>40000</v>
      </c>
      <c r="G1327" s="442"/>
      <c r="H1327" s="448">
        <v>35140</v>
      </c>
    </row>
    <row r="1328" spans="1:8" ht="13.2">
      <c r="A1328" s="454" t="s">
        <v>150</v>
      </c>
      <c r="B1328" s="452" t="str">
        <f>VLOOKUP(A1328,'Thống kê'!$C$3:$D$669,2,0)</f>
        <v>Móc khóa có chuông</v>
      </c>
      <c r="C1328" s="436" t="str">
        <f>VLOOKUP(A1328,'Thống kê'!$C$3:$E$682,3,0)</f>
        <v>cái</v>
      </c>
      <c r="D1328" s="437">
        <f>VLOOKUP(A1328,'Thống kê'!$C$3:$M$682,4,0)</f>
        <v>59000</v>
      </c>
      <c r="E1328" s="438">
        <v>1</v>
      </c>
      <c r="F1328" s="439">
        <f t="shared" si="5"/>
        <v>59000</v>
      </c>
      <c r="G1328" s="442"/>
      <c r="H1328" s="448">
        <v>46408</v>
      </c>
    </row>
    <row r="1329" spans="1:8" ht="13.2">
      <c r="A1329" s="454" t="s">
        <v>1625</v>
      </c>
      <c r="B1329" s="452" t="str">
        <f>VLOOKUP(A1329,'Thống kê'!$C$3:$D$669,2,0)</f>
        <v>Móc khóa đôi 2 mèo trắng nâu</v>
      </c>
      <c r="C1329" s="436" t="str">
        <f>VLOOKUP(A1329,'Thống kê'!$C$3:$E$682,3,0)</f>
        <v>cái</v>
      </c>
      <c r="D1329" s="437">
        <f>VLOOKUP(A1329,'Thống kê'!$C$3:$M$682,4,0)</f>
        <v>59000</v>
      </c>
      <c r="E1329" s="438">
        <v>1</v>
      </c>
      <c r="F1329" s="439">
        <f t="shared" si="5"/>
        <v>59000</v>
      </c>
      <c r="G1329" s="442"/>
      <c r="H1329" s="448">
        <v>46668</v>
      </c>
    </row>
    <row r="1330" spans="1:8" ht="13.2">
      <c r="A1330" s="454" t="s">
        <v>1210</v>
      </c>
      <c r="B1330" s="452" t="str">
        <f>VLOOKUP(A1330,'Thống kê'!$C$3:$D$669,2,0)</f>
        <v>Shiba ú cầm hoa</v>
      </c>
      <c r="C1330" s="436" t="str">
        <f>VLOOKUP(A1330,'Thống kê'!$C$3:$E$682,3,0)</f>
        <v>cái</v>
      </c>
      <c r="D1330" s="437">
        <f>VLOOKUP(A1330,'Thống kê'!$C$3:$M$682,4,0)</f>
        <v>64500</v>
      </c>
      <c r="E1330" s="438">
        <v>1</v>
      </c>
      <c r="F1330" s="439">
        <f t="shared" ref="F1330:F1584" si="6">D1330*E1330</f>
        <v>64500</v>
      </c>
      <c r="G1330" s="442"/>
      <c r="H1330" s="447">
        <v>95744</v>
      </c>
    </row>
    <row r="1331" spans="1:8" ht="13.2">
      <c r="A1331" s="454" t="s">
        <v>150</v>
      </c>
      <c r="B1331" s="452" t="str">
        <f>VLOOKUP(A1331,'Thống kê'!$C$3:$D$669,2,0)</f>
        <v>Móc khóa có chuông</v>
      </c>
      <c r="C1331" s="436" t="str">
        <f>VLOOKUP(A1331,'Thống kê'!$C$3:$E$682,3,0)</f>
        <v>cái</v>
      </c>
      <c r="D1331" s="437">
        <f>VLOOKUP(A1331,'Thống kê'!$C$3:$M$682,4,0)</f>
        <v>59000</v>
      </c>
      <c r="E1331" s="438">
        <v>1</v>
      </c>
      <c r="F1331" s="439">
        <f t="shared" si="6"/>
        <v>59000</v>
      </c>
      <c r="G1331" s="442"/>
      <c r="H1331" s="446"/>
    </row>
    <row r="1332" spans="1:8" ht="13.2">
      <c r="A1332" s="454" t="s">
        <v>1980</v>
      </c>
      <c r="B1332" s="452" t="str">
        <f>VLOOKUP(A1332,'Thống kê'!$C$3:$D$669,2,0)</f>
        <v>Móc khoá cún Sandwich</v>
      </c>
      <c r="C1332" s="436" t="str">
        <f>VLOOKUP(A1332,'Thống kê'!$C$3:$E$682,3,0)</f>
        <v>cái</v>
      </c>
      <c r="D1332" s="437">
        <f>VLOOKUP(A1332,'Thống kê'!$C$3:$M$682,4,0)</f>
        <v>38000</v>
      </c>
      <c r="E1332" s="438">
        <v>2</v>
      </c>
      <c r="F1332" s="439">
        <f t="shared" si="6"/>
        <v>76000</v>
      </c>
      <c r="G1332" s="442"/>
      <c r="H1332" s="448">
        <v>60132</v>
      </c>
    </row>
    <row r="1333" spans="1:8" ht="13.2">
      <c r="A1333" s="454" t="s">
        <v>1616</v>
      </c>
      <c r="B1333" s="452" t="str">
        <f>VLOOKUP(A1333,'Thống kê'!$C$3:$D$669,2,0)</f>
        <v>Kẹp tóc bướm hồng phấn</v>
      </c>
      <c r="C1333" s="436" t="str">
        <f>VLOOKUP(A1333,'Thống kê'!$C$3:$E$682,3,0)</f>
        <v>cái</v>
      </c>
      <c r="D1333" s="437">
        <f>VLOOKUP(A1333,'Thống kê'!$C$3:$M$682,4,0)</f>
        <v>40000</v>
      </c>
      <c r="E1333" s="438">
        <v>1</v>
      </c>
      <c r="F1333" s="439">
        <f t="shared" si="6"/>
        <v>40000</v>
      </c>
      <c r="G1333" s="442"/>
      <c r="H1333" s="447">
        <v>63300</v>
      </c>
    </row>
    <row r="1334" spans="1:8" ht="13.2">
      <c r="A1334" s="454" t="s">
        <v>1615</v>
      </c>
      <c r="B1334" s="452" t="str">
        <f>VLOOKUP(A1334,'Thống kê'!$C$3:$D$669,2,0)</f>
        <v>Kẹp tóc bướm tím</v>
      </c>
      <c r="C1334" s="436" t="str">
        <f>VLOOKUP(A1334,'Thống kê'!$C$3:$E$682,3,0)</f>
        <v>cái</v>
      </c>
      <c r="D1334" s="437">
        <f>VLOOKUP(A1334,'Thống kê'!$C$3:$M$682,4,0)</f>
        <v>40000</v>
      </c>
      <c r="E1334" s="438">
        <v>1</v>
      </c>
      <c r="F1334" s="439">
        <f t="shared" si="6"/>
        <v>40000</v>
      </c>
      <c r="G1334" s="442"/>
      <c r="H1334" s="446"/>
    </row>
    <row r="1335" spans="1:8" ht="13.2">
      <c r="A1335" s="454" t="s">
        <v>1936</v>
      </c>
      <c r="B1335" s="452" t="str">
        <f>VLOOKUP(A1335,'Thống kê'!$C$3:$D$669,2,0)</f>
        <v>Kẹp tóc hoa sứ vàng</v>
      </c>
      <c r="C1335" s="436" t="str">
        <f>VLOOKUP(A1335,'Thống kê'!$C$3:$E$682,3,0)</f>
        <v>cái</v>
      </c>
      <c r="D1335" s="437">
        <f>VLOOKUP(A1335,'Thống kê'!$C$3:$M$682,4,0)</f>
        <v>18500</v>
      </c>
      <c r="E1335" s="438">
        <v>1</v>
      </c>
      <c r="F1335" s="439">
        <f t="shared" si="6"/>
        <v>18500</v>
      </c>
      <c r="G1335" s="442"/>
      <c r="H1335" s="446"/>
    </row>
    <row r="1336" spans="1:8" ht="13.2">
      <c r="A1336" s="454" t="s">
        <v>119</v>
      </c>
      <c r="B1336" s="452" t="str">
        <f>VLOOKUP(A1336,'Thống kê'!$C$3:$D$669,2,0)</f>
        <v>Thỏ chạy xe gắn xe</v>
      </c>
      <c r="C1336" s="436" t="str">
        <f>VLOOKUP(A1336,'Thống kê'!$C$3:$E$682,3,0)</f>
        <v>cái</v>
      </c>
      <c r="D1336" s="437">
        <f>VLOOKUP(A1336,'Thống kê'!$C$3:$M$682,4,0)</f>
        <v>45000</v>
      </c>
      <c r="E1336" s="438">
        <v>1</v>
      </c>
      <c r="F1336" s="439">
        <f t="shared" si="6"/>
        <v>45000</v>
      </c>
      <c r="G1336" s="442"/>
      <c r="H1336" s="448">
        <v>36200</v>
      </c>
    </row>
    <row r="1337" spans="1:8" ht="13.2">
      <c r="A1337" s="454" t="s">
        <v>1974</v>
      </c>
      <c r="B1337" s="452" t="str">
        <f>VLOOKUP(A1337,'Thống kê'!$C$3:$D$669,2,0)</f>
        <v>Mô hình cún 01</v>
      </c>
      <c r="C1337" s="436" t="str">
        <f>VLOOKUP(A1337,'Thống kê'!$C$3:$E$682,3,0)</f>
        <v>cái</v>
      </c>
      <c r="D1337" s="437">
        <f>VLOOKUP(A1337,'Thống kê'!$C$3:$M$682,4,0)</f>
        <v>39000</v>
      </c>
      <c r="E1337" s="438">
        <v>1</v>
      </c>
      <c r="F1337" s="439">
        <f t="shared" si="6"/>
        <v>39000</v>
      </c>
      <c r="G1337" s="442"/>
      <c r="H1337" s="447">
        <v>93209</v>
      </c>
    </row>
    <row r="1338" spans="1:8" ht="13.2">
      <c r="A1338" s="454" t="s">
        <v>1622</v>
      </c>
      <c r="B1338" s="452" t="str">
        <f>VLOOKUP(A1338,'Thống kê'!$C$3:$D$669,2,0)</f>
        <v>Mô hình mèo 1</v>
      </c>
      <c r="C1338" s="436" t="str">
        <f>VLOOKUP(A1338,'Thống kê'!$C$3:$E$682,3,0)</f>
        <v>cái</v>
      </c>
      <c r="D1338" s="437">
        <f>VLOOKUP(A1338,'Thống kê'!$C$3:$M$682,4,0)</f>
        <v>37800</v>
      </c>
      <c r="E1338" s="438">
        <v>1</v>
      </c>
      <c r="F1338" s="439">
        <f t="shared" si="6"/>
        <v>37800</v>
      </c>
      <c r="G1338" s="442"/>
      <c r="H1338" s="446"/>
    </row>
    <row r="1339" spans="1:8" ht="13.2">
      <c r="A1339" s="454" t="s">
        <v>1621</v>
      </c>
      <c r="B1339" s="452" t="str">
        <f>VLOOKUP(A1339,'Thống kê'!$C$3:$D$669,2,0)</f>
        <v>Mô hình mèo 2</v>
      </c>
      <c r="C1339" s="436" t="str">
        <f>VLOOKUP(A1339,'Thống kê'!$C$3:$E$682,3,0)</f>
        <v>cái</v>
      </c>
      <c r="D1339" s="437">
        <f>VLOOKUP(A1339,'Thống kê'!$C$3:$M$682,4,0)</f>
        <v>37800</v>
      </c>
      <c r="E1339" s="438">
        <v>1</v>
      </c>
      <c r="F1339" s="439">
        <f t="shared" si="6"/>
        <v>37800</v>
      </c>
      <c r="G1339" s="442"/>
      <c r="H1339" s="446"/>
    </row>
    <row r="1340" spans="1:8" ht="13.2">
      <c r="A1340" s="454" t="s">
        <v>1981</v>
      </c>
      <c r="B1340" s="452" t="str">
        <f>VLOOKUP(A1340,'Thống kê'!$C$3:$D$669,2,0)</f>
        <v>Kẹp tóc bướm xanh lá</v>
      </c>
      <c r="C1340" s="436" t="str">
        <f>VLOOKUP(A1340,'Thống kê'!$C$3:$E$682,3,0)</f>
        <v>cái</v>
      </c>
      <c r="D1340" s="437">
        <f>VLOOKUP(A1340,'Thống kê'!$C$3:$M$682,4,0)</f>
        <v>18000</v>
      </c>
      <c r="E1340" s="438">
        <v>1</v>
      </c>
      <c r="F1340" s="439">
        <f t="shared" si="6"/>
        <v>18000</v>
      </c>
      <c r="G1340" s="442"/>
      <c r="H1340" s="447">
        <v>46351</v>
      </c>
    </row>
    <row r="1341" spans="1:8" ht="13.2">
      <c r="A1341" s="454" t="s">
        <v>183</v>
      </c>
      <c r="B1341" s="452" t="str">
        <f>VLOOKUP(A1341,'Thống kê'!$C$3:$D$669,2,0)</f>
        <v>Thỏ máy bay gắn xe</v>
      </c>
      <c r="C1341" s="436" t="str">
        <f>VLOOKUP(A1341,'Thống kê'!$C$3:$E$682,3,0)</f>
        <v>cái</v>
      </c>
      <c r="D1341" s="437">
        <f>VLOOKUP(A1341,'Thống kê'!$C$3:$M$682,4,0)</f>
        <v>45000</v>
      </c>
      <c r="E1341" s="438">
        <v>1</v>
      </c>
      <c r="F1341" s="439">
        <f t="shared" si="6"/>
        <v>45000</v>
      </c>
      <c r="G1341" s="442"/>
      <c r="H1341" s="446"/>
    </row>
    <row r="1342" spans="1:8" ht="13.2">
      <c r="A1342" s="454" t="s">
        <v>1625</v>
      </c>
      <c r="B1342" s="452" t="str">
        <f>VLOOKUP(A1342,'Thống kê'!$C$3:$D$669,2,0)</f>
        <v>Móc khóa đôi 2 mèo trắng nâu</v>
      </c>
      <c r="C1342" s="436" t="str">
        <f>VLOOKUP(A1342,'Thống kê'!$C$3:$E$682,3,0)</f>
        <v>cái</v>
      </c>
      <c r="D1342" s="437">
        <f>VLOOKUP(A1342,'Thống kê'!$C$3:$M$682,4,0)</f>
        <v>59000</v>
      </c>
      <c r="E1342" s="438">
        <v>1</v>
      </c>
      <c r="F1342" s="439">
        <f t="shared" si="6"/>
        <v>59000</v>
      </c>
      <c r="G1342" s="442"/>
      <c r="H1342" s="448">
        <v>46408</v>
      </c>
    </row>
    <row r="1343" spans="1:8" ht="13.2">
      <c r="A1343" s="454" t="s">
        <v>143</v>
      </c>
      <c r="B1343" s="452" t="str">
        <f>VLOOKUP(A1343,'Thống kê'!$C$3:$D$669,2,0)</f>
        <v>Mèo ú</v>
      </c>
      <c r="C1343" s="436" t="str">
        <f>VLOOKUP(A1343,'Thống kê'!$C$3:$E$682,3,0)</f>
        <v>cái</v>
      </c>
      <c r="D1343" s="437">
        <f>VLOOKUP(A1343,'Thống kê'!$C$3:$M$682,4,0)</f>
        <v>59500</v>
      </c>
      <c r="E1343" s="438">
        <v>1</v>
      </c>
      <c r="F1343" s="439">
        <f t="shared" si="6"/>
        <v>59500</v>
      </c>
      <c r="G1343" s="442"/>
      <c r="H1343" s="448">
        <v>43400</v>
      </c>
    </row>
    <row r="1344" spans="1:8" ht="13.2">
      <c r="A1344" s="454" t="s">
        <v>1591</v>
      </c>
      <c r="B1344" s="452" t="str">
        <f>VLOOKUP(A1344,'Thống kê'!$C$3:$D$669,2,0)</f>
        <v>Thỏ ú</v>
      </c>
      <c r="C1344" s="436" t="str">
        <f>VLOOKUP(A1344,'Thống kê'!$C$3:$E$682,3,0)</f>
        <v>cái</v>
      </c>
      <c r="D1344" s="437">
        <f>VLOOKUP(A1344,'Thống kê'!$C$3:$M$682,4,0)</f>
        <v>59500</v>
      </c>
      <c r="E1344" s="438">
        <v>1</v>
      </c>
      <c r="F1344" s="439">
        <f t="shared" si="6"/>
        <v>59500</v>
      </c>
      <c r="G1344" s="442"/>
      <c r="H1344" s="447">
        <v>123024</v>
      </c>
    </row>
    <row r="1345" spans="1:8" ht="13.2">
      <c r="A1345" s="454" t="s">
        <v>1982</v>
      </c>
      <c r="B1345" s="452" t="str">
        <f>VLOOKUP(A1345,'Thống kê'!$C$3:$D$669,2,0)</f>
        <v>Vớ trắng mỏng nhiều gấu</v>
      </c>
      <c r="C1345" s="436" t="str">
        <f>VLOOKUP(A1345,'Thống kê'!$C$3:$E$682,3,0)</f>
        <v>đôi</v>
      </c>
      <c r="D1345" s="437">
        <f>VLOOKUP(A1345,'Thống kê'!$C$3:$M$682,4,0)</f>
        <v>9900</v>
      </c>
      <c r="E1345" s="438">
        <v>1</v>
      </c>
      <c r="F1345" s="439">
        <f t="shared" si="6"/>
        <v>9900</v>
      </c>
      <c r="G1345" s="442"/>
      <c r="H1345" s="446"/>
    </row>
    <row r="1346" spans="1:8" ht="13.2">
      <c r="A1346" s="454" t="s">
        <v>1983</v>
      </c>
      <c r="B1346" s="452" t="str">
        <f>VLOOKUP(A1346,'Thống kê'!$C$3:$D$669,2,0)</f>
        <v>Vớ trắng icon be 2</v>
      </c>
      <c r="C1346" s="436" t="str">
        <f>VLOOKUP(A1346,'Thống kê'!$C$3:$E$682,3,0)</f>
        <v>đôi</v>
      </c>
      <c r="D1346" s="437">
        <f>VLOOKUP(A1346,'Thống kê'!$C$3:$M$682,4,0)</f>
        <v>9900</v>
      </c>
      <c r="E1346" s="438">
        <v>1</v>
      </c>
      <c r="F1346" s="439">
        <f t="shared" si="6"/>
        <v>9900</v>
      </c>
      <c r="G1346" s="442"/>
      <c r="H1346" s="446"/>
    </row>
    <row r="1347" spans="1:8" ht="13.2">
      <c r="A1347" s="454" t="s">
        <v>1982</v>
      </c>
      <c r="B1347" s="452" t="str">
        <f>VLOOKUP(A1347,'Thống kê'!$C$3:$D$669,2,0)</f>
        <v>Vớ trắng mỏng nhiều gấu</v>
      </c>
      <c r="C1347" s="436" t="str">
        <f>VLOOKUP(A1347,'Thống kê'!$C$3:$E$682,3,0)</f>
        <v>đôi</v>
      </c>
      <c r="D1347" s="437">
        <f>VLOOKUP(A1347,'Thống kê'!$C$3:$M$682,4,0)</f>
        <v>9900</v>
      </c>
      <c r="E1347" s="438">
        <v>1</v>
      </c>
      <c r="F1347" s="439">
        <f t="shared" si="6"/>
        <v>9900</v>
      </c>
      <c r="G1347" s="442"/>
      <c r="H1347" s="446"/>
    </row>
    <row r="1348" spans="1:8" ht="13.2">
      <c r="A1348" s="454" t="s">
        <v>1916</v>
      </c>
      <c r="B1348" s="452" t="str">
        <f>VLOOKUP(A1348,'Thống kê'!$C$3:$D$669,2,0)</f>
        <v>Vớ trắng mỏng nhiều hoa</v>
      </c>
      <c r="C1348" s="436" t="str">
        <f>VLOOKUP(A1348,'Thống kê'!$C$3:$E$682,3,0)</f>
        <v>đôi</v>
      </c>
      <c r="D1348" s="437">
        <f>VLOOKUP(A1348,'Thống kê'!$C$3:$M$682,4,0)</f>
        <v>9900</v>
      </c>
      <c r="E1348" s="438">
        <v>1</v>
      </c>
      <c r="F1348" s="439">
        <f t="shared" si="6"/>
        <v>9900</v>
      </c>
      <c r="G1348" s="442"/>
      <c r="H1348" s="446"/>
    </row>
    <row r="1349" spans="1:8" ht="13.2">
      <c r="A1349" s="454" t="s">
        <v>1984</v>
      </c>
      <c r="B1349" s="452" t="str">
        <f>VLOOKUP(A1349,'Thống kê'!$C$3:$D$669,2,0)</f>
        <v>Vớ trắng mỏng hoa vàng</v>
      </c>
      <c r="C1349" s="436" t="str">
        <f>VLOOKUP(A1349,'Thống kê'!$C$3:$E$682,3,0)</f>
        <v>đôi</v>
      </c>
      <c r="D1349" s="437">
        <f>VLOOKUP(A1349,'Thống kê'!$C$3:$M$682,4,0)</f>
        <v>9900</v>
      </c>
      <c r="E1349" s="438">
        <v>1</v>
      </c>
      <c r="F1349" s="439">
        <f t="shared" si="6"/>
        <v>9900</v>
      </c>
      <c r="G1349" s="442"/>
      <c r="H1349" s="446"/>
    </row>
    <row r="1350" spans="1:8" ht="13.2">
      <c r="A1350" s="454" t="s">
        <v>1985</v>
      </c>
      <c r="B1350" s="452" t="str">
        <f>VLOOKUP(A1350,'Thống kê'!$C$3:$D$669,2,0)</f>
        <v>Vớ trắng mỏng gấu</v>
      </c>
      <c r="C1350" s="436" t="str">
        <f>VLOOKUP(A1350,'Thống kê'!$C$3:$E$682,3,0)</f>
        <v>đôi</v>
      </c>
      <c r="D1350" s="437">
        <f>VLOOKUP(A1350,'Thống kê'!$C$3:$M$682,4,0)</f>
        <v>9900</v>
      </c>
      <c r="E1350" s="438">
        <v>1</v>
      </c>
      <c r="F1350" s="439">
        <f t="shared" si="6"/>
        <v>9900</v>
      </c>
      <c r="G1350" s="442"/>
      <c r="H1350" s="446"/>
    </row>
    <row r="1351" spans="1:8" ht="13.2">
      <c r="A1351" s="454" t="s">
        <v>1986</v>
      </c>
      <c r="B1351" s="452" t="str">
        <f>VLOOKUP(A1351,'Thống kê'!$C$3:$D$669,2,0)</f>
        <v>Vớ trắng mỏng tulip hồng</v>
      </c>
      <c r="C1351" s="436" t="str">
        <f>VLOOKUP(A1351,'Thống kê'!$C$3:$E$682,3,0)</f>
        <v>đôi</v>
      </c>
      <c r="D1351" s="437">
        <f>VLOOKUP(A1351,'Thống kê'!$C$3:$M$682,4,0)</f>
        <v>9900</v>
      </c>
      <c r="E1351" s="438">
        <v>1</v>
      </c>
      <c r="F1351" s="439">
        <f t="shared" si="6"/>
        <v>9900</v>
      </c>
      <c r="G1351" s="442"/>
      <c r="H1351" s="446"/>
    </row>
    <row r="1352" spans="1:8" ht="13.2">
      <c r="A1352" s="454" t="s">
        <v>1987</v>
      </c>
      <c r="B1352" s="452" t="str">
        <f>VLOOKUP(A1352,'Thống kê'!$C$3:$D$669,2,0)</f>
        <v>Ống 6 dây cột tóc đen</v>
      </c>
      <c r="C1352" s="436" t="str">
        <f>VLOOKUP(A1352,'Thống kê'!$C$3:$E$682,3,0)</f>
        <v>ống</v>
      </c>
      <c r="D1352" s="437">
        <f>VLOOKUP(A1352,'Thống kê'!$C$3:$M$682,4,0)</f>
        <v>20000</v>
      </c>
      <c r="E1352" s="438">
        <v>1</v>
      </c>
      <c r="F1352" s="439">
        <f t="shared" si="6"/>
        <v>20000</v>
      </c>
      <c r="G1352" s="442"/>
      <c r="H1352" s="446"/>
    </row>
    <row r="1353" spans="1:8" ht="13.2">
      <c r="A1353" s="454" t="s">
        <v>1988</v>
      </c>
      <c r="B1353" s="452" t="str">
        <f>VLOOKUP(A1353,'Thống kê'!$C$3:$D$669,2,0)</f>
        <v>Ống 6 dâu cột tóc nâu</v>
      </c>
      <c r="C1353" s="436" t="str">
        <f>VLOOKUP(A1353,'Thống kê'!$C$3:$E$682,3,0)</f>
        <v>ống</v>
      </c>
      <c r="D1353" s="437">
        <f>VLOOKUP(A1353,'Thống kê'!$C$3:$M$682,4,0)</f>
        <v>20000</v>
      </c>
      <c r="E1353" s="438">
        <v>1</v>
      </c>
      <c r="F1353" s="439">
        <f t="shared" si="6"/>
        <v>20000</v>
      </c>
      <c r="G1353" s="442"/>
      <c r="H1353" s="446"/>
    </row>
    <row r="1354" spans="1:8" ht="13.2">
      <c r="A1354" s="454" t="s">
        <v>128</v>
      </c>
      <c r="B1354" s="452" t="str">
        <f>VLOOKUP(A1354,'Thống kê'!$C$3:$D$669,2,0)</f>
        <v>Mèo ú bay</v>
      </c>
      <c r="C1354" s="436" t="str">
        <f>VLOOKUP(A1354,'Thống kê'!$C$3:$E$682,3,0)</f>
        <v>cái</v>
      </c>
      <c r="D1354" s="437">
        <f>VLOOKUP(A1354,'Thống kê'!$C$3:$M$682,4,0)</f>
        <v>64500</v>
      </c>
      <c r="E1354" s="438">
        <v>1</v>
      </c>
      <c r="F1354" s="439">
        <f t="shared" si="6"/>
        <v>64500</v>
      </c>
      <c r="G1354" s="442"/>
      <c r="H1354" s="448">
        <v>47021</v>
      </c>
    </row>
    <row r="1355" spans="1:8" ht="13.2">
      <c r="A1355" s="454" t="s">
        <v>1917</v>
      </c>
      <c r="B1355" s="452" t="str">
        <f>VLOOKUP(A1355,'Thống kê'!$C$3:$D$669,2,0)</f>
        <v>Móc khóa đôi thỏ cà rốt</v>
      </c>
      <c r="C1355" s="436" t="str">
        <f>VLOOKUP(A1355,'Thống kê'!$C$3:$E$682,3,0)</f>
        <v>cái</v>
      </c>
      <c r="D1355" s="437">
        <f>VLOOKUP(A1355,'Thống kê'!$C$3:$M$682,4,0)</f>
        <v>48300</v>
      </c>
      <c r="E1355" s="438">
        <v>1</v>
      </c>
      <c r="F1355" s="439">
        <f t="shared" si="6"/>
        <v>48300</v>
      </c>
      <c r="G1355" s="442"/>
      <c r="H1355" s="448">
        <v>42504</v>
      </c>
    </row>
    <row r="1356" spans="1:8" ht="13.2">
      <c r="A1356" s="454" t="s">
        <v>1972</v>
      </c>
      <c r="B1356" s="452" t="str">
        <f>VLOOKUP(A1356,'Thống kê'!$C$3:$D$669,2,0)</f>
        <v>Túi chườm bụng gấu nâu 500ml</v>
      </c>
      <c r="C1356" s="436" t="str">
        <f>VLOOKUP(A1356,'Thống kê'!$C$3:$E$682,3,0)</f>
        <v>túi</v>
      </c>
      <c r="D1356" s="437">
        <f>VLOOKUP(A1356,'Thống kê'!$C$3:$M$682,4,0)</f>
        <v>72250</v>
      </c>
      <c r="E1356" s="438">
        <v>1</v>
      </c>
      <c r="F1356" s="439">
        <f t="shared" si="6"/>
        <v>72250</v>
      </c>
      <c r="G1356" s="442"/>
      <c r="H1356" s="448">
        <v>67260</v>
      </c>
    </row>
    <row r="1357" spans="1:8" ht="13.2">
      <c r="A1357" s="454" t="s">
        <v>1622</v>
      </c>
      <c r="B1357" s="452" t="str">
        <f>VLOOKUP(A1357,'Thống kê'!$C$3:$D$669,2,0)</f>
        <v>Mô hình mèo 1</v>
      </c>
      <c r="C1357" s="436" t="str">
        <f>VLOOKUP(A1357,'Thống kê'!$C$3:$E$682,3,0)</f>
        <v>cái</v>
      </c>
      <c r="D1357" s="437">
        <f>VLOOKUP(A1357,'Thống kê'!$C$3:$M$682,4,0)</f>
        <v>37800</v>
      </c>
      <c r="E1357" s="438">
        <v>1</v>
      </c>
      <c r="F1357" s="439">
        <f t="shared" si="6"/>
        <v>37800</v>
      </c>
      <c r="G1357" s="442"/>
      <c r="H1357" s="447">
        <v>61046</v>
      </c>
    </row>
    <row r="1358" spans="1:8" ht="13.2">
      <c r="A1358" s="454" t="s">
        <v>1636</v>
      </c>
      <c r="B1358" s="452" t="str">
        <f>VLOOKUP(A1358,'Thống kê'!$C$3:$D$669,2,0)</f>
        <v>Mô hình mèo 3</v>
      </c>
      <c r="C1358" s="436" t="str">
        <f>VLOOKUP(A1358,'Thống kê'!$C$3:$E$682,3,0)</f>
        <v>cái</v>
      </c>
      <c r="D1358" s="437">
        <f>VLOOKUP(A1358,'Thống kê'!$C$3:$M$682,4,0)</f>
        <v>37800</v>
      </c>
      <c r="E1358" s="438">
        <v>1</v>
      </c>
      <c r="F1358" s="439">
        <f t="shared" si="6"/>
        <v>37800</v>
      </c>
      <c r="G1358" s="442"/>
      <c r="H1358" s="446"/>
    </row>
    <row r="1359" spans="1:8" ht="13.2">
      <c r="A1359" s="454" t="s">
        <v>150</v>
      </c>
      <c r="B1359" s="452" t="str">
        <f>VLOOKUP(A1359,'Thống kê'!$C$3:$D$669,2,0)</f>
        <v>Móc khóa có chuông</v>
      </c>
      <c r="C1359" s="436" t="str">
        <f>VLOOKUP(A1359,'Thống kê'!$C$3:$E$682,3,0)</f>
        <v>cái</v>
      </c>
      <c r="D1359" s="437">
        <f>VLOOKUP(A1359,'Thống kê'!$C$3:$M$682,4,0)</f>
        <v>59000</v>
      </c>
      <c r="E1359" s="438">
        <v>1</v>
      </c>
      <c r="F1359" s="439">
        <f t="shared" si="6"/>
        <v>59000</v>
      </c>
      <c r="G1359" s="442"/>
      <c r="H1359" s="448">
        <v>46728</v>
      </c>
    </row>
    <row r="1360" spans="1:8" ht="13.2">
      <c r="A1360" s="454" t="s">
        <v>1594</v>
      </c>
      <c r="B1360" s="452" t="str">
        <f>VLOOKUP(A1360,'Thống kê'!$C$3:$D$669,2,0)</f>
        <v>Móc khóa đôi heo</v>
      </c>
      <c r="C1360" s="436" t="str">
        <f>VLOOKUP(A1360,'Thống kê'!$C$3:$E$682,3,0)</f>
        <v>cái</v>
      </c>
      <c r="D1360" s="437">
        <f>VLOOKUP(A1360,'Thống kê'!$C$3:$M$682,4,0)</f>
        <v>56580</v>
      </c>
      <c r="E1360" s="438">
        <v>1</v>
      </c>
      <c r="F1360" s="439">
        <f t="shared" si="6"/>
        <v>56580</v>
      </c>
      <c r="G1360" s="442"/>
      <c r="H1360" s="448">
        <v>44751</v>
      </c>
    </row>
    <row r="1361" spans="1:8" ht="13.2">
      <c r="A1361" s="454" t="s">
        <v>119</v>
      </c>
      <c r="B1361" s="452" t="str">
        <f>VLOOKUP(A1361,'Thống kê'!$C$3:$D$669,2,0)</f>
        <v>Thỏ chạy xe gắn xe</v>
      </c>
      <c r="C1361" s="436" t="str">
        <f>VLOOKUP(A1361,'Thống kê'!$C$3:$E$682,3,0)</f>
        <v>cái</v>
      </c>
      <c r="D1361" s="437">
        <f>VLOOKUP(A1361,'Thống kê'!$C$3:$M$682,4,0)</f>
        <v>45000</v>
      </c>
      <c r="E1361" s="438">
        <v>1</v>
      </c>
      <c r="F1361" s="439">
        <f t="shared" si="6"/>
        <v>45000</v>
      </c>
      <c r="G1361" s="442"/>
      <c r="H1361" s="448">
        <v>36180</v>
      </c>
    </row>
    <row r="1362" spans="1:8" ht="13.2">
      <c r="A1362" s="454" t="s">
        <v>1601</v>
      </c>
      <c r="B1362" s="452" t="str">
        <f>VLOOKUP(A1362,'Thống kê'!$C$3:$D$669,2,0)</f>
        <v>Dao rọc giấy 19</v>
      </c>
      <c r="C1362" s="436" t="str">
        <f>VLOOKUP(A1362,'Thống kê'!$C$3:$E$682,3,0)</f>
        <v>cái</v>
      </c>
      <c r="D1362" s="437">
        <f>VLOOKUP(A1362,'Thống kê'!$C$3:$M$682,4,0)</f>
        <v>12000</v>
      </c>
      <c r="E1362" s="438">
        <v>1</v>
      </c>
      <c r="F1362" s="439">
        <f t="shared" si="6"/>
        <v>12000</v>
      </c>
      <c r="G1362" s="442"/>
      <c r="H1362" s="447">
        <v>66029</v>
      </c>
    </row>
    <row r="1363" spans="1:8" ht="13.2">
      <c r="A1363" s="454" t="s">
        <v>1598</v>
      </c>
      <c r="B1363" s="452" t="str">
        <f>VLOOKUP(A1363,'Thống kê'!$C$3:$D$669,2,0)</f>
        <v>Dao rọc giấy 13</v>
      </c>
      <c r="C1363" s="436" t="str">
        <f>VLOOKUP(A1363,'Thống kê'!$C$3:$E$682,3,0)</f>
        <v>cái</v>
      </c>
      <c r="D1363" s="437">
        <f>VLOOKUP(A1363,'Thống kê'!$C$3:$M$682,4,0)</f>
        <v>12000</v>
      </c>
      <c r="E1363" s="438">
        <v>1</v>
      </c>
      <c r="F1363" s="439">
        <f t="shared" si="6"/>
        <v>12000</v>
      </c>
      <c r="G1363" s="442"/>
      <c r="H1363" s="446"/>
    </row>
    <row r="1364" spans="1:8" ht="13.2">
      <c r="A1364" s="454" t="s">
        <v>1589</v>
      </c>
      <c r="B1364" s="452" t="str">
        <f>VLOOKUP(A1364,'Thống kê'!$C$3:$D$669,2,0)</f>
        <v>Heo ú bay</v>
      </c>
      <c r="C1364" s="436" t="str">
        <f>VLOOKUP(A1364,'Thống kê'!$C$3:$E$682,3,0)</f>
        <v>cái</v>
      </c>
      <c r="D1364" s="437">
        <f>VLOOKUP(A1364,'Thống kê'!$C$3:$M$682,4,0)</f>
        <v>64500</v>
      </c>
      <c r="E1364" s="438">
        <v>1</v>
      </c>
      <c r="F1364" s="439">
        <f t="shared" si="6"/>
        <v>64500</v>
      </c>
      <c r="G1364" s="442"/>
      <c r="H1364" s="446"/>
    </row>
    <row r="1365" spans="1:8" ht="13.2">
      <c r="A1365" s="454" t="s">
        <v>1989</v>
      </c>
      <c r="B1365" s="452" t="str">
        <f>VLOOKUP(A1365,'Thống kê'!$C$3:$D$669,2,0)</f>
        <v>Móc khóa capybara 12 - ghitar điện</v>
      </c>
      <c r="C1365" s="436" t="str">
        <f>VLOOKUP(A1365,'Thống kê'!$C$3:$E$682,3,0)</f>
        <v>cái</v>
      </c>
      <c r="D1365" s="437">
        <f>VLOOKUP(A1365,'Thống kê'!$C$3:$M$682,4,0)</f>
        <v>58800</v>
      </c>
      <c r="E1365" s="438">
        <v>1</v>
      </c>
      <c r="F1365" s="439">
        <f t="shared" si="6"/>
        <v>58800</v>
      </c>
      <c r="G1365" s="442"/>
      <c r="H1365" s="448">
        <v>45681</v>
      </c>
    </row>
    <row r="1366" spans="1:8" ht="13.2">
      <c r="A1366" s="454" t="s">
        <v>1625</v>
      </c>
      <c r="B1366" s="452" t="str">
        <f>VLOOKUP(A1366,'Thống kê'!$C$3:$D$669,2,0)</f>
        <v>Móc khóa đôi 2 mèo trắng nâu</v>
      </c>
      <c r="C1366" s="436" t="str">
        <f>VLOOKUP(A1366,'Thống kê'!$C$3:$E$682,3,0)</f>
        <v>cái</v>
      </c>
      <c r="D1366" s="437">
        <f>VLOOKUP(A1366,'Thống kê'!$C$3:$M$682,4,0)</f>
        <v>59000</v>
      </c>
      <c r="E1366" s="438">
        <v>1</v>
      </c>
      <c r="F1366" s="439">
        <f t="shared" si="6"/>
        <v>59000</v>
      </c>
      <c r="G1366" s="442"/>
      <c r="H1366" s="447">
        <v>94424</v>
      </c>
    </row>
    <row r="1367" spans="1:8" ht="13.2">
      <c r="A1367" s="454" t="s">
        <v>1976</v>
      </c>
      <c r="B1367" s="452" t="str">
        <f>VLOOKUP(A1367,'Thống kê'!$C$3:$D$669,2,0)</f>
        <v>Dao rọc giấy cún trắng</v>
      </c>
      <c r="C1367" s="436" t="str">
        <f>VLOOKUP(A1367,'Thống kê'!$C$3:$E$682,3,0)</f>
        <v>cái</v>
      </c>
      <c r="D1367" s="437">
        <f>VLOOKUP(A1367,'Thống kê'!$C$3:$M$682,4,0)</f>
        <v>9000</v>
      </c>
      <c r="E1367" s="438">
        <v>1</v>
      </c>
      <c r="F1367" s="439">
        <f t="shared" si="6"/>
        <v>9000</v>
      </c>
      <c r="G1367" s="442"/>
      <c r="H1367" s="446"/>
    </row>
    <row r="1368" spans="1:8" ht="13.2">
      <c r="A1368" s="454" t="s">
        <v>145</v>
      </c>
      <c r="B1368" s="452" t="str">
        <f>VLOOKUP(A1368,'Thống kê'!$C$3:$D$669,2,0)</f>
        <v>Thỏ đi vịt gắn xe</v>
      </c>
      <c r="C1368" s="436" t="str">
        <f>VLOOKUP(A1368,'Thống kê'!$C$3:$E$682,3,0)</f>
        <v>cái</v>
      </c>
      <c r="D1368" s="437">
        <f>VLOOKUP(A1368,'Thống kê'!$C$3:$M$682,4,0)</f>
        <v>45000</v>
      </c>
      <c r="E1368" s="438">
        <v>1</v>
      </c>
      <c r="F1368" s="439">
        <f t="shared" si="6"/>
        <v>45000</v>
      </c>
      <c r="G1368" s="442"/>
      <c r="H1368" s="446"/>
    </row>
    <row r="1369" spans="1:8" ht="13.2">
      <c r="A1369" s="454" t="s">
        <v>278</v>
      </c>
      <c r="B1369" s="452" t="str">
        <f>VLOOKUP(A1369,'Thống kê'!$C$3:$D$669,2,0)</f>
        <v>Dao rọc giấy 09</v>
      </c>
      <c r="C1369" s="436" t="str">
        <f>VLOOKUP(A1369,'Thống kê'!$C$3:$E$682,3,0)</f>
        <v>cái</v>
      </c>
      <c r="D1369" s="437">
        <f>VLOOKUP(A1369,'Thống kê'!$C$3:$M$682,4,0)</f>
        <v>12000</v>
      </c>
      <c r="E1369" s="438">
        <v>1</v>
      </c>
      <c r="F1369" s="439">
        <f t="shared" si="6"/>
        <v>12000</v>
      </c>
      <c r="G1369" s="442"/>
      <c r="H1369" s="446"/>
    </row>
    <row r="1370" spans="1:8" ht="13.2">
      <c r="A1370" s="454" t="s">
        <v>119</v>
      </c>
      <c r="B1370" s="452" t="str">
        <f>VLOOKUP(A1370,'Thống kê'!$C$3:$D$669,2,0)</f>
        <v>Thỏ chạy xe gắn xe</v>
      </c>
      <c r="C1370" s="436" t="str">
        <f>VLOOKUP(A1370,'Thống kê'!$C$3:$E$682,3,0)</f>
        <v>cái</v>
      </c>
      <c r="D1370" s="437">
        <f>VLOOKUP(A1370,'Thống kê'!$C$3:$M$682,4,0)</f>
        <v>45000</v>
      </c>
      <c r="E1370" s="438">
        <v>1</v>
      </c>
      <c r="F1370" s="439">
        <f t="shared" si="6"/>
        <v>45000</v>
      </c>
      <c r="G1370" s="442"/>
      <c r="H1370" s="447">
        <v>44648</v>
      </c>
    </row>
    <row r="1371" spans="1:8" ht="13.2">
      <c r="A1371" s="454" t="s">
        <v>1596</v>
      </c>
      <c r="B1371" s="452" t="str">
        <f>VLOOKUP(A1371,'Thống kê'!$C$3:$D$669,2,0)</f>
        <v>Dao rọc giấy 11</v>
      </c>
      <c r="C1371" s="436" t="str">
        <f>VLOOKUP(A1371,'Thống kê'!$C$3:$E$682,3,0)</f>
        <v>cái</v>
      </c>
      <c r="D1371" s="437">
        <f>VLOOKUP(A1371,'Thống kê'!$C$3:$M$682,4,0)</f>
        <v>12000</v>
      </c>
      <c r="E1371" s="438">
        <v>1</v>
      </c>
      <c r="F1371" s="439">
        <f t="shared" si="6"/>
        <v>12000</v>
      </c>
      <c r="G1371" s="442"/>
      <c r="H1371" s="446"/>
    </row>
    <row r="1372" spans="1:8" ht="13.2">
      <c r="A1372" s="454" t="s">
        <v>1990</v>
      </c>
      <c r="B1372" s="452" t="str">
        <f>VLOOKUP(A1372,'Thống kê'!$C$3:$D$669,2,0)</f>
        <v>Kẹp khuếch tán tinh dầu vịt vàng</v>
      </c>
      <c r="C1372" s="436" t="str">
        <f>VLOOKUP(A1372,'Thống kê'!$C$3:$E$682,3,0)</f>
        <v>cái</v>
      </c>
      <c r="D1372" s="437">
        <f>VLOOKUP(A1372,'Thống kê'!$C$3:$M$682,4,0)</f>
        <v>142400</v>
      </c>
      <c r="E1372" s="438">
        <v>1</v>
      </c>
      <c r="F1372" s="439">
        <f t="shared" si="6"/>
        <v>142400</v>
      </c>
      <c r="G1372" s="442"/>
      <c r="H1372" s="447">
        <v>108180</v>
      </c>
    </row>
    <row r="1373" spans="1:8" ht="13.2">
      <c r="A1373" s="454" t="s">
        <v>1940</v>
      </c>
      <c r="B1373" s="452" t="str">
        <f>VLOOKUP(A1373,'Thống kê'!$C$3:$D$669,2,0)</f>
        <v>Kẹp tóc kim loại bông hoa</v>
      </c>
      <c r="C1373" s="436" t="str">
        <f>VLOOKUP(A1373,'Thống kê'!$C$3:$E$682,3,0)</f>
        <v>cái</v>
      </c>
      <c r="D1373" s="437">
        <f>VLOOKUP(A1373,'Thống kê'!$C$3:$M$682,4,0)</f>
        <v>14000</v>
      </c>
      <c r="E1373" s="438">
        <v>1</v>
      </c>
      <c r="F1373" s="439">
        <f t="shared" si="6"/>
        <v>14000</v>
      </c>
      <c r="G1373" s="442"/>
      <c r="H1373" s="446"/>
    </row>
    <row r="1374" spans="1:8" ht="13.2">
      <c r="A1374" s="454" t="s">
        <v>1625</v>
      </c>
      <c r="B1374" s="452" t="str">
        <f>VLOOKUP(A1374,'Thống kê'!$C$3:$D$669,2,0)</f>
        <v>Móc khóa đôi 2 mèo trắng nâu</v>
      </c>
      <c r="C1374" s="436" t="str">
        <f>VLOOKUP(A1374,'Thống kê'!$C$3:$E$682,3,0)</f>
        <v>cái</v>
      </c>
      <c r="D1374" s="437">
        <f>VLOOKUP(A1374,'Thống kê'!$C$3:$M$682,4,0)</f>
        <v>59000</v>
      </c>
      <c r="E1374" s="438">
        <v>1</v>
      </c>
      <c r="F1374" s="439">
        <f t="shared" si="6"/>
        <v>59000</v>
      </c>
      <c r="G1374" s="442"/>
      <c r="H1374" s="448">
        <v>46388</v>
      </c>
    </row>
    <row r="1375" spans="1:8" ht="13.2">
      <c r="A1375" s="454" t="s">
        <v>143</v>
      </c>
      <c r="B1375" s="452" t="str">
        <f>VLOOKUP(A1375,'Thống kê'!$C$3:$D$669,2,0)</f>
        <v>Mèo ú</v>
      </c>
      <c r="C1375" s="436" t="str">
        <f>VLOOKUP(A1375,'Thống kê'!$C$3:$E$682,3,0)</f>
        <v>cái</v>
      </c>
      <c r="D1375" s="437">
        <f>VLOOKUP(A1375,'Thống kê'!$C$3:$M$682,4,0)</f>
        <v>59500</v>
      </c>
      <c r="E1375" s="438">
        <v>1</v>
      </c>
      <c r="F1375" s="439">
        <f t="shared" si="6"/>
        <v>59500</v>
      </c>
      <c r="G1375" s="442"/>
      <c r="H1375" s="447">
        <v>76368</v>
      </c>
    </row>
    <row r="1376" spans="1:8" ht="13.2">
      <c r="A1376" s="454" t="s">
        <v>119</v>
      </c>
      <c r="B1376" s="452" t="str">
        <f>VLOOKUP(A1376,'Thống kê'!$C$3:$D$669,2,0)</f>
        <v>Thỏ chạy xe gắn xe</v>
      </c>
      <c r="C1376" s="436" t="str">
        <f>VLOOKUP(A1376,'Thống kê'!$C$3:$E$682,3,0)</f>
        <v>cái</v>
      </c>
      <c r="D1376" s="437">
        <f>VLOOKUP(A1376,'Thống kê'!$C$3:$M$682,4,0)</f>
        <v>45000</v>
      </c>
      <c r="E1376" s="438">
        <v>1</v>
      </c>
      <c r="F1376" s="439">
        <f t="shared" si="6"/>
        <v>45000</v>
      </c>
      <c r="G1376" s="442"/>
      <c r="H1376" s="446"/>
    </row>
    <row r="1377" spans="1:8" ht="13.2">
      <c r="A1377" s="454" t="s">
        <v>1594</v>
      </c>
      <c r="B1377" s="452" t="str">
        <f>VLOOKUP(A1377,'Thống kê'!$C$3:$D$669,2,0)</f>
        <v>Móc khóa đôi heo</v>
      </c>
      <c r="C1377" s="436" t="str">
        <f>VLOOKUP(A1377,'Thống kê'!$C$3:$E$682,3,0)</f>
        <v>cái</v>
      </c>
      <c r="D1377" s="437">
        <f>VLOOKUP(A1377,'Thống kê'!$C$3:$M$682,4,0)</f>
        <v>56580</v>
      </c>
      <c r="E1377" s="438">
        <v>1</v>
      </c>
      <c r="F1377" s="439">
        <f t="shared" si="6"/>
        <v>56580</v>
      </c>
      <c r="G1377" s="442"/>
      <c r="H1377" s="448">
        <v>44751</v>
      </c>
    </row>
    <row r="1378" spans="1:8" ht="13.2">
      <c r="A1378" s="454" t="s">
        <v>1622</v>
      </c>
      <c r="B1378" s="452" t="str">
        <f>VLOOKUP(A1378,'Thống kê'!$C$3:$D$669,2,0)</f>
        <v>Mô hình mèo 1</v>
      </c>
      <c r="C1378" s="436" t="str">
        <f>VLOOKUP(A1378,'Thống kê'!$C$3:$E$682,3,0)</f>
        <v>cái</v>
      </c>
      <c r="D1378" s="437">
        <f>VLOOKUP(A1378,'Thống kê'!$C$3:$M$682,4,0)</f>
        <v>37800</v>
      </c>
      <c r="E1378" s="438">
        <v>1</v>
      </c>
      <c r="F1378" s="439">
        <f t="shared" si="6"/>
        <v>37800</v>
      </c>
      <c r="G1378" s="442"/>
      <c r="H1378" s="447">
        <v>125453</v>
      </c>
    </row>
    <row r="1379" spans="1:8" ht="13.2">
      <c r="A1379" s="454" t="s">
        <v>1621</v>
      </c>
      <c r="B1379" s="452" t="str">
        <f>VLOOKUP(A1379,'Thống kê'!$C$3:$D$669,2,0)</f>
        <v>Mô hình mèo 2</v>
      </c>
      <c r="C1379" s="436" t="str">
        <f>VLOOKUP(A1379,'Thống kê'!$C$3:$E$682,3,0)</f>
        <v>cái</v>
      </c>
      <c r="D1379" s="437">
        <f>VLOOKUP(A1379,'Thống kê'!$C$3:$M$682,4,0)</f>
        <v>37800</v>
      </c>
      <c r="E1379" s="438">
        <v>1</v>
      </c>
      <c r="F1379" s="439">
        <f t="shared" si="6"/>
        <v>37800</v>
      </c>
      <c r="G1379" s="442"/>
      <c r="H1379" s="446"/>
    </row>
    <row r="1380" spans="1:8" ht="13.2">
      <c r="A1380" s="454" t="s">
        <v>1635</v>
      </c>
      <c r="B1380" s="452" t="str">
        <f>VLOOKUP(A1380,'Thống kê'!$C$3:$D$669,2,0)</f>
        <v>Mô hình mèo 4</v>
      </c>
      <c r="C1380" s="436" t="str">
        <f>VLOOKUP(A1380,'Thống kê'!$C$3:$E$682,3,0)</f>
        <v>cái</v>
      </c>
      <c r="D1380" s="437">
        <f>VLOOKUP(A1380,'Thống kê'!$C$3:$M$682,4,0)</f>
        <v>37800</v>
      </c>
      <c r="E1380" s="438">
        <v>1</v>
      </c>
      <c r="F1380" s="439">
        <f t="shared" si="6"/>
        <v>37800</v>
      </c>
      <c r="G1380" s="442"/>
      <c r="H1380" s="446"/>
    </row>
    <row r="1381" spans="1:8" ht="13.2">
      <c r="A1381" s="454" t="s">
        <v>1623</v>
      </c>
      <c r="B1381" s="452" t="str">
        <f>VLOOKUP(A1381,'Thống kê'!$C$3:$D$669,2,0)</f>
        <v>Mô hình mèo 5</v>
      </c>
      <c r="C1381" s="436" t="str">
        <f>VLOOKUP(A1381,'Thống kê'!$C$3:$E$682,3,0)</f>
        <v>cái</v>
      </c>
      <c r="D1381" s="437">
        <f>VLOOKUP(A1381,'Thống kê'!$C$3:$M$682,4,0)</f>
        <v>37800</v>
      </c>
      <c r="E1381" s="438">
        <v>1</v>
      </c>
      <c r="F1381" s="439">
        <f t="shared" si="6"/>
        <v>37800</v>
      </c>
      <c r="G1381" s="442"/>
      <c r="H1381" s="446"/>
    </row>
    <row r="1382" spans="1:8" ht="13.2">
      <c r="A1382" s="454" t="s">
        <v>1624</v>
      </c>
      <c r="B1382" s="452" t="str">
        <f>VLOOKUP(A1382,'Thống kê'!$C$3:$D$669,2,0)</f>
        <v>Móc khóa mèo trái tim</v>
      </c>
      <c r="C1382" s="436" t="str">
        <f>VLOOKUP(A1382,'Thống kê'!$C$3:$E$682,3,0)</f>
        <v>cái</v>
      </c>
      <c r="D1382" s="437">
        <f>VLOOKUP(A1382,'Thống kê'!$C$3:$M$682,4,0)</f>
        <v>59000</v>
      </c>
      <c r="E1382" s="438">
        <v>1</v>
      </c>
      <c r="F1382" s="439">
        <f t="shared" si="6"/>
        <v>59000</v>
      </c>
      <c r="G1382" s="442"/>
      <c r="H1382" s="448">
        <v>46668</v>
      </c>
    </row>
    <row r="1383" spans="1:8" ht="13.2">
      <c r="A1383" s="454" t="s">
        <v>115</v>
      </c>
      <c r="B1383" s="452" t="str">
        <f>VLOOKUP(A1383,'Thống kê'!$C$3:$D$669,2,0)</f>
        <v>Heo ú</v>
      </c>
      <c r="C1383" s="436" t="str">
        <f>VLOOKUP(A1383,'Thống kê'!$C$3:$E$682,3,0)</f>
        <v>cái</v>
      </c>
      <c r="D1383" s="437">
        <f>VLOOKUP(A1383,'Thống kê'!$C$3:$M$682,4,0)</f>
        <v>59500</v>
      </c>
      <c r="E1383" s="438">
        <v>1</v>
      </c>
      <c r="F1383" s="439">
        <f t="shared" si="6"/>
        <v>59500</v>
      </c>
      <c r="G1383" s="442"/>
      <c r="H1383" s="448">
        <v>49320</v>
      </c>
    </row>
    <row r="1384" spans="1:8" ht="13.2">
      <c r="A1384" s="454" t="s">
        <v>1594</v>
      </c>
      <c r="B1384" s="452" t="str">
        <f>VLOOKUP(A1384,'Thống kê'!$C$3:$D$669,2,0)</f>
        <v>Móc khóa đôi heo</v>
      </c>
      <c r="C1384" s="436" t="str">
        <f>VLOOKUP(A1384,'Thống kê'!$C$3:$E$682,3,0)</f>
        <v>cái</v>
      </c>
      <c r="D1384" s="437">
        <f>VLOOKUP(A1384,'Thống kê'!$C$3:$M$682,4,0)</f>
        <v>56580</v>
      </c>
      <c r="E1384" s="438">
        <v>1</v>
      </c>
      <c r="F1384" s="439">
        <f t="shared" si="6"/>
        <v>56580</v>
      </c>
      <c r="G1384" s="442"/>
      <c r="H1384" s="448">
        <v>44751</v>
      </c>
    </row>
    <row r="1385" spans="1:8" ht="13.2">
      <c r="A1385" s="454" t="s">
        <v>1624</v>
      </c>
      <c r="B1385" s="452" t="str">
        <f>VLOOKUP(A1385,'Thống kê'!$C$3:$D$669,2,0)</f>
        <v>Móc khóa mèo trái tim</v>
      </c>
      <c r="C1385" s="436" t="str">
        <f>VLOOKUP(A1385,'Thống kê'!$C$3:$E$682,3,0)</f>
        <v>cái</v>
      </c>
      <c r="D1385" s="437">
        <f>VLOOKUP(A1385,'Thống kê'!$C$3:$M$682,4,0)</f>
        <v>59000</v>
      </c>
      <c r="E1385" s="438">
        <v>1</v>
      </c>
      <c r="F1385" s="439">
        <f t="shared" si="6"/>
        <v>59000</v>
      </c>
      <c r="G1385" s="442"/>
      <c r="H1385" s="448">
        <v>50568</v>
      </c>
    </row>
    <row r="1386" spans="1:8" ht="13.2">
      <c r="A1386" s="454" t="s">
        <v>150</v>
      </c>
      <c r="B1386" s="452" t="str">
        <f>VLOOKUP(A1386,'Thống kê'!$C$3:$D$669,2,0)</f>
        <v>Móc khóa có chuông</v>
      </c>
      <c r="C1386" s="436" t="str">
        <f>VLOOKUP(A1386,'Thống kê'!$C$3:$E$682,3,0)</f>
        <v>cái</v>
      </c>
      <c r="D1386" s="437">
        <f>VLOOKUP(A1386,'Thống kê'!$C$3:$M$682,4,0)</f>
        <v>59000</v>
      </c>
      <c r="E1386" s="438">
        <v>1</v>
      </c>
      <c r="F1386" s="439">
        <f t="shared" si="6"/>
        <v>59000</v>
      </c>
      <c r="G1386" s="442"/>
      <c r="H1386" s="447">
        <v>77553</v>
      </c>
    </row>
    <row r="1387" spans="1:8" ht="13.2">
      <c r="A1387" s="454" t="s">
        <v>1595</v>
      </c>
      <c r="B1387" s="452" t="str">
        <f>VLOOKUP(A1387,'Thống kê'!$C$3:$D$669,2,0)</f>
        <v>Dao rọc giấy 08</v>
      </c>
      <c r="C1387" s="436" t="str">
        <f>VLOOKUP(A1387,'Thống kê'!$C$3:$E$682,3,0)</f>
        <v>cái</v>
      </c>
      <c r="D1387" s="437">
        <f>VLOOKUP(A1387,'Thống kê'!$C$3:$M$682,4,0)</f>
        <v>12000</v>
      </c>
      <c r="E1387" s="438">
        <v>1</v>
      </c>
      <c r="F1387" s="439">
        <f t="shared" si="6"/>
        <v>12000</v>
      </c>
      <c r="G1387" s="442"/>
      <c r="H1387" s="446"/>
    </row>
    <row r="1388" spans="1:8" ht="13.2">
      <c r="A1388" s="454" t="s">
        <v>1991</v>
      </c>
      <c r="B1388" s="452" t="str">
        <f>VLOOKUP(A1388,'Thống kê'!$C$3:$D$669,2,0)</f>
        <v>Vớ trắng icon be 1</v>
      </c>
      <c r="C1388" s="436" t="str">
        <f>VLOOKUP(A1388,'Thống kê'!$C$3:$E$682,3,0)</f>
        <v>đôi</v>
      </c>
      <c r="D1388" s="437">
        <f>VLOOKUP(A1388,'Thống kê'!$C$3:$M$682,4,0)</f>
        <v>9900</v>
      </c>
      <c r="E1388" s="438">
        <v>1</v>
      </c>
      <c r="F1388" s="439">
        <f t="shared" si="6"/>
        <v>9900</v>
      </c>
      <c r="G1388" s="442"/>
      <c r="H1388" s="446"/>
    </row>
    <row r="1389" spans="1:8" ht="13.2">
      <c r="A1389" s="454" t="s">
        <v>1959</v>
      </c>
      <c r="B1389" s="452" t="str">
        <f>VLOOKUP(A1389,'Thống kê'!$C$3:$D$669,2,0)</f>
        <v>Vớ trắng icon be 4</v>
      </c>
      <c r="C1389" s="436" t="str">
        <f>VLOOKUP(A1389,'Thống kê'!$C$3:$E$682,3,0)</f>
        <v>đôi</v>
      </c>
      <c r="D1389" s="437">
        <f>VLOOKUP(A1389,'Thống kê'!$C$3:$M$682,4,0)</f>
        <v>9900</v>
      </c>
      <c r="E1389" s="438">
        <v>1</v>
      </c>
      <c r="F1389" s="439">
        <f t="shared" si="6"/>
        <v>9900</v>
      </c>
      <c r="G1389" s="442"/>
      <c r="H1389" s="446"/>
    </row>
    <row r="1390" spans="1:8" ht="13.2">
      <c r="A1390" s="454" t="s">
        <v>1992</v>
      </c>
      <c r="B1390" s="452" t="str">
        <f>VLOOKUP(A1390,'Thống kê'!$C$3:$D$669,2,0)</f>
        <v>Vớ trắng icon be 5</v>
      </c>
      <c r="C1390" s="436" t="str">
        <f>VLOOKUP(A1390,'Thống kê'!$C$3:$E$682,3,0)</f>
        <v>đôi</v>
      </c>
      <c r="D1390" s="437">
        <f>VLOOKUP(A1390,'Thống kê'!$C$3:$M$682,4,0)</f>
        <v>9900</v>
      </c>
      <c r="E1390" s="438">
        <v>1</v>
      </c>
      <c r="F1390" s="439">
        <f t="shared" si="6"/>
        <v>9900</v>
      </c>
      <c r="G1390" s="442"/>
      <c r="H1390" s="446"/>
    </row>
    <row r="1391" spans="1:8" ht="13.2">
      <c r="A1391" s="454" t="s">
        <v>150</v>
      </c>
      <c r="B1391" s="452" t="str">
        <f>VLOOKUP(A1391,'Thống kê'!$C$3:$D$669,2,0)</f>
        <v>Móc khóa có chuông</v>
      </c>
      <c r="C1391" s="436" t="str">
        <f>VLOOKUP(A1391,'Thống kê'!$C$3:$E$682,3,0)</f>
        <v>cái</v>
      </c>
      <c r="D1391" s="437">
        <f>VLOOKUP(A1391,'Thống kê'!$C$3:$M$682,4,0)</f>
        <v>59000</v>
      </c>
      <c r="E1391" s="438">
        <v>1</v>
      </c>
      <c r="F1391" s="439">
        <f t="shared" si="6"/>
        <v>59000</v>
      </c>
      <c r="G1391" s="442"/>
      <c r="H1391" s="447">
        <v>91416</v>
      </c>
    </row>
    <row r="1392" spans="1:8" ht="13.2">
      <c r="A1392" s="454" t="s">
        <v>1627</v>
      </c>
      <c r="B1392" s="452" t="str">
        <f>VLOOKUP(A1392,'Thống kê'!$C$3:$D$669,2,0)</f>
        <v>Móc khóa capybara 15 - sổ mũi ko móc khóa</v>
      </c>
      <c r="C1392" s="436" t="str">
        <f>VLOOKUP(A1392,'Thống kê'!$C$3:$E$682,3,0)</f>
        <v>cái</v>
      </c>
      <c r="D1392" s="437">
        <f>VLOOKUP(A1392,'Thống kê'!$C$3:$M$682,4,0)</f>
        <v>56500</v>
      </c>
      <c r="E1392" s="438">
        <v>1</v>
      </c>
      <c r="F1392" s="439">
        <f t="shared" si="6"/>
        <v>56500</v>
      </c>
      <c r="G1392" s="442"/>
      <c r="H1392" s="446"/>
    </row>
    <row r="1393" spans="1:8" ht="13.2">
      <c r="A1393" s="454" t="s">
        <v>1928</v>
      </c>
      <c r="B1393" s="452" t="str">
        <f>VLOOKUP(A1393,'Thống kê'!$C$3:$D$669,2,0)</f>
        <v>Kẹp tóc xám trong</v>
      </c>
      <c r="C1393" s="436" t="str">
        <f>VLOOKUP(A1393,'Thống kê'!$C$3:$E$682,3,0)</f>
        <v>cái</v>
      </c>
      <c r="D1393" s="437">
        <f>VLOOKUP(A1393,'Thống kê'!$C$3:$M$682,4,0)</f>
        <v>14000</v>
      </c>
      <c r="E1393" s="438">
        <v>1</v>
      </c>
      <c r="F1393" s="439">
        <f t="shared" si="6"/>
        <v>14000</v>
      </c>
      <c r="G1393" s="442"/>
      <c r="H1393" s="447">
        <v>24320</v>
      </c>
    </row>
    <row r="1394" spans="1:8" ht="13.2">
      <c r="A1394" s="454" t="s">
        <v>1922</v>
      </c>
      <c r="B1394" s="452" t="str">
        <f>VLOOKUP(A1394,'Thống kê'!$C$3:$D$669,2,0)</f>
        <v>Kẹp tóc trắng sữa</v>
      </c>
      <c r="C1394" s="436" t="str">
        <f>VLOOKUP(A1394,'Thống kê'!$C$3:$E$682,3,0)</f>
        <v>cái</v>
      </c>
      <c r="D1394" s="437">
        <f>VLOOKUP(A1394,'Thống kê'!$C$3:$M$682,4,0)</f>
        <v>14000</v>
      </c>
      <c r="E1394" s="438">
        <v>1</v>
      </c>
      <c r="F1394" s="439">
        <f t="shared" si="6"/>
        <v>14000</v>
      </c>
      <c r="G1394" s="442"/>
      <c r="H1394" s="446"/>
    </row>
    <row r="1395" spans="1:8" ht="13.2">
      <c r="A1395" s="454" t="s">
        <v>1594</v>
      </c>
      <c r="B1395" s="452" t="str">
        <f>VLOOKUP(A1395,'Thống kê'!$C$3:$D$669,2,0)</f>
        <v>Móc khóa đôi heo</v>
      </c>
      <c r="C1395" s="436" t="str">
        <f>VLOOKUP(A1395,'Thống kê'!$C$3:$E$682,3,0)</f>
        <v>cái</v>
      </c>
      <c r="D1395" s="437">
        <f>VLOOKUP(A1395,'Thống kê'!$C$3:$M$682,4,0)</f>
        <v>56580</v>
      </c>
      <c r="E1395" s="438">
        <v>1</v>
      </c>
      <c r="F1395" s="439">
        <f t="shared" si="6"/>
        <v>56580</v>
      </c>
      <c r="G1395" s="442"/>
      <c r="H1395" s="448">
        <v>44291</v>
      </c>
    </row>
    <row r="1396" spans="1:8" ht="13.2">
      <c r="A1396" s="454" t="s">
        <v>1594</v>
      </c>
      <c r="B1396" s="452" t="str">
        <f>VLOOKUP(A1396,'Thống kê'!$C$3:$D$669,2,0)</f>
        <v>Móc khóa đôi heo</v>
      </c>
      <c r="C1396" s="436" t="str">
        <f>VLOOKUP(A1396,'Thống kê'!$C$3:$E$682,3,0)</f>
        <v>cái</v>
      </c>
      <c r="D1396" s="437">
        <f>VLOOKUP(A1396,'Thống kê'!$C$3:$M$682,4,0)</f>
        <v>56580</v>
      </c>
      <c r="E1396" s="438">
        <v>1</v>
      </c>
      <c r="F1396" s="439">
        <f t="shared" si="6"/>
        <v>56580</v>
      </c>
      <c r="G1396" s="442"/>
      <c r="H1396" s="448">
        <v>44491</v>
      </c>
    </row>
    <row r="1397" spans="1:8" ht="13.2">
      <c r="A1397" s="454" t="s">
        <v>143</v>
      </c>
      <c r="B1397" s="452" t="str">
        <f>VLOOKUP(A1397,'Thống kê'!$C$3:$D$669,2,0)</f>
        <v>Mèo ú</v>
      </c>
      <c r="C1397" s="436" t="str">
        <f>VLOOKUP(A1397,'Thống kê'!$C$3:$E$682,3,0)</f>
        <v>cái</v>
      </c>
      <c r="D1397" s="437">
        <f>VLOOKUP(A1397,'Thống kê'!$C$3:$M$682,4,0)</f>
        <v>59500</v>
      </c>
      <c r="E1397" s="438">
        <v>1</v>
      </c>
      <c r="F1397" s="439">
        <f t="shared" si="6"/>
        <v>59500</v>
      </c>
      <c r="G1397" s="442"/>
      <c r="H1397" s="448">
        <v>43500</v>
      </c>
    </row>
    <row r="1398" spans="1:8" ht="13.2">
      <c r="A1398" s="454" t="s">
        <v>1838</v>
      </c>
      <c r="B1398" s="452" t="str">
        <f>VLOOKUP(A1398,'Thống kê'!$C$3:$D$669,2,0)</f>
        <v>Ống 20 dây cột tóc đen</v>
      </c>
      <c r="C1398" s="436" t="str">
        <f>VLOOKUP(A1398,'Thống kê'!$C$3:$E$682,3,0)</f>
        <v>ống</v>
      </c>
      <c r="D1398" s="437">
        <f>VLOOKUP(A1398,'Thống kê'!$C$3:$M$682,4,0)</f>
        <v>19000</v>
      </c>
      <c r="E1398" s="438">
        <v>1</v>
      </c>
      <c r="F1398" s="439">
        <f t="shared" si="6"/>
        <v>19000</v>
      </c>
      <c r="G1398" s="442"/>
      <c r="H1398" s="447">
        <v>38748</v>
      </c>
    </row>
    <row r="1399" spans="1:8" ht="13.2">
      <c r="A1399" s="454" t="s">
        <v>1852</v>
      </c>
      <c r="B1399" s="452" t="str">
        <f>VLOOKUP(A1399,'Thống kê'!$C$3:$D$669,2,0)</f>
        <v>Ống 100 dây cột tóc đen</v>
      </c>
      <c r="C1399" s="436" t="str">
        <f>VLOOKUP(A1399,'Thống kê'!$C$3:$E$682,3,0)</f>
        <v>ống</v>
      </c>
      <c r="D1399" s="437">
        <f>VLOOKUP(A1399,'Thống kê'!$C$3:$M$682,4,0)</f>
        <v>30000</v>
      </c>
      <c r="E1399" s="438">
        <v>1</v>
      </c>
      <c r="F1399" s="439">
        <f t="shared" si="6"/>
        <v>30000</v>
      </c>
      <c r="G1399" s="442"/>
      <c r="H1399" s="446"/>
    </row>
    <row r="1400" spans="1:8" ht="13.2">
      <c r="A1400" s="454" t="s">
        <v>150</v>
      </c>
      <c r="B1400" s="452" t="str">
        <f>VLOOKUP(A1400,'Thống kê'!$C$3:$D$669,2,0)</f>
        <v>Móc khóa có chuông</v>
      </c>
      <c r="C1400" s="436" t="str">
        <f>VLOOKUP(A1400,'Thống kê'!$C$3:$E$682,3,0)</f>
        <v>cái</v>
      </c>
      <c r="D1400" s="437">
        <f>VLOOKUP(A1400,'Thống kê'!$C$3:$M$682,4,0)</f>
        <v>59000</v>
      </c>
      <c r="E1400" s="438">
        <v>1</v>
      </c>
      <c r="F1400" s="439">
        <f t="shared" si="6"/>
        <v>59000</v>
      </c>
      <c r="G1400" s="442"/>
      <c r="H1400" s="448">
        <v>46208</v>
      </c>
    </row>
    <row r="1401" spans="1:8" ht="13.2">
      <c r="A1401" s="454" t="s">
        <v>1622</v>
      </c>
      <c r="B1401" s="452" t="str">
        <f>VLOOKUP(A1401,'Thống kê'!$C$3:$D$669,2,0)</f>
        <v>Mô hình mèo 1</v>
      </c>
      <c r="C1401" s="436" t="str">
        <f>VLOOKUP(A1401,'Thống kê'!$C$3:$E$682,3,0)</f>
        <v>cái</v>
      </c>
      <c r="D1401" s="437">
        <f>VLOOKUP(A1401,'Thống kê'!$C$3:$M$682,4,0)</f>
        <v>37800</v>
      </c>
      <c r="E1401" s="438">
        <v>1</v>
      </c>
      <c r="F1401" s="439">
        <f t="shared" si="6"/>
        <v>37800</v>
      </c>
      <c r="G1401" s="442"/>
      <c r="H1401" s="447">
        <v>91809</v>
      </c>
    </row>
    <row r="1402" spans="1:8" ht="13.2">
      <c r="A1402" s="454" t="s">
        <v>1621</v>
      </c>
      <c r="B1402" s="452" t="str">
        <f>VLOOKUP(A1402,'Thống kê'!$C$3:$D$669,2,0)</f>
        <v>Mô hình mèo 2</v>
      </c>
      <c r="C1402" s="436" t="str">
        <f>VLOOKUP(A1402,'Thống kê'!$C$3:$E$682,3,0)</f>
        <v>cái</v>
      </c>
      <c r="D1402" s="437">
        <f>VLOOKUP(A1402,'Thống kê'!$C$3:$M$682,4,0)</f>
        <v>37800</v>
      </c>
      <c r="E1402" s="438">
        <v>1</v>
      </c>
      <c r="F1402" s="439">
        <f t="shared" si="6"/>
        <v>37800</v>
      </c>
      <c r="G1402" s="442"/>
      <c r="H1402" s="446"/>
    </row>
    <row r="1403" spans="1:8" ht="13.2">
      <c r="A1403" s="454" t="s">
        <v>1635</v>
      </c>
      <c r="B1403" s="452" t="str">
        <f>VLOOKUP(A1403,'Thống kê'!$C$3:$D$669,2,0)</f>
        <v>Mô hình mèo 4</v>
      </c>
      <c r="C1403" s="436" t="str">
        <f>VLOOKUP(A1403,'Thống kê'!$C$3:$E$682,3,0)</f>
        <v>cái</v>
      </c>
      <c r="D1403" s="437">
        <f>VLOOKUP(A1403,'Thống kê'!$C$3:$M$682,4,0)</f>
        <v>37800</v>
      </c>
      <c r="E1403" s="438">
        <v>1</v>
      </c>
      <c r="F1403" s="439">
        <f t="shared" si="6"/>
        <v>37800</v>
      </c>
      <c r="G1403" s="442"/>
      <c r="H1403" s="446"/>
    </row>
    <row r="1404" spans="1:8" ht="13.2">
      <c r="A1404" s="454" t="s">
        <v>1591</v>
      </c>
      <c r="B1404" s="452" t="str">
        <f>VLOOKUP(A1404,'Thống kê'!$C$3:$D$669,2,0)</f>
        <v>Thỏ ú</v>
      </c>
      <c r="C1404" s="436" t="str">
        <f>VLOOKUP(A1404,'Thống kê'!$C$3:$E$682,3,0)</f>
        <v>cái</v>
      </c>
      <c r="D1404" s="437">
        <f>VLOOKUP(A1404,'Thống kê'!$C$3:$M$682,4,0)</f>
        <v>59500</v>
      </c>
      <c r="E1404" s="438">
        <v>1</v>
      </c>
      <c r="F1404" s="439">
        <f t="shared" si="6"/>
        <v>59500</v>
      </c>
      <c r="G1404" s="442"/>
      <c r="H1404" s="448">
        <v>90921</v>
      </c>
    </row>
    <row r="1405" spans="1:8" ht="13.2">
      <c r="A1405" s="454" t="s">
        <v>128</v>
      </c>
      <c r="B1405" s="452" t="str">
        <f>VLOOKUP(A1405,'Thống kê'!$C$3:$D$669,2,0)</f>
        <v>Mèo ú bay</v>
      </c>
      <c r="C1405" s="436" t="str">
        <f>VLOOKUP(A1405,'Thống kê'!$C$3:$E$682,3,0)</f>
        <v>cái</v>
      </c>
      <c r="D1405" s="437">
        <f>VLOOKUP(A1405,'Thống kê'!$C$3:$M$682,4,0)</f>
        <v>64500</v>
      </c>
      <c r="E1405" s="438">
        <v>1</v>
      </c>
      <c r="F1405" s="439">
        <f t="shared" si="6"/>
        <v>64500</v>
      </c>
      <c r="G1405" s="442"/>
      <c r="H1405" s="448"/>
    </row>
    <row r="1406" spans="1:8" ht="13.2">
      <c r="A1406" s="454" t="s">
        <v>1622</v>
      </c>
      <c r="B1406" s="452" t="str">
        <f>VLOOKUP(A1406,'Thống kê'!$C$3:$D$669,2,0)</f>
        <v>Mô hình mèo 1</v>
      </c>
      <c r="C1406" s="436" t="str">
        <f>VLOOKUP(A1406,'Thống kê'!$C$3:$E$682,3,0)</f>
        <v>cái</v>
      </c>
      <c r="D1406" s="437">
        <f>VLOOKUP(A1406,'Thống kê'!$C$3:$M$682,4,0)</f>
        <v>37800</v>
      </c>
      <c r="E1406" s="438">
        <v>1</v>
      </c>
      <c r="F1406" s="439">
        <f t="shared" si="6"/>
        <v>37800</v>
      </c>
      <c r="G1406" s="442"/>
      <c r="H1406" s="448">
        <v>33343</v>
      </c>
    </row>
    <row r="1407" spans="1:8" ht="13.2">
      <c r="A1407" s="454" t="s">
        <v>119</v>
      </c>
      <c r="B1407" s="452" t="str">
        <f>VLOOKUP(A1407,'Thống kê'!$C$3:$D$669,2,0)</f>
        <v>Thỏ chạy xe gắn xe</v>
      </c>
      <c r="C1407" s="436" t="str">
        <f>VLOOKUP(A1407,'Thống kê'!$C$3:$E$682,3,0)</f>
        <v>cái</v>
      </c>
      <c r="D1407" s="437">
        <f>VLOOKUP(A1407,'Thống kê'!$C$3:$M$682,4,0)</f>
        <v>45000</v>
      </c>
      <c r="E1407" s="438">
        <v>1</v>
      </c>
      <c r="F1407" s="439">
        <f t="shared" si="6"/>
        <v>45000</v>
      </c>
      <c r="G1407" s="442"/>
      <c r="H1407" s="448">
        <v>36520</v>
      </c>
    </row>
    <row r="1408" spans="1:8" ht="13.2">
      <c r="A1408" s="454" t="s">
        <v>150</v>
      </c>
      <c r="B1408" s="452" t="str">
        <f>VLOOKUP(A1408,'Thống kê'!$C$3:$D$669,2,0)</f>
        <v>Móc khóa có chuông</v>
      </c>
      <c r="C1408" s="436" t="str">
        <f>VLOOKUP(A1408,'Thống kê'!$C$3:$E$682,3,0)</f>
        <v>cái</v>
      </c>
      <c r="D1408" s="437">
        <f>VLOOKUP(A1408,'Thống kê'!$C$3:$M$682,4,0)</f>
        <v>59000</v>
      </c>
      <c r="E1408" s="438">
        <v>1</v>
      </c>
      <c r="F1408" s="439">
        <f t="shared" si="6"/>
        <v>59000</v>
      </c>
      <c r="G1408" s="442"/>
      <c r="H1408" s="448">
        <v>46028</v>
      </c>
    </row>
    <row r="1409" spans="1:8" ht="13.2">
      <c r="A1409" s="454" t="s">
        <v>1624</v>
      </c>
      <c r="B1409" s="452" t="str">
        <f>VLOOKUP(A1409,'Thống kê'!$C$3:$D$669,2,0)</f>
        <v>Móc khóa mèo trái tim</v>
      </c>
      <c r="C1409" s="436" t="str">
        <f>VLOOKUP(A1409,'Thống kê'!$C$3:$E$682,3,0)</f>
        <v>cái</v>
      </c>
      <c r="D1409" s="437">
        <f>VLOOKUP(A1409,'Thống kê'!$C$3:$M$682,4,0)</f>
        <v>59000</v>
      </c>
      <c r="E1409" s="438">
        <v>1</v>
      </c>
      <c r="F1409" s="439">
        <f t="shared" si="6"/>
        <v>59000</v>
      </c>
      <c r="G1409" s="442"/>
      <c r="H1409" s="448">
        <v>46408</v>
      </c>
    </row>
    <row r="1410" spans="1:8" ht="13.2">
      <c r="A1410" s="454" t="s">
        <v>115</v>
      </c>
      <c r="B1410" s="452" t="str">
        <f>VLOOKUP(A1410,'Thống kê'!$C$3:$D$669,2,0)</f>
        <v>Heo ú</v>
      </c>
      <c r="C1410" s="436" t="str">
        <f>VLOOKUP(A1410,'Thống kê'!$C$3:$E$682,3,0)</f>
        <v>cái</v>
      </c>
      <c r="D1410" s="437">
        <f>VLOOKUP(A1410,'Thống kê'!$C$3:$M$682,4,0)</f>
        <v>59500</v>
      </c>
      <c r="E1410" s="438">
        <v>1</v>
      </c>
      <c r="F1410" s="439">
        <f t="shared" si="6"/>
        <v>59500</v>
      </c>
      <c r="G1410" s="442"/>
      <c r="H1410" s="447">
        <v>74103</v>
      </c>
    </row>
    <row r="1411" spans="1:8" ht="13.2">
      <c r="A1411" s="454" t="s">
        <v>1622</v>
      </c>
      <c r="B1411" s="452" t="str">
        <f>VLOOKUP(A1411,'Thống kê'!$C$3:$D$669,2,0)</f>
        <v>Mô hình mèo 1</v>
      </c>
      <c r="C1411" s="436" t="str">
        <f>VLOOKUP(A1411,'Thống kê'!$C$3:$E$682,3,0)</f>
        <v>cái</v>
      </c>
      <c r="D1411" s="437">
        <f>VLOOKUP(A1411,'Thống kê'!$C$3:$M$682,4,0)</f>
        <v>37800</v>
      </c>
      <c r="E1411" s="438">
        <v>1</v>
      </c>
      <c r="F1411" s="439">
        <f t="shared" si="6"/>
        <v>37800</v>
      </c>
      <c r="G1411" s="442"/>
      <c r="H1411" s="446"/>
    </row>
    <row r="1412" spans="1:8" ht="13.2">
      <c r="A1412" s="454" t="s">
        <v>1716</v>
      </c>
      <c r="B1412" s="452" t="str">
        <f>VLOOKUP(A1412,'Thống kê'!$C$3:$D$669,2,0)</f>
        <v>Móc khóa đôi 2 quả lê có nam châm</v>
      </c>
      <c r="C1412" s="436" t="str">
        <f>VLOOKUP(A1412,'Thống kê'!$C$3:$E$682,3,0)</f>
        <v>cái</v>
      </c>
      <c r="D1412" s="437">
        <f>VLOOKUP(A1412,'Thống kê'!$C$3:$M$682,4,0)</f>
        <v>59000</v>
      </c>
      <c r="E1412" s="438">
        <v>1</v>
      </c>
      <c r="F1412" s="439">
        <f t="shared" si="6"/>
        <v>59000</v>
      </c>
      <c r="G1412" s="442"/>
      <c r="H1412" s="447">
        <v>57516</v>
      </c>
    </row>
    <row r="1413" spans="1:8" ht="13.2">
      <c r="A1413" s="454" t="s">
        <v>1940</v>
      </c>
      <c r="B1413" s="452" t="str">
        <f>VLOOKUP(A1413,'Thống kê'!$C$3:$D$669,2,0)</f>
        <v>Kẹp tóc kim loại bông hoa</v>
      </c>
      <c r="C1413" s="436" t="str">
        <f>VLOOKUP(A1413,'Thống kê'!$C$3:$E$682,3,0)</f>
        <v>cái</v>
      </c>
      <c r="D1413" s="437">
        <f>VLOOKUP(A1413,'Thống kê'!$C$3:$M$682,4,0)</f>
        <v>14000</v>
      </c>
      <c r="E1413" s="438">
        <v>1</v>
      </c>
      <c r="F1413" s="439">
        <f t="shared" si="6"/>
        <v>14000</v>
      </c>
      <c r="G1413" s="442"/>
      <c r="H1413" s="446"/>
    </row>
    <row r="1414" spans="1:8" ht="13.2">
      <c r="A1414" s="454" t="s">
        <v>1622</v>
      </c>
      <c r="B1414" s="452" t="str">
        <f>VLOOKUP(A1414,'Thống kê'!$C$3:$D$669,2,0)</f>
        <v>Mô hình mèo 1</v>
      </c>
      <c r="C1414" s="436" t="str">
        <f>VLOOKUP(A1414,'Thống kê'!$C$3:$E$682,3,0)</f>
        <v>cái</v>
      </c>
      <c r="D1414" s="437">
        <f>VLOOKUP(A1414,'Thống kê'!$C$3:$M$682,4,0)</f>
        <v>37800</v>
      </c>
      <c r="E1414" s="438">
        <v>1</v>
      </c>
      <c r="F1414" s="439">
        <f t="shared" si="6"/>
        <v>37800</v>
      </c>
      <c r="G1414" s="442"/>
      <c r="H1414" s="447">
        <v>159815</v>
      </c>
    </row>
    <row r="1415" spans="1:8" ht="13.2">
      <c r="A1415" s="454" t="s">
        <v>1621</v>
      </c>
      <c r="B1415" s="452" t="str">
        <f>VLOOKUP(A1415,'Thống kê'!$C$3:$D$669,2,0)</f>
        <v>Mô hình mèo 2</v>
      </c>
      <c r="C1415" s="436" t="str">
        <f>VLOOKUP(A1415,'Thống kê'!$C$3:$E$682,3,0)</f>
        <v>cái</v>
      </c>
      <c r="D1415" s="437">
        <f>VLOOKUP(A1415,'Thống kê'!$C$3:$M$682,4,0)</f>
        <v>37800</v>
      </c>
      <c r="E1415" s="438">
        <v>1</v>
      </c>
      <c r="F1415" s="439">
        <f t="shared" si="6"/>
        <v>37800</v>
      </c>
      <c r="G1415" s="442"/>
      <c r="H1415" s="446"/>
    </row>
    <row r="1416" spans="1:8" ht="13.2">
      <c r="A1416" s="454" t="s">
        <v>1636</v>
      </c>
      <c r="B1416" s="452" t="str">
        <f>VLOOKUP(A1416,'Thống kê'!$C$3:$D$669,2,0)</f>
        <v>Mô hình mèo 3</v>
      </c>
      <c r="C1416" s="436" t="str">
        <f>VLOOKUP(A1416,'Thống kê'!$C$3:$E$682,3,0)</f>
        <v>cái</v>
      </c>
      <c r="D1416" s="437">
        <f>VLOOKUP(A1416,'Thống kê'!$C$3:$M$682,4,0)</f>
        <v>37800</v>
      </c>
      <c r="E1416" s="438">
        <v>1</v>
      </c>
      <c r="F1416" s="439">
        <f t="shared" si="6"/>
        <v>37800</v>
      </c>
      <c r="G1416" s="442"/>
      <c r="H1416" s="446"/>
    </row>
    <row r="1417" spans="1:8" ht="13.2">
      <c r="A1417" s="454" t="s">
        <v>1635</v>
      </c>
      <c r="B1417" s="452" t="str">
        <f>VLOOKUP(A1417,'Thống kê'!$C$3:$D$669,2,0)</f>
        <v>Mô hình mèo 4</v>
      </c>
      <c r="C1417" s="436" t="str">
        <f>VLOOKUP(A1417,'Thống kê'!$C$3:$E$682,3,0)</f>
        <v>cái</v>
      </c>
      <c r="D1417" s="437">
        <f>VLOOKUP(A1417,'Thống kê'!$C$3:$M$682,4,0)</f>
        <v>37800</v>
      </c>
      <c r="E1417" s="438">
        <v>1</v>
      </c>
      <c r="F1417" s="439">
        <f t="shared" si="6"/>
        <v>37800</v>
      </c>
      <c r="G1417" s="442"/>
      <c r="H1417" s="446"/>
    </row>
    <row r="1418" spans="1:8" ht="13.2">
      <c r="A1418" s="454" t="s">
        <v>1623</v>
      </c>
      <c r="B1418" s="452" t="str">
        <f>VLOOKUP(A1418,'Thống kê'!$C$3:$D$669,2,0)</f>
        <v>Mô hình mèo 5</v>
      </c>
      <c r="C1418" s="436" t="str">
        <f>VLOOKUP(A1418,'Thống kê'!$C$3:$E$682,3,0)</f>
        <v>cái</v>
      </c>
      <c r="D1418" s="437">
        <f>VLOOKUP(A1418,'Thống kê'!$C$3:$M$682,4,0)</f>
        <v>37800</v>
      </c>
      <c r="E1418" s="438">
        <v>1</v>
      </c>
      <c r="F1418" s="439">
        <f t="shared" si="6"/>
        <v>37800</v>
      </c>
      <c r="G1418" s="442"/>
      <c r="H1418" s="446"/>
    </row>
    <row r="1419" spans="1:8" ht="13.2">
      <c r="A1419" s="454" t="s">
        <v>1625</v>
      </c>
      <c r="B1419" s="452" t="str">
        <f>VLOOKUP(A1419,'Thống kê'!$C$3:$D$669,2,0)</f>
        <v>Móc khóa đôi 2 mèo trắng nâu</v>
      </c>
      <c r="C1419" s="436" t="str">
        <f>VLOOKUP(A1419,'Thống kê'!$C$3:$E$682,3,0)</f>
        <v>cái</v>
      </c>
      <c r="D1419" s="437">
        <f>VLOOKUP(A1419,'Thống kê'!$C$3:$M$682,4,0)</f>
        <v>59000</v>
      </c>
      <c r="E1419" s="438">
        <v>1</v>
      </c>
      <c r="F1419" s="439">
        <f t="shared" si="6"/>
        <v>59000</v>
      </c>
      <c r="G1419" s="442"/>
      <c r="H1419" s="448">
        <v>46208</v>
      </c>
    </row>
    <row r="1420" spans="1:8" ht="13.2">
      <c r="A1420" s="454" t="s">
        <v>1625</v>
      </c>
      <c r="B1420" s="452" t="str">
        <f>VLOOKUP(A1420,'Thống kê'!$C$3:$D$669,2,0)</f>
        <v>Móc khóa đôi 2 mèo trắng nâu</v>
      </c>
      <c r="C1420" s="436" t="str">
        <f>VLOOKUP(A1420,'Thống kê'!$C$3:$E$682,3,0)</f>
        <v>cái</v>
      </c>
      <c r="D1420" s="437">
        <f>VLOOKUP(A1420,'Thống kê'!$C$3:$M$682,4,0)</f>
        <v>59000</v>
      </c>
      <c r="E1420" s="438">
        <v>1</v>
      </c>
      <c r="F1420" s="439">
        <f t="shared" si="6"/>
        <v>59000</v>
      </c>
      <c r="G1420" s="442"/>
      <c r="H1420" s="447">
        <v>95040</v>
      </c>
    </row>
    <row r="1421" spans="1:8" ht="13.2">
      <c r="A1421" s="454" t="s">
        <v>1624</v>
      </c>
      <c r="B1421" s="452" t="str">
        <f>VLOOKUP(A1421,'Thống kê'!$C$3:$D$669,2,0)</f>
        <v>Móc khóa mèo trái tim</v>
      </c>
      <c r="C1421" s="436" t="str">
        <f>VLOOKUP(A1421,'Thống kê'!$C$3:$E$682,3,0)</f>
        <v>cái</v>
      </c>
      <c r="D1421" s="437">
        <f>VLOOKUP(A1421,'Thống kê'!$C$3:$M$682,4,0)</f>
        <v>59000</v>
      </c>
      <c r="E1421" s="438">
        <v>1</v>
      </c>
      <c r="F1421" s="439">
        <f t="shared" si="6"/>
        <v>59000</v>
      </c>
      <c r="G1421" s="442"/>
      <c r="H1421" s="446"/>
    </row>
    <row r="1422" spans="1:8" ht="13.2">
      <c r="A1422" s="454" t="s">
        <v>1633</v>
      </c>
      <c r="B1422" s="452" t="str">
        <f>VLOOKUP(A1422,'Thống kê'!$C$3:$D$669,2,0)</f>
        <v>Móc khóa đôi gà rán bia</v>
      </c>
      <c r="C1422" s="436" t="str">
        <f>VLOOKUP(A1422,'Thống kê'!$C$3:$E$682,3,0)</f>
        <v>cái</v>
      </c>
      <c r="D1422" s="437">
        <f>VLOOKUP(A1422,'Thống kê'!$C$3:$M$682,4,0)</f>
        <v>56580</v>
      </c>
      <c r="E1422" s="438">
        <v>1</v>
      </c>
      <c r="F1422" s="439">
        <f t="shared" si="6"/>
        <v>56580</v>
      </c>
      <c r="G1422" s="440"/>
      <c r="H1422" s="448">
        <v>44751</v>
      </c>
    </row>
    <row r="1423" spans="1:8" ht="13.2">
      <c r="A1423" s="454" t="s">
        <v>1993</v>
      </c>
      <c r="B1423" s="452" t="str">
        <f>VLOOKUP(A1423,'Thống kê'!$C$3:$D$669,2,0)</f>
        <v>Kẹp tóc rêu</v>
      </c>
      <c r="C1423" s="436" t="str">
        <f>VLOOKUP(A1423,'Thống kê'!$C$3:$E$682,3,0)</f>
        <v>cái</v>
      </c>
      <c r="D1423" s="437">
        <f>VLOOKUP(A1423,'Thống kê'!$C$3:$M$682,4,0)</f>
        <v>14000</v>
      </c>
      <c r="E1423" s="438">
        <v>1</v>
      </c>
      <c r="F1423" s="439">
        <f t="shared" si="6"/>
        <v>14000</v>
      </c>
      <c r="G1423" s="440"/>
      <c r="H1423" s="447">
        <v>49836</v>
      </c>
    </row>
    <row r="1424" spans="1:8" ht="13.2">
      <c r="A1424" s="454" t="s">
        <v>1994</v>
      </c>
      <c r="B1424" s="452" t="str">
        <f>VLOOKUP(A1424,'Thống kê'!$C$3:$D$669,2,0)</f>
        <v>Kẹp nơ xanh đen</v>
      </c>
      <c r="C1424" s="436" t="str">
        <f>VLOOKUP(A1424,'Thống kê'!$C$3:$E$682,3,0)</f>
        <v>cái</v>
      </c>
      <c r="D1424" s="437">
        <f>VLOOKUP(A1424,'Thống kê'!$C$3:$M$682,4,0)</f>
        <v>22000</v>
      </c>
      <c r="E1424" s="438">
        <v>1</v>
      </c>
      <c r="F1424" s="439">
        <f t="shared" si="6"/>
        <v>22000</v>
      </c>
      <c r="G1424" s="440"/>
      <c r="H1424" s="446"/>
    </row>
    <row r="1425" spans="1:8" ht="13.2">
      <c r="A1425" s="454" t="s">
        <v>1832</v>
      </c>
      <c r="B1425" s="452" t="str">
        <f>VLOOKUP(A1425,'Thống kê'!$C$3:$D$669,2,0)</f>
        <v>Ống 10 dây cột tóc đen</v>
      </c>
      <c r="C1425" s="436" t="str">
        <f>VLOOKUP(A1425,'Thống kê'!$C$3:$E$682,3,0)</f>
        <v>ống</v>
      </c>
      <c r="D1425" s="437">
        <f>VLOOKUP(A1425,'Thống kê'!$C$3:$M$682,4,0)</f>
        <v>30000</v>
      </c>
      <c r="E1425" s="438">
        <v>1</v>
      </c>
      <c r="F1425" s="439">
        <f t="shared" si="6"/>
        <v>30000</v>
      </c>
      <c r="G1425" s="440"/>
      <c r="H1425" s="446"/>
    </row>
    <row r="1426" spans="1:8" ht="13.2">
      <c r="A1426" s="454" t="s">
        <v>1596</v>
      </c>
      <c r="B1426" s="452" t="str">
        <f>VLOOKUP(A1426,'Thống kê'!$C$3:$D$669,2,0)</f>
        <v>Dao rọc giấy 11</v>
      </c>
      <c r="C1426" s="436" t="str">
        <f>VLOOKUP(A1426,'Thống kê'!$C$3:$E$682,3,0)</f>
        <v>cái</v>
      </c>
      <c r="D1426" s="437">
        <f>VLOOKUP(A1426,'Thống kê'!$C$3:$M$682,4,0)</f>
        <v>12000</v>
      </c>
      <c r="E1426" s="438">
        <v>1</v>
      </c>
      <c r="F1426" s="439">
        <f t="shared" si="6"/>
        <v>12000</v>
      </c>
      <c r="G1426" s="440"/>
      <c r="H1426" s="447">
        <v>63300</v>
      </c>
    </row>
    <row r="1427" spans="1:8" ht="13.2">
      <c r="A1427" s="454" t="s">
        <v>150</v>
      </c>
      <c r="B1427" s="452" t="str">
        <f>VLOOKUP(A1427,'Thống kê'!$C$3:$D$669,2,0)</f>
        <v>Móc khóa có chuông</v>
      </c>
      <c r="C1427" s="436" t="str">
        <f>VLOOKUP(A1427,'Thống kê'!$C$3:$E$682,3,0)</f>
        <v>cái</v>
      </c>
      <c r="D1427" s="437">
        <f>VLOOKUP(A1427,'Thống kê'!$C$3:$M$682,4,0)</f>
        <v>59000</v>
      </c>
      <c r="E1427" s="438">
        <v>1</v>
      </c>
      <c r="F1427" s="439">
        <f t="shared" si="6"/>
        <v>59000</v>
      </c>
      <c r="G1427" s="440"/>
      <c r="H1427" s="446"/>
    </row>
    <row r="1428" spans="1:8" ht="13.2">
      <c r="A1428" s="454" t="s">
        <v>1603</v>
      </c>
      <c r="B1428" s="452" t="str">
        <f>VLOOKUP(A1428,'Thống kê'!$C$3:$D$669,2,0)</f>
        <v>Thước dây hồng phấn</v>
      </c>
      <c r="C1428" s="436" t="str">
        <f>VLOOKUP(A1428,'Thống kê'!$C$3:$E$682,3,0)</f>
        <v>cái</v>
      </c>
      <c r="D1428" s="437">
        <f>VLOOKUP(A1428,'Thống kê'!$C$3:$M$682,4,0)</f>
        <v>9000</v>
      </c>
      <c r="E1428" s="438">
        <v>1</v>
      </c>
      <c r="F1428" s="439">
        <f t="shared" si="6"/>
        <v>9000</v>
      </c>
      <c r="G1428" s="440"/>
      <c r="H1428" s="446"/>
    </row>
    <row r="1429" spans="1:8" ht="13.2">
      <c r="A1429" s="454" t="s">
        <v>1625</v>
      </c>
      <c r="B1429" s="452" t="str">
        <f>VLOOKUP(A1429,'Thống kê'!$C$3:$D$669,2,0)</f>
        <v>Móc khóa đôi 2 mèo trắng nâu</v>
      </c>
      <c r="C1429" s="436" t="str">
        <f>VLOOKUP(A1429,'Thống kê'!$C$3:$E$682,3,0)</f>
        <v>cái</v>
      </c>
      <c r="D1429" s="437">
        <f>VLOOKUP(A1429,'Thống kê'!$C$3:$M$682,4,0)</f>
        <v>59000</v>
      </c>
      <c r="E1429" s="438">
        <v>1</v>
      </c>
      <c r="F1429" s="439">
        <f t="shared" si="6"/>
        <v>59000</v>
      </c>
      <c r="G1429" s="440"/>
      <c r="H1429" s="448">
        <v>46568</v>
      </c>
    </row>
    <row r="1430" spans="1:8" ht="13.2">
      <c r="A1430" s="454" t="s">
        <v>150</v>
      </c>
      <c r="B1430" s="452" t="str">
        <f>VLOOKUP(A1430,'Thống kê'!$C$3:$D$669,2,0)</f>
        <v>Móc khóa có chuông</v>
      </c>
      <c r="C1430" s="436" t="str">
        <f>VLOOKUP(A1430,'Thống kê'!$C$3:$E$682,3,0)</f>
        <v>cái</v>
      </c>
      <c r="D1430" s="437">
        <f>VLOOKUP(A1430,'Thống kê'!$C$3:$M$682,4,0)</f>
        <v>59000</v>
      </c>
      <c r="E1430" s="438">
        <v>1</v>
      </c>
      <c r="F1430" s="439">
        <f t="shared" si="6"/>
        <v>59000</v>
      </c>
      <c r="G1430" s="440"/>
      <c r="H1430" s="448">
        <v>46568</v>
      </c>
    </row>
    <row r="1431" spans="1:8" ht="13.2">
      <c r="A1431" s="454" t="s">
        <v>1624</v>
      </c>
      <c r="B1431" s="452" t="str">
        <f>VLOOKUP(A1431,'Thống kê'!$C$3:$D$669,2,0)</f>
        <v>Móc khóa mèo trái tim</v>
      </c>
      <c r="C1431" s="436" t="str">
        <f>VLOOKUP(A1431,'Thống kê'!$C$3:$E$682,3,0)</f>
        <v>cái</v>
      </c>
      <c r="D1431" s="437">
        <f>VLOOKUP(A1431,'Thống kê'!$C$3:$M$682,4,0)</f>
        <v>59000</v>
      </c>
      <c r="E1431" s="438">
        <v>1</v>
      </c>
      <c r="F1431" s="439">
        <f t="shared" si="6"/>
        <v>59000</v>
      </c>
      <c r="G1431" s="440"/>
      <c r="H1431" s="448">
        <v>46208</v>
      </c>
    </row>
    <row r="1432" spans="1:8" ht="13.2">
      <c r="A1432" s="454" t="s">
        <v>1633</v>
      </c>
      <c r="B1432" s="452" t="str">
        <f>VLOOKUP(A1432,'Thống kê'!$C$3:$D$669,2,0)</f>
        <v>Móc khóa đôi gà rán bia</v>
      </c>
      <c r="C1432" s="436" t="str">
        <f>VLOOKUP(A1432,'Thống kê'!$C$3:$E$682,3,0)</f>
        <v>cái</v>
      </c>
      <c r="D1432" s="437">
        <f>VLOOKUP(A1432,'Thống kê'!$C$3:$M$682,4,0)</f>
        <v>56580</v>
      </c>
      <c r="E1432" s="438">
        <v>1</v>
      </c>
      <c r="F1432" s="439">
        <f t="shared" si="6"/>
        <v>56580</v>
      </c>
      <c r="G1432" s="440"/>
      <c r="H1432" s="448">
        <v>44751</v>
      </c>
    </row>
    <row r="1433" spans="1:8" ht="13.2">
      <c r="A1433" s="454" t="s">
        <v>1632</v>
      </c>
      <c r="B1433" s="452" t="str">
        <f>VLOOKUP(A1433,'Thống kê'!$C$3:$D$669,2,0)</f>
        <v>Móc khóa đôi mèo trắng</v>
      </c>
      <c r="C1433" s="436" t="str">
        <f>VLOOKUP(A1433,'Thống kê'!$C$3:$E$682,3,0)</f>
        <v>cái</v>
      </c>
      <c r="D1433" s="437">
        <f>VLOOKUP(A1433,'Thống kê'!$C$3:$M$682,4,0)</f>
        <v>59000</v>
      </c>
      <c r="E1433" s="438">
        <v>1</v>
      </c>
      <c r="F1433" s="439">
        <f t="shared" si="6"/>
        <v>59000</v>
      </c>
      <c r="G1433" s="440"/>
      <c r="H1433" s="448">
        <v>46408</v>
      </c>
    </row>
    <row r="1434" spans="1:8" ht="13.2">
      <c r="A1434" s="454" t="s">
        <v>1650</v>
      </c>
      <c r="B1434" s="452" t="str">
        <f>VLOOKUP(A1434,'Thống kê'!$C$3:$D$669,2,0)</f>
        <v>Túi chườm bụng dâu (xanh) 1000ml</v>
      </c>
      <c r="C1434" s="436" t="str">
        <f>VLOOKUP(A1434,'Thống kê'!$C$3:$E$682,3,0)</f>
        <v>túi</v>
      </c>
      <c r="D1434" s="437">
        <f>VLOOKUP(A1434,'Thống kê'!$C$3:$M$682,4,0)</f>
        <v>101150</v>
      </c>
      <c r="E1434" s="438">
        <v>1</v>
      </c>
      <c r="F1434" s="439">
        <f t="shared" si="6"/>
        <v>101150</v>
      </c>
      <c r="G1434" s="440"/>
      <c r="H1434" s="448">
        <v>95920</v>
      </c>
    </row>
    <row r="1435" spans="1:8" ht="13.2">
      <c r="A1435" s="454" t="s">
        <v>1591</v>
      </c>
      <c r="B1435" s="452" t="str">
        <f>VLOOKUP(A1435,'Thống kê'!$C$3:$D$669,2,0)</f>
        <v>Thỏ ú</v>
      </c>
      <c r="C1435" s="436" t="str">
        <f>VLOOKUP(A1435,'Thống kê'!$C$3:$E$682,3,0)</f>
        <v>cái</v>
      </c>
      <c r="D1435" s="437">
        <f>VLOOKUP(A1435,'Thống kê'!$C$3:$M$682,4,0)</f>
        <v>59500</v>
      </c>
      <c r="E1435" s="438">
        <v>1</v>
      </c>
      <c r="F1435" s="439">
        <f t="shared" si="6"/>
        <v>59500</v>
      </c>
      <c r="G1435" s="440"/>
      <c r="H1435" s="448">
        <v>43280</v>
      </c>
    </row>
    <row r="1436" spans="1:8" ht="13.2">
      <c r="A1436" s="454" t="s">
        <v>227</v>
      </c>
      <c r="B1436" s="452" t="str">
        <f>VLOOKUP(A1436,'Thống kê'!$C$3:$D$669,2,0)</f>
        <v>Móc khóa đôi corgy</v>
      </c>
      <c r="C1436" s="436" t="str">
        <f>VLOOKUP(A1436,'Thống kê'!$C$3:$E$682,3,0)</f>
        <v>cái</v>
      </c>
      <c r="D1436" s="437">
        <f>VLOOKUP(A1436,'Thống kê'!$C$3:$M$682,4,0)</f>
        <v>56580</v>
      </c>
      <c r="E1436" s="438">
        <v>1</v>
      </c>
      <c r="F1436" s="439">
        <f t="shared" si="6"/>
        <v>56580</v>
      </c>
      <c r="G1436" s="440"/>
      <c r="H1436" s="448">
        <v>44491</v>
      </c>
    </row>
    <row r="1437" spans="1:8" ht="13.2">
      <c r="A1437" s="454" t="s">
        <v>1594</v>
      </c>
      <c r="B1437" s="452" t="str">
        <f>VLOOKUP(A1437,'Thống kê'!$C$3:$D$669,2,0)</f>
        <v>Móc khóa đôi heo</v>
      </c>
      <c r="C1437" s="436" t="str">
        <f>VLOOKUP(A1437,'Thống kê'!$C$3:$E$682,3,0)</f>
        <v>cái</v>
      </c>
      <c r="D1437" s="437">
        <f>VLOOKUP(A1437,'Thống kê'!$C$3:$M$682,4,0)</f>
        <v>56580</v>
      </c>
      <c r="E1437" s="438">
        <v>1</v>
      </c>
      <c r="F1437" s="439">
        <f t="shared" si="6"/>
        <v>56580</v>
      </c>
      <c r="G1437" s="440"/>
      <c r="H1437" s="448">
        <v>44591</v>
      </c>
    </row>
    <row r="1438" spans="1:8" ht="13.2">
      <c r="A1438" s="454" t="s">
        <v>150</v>
      </c>
      <c r="B1438" s="452" t="str">
        <f>VLOOKUP(A1438,'Thống kê'!$C$3:$D$669,2,0)</f>
        <v>Móc khóa có chuông</v>
      </c>
      <c r="C1438" s="436" t="str">
        <f>VLOOKUP(A1438,'Thống kê'!$C$3:$E$682,3,0)</f>
        <v>cái</v>
      </c>
      <c r="D1438" s="437">
        <f>VLOOKUP(A1438,'Thống kê'!$C$3:$M$682,4,0)</f>
        <v>59000</v>
      </c>
      <c r="E1438" s="438">
        <v>1</v>
      </c>
      <c r="F1438" s="439">
        <f t="shared" si="6"/>
        <v>59000</v>
      </c>
      <c r="G1438" s="440"/>
      <c r="H1438" s="448">
        <v>46068</v>
      </c>
    </row>
    <row r="1439" spans="1:8" ht="13.2">
      <c r="A1439" s="454" t="s">
        <v>1624</v>
      </c>
      <c r="B1439" s="452" t="str">
        <f>VLOOKUP(A1439,'Thống kê'!$C$3:$D$669,2,0)</f>
        <v>Móc khóa mèo trái tim</v>
      </c>
      <c r="C1439" s="436" t="str">
        <f>VLOOKUP(A1439,'Thống kê'!$C$3:$E$682,3,0)</f>
        <v>cái</v>
      </c>
      <c r="D1439" s="437">
        <f>VLOOKUP(A1439,'Thống kê'!$C$3:$M$682,4,0)</f>
        <v>59000</v>
      </c>
      <c r="E1439" s="438">
        <v>1</v>
      </c>
      <c r="F1439" s="439">
        <f t="shared" si="6"/>
        <v>59000</v>
      </c>
      <c r="G1439" s="440"/>
      <c r="H1439" s="448">
        <v>46408</v>
      </c>
    </row>
    <row r="1440" spans="1:8" ht="13.2">
      <c r="A1440" s="454" t="s">
        <v>1632</v>
      </c>
      <c r="B1440" s="452" t="str">
        <f>VLOOKUP(A1440,'Thống kê'!$C$3:$D$669,2,0)</f>
        <v>Móc khóa đôi mèo trắng</v>
      </c>
      <c r="C1440" s="436" t="str">
        <f>VLOOKUP(A1440,'Thống kê'!$C$3:$E$682,3,0)</f>
        <v>cái</v>
      </c>
      <c r="D1440" s="437">
        <f>VLOOKUP(A1440,'Thống kê'!$C$3:$M$682,4,0)</f>
        <v>59000</v>
      </c>
      <c r="E1440" s="438">
        <v>1</v>
      </c>
      <c r="F1440" s="439">
        <f t="shared" si="6"/>
        <v>59000</v>
      </c>
      <c r="G1440" s="440"/>
      <c r="H1440" s="448">
        <v>46668</v>
      </c>
    </row>
    <row r="1441" spans="1:8" ht="13.2">
      <c r="A1441" s="454" t="s">
        <v>1624</v>
      </c>
      <c r="B1441" s="452" t="str">
        <f>VLOOKUP(A1441,'Thống kê'!$C$3:$D$669,2,0)</f>
        <v>Móc khóa mèo trái tim</v>
      </c>
      <c r="C1441" s="436" t="str">
        <f>VLOOKUP(A1441,'Thống kê'!$C$3:$E$682,3,0)</f>
        <v>cái</v>
      </c>
      <c r="D1441" s="437">
        <f>VLOOKUP(A1441,'Thống kê'!$C$3:$M$682,4,0)</f>
        <v>59000</v>
      </c>
      <c r="E1441" s="438">
        <v>1</v>
      </c>
      <c r="F1441" s="439">
        <f t="shared" si="6"/>
        <v>59000</v>
      </c>
      <c r="G1441" s="440"/>
      <c r="H1441" s="448">
        <v>46728</v>
      </c>
    </row>
    <row r="1442" spans="1:8" ht="13.2">
      <c r="A1442" s="454" t="s">
        <v>1624</v>
      </c>
      <c r="B1442" s="452" t="str">
        <f>VLOOKUP(A1442,'Thống kê'!$C$3:$D$669,2,0)</f>
        <v>Móc khóa mèo trái tim</v>
      </c>
      <c r="C1442" s="436" t="str">
        <f>VLOOKUP(A1442,'Thống kê'!$C$3:$E$682,3,0)</f>
        <v>cái</v>
      </c>
      <c r="D1442" s="437">
        <f>VLOOKUP(A1442,'Thống kê'!$C$3:$M$682,4,0)</f>
        <v>59000</v>
      </c>
      <c r="E1442" s="438">
        <v>1</v>
      </c>
      <c r="F1442" s="439">
        <f t="shared" si="6"/>
        <v>59000</v>
      </c>
      <c r="G1442" s="440"/>
      <c r="H1442" s="447">
        <v>67452</v>
      </c>
    </row>
    <row r="1443" spans="1:8" ht="13.2">
      <c r="A1443" s="454" t="s">
        <v>1944</v>
      </c>
      <c r="B1443" s="452" t="str">
        <f>VLOOKUP(A1443,'Thống kê'!$C$3:$D$669,2,0)</f>
        <v>Ống 100 dây cột tóc be nâu</v>
      </c>
      <c r="C1443" s="436" t="str">
        <f>VLOOKUP(A1443,'Thống kê'!$C$3:$E$682,3,0)</f>
        <v>ống</v>
      </c>
      <c r="D1443" s="437">
        <f>VLOOKUP(A1443,'Thống kê'!$C$3:$M$682,4,0)</f>
        <v>30000</v>
      </c>
      <c r="E1443" s="438">
        <v>1</v>
      </c>
      <c r="F1443" s="439">
        <f t="shared" si="6"/>
        <v>30000</v>
      </c>
      <c r="G1443" s="440"/>
      <c r="H1443" s="446"/>
    </row>
    <row r="1444" spans="1:8" ht="13.2">
      <c r="A1444" s="454" t="s">
        <v>1624</v>
      </c>
      <c r="B1444" s="452" t="str">
        <f>VLOOKUP(A1444,'Thống kê'!$C$3:$D$669,2,0)</f>
        <v>Móc khóa mèo trái tim</v>
      </c>
      <c r="C1444" s="436" t="str">
        <f>VLOOKUP(A1444,'Thống kê'!$C$3:$E$682,3,0)</f>
        <v>cái</v>
      </c>
      <c r="D1444" s="437">
        <f>VLOOKUP(A1444,'Thống kê'!$C$3:$M$682,4,0)</f>
        <v>59000</v>
      </c>
      <c r="E1444" s="438">
        <v>1</v>
      </c>
      <c r="F1444" s="439">
        <f t="shared" si="6"/>
        <v>59000</v>
      </c>
      <c r="G1444" s="440"/>
      <c r="H1444" s="448">
        <v>46668</v>
      </c>
    </row>
    <row r="1445" spans="1:8" ht="13.2">
      <c r="A1445" s="454" t="s">
        <v>1624</v>
      </c>
      <c r="B1445" s="452" t="str">
        <f>VLOOKUP(A1445,'Thống kê'!$C$3:$D$669,2,0)</f>
        <v>Móc khóa mèo trái tim</v>
      </c>
      <c r="C1445" s="436" t="str">
        <f>VLOOKUP(A1445,'Thống kê'!$C$3:$E$682,3,0)</f>
        <v>cái</v>
      </c>
      <c r="D1445" s="437">
        <f>VLOOKUP(A1445,'Thống kê'!$C$3:$M$682,4,0)</f>
        <v>59000</v>
      </c>
      <c r="E1445" s="438">
        <v>1</v>
      </c>
      <c r="F1445" s="439">
        <f t="shared" si="6"/>
        <v>59000</v>
      </c>
      <c r="G1445" s="440"/>
      <c r="H1445" s="448">
        <v>46568</v>
      </c>
    </row>
    <row r="1446" spans="1:8" ht="13.2">
      <c r="A1446" s="454" t="s">
        <v>1995</v>
      </c>
      <c r="B1446" s="452" t="str">
        <f>VLOOKUP(A1446,'Thống kê'!$C$3:$D$669,2,0)</f>
        <v>Kẹp tóc be</v>
      </c>
      <c r="C1446" s="436" t="str">
        <f>VLOOKUP(A1446,'Thống kê'!$C$3:$E$682,3,0)</f>
        <v>cái</v>
      </c>
      <c r="D1446" s="437">
        <f>VLOOKUP(A1446,'Thống kê'!$C$3:$M$682,4,0)</f>
        <v>14000</v>
      </c>
      <c r="E1446" s="438">
        <v>1</v>
      </c>
      <c r="F1446" s="439">
        <f t="shared" si="6"/>
        <v>14000</v>
      </c>
      <c r="G1446" s="440"/>
      <c r="H1446" s="447">
        <v>157664</v>
      </c>
    </row>
    <row r="1447" spans="1:8" ht="13.2">
      <c r="A1447" s="454" t="s">
        <v>1625</v>
      </c>
      <c r="B1447" s="452" t="str">
        <f>VLOOKUP(A1447,'Thống kê'!$C$3:$D$669,2,0)</f>
        <v>Móc khóa đôi 2 mèo trắng nâu</v>
      </c>
      <c r="C1447" s="436" t="str">
        <f>VLOOKUP(A1447,'Thống kê'!$C$3:$E$682,3,0)</f>
        <v>cái</v>
      </c>
      <c r="D1447" s="437">
        <f>VLOOKUP(A1447,'Thống kê'!$C$3:$M$682,4,0)</f>
        <v>59000</v>
      </c>
      <c r="E1447" s="438">
        <v>1</v>
      </c>
      <c r="F1447" s="439">
        <f t="shared" si="6"/>
        <v>59000</v>
      </c>
      <c r="G1447" s="440"/>
      <c r="H1447" s="446"/>
    </row>
    <row r="1448" spans="1:8" ht="13.2">
      <c r="A1448" s="454" t="s">
        <v>1973</v>
      </c>
      <c r="B1448" s="452" t="str">
        <f>VLOOKUP(A1448,'Thống kê'!$C$3:$D$669,2,0)</f>
        <v>Móc khóa capybara 4 - áo tennis</v>
      </c>
      <c r="C1448" s="436" t="str">
        <f>VLOOKUP(A1448,'Thống kê'!$C$3:$E$682,3,0)</f>
        <v>cái</v>
      </c>
      <c r="D1448" s="437">
        <f>VLOOKUP(A1448,'Thống kê'!$C$3:$M$682,4,0)</f>
        <v>58800</v>
      </c>
      <c r="E1448" s="438">
        <v>1</v>
      </c>
      <c r="F1448" s="439">
        <f t="shared" si="6"/>
        <v>58800</v>
      </c>
      <c r="G1448" s="440"/>
      <c r="H1448" s="446"/>
    </row>
    <row r="1449" spans="1:8" ht="13.2">
      <c r="A1449" s="454" t="s">
        <v>1933</v>
      </c>
      <c r="B1449" s="452" t="str">
        <f>VLOOKUP(A1449,'Thống kê'!$C$3:$D$669,2,0)</f>
        <v>Móc khóa capybara 3 - bóng tennis</v>
      </c>
      <c r="C1449" s="436" t="str">
        <f>VLOOKUP(A1449,'Thống kê'!$C$3:$E$682,3,0)</f>
        <v>cái</v>
      </c>
      <c r="D1449" s="437">
        <f>VLOOKUP(A1449,'Thống kê'!$C$3:$M$682,4,0)</f>
        <v>58800</v>
      </c>
      <c r="E1449" s="438">
        <v>1</v>
      </c>
      <c r="F1449" s="439">
        <f t="shared" si="6"/>
        <v>58800</v>
      </c>
      <c r="G1449" s="440"/>
      <c r="H1449" s="446"/>
    </row>
    <row r="1450" spans="1:8" ht="13.2">
      <c r="A1450" s="454" t="s">
        <v>1614</v>
      </c>
      <c r="B1450" s="452" t="str">
        <f>VLOOKUP(A1450,'Thống kê'!$C$3:$D$669,2,0)</f>
        <v>Kẹp tóc bướm xanh ngọc</v>
      </c>
      <c r="C1450" s="436" t="str">
        <f>VLOOKUP(A1450,'Thống kê'!$C$3:$E$682,3,0)</f>
        <v>cái</v>
      </c>
      <c r="D1450" s="437">
        <f>VLOOKUP(A1450,'Thống kê'!$C$3:$M$682,4,0)</f>
        <v>38000</v>
      </c>
      <c r="E1450" s="438">
        <v>1</v>
      </c>
      <c r="F1450" s="439">
        <f t="shared" si="6"/>
        <v>38000</v>
      </c>
      <c r="G1450" s="440"/>
      <c r="H1450" s="447">
        <v>170000</v>
      </c>
    </row>
    <row r="1451" spans="1:8" ht="13.2">
      <c r="A1451" s="454" t="s">
        <v>1613</v>
      </c>
      <c r="B1451" s="452" t="str">
        <f>VLOOKUP(A1451,'Thống kê'!$C$3:$D$669,2,0)</f>
        <v>Kẹp tóc bướm xanh tím</v>
      </c>
      <c r="C1451" s="436" t="str">
        <f>VLOOKUP(A1451,'Thống kê'!$C$3:$E$682,3,0)</f>
        <v>cái</v>
      </c>
      <c r="D1451" s="437">
        <f>VLOOKUP(A1451,'Thống kê'!$C$3:$M$682,4,0)</f>
        <v>40000</v>
      </c>
      <c r="E1451" s="438">
        <v>1</v>
      </c>
      <c r="F1451" s="439">
        <f t="shared" si="6"/>
        <v>40000</v>
      </c>
      <c r="G1451" s="440"/>
      <c r="H1451" s="446"/>
    </row>
    <row r="1452" spans="1:8" ht="13.2">
      <c r="A1452" s="454" t="s">
        <v>1615</v>
      </c>
      <c r="B1452" s="452" t="str">
        <f>VLOOKUP(A1452,'Thống kê'!$C$3:$D$669,2,0)</f>
        <v>Kẹp tóc bướm tím</v>
      </c>
      <c r="C1452" s="436" t="str">
        <f>VLOOKUP(A1452,'Thống kê'!$C$3:$E$682,3,0)</f>
        <v>cái</v>
      </c>
      <c r="D1452" s="437">
        <f>VLOOKUP(A1452,'Thống kê'!$C$3:$M$682,4,0)</f>
        <v>40000</v>
      </c>
      <c r="E1452" s="438">
        <v>1</v>
      </c>
      <c r="F1452" s="439">
        <f t="shared" si="6"/>
        <v>40000</v>
      </c>
      <c r="G1452" s="440"/>
      <c r="H1452" s="446"/>
    </row>
    <row r="1453" spans="1:8" ht="13.2">
      <c r="A1453" s="454" t="s">
        <v>1618</v>
      </c>
      <c r="B1453" s="452" t="str">
        <f>VLOOKUP(A1453,'Thống kê'!$C$3:$D$669,2,0)</f>
        <v>Kẹp tóc bướm hồng trắng</v>
      </c>
      <c r="C1453" s="436" t="str">
        <f>VLOOKUP(A1453,'Thống kê'!$C$3:$E$682,3,0)</f>
        <v>cái</v>
      </c>
      <c r="D1453" s="437">
        <f>VLOOKUP(A1453,'Thống kê'!$C$3:$M$682,4,0)</f>
        <v>52000</v>
      </c>
      <c r="E1453" s="438">
        <v>1</v>
      </c>
      <c r="F1453" s="439">
        <f t="shared" si="6"/>
        <v>52000</v>
      </c>
      <c r="G1453" s="440"/>
      <c r="H1453" s="446"/>
    </row>
    <row r="1454" spans="1:8" ht="13.2">
      <c r="A1454" s="454" t="s">
        <v>1936</v>
      </c>
      <c r="B1454" s="452" t="str">
        <f>VLOOKUP(A1454,'Thống kê'!$C$3:$D$669,2,0)</f>
        <v>Kẹp tóc hoa sứ vàng</v>
      </c>
      <c r="C1454" s="436" t="str">
        <f>VLOOKUP(A1454,'Thống kê'!$C$3:$E$682,3,0)</f>
        <v>cái</v>
      </c>
      <c r="D1454" s="437">
        <f>VLOOKUP(A1454,'Thống kê'!$C$3:$M$682,4,0)</f>
        <v>18500</v>
      </c>
      <c r="E1454" s="438">
        <v>1</v>
      </c>
      <c r="F1454" s="439">
        <f t="shared" si="6"/>
        <v>18500</v>
      </c>
      <c r="G1454" s="440"/>
      <c r="H1454" s="446"/>
    </row>
    <row r="1455" spans="1:8" ht="13.2">
      <c r="A1455" s="454" t="s">
        <v>1624</v>
      </c>
      <c r="B1455" s="452" t="str">
        <f>VLOOKUP(A1455,'Thống kê'!$C$3:$D$669,2,0)</f>
        <v>Móc khóa mèo trái tim</v>
      </c>
      <c r="C1455" s="436" t="str">
        <f>VLOOKUP(A1455,'Thống kê'!$C$3:$E$682,3,0)</f>
        <v>cái</v>
      </c>
      <c r="D1455" s="437">
        <f>VLOOKUP(A1455,'Thống kê'!$C$3:$M$682,4,0)</f>
        <v>59000</v>
      </c>
      <c r="E1455" s="438">
        <v>1</v>
      </c>
      <c r="F1455" s="439">
        <f t="shared" si="6"/>
        <v>59000</v>
      </c>
      <c r="G1455" s="440"/>
      <c r="H1455" s="448">
        <v>46388</v>
      </c>
    </row>
    <row r="1456" spans="1:8" ht="13.2">
      <c r="A1456" s="454" t="s">
        <v>119</v>
      </c>
      <c r="B1456" s="452" t="str">
        <f>VLOOKUP(A1456,'Thống kê'!$C$3:$D$669,2,0)</f>
        <v>Thỏ chạy xe gắn xe</v>
      </c>
      <c r="C1456" s="436" t="str">
        <f>VLOOKUP(A1456,'Thống kê'!$C$3:$E$682,3,0)</f>
        <v>cái</v>
      </c>
      <c r="D1456" s="437">
        <f>VLOOKUP(A1456,'Thống kê'!$C$3:$M$682,4,0)</f>
        <v>45000</v>
      </c>
      <c r="E1456" s="438">
        <v>1</v>
      </c>
      <c r="F1456" s="439">
        <f t="shared" si="6"/>
        <v>45000</v>
      </c>
      <c r="G1456" s="440"/>
      <c r="H1456" s="448">
        <v>36380</v>
      </c>
    </row>
    <row r="1457" spans="1:8" ht="13.2">
      <c r="A1457" s="454" t="s">
        <v>115</v>
      </c>
      <c r="B1457" s="452" t="str">
        <f>VLOOKUP(A1457,'Thống kê'!$C$3:$D$669,2,0)</f>
        <v>Heo ú</v>
      </c>
      <c r="C1457" s="436" t="str">
        <f>VLOOKUP(A1457,'Thống kê'!$C$3:$E$682,3,0)</f>
        <v>cái</v>
      </c>
      <c r="D1457" s="437">
        <f>VLOOKUP(A1457,'Thống kê'!$C$3:$M$682,4,0)</f>
        <v>59500</v>
      </c>
      <c r="E1457" s="438">
        <v>1</v>
      </c>
      <c r="F1457" s="439">
        <f t="shared" si="6"/>
        <v>59500</v>
      </c>
      <c r="G1457" s="440"/>
      <c r="H1457" s="448">
        <v>43500</v>
      </c>
    </row>
    <row r="1458" spans="1:8" ht="13.2">
      <c r="A1458" s="454" t="s">
        <v>1952</v>
      </c>
      <c r="B1458" s="452" t="str">
        <f>VLOOKUP(A1458,'Thống kê'!$C$3:$D$669,2,0)</f>
        <v>Túi chườm bụng vịt vàng 500ml</v>
      </c>
      <c r="C1458" s="436" t="str">
        <f>VLOOKUP(A1458,'Thống kê'!$C$3:$E$682,3,0)</f>
        <v>túi</v>
      </c>
      <c r="D1458" s="437">
        <f>VLOOKUP(A1458,'Thống kê'!$C$3:$M$682,4,0)</f>
        <v>81000</v>
      </c>
      <c r="E1458" s="438">
        <v>1</v>
      </c>
      <c r="F1458" s="439">
        <f t="shared" si="6"/>
        <v>81000</v>
      </c>
      <c r="G1458" s="440"/>
      <c r="H1458" s="448">
        <v>64092</v>
      </c>
    </row>
    <row r="1459" spans="1:8" ht="13.2">
      <c r="A1459" s="454" t="s">
        <v>232</v>
      </c>
      <c r="B1459" s="452" t="str">
        <f>VLOOKUP(A1459,'Thống kê'!$C$3:$D$669,2,0)</f>
        <v>Cáo gắn xe</v>
      </c>
      <c r="C1459" s="436" t="str">
        <f>VLOOKUP(A1459,'Thống kê'!$C$3:$E$682,3,0)</f>
        <v>cái</v>
      </c>
      <c r="D1459" s="437">
        <f>VLOOKUP(A1459,'Thống kê'!$C$3:$M$682,4,0)</f>
        <v>45000</v>
      </c>
      <c r="E1459" s="438">
        <v>1</v>
      </c>
      <c r="F1459" s="439">
        <f t="shared" si="6"/>
        <v>45000</v>
      </c>
      <c r="G1459" s="440"/>
      <c r="H1459" s="448">
        <v>42280</v>
      </c>
    </row>
    <row r="1460" spans="1:8" ht="13.2">
      <c r="A1460" s="454" t="s">
        <v>1624</v>
      </c>
      <c r="B1460" s="452" t="str">
        <f>VLOOKUP(A1460,'Thống kê'!$C$3:$D$669,2,0)</f>
        <v>Móc khóa mèo trái tim</v>
      </c>
      <c r="C1460" s="436" t="str">
        <f>VLOOKUP(A1460,'Thống kê'!$C$3:$E$682,3,0)</f>
        <v>cái</v>
      </c>
      <c r="D1460" s="437">
        <f>VLOOKUP(A1460,'Thống kê'!$C$3:$M$682,4,0)</f>
        <v>59000</v>
      </c>
      <c r="E1460" s="438">
        <v>1</v>
      </c>
      <c r="F1460" s="439">
        <f t="shared" si="6"/>
        <v>59000</v>
      </c>
      <c r="G1460" s="440"/>
      <c r="H1460" s="448">
        <v>51860</v>
      </c>
    </row>
    <row r="1461" spans="1:8" ht="13.2">
      <c r="A1461" s="454" t="s">
        <v>330</v>
      </c>
      <c r="B1461" s="452" t="str">
        <f>VLOOKUP(A1461,'Thống kê'!$C$3:$D$669,2,0)</f>
        <v>Túi chườm bụng thỏ xám  500ml</v>
      </c>
      <c r="C1461" s="436" t="str">
        <f>VLOOKUP(A1461,'Thống kê'!$C$3:$E$682,3,0)</f>
        <v>túi</v>
      </c>
      <c r="D1461" s="437">
        <f>VLOOKUP(A1461,'Thống kê'!$C$3:$M$682,4,0)</f>
        <v>81000</v>
      </c>
      <c r="E1461" s="438">
        <v>1</v>
      </c>
      <c r="F1461" s="439">
        <f t="shared" si="6"/>
        <v>81000</v>
      </c>
      <c r="G1461" s="440"/>
      <c r="H1461" s="448">
        <v>71140</v>
      </c>
    </row>
    <row r="1462" spans="1:8" ht="13.2">
      <c r="A1462" s="454" t="s">
        <v>1624</v>
      </c>
      <c r="B1462" s="452" t="str">
        <f>VLOOKUP(A1462,'Thống kê'!$C$3:$D$669,2,0)</f>
        <v>Móc khóa mèo trái tim</v>
      </c>
      <c r="C1462" s="436" t="str">
        <f>VLOOKUP(A1462,'Thống kê'!$C$3:$E$682,3,0)</f>
        <v>cái</v>
      </c>
      <c r="D1462" s="437">
        <f>VLOOKUP(A1462,'Thống kê'!$C$3:$M$682,4,0)</f>
        <v>59000</v>
      </c>
      <c r="E1462" s="438">
        <v>1</v>
      </c>
      <c r="F1462" s="439">
        <f t="shared" si="6"/>
        <v>59000</v>
      </c>
      <c r="G1462" s="440"/>
      <c r="H1462" s="448">
        <v>51780</v>
      </c>
    </row>
    <row r="1463" spans="1:8" ht="13.2">
      <c r="A1463" s="454" t="s">
        <v>115</v>
      </c>
      <c r="B1463" s="452" t="str">
        <f>VLOOKUP(A1463,'Thống kê'!$C$3:$D$669,2,0)</f>
        <v>Heo ú</v>
      </c>
      <c r="C1463" s="436" t="str">
        <f>VLOOKUP(A1463,'Thống kê'!$C$3:$E$682,3,0)</f>
        <v>cái</v>
      </c>
      <c r="D1463" s="437">
        <f>VLOOKUP(A1463,'Thống kê'!$C$3:$M$682,4,0)</f>
        <v>59500</v>
      </c>
      <c r="E1463" s="438">
        <v>1</v>
      </c>
      <c r="F1463" s="439">
        <f t="shared" si="6"/>
        <v>59500</v>
      </c>
      <c r="G1463" s="440"/>
      <c r="H1463" s="448">
        <v>48260</v>
      </c>
    </row>
    <row r="1464" spans="1:8" ht="13.2">
      <c r="A1464" s="454" t="s">
        <v>1716</v>
      </c>
      <c r="B1464" s="452" t="str">
        <f>VLOOKUP(A1464,'Thống kê'!$C$3:$D$669,2,0)</f>
        <v>Móc khóa đôi 2 quả lê có nam châm</v>
      </c>
      <c r="C1464" s="436" t="str">
        <f>VLOOKUP(A1464,'Thống kê'!$C$3:$E$682,3,0)</f>
        <v>cái</v>
      </c>
      <c r="D1464" s="437">
        <f>VLOOKUP(A1464,'Thống kê'!$C$3:$M$682,4,0)</f>
        <v>59000</v>
      </c>
      <c r="E1464" s="438">
        <v>1</v>
      </c>
      <c r="F1464" s="439">
        <f t="shared" si="6"/>
        <v>59000</v>
      </c>
      <c r="G1464" s="440"/>
      <c r="H1464" s="447">
        <v>144413</v>
      </c>
    </row>
    <row r="1465" spans="1:8" ht="13.2">
      <c r="A1465" s="454" t="s">
        <v>1624</v>
      </c>
      <c r="B1465" s="452" t="str">
        <f>VLOOKUP(A1465,'Thống kê'!$C$3:$D$669,2,0)</f>
        <v>Móc khóa mèo trái tim</v>
      </c>
      <c r="C1465" s="436" t="str">
        <f>VLOOKUP(A1465,'Thống kê'!$C$3:$E$682,3,0)</f>
        <v>cái</v>
      </c>
      <c r="D1465" s="437">
        <f>VLOOKUP(A1465,'Thống kê'!$C$3:$M$682,4,0)</f>
        <v>59000</v>
      </c>
      <c r="E1465" s="438">
        <v>1</v>
      </c>
      <c r="F1465" s="439">
        <f t="shared" si="6"/>
        <v>59000</v>
      </c>
      <c r="G1465" s="440"/>
      <c r="H1465" s="446"/>
    </row>
    <row r="1466" spans="1:8" ht="13.2">
      <c r="A1466" s="454" t="s">
        <v>227</v>
      </c>
      <c r="B1466" s="452" t="str">
        <f>VLOOKUP(A1466,'Thống kê'!$C$3:$D$669,2,0)</f>
        <v>Móc khóa đôi corgy</v>
      </c>
      <c r="C1466" s="436" t="str">
        <f>VLOOKUP(A1466,'Thống kê'!$C$3:$E$682,3,0)</f>
        <v>cái</v>
      </c>
      <c r="D1466" s="437">
        <f>VLOOKUP(A1466,'Thống kê'!$C$3:$M$682,4,0)</f>
        <v>56580</v>
      </c>
      <c r="E1466" s="438">
        <v>1</v>
      </c>
      <c r="F1466" s="439">
        <f t="shared" si="6"/>
        <v>56580</v>
      </c>
      <c r="G1466" s="440"/>
      <c r="H1466" s="446"/>
    </row>
    <row r="1467" spans="1:8" ht="13.2">
      <c r="A1467" s="454" t="s">
        <v>1624</v>
      </c>
      <c r="B1467" s="452" t="str">
        <f>VLOOKUP(A1467,'Thống kê'!$C$3:$D$669,2,0)</f>
        <v>Móc khóa mèo trái tim</v>
      </c>
      <c r="C1467" s="436" t="str">
        <f>VLOOKUP(A1467,'Thống kê'!$C$3:$E$682,3,0)</f>
        <v>cái</v>
      </c>
      <c r="D1467" s="437">
        <f>VLOOKUP(A1467,'Thống kê'!$C$3:$M$682,4,0)</f>
        <v>59000</v>
      </c>
      <c r="E1467" s="438">
        <v>1</v>
      </c>
      <c r="F1467" s="439">
        <f t="shared" si="6"/>
        <v>59000</v>
      </c>
      <c r="G1467" s="440"/>
      <c r="H1467" s="447">
        <v>101711</v>
      </c>
    </row>
    <row r="1468" spans="1:8" ht="13.2">
      <c r="A1468" s="454" t="s">
        <v>1594</v>
      </c>
      <c r="B1468" s="452" t="str">
        <f>VLOOKUP(A1468,'Thống kê'!$C$3:$D$669,2,0)</f>
        <v>Móc khóa đôi heo</v>
      </c>
      <c r="C1468" s="436" t="str">
        <f>VLOOKUP(A1468,'Thống kê'!$C$3:$E$682,3,0)</f>
        <v>cái</v>
      </c>
      <c r="D1468" s="437">
        <f>VLOOKUP(A1468,'Thống kê'!$C$3:$M$682,4,0)</f>
        <v>56580</v>
      </c>
      <c r="E1468" s="438">
        <v>1</v>
      </c>
      <c r="F1468" s="439">
        <f t="shared" si="6"/>
        <v>56580</v>
      </c>
      <c r="G1468" s="440"/>
      <c r="H1468" s="446"/>
    </row>
    <row r="1469" spans="1:8" ht="13.2">
      <c r="A1469" s="454" t="s">
        <v>1624</v>
      </c>
      <c r="B1469" s="452" t="str">
        <f>VLOOKUP(A1469,'Thống kê'!$C$3:$D$669,2,0)</f>
        <v>Móc khóa mèo trái tim</v>
      </c>
      <c r="C1469" s="436" t="str">
        <f>VLOOKUP(A1469,'Thống kê'!$C$3:$E$682,3,0)</f>
        <v>cái</v>
      </c>
      <c r="D1469" s="437">
        <f>VLOOKUP(A1469,'Thống kê'!$C$3:$M$682,4,0)</f>
        <v>59000</v>
      </c>
      <c r="E1469" s="438">
        <v>1</v>
      </c>
      <c r="F1469" s="439">
        <f t="shared" si="6"/>
        <v>59000</v>
      </c>
      <c r="G1469" s="440"/>
      <c r="H1469" s="448">
        <v>51600</v>
      </c>
    </row>
    <row r="1470" spans="1:8" ht="13.2">
      <c r="A1470" s="454" t="s">
        <v>119</v>
      </c>
      <c r="B1470" s="452" t="str">
        <f>VLOOKUP(A1470,'Thống kê'!$C$3:$D$669,2,0)</f>
        <v>Thỏ chạy xe gắn xe</v>
      </c>
      <c r="C1470" s="436" t="str">
        <f>VLOOKUP(A1470,'Thống kê'!$C$3:$E$682,3,0)</f>
        <v>cái</v>
      </c>
      <c r="D1470" s="437">
        <f>VLOOKUP(A1470,'Thống kê'!$C$3:$M$682,4,0)</f>
        <v>45000</v>
      </c>
      <c r="E1470" s="438">
        <v>1</v>
      </c>
      <c r="F1470" s="439">
        <f t="shared" si="6"/>
        <v>45000</v>
      </c>
      <c r="G1470" s="440"/>
      <c r="H1470" s="448">
        <v>36380</v>
      </c>
    </row>
    <row r="1471" spans="1:8" ht="13.2">
      <c r="A1471" s="454" t="s">
        <v>227</v>
      </c>
      <c r="B1471" s="452" t="str">
        <f>VLOOKUP(A1471,'Thống kê'!$C$3:$D$669,2,0)</f>
        <v>Móc khóa đôi corgy</v>
      </c>
      <c r="C1471" s="436" t="str">
        <f>VLOOKUP(A1471,'Thống kê'!$C$3:$E$682,3,0)</f>
        <v>cái</v>
      </c>
      <c r="D1471" s="437">
        <f>VLOOKUP(A1471,'Thống kê'!$C$3:$M$682,4,0)</f>
        <v>56580</v>
      </c>
      <c r="E1471" s="438">
        <v>1</v>
      </c>
      <c r="F1471" s="439">
        <f t="shared" si="6"/>
        <v>56580</v>
      </c>
      <c r="G1471" s="440"/>
      <c r="H1471" s="448">
        <v>49631</v>
      </c>
    </row>
    <row r="1472" spans="1:8" ht="13.2">
      <c r="A1472" s="454" t="s">
        <v>1947</v>
      </c>
      <c r="B1472" s="452" t="str">
        <f>VLOOKUP(A1472,'Thống kê'!$C$3:$D$669,2,0)</f>
        <v>Kẹp nơ trắng</v>
      </c>
      <c r="C1472" s="436" t="str">
        <f>VLOOKUP(A1472,'Thống kê'!$C$3:$E$682,3,0)</f>
        <v>cái</v>
      </c>
      <c r="D1472" s="437">
        <f>VLOOKUP(A1472,'Thống kê'!$C$3:$M$682,4,0)</f>
        <v>22000</v>
      </c>
      <c r="E1472" s="438">
        <v>1</v>
      </c>
      <c r="F1472" s="439">
        <f t="shared" si="6"/>
        <v>22000</v>
      </c>
      <c r="G1472" s="440"/>
      <c r="H1472" s="447">
        <v>55908</v>
      </c>
    </row>
    <row r="1473" spans="1:8" ht="13.2">
      <c r="A1473" s="454" t="s">
        <v>1618</v>
      </c>
      <c r="B1473" s="452" t="str">
        <f>VLOOKUP(A1473,'Thống kê'!$C$3:$D$669,2,0)</f>
        <v>Kẹp tóc bướm hồng trắng</v>
      </c>
      <c r="C1473" s="436" t="str">
        <f>VLOOKUP(A1473,'Thống kê'!$C$3:$E$682,3,0)</f>
        <v>cái</v>
      </c>
      <c r="D1473" s="437">
        <f>VLOOKUP(A1473,'Thống kê'!$C$3:$M$682,4,0)</f>
        <v>52000</v>
      </c>
      <c r="E1473" s="438">
        <v>1</v>
      </c>
      <c r="F1473" s="439">
        <f t="shared" si="6"/>
        <v>52000</v>
      </c>
      <c r="G1473" s="440"/>
      <c r="H1473" s="446"/>
    </row>
    <row r="1474" spans="1:8" ht="13.2">
      <c r="A1474" s="454" t="s">
        <v>150</v>
      </c>
      <c r="B1474" s="452" t="str">
        <f>VLOOKUP(A1474,'Thống kê'!$C$3:$D$669,2,0)</f>
        <v>Móc khóa có chuông</v>
      </c>
      <c r="C1474" s="436" t="str">
        <f>VLOOKUP(A1474,'Thống kê'!$C$3:$E$682,3,0)</f>
        <v>cái</v>
      </c>
      <c r="D1474" s="437">
        <f>VLOOKUP(A1474,'Thống kê'!$C$3:$M$682,4,0)</f>
        <v>59000</v>
      </c>
      <c r="E1474" s="438">
        <v>1</v>
      </c>
      <c r="F1474" s="439">
        <f t="shared" si="6"/>
        <v>59000</v>
      </c>
      <c r="G1474" s="440"/>
      <c r="H1474" s="448">
        <v>51860</v>
      </c>
    </row>
    <row r="1475" spans="1:8" ht="13.2">
      <c r="A1475" s="454" t="s">
        <v>1622</v>
      </c>
      <c r="B1475" s="452" t="str">
        <f>VLOOKUP(A1475,'Thống kê'!$C$3:$D$669,2,0)</f>
        <v>Mô hình mèo 1</v>
      </c>
      <c r="C1475" s="436" t="str">
        <f>VLOOKUP(A1475,'Thống kê'!$C$3:$E$682,3,0)</f>
        <v>cái</v>
      </c>
      <c r="D1475" s="437">
        <f>VLOOKUP(A1475,'Thống kê'!$C$3:$M$682,4,0)</f>
        <v>37800</v>
      </c>
      <c r="E1475" s="438">
        <v>1</v>
      </c>
      <c r="F1475" s="439">
        <f t="shared" si="6"/>
        <v>37800</v>
      </c>
      <c r="G1475" s="440"/>
      <c r="H1475" s="447">
        <v>159815</v>
      </c>
    </row>
    <row r="1476" spans="1:8" ht="13.2">
      <c r="A1476" s="454" t="s">
        <v>1621</v>
      </c>
      <c r="B1476" s="452" t="str">
        <f>VLOOKUP(A1476,'Thống kê'!$C$3:$D$669,2,0)</f>
        <v>Mô hình mèo 2</v>
      </c>
      <c r="C1476" s="436" t="str">
        <f>VLOOKUP(A1476,'Thống kê'!$C$3:$E$682,3,0)</f>
        <v>cái</v>
      </c>
      <c r="D1476" s="437">
        <f>VLOOKUP(A1476,'Thống kê'!$C$3:$M$682,4,0)</f>
        <v>37800</v>
      </c>
      <c r="E1476" s="438">
        <v>1</v>
      </c>
      <c r="F1476" s="439">
        <f t="shared" si="6"/>
        <v>37800</v>
      </c>
      <c r="G1476" s="440"/>
      <c r="H1476" s="446"/>
    </row>
    <row r="1477" spans="1:8" ht="13.2">
      <c r="A1477" s="454" t="s">
        <v>1636</v>
      </c>
      <c r="B1477" s="452" t="str">
        <f>VLOOKUP(A1477,'Thống kê'!$C$3:$D$669,2,0)</f>
        <v>Mô hình mèo 3</v>
      </c>
      <c r="C1477" s="436" t="str">
        <f>VLOOKUP(A1477,'Thống kê'!$C$3:$E$682,3,0)</f>
        <v>cái</v>
      </c>
      <c r="D1477" s="437">
        <f>VLOOKUP(A1477,'Thống kê'!$C$3:$M$682,4,0)</f>
        <v>37800</v>
      </c>
      <c r="E1477" s="438">
        <v>1</v>
      </c>
      <c r="F1477" s="439">
        <f t="shared" si="6"/>
        <v>37800</v>
      </c>
      <c r="G1477" s="440"/>
      <c r="H1477" s="446"/>
    </row>
    <row r="1478" spans="1:8" ht="13.2">
      <c r="A1478" s="454" t="s">
        <v>1635</v>
      </c>
      <c r="B1478" s="452" t="str">
        <f>VLOOKUP(A1478,'Thống kê'!$C$3:$D$669,2,0)</f>
        <v>Mô hình mèo 4</v>
      </c>
      <c r="C1478" s="436" t="str">
        <f>VLOOKUP(A1478,'Thống kê'!$C$3:$E$682,3,0)</f>
        <v>cái</v>
      </c>
      <c r="D1478" s="437">
        <f>VLOOKUP(A1478,'Thống kê'!$C$3:$M$682,4,0)</f>
        <v>37800</v>
      </c>
      <c r="E1478" s="438">
        <v>1</v>
      </c>
      <c r="F1478" s="439">
        <f t="shared" si="6"/>
        <v>37800</v>
      </c>
      <c r="G1478" s="440"/>
      <c r="H1478" s="446"/>
    </row>
    <row r="1479" spans="1:8" ht="13.2">
      <c r="A1479" s="454" t="s">
        <v>1623</v>
      </c>
      <c r="B1479" s="452" t="str">
        <f>VLOOKUP(A1479,'Thống kê'!$C$3:$D$669,2,0)</f>
        <v>Mô hình mèo 5</v>
      </c>
      <c r="C1479" s="436" t="str">
        <f>VLOOKUP(A1479,'Thống kê'!$C$3:$E$682,3,0)</f>
        <v>cái</v>
      </c>
      <c r="D1479" s="437">
        <f>VLOOKUP(A1479,'Thống kê'!$C$3:$M$682,4,0)</f>
        <v>37800</v>
      </c>
      <c r="E1479" s="438">
        <v>1</v>
      </c>
      <c r="F1479" s="439">
        <f t="shared" si="6"/>
        <v>37800</v>
      </c>
      <c r="G1479" s="440"/>
      <c r="H1479" s="446"/>
    </row>
    <row r="1480" spans="1:8" ht="13.2">
      <c r="A1480" s="454" t="s">
        <v>1625</v>
      </c>
      <c r="B1480" s="452" t="str">
        <f>VLOOKUP(A1480,'Thống kê'!$C$3:$D$669,2,0)</f>
        <v>Móc khóa đôi 2 mèo trắng nâu</v>
      </c>
      <c r="C1480" s="436" t="str">
        <f>VLOOKUP(A1480,'Thống kê'!$C$3:$E$682,3,0)</f>
        <v>cái</v>
      </c>
      <c r="D1480" s="437">
        <f>VLOOKUP(A1480,'Thống kê'!$C$3:$M$682,4,0)</f>
        <v>59000</v>
      </c>
      <c r="E1480" s="438">
        <v>1</v>
      </c>
      <c r="F1480" s="439">
        <f t="shared" si="6"/>
        <v>59000</v>
      </c>
      <c r="G1480" s="440"/>
      <c r="H1480" s="448">
        <v>46668</v>
      </c>
    </row>
    <row r="1481" spans="1:8" ht="13.2">
      <c r="A1481" s="454" t="s">
        <v>1591</v>
      </c>
      <c r="B1481" s="452" t="str">
        <f>VLOOKUP(A1481,'Thống kê'!$C$3:$D$669,2,0)</f>
        <v>Thỏ ú</v>
      </c>
      <c r="C1481" s="436" t="str">
        <f>VLOOKUP(A1481,'Thống kê'!$C$3:$E$682,3,0)</f>
        <v>cái</v>
      </c>
      <c r="D1481" s="437">
        <f>VLOOKUP(A1481,'Thống kê'!$C$3:$M$682,4,0)</f>
        <v>59500</v>
      </c>
      <c r="E1481" s="438">
        <v>1</v>
      </c>
      <c r="F1481" s="439">
        <f t="shared" si="6"/>
        <v>59500</v>
      </c>
      <c r="G1481" s="440"/>
      <c r="H1481" s="447">
        <v>89391</v>
      </c>
    </row>
    <row r="1482" spans="1:8" ht="13.2">
      <c r="A1482" s="454" t="s">
        <v>1594</v>
      </c>
      <c r="B1482" s="452" t="str">
        <f>VLOOKUP(A1482,'Thống kê'!$C$3:$D$669,2,0)</f>
        <v>Móc khóa đôi heo</v>
      </c>
      <c r="C1482" s="436" t="str">
        <f>VLOOKUP(A1482,'Thống kê'!$C$3:$E$682,3,0)</f>
        <v>cái</v>
      </c>
      <c r="D1482" s="437">
        <f>VLOOKUP(A1482,'Thống kê'!$C$3:$M$682,4,0)</f>
        <v>56580</v>
      </c>
      <c r="E1482" s="438">
        <v>1</v>
      </c>
      <c r="F1482" s="439">
        <f t="shared" si="6"/>
        <v>56580</v>
      </c>
      <c r="G1482" s="440"/>
      <c r="H1482" s="446"/>
    </row>
    <row r="1483" spans="1:8" ht="13.2">
      <c r="A1483" s="454" t="s">
        <v>119</v>
      </c>
      <c r="B1483" s="452" t="str">
        <f>VLOOKUP(A1483,'Thống kê'!$C$3:$D$669,2,0)</f>
        <v>Thỏ chạy xe gắn xe</v>
      </c>
      <c r="C1483" s="436" t="str">
        <f>VLOOKUP(A1483,'Thống kê'!$C$3:$E$682,3,0)</f>
        <v>cái</v>
      </c>
      <c r="D1483" s="437">
        <f>VLOOKUP(A1483,'Thống kê'!$C$3:$M$682,4,0)</f>
        <v>45000</v>
      </c>
      <c r="E1483" s="438">
        <v>1</v>
      </c>
      <c r="F1483" s="439">
        <f t="shared" si="6"/>
        <v>45000</v>
      </c>
      <c r="G1483" s="440"/>
      <c r="H1483" s="448">
        <v>35800</v>
      </c>
    </row>
    <row r="1484" spans="1:8" ht="13.2">
      <c r="A1484" s="454" t="s">
        <v>701</v>
      </c>
      <c r="B1484" s="452" t="str">
        <f>VLOOKUP(A1484,'Thống kê'!$C$3:$D$669,2,0)</f>
        <v>Buộc tóc hồng len</v>
      </c>
      <c r="C1484" s="436" t="str">
        <f>VLOOKUP(A1484,'Thống kê'!$C$3:$E$682,3,0)</f>
        <v>cái</v>
      </c>
      <c r="D1484" s="437">
        <f>VLOOKUP(A1484,'Thống kê'!$C$3:$M$682,4,0)</f>
        <v>12000</v>
      </c>
      <c r="E1484" s="438">
        <v>1</v>
      </c>
      <c r="F1484" s="439">
        <f t="shared" si="6"/>
        <v>12000</v>
      </c>
      <c r="G1484" s="440"/>
      <c r="H1484" s="447">
        <v>50761</v>
      </c>
    </row>
    <row r="1485" spans="1:8" ht="13.2">
      <c r="A1485" s="454" t="s">
        <v>1947</v>
      </c>
      <c r="B1485" s="452" t="str">
        <f>VLOOKUP(A1485,'Thống kê'!$C$3:$D$669,2,0)</f>
        <v>Kẹp nơ trắng</v>
      </c>
      <c r="C1485" s="436" t="str">
        <f>VLOOKUP(A1485,'Thống kê'!$C$3:$E$682,3,0)</f>
        <v>cái</v>
      </c>
      <c r="D1485" s="437">
        <f>VLOOKUP(A1485,'Thống kê'!$C$3:$M$682,4,0)</f>
        <v>22000</v>
      </c>
      <c r="E1485" s="438">
        <v>1</v>
      </c>
      <c r="F1485" s="439">
        <f t="shared" si="6"/>
        <v>22000</v>
      </c>
      <c r="G1485" s="440"/>
      <c r="H1485" s="446"/>
    </row>
    <row r="1486" spans="1:8" ht="13.2">
      <c r="A1486" s="454" t="s">
        <v>1613</v>
      </c>
      <c r="B1486" s="452" t="str">
        <f>VLOOKUP(A1486,'Thống kê'!$C$3:$D$669,2,0)</f>
        <v>Kẹp tóc bướm xanh tím</v>
      </c>
      <c r="C1486" s="436" t="str">
        <f>VLOOKUP(A1486,'Thống kê'!$C$3:$E$682,3,0)</f>
        <v>cái</v>
      </c>
      <c r="D1486" s="437">
        <f>VLOOKUP(A1486,'Thống kê'!$C$3:$M$682,4,0)</f>
        <v>40000</v>
      </c>
      <c r="E1486" s="438">
        <v>1</v>
      </c>
      <c r="F1486" s="439">
        <f t="shared" si="6"/>
        <v>40000</v>
      </c>
      <c r="G1486" s="440"/>
      <c r="H1486" s="446"/>
    </row>
    <row r="1487" spans="1:8" ht="13.2">
      <c r="A1487" s="454" t="s">
        <v>150</v>
      </c>
      <c r="B1487" s="452" t="str">
        <f>VLOOKUP(A1487,'Thống kê'!$C$3:$D$669,2,0)</f>
        <v>Móc khóa có chuông</v>
      </c>
      <c r="C1487" s="436" t="str">
        <f>VLOOKUP(A1487,'Thống kê'!$C$3:$E$682,3,0)</f>
        <v>cái</v>
      </c>
      <c r="D1487" s="437">
        <f>VLOOKUP(A1487,'Thống kê'!$C$3:$M$682,4,0)</f>
        <v>59000</v>
      </c>
      <c r="E1487" s="438">
        <v>1</v>
      </c>
      <c r="F1487" s="439">
        <f t="shared" si="6"/>
        <v>59000</v>
      </c>
      <c r="G1487" s="440"/>
      <c r="H1487" s="448">
        <v>46668</v>
      </c>
    </row>
    <row r="1488" spans="1:8" ht="13.2">
      <c r="A1488" s="454" t="s">
        <v>1618</v>
      </c>
      <c r="B1488" s="452" t="str">
        <f>VLOOKUP(A1488,'Thống kê'!$C$3:$D$669,2,0)</f>
        <v>Kẹp tóc bướm hồng trắng</v>
      </c>
      <c r="C1488" s="436" t="str">
        <f>VLOOKUP(A1488,'Thống kê'!$C$3:$E$682,3,0)</f>
        <v>cái</v>
      </c>
      <c r="D1488" s="437">
        <f>VLOOKUP(A1488,'Thống kê'!$C$3:$M$682,4,0)</f>
        <v>52000</v>
      </c>
      <c r="E1488" s="438">
        <v>1</v>
      </c>
      <c r="F1488" s="439">
        <f t="shared" si="6"/>
        <v>52000</v>
      </c>
      <c r="G1488" s="440"/>
      <c r="H1488" s="448">
        <v>36328</v>
      </c>
    </row>
    <row r="1489" spans="1:8" ht="13.2">
      <c r="A1489" s="454" t="s">
        <v>115</v>
      </c>
      <c r="B1489" s="452" t="str">
        <f>VLOOKUP(A1489,'Thống kê'!$C$3:$D$669,2,0)</f>
        <v>Heo ú</v>
      </c>
      <c r="C1489" s="436" t="str">
        <f>VLOOKUP(A1489,'Thống kê'!$C$3:$E$682,3,0)</f>
        <v>cái</v>
      </c>
      <c r="D1489" s="437">
        <f>VLOOKUP(A1489,'Thống kê'!$C$3:$M$682,4,0)</f>
        <v>59500</v>
      </c>
      <c r="E1489" s="438">
        <v>1</v>
      </c>
      <c r="F1489" s="439">
        <f t="shared" si="6"/>
        <v>59500</v>
      </c>
      <c r="G1489" s="440"/>
      <c r="H1489" s="448">
        <v>51240</v>
      </c>
    </row>
    <row r="1490" spans="1:8" ht="13.2">
      <c r="A1490" s="454" t="s">
        <v>183</v>
      </c>
      <c r="B1490" s="452" t="str">
        <f>VLOOKUP(A1490,'Thống kê'!$C$3:$D$669,2,0)</f>
        <v>Thỏ máy bay gắn xe</v>
      </c>
      <c r="C1490" s="436" t="str">
        <f>VLOOKUP(A1490,'Thống kê'!$C$3:$E$682,3,0)</f>
        <v>cái</v>
      </c>
      <c r="D1490" s="437">
        <f>VLOOKUP(A1490,'Thống kê'!$C$3:$M$682,4,0)</f>
        <v>45000</v>
      </c>
      <c r="E1490" s="438">
        <v>1</v>
      </c>
      <c r="F1490" s="439">
        <f t="shared" si="6"/>
        <v>45000</v>
      </c>
      <c r="G1490" s="440"/>
      <c r="H1490" s="448">
        <v>36180</v>
      </c>
    </row>
    <row r="1491" spans="1:8" ht="13.2">
      <c r="A1491" s="454" t="s">
        <v>1616</v>
      </c>
      <c r="B1491" s="452" t="str">
        <f>VLOOKUP(A1491,'Thống kê'!$C$3:$D$669,2,0)</f>
        <v>Kẹp tóc bướm hồng phấn</v>
      </c>
      <c r="C1491" s="436" t="str">
        <f>VLOOKUP(A1491,'Thống kê'!$C$3:$E$682,3,0)</f>
        <v>cái</v>
      </c>
      <c r="D1491" s="437">
        <f>VLOOKUP(A1491,'Thống kê'!$C$3:$M$682,4,0)</f>
        <v>40000</v>
      </c>
      <c r="E1491" s="438">
        <v>1</v>
      </c>
      <c r="F1491" s="439">
        <f t="shared" si="6"/>
        <v>40000</v>
      </c>
      <c r="G1491" s="440"/>
      <c r="H1491" s="447">
        <v>112288</v>
      </c>
    </row>
    <row r="1492" spans="1:8" ht="13.2">
      <c r="A1492" s="454" t="s">
        <v>1613</v>
      </c>
      <c r="B1492" s="452" t="str">
        <f>VLOOKUP(A1492,'Thống kê'!$C$3:$D$669,2,0)</f>
        <v>Kẹp tóc bướm xanh tím</v>
      </c>
      <c r="C1492" s="436" t="str">
        <f>VLOOKUP(A1492,'Thống kê'!$C$3:$E$682,3,0)</f>
        <v>cái</v>
      </c>
      <c r="D1492" s="437">
        <f>VLOOKUP(A1492,'Thống kê'!$C$3:$M$682,4,0)</f>
        <v>40000</v>
      </c>
      <c r="E1492" s="438">
        <v>1</v>
      </c>
      <c r="F1492" s="439">
        <f t="shared" si="6"/>
        <v>40000</v>
      </c>
      <c r="G1492" s="440"/>
      <c r="H1492" s="446"/>
    </row>
    <row r="1493" spans="1:8" ht="13.2">
      <c r="A1493" s="454" t="s">
        <v>1612</v>
      </c>
      <c r="B1493" s="452" t="str">
        <f>VLOOKUP(A1493,'Thống kê'!$C$3:$D$669,2,0)</f>
        <v>Kẹp tóc bướm trắng</v>
      </c>
      <c r="C1493" s="436" t="str">
        <f>VLOOKUP(A1493,'Thống kê'!$C$3:$E$682,3,0)</f>
        <v>cái</v>
      </c>
      <c r="D1493" s="437">
        <f>VLOOKUP(A1493,'Thống kê'!$C$3:$M$682,4,0)</f>
        <v>40000</v>
      </c>
      <c r="E1493" s="438">
        <v>1</v>
      </c>
      <c r="F1493" s="439">
        <f t="shared" si="6"/>
        <v>40000</v>
      </c>
      <c r="G1493" s="440"/>
      <c r="H1493" s="446"/>
    </row>
    <row r="1494" spans="1:8" ht="13.2">
      <c r="A1494" s="454" t="s">
        <v>1618</v>
      </c>
      <c r="B1494" s="452" t="str">
        <f>VLOOKUP(A1494,'Thống kê'!$C$3:$D$669,2,0)</f>
        <v>Kẹp tóc bướm hồng trắng</v>
      </c>
      <c r="C1494" s="436" t="str">
        <f>VLOOKUP(A1494,'Thống kê'!$C$3:$E$682,3,0)</f>
        <v>cái</v>
      </c>
      <c r="D1494" s="437">
        <f>VLOOKUP(A1494,'Thống kê'!$C$3:$M$682,4,0)</f>
        <v>52000</v>
      </c>
      <c r="E1494" s="438">
        <v>1</v>
      </c>
      <c r="F1494" s="439">
        <f t="shared" si="6"/>
        <v>52000</v>
      </c>
      <c r="G1494" s="440"/>
      <c r="H1494" s="446"/>
    </row>
    <row r="1495" spans="1:8" ht="13.2">
      <c r="A1495" s="454" t="s">
        <v>1936</v>
      </c>
      <c r="B1495" s="452" t="str">
        <f>VLOOKUP(A1495,'Thống kê'!$C$3:$D$669,2,0)</f>
        <v>Kẹp tóc hoa sứ vàng</v>
      </c>
      <c r="C1495" s="436" t="str">
        <f>VLOOKUP(A1495,'Thống kê'!$C$3:$E$682,3,0)</f>
        <v>cái</v>
      </c>
      <c r="D1495" s="437">
        <f>VLOOKUP(A1495,'Thống kê'!$C$3:$M$682,4,0)</f>
        <v>18500</v>
      </c>
      <c r="E1495" s="438">
        <v>1</v>
      </c>
      <c r="F1495" s="439">
        <f t="shared" si="6"/>
        <v>18500</v>
      </c>
      <c r="G1495" s="440"/>
      <c r="H1495" s="446"/>
    </row>
    <row r="1496" spans="1:8" ht="13.2">
      <c r="A1496" s="454" t="s">
        <v>1594</v>
      </c>
      <c r="B1496" s="452" t="str">
        <f>VLOOKUP(A1496,'Thống kê'!$C$3:$D$669,2,0)</f>
        <v>Móc khóa đôi heo</v>
      </c>
      <c r="C1496" s="436" t="str">
        <f>VLOOKUP(A1496,'Thống kê'!$C$3:$E$682,3,0)</f>
        <v>cái</v>
      </c>
      <c r="D1496" s="437">
        <f>VLOOKUP(A1496,'Thống kê'!$C$3:$M$682,4,0)</f>
        <v>56580</v>
      </c>
      <c r="E1496" s="438">
        <v>1</v>
      </c>
      <c r="F1496" s="439">
        <f t="shared" si="6"/>
        <v>56580</v>
      </c>
      <c r="G1496" s="440"/>
      <c r="H1496" s="448">
        <v>52491</v>
      </c>
    </row>
    <row r="1497" spans="1:8" ht="13.2">
      <c r="A1497" s="454" t="s">
        <v>1614</v>
      </c>
      <c r="B1497" s="452" t="str">
        <f>VLOOKUP(A1497,'Thống kê'!$C$3:$D$669,2,0)</f>
        <v>Kẹp tóc bướm xanh ngọc</v>
      </c>
      <c r="C1497" s="436" t="str">
        <f>VLOOKUP(A1497,'Thống kê'!$C$3:$E$682,3,0)</f>
        <v>cái</v>
      </c>
      <c r="D1497" s="437">
        <f>VLOOKUP(A1497,'Thống kê'!$C$3:$M$682,4,0)</f>
        <v>38000</v>
      </c>
      <c r="E1497" s="438">
        <v>1</v>
      </c>
      <c r="F1497" s="439">
        <f t="shared" si="6"/>
        <v>38000</v>
      </c>
      <c r="G1497" s="440"/>
      <c r="H1497" s="448">
        <v>27700</v>
      </c>
    </row>
    <row r="1498" spans="1:8" ht="13.2">
      <c r="A1498" s="454" t="s">
        <v>1595</v>
      </c>
      <c r="B1498" s="452" t="str">
        <f>VLOOKUP(A1498,'Thống kê'!$C$3:$D$669,2,0)</f>
        <v>Dao rọc giấy 08</v>
      </c>
      <c r="C1498" s="436" t="str">
        <f>VLOOKUP(A1498,'Thống kê'!$C$3:$E$682,3,0)</f>
        <v>cái</v>
      </c>
      <c r="D1498" s="437">
        <f>VLOOKUP(A1498,'Thống kê'!$C$3:$M$682,4,0)</f>
        <v>12000</v>
      </c>
      <c r="E1498" s="438">
        <v>1</v>
      </c>
      <c r="F1498" s="439">
        <f t="shared" si="6"/>
        <v>12000</v>
      </c>
      <c r="G1498" s="440"/>
      <c r="H1498" s="447">
        <v>55512</v>
      </c>
    </row>
    <row r="1499" spans="1:8" ht="13.2">
      <c r="A1499" s="454" t="s">
        <v>1632</v>
      </c>
      <c r="B1499" s="452" t="str">
        <f>VLOOKUP(A1499,'Thống kê'!$C$3:$D$669,2,0)</f>
        <v>Móc khóa đôi mèo trắng</v>
      </c>
      <c r="C1499" s="436" t="str">
        <f>VLOOKUP(A1499,'Thống kê'!$C$3:$E$682,3,0)</f>
        <v>cái</v>
      </c>
      <c r="D1499" s="437">
        <f>VLOOKUP(A1499,'Thống kê'!$C$3:$M$682,4,0)</f>
        <v>59000</v>
      </c>
      <c r="E1499" s="438">
        <v>1</v>
      </c>
      <c r="F1499" s="439">
        <f t="shared" si="6"/>
        <v>59000</v>
      </c>
      <c r="G1499" s="440"/>
      <c r="H1499" s="446"/>
    </row>
    <row r="1500" spans="1:8" ht="13.2">
      <c r="A1500" s="454" t="s">
        <v>150</v>
      </c>
      <c r="B1500" s="452" t="str">
        <f>VLOOKUP(A1500,'Thống kê'!$C$3:$D$669,2,0)</f>
        <v>Móc khóa có chuông</v>
      </c>
      <c r="C1500" s="436" t="str">
        <f>VLOOKUP(A1500,'Thống kê'!$C$3:$E$682,3,0)</f>
        <v>cái</v>
      </c>
      <c r="D1500" s="437">
        <f>VLOOKUP(A1500,'Thống kê'!$C$3:$M$682,4,0)</f>
        <v>59000</v>
      </c>
      <c r="E1500" s="438">
        <v>1</v>
      </c>
      <c r="F1500" s="439">
        <f t="shared" si="6"/>
        <v>59000</v>
      </c>
      <c r="G1500" s="440"/>
      <c r="H1500" s="448">
        <v>46028</v>
      </c>
    </row>
    <row r="1501" spans="1:8" ht="13.2">
      <c r="A1501" s="454" t="s">
        <v>1591</v>
      </c>
      <c r="B1501" s="452" t="str">
        <f>VLOOKUP(A1501,'Thống kê'!$C$3:$D$669,2,0)</f>
        <v>Thỏ ú</v>
      </c>
      <c r="C1501" s="436" t="str">
        <f>VLOOKUP(A1501,'Thống kê'!$C$3:$E$682,3,0)</f>
        <v>cái</v>
      </c>
      <c r="D1501" s="437">
        <f>VLOOKUP(A1501,'Thống kê'!$C$3:$M$682,4,0)</f>
        <v>59500</v>
      </c>
      <c r="E1501" s="438">
        <v>1</v>
      </c>
      <c r="F1501" s="439">
        <f t="shared" si="6"/>
        <v>59500</v>
      </c>
      <c r="G1501" s="440"/>
      <c r="H1501" s="448">
        <v>43000</v>
      </c>
    </row>
    <row r="1502" spans="1:8" ht="13.2">
      <c r="A1502" s="454" t="s">
        <v>1624</v>
      </c>
      <c r="B1502" s="452" t="str">
        <f>VLOOKUP(A1502,'Thống kê'!$C$3:$D$669,2,0)</f>
        <v>Móc khóa mèo trái tim</v>
      </c>
      <c r="C1502" s="436" t="str">
        <f>VLOOKUP(A1502,'Thống kê'!$C$3:$E$682,3,0)</f>
        <v>cái</v>
      </c>
      <c r="D1502" s="437">
        <f>VLOOKUP(A1502,'Thống kê'!$C$3:$M$682,4,0)</f>
        <v>59000</v>
      </c>
      <c r="E1502" s="438">
        <v>1</v>
      </c>
      <c r="F1502" s="439">
        <f t="shared" si="6"/>
        <v>59000</v>
      </c>
      <c r="G1502" s="440"/>
      <c r="H1502" s="448">
        <v>46668</v>
      </c>
    </row>
    <row r="1503" spans="1:8" ht="13.2">
      <c r="A1503" s="454" t="s">
        <v>1996</v>
      </c>
      <c r="B1503" s="452" t="str">
        <f>VLOOKUP(A1503,'Thống kê'!$C$3:$D$669,2,0)</f>
        <v>Kẹp tóc nâu</v>
      </c>
      <c r="C1503" s="436" t="str">
        <f>VLOOKUP(A1503,'Thống kê'!$C$3:$E$682,3,0)</f>
        <v>cái</v>
      </c>
      <c r="D1503" s="437">
        <f>VLOOKUP(A1503,'Thống kê'!$C$3:$M$682,4,0)</f>
        <v>14000</v>
      </c>
      <c r="E1503" s="438">
        <v>1</v>
      </c>
      <c r="F1503" s="439">
        <f t="shared" si="6"/>
        <v>14000</v>
      </c>
      <c r="G1503" s="440"/>
      <c r="H1503" s="448">
        <v>-13000</v>
      </c>
    </row>
    <row r="1504" spans="1:8" ht="13.2">
      <c r="A1504" s="454" t="s">
        <v>150</v>
      </c>
      <c r="B1504" s="452" t="str">
        <f>VLOOKUP(A1504,'Thống kê'!$C$3:$D$669,2,0)</f>
        <v>Móc khóa có chuông</v>
      </c>
      <c r="C1504" s="436" t="str">
        <f>VLOOKUP(A1504,'Thống kê'!$C$3:$E$682,3,0)</f>
        <v>cái</v>
      </c>
      <c r="D1504" s="437">
        <f>VLOOKUP(A1504,'Thống kê'!$C$3:$M$682,4,0)</f>
        <v>59000</v>
      </c>
      <c r="E1504" s="438">
        <v>1</v>
      </c>
      <c r="F1504" s="439">
        <f t="shared" si="6"/>
        <v>59000</v>
      </c>
      <c r="G1504" s="440"/>
      <c r="H1504" s="447">
        <v>60977</v>
      </c>
    </row>
    <row r="1505" spans="1:8" ht="13.2">
      <c r="A1505" s="454" t="s">
        <v>179</v>
      </c>
      <c r="B1505" s="452" t="str">
        <f>VLOOKUP(A1505,'Thống kê'!$C$3:$D$669,2,0)</f>
        <v>Cài tóc be</v>
      </c>
      <c r="C1505" s="436" t="str">
        <f>VLOOKUP(A1505,'Thống kê'!$C$3:$E$682,3,0)</f>
        <v>cái</v>
      </c>
      <c r="D1505" s="437">
        <f>VLOOKUP(A1505,'Thống kê'!$C$3:$M$682,4,0)</f>
        <v>21000</v>
      </c>
      <c r="E1505" s="438">
        <v>1</v>
      </c>
      <c r="F1505" s="439">
        <f t="shared" si="6"/>
        <v>21000</v>
      </c>
      <c r="G1505" s="440"/>
      <c r="H1505" s="446"/>
    </row>
    <row r="1506" spans="1:8" ht="13.2">
      <c r="A1506" s="454" t="s">
        <v>1624</v>
      </c>
      <c r="B1506" s="452" t="str">
        <f>VLOOKUP(A1506,'Thống kê'!$C$3:$D$669,2,0)</f>
        <v>Móc khóa mèo trái tim</v>
      </c>
      <c r="C1506" s="436" t="str">
        <f>VLOOKUP(A1506,'Thống kê'!$C$3:$E$682,3,0)</f>
        <v>cái</v>
      </c>
      <c r="D1506" s="437">
        <f>VLOOKUP(A1506,'Thống kê'!$C$3:$M$682,4,0)</f>
        <v>59000</v>
      </c>
      <c r="E1506" s="438">
        <v>1</v>
      </c>
      <c r="F1506" s="439">
        <f t="shared" si="6"/>
        <v>59000</v>
      </c>
      <c r="G1506" s="440"/>
      <c r="H1506" s="448">
        <v>54408</v>
      </c>
    </row>
    <row r="1507" spans="1:8" ht="13.2">
      <c r="A1507" s="454" t="s">
        <v>145</v>
      </c>
      <c r="B1507" s="452" t="str">
        <f>VLOOKUP(A1507,'Thống kê'!$C$3:$D$669,2,0)</f>
        <v>Thỏ đi vịt gắn xe</v>
      </c>
      <c r="C1507" s="436" t="str">
        <f>VLOOKUP(A1507,'Thống kê'!$C$3:$E$682,3,0)</f>
        <v>cái</v>
      </c>
      <c r="D1507" s="437">
        <f>VLOOKUP(A1507,'Thống kê'!$C$3:$M$682,4,0)</f>
        <v>45000</v>
      </c>
      <c r="E1507" s="438">
        <v>1</v>
      </c>
      <c r="F1507" s="439">
        <f t="shared" si="6"/>
        <v>45000</v>
      </c>
      <c r="G1507" s="440"/>
      <c r="H1507" s="447">
        <v>65576</v>
      </c>
    </row>
    <row r="1508" spans="1:8" ht="13.2">
      <c r="A1508" s="454" t="s">
        <v>119</v>
      </c>
      <c r="B1508" s="452" t="str">
        <f>VLOOKUP(A1508,'Thống kê'!$C$3:$D$669,2,0)</f>
        <v>Thỏ chạy xe gắn xe</v>
      </c>
      <c r="C1508" s="436" t="str">
        <f>VLOOKUP(A1508,'Thống kê'!$C$3:$E$682,3,0)</f>
        <v>cái</v>
      </c>
      <c r="D1508" s="437">
        <f>VLOOKUP(A1508,'Thống kê'!$C$3:$M$682,4,0)</f>
        <v>45000</v>
      </c>
      <c r="E1508" s="438">
        <v>1</v>
      </c>
      <c r="F1508" s="439">
        <f t="shared" si="6"/>
        <v>45000</v>
      </c>
      <c r="G1508" s="440"/>
      <c r="H1508" s="446"/>
    </row>
    <row r="1509" spans="1:8" ht="13.2">
      <c r="A1509" s="454" t="s">
        <v>1625</v>
      </c>
      <c r="B1509" s="452" t="str">
        <f>VLOOKUP(A1509,'Thống kê'!$C$3:$D$669,2,0)</f>
        <v>Móc khóa đôi 2 mèo trắng nâu</v>
      </c>
      <c r="C1509" s="436" t="str">
        <f>VLOOKUP(A1509,'Thống kê'!$C$3:$E$682,3,0)</f>
        <v>cái</v>
      </c>
      <c r="D1509" s="437">
        <f>VLOOKUP(A1509,'Thống kê'!$C$3:$M$682,4,0)</f>
        <v>59000</v>
      </c>
      <c r="E1509" s="438">
        <v>1</v>
      </c>
      <c r="F1509" s="439">
        <f t="shared" si="6"/>
        <v>59000</v>
      </c>
      <c r="G1509" s="440"/>
      <c r="H1509" s="448">
        <v>46408</v>
      </c>
    </row>
    <row r="1510" spans="1:8" ht="13.2">
      <c r="A1510" s="454" t="s">
        <v>1790</v>
      </c>
      <c r="B1510" s="452" t="str">
        <f>VLOOKUP(A1510,'Thống kê'!$C$3:$D$669,2,0)</f>
        <v>Hộp thuốc nơ hồng</v>
      </c>
      <c r="C1510" s="436" t="str">
        <f>VLOOKUP(A1510,'Thống kê'!$C$3:$E$682,3,0)</f>
        <v>hộp</v>
      </c>
      <c r="D1510" s="437">
        <f>VLOOKUP(A1510,'Thống kê'!$C$3:$M$682,4,0)</f>
        <v>11000</v>
      </c>
      <c r="E1510" s="438">
        <v>1</v>
      </c>
      <c r="F1510" s="439">
        <f t="shared" si="6"/>
        <v>11000</v>
      </c>
      <c r="G1510" s="440"/>
      <c r="H1510" s="447">
        <v>112561</v>
      </c>
    </row>
    <row r="1511" spans="1:8" ht="13.2">
      <c r="A1511" s="454" t="s">
        <v>1997</v>
      </c>
      <c r="B1511" s="452" t="str">
        <f>VLOOKUP(A1511,'Thống kê'!$C$3:$D$669,2,0)</f>
        <v>Vớ cổ cao trắng hoa hồng</v>
      </c>
      <c r="C1511" s="436" t="str">
        <f>VLOOKUP(A1511,'Thống kê'!$C$3:$E$682,3,0)</f>
        <v>đôi</v>
      </c>
      <c r="D1511" s="437">
        <f>VLOOKUP(A1511,'Thống kê'!$C$3:$M$682,4,0)</f>
        <v>15900</v>
      </c>
      <c r="E1511" s="438">
        <v>1</v>
      </c>
      <c r="F1511" s="439">
        <f t="shared" si="6"/>
        <v>15900</v>
      </c>
      <c r="G1511" s="440"/>
      <c r="H1511" s="446"/>
    </row>
    <row r="1512" spans="1:8" ht="13.2">
      <c r="A1512" s="454" t="s">
        <v>1998</v>
      </c>
      <c r="B1512" s="452" t="str">
        <f>VLOOKUP(A1512,'Thống kê'!$C$3:$D$669,2,0)</f>
        <v>Vớ trắng đen mẫu 1</v>
      </c>
      <c r="C1512" s="436" t="str">
        <f>VLOOKUP(A1512,'Thống kê'!$C$3:$E$682,3,0)</f>
        <v>đôi</v>
      </c>
      <c r="D1512" s="437">
        <f>VLOOKUP(A1512,'Thống kê'!$C$3:$M$682,4,0)</f>
        <v>9900</v>
      </c>
      <c r="E1512" s="438">
        <v>1</v>
      </c>
      <c r="F1512" s="439">
        <f t="shared" si="6"/>
        <v>9900</v>
      </c>
      <c r="G1512" s="440"/>
      <c r="H1512" s="446"/>
    </row>
    <row r="1513" spans="1:8" ht="13.2">
      <c r="A1513" s="454" t="s">
        <v>1999</v>
      </c>
      <c r="B1513" s="452" t="str">
        <f>VLOOKUP(A1513,'Thống kê'!$C$3:$D$669,2,0)</f>
        <v>Vớ trắng đen mẫu 2</v>
      </c>
      <c r="C1513" s="436" t="str">
        <f>VLOOKUP(A1513,'Thống kê'!$C$3:$E$682,3,0)</f>
        <v>đôi</v>
      </c>
      <c r="D1513" s="437">
        <f>VLOOKUP(A1513,'Thống kê'!$C$3:$M$682,4,0)</f>
        <v>9900</v>
      </c>
      <c r="E1513" s="438">
        <v>1</v>
      </c>
      <c r="F1513" s="439">
        <f t="shared" si="6"/>
        <v>9900</v>
      </c>
      <c r="G1513" s="440"/>
      <c r="H1513" s="446"/>
    </row>
    <row r="1514" spans="1:8" ht="13.2">
      <c r="A1514" s="454" t="s">
        <v>2000</v>
      </c>
      <c r="B1514" s="452" t="str">
        <f>VLOOKUP(A1514,'Thống kê'!$C$3:$D$669,2,0)</f>
        <v>Vớ trắng đen mẫu 3</v>
      </c>
      <c r="C1514" s="436" t="str">
        <f>VLOOKUP(A1514,'Thống kê'!$C$3:$E$682,3,0)</f>
        <v>đôi</v>
      </c>
      <c r="D1514" s="437">
        <f>VLOOKUP(A1514,'Thống kê'!$C$3:$M$682,4,0)</f>
        <v>9900</v>
      </c>
      <c r="E1514" s="438">
        <v>1</v>
      </c>
      <c r="F1514" s="439">
        <f t="shared" si="6"/>
        <v>9900</v>
      </c>
      <c r="G1514" s="440"/>
      <c r="H1514" s="446"/>
    </row>
    <row r="1515" spans="1:8" ht="13.2">
      <c r="A1515" s="454" t="s">
        <v>2001</v>
      </c>
      <c r="B1515" s="452" t="str">
        <f>VLOOKUP(A1515,'Thống kê'!$C$3:$D$669,2,0)</f>
        <v>Vớ trắng đen mẫu 4</v>
      </c>
      <c r="C1515" s="436" t="str">
        <f>VLOOKUP(A1515,'Thống kê'!$C$3:$E$682,3,0)</f>
        <v>đôi</v>
      </c>
      <c r="D1515" s="437">
        <f>VLOOKUP(A1515,'Thống kê'!$C$3:$M$682,4,0)</f>
        <v>9900</v>
      </c>
      <c r="E1515" s="438">
        <v>1</v>
      </c>
      <c r="F1515" s="439">
        <f t="shared" si="6"/>
        <v>9900</v>
      </c>
      <c r="G1515" s="440"/>
      <c r="H1515" s="446"/>
    </row>
    <row r="1516" spans="1:8" ht="13.2">
      <c r="A1516" s="454" t="s">
        <v>2002</v>
      </c>
      <c r="B1516" s="452" t="str">
        <f>VLOOKUP(A1516,'Thống kê'!$C$3:$D$669,2,0)</f>
        <v>Vớ trắng đen mẫu 5</v>
      </c>
      <c r="C1516" s="436" t="str">
        <f>VLOOKUP(A1516,'Thống kê'!$C$3:$E$682,3,0)</f>
        <v>đôi</v>
      </c>
      <c r="D1516" s="437">
        <f>VLOOKUP(A1516,'Thống kê'!$C$3:$M$682,4,0)</f>
        <v>9900</v>
      </c>
      <c r="E1516" s="438">
        <v>1</v>
      </c>
      <c r="F1516" s="439">
        <f t="shared" si="6"/>
        <v>9900</v>
      </c>
      <c r="G1516" s="440"/>
      <c r="H1516" s="446"/>
    </row>
    <row r="1517" spans="1:8" ht="13.2">
      <c r="A1517" s="454" t="s">
        <v>1613</v>
      </c>
      <c r="B1517" s="452" t="str">
        <f>VLOOKUP(A1517,'Thống kê'!$C$3:$D$669,2,0)</f>
        <v>Kẹp tóc bướm xanh tím</v>
      </c>
      <c r="C1517" s="436" t="str">
        <f>VLOOKUP(A1517,'Thống kê'!$C$3:$E$682,3,0)</f>
        <v>cái</v>
      </c>
      <c r="D1517" s="437">
        <f>VLOOKUP(A1517,'Thống kê'!$C$3:$M$682,4,0)</f>
        <v>40000</v>
      </c>
      <c r="E1517" s="438">
        <v>1</v>
      </c>
      <c r="F1517" s="439">
        <f t="shared" si="6"/>
        <v>40000</v>
      </c>
      <c r="G1517" s="440"/>
      <c r="H1517" s="446"/>
    </row>
    <row r="1518" spans="1:8" ht="13.2">
      <c r="A1518" s="454" t="s">
        <v>1618</v>
      </c>
      <c r="B1518" s="452" t="str">
        <f>VLOOKUP(A1518,'Thống kê'!$C$3:$D$669,2,0)</f>
        <v>Kẹp tóc bướm hồng trắng</v>
      </c>
      <c r="C1518" s="436" t="str">
        <f>VLOOKUP(A1518,'Thống kê'!$C$3:$E$682,3,0)</f>
        <v>cái</v>
      </c>
      <c r="D1518" s="437">
        <f>VLOOKUP(A1518,'Thống kê'!$C$3:$M$682,4,0)</f>
        <v>52000</v>
      </c>
      <c r="E1518" s="438">
        <v>1</v>
      </c>
      <c r="F1518" s="439">
        <f t="shared" si="6"/>
        <v>52000</v>
      </c>
      <c r="G1518" s="440"/>
      <c r="H1518" s="446"/>
    </row>
    <row r="1519" spans="1:8" ht="13.2">
      <c r="A1519" s="454" t="s">
        <v>1936</v>
      </c>
      <c r="B1519" s="452" t="str">
        <f>VLOOKUP(A1519,'Thống kê'!$C$3:$D$669,2,0)</f>
        <v>Kẹp tóc hoa sứ vàng</v>
      </c>
      <c r="C1519" s="436" t="str">
        <f>VLOOKUP(A1519,'Thống kê'!$C$3:$E$682,3,0)</f>
        <v>cái</v>
      </c>
      <c r="D1519" s="437">
        <f>VLOOKUP(A1519,'Thống kê'!$C$3:$M$682,4,0)</f>
        <v>18500</v>
      </c>
      <c r="E1519" s="438">
        <v>1</v>
      </c>
      <c r="F1519" s="439">
        <f t="shared" si="6"/>
        <v>18500</v>
      </c>
      <c r="G1519" s="440"/>
      <c r="H1519" s="446"/>
    </row>
    <row r="1520" spans="1:8" ht="13.2">
      <c r="A1520" s="454" t="s">
        <v>1624</v>
      </c>
      <c r="B1520" s="452" t="str">
        <f>VLOOKUP(A1520,'Thống kê'!$C$3:$D$669,2,0)</f>
        <v>Móc khóa mèo trái tim</v>
      </c>
      <c r="C1520" s="436" t="str">
        <f>VLOOKUP(A1520,'Thống kê'!$C$3:$E$682,3,0)</f>
        <v>cái</v>
      </c>
      <c r="D1520" s="437">
        <f>VLOOKUP(A1520,'Thống kê'!$C$3:$M$682,4,0)</f>
        <v>59000</v>
      </c>
      <c r="E1520" s="438">
        <v>1</v>
      </c>
      <c r="F1520" s="439">
        <f t="shared" si="6"/>
        <v>59000</v>
      </c>
      <c r="G1520" s="440"/>
      <c r="H1520" s="448">
        <v>46668</v>
      </c>
    </row>
    <row r="1521" spans="1:8" ht="13.2">
      <c r="A1521" s="454" t="s">
        <v>1613</v>
      </c>
      <c r="B1521" s="452" t="str">
        <f>VLOOKUP(A1521,'Thống kê'!$C$3:$D$669,2,0)</f>
        <v>Kẹp tóc bướm xanh tím</v>
      </c>
      <c r="C1521" s="436" t="str">
        <f>VLOOKUP(A1521,'Thống kê'!$C$3:$E$682,3,0)</f>
        <v>cái</v>
      </c>
      <c r="D1521" s="437">
        <f>VLOOKUP(A1521,'Thống kê'!$C$3:$M$682,4,0)</f>
        <v>40000</v>
      </c>
      <c r="E1521" s="438">
        <v>1</v>
      </c>
      <c r="F1521" s="439">
        <f t="shared" si="6"/>
        <v>40000</v>
      </c>
      <c r="G1521" s="440"/>
      <c r="H1521" s="447">
        <v>50628</v>
      </c>
    </row>
    <row r="1522" spans="1:8" ht="13.2">
      <c r="A1522" s="454" t="s">
        <v>1615</v>
      </c>
      <c r="B1522" s="452" t="str">
        <f>VLOOKUP(A1522,'Thống kê'!$C$3:$D$669,2,0)</f>
        <v>Kẹp tóc bướm tím</v>
      </c>
      <c r="C1522" s="436" t="str">
        <f>VLOOKUP(A1522,'Thống kê'!$C$3:$E$682,3,0)</f>
        <v>cái</v>
      </c>
      <c r="D1522" s="437">
        <f>VLOOKUP(A1522,'Thống kê'!$C$3:$M$682,4,0)</f>
        <v>40000</v>
      </c>
      <c r="E1522" s="438">
        <v>1</v>
      </c>
      <c r="F1522" s="439">
        <f t="shared" si="6"/>
        <v>40000</v>
      </c>
      <c r="G1522" s="440"/>
      <c r="H1522" s="446"/>
    </row>
    <row r="1523" spans="1:8" ht="13.2">
      <c r="A1523" s="454" t="s">
        <v>150</v>
      </c>
      <c r="B1523" s="452" t="str">
        <f>VLOOKUP(A1523,'Thống kê'!$C$3:$D$669,2,0)</f>
        <v>Móc khóa có chuông</v>
      </c>
      <c r="C1523" s="436" t="str">
        <f>VLOOKUP(A1523,'Thống kê'!$C$3:$E$682,3,0)</f>
        <v>cái</v>
      </c>
      <c r="D1523" s="437">
        <f>VLOOKUP(A1523,'Thống kê'!$C$3:$M$682,4,0)</f>
        <v>59000</v>
      </c>
      <c r="E1523" s="438">
        <v>1</v>
      </c>
      <c r="F1523" s="439">
        <f t="shared" si="6"/>
        <v>59000</v>
      </c>
      <c r="G1523" s="440"/>
      <c r="H1523" s="448">
        <v>46408</v>
      </c>
    </row>
    <row r="1524" spans="1:8" ht="13.2">
      <c r="A1524" s="454" t="s">
        <v>115</v>
      </c>
      <c r="B1524" s="452" t="str">
        <f>VLOOKUP(A1524,'Thống kê'!$C$3:$D$669,2,0)</f>
        <v>Heo ú</v>
      </c>
      <c r="C1524" s="436" t="str">
        <f>VLOOKUP(A1524,'Thống kê'!$C$3:$E$682,3,0)</f>
        <v>cái</v>
      </c>
      <c r="D1524" s="437">
        <f>VLOOKUP(A1524,'Thống kê'!$C$3:$M$682,4,0)</f>
        <v>59500</v>
      </c>
      <c r="E1524" s="438">
        <v>1</v>
      </c>
      <c r="F1524" s="439">
        <f t="shared" si="6"/>
        <v>59500</v>
      </c>
      <c r="G1524" s="440"/>
      <c r="H1524" s="447">
        <v>94160</v>
      </c>
    </row>
    <row r="1525" spans="1:8" ht="13.2">
      <c r="A1525" s="454" t="s">
        <v>325</v>
      </c>
      <c r="B1525" s="452" t="str">
        <f>VLOOKUP(A1525,'Thống kê'!$C$3:$D$669,2,0)</f>
        <v>Gấu ú</v>
      </c>
      <c r="C1525" s="436" t="str">
        <f>VLOOKUP(A1525,'Thống kê'!$C$3:$E$682,3,0)</f>
        <v>cái</v>
      </c>
      <c r="D1525" s="437">
        <f>VLOOKUP(A1525,'Thống kê'!$C$3:$M$682,4,0)</f>
        <v>59500</v>
      </c>
      <c r="E1525" s="438">
        <v>1</v>
      </c>
      <c r="F1525" s="439">
        <f t="shared" si="6"/>
        <v>59500</v>
      </c>
      <c r="G1525" s="440"/>
      <c r="H1525" s="446"/>
    </row>
    <row r="1526" spans="1:8" ht="13.2">
      <c r="A1526" s="454" t="s">
        <v>1626</v>
      </c>
      <c r="B1526" s="452" t="str">
        <f>VLOOKUP(A1526,'Thống kê'!$C$3:$D$669,2,0)</f>
        <v>Móc khóa capybara</v>
      </c>
      <c r="C1526" s="436" t="str">
        <f>VLOOKUP(A1526,'Thống kê'!$C$3:$E$682,3,0)</f>
        <v>cái</v>
      </c>
      <c r="D1526" s="437">
        <f>VLOOKUP(A1526,'Thống kê'!$C$3:$M$682,4,0)</f>
        <v>58800</v>
      </c>
      <c r="E1526" s="438">
        <v>1</v>
      </c>
      <c r="F1526" s="439">
        <f t="shared" si="6"/>
        <v>58800</v>
      </c>
      <c r="G1526" s="440"/>
      <c r="H1526" s="448">
        <v>46509</v>
      </c>
    </row>
    <row r="1527" spans="1:8" ht="13.2">
      <c r="A1527" s="454" t="s">
        <v>1643</v>
      </c>
      <c r="B1527" s="452" t="str">
        <f>VLOOKUP(A1527,'Thống kê'!$C$3:$D$669,2,0)</f>
        <v>Túi chườm bụng dâu (hồng đất) 1000ml</v>
      </c>
      <c r="C1527" s="436" t="str">
        <f>VLOOKUP(A1527,'Thống kê'!$C$3:$E$682,3,0)</f>
        <v>túi</v>
      </c>
      <c r="D1527" s="437">
        <f>VLOOKUP(A1527,'Thống kê'!$C$3:$M$682,4,0)</f>
        <v>101150</v>
      </c>
      <c r="E1527" s="438">
        <v>1</v>
      </c>
      <c r="F1527" s="439">
        <f t="shared" si="6"/>
        <v>101150</v>
      </c>
      <c r="G1527" s="440"/>
      <c r="H1527" s="448">
        <v>95920</v>
      </c>
    </row>
    <row r="1528" spans="1:8" ht="13.2">
      <c r="A1528" s="454" t="s">
        <v>1624</v>
      </c>
      <c r="B1528" s="452" t="str">
        <f>VLOOKUP(A1528,'Thống kê'!$C$3:$D$669,2,0)</f>
        <v>Móc khóa mèo trái tim</v>
      </c>
      <c r="C1528" s="436" t="str">
        <f>VLOOKUP(A1528,'Thống kê'!$C$3:$E$682,3,0)</f>
        <v>cái</v>
      </c>
      <c r="D1528" s="437">
        <f>VLOOKUP(A1528,'Thống kê'!$C$3:$M$682,4,0)</f>
        <v>59000</v>
      </c>
      <c r="E1528" s="438">
        <v>1</v>
      </c>
      <c r="F1528" s="439">
        <f t="shared" si="6"/>
        <v>59000</v>
      </c>
      <c r="G1528" s="440"/>
      <c r="H1528" s="448">
        <v>46008</v>
      </c>
    </row>
    <row r="1529" spans="1:8" ht="13.2">
      <c r="A1529" s="454" t="s">
        <v>1624</v>
      </c>
      <c r="B1529" s="452" t="str">
        <f>VLOOKUP(A1529,'Thống kê'!$C$3:$D$669,2,0)</f>
        <v>Móc khóa mèo trái tim</v>
      </c>
      <c r="C1529" s="436" t="str">
        <f>VLOOKUP(A1529,'Thống kê'!$C$3:$E$682,3,0)</f>
        <v>cái</v>
      </c>
      <c r="D1529" s="437">
        <f>VLOOKUP(A1529,'Thống kê'!$C$3:$M$682,4,0)</f>
        <v>59000</v>
      </c>
      <c r="E1529" s="438">
        <v>1</v>
      </c>
      <c r="F1529" s="439">
        <f t="shared" si="6"/>
        <v>59000</v>
      </c>
      <c r="G1529" s="440"/>
      <c r="H1529" s="448">
        <v>46668</v>
      </c>
    </row>
    <row r="1530" spans="1:8" ht="13.2">
      <c r="A1530" s="454" t="s">
        <v>1624</v>
      </c>
      <c r="B1530" s="452" t="str">
        <f>VLOOKUP(A1530,'Thống kê'!$C$3:$D$669,2,0)</f>
        <v>Móc khóa mèo trái tim</v>
      </c>
      <c r="C1530" s="436" t="str">
        <f>VLOOKUP(A1530,'Thống kê'!$C$3:$E$682,3,0)</f>
        <v>cái</v>
      </c>
      <c r="D1530" s="437">
        <f>VLOOKUP(A1530,'Thống kê'!$C$3:$M$682,4,0)</f>
        <v>59000</v>
      </c>
      <c r="E1530" s="438">
        <v>1</v>
      </c>
      <c r="F1530" s="439">
        <f t="shared" si="6"/>
        <v>59000</v>
      </c>
      <c r="G1530" s="440"/>
      <c r="H1530" s="448">
        <v>46388</v>
      </c>
    </row>
    <row r="1531" spans="1:8" ht="13.2">
      <c r="A1531" s="454" t="s">
        <v>150</v>
      </c>
      <c r="B1531" s="452" t="str">
        <f>VLOOKUP(A1531,'Thống kê'!$C$3:$D$669,2,0)</f>
        <v>Móc khóa có chuông</v>
      </c>
      <c r="C1531" s="436" t="str">
        <f>VLOOKUP(A1531,'Thống kê'!$C$3:$E$682,3,0)</f>
        <v>cái</v>
      </c>
      <c r="D1531" s="437">
        <f>VLOOKUP(A1531,'Thống kê'!$C$3:$M$682,4,0)</f>
        <v>59000</v>
      </c>
      <c r="E1531" s="438">
        <v>1</v>
      </c>
      <c r="F1531" s="439">
        <f t="shared" si="6"/>
        <v>59000</v>
      </c>
      <c r="G1531" s="440"/>
      <c r="H1531" s="448">
        <v>46568</v>
      </c>
    </row>
    <row r="1532" spans="1:8" ht="13.2">
      <c r="A1532" s="454" t="s">
        <v>1594</v>
      </c>
      <c r="B1532" s="452" t="str">
        <f>VLOOKUP(A1532,'Thống kê'!$C$3:$D$669,2,0)</f>
        <v>Móc khóa đôi heo</v>
      </c>
      <c r="C1532" s="436" t="str">
        <f>VLOOKUP(A1532,'Thống kê'!$C$3:$E$682,3,0)</f>
        <v>cái</v>
      </c>
      <c r="D1532" s="437">
        <f>VLOOKUP(A1532,'Thống kê'!$C$3:$M$682,4,0)</f>
        <v>56580</v>
      </c>
      <c r="E1532" s="438">
        <v>1</v>
      </c>
      <c r="F1532" s="439">
        <f t="shared" si="6"/>
        <v>56580</v>
      </c>
      <c r="G1532" s="440"/>
      <c r="H1532" s="448">
        <v>44751</v>
      </c>
    </row>
    <row r="1533" spans="1:8" ht="13.2">
      <c r="A1533" s="454" t="s">
        <v>227</v>
      </c>
      <c r="B1533" s="452" t="str">
        <f>VLOOKUP(A1533,'Thống kê'!$C$3:$D$669,2,0)</f>
        <v>Móc khóa đôi corgy</v>
      </c>
      <c r="C1533" s="436" t="str">
        <f>VLOOKUP(A1533,'Thống kê'!$C$3:$E$682,3,0)</f>
        <v>cái</v>
      </c>
      <c r="D1533" s="437">
        <f>VLOOKUP(A1533,'Thống kê'!$C$3:$M$682,4,0)</f>
        <v>56580</v>
      </c>
      <c r="E1533" s="438">
        <v>1</v>
      </c>
      <c r="F1533" s="439">
        <f t="shared" si="6"/>
        <v>56580</v>
      </c>
      <c r="G1533" s="440"/>
      <c r="H1533" s="448">
        <v>44491</v>
      </c>
    </row>
    <row r="1534" spans="1:8" ht="13.2">
      <c r="A1534" s="454" t="s">
        <v>1623</v>
      </c>
      <c r="B1534" s="452" t="str">
        <f>VLOOKUP(A1534,'Thống kê'!$C$3:$D$669,2,0)</f>
        <v>Mô hình mèo 5</v>
      </c>
      <c r="C1534" s="436" t="str">
        <f>VLOOKUP(A1534,'Thống kê'!$C$3:$E$682,3,0)</f>
        <v>cái</v>
      </c>
      <c r="D1534" s="437">
        <f>VLOOKUP(A1534,'Thống kê'!$C$3:$M$682,4,0)</f>
        <v>37800</v>
      </c>
      <c r="E1534" s="438">
        <v>1</v>
      </c>
      <c r="F1534" s="439">
        <f t="shared" si="6"/>
        <v>37800</v>
      </c>
      <c r="G1534" s="440"/>
      <c r="H1534" s="448">
        <v>32495</v>
      </c>
    </row>
    <row r="1535" spans="1:8" ht="13.2">
      <c r="A1535" s="454" t="s">
        <v>1594</v>
      </c>
      <c r="B1535" s="452" t="str">
        <f>VLOOKUP(A1535,'Thống kê'!$C$3:$D$669,2,0)</f>
        <v>Móc khóa đôi heo</v>
      </c>
      <c r="C1535" s="436" t="str">
        <f>VLOOKUP(A1535,'Thống kê'!$C$3:$E$682,3,0)</f>
        <v>cái</v>
      </c>
      <c r="D1535" s="437">
        <f>VLOOKUP(A1535,'Thống kê'!$C$3:$M$682,4,0)</f>
        <v>56580</v>
      </c>
      <c r="E1535" s="438">
        <v>1</v>
      </c>
      <c r="F1535" s="439">
        <f t="shared" si="6"/>
        <v>56580</v>
      </c>
      <c r="G1535" s="440"/>
      <c r="H1535" s="448">
        <v>44651</v>
      </c>
    </row>
    <row r="1536" spans="1:8" ht="13.2">
      <c r="A1536" s="454" t="s">
        <v>1612</v>
      </c>
      <c r="B1536" s="452" t="str">
        <f>VLOOKUP(A1536,'Thống kê'!$C$3:$D$669,2,0)</f>
        <v>Kẹp tóc bướm trắng</v>
      </c>
      <c r="C1536" s="436" t="str">
        <f>VLOOKUP(A1536,'Thống kê'!$C$3:$E$682,3,0)</f>
        <v>cái</v>
      </c>
      <c r="D1536" s="437">
        <f>VLOOKUP(A1536,'Thống kê'!$C$3:$M$682,4,0)</f>
        <v>40000</v>
      </c>
      <c r="E1536" s="438">
        <v>1</v>
      </c>
      <c r="F1536" s="439">
        <f t="shared" si="6"/>
        <v>40000</v>
      </c>
      <c r="G1536" s="440"/>
      <c r="H1536" s="448">
        <v>28020</v>
      </c>
    </row>
    <row r="1537" spans="1:8" ht="13.2">
      <c r="A1537" s="454" t="s">
        <v>1594</v>
      </c>
      <c r="B1537" s="452" t="str">
        <f>VLOOKUP(A1537,'Thống kê'!$C$3:$D$669,2,0)</f>
        <v>Móc khóa đôi heo</v>
      </c>
      <c r="C1537" s="436" t="str">
        <f>VLOOKUP(A1537,'Thống kê'!$C$3:$E$682,3,0)</f>
        <v>cái</v>
      </c>
      <c r="D1537" s="437">
        <f>VLOOKUP(A1537,'Thống kê'!$C$3:$M$682,4,0)</f>
        <v>56580</v>
      </c>
      <c r="E1537" s="438">
        <v>1</v>
      </c>
      <c r="F1537" s="439">
        <f t="shared" si="6"/>
        <v>56580</v>
      </c>
      <c r="G1537" s="440"/>
      <c r="H1537" s="448">
        <v>44111</v>
      </c>
    </row>
    <row r="1538" spans="1:8" ht="13.2">
      <c r="A1538" s="454" t="s">
        <v>150</v>
      </c>
      <c r="B1538" s="452" t="str">
        <f>VLOOKUP(A1538,'Thống kê'!$C$3:$D$669,2,0)</f>
        <v>Móc khóa có chuông</v>
      </c>
      <c r="C1538" s="436" t="str">
        <f>VLOOKUP(A1538,'Thống kê'!$C$3:$E$682,3,0)</f>
        <v>cái</v>
      </c>
      <c r="D1538" s="437">
        <f>VLOOKUP(A1538,'Thống kê'!$C$3:$M$682,4,0)</f>
        <v>59000</v>
      </c>
      <c r="E1538" s="438">
        <v>1</v>
      </c>
      <c r="F1538" s="439">
        <f t="shared" si="6"/>
        <v>59000</v>
      </c>
      <c r="G1538" s="440"/>
      <c r="H1538" s="447">
        <v>120560</v>
      </c>
    </row>
    <row r="1539" spans="1:8" ht="13.2">
      <c r="A1539" s="454" t="s">
        <v>1585</v>
      </c>
      <c r="B1539" s="452" t="str">
        <f>VLOOKUP(A1539,'Thống kê'!$C$3:$D$669,2,0)</f>
        <v>Móc khoá mèo bông đen</v>
      </c>
      <c r="C1539" s="436" t="str">
        <f>VLOOKUP(A1539,'Thống kê'!$C$3:$E$682,3,0)</f>
        <v>cái</v>
      </c>
      <c r="D1539" s="437">
        <f>VLOOKUP(A1539,'Thống kê'!$C$3:$M$682,4,0)</f>
        <v>98000</v>
      </c>
      <c r="E1539" s="438">
        <v>1</v>
      </c>
      <c r="F1539" s="439">
        <f t="shared" si="6"/>
        <v>98000</v>
      </c>
      <c r="G1539" s="440"/>
      <c r="H1539" s="446"/>
    </row>
    <row r="1540" spans="1:8" ht="13.2">
      <c r="A1540" s="454" t="s">
        <v>325</v>
      </c>
      <c r="B1540" s="452" t="str">
        <f>VLOOKUP(A1540,'Thống kê'!$C$3:$D$669,2,0)</f>
        <v>Gấu ú</v>
      </c>
      <c r="C1540" s="436" t="str">
        <f>VLOOKUP(A1540,'Thống kê'!$C$3:$E$682,3,0)</f>
        <v>cái</v>
      </c>
      <c r="D1540" s="437">
        <f>VLOOKUP(A1540,'Thống kê'!$C$3:$M$682,4,0)</f>
        <v>59500</v>
      </c>
      <c r="E1540" s="438">
        <v>1</v>
      </c>
      <c r="F1540" s="439">
        <f t="shared" si="6"/>
        <v>59500</v>
      </c>
      <c r="G1540" s="440"/>
      <c r="H1540" s="448">
        <v>45672</v>
      </c>
    </row>
    <row r="1541" spans="1:8" ht="13.2">
      <c r="A1541" s="454" t="s">
        <v>1930</v>
      </c>
      <c r="B1541" s="452" t="str">
        <f>VLOOKUP(A1541,'Thống kê'!$C$3:$D$669,2,0)</f>
        <v>Kẹp nơ hồng</v>
      </c>
      <c r="C1541" s="436" t="str">
        <f>VLOOKUP(A1541,'Thống kê'!$C$3:$E$682,3,0)</f>
        <v>cái</v>
      </c>
      <c r="D1541" s="437">
        <f>VLOOKUP(A1541,'Thống kê'!$C$3:$M$682,4,0)</f>
        <v>22000</v>
      </c>
      <c r="E1541" s="438">
        <v>1</v>
      </c>
      <c r="F1541" s="439">
        <f t="shared" si="6"/>
        <v>22000</v>
      </c>
      <c r="G1541" s="440"/>
      <c r="H1541" s="448">
        <v>19300</v>
      </c>
    </row>
    <row r="1542" spans="1:8" ht="13.2">
      <c r="A1542" s="454" t="s">
        <v>2003</v>
      </c>
      <c r="B1542" s="452" t="str">
        <f>VLOOKUP(A1542,'Thống kê'!$C$3:$D$669,2,0)</f>
        <v>Kẹp tóc kem</v>
      </c>
      <c r="C1542" s="436" t="str">
        <f>VLOOKUP(A1542,'Thống kê'!$C$3:$E$682,3,0)</f>
        <v>cái</v>
      </c>
      <c r="D1542" s="437">
        <f>VLOOKUP(A1542,'Thống kê'!$C$3:$M$682,4,0)</f>
        <v>15000</v>
      </c>
      <c r="E1542" s="438">
        <v>1</v>
      </c>
      <c r="F1542" s="439">
        <f t="shared" si="6"/>
        <v>15000</v>
      </c>
      <c r="G1542" s="440"/>
      <c r="H1542" s="447">
        <v>60531</v>
      </c>
    </row>
    <row r="1543" spans="1:8" ht="13.2">
      <c r="A1543" s="454" t="s">
        <v>1594</v>
      </c>
      <c r="B1543" s="452" t="str">
        <f>VLOOKUP(A1543,'Thống kê'!$C$3:$D$669,2,0)</f>
        <v>Móc khóa đôi heo</v>
      </c>
      <c r="C1543" s="436" t="str">
        <f>VLOOKUP(A1543,'Thống kê'!$C$3:$E$682,3,0)</f>
        <v>cái</v>
      </c>
      <c r="D1543" s="437">
        <f>VLOOKUP(A1543,'Thống kê'!$C$3:$M$682,4,0)</f>
        <v>56580</v>
      </c>
      <c r="E1543" s="438">
        <v>1</v>
      </c>
      <c r="F1543" s="439">
        <f t="shared" si="6"/>
        <v>56580</v>
      </c>
      <c r="G1543" s="440"/>
      <c r="H1543" s="446"/>
    </row>
    <row r="1544" spans="1:8" ht="13.2">
      <c r="A1544" s="454" t="s">
        <v>1594</v>
      </c>
      <c r="B1544" s="452" t="str">
        <f>VLOOKUP(A1544,'Thống kê'!$C$3:$D$669,2,0)</f>
        <v>Móc khóa đôi heo</v>
      </c>
      <c r="C1544" s="436" t="str">
        <f>VLOOKUP(A1544,'Thống kê'!$C$3:$E$682,3,0)</f>
        <v>cái</v>
      </c>
      <c r="D1544" s="437">
        <f>VLOOKUP(A1544,'Thống kê'!$C$3:$M$682,4,0)</f>
        <v>56580</v>
      </c>
      <c r="E1544" s="438">
        <v>1</v>
      </c>
      <c r="F1544" s="439">
        <f t="shared" si="6"/>
        <v>56580</v>
      </c>
      <c r="G1544" s="440"/>
      <c r="H1544" s="448">
        <v>44751</v>
      </c>
    </row>
    <row r="1545" spans="1:8" ht="13.2">
      <c r="A1545" s="454" t="s">
        <v>1594</v>
      </c>
      <c r="B1545" s="452" t="str">
        <f>VLOOKUP(A1545,'Thống kê'!$C$3:$D$669,2,0)</f>
        <v>Móc khóa đôi heo</v>
      </c>
      <c r="C1545" s="436" t="str">
        <f>VLOOKUP(A1545,'Thống kê'!$C$3:$E$682,3,0)</f>
        <v>cái</v>
      </c>
      <c r="D1545" s="437">
        <f>VLOOKUP(A1545,'Thống kê'!$C$3:$M$682,4,0)</f>
        <v>56580</v>
      </c>
      <c r="E1545" s="438">
        <v>1</v>
      </c>
      <c r="F1545" s="439">
        <f t="shared" si="6"/>
        <v>56580</v>
      </c>
      <c r="G1545" s="440"/>
      <c r="H1545" s="448">
        <v>44751</v>
      </c>
    </row>
    <row r="1546" spans="1:8" ht="13.2">
      <c r="A1546" s="454" t="s">
        <v>1625</v>
      </c>
      <c r="B1546" s="452" t="str">
        <f>VLOOKUP(A1546,'Thống kê'!$C$3:$D$669,2,0)</f>
        <v>Móc khóa đôi 2 mèo trắng nâu</v>
      </c>
      <c r="C1546" s="436" t="str">
        <f>VLOOKUP(A1546,'Thống kê'!$C$3:$E$682,3,0)</f>
        <v>cái</v>
      </c>
      <c r="D1546" s="437">
        <f>VLOOKUP(A1546,'Thống kê'!$C$3:$M$682,4,0)</f>
        <v>59000</v>
      </c>
      <c r="E1546" s="438">
        <v>1</v>
      </c>
      <c r="F1546" s="439">
        <f t="shared" si="6"/>
        <v>59000</v>
      </c>
      <c r="G1546" s="440"/>
      <c r="H1546" s="448">
        <v>64968</v>
      </c>
    </row>
    <row r="1547" spans="1:8" ht="13.2">
      <c r="A1547" s="454" t="s">
        <v>2004</v>
      </c>
      <c r="B1547" s="452" t="str">
        <f>VLOOKUP(A1547,'Thống kê'!$C$3:$D$669,2,0)</f>
        <v>Vớ cổ cao sọc hồng</v>
      </c>
      <c r="C1547" s="436" t="str">
        <f>VLOOKUP(A1547,'Thống kê'!$C$3:$E$682,3,0)</f>
        <v>đôi</v>
      </c>
      <c r="D1547" s="437">
        <f>VLOOKUP(A1547,'Thống kê'!$C$3:$M$682,4,0)</f>
        <v>15900</v>
      </c>
      <c r="E1547" s="438">
        <v>1</v>
      </c>
      <c r="F1547" s="439">
        <f t="shared" si="6"/>
        <v>15900</v>
      </c>
      <c r="G1547" s="440"/>
      <c r="H1547" s="447">
        <v>105503</v>
      </c>
    </row>
    <row r="1548" spans="1:8" ht="13.2">
      <c r="A1548" s="454" t="s">
        <v>150</v>
      </c>
      <c r="B1548" s="452" t="str">
        <f>VLOOKUP(A1548,'Thống kê'!$C$3:$D$669,2,0)</f>
        <v>Móc khóa có chuông</v>
      </c>
      <c r="C1548" s="436" t="str">
        <f>VLOOKUP(A1548,'Thống kê'!$C$3:$E$682,3,0)</f>
        <v>cái</v>
      </c>
      <c r="D1548" s="437">
        <f>VLOOKUP(A1548,'Thống kê'!$C$3:$M$682,4,0)</f>
        <v>59000</v>
      </c>
      <c r="E1548" s="438">
        <v>1</v>
      </c>
      <c r="F1548" s="439">
        <f t="shared" si="6"/>
        <v>59000</v>
      </c>
      <c r="G1548" s="440"/>
      <c r="H1548" s="446"/>
    </row>
    <row r="1549" spans="1:8" ht="13.2">
      <c r="A1549" s="454" t="s">
        <v>227</v>
      </c>
      <c r="B1549" s="452" t="str">
        <f>VLOOKUP(A1549,'Thống kê'!$C$3:$D$669,2,0)</f>
        <v>Móc khóa đôi corgy</v>
      </c>
      <c r="C1549" s="436" t="str">
        <f>VLOOKUP(A1549,'Thống kê'!$C$3:$E$682,3,0)</f>
        <v>cái</v>
      </c>
      <c r="D1549" s="437">
        <f>VLOOKUP(A1549,'Thống kê'!$C$3:$M$682,4,0)</f>
        <v>56580</v>
      </c>
      <c r="E1549" s="438">
        <v>1</v>
      </c>
      <c r="F1549" s="439">
        <f t="shared" si="6"/>
        <v>56580</v>
      </c>
      <c r="G1549" s="440"/>
      <c r="H1549" s="446"/>
    </row>
    <row r="1550" spans="1:8" ht="13.2">
      <c r="A1550" s="454" t="s">
        <v>1625</v>
      </c>
      <c r="B1550" s="452" t="str">
        <f>VLOOKUP(A1550,'Thống kê'!$C$3:$D$669,2,0)</f>
        <v>Móc khóa đôi 2 mèo trắng nâu</v>
      </c>
      <c r="C1550" s="436" t="str">
        <f>VLOOKUP(A1550,'Thống kê'!$C$3:$E$682,3,0)</f>
        <v>cái</v>
      </c>
      <c r="D1550" s="437">
        <f>VLOOKUP(A1550,'Thống kê'!$C$3:$M$682,4,0)</f>
        <v>59000</v>
      </c>
      <c r="E1550" s="438">
        <v>-1</v>
      </c>
      <c r="F1550" s="439">
        <f t="shared" si="6"/>
        <v>-59000</v>
      </c>
      <c r="G1550" s="440"/>
      <c r="H1550" s="448">
        <v>-53100</v>
      </c>
    </row>
    <row r="1551" spans="1:8" ht="13.2">
      <c r="A1551" s="454" t="s">
        <v>119</v>
      </c>
      <c r="B1551" s="452" t="str">
        <f>VLOOKUP(A1551,'Thống kê'!$C$3:$D$669,2,0)</f>
        <v>Thỏ chạy xe gắn xe</v>
      </c>
      <c r="C1551" s="436" t="str">
        <f>VLOOKUP(A1551,'Thống kê'!$C$3:$E$682,3,0)</f>
        <v>cái</v>
      </c>
      <c r="D1551" s="437">
        <f>VLOOKUP(A1551,'Thống kê'!$C$3:$M$682,4,0)</f>
        <v>45000</v>
      </c>
      <c r="E1551" s="438">
        <v>-1</v>
      </c>
      <c r="F1551" s="439">
        <f t="shared" si="6"/>
        <v>-45000</v>
      </c>
      <c r="G1551" s="440"/>
      <c r="H1551" s="448">
        <v>-41500</v>
      </c>
    </row>
    <row r="1552" spans="1:8" ht="13.2">
      <c r="A1552" s="454" t="s">
        <v>1928</v>
      </c>
      <c r="B1552" s="452" t="str">
        <f>VLOOKUP(A1552,'Thống kê'!$C$3:$D$669,2,0)</f>
        <v>Kẹp tóc xám trong</v>
      </c>
      <c r="C1552" s="436" t="str">
        <f>VLOOKUP(A1552,'Thống kê'!$C$3:$E$682,3,0)</f>
        <v>cái</v>
      </c>
      <c r="D1552" s="437">
        <f>VLOOKUP(A1552,'Thống kê'!$C$3:$M$682,4,0)</f>
        <v>14000</v>
      </c>
      <c r="E1552" s="438">
        <v>1</v>
      </c>
      <c r="F1552" s="439">
        <f t="shared" si="6"/>
        <v>14000</v>
      </c>
      <c r="G1552" s="440"/>
      <c r="H1552" s="447">
        <v>80420</v>
      </c>
    </row>
    <row r="1553" spans="1:8" ht="13.2">
      <c r="A1553" s="454" t="s">
        <v>150</v>
      </c>
      <c r="B1553" s="452" t="str">
        <f>VLOOKUP(A1553,'Thống kê'!$C$3:$D$669,2,0)</f>
        <v>Móc khóa có chuông</v>
      </c>
      <c r="C1553" s="436" t="str">
        <f>VLOOKUP(A1553,'Thống kê'!$C$3:$E$682,3,0)</f>
        <v>cái</v>
      </c>
      <c r="D1553" s="437">
        <f>VLOOKUP(A1553,'Thống kê'!$C$3:$M$682,4,0)</f>
        <v>59000</v>
      </c>
      <c r="E1553" s="438">
        <v>1</v>
      </c>
      <c r="F1553" s="439">
        <f t="shared" si="6"/>
        <v>59000</v>
      </c>
      <c r="G1553" s="440"/>
      <c r="H1553" s="446"/>
    </row>
    <row r="1554" spans="1:8" ht="13.2">
      <c r="A1554" s="454" t="s">
        <v>2005</v>
      </c>
      <c r="B1554" s="452" t="str">
        <f>VLOOKUP(A1554,'Thống kê'!$C$3:$D$669,2,0)</f>
        <v>Kẹp tóc len hoa be</v>
      </c>
      <c r="C1554" s="436" t="str">
        <f>VLOOKUP(A1554,'Thống kê'!$C$3:$E$682,3,0)</f>
        <v>cái</v>
      </c>
      <c r="D1554" s="437">
        <f>VLOOKUP(A1554,'Thống kê'!$C$3:$M$682,4,0)</f>
        <v>32500</v>
      </c>
      <c r="E1554" s="438">
        <v>1</v>
      </c>
      <c r="F1554" s="439">
        <f t="shared" si="6"/>
        <v>32500</v>
      </c>
      <c r="G1554" s="440"/>
      <c r="H1554" s="446"/>
    </row>
    <row r="1555" spans="1:8" ht="13.2">
      <c r="A1555" s="454" t="s">
        <v>1632</v>
      </c>
      <c r="B1555" s="452" t="str">
        <f>VLOOKUP(A1555,'Thống kê'!$C$3:$D$669,2,0)</f>
        <v>Móc khóa đôi mèo trắng</v>
      </c>
      <c r="C1555" s="436" t="str">
        <f>VLOOKUP(A1555,'Thống kê'!$C$3:$E$682,3,0)</f>
        <v>cái</v>
      </c>
      <c r="D1555" s="437">
        <f>VLOOKUP(A1555,'Thống kê'!$C$3:$M$682,4,0)</f>
        <v>59000</v>
      </c>
      <c r="E1555" s="438">
        <v>1</v>
      </c>
      <c r="F1555" s="439">
        <f t="shared" si="6"/>
        <v>59000</v>
      </c>
      <c r="G1555" s="440"/>
      <c r="H1555" s="448">
        <v>46568</v>
      </c>
    </row>
    <row r="1556" spans="1:8" ht="13.2">
      <c r="A1556" s="454" t="s">
        <v>1964</v>
      </c>
      <c r="B1556" s="452" t="str">
        <f>VLOOKUP(A1556,'Thống kê'!$C$3:$D$669,2,0)</f>
        <v>Túi chườm bụng gấu trúc 500ml</v>
      </c>
      <c r="C1556" s="436" t="str">
        <f>VLOOKUP(A1556,'Thống kê'!$C$3:$E$682,3,0)</f>
        <v>túi</v>
      </c>
      <c r="D1556" s="437">
        <f>VLOOKUP(A1556,'Thống kê'!$C$3:$M$682,4,0)</f>
        <v>81000</v>
      </c>
      <c r="E1556" s="438">
        <v>1</v>
      </c>
      <c r="F1556" s="439">
        <f t="shared" si="6"/>
        <v>81000</v>
      </c>
      <c r="G1556" s="440"/>
      <c r="H1556" s="447">
        <v>165440</v>
      </c>
    </row>
    <row r="1557" spans="1:8" ht="13.2">
      <c r="A1557" s="454" t="s">
        <v>1650</v>
      </c>
      <c r="B1557" s="452" t="str">
        <f>VLOOKUP(A1557,'Thống kê'!$C$3:$D$669,2,0)</f>
        <v>Túi chườm bụng dâu (xanh) 1000ml</v>
      </c>
      <c r="C1557" s="436" t="str">
        <f>VLOOKUP(A1557,'Thống kê'!$C$3:$E$682,3,0)</f>
        <v>túi</v>
      </c>
      <c r="D1557" s="437">
        <f>VLOOKUP(A1557,'Thống kê'!$C$3:$M$682,4,0)</f>
        <v>101150</v>
      </c>
      <c r="E1557" s="438">
        <v>1</v>
      </c>
      <c r="F1557" s="439">
        <f t="shared" si="6"/>
        <v>101150</v>
      </c>
      <c r="G1557" s="440"/>
      <c r="H1557" s="446"/>
    </row>
    <row r="1558" spans="1:8" ht="13.2">
      <c r="A1558" s="454" t="s">
        <v>1625</v>
      </c>
      <c r="B1558" s="452" t="str">
        <f>VLOOKUP(A1558,'Thống kê'!$C$3:$D$669,2,0)</f>
        <v>Móc khóa đôi 2 mèo trắng nâu</v>
      </c>
      <c r="C1558" s="436" t="str">
        <f>VLOOKUP(A1558,'Thống kê'!$C$3:$E$682,3,0)</f>
        <v>cái</v>
      </c>
      <c r="D1558" s="437">
        <f>VLOOKUP(A1558,'Thống kê'!$C$3:$M$682,4,0)</f>
        <v>59000</v>
      </c>
      <c r="E1558" s="438">
        <v>1</v>
      </c>
      <c r="F1558" s="439">
        <f t="shared" si="6"/>
        <v>59000</v>
      </c>
      <c r="G1558" s="440"/>
      <c r="H1558" s="448">
        <v>46668</v>
      </c>
    </row>
    <row r="1559" spans="1:8" ht="13.2">
      <c r="A1559" s="454" t="s">
        <v>1624</v>
      </c>
      <c r="B1559" s="452" t="str">
        <f>VLOOKUP(A1559,'Thống kê'!$C$3:$D$669,2,0)</f>
        <v>Móc khóa mèo trái tim</v>
      </c>
      <c r="C1559" s="436" t="str">
        <f>VLOOKUP(A1559,'Thống kê'!$C$3:$E$682,3,0)</f>
        <v>cái</v>
      </c>
      <c r="D1559" s="437">
        <f>VLOOKUP(A1559,'Thống kê'!$C$3:$M$682,4,0)</f>
        <v>59000</v>
      </c>
      <c r="E1559" s="438">
        <v>1</v>
      </c>
      <c r="F1559" s="439">
        <f t="shared" si="6"/>
        <v>59000</v>
      </c>
      <c r="G1559" s="440"/>
      <c r="H1559" s="448">
        <v>46728</v>
      </c>
    </row>
    <row r="1560" spans="1:8" ht="13.2">
      <c r="A1560" s="454" t="s">
        <v>1210</v>
      </c>
      <c r="B1560" s="452" t="str">
        <f>VLOOKUP(A1560,'Thống kê'!$C$3:$D$669,2,0)</f>
        <v>Shiba ú cầm hoa</v>
      </c>
      <c r="C1560" s="436" t="str">
        <f>VLOOKUP(A1560,'Thống kê'!$C$3:$E$682,3,0)</f>
        <v>cái</v>
      </c>
      <c r="D1560" s="437">
        <f>VLOOKUP(A1560,'Thống kê'!$C$3:$M$682,4,0)</f>
        <v>64500</v>
      </c>
      <c r="E1560" s="438">
        <v>1</v>
      </c>
      <c r="F1560" s="439">
        <f t="shared" si="6"/>
        <v>64500</v>
      </c>
      <c r="G1560" s="440"/>
      <c r="H1560" s="448">
        <v>49500</v>
      </c>
    </row>
    <row r="1561" spans="1:8" ht="13.2">
      <c r="A1561" s="454" t="s">
        <v>1614</v>
      </c>
      <c r="B1561" s="452" t="str">
        <f>VLOOKUP(A1561,'Thống kê'!$C$3:$D$669,2,0)</f>
        <v>Kẹp tóc bướm xanh ngọc</v>
      </c>
      <c r="C1561" s="436" t="str">
        <f>VLOOKUP(A1561,'Thống kê'!$C$3:$E$682,3,0)</f>
        <v>cái</v>
      </c>
      <c r="D1561" s="437">
        <f>VLOOKUP(A1561,'Thống kê'!$C$3:$M$682,4,0)</f>
        <v>38000</v>
      </c>
      <c r="E1561" s="438">
        <v>1</v>
      </c>
      <c r="F1561" s="439">
        <f t="shared" si="6"/>
        <v>38000</v>
      </c>
      <c r="G1561" s="440"/>
      <c r="H1561" s="447">
        <v>83468</v>
      </c>
    </row>
    <row r="1562" spans="1:8" ht="13.2">
      <c r="A1562" s="454" t="s">
        <v>1612</v>
      </c>
      <c r="B1562" s="452" t="str">
        <f>VLOOKUP(A1562,'Thống kê'!$C$3:$D$669,2,0)</f>
        <v>Kẹp tóc bướm trắng</v>
      </c>
      <c r="C1562" s="436" t="str">
        <f>VLOOKUP(A1562,'Thống kê'!$C$3:$E$682,3,0)</f>
        <v>cái</v>
      </c>
      <c r="D1562" s="437">
        <f>VLOOKUP(A1562,'Thống kê'!$C$3:$M$682,4,0)</f>
        <v>40000</v>
      </c>
      <c r="E1562" s="438">
        <v>1</v>
      </c>
      <c r="F1562" s="439">
        <f t="shared" si="6"/>
        <v>40000</v>
      </c>
      <c r="G1562" s="440"/>
      <c r="H1562" s="446"/>
    </row>
    <row r="1563" spans="1:8" ht="13.2">
      <c r="A1563" s="454" t="s">
        <v>1618</v>
      </c>
      <c r="B1563" s="452" t="str">
        <f>VLOOKUP(A1563,'Thống kê'!$C$3:$D$669,2,0)</f>
        <v>Kẹp tóc bướm hồng trắng</v>
      </c>
      <c r="C1563" s="436" t="str">
        <f>VLOOKUP(A1563,'Thống kê'!$C$3:$E$682,3,0)</f>
        <v>cái</v>
      </c>
      <c r="D1563" s="437">
        <f>VLOOKUP(A1563,'Thống kê'!$C$3:$M$682,4,0)</f>
        <v>52000</v>
      </c>
      <c r="E1563" s="438">
        <v>1</v>
      </c>
      <c r="F1563" s="439">
        <f t="shared" si="6"/>
        <v>52000</v>
      </c>
      <c r="G1563" s="440"/>
      <c r="H1563" s="446"/>
    </row>
    <row r="1564" spans="1:8" ht="13.2">
      <c r="A1564" s="454" t="s">
        <v>1936</v>
      </c>
      <c r="B1564" s="452" t="str">
        <f>VLOOKUP(A1564,'Thống kê'!$C$3:$D$669,2,0)</f>
        <v>Kẹp tóc hoa sứ vàng</v>
      </c>
      <c r="C1564" s="436" t="str">
        <f>VLOOKUP(A1564,'Thống kê'!$C$3:$E$682,3,0)</f>
        <v>cái</v>
      </c>
      <c r="D1564" s="437">
        <f>VLOOKUP(A1564,'Thống kê'!$C$3:$M$682,4,0)</f>
        <v>18500</v>
      </c>
      <c r="E1564" s="438">
        <v>1</v>
      </c>
      <c r="F1564" s="439">
        <f t="shared" si="6"/>
        <v>18500</v>
      </c>
      <c r="G1564" s="440"/>
      <c r="H1564" s="446"/>
    </row>
    <row r="1565" spans="1:8" ht="13.2">
      <c r="A1565" s="454" t="s">
        <v>2006</v>
      </c>
      <c r="B1565" s="452" t="str">
        <f>VLOOKUP(A1565,'Thống kê'!$C$3:$D$669,2,0)</f>
        <v>Mô hình Popbean 11</v>
      </c>
      <c r="C1565" s="436" t="str">
        <f>VLOOKUP(A1565,'Thống kê'!$C$3:$E$682,3,0)</f>
        <v>cái</v>
      </c>
      <c r="D1565" s="437">
        <f>VLOOKUP(A1565,'Thống kê'!$C$3:$M$682,4,0)</f>
        <v>89000</v>
      </c>
      <c r="E1565" s="438">
        <v>1</v>
      </c>
      <c r="F1565" s="439">
        <f t="shared" si="6"/>
        <v>89000</v>
      </c>
      <c r="G1565" s="440"/>
      <c r="H1565" s="448">
        <v>70428</v>
      </c>
    </row>
    <row r="1566" spans="1:8" ht="13.2">
      <c r="A1566" s="454" t="s">
        <v>1588</v>
      </c>
      <c r="B1566" s="452" t="str">
        <f>VLOOKUP(A1566,'Thống kê'!$C$3:$D$669,2,0)</f>
        <v>Heo ú hoa</v>
      </c>
      <c r="C1566" s="436" t="str">
        <f>VLOOKUP(A1566,'Thống kê'!$C$3:$E$682,3,0)</f>
        <v>cái</v>
      </c>
      <c r="D1566" s="437">
        <f>VLOOKUP(A1566,'Thống kê'!$C$3:$M$682,4,0)</f>
        <v>64500</v>
      </c>
      <c r="E1566" s="438">
        <v>1</v>
      </c>
      <c r="F1566" s="439">
        <f t="shared" si="6"/>
        <v>64500</v>
      </c>
      <c r="G1566" s="440"/>
      <c r="H1566" s="447">
        <v>172057</v>
      </c>
    </row>
    <row r="1567" spans="1:8" ht="13.2">
      <c r="A1567" s="454" t="s">
        <v>1210</v>
      </c>
      <c r="B1567" s="452" t="str">
        <f>VLOOKUP(A1567,'Thống kê'!$C$3:$D$669,2,0)</f>
        <v>Shiba ú cầm hoa</v>
      </c>
      <c r="C1567" s="436" t="str">
        <f>VLOOKUP(A1567,'Thống kê'!$C$3:$E$682,3,0)</f>
        <v>cái</v>
      </c>
      <c r="D1567" s="437">
        <f>VLOOKUP(A1567,'Thống kê'!$C$3:$M$682,4,0)</f>
        <v>64500</v>
      </c>
      <c r="E1567" s="438">
        <v>1</v>
      </c>
      <c r="F1567" s="439">
        <f t="shared" si="6"/>
        <v>64500</v>
      </c>
      <c r="G1567" s="440"/>
      <c r="H1567" s="446"/>
    </row>
    <row r="1568" spans="1:8" ht="13.2">
      <c r="A1568" s="454" t="s">
        <v>183</v>
      </c>
      <c r="B1568" s="452" t="str">
        <f>VLOOKUP(A1568,'Thống kê'!$C$3:$D$669,2,0)</f>
        <v>Thỏ máy bay gắn xe</v>
      </c>
      <c r="C1568" s="436" t="str">
        <f>VLOOKUP(A1568,'Thống kê'!$C$3:$E$682,3,0)</f>
        <v>cái</v>
      </c>
      <c r="D1568" s="437">
        <f>VLOOKUP(A1568,'Thống kê'!$C$3:$M$682,4,0)</f>
        <v>45000</v>
      </c>
      <c r="E1568" s="438">
        <v>1</v>
      </c>
      <c r="F1568" s="439">
        <f t="shared" si="6"/>
        <v>45000</v>
      </c>
      <c r="G1568" s="440"/>
      <c r="H1568" s="446"/>
    </row>
    <row r="1569" spans="1:8" ht="13.2">
      <c r="A1569" s="454" t="s">
        <v>145</v>
      </c>
      <c r="B1569" s="452" t="str">
        <f>VLOOKUP(A1569,'Thống kê'!$C$3:$D$669,2,0)</f>
        <v>Thỏ đi vịt gắn xe</v>
      </c>
      <c r="C1569" s="436" t="str">
        <f>VLOOKUP(A1569,'Thống kê'!$C$3:$E$682,3,0)</f>
        <v>cái</v>
      </c>
      <c r="D1569" s="437">
        <f>VLOOKUP(A1569,'Thống kê'!$C$3:$M$682,4,0)</f>
        <v>45000</v>
      </c>
      <c r="E1569" s="438">
        <v>1</v>
      </c>
      <c r="F1569" s="439">
        <f t="shared" si="6"/>
        <v>45000</v>
      </c>
      <c r="G1569" s="440"/>
      <c r="H1569" s="446"/>
    </row>
    <row r="1570" spans="1:8" ht="13.2">
      <c r="A1570" s="454" t="s">
        <v>150</v>
      </c>
      <c r="B1570" s="452" t="str">
        <f>VLOOKUP(A1570,'Thống kê'!$C$3:$D$669,2,0)</f>
        <v>Móc khóa có chuông</v>
      </c>
      <c r="C1570" s="436" t="str">
        <f>VLOOKUP(A1570,'Thống kê'!$C$3:$E$682,3,0)</f>
        <v>cái</v>
      </c>
      <c r="D1570" s="437">
        <f>VLOOKUP(A1570,'Thống kê'!$C$3:$M$682,4,0)</f>
        <v>59000</v>
      </c>
      <c r="E1570" s="438">
        <v>1</v>
      </c>
      <c r="F1570" s="439">
        <f t="shared" si="6"/>
        <v>59000</v>
      </c>
      <c r="G1570" s="440"/>
      <c r="H1570" s="448">
        <v>46668</v>
      </c>
    </row>
    <row r="1571" spans="1:8" ht="13.2">
      <c r="A1571" s="454" t="s">
        <v>1975</v>
      </c>
      <c r="B1571" s="452" t="str">
        <f>VLOOKUP(A1571,'Thống kê'!$C$3:$D$669,2,0)</f>
        <v>Móc khóa capybara 16 - hồng thơm</v>
      </c>
      <c r="C1571" s="436" t="str">
        <f>VLOOKUP(A1571,'Thống kê'!$C$3:$E$682,3,0)</f>
        <v>cái</v>
      </c>
      <c r="D1571" s="437">
        <f>VLOOKUP(A1571,'Thống kê'!$C$3:$M$682,4,0)</f>
        <v>58800</v>
      </c>
      <c r="E1571" s="438">
        <v>1</v>
      </c>
      <c r="F1571" s="439">
        <f t="shared" si="6"/>
        <v>58800</v>
      </c>
      <c r="G1571" s="440"/>
      <c r="H1571" s="447">
        <v>92664</v>
      </c>
    </row>
    <row r="1572" spans="1:8" ht="13.2">
      <c r="A1572" s="454" t="s">
        <v>1627</v>
      </c>
      <c r="B1572" s="452" t="str">
        <f>VLOOKUP(A1572,'Thống kê'!$C$3:$D$669,2,0)</f>
        <v>Móc khóa capybara 15 - sổ mũi ko móc khóa</v>
      </c>
      <c r="C1572" s="436" t="str">
        <f>VLOOKUP(A1572,'Thống kê'!$C$3:$E$682,3,0)</f>
        <v>cái</v>
      </c>
      <c r="D1572" s="437">
        <f>VLOOKUP(A1572,'Thống kê'!$C$3:$M$682,4,0)</f>
        <v>56500</v>
      </c>
      <c r="E1572" s="438">
        <v>1</v>
      </c>
      <c r="F1572" s="439">
        <f t="shared" si="6"/>
        <v>56500</v>
      </c>
      <c r="G1572" s="440"/>
      <c r="H1572" s="446"/>
    </row>
    <row r="1573" spans="1:8" ht="13.2">
      <c r="A1573" s="454" t="s">
        <v>1622</v>
      </c>
      <c r="B1573" s="452" t="str">
        <f>VLOOKUP(A1573,'Thống kê'!$C$3:$D$669,2,0)</f>
        <v>Mô hình mèo 1</v>
      </c>
      <c r="C1573" s="436" t="str">
        <f>VLOOKUP(A1573,'Thống kê'!$C$3:$E$682,3,0)</f>
        <v>cái</v>
      </c>
      <c r="D1573" s="437">
        <f>VLOOKUP(A1573,'Thống kê'!$C$3:$M$682,4,0)</f>
        <v>37800</v>
      </c>
      <c r="E1573" s="438">
        <v>1</v>
      </c>
      <c r="F1573" s="439">
        <f t="shared" si="6"/>
        <v>37800</v>
      </c>
      <c r="G1573" s="440"/>
      <c r="H1573" s="447">
        <v>255703</v>
      </c>
    </row>
    <row r="1574" spans="1:8" ht="13.2">
      <c r="A1574" s="454" t="s">
        <v>1621</v>
      </c>
      <c r="B1574" s="452" t="str">
        <f>VLOOKUP(A1574,'Thống kê'!$C$3:$D$669,2,0)</f>
        <v>Mô hình mèo 2</v>
      </c>
      <c r="C1574" s="436" t="str">
        <f>VLOOKUP(A1574,'Thống kê'!$C$3:$E$682,3,0)</f>
        <v>cái</v>
      </c>
      <c r="D1574" s="437">
        <f>VLOOKUP(A1574,'Thống kê'!$C$3:$M$682,4,0)</f>
        <v>37800</v>
      </c>
      <c r="E1574" s="438">
        <v>2</v>
      </c>
      <c r="F1574" s="439">
        <f t="shared" si="6"/>
        <v>75600</v>
      </c>
      <c r="G1574" s="440"/>
      <c r="H1574" s="446"/>
    </row>
    <row r="1575" spans="1:8" ht="13.2">
      <c r="A1575" s="454" t="s">
        <v>1636</v>
      </c>
      <c r="B1575" s="452" t="str">
        <f>VLOOKUP(A1575,'Thống kê'!$C$3:$D$669,2,0)</f>
        <v>Mô hình mèo 3</v>
      </c>
      <c r="C1575" s="436" t="str">
        <f>VLOOKUP(A1575,'Thống kê'!$C$3:$E$682,3,0)</f>
        <v>cái</v>
      </c>
      <c r="D1575" s="437">
        <f>VLOOKUP(A1575,'Thống kê'!$C$3:$M$682,4,0)</f>
        <v>37800</v>
      </c>
      <c r="E1575" s="438">
        <v>2</v>
      </c>
      <c r="F1575" s="439">
        <f t="shared" si="6"/>
        <v>75600</v>
      </c>
      <c r="G1575" s="440"/>
      <c r="H1575" s="446"/>
    </row>
    <row r="1576" spans="1:8" ht="13.2">
      <c r="A1576" s="454" t="s">
        <v>1635</v>
      </c>
      <c r="B1576" s="452" t="str">
        <f>VLOOKUP(A1576,'Thống kê'!$C$3:$D$669,2,0)</f>
        <v>Mô hình mèo 4</v>
      </c>
      <c r="C1576" s="436" t="str">
        <f>VLOOKUP(A1576,'Thống kê'!$C$3:$E$682,3,0)</f>
        <v>cái</v>
      </c>
      <c r="D1576" s="437">
        <f>VLOOKUP(A1576,'Thống kê'!$C$3:$M$682,4,0)</f>
        <v>37800</v>
      </c>
      <c r="E1576" s="438">
        <v>1</v>
      </c>
      <c r="F1576" s="439">
        <f t="shared" si="6"/>
        <v>37800</v>
      </c>
      <c r="G1576" s="440"/>
      <c r="H1576" s="446"/>
    </row>
    <row r="1577" spans="1:8" ht="13.2">
      <c r="A1577" s="454" t="s">
        <v>1623</v>
      </c>
      <c r="B1577" s="452" t="str">
        <f>VLOOKUP(A1577,'Thống kê'!$C$3:$D$669,2,0)</f>
        <v>Mô hình mèo 5</v>
      </c>
      <c r="C1577" s="436" t="str">
        <f>VLOOKUP(A1577,'Thống kê'!$C$3:$E$682,3,0)</f>
        <v>cái</v>
      </c>
      <c r="D1577" s="437">
        <f>VLOOKUP(A1577,'Thống kê'!$C$3:$M$682,4,0)</f>
        <v>37800</v>
      </c>
      <c r="E1577" s="438">
        <v>2</v>
      </c>
      <c r="F1577" s="439">
        <f t="shared" si="6"/>
        <v>75600</v>
      </c>
      <c r="G1577" s="440"/>
      <c r="H1577" s="446"/>
    </row>
    <row r="1578" spans="1:8" ht="13.2">
      <c r="A1578" s="454" t="s">
        <v>150</v>
      </c>
      <c r="B1578" s="452" t="str">
        <f>VLOOKUP(A1578,'Thống kê'!$C$3:$D$669,2,0)</f>
        <v>Móc khóa có chuông</v>
      </c>
      <c r="C1578" s="436" t="str">
        <f>VLOOKUP(A1578,'Thống kê'!$C$3:$E$682,3,0)</f>
        <v>cái</v>
      </c>
      <c r="D1578" s="437">
        <f>VLOOKUP(A1578,'Thống kê'!$C$3:$M$682,4,0)</f>
        <v>59000</v>
      </c>
      <c r="E1578" s="438">
        <v>1</v>
      </c>
      <c r="F1578" s="439">
        <f t="shared" si="6"/>
        <v>59000</v>
      </c>
      <c r="G1578" s="440"/>
      <c r="H1578" s="447">
        <v>54171</v>
      </c>
    </row>
    <row r="1579" spans="1:8" ht="13.2">
      <c r="A1579" s="454" t="s">
        <v>1606</v>
      </c>
      <c r="B1579" s="452" t="str">
        <f>VLOOKUP(A1579,'Thống kê'!$C$3:$D$669,2,0)</f>
        <v>Kẹp Snack hình khoai tay gọt</v>
      </c>
      <c r="C1579" s="436" t="str">
        <f>VLOOKUP(A1579,'Thống kê'!$C$3:$E$682,3,0)</f>
        <v>cái</v>
      </c>
      <c r="D1579" s="437">
        <f>VLOOKUP(A1579,'Thống kê'!$C$3:$M$682,4,0)</f>
        <v>12000</v>
      </c>
      <c r="E1579" s="438">
        <v>1</v>
      </c>
      <c r="F1579" s="439">
        <f t="shared" si="6"/>
        <v>12000</v>
      </c>
      <c r="G1579" s="440"/>
      <c r="H1579" s="446"/>
    </row>
    <row r="1580" spans="1:8" ht="13.2">
      <c r="A1580" s="454" t="s">
        <v>1612</v>
      </c>
      <c r="B1580" s="452" t="str">
        <f>VLOOKUP(A1580,'Thống kê'!$C$3:$D$669,2,0)</f>
        <v>Kẹp tóc bướm trắng</v>
      </c>
      <c r="C1580" s="436" t="str">
        <f>VLOOKUP(A1580,'Thống kê'!$C$3:$E$682,3,0)</f>
        <v>cái</v>
      </c>
      <c r="D1580" s="437">
        <f>VLOOKUP(A1580,'Thống kê'!$C$3:$M$682,4,0)</f>
        <v>40000</v>
      </c>
      <c r="E1580" s="438">
        <v>1</v>
      </c>
      <c r="F1580" s="439">
        <f t="shared" si="6"/>
        <v>40000</v>
      </c>
      <c r="G1580" s="440"/>
      <c r="H1580" s="447">
        <v>58291</v>
      </c>
    </row>
    <row r="1581" spans="1:8" ht="13.2">
      <c r="A1581" s="454" t="s">
        <v>1618</v>
      </c>
      <c r="B1581" s="452" t="str">
        <f>VLOOKUP(A1581,'Thống kê'!$C$3:$D$669,2,0)</f>
        <v>Kẹp tóc bướm hồng trắng</v>
      </c>
      <c r="C1581" s="436" t="str">
        <f>VLOOKUP(A1581,'Thống kê'!$C$3:$E$682,3,0)</f>
        <v>cái</v>
      </c>
      <c r="D1581" s="437">
        <f>VLOOKUP(A1581,'Thống kê'!$C$3:$M$682,4,0)</f>
        <v>52000</v>
      </c>
      <c r="E1581" s="438">
        <v>1</v>
      </c>
      <c r="F1581" s="439">
        <f t="shared" si="6"/>
        <v>52000</v>
      </c>
      <c r="G1581" s="440"/>
      <c r="H1581" s="446"/>
    </row>
    <row r="1582" spans="1:8" ht="13.2">
      <c r="A1582" s="454" t="s">
        <v>1936</v>
      </c>
      <c r="B1582" s="452" t="str">
        <f>VLOOKUP(A1582,'Thống kê'!$C$3:$D$669,2,0)</f>
        <v>Kẹp tóc hoa sứ vàng</v>
      </c>
      <c r="C1582" s="436" t="str">
        <f>VLOOKUP(A1582,'Thống kê'!$C$3:$E$682,3,0)</f>
        <v>cái</v>
      </c>
      <c r="D1582" s="437">
        <f>VLOOKUP(A1582,'Thống kê'!$C$3:$M$682,4,0)</f>
        <v>18500</v>
      </c>
      <c r="E1582" s="438">
        <v>1</v>
      </c>
      <c r="F1582" s="439">
        <f t="shared" si="6"/>
        <v>18500</v>
      </c>
      <c r="G1582" s="440"/>
      <c r="H1582" s="446"/>
    </row>
    <row r="1583" spans="1:8" ht="13.2">
      <c r="A1583" s="454" t="s">
        <v>2006</v>
      </c>
      <c r="B1583" s="452" t="str">
        <f>VLOOKUP(A1583,'Thống kê'!$C$3:$D$669,2,0)</f>
        <v>Mô hình Popbean 11</v>
      </c>
      <c r="C1583" s="436" t="str">
        <f>VLOOKUP(A1583,'Thống kê'!$C$3:$E$682,3,0)</f>
        <v>cái</v>
      </c>
      <c r="D1583" s="437">
        <f>VLOOKUP(A1583,'Thống kê'!$C$3:$M$682,4,0)</f>
        <v>89000</v>
      </c>
      <c r="E1583" s="438">
        <v>1</v>
      </c>
      <c r="F1583" s="439">
        <f t="shared" si="6"/>
        <v>89000</v>
      </c>
      <c r="G1583" s="440"/>
      <c r="H1583" s="447">
        <v>146721</v>
      </c>
    </row>
    <row r="1584" spans="1:8" ht="13.2">
      <c r="A1584" s="454" t="s">
        <v>2007</v>
      </c>
      <c r="B1584" s="452" t="str">
        <f>VLOOKUP(A1584,'Thống kê'!$C$3:$D$669,2,0)</f>
        <v>Mô hình Popbean 10</v>
      </c>
      <c r="C1584" s="436" t="str">
        <f>VLOOKUP(A1584,'Thống kê'!$C$3:$E$682,3,0)</f>
        <v>cái</v>
      </c>
      <c r="D1584" s="437">
        <f>VLOOKUP(A1584,'Thống kê'!$C$3:$M$682,4,0)</f>
        <v>89000</v>
      </c>
      <c r="E1584" s="438">
        <v>1</v>
      </c>
      <c r="F1584" s="439">
        <f t="shared" si="6"/>
        <v>89000</v>
      </c>
      <c r="G1584" s="440"/>
      <c r="H1584" s="446"/>
    </row>
    <row r="1585" spans="1:8" ht="13.2">
      <c r="A1585" s="454" t="s">
        <v>1625</v>
      </c>
      <c r="B1585" s="452" t="str">
        <f>VLOOKUP(A1585,'Thống kê'!$C$3:$D$669,2,0)</f>
        <v>Móc khóa đôi 2 mèo trắng nâu</v>
      </c>
      <c r="C1585" s="436" t="str">
        <f>VLOOKUP(A1585,'Thống kê'!$C$3:$E$682,3,0)</f>
        <v>cái</v>
      </c>
      <c r="D1585" s="437">
        <f>VLOOKUP(A1585,'Thống kê'!$C$3:$M$682,4,0)</f>
        <v>59000</v>
      </c>
      <c r="E1585" s="438">
        <v>1</v>
      </c>
      <c r="F1585" s="439">
        <f t="shared" ref="F1585:F1839" si="7">D1585*E1585</f>
        <v>59000</v>
      </c>
      <c r="G1585" s="440"/>
      <c r="H1585" s="448">
        <v>46728</v>
      </c>
    </row>
    <row r="1586" spans="1:8" ht="13.2">
      <c r="A1586" s="454" t="s">
        <v>1625</v>
      </c>
      <c r="B1586" s="452" t="str">
        <f>VLOOKUP(A1586,'Thống kê'!$C$3:$D$669,2,0)</f>
        <v>Móc khóa đôi 2 mèo trắng nâu</v>
      </c>
      <c r="C1586" s="436" t="str">
        <f>VLOOKUP(A1586,'Thống kê'!$C$3:$E$682,3,0)</f>
        <v>cái</v>
      </c>
      <c r="D1586" s="437">
        <f>VLOOKUP(A1586,'Thống kê'!$C$3:$M$682,4,0)</f>
        <v>59000</v>
      </c>
      <c r="E1586" s="438">
        <v>1</v>
      </c>
      <c r="F1586" s="439">
        <f t="shared" si="7"/>
        <v>59000</v>
      </c>
      <c r="G1586" s="440"/>
      <c r="H1586" s="448">
        <v>46728</v>
      </c>
    </row>
    <row r="1587" spans="1:8" ht="13.2">
      <c r="A1587" s="454" t="s">
        <v>116</v>
      </c>
      <c r="B1587" s="452" t="str">
        <f>VLOOKUP(A1587,'Thống kê'!$C$3:$D$669,2,0)</f>
        <v>heo ú cầm hoa</v>
      </c>
      <c r="C1587" s="436" t="str">
        <f>VLOOKUP(A1587,'Thống kê'!$C$3:$E$682,3,0)</f>
        <v>cái</v>
      </c>
      <c r="D1587" s="437">
        <f>VLOOKUP(A1587,'Thống kê'!$C$3:$M$682,4,0)</f>
        <v>64500</v>
      </c>
      <c r="E1587" s="438">
        <v>1</v>
      </c>
      <c r="F1587" s="439">
        <f t="shared" si="7"/>
        <v>64500</v>
      </c>
      <c r="G1587" s="440"/>
      <c r="H1587" s="448">
        <v>57180</v>
      </c>
    </row>
    <row r="1588" spans="1:8" ht="13.2">
      <c r="A1588" s="454" t="s">
        <v>1621</v>
      </c>
      <c r="B1588" s="452" t="str">
        <f>VLOOKUP(A1588,'Thống kê'!$C$3:$D$669,2,0)</f>
        <v>Mô hình mèo 2</v>
      </c>
      <c r="C1588" s="436" t="str">
        <f>VLOOKUP(A1588,'Thống kê'!$C$3:$E$682,3,0)</f>
        <v>cái</v>
      </c>
      <c r="D1588" s="437">
        <f>VLOOKUP(A1588,'Thống kê'!$C$3:$M$682,4,0)</f>
        <v>37800</v>
      </c>
      <c r="E1588" s="438">
        <v>1</v>
      </c>
      <c r="F1588" s="439">
        <f t="shared" si="7"/>
        <v>37800</v>
      </c>
      <c r="G1588" s="440"/>
      <c r="H1588" s="447">
        <v>93209</v>
      </c>
    </row>
    <row r="1589" spans="1:8" ht="13.2">
      <c r="A1589" s="454" t="s">
        <v>1636</v>
      </c>
      <c r="B1589" s="452" t="str">
        <f>VLOOKUP(A1589,'Thống kê'!$C$3:$D$669,2,0)</f>
        <v>Mô hình mèo 3</v>
      </c>
      <c r="C1589" s="436" t="str">
        <f>VLOOKUP(A1589,'Thống kê'!$C$3:$E$682,3,0)</f>
        <v>cái</v>
      </c>
      <c r="D1589" s="437">
        <f>VLOOKUP(A1589,'Thống kê'!$C$3:$M$682,4,0)</f>
        <v>37800</v>
      </c>
      <c r="E1589" s="438">
        <v>1</v>
      </c>
      <c r="F1589" s="439">
        <f t="shared" si="7"/>
        <v>37800</v>
      </c>
      <c r="G1589" s="440"/>
      <c r="H1589" s="446"/>
    </row>
    <row r="1590" spans="1:8" ht="13.2">
      <c r="A1590" s="454" t="s">
        <v>1623</v>
      </c>
      <c r="B1590" s="452" t="str">
        <f>VLOOKUP(A1590,'Thống kê'!$C$3:$D$669,2,0)</f>
        <v>Mô hình mèo 5</v>
      </c>
      <c r="C1590" s="436" t="str">
        <f>VLOOKUP(A1590,'Thống kê'!$C$3:$E$682,3,0)</f>
        <v>cái</v>
      </c>
      <c r="D1590" s="437">
        <f>VLOOKUP(A1590,'Thống kê'!$C$3:$M$682,4,0)</f>
        <v>37800</v>
      </c>
      <c r="E1590" s="438">
        <v>1</v>
      </c>
      <c r="F1590" s="439">
        <f t="shared" si="7"/>
        <v>37800</v>
      </c>
      <c r="G1590" s="440"/>
      <c r="H1590" s="446"/>
    </row>
    <row r="1591" spans="1:8" ht="13.2">
      <c r="A1591" s="454" t="s">
        <v>1625</v>
      </c>
      <c r="B1591" s="452" t="str">
        <f>VLOOKUP(A1591,'Thống kê'!$C$3:$D$669,2,0)</f>
        <v>Móc khóa đôi 2 mèo trắng nâu</v>
      </c>
      <c r="C1591" s="436" t="str">
        <f>VLOOKUP(A1591,'Thống kê'!$C$3:$E$682,3,0)</f>
        <v>cái</v>
      </c>
      <c r="D1591" s="437">
        <f>VLOOKUP(A1591,'Thống kê'!$C$3:$M$682,4,0)</f>
        <v>59000</v>
      </c>
      <c r="E1591" s="438">
        <v>1</v>
      </c>
      <c r="F1591" s="439">
        <f t="shared" si="7"/>
        <v>59000</v>
      </c>
      <c r="G1591" s="440"/>
      <c r="H1591" s="448">
        <v>45420</v>
      </c>
    </row>
    <row r="1592" spans="1:8" ht="13.2">
      <c r="A1592" s="454" t="s">
        <v>1633</v>
      </c>
      <c r="B1592" s="452" t="str">
        <f>VLOOKUP(A1592,'Thống kê'!$C$3:$D$669,2,0)</f>
        <v>Móc khóa đôi gà rán bia</v>
      </c>
      <c r="C1592" s="436" t="str">
        <f>VLOOKUP(A1592,'Thống kê'!$C$3:$E$682,3,0)</f>
        <v>cái</v>
      </c>
      <c r="D1592" s="437">
        <f>VLOOKUP(A1592,'Thống kê'!$C$3:$M$682,4,0)</f>
        <v>56580</v>
      </c>
      <c r="E1592" s="438">
        <v>1</v>
      </c>
      <c r="F1592" s="439">
        <f t="shared" si="7"/>
        <v>56580</v>
      </c>
      <c r="G1592" s="440"/>
      <c r="H1592" s="448">
        <v>44811</v>
      </c>
    </row>
    <row r="1593" spans="1:8" ht="13.2">
      <c r="A1593" s="454" t="s">
        <v>2008</v>
      </c>
      <c r="B1593" s="452" t="str">
        <f>VLOOKUP(A1593,'Thống kê'!$C$3:$D$669,2,0)</f>
        <v>Mô hình Popbean 06</v>
      </c>
      <c r="C1593" s="436" t="str">
        <f>VLOOKUP(A1593,'Thống kê'!$C$3:$E$682,3,0)</f>
        <v>cái</v>
      </c>
      <c r="D1593" s="437">
        <f>VLOOKUP(A1593,'Thống kê'!$C$3:$M$682,4,0)</f>
        <v>89500</v>
      </c>
      <c r="E1593" s="438">
        <v>1</v>
      </c>
      <c r="F1593" s="439">
        <f t="shared" si="7"/>
        <v>89500</v>
      </c>
      <c r="G1593" s="440"/>
      <c r="H1593" s="447">
        <v>148069</v>
      </c>
    </row>
    <row r="1594" spans="1:8" ht="13.2">
      <c r="A1594" s="454" t="s">
        <v>2009</v>
      </c>
      <c r="B1594" s="452" t="str">
        <f>VLOOKUP(A1594,'Thống kê'!$C$3:$D$669,2,0)</f>
        <v>Mô hình Popbean 07</v>
      </c>
      <c r="C1594" s="436" t="str">
        <f>VLOOKUP(A1594,'Thống kê'!$C$3:$E$682,3,0)</f>
        <v>cái</v>
      </c>
      <c r="D1594" s="437">
        <f>VLOOKUP(A1594,'Thống kê'!$C$3:$M$682,4,0)</f>
        <v>89500</v>
      </c>
      <c r="E1594" s="438">
        <v>1</v>
      </c>
      <c r="F1594" s="439">
        <f t="shared" si="7"/>
        <v>89500</v>
      </c>
      <c r="G1594" s="440"/>
      <c r="H1594" s="446"/>
    </row>
    <row r="1595" spans="1:8" ht="13.2">
      <c r="A1595" s="454" t="s">
        <v>1854</v>
      </c>
      <c r="B1595" s="452" t="str">
        <f>VLOOKUP(A1595,'Thống kê'!$C$3:$D$669,2,0)</f>
        <v>Mèo vàng treo gương</v>
      </c>
      <c r="C1595" s="436" t="str">
        <f>VLOOKUP(A1595,'Thống kê'!$C$3:$E$682,3,0)</f>
        <v>cái</v>
      </c>
      <c r="D1595" s="437">
        <f>VLOOKUP(A1595,'Thống kê'!$C$3:$M$682,4,0)</f>
        <v>71500</v>
      </c>
      <c r="E1595" s="438">
        <v>1</v>
      </c>
      <c r="F1595" s="439">
        <f t="shared" si="7"/>
        <v>71500</v>
      </c>
      <c r="G1595" s="440"/>
      <c r="H1595" s="448">
        <v>50905</v>
      </c>
    </row>
    <row r="1596" spans="1:8" ht="13.2">
      <c r="A1596" s="454" t="s">
        <v>150</v>
      </c>
      <c r="B1596" s="452" t="str">
        <f>VLOOKUP(A1596,'Thống kê'!$C$3:$D$669,2,0)</f>
        <v>Móc khóa có chuông</v>
      </c>
      <c r="C1596" s="436" t="str">
        <f>VLOOKUP(A1596,'Thống kê'!$C$3:$E$682,3,0)</f>
        <v>cái</v>
      </c>
      <c r="D1596" s="437">
        <f>VLOOKUP(A1596,'Thống kê'!$C$3:$M$682,4,0)</f>
        <v>59000</v>
      </c>
      <c r="E1596" s="438">
        <v>1</v>
      </c>
      <c r="F1596" s="439">
        <f t="shared" si="7"/>
        <v>59000</v>
      </c>
      <c r="G1596" s="440"/>
      <c r="H1596" s="448">
        <v>46408</v>
      </c>
    </row>
    <row r="1597" spans="1:8" ht="13.2">
      <c r="A1597" s="454" t="s">
        <v>119</v>
      </c>
      <c r="B1597" s="452" t="str">
        <f>VLOOKUP(A1597,'Thống kê'!$C$3:$D$669,2,0)</f>
        <v>Thỏ chạy xe gắn xe</v>
      </c>
      <c r="C1597" s="436" t="str">
        <f>VLOOKUP(A1597,'Thống kê'!$C$3:$E$682,3,0)</f>
        <v>cái</v>
      </c>
      <c r="D1597" s="437">
        <f>VLOOKUP(A1597,'Thống kê'!$C$3:$M$682,4,0)</f>
        <v>45000</v>
      </c>
      <c r="E1597" s="438">
        <v>1</v>
      </c>
      <c r="F1597" s="439">
        <f t="shared" si="7"/>
        <v>45000</v>
      </c>
      <c r="G1597" s="440"/>
      <c r="H1597" s="447">
        <v>131208</v>
      </c>
    </row>
    <row r="1598" spans="1:8" ht="13.2">
      <c r="A1598" s="454" t="s">
        <v>1989</v>
      </c>
      <c r="B1598" s="452" t="str">
        <f>VLOOKUP(A1598,'Thống kê'!$C$3:$D$669,2,0)</f>
        <v>Móc khóa capybara 12 - ghitar điện</v>
      </c>
      <c r="C1598" s="436" t="str">
        <f>VLOOKUP(A1598,'Thống kê'!$C$3:$E$682,3,0)</f>
        <v>cái</v>
      </c>
      <c r="D1598" s="437">
        <f>VLOOKUP(A1598,'Thống kê'!$C$3:$M$682,4,0)</f>
        <v>58800</v>
      </c>
      <c r="E1598" s="438">
        <v>1</v>
      </c>
      <c r="F1598" s="439">
        <f t="shared" si="7"/>
        <v>58800</v>
      </c>
      <c r="G1598" s="440"/>
      <c r="H1598" s="446"/>
    </row>
    <row r="1599" spans="1:8" ht="13.2">
      <c r="A1599" s="454" t="s">
        <v>1975</v>
      </c>
      <c r="B1599" s="452" t="str">
        <f>VLOOKUP(A1599,'Thống kê'!$C$3:$D$669,2,0)</f>
        <v>Móc khóa capybara 16 - hồng thơm</v>
      </c>
      <c r="C1599" s="436" t="str">
        <f>VLOOKUP(A1599,'Thống kê'!$C$3:$E$682,3,0)</f>
        <v>cái</v>
      </c>
      <c r="D1599" s="437">
        <f>VLOOKUP(A1599,'Thống kê'!$C$3:$M$682,4,0)</f>
        <v>58800</v>
      </c>
      <c r="E1599" s="438">
        <v>1</v>
      </c>
      <c r="F1599" s="439">
        <f t="shared" si="7"/>
        <v>58800</v>
      </c>
      <c r="G1599" s="440"/>
      <c r="H1599" s="446"/>
    </row>
    <row r="1600" spans="1:8" ht="13.2">
      <c r="A1600" s="454" t="s">
        <v>325</v>
      </c>
      <c r="B1600" s="452" t="str">
        <f>VLOOKUP(A1600,'Thống kê'!$C$3:$D$669,2,0)</f>
        <v>Gấu ú</v>
      </c>
      <c r="C1600" s="436" t="str">
        <f>VLOOKUP(A1600,'Thống kê'!$C$3:$E$682,3,0)</f>
        <v>cái</v>
      </c>
      <c r="D1600" s="437">
        <f>VLOOKUP(A1600,'Thống kê'!$C$3:$M$682,4,0)</f>
        <v>59500</v>
      </c>
      <c r="E1600" s="438">
        <v>1</v>
      </c>
      <c r="F1600" s="439">
        <f t="shared" si="7"/>
        <v>59500</v>
      </c>
      <c r="G1600" s="440"/>
      <c r="H1600" s="447">
        <v>94600</v>
      </c>
    </row>
    <row r="1601" spans="1:8" ht="13.2">
      <c r="A1601" s="454" t="s">
        <v>150</v>
      </c>
      <c r="B1601" s="452" t="str">
        <f>VLOOKUP(A1601,'Thống kê'!$C$3:$D$669,2,0)</f>
        <v>Móc khóa có chuông</v>
      </c>
      <c r="C1601" s="436" t="str">
        <f>VLOOKUP(A1601,'Thống kê'!$C$3:$E$682,3,0)</f>
        <v>cái</v>
      </c>
      <c r="D1601" s="437">
        <f>VLOOKUP(A1601,'Thống kê'!$C$3:$M$682,4,0)</f>
        <v>59000</v>
      </c>
      <c r="E1601" s="438">
        <v>1</v>
      </c>
      <c r="F1601" s="439">
        <f t="shared" si="7"/>
        <v>59000</v>
      </c>
      <c r="G1601" s="440"/>
      <c r="H1601" s="446"/>
    </row>
    <row r="1602" spans="1:8" ht="13.2">
      <c r="A1602" s="454" t="s">
        <v>227</v>
      </c>
      <c r="B1602" s="452" t="str">
        <f>VLOOKUP(A1602,'Thống kê'!$C$3:$D$669,2,0)</f>
        <v>Móc khóa đôi corgy</v>
      </c>
      <c r="C1602" s="436" t="str">
        <f>VLOOKUP(A1602,'Thống kê'!$C$3:$E$682,3,0)</f>
        <v>cái</v>
      </c>
      <c r="D1602" s="437">
        <f>VLOOKUP(A1602,'Thống kê'!$C$3:$M$682,4,0)</f>
        <v>56580</v>
      </c>
      <c r="E1602" s="438">
        <v>1</v>
      </c>
      <c r="F1602" s="439">
        <f t="shared" si="7"/>
        <v>56580</v>
      </c>
      <c r="G1602" s="440"/>
      <c r="H1602" s="448">
        <v>44651</v>
      </c>
    </row>
    <row r="1603" spans="1:8" ht="13.2">
      <c r="A1603" s="454" t="s">
        <v>1625</v>
      </c>
      <c r="B1603" s="452" t="str">
        <f>VLOOKUP(A1603,'Thống kê'!$C$3:$D$669,2,0)</f>
        <v>Móc khóa đôi 2 mèo trắng nâu</v>
      </c>
      <c r="C1603" s="436" t="str">
        <f>VLOOKUP(A1603,'Thống kê'!$C$3:$E$682,3,0)</f>
        <v>cái</v>
      </c>
      <c r="D1603" s="437">
        <f>VLOOKUP(A1603,'Thống kê'!$C$3:$M$682,4,0)</f>
        <v>59000</v>
      </c>
      <c r="E1603" s="438">
        <v>1</v>
      </c>
      <c r="F1603" s="439">
        <f t="shared" si="7"/>
        <v>59000</v>
      </c>
      <c r="G1603" s="440"/>
      <c r="H1603" s="448">
        <v>46408</v>
      </c>
    </row>
    <row r="1604" spans="1:8" ht="13.2">
      <c r="A1604" s="454" t="s">
        <v>1621</v>
      </c>
      <c r="B1604" s="452" t="str">
        <f>VLOOKUP(A1604,'Thống kê'!$C$3:$D$669,2,0)</f>
        <v>Mô hình mèo 2</v>
      </c>
      <c r="C1604" s="436" t="str">
        <f>VLOOKUP(A1604,'Thống kê'!$C$3:$E$682,3,0)</f>
        <v>cái</v>
      </c>
      <c r="D1604" s="437">
        <f>VLOOKUP(A1604,'Thống kê'!$C$3:$M$682,4,0)</f>
        <v>37800</v>
      </c>
      <c r="E1604" s="438">
        <v>1</v>
      </c>
      <c r="F1604" s="439">
        <f t="shared" si="7"/>
        <v>37800</v>
      </c>
      <c r="G1604" s="440"/>
      <c r="H1604" s="447">
        <v>93209</v>
      </c>
    </row>
    <row r="1605" spans="1:8" ht="13.2">
      <c r="A1605" s="454" t="s">
        <v>1636</v>
      </c>
      <c r="B1605" s="452" t="str">
        <f>VLOOKUP(A1605,'Thống kê'!$C$3:$D$669,2,0)</f>
        <v>Mô hình mèo 3</v>
      </c>
      <c r="C1605" s="436" t="str">
        <f>VLOOKUP(A1605,'Thống kê'!$C$3:$E$682,3,0)</f>
        <v>cái</v>
      </c>
      <c r="D1605" s="437">
        <f>VLOOKUP(A1605,'Thống kê'!$C$3:$M$682,4,0)</f>
        <v>37800</v>
      </c>
      <c r="E1605" s="438">
        <v>1</v>
      </c>
      <c r="F1605" s="439">
        <f t="shared" si="7"/>
        <v>37800</v>
      </c>
      <c r="G1605" s="440"/>
      <c r="H1605" s="446"/>
    </row>
    <row r="1606" spans="1:8" ht="13.2">
      <c r="A1606" s="454" t="s">
        <v>1623</v>
      </c>
      <c r="B1606" s="452" t="str">
        <f>VLOOKUP(A1606,'Thống kê'!$C$3:$D$669,2,0)</f>
        <v>Mô hình mèo 5</v>
      </c>
      <c r="C1606" s="436" t="str">
        <f>VLOOKUP(A1606,'Thống kê'!$C$3:$E$682,3,0)</f>
        <v>cái</v>
      </c>
      <c r="D1606" s="437">
        <f>VLOOKUP(A1606,'Thống kê'!$C$3:$M$682,4,0)</f>
        <v>37800</v>
      </c>
      <c r="E1606" s="438">
        <v>1</v>
      </c>
      <c r="F1606" s="439">
        <f t="shared" si="7"/>
        <v>37800</v>
      </c>
      <c r="G1606" s="440"/>
      <c r="H1606" s="446"/>
    </row>
    <row r="1607" spans="1:8" ht="13.2">
      <c r="A1607" s="454" t="s">
        <v>186</v>
      </c>
      <c r="B1607" s="452" t="str">
        <f>VLOOKUP(A1607,'Thống kê'!$C$3:$D$669,2,0)</f>
        <v>Thỏ ú bay</v>
      </c>
      <c r="C1607" s="436" t="str">
        <f>VLOOKUP(A1607,'Thống kê'!$C$3:$E$682,3,0)</f>
        <v>cái</v>
      </c>
      <c r="D1607" s="437">
        <f>VLOOKUP(A1607,'Thống kê'!$C$3:$M$682,4,0)</f>
        <v>64500</v>
      </c>
      <c r="E1607" s="438">
        <v>1</v>
      </c>
      <c r="F1607" s="439">
        <f t="shared" si="7"/>
        <v>64500</v>
      </c>
      <c r="G1607" s="440"/>
      <c r="H1607" s="448">
        <v>48368</v>
      </c>
    </row>
    <row r="1608" spans="1:8" ht="13.2">
      <c r="A1608" s="454" t="s">
        <v>1594</v>
      </c>
      <c r="B1608" s="452" t="str">
        <f>VLOOKUP(A1608,'Thống kê'!$C$3:$D$669,2,0)</f>
        <v>Móc khóa đôi heo</v>
      </c>
      <c r="C1608" s="436" t="str">
        <f>VLOOKUP(A1608,'Thống kê'!$C$3:$E$682,3,0)</f>
        <v>cái</v>
      </c>
      <c r="D1608" s="437">
        <f>VLOOKUP(A1608,'Thống kê'!$C$3:$M$682,4,0)</f>
        <v>56580</v>
      </c>
      <c r="E1608" s="438">
        <v>1</v>
      </c>
      <c r="F1608" s="439">
        <f t="shared" si="7"/>
        <v>56580</v>
      </c>
      <c r="G1608" s="440"/>
      <c r="H1608" s="448">
        <v>44651</v>
      </c>
    </row>
    <row r="1609" spans="1:8" ht="13.2">
      <c r="A1609" s="454" t="s">
        <v>1594</v>
      </c>
      <c r="B1609" s="452" t="str">
        <f>VLOOKUP(A1609,'Thống kê'!$C$3:$D$669,2,0)</f>
        <v>Móc khóa đôi heo</v>
      </c>
      <c r="C1609" s="436" t="str">
        <f>VLOOKUP(A1609,'Thống kê'!$C$3:$E$682,3,0)</f>
        <v>cái</v>
      </c>
      <c r="D1609" s="437">
        <f>VLOOKUP(A1609,'Thống kê'!$C$3:$M$682,4,0)</f>
        <v>56580</v>
      </c>
      <c r="E1609" s="438">
        <v>1</v>
      </c>
      <c r="F1609" s="439">
        <f t="shared" si="7"/>
        <v>56580</v>
      </c>
      <c r="G1609" s="440"/>
      <c r="H1609" s="448">
        <v>44291</v>
      </c>
    </row>
    <row r="1610" spans="1:8" ht="13.2">
      <c r="A1610" s="454" t="s">
        <v>119</v>
      </c>
      <c r="B1610" s="452" t="str">
        <f>VLOOKUP(A1610,'Thống kê'!$C$3:$D$669,2,0)</f>
        <v>Thỏ chạy xe gắn xe</v>
      </c>
      <c r="C1610" s="436" t="str">
        <f>VLOOKUP(A1610,'Thống kê'!$C$3:$E$682,3,0)</f>
        <v>cái</v>
      </c>
      <c r="D1610" s="437">
        <f>VLOOKUP(A1610,'Thống kê'!$C$3:$M$682,4,0)</f>
        <v>45000</v>
      </c>
      <c r="E1610" s="438">
        <v>1</v>
      </c>
      <c r="F1610" s="439">
        <f t="shared" si="7"/>
        <v>45000</v>
      </c>
      <c r="G1610" s="440"/>
      <c r="H1610" s="448">
        <v>36200</v>
      </c>
    </row>
    <row r="1611" spans="1:8" ht="13.2">
      <c r="A1611" s="454" t="s">
        <v>150</v>
      </c>
      <c r="B1611" s="452" t="str">
        <f>VLOOKUP(A1611,'Thống kê'!$C$3:$D$669,2,0)</f>
        <v>Móc khóa có chuông</v>
      </c>
      <c r="C1611" s="436" t="str">
        <f>VLOOKUP(A1611,'Thống kê'!$C$3:$E$682,3,0)</f>
        <v>cái</v>
      </c>
      <c r="D1611" s="437">
        <f>VLOOKUP(A1611,'Thống kê'!$C$3:$M$682,4,0)</f>
        <v>59000</v>
      </c>
      <c r="E1611" s="438">
        <v>1</v>
      </c>
      <c r="F1611" s="439">
        <f t="shared" si="7"/>
        <v>59000</v>
      </c>
      <c r="G1611" s="440"/>
      <c r="H1611" s="448">
        <v>46408</v>
      </c>
    </row>
    <row r="1612" spans="1:8" ht="13.2">
      <c r="A1612" s="454" t="s">
        <v>325</v>
      </c>
      <c r="B1612" s="452" t="str">
        <f>VLOOKUP(A1612,'Thống kê'!$C$3:$D$669,2,0)</f>
        <v>Gấu ú</v>
      </c>
      <c r="C1612" s="436" t="str">
        <f>VLOOKUP(A1612,'Thống kê'!$C$3:$E$682,3,0)</f>
        <v>cái</v>
      </c>
      <c r="D1612" s="437">
        <f>VLOOKUP(A1612,'Thống kê'!$C$3:$M$682,4,0)</f>
        <v>59500</v>
      </c>
      <c r="E1612" s="438">
        <v>1</v>
      </c>
      <c r="F1612" s="439">
        <f t="shared" si="7"/>
        <v>59500</v>
      </c>
      <c r="G1612" s="440"/>
      <c r="H1612" s="447">
        <v>106424</v>
      </c>
    </row>
    <row r="1613" spans="1:8" ht="13.2">
      <c r="A1613" s="454" t="s">
        <v>1626</v>
      </c>
      <c r="B1613" s="452" t="str">
        <f>VLOOKUP(A1613,'Thống kê'!$C$3:$D$669,2,0)</f>
        <v>Móc khóa capybara</v>
      </c>
      <c r="C1613" s="436" t="str">
        <f>VLOOKUP(A1613,'Thống kê'!$C$3:$E$682,3,0)</f>
        <v>cái</v>
      </c>
      <c r="D1613" s="437">
        <f>VLOOKUP(A1613,'Thống kê'!$C$3:$M$682,4,0)</f>
        <v>58800</v>
      </c>
      <c r="E1613" s="438">
        <v>1</v>
      </c>
      <c r="F1613" s="439">
        <f t="shared" si="7"/>
        <v>58800</v>
      </c>
      <c r="G1613" s="440"/>
      <c r="H1613" s="446"/>
    </row>
    <row r="1614" spans="1:8" ht="13.2">
      <c r="A1614" s="454" t="s">
        <v>1791</v>
      </c>
      <c r="B1614" s="452" t="str">
        <f>VLOOKUP(A1614,'Thống kê'!$C$3:$D$669,2,0)</f>
        <v>Kẹp tóc kim loại ngôi sao</v>
      </c>
      <c r="C1614" s="436" t="str">
        <f>VLOOKUP(A1614,'Thống kê'!$C$3:$E$682,3,0)</f>
        <v>cái</v>
      </c>
      <c r="D1614" s="437">
        <f>VLOOKUP(A1614,'Thống kê'!$C$3:$M$682,4,0)</f>
        <v>14000</v>
      </c>
      <c r="E1614" s="438">
        <v>1</v>
      </c>
      <c r="F1614" s="439">
        <f t="shared" si="7"/>
        <v>14000</v>
      </c>
      <c r="G1614" s="440"/>
      <c r="H1614" s="446"/>
    </row>
    <row r="1615" spans="1:8" ht="13.2">
      <c r="A1615" s="454" t="s">
        <v>1650</v>
      </c>
      <c r="B1615" s="452" t="str">
        <f>VLOOKUP(A1615,'Thống kê'!$C$3:$D$669,2,0)</f>
        <v>Túi chườm bụng dâu (xanh) 1000ml</v>
      </c>
      <c r="C1615" s="436" t="str">
        <f>VLOOKUP(A1615,'Thống kê'!$C$3:$E$682,3,0)</f>
        <v>túi</v>
      </c>
      <c r="D1615" s="437">
        <f>VLOOKUP(A1615,'Thống kê'!$C$3:$M$682,4,0)</f>
        <v>101150</v>
      </c>
      <c r="E1615" s="438">
        <v>1</v>
      </c>
      <c r="F1615" s="439">
        <f t="shared" si="7"/>
        <v>101150</v>
      </c>
      <c r="G1615" s="440"/>
      <c r="H1615" s="448">
        <v>72804</v>
      </c>
    </row>
    <row r="1616" spans="1:8" ht="13.2">
      <c r="A1616" s="454" t="s">
        <v>2010</v>
      </c>
      <c r="B1616" s="452" t="str">
        <f>VLOOKUP(A1616,'Thống kê'!$C$3:$D$669,2,0)</f>
        <v>Kẹp khuếch tán tinh dầu bat man</v>
      </c>
      <c r="C1616" s="436" t="str">
        <f>VLOOKUP(A1616,'Thống kê'!$C$3:$E$682,3,0)</f>
        <v>cái</v>
      </c>
      <c r="D1616" s="437">
        <f>VLOOKUP(A1616,'Thống kê'!$C$3:$M$682,4,0)</f>
        <v>204700</v>
      </c>
      <c r="E1616" s="438">
        <v>1</v>
      </c>
      <c r="F1616" s="439">
        <f t="shared" si="7"/>
        <v>204700</v>
      </c>
      <c r="G1616" s="440"/>
      <c r="H1616" s="448">
        <v>132880</v>
      </c>
    </row>
    <row r="1617" spans="1:8" ht="13.2">
      <c r="A1617" s="454" t="s">
        <v>1716</v>
      </c>
      <c r="B1617" s="452" t="str">
        <f>VLOOKUP(A1617,'Thống kê'!$C$3:$D$669,2,0)</f>
        <v>Móc khóa đôi 2 quả lê có nam châm</v>
      </c>
      <c r="C1617" s="436" t="str">
        <f>VLOOKUP(A1617,'Thống kê'!$C$3:$E$682,3,0)</f>
        <v>cái</v>
      </c>
      <c r="D1617" s="437">
        <f>VLOOKUP(A1617,'Thống kê'!$C$3:$M$682,4,0)</f>
        <v>59000</v>
      </c>
      <c r="E1617" s="438">
        <v>1</v>
      </c>
      <c r="F1617" s="439">
        <f t="shared" si="7"/>
        <v>59000</v>
      </c>
      <c r="G1617" s="440"/>
      <c r="H1617" s="448">
        <v>46008</v>
      </c>
    </row>
    <row r="1618" spans="1:8" ht="13.2">
      <c r="A1618" s="454" t="s">
        <v>115</v>
      </c>
      <c r="B1618" s="452" t="str">
        <f>VLOOKUP(A1618,'Thống kê'!$C$3:$D$669,2,0)</f>
        <v>Heo ú</v>
      </c>
      <c r="C1618" s="436" t="str">
        <f>VLOOKUP(A1618,'Thống kê'!$C$3:$E$682,3,0)</f>
        <v>cái</v>
      </c>
      <c r="D1618" s="437">
        <f>VLOOKUP(A1618,'Thống kê'!$C$3:$M$682,4,0)</f>
        <v>59500</v>
      </c>
      <c r="E1618" s="438">
        <v>1</v>
      </c>
      <c r="F1618" s="439">
        <f t="shared" si="7"/>
        <v>59500</v>
      </c>
      <c r="G1618" s="440"/>
      <c r="H1618" s="448">
        <v>45432</v>
      </c>
    </row>
    <row r="1619" spans="1:8" ht="13.2">
      <c r="A1619" s="454" t="s">
        <v>1594</v>
      </c>
      <c r="B1619" s="452" t="str">
        <f>VLOOKUP(A1619,'Thống kê'!$C$3:$D$669,2,0)</f>
        <v>Móc khóa đôi heo</v>
      </c>
      <c r="C1619" s="436" t="str">
        <f>VLOOKUP(A1619,'Thống kê'!$C$3:$E$682,3,0)</f>
        <v>cái</v>
      </c>
      <c r="D1619" s="437">
        <f>VLOOKUP(A1619,'Thống kê'!$C$3:$M$682,4,0)</f>
        <v>56580</v>
      </c>
      <c r="E1619" s="438">
        <v>1</v>
      </c>
      <c r="F1619" s="439">
        <f t="shared" si="7"/>
        <v>56580</v>
      </c>
      <c r="G1619" s="440"/>
      <c r="H1619" s="448">
        <v>44751</v>
      </c>
    </row>
    <row r="1620" spans="1:8" ht="13.2">
      <c r="A1620" s="454" t="s">
        <v>1590</v>
      </c>
      <c r="B1620" s="452" t="str">
        <f>VLOOKUP(A1620,'Thống kê'!$C$3:$D$669,2,0)</f>
        <v>Cún ú hoa</v>
      </c>
      <c r="C1620" s="436" t="str">
        <f>VLOOKUP(A1620,'Thống kê'!$C$3:$E$682,3,0)</f>
        <v>cái</v>
      </c>
      <c r="D1620" s="437">
        <f>VLOOKUP(A1620,'Thống kê'!$C$3:$M$682,4,0)</f>
        <v>64500</v>
      </c>
      <c r="E1620" s="438">
        <v>1</v>
      </c>
      <c r="F1620" s="439">
        <f t="shared" si="7"/>
        <v>64500</v>
      </c>
      <c r="G1620" s="440"/>
      <c r="H1620" s="448">
        <v>49260</v>
      </c>
    </row>
    <row r="1621" spans="1:8" ht="13.2">
      <c r="A1621" s="454" t="s">
        <v>1633</v>
      </c>
      <c r="B1621" s="452" t="str">
        <f>VLOOKUP(A1621,'Thống kê'!$C$3:$D$669,2,0)</f>
        <v>Móc khóa đôi gà rán bia</v>
      </c>
      <c r="C1621" s="436" t="str">
        <f>VLOOKUP(A1621,'Thống kê'!$C$3:$E$682,3,0)</f>
        <v>cái</v>
      </c>
      <c r="D1621" s="437">
        <f>VLOOKUP(A1621,'Thống kê'!$C$3:$M$682,4,0)</f>
        <v>56580</v>
      </c>
      <c r="E1621" s="438">
        <v>1</v>
      </c>
      <c r="F1621" s="439">
        <f t="shared" si="7"/>
        <v>56580</v>
      </c>
      <c r="G1621" s="440"/>
      <c r="H1621" s="447">
        <v>90721</v>
      </c>
    </row>
    <row r="1622" spans="1:8" ht="13.2">
      <c r="A1622" s="454" t="s">
        <v>227</v>
      </c>
      <c r="B1622" s="452" t="str">
        <f>VLOOKUP(A1622,'Thống kê'!$C$3:$D$669,2,0)</f>
        <v>Móc khóa đôi corgy</v>
      </c>
      <c r="C1622" s="436" t="str">
        <f>VLOOKUP(A1622,'Thống kê'!$C$3:$E$682,3,0)</f>
        <v>cái</v>
      </c>
      <c r="D1622" s="437">
        <f>VLOOKUP(A1622,'Thống kê'!$C$3:$M$682,4,0)</f>
        <v>56580</v>
      </c>
      <c r="E1622" s="438">
        <v>1</v>
      </c>
      <c r="F1622" s="439">
        <f t="shared" si="7"/>
        <v>56580</v>
      </c>
      <c r="G1622" s="440"/>
      <c r="H1622" s="446"/>
    </row>
    <row r="1623" spans="1:8" ht="13.2">
      <c r="A1623" s="454" t="s">
        <v>1625</v>
      </c>
      <c r="B1623" s="452" t="str">
        <f>VLOOKUP(A1623,'Thống kê'!$C$3:$D$669,2,0)</f>
        <v>Móc khóa đôi 2 mèo trắng nâu</v>
      </c>
      <c r="C1623" s="436" t="str">
        <f>VLOOKUP(A1623,'Thống kê'!$C$3:$E$682,3,0)</f>
        <v>cái</v>
      </c>
      <c r="D1623" s="437">
        <f>VLOOKUP(A1623,'Thống kê'!$C$3:$M$682,4,0)</f>
        <v>59000</v>
      </c>
      <c r="E1623" s="438">
        <v>1</v>
      </c>
      <c r="F1623" s="439">
        <f t="shared" si="7"/>
        <v>59000</v>
      </c>
      <c r="G1623" s="440"/>
      <c r="H1623" s="448">
        <v>46568</v>
      </c>
    </row>
    <row r="1624" spans="1:8" ht="13.2">
      <c r="A1624" s="454" t="s">
        <v>115</v>
      </c>
      <c r="B1624" s="452" t="str">
        <f>VLOOKUP(A1624,'Thống kê'!$C$3:$D$669,2,0)</f>
        <v>Heo ú</v>
      </c>
      <c r="C1624" s="436" t="str">
        <f>VLOOKUP(A1624,'Thống kê'!$C$3:$E$682,3,0)</f>
        <v>cái</v>
      </c>
      <c r="D1624" s="437">
        <f>VLOOKUP(A1624,'Thống kê'!$C$3:$M$682,4,0)</f>
        <v>59500</v>
      </c>
      <c r="E1624" s="438">
        <v>2</v>
      </c>
      <c r="F1624" s="439">
        <f t="shared" si="7"/>
        <v>119000</v>
      </c>
      <c r="G1624" s="440"/>
      <c r="H1624" s="448">
        <v>93460</v>
      </c>
    </row>
    <row r="1625" spans="1:8" ht="13.2">
      <c r="A1625" s="454" t="s">
        <v>1594</v>
      </c>
      <c r="B1625" s="452" t="str">
        <f>VLOOKUP(A1625,'Thống kê'!$C$3:$D$669,2,0)</f>
        <v>Móc khóa đôi heo</v>
      </c>
      <c r="C1625" s="436" t="str">
        <f>VLOOKUP(A1625,'Thống kê'!$C$3:$E$682,3,0)</f>
        <v>cái</v>
      </c>
      <c r="D1625" s="437">
        <f>VLOOKUP(A1625,'Thống kê'!$C$3:$M$682,4,0)</f>
        <v>56580</v>
      </c>
      <c r="E1625" s="438">
        <v>1</v>
      </c>
      <c r="F1625" s="439">
        <f t="shared" si="7"/>
        <v>56580</v>
      </c>
      <c r="G1625" s="440"/>
      <c r="H1625" s="448">
        <v>44511</v>
      </c>
    </row>
    <row r="1626" spans="1:8" ht="13.2">
      <c r="A1626" s="454" t="s">
        <v>119</v>
      </c>
      <c r="B1626" s="452" t="str">
        <f>VLOOKUP(A1626,'Thống kê'!$C$3:$D$669,2,0)</f>
        <v>Thỏ chạy xe gắn xe</v>
      </c>
      <c r="C1626" s="436" t="str">
        <f>VLOOKUP(A1626,'Thống kê'!$C$3:$E$682,3,0)</f>
        <v>cái</v>
      </c>
      <c r="D1626" s="437">
        <f>VLOOKUP(A1626,'Thống kê'!$C$3:$M$682,4,0)</f>
        <v>45000</v>
      </c>
      <c r="E1626" s="438">
        <v>1</v>
      </c>
      <c r="F1626" s="439">
        <f t="shared" si="7"/>
        <v>45000</v>
      </c>
      <c r="G1626" s="440"/>
      <c r="H1626" s="448">
        <v>30000</v>
      </c>
    </row>
    <row r="1627" spans="1:8" ht="13.2">
      <c r="A1627" s="454" t="s">
        <v>1591</v>
      </c>
      <c r="B1627" s="452" t="str">
        <f>VLOOKUP(A1627,'Thống kê'!$C$3:$D$669,2,0)</f>
        <v>Thỏ ú</v>
      </c>
      <c r="C1627" s="436" t="str">
        <f>VLOOKUP(A1627,'Thống kê'!$C$3:$E$682,3,0)</f>
        <v>cái</v>
      </c>
      <c r="D1627" s="437">
        <f>VLOOKUP(A1627,'Thống kê'!$C$3:$M$682,4,0)</f>
        <v>59500</v>
      </c>
      <c r="E1627" s="438">
        <v>1</v>
      </c>
      <c r="F1627" s="439">
        <f t="shared" si="7"/>
        <v>59500</v>
      </c>
      <c r="G1627" s="440"/>
      <c r="H1627" s="447">
        <v>93500</v>
      </c>
    </row>
    <row r="1628" spans="1:8" ht="13.2">
      <c r="A1628" s="454" t="s">
        <v>325</v>
      </c>
      <c r="B1628" s="452" t="str">
        <f>VLOOKUP(A1628,'Thống kê'!$C$3:$D$669,2,0)</f>
        <v>Gấu ú</v>
      </c>
      <c r="C1628" s="436" t="str">
        <f>VLOOKUP(A1628,'Thống kê'!$C$3:$E$682,3,0)</f>
        <v>cái</v>
      </c>
      <c r="D1628" s="437">
        <f>VLOOKUP(A1628,'Thống kê'!$C$3:$M$682,4,0)</f>
        <v>59500</v>
      </c>
      <c r="E1628" s="438">
        <v>1</v>
      </c>
      <c r="F1628" s="439">
        <f t="shared" si="7"/>
        <v>59500</v>
      </c>
      <c r="G1628" s="440"/>
      <c r="H1628" s="446"/>
    </row>
    <row r="1629" spans="1:8" ht="13.2">
      <c r="A1629" s="454" t="s">
        <v>2006</v>
      </c>
      <c r="B1629" s="452" t="str">
        <f>VLOOKUP(A1629,'Thống kê'!$C$3:$D$669,2,0)</f>
        <v>Mô hình Popbean 11</v>
      </c>
      <c r="C1629" s="436" t="str">
        <f>VLOOKUP(A1629,'Thống kê'!$C$3:$E$682,3,0)</f>
        <v>cái</v>
      </c>
      <c r="D1629" s="437">
        <f>VLOOKUP(A1629,'Thống kê'!$C$3:$M$682,4,0)</f>
        <v>89000</v>
      </c>
      <c r="E1629" s="438">
        <v>1</v>
      </c>
      <c r="F1629" s="439">
        <f t="shared" si="7"/>
        <v>89000</v>
      </c>
      <c r="G1629" s="440"/>
      <c r="H1629" s="447">
        <v>147181</v>
      </c>
    </row>
    <row r="1630" spans="1:8" ht="13.2">
      <c r="A1630" s="454" t="s">
        <v>2007</v>
      </c>
      <c r="B1630" s="452" t="str">
        <f>VLOOKUP(A1630,'Thống kê'!$C$3:$D$669,2,0)</f>
        <v>Mô hình Popbean 10</v>
      </c>
      <c r="C1630" s="436" t="str">
        <f>VLOOKUP(A1630,'Thống kê'!$C$3:$E$682,3,0)</f>
        <v>cái</v>
      </c>
      <c r="D1630" s="437">
        <f>VLOOKUP(A1630,'Thống kê'!$C$3:$M$682,4,0)</f>
        <v>89000</v>
      </c>
      <c r="E1630" s="438">
        <v>1</v>
      </c>
      <c r="F1630" s="439">
        <f t="shared" si="7"/>
        <v>89000</v>
      </c>
      <c r="G1630" s="440"/>
      <c r="H1630" s="446"/>
    </row>
    <row r="1631" spans="1:8" ht="13.2">
      <c r="A1631" s="454" t="s">
        <v>1594</v>
      </c>
      <c r="B1631" s="452" t="str">
        <f>VLOOKUP(A1631,'Thống kê'!$C$3:$D$669,2,0)</f>
        <v>Móc khóa đôi heo</v>
      </c>
      <c r="C1631" s="436" t="str">
        <f>VLOOKUP(A1631,'Thống kê'!$C$3:$E$682,3,0)</f>
        <v>cái</v>
      </c>
      <c r="D1631" s="437">
        <f>VLOOKUP(A1631,'Thống kê'!$C$3:$M$682,4,0)</f>
        <v>56580</v>
      </c>
      <c r="E1631" s="438">
        <v>1</v>
      </c>
      <c r="F1631" s="439">
        <f t="shared" si="7"/>
        <v>56580</v>
      </c>
      <c r="G1631" s="440"/>
      <c r="H1631" s="448">
        <v>44491</v>
      </c>
    </row>
    <row r="1632" spans="1:8" ht="13.2">
      <c r="A1632" s="454" t="s">
        <v>115</v>
      </c>
      <c r="B1632" s="452" t="str">
        <f>VLOOKUP(A1632,'Thống kê'!$C$3:$D$669,2,0)</f>
        <v>Heo ú</v>
      </c>
      <c r="C1632" s="436" t="str">
        <f>VLOOKUP(A1632,'Thống kê'!$C$3:$E$682,3,0)</f>
        <v>cái</v>
      </c>
      <c r="D1632" s="437">
        <f>VLOOKUP(A1632,'Thống kê'!$C$3:$M$682,4,0)</f>
        <v>59500</v>
      </c>
      <c r="E1632" s="438">
        <v>1</v>
      </c>
      <c r="F1632" s="439">
        <f t="shared" si="7"/>
        <v>59500</v>
      </c>
      <c r="G1632" s="440"/>
      <c r="H1632" s="448">
        <v>46272</v>
      </c>
    </row>
    <row r="1633" spans="1:8" ht="13.2">
      <c r="A1633" s="454" t="s">
        <v>189</v>
      </c>
      <c r="B1633" s="452" t="str">
        <f>VLOOKUP(A1633,'Thống kê'!$C$3:$D$669,2,0)</f>
        <v>Gấu nâu gắn xe</v>
      </c>
      <c r="C1633" s="436" t="str">
        <f>VLOOKUP(A1633,'Thống kê'!$C$3:$E$682,3,0)</f>
        <v>cái</v>
      </c>
      <c r="D1633" s="437">
        <f>VLOOKUP(A1633,'Thống kê'!$C$3:$M$682,4,0)</f>
        <v>45000</v>
      </c>
      <c r="E1633" s="438">
        <v>1</v>
      </c>
      <c r="F1633" s="439">
        <f t="shared" si="7"/>
        <v>45000</v>
      </c>
      <c r="G1633" s="440"/>
      <c r="H1633" s="448">
        <v>36280</v>
      </c>
    </row>
    <row r="1634" spans="1:8" ht="13.2">
      <c r="A1634" s="454" t="s">
        <v>1964</v>
      </c>
      <c r="B1634" s="452" t="str">
        <f>VLOOKUP(A1634,'Thống kê'!$C$3:$D$669,2,0)</f>
        <v>Túi chườm bụng gấu trúc 500ml</v>
      </c>
      <c r="C1634" s="436" t="str">
        <f>VLOOKUP(A1634,'Thống kê'!$C$3:$E$682,3,0)</f>
        <v>túi</v>
      </c>
      <c r="D1634" s="437">
        <f>VLOOKUP(A1634,'Thống kê'!$C$3:$M$682,4,0)</f>
        <v>81000</v>
      </c>
      <c r="E1634" s="438">
        <v>1</v>
      </c>
      <c r="F1634" s="439">
        <f t="shared" si="7"/>
        <v>81000</v>
      </c>
      <c r="G1634" s="440"/>
      <c r="H1634" s="448">
        <v>63832</v>
      </c>
    </row>
    <row r="1635" spans="1:8" ht="13.2">
      <c r="A1635" s="454" t="s">
        <v>115</v>
      </c>
      <c r="B1635" s="452" t="str">
        <f>VLOOKUP(A1635,'Thống kê'!$C$3:$D$669,2,0)</f>
        <v>Heo ú</v>
      </c>
      <c r="C1635" s="436" t="str">
        <f>VLOOKUP(A1635,'Thống kê'!$C$3:$E$682,3,0)</f>
        <v>cái</v>
      </c>
      <c r="D1635" s="437">
        <f>VLOOKUP(A1635,'Thống kê'!$C$3:$M$682,4,0)</f>
        <v>59500</v>
      </c>
      <c r="E1635" s="438">
        <v>1</v>
      </c>
      <c r="F1635" s="439">
        <f t="shared" si="7"/>
        <v>59500</v>
      </c>
      <c r="G1635" s="440"/>
      <c r="H1635" s="448">
        <v>46092</v>
      </c>
    </row>
    <row r="1636" spans="1:8" ht="13.2">
      <c r="A1636" s="454" t="s">
        <v>2010</v>
      </c>
      <c r="B1636" s="452" t="str">
        <f>VLOOKUP(A1636,'Thống kê'!$C$3:$D$669,2,0)</f>
        <v>Kẹp khuếch tán tinh dầu bat man</v>
      </c>
      <c r="C1636" s="436" t="str">
        <f>VLOOKUP(A1636,'Thống kê'!$C$3:$E$682,3,0)</f>
        <v>cái</v>
      </c>
      <c r="D1636" s="437">
        <f>VLOOKUP(A1636,'Thống kê'!$C$3:$M$682,4,0)</f>
        <v>204700</v>
      </c>
      <c r="E1636" s="438">
        <v>1</v>
      </c>
      <c r="F1636" s="439">
        <f t="shared" si="7"/>
        <v>204700</v>
      </c>
      <c r="G1636" s="440"/>
      <c r="H1636" s="448">
        <v>132880</v>
      </c>
    </row>
    <row r="1637" spans="1:8" ht="13.2">
      <c r="A1637" s="454" t="s">
        <v>1810</v>
      </c>
      <c r="B1637" s="452" t="str">
        <f>VLOOKUP(A1637,'Thống kê'!$C$3:$D$669,2,0)</f>
        <v>Hộp thuốc mây hồng</v>
      </c>
      <c r="C1637" s="436" t="str">
        <f>VLOOKUP(A1637,'Thống kê'!$C$3:$E$682,3,0)</f>
        <v>hộp</v>
      </c>
      <c r="D1637" s="437">
        <f>VLOOKUP(A1637,'Thống kê'!$C$3:$M$682,4,0)</f>
        <v>11000</v>
      </c>
      <c r="E1637" s="438">
        <v>1</v>
      </c>
      <c r="F1637" s="439">
        <f t="shared" si="7"/>
        <v>11000</v>
      </c>
      <c r="G1637" s="440"/>
      <c r="H1637" s="447">
        <v>55380</v>
      </c>
    </row>
    <row r="1638" spans="1:8" ht="13.2">
      <c r="A1638" s="454" t="s">
        <v>1625</v>
      </c>
      <c r="B1638" s="452" t="str">
        <f>VLOOKUP(A1638,'Thống kê'!$C$3:$D$669,2,0)</f>
        <v>Móc khóa đôi 2 mèo trắng nâu</v>
      </c>
      <c r="C1638" s="436" t="str">
        <f>VLOOKUP(A1638,'Thống kê'!$C$3:$E$682,3,0)</f>
        <v>cái</v>
      </c>
      <c r="D1638" s="437">
        <f>VLOOKUP(A1638,'Thống kê'!$C$3:$M$682,4,0)</f>
        <v>59000</v>
      </c>
      <c r="E1638" s="438">
        <v>1</v>
      </c>
      <c r="F1638" s="439">
        <f t="shared" si="7"/>
        <v>59000</v>
      </c>
      <c r="G1638" s="440"/>
      <c r="H1638" s="446"/>
    </row>
    <row r="1639" spans="1:8" ht="13.2">
      <c r="A1639" s="454" t="s">
        <v>1989</v>
      </c>
      <c r="B1639" s="452" t="str">
        <f>VLOOKUP(A1639,'Thống kê'!$C$3:$D$669,2,0)</f>
        <v>Móc khóa capybara 12 - ghitar điện</v>
      </c>
      <c r="C1639" s="436" t="str">
        <f>VLOOKUP(A1639,'Thống kê'!$C$3:$E$682,3,0)</f>
        <v>cái</v>
      </c>
      <c r="D1639" s="437">
        <f>VLOOKUP(A1639,'Thống kê'!$C$3:$M$682,4,0)</f>
        <v>58800</v>
      </c>
      <c r="E1639" s="438">
        <v>1</v>
      </c>
      <c r="F1639" s="439">
        <f t="shared" si="7"/>
        <v>58800</v>
      </c>
      <c r="G1639" s="440"/>
      <c r="H1639" s="448">
        <v>46229</v>
      </c>
    </row>
    <row r="1640" spans="1:8" ht="13.2">
      <c r="A1640" s="454" t="s">
        <v>150</v>
      </c>
      <c r="B1640" s="452" t="str">
        <f>VLOOKUP(A1640,'Thống kê'!$C$3:$D$669,2,0)</f>
        <v>Móc khóa có chuông</v>
      </c>
      <c r="C1640" s="436" t="str">
        <f>VLOOKUP(A1640,'Thống kê'!$C$3:$E$682,3,0)</f>
        <v>cái</v>
      </c>
      <c r="D1640" s="437">
        <f>VLOOKUP(A1640,'Thống kê'!$C$3:$M$682,4,0)</f>
        <v>59000</v>
      </c>
      <c r="E1640" s="438">
        <v>1</v>
      </c>
      <c r="F1640" s="439">
        <f t="shared" si="7"/>
        <v>59000</v>
      </c>
      <c r="G1640" s="440"/>
      <c r="H1640" s="448">
        <v>46588</v>
      </c>
    </row>
    <row r="1641" spans="1:8" ht="13.2">
      <c r="A1641" s="454" t="s">
        <v>115</v>
      </c>
      <c r="B1641" s="452" t="str">
        <f>VLOOKUP(A1641,'Thống kê'!$C$3:$D$669,2,0)</f>
        <v>Heo ú</v>
      </c>
      <c r="C1641" s="436" t="str">
        <f>VLOOKUP(A1641,'Thống kê'!$C$3:$E$682,3,0)</f>
        <v>cái</v>
      </c>
      <c r="D1641" s="437">
        <f>VLOOKUP(A1641,'Thống kê'!$C$3:$M$682,4,0)</f>
        <v>59500</v>
      </c>
      <c r="E1641" s="438">
        <v>1</v>
      </c>
      <c r="F1641" s="439">
        <f t="shared" si="7"/>
        <v>59500</v>
      </c>
      <c r="G1641" s="440"/>
      <c r="H1641" s="448">
        <v>46012</v>
      </c>
    </row>
    <row r="1642" spans="1:8" ht="13.2">
      <c r="A1642" s="454" t="s">
        <v>1915</v>
      </c>
      <c r="B1642" s="452" t="str">
        <f>VLOOKUP(A1642,'Thống kê'!$C$3:$D$669,2,0)</f>
        <v>Kẹp tóc bướm trắng</v>
      </c>
      <c r="C1642" s="436" t="str">
        <f>VLOOKUP(A1642,'Thống kê'!$C$3:$E$682,3,0)</f>
        <v>cái</v>
      </c>
      <c r="D1642" s="437">
        <f>VLOOKUP(A1642,'Thống kê'!$C$3:$M$682,4,0)</f>
        <v>19000</v>
      </c>
      <c r="E1642" s="438">
        <v>1</v>
      </c>
      <c r="F1642" s="439">
        <f t="shared" si="7"/>
        <v>19000</v>
      </c>
      <c r="G1642" s="440"/>
      <c r="H1642" s="447">
        <v>58747</v>
      </c>
    </row>
    <row r="1643" spans="1:8" ht="13.2">
      <c r="A1643" s="454" t="s">
        <v>1594</v>
      </c>
      <c r="B1643" s="452" t="str">
        <f>VLOOKUP(A1643,'Thống kê'!$C$3:$D$669,2,0)</f>
        <v>Móc khóa đôi heo</v>
      </c>
      <c r="C1643" s="436" t="str">
        <f>VLOOKUP(A1643,'Thống kê'!$C$3:$E$682,3,0)</f>
        <v>cái</v>
      </c>
      <c r="D1643" s="437">
        <f>VLOOKUP(A1643,'Thống kê'!$C$3:$M$682,4,0)</f>
        <v>56580</v>
      </c>
      <c r="E1643" s="438">
        <v>1</v>
      </c>
      <c r="F1643" s="439">
        <f t="shared" si="7"/>
        <v>56580</v>
      </c>
      <c r="G1643" s="440"/>
      <c r="H1643" s="446"/>
    </row>
    <row r="1644" spans="1:8" ht="13.2">
      <c r="A1644" s="454" t="s">
        <v>1804</v>
      </c>
      <c r="B1644" s="452" t="str">
        <f>VLOOKUP(A1644,'Thống kê'!$C$3:$D$669,2,0)</f>
        <v>Móc khoá cún Chuối</v>
      </c>
      <c r="C1644" s="436" t="str">
        <f>VLOOKUP(A1644,'Thống kê'!$C$3:$E$682,3,0)</f>
        <v>cái</v>
      </c>
      <c r="D1644" s="437">
        <f>VLOOKUP(A1644,'Thống kê'!$C$3:$M$682,4,0)</f>
        <v>38000</v>
      </c>
      <c r="E1644" s="438">
        <v>1</v>
      </c>
      <c r="F1644" s="439">
        <f t="shared" si="7"/>
        <v>38000</v>
      </c>
      <c r="G1644" s="440"/>
      <c r="H1644" s="447">
        <v>53653</v>
      </c>
    </row>
    <row r="1645" spans="1:8" ht="13.2">
      <c r="A1645" s="454" t="s">
        <v>162</v>
      </c>
      <c r="B1645" s="452" t="str">
        <f>VLOOKUP(A1645,'Thống kê'!$C$3:$D$669,2,0)</f>
        <v>Móc khoá cún Donut</v>
      </c>
      <c r="C1645" s="436" t="str">
        <f>VLOOKUP(A1645,'Thống kê'!$C$3:$E$682,3,0)</f>
        <v>cái</v>
      </c>
      <c r="D1645" s="437">
        <f>VLOOKUP(A1645,'Thống kê'!$C$3:$M$682,4,0)</f>
        <v>38000</v>
      </c>
      <c r="E1645" s="438">
        <v>1</v>
      </c>
      <c r="F1645" s="439">
        <f t="shared" si="7"/>
        <v>38000</v>
      </c>
      <c r="G1645" s="440"/>
      <c r="H1645" s="446"/>
    </row>
    <row r="1646" spans="1:8" ht="13.2">
      <c r="A1646" s="454" t="s">
        <v>128</v>
      </c>
      <c r="B1646" s="452" t="str">
        <f>VLOOKUP(A1646,'Thống kê'!$C$3:$D$669,2,0)</f>
        <v>Mèo ú bay</v>
      </c>
      <c r="C1646" s="436" t="str">
        <f>VLOOKUP(A1646,'Thống kê'!$C$3:$E$682,3,0)</f>
        <v>cái</v>
      </c>
      <c r="D1646" s="437">
        <f>VLOOKUP(A1646,'Thống kê'!$C$3:$M$682,4,0)</f>
        <v>64500</v>
      </c>
      <c r="E1646" s="438">
        <v>1</v>
      </c>
      <c r="F1646" s="439">
        <f t="shared" si="7"/>
        <v>64500</v>
      </c>
      <c r="G1646" s="440"/>
      <c r="H1646" s="448">
        <v>48648</v>
      </c>
    </row>
    <row r="1647" spans="1:8" ht="13.2">
      <c r="A1647" s="454" t="s">
        <v>119</v>
      </c>
      <c r="B1647" s="452" t="str">
        <f>VLOOKUP(A1647,'Thống kê'!$C$3:$D$669,2,0)</f>
        <v>Thỏ chạy xe gắn xe</v>
      </c>
      <c r="C1647" s="436" t="str">
        <f>VLOOKUP(A1647,'Thống kê'!$C$3:$E$682,3,0)</f>
        <v>cái</v>
      </c>
      <c r="D1647" s="437">
        <f>VLOOKUP(A1647,'Thống kê'!$C$3:$M$682,4,0)</f>
        <v>45000</v>
      </c>
      <c r="E1647" s="438">
        <v>1</v>
      </c>
      <c r="F1647" s="439">
        <f t="shared" si="7"/>
        <v>45000</v>
      </c>
      <c r="G1647" s="440"/>
      <c r="H1647" s="448">
        <v>30000</v>
      </c>
    </row>
    <row r="1648" spans="1:8" ht="13.2">
      <c r="A1648" s="454" t="s">
        <v>150</v>
      </c>
      <c r="B1648" s="452" t="str">
        <f>VLOOKUP(A1648,'Thống kê'!$C$3:$D$669,2,0)</f>
        <v>Móc khóa có chuông</v>
      </c>
      <c r="C1648" s="436" t="str">
        <f>VLOOKUP(A1648,'Thống kê'!$C$3:$E$682,3,0)</f>
        <v>cái</v>
      </c>
      <c r="D1648" s="437">
        <f>VLOOKUP(A1648,'Thống kê'!$C$3:$M$682,4,0)</f>
        <v>59000</v>
      </c>
      <c r="E1648" s="438">
        <v>1</v>
      </c>
      <c r="F1648" s="439">
        <f t="shared" si="7"/>
        <v>59000</v>
      </c>
      <c r="G1648" s="440"/>
      <c r="H1648" s="448">
        <v>46408</v>
      </c>
    </row>
    <row r="1649" spans="1:8" ht="13.2">
      <c r="A1649" s="454" t="s">
        <v>2011</v>
      </c>
      <c r="B1649" s="452" t="str">
        <f>VLOOKUP(A1649,'Thống kê'!$C$3:$D$669,2,0)</f>
        <v>Kẹp khuếch tán tinh dầu spider man</v>
      </c>
      <c r="C1649" s="436" t="str">
        <f>VLOOKUP(A1649,'Thống kê'!$C$3:$E$682,3,0)</f>
        <v>cái</v>
      </c>
      <c r="D1649" s="437">
        <f>VLOOKUP(A1649,'Thống kê'!$C$3:$M$682,4,0)</f>
        <v>173550</v>
      </c>
      <c r="E1649" s="438">
        <v>1</v>
      </c>
      <c r="F1649" s="439">
        <f t="shared" si="7"/>
        <v>173550</v>
      </c>
      <c r="G1649" s="440"/>
      <c r="H1649" s="447">
        <v>256432</v>
      </c>
    </row>
    <row r="1650" spans="1:8" ht="13.2">
      <c r="A1650" s="454" t="s">
        <v>2012</v>
      </c>
      <c r="B1650" s="452" t="str">
        <f>VLOOKUP(A1650,'Thống kê'!$C$3:$D$669,2,0)</f>
        <v>Móc khóa Popbean 02</v>
      </c>
      <c r="C1650" s="436" t="str">
        <f>VLOOKUP(A1650,'Thống kê'!$C$3:$E$682,3,0)</f>
        <v>cái</v>
      </c>
      <c r="D1650" s="437">
        <f>VLOOKUP(A1650,'Thống kê'!$C$3:$M$682,4,0)</f>
        <v>161850</v>
      </c>
      <c r="E1650" s="438">
        <v>1</v>
      </c>
      <c r="F1650" s="439">
        <f t="shared" si="7"/>
        <v>161850</v>
      </c>
      <c r="G1650" s="440"/>
      <c r="H1650" s="446"/>
    </row>
    <row r="1651" spans="1:8" ht="13.2">
      <c r="A1651" s="454" t="s">
        <v>2013</v>
      </c>
      <c r="B1651" s="452" t="str">
        <f>VLOOKUP(A1651,'Thống kê'!$C$3:$D$669,2,0)</f>
        <v>Mô hình Popbean 15</v>
      </c>
      <c r="C1651" s="436" t="str">
        <f>VLOOKUP(A1651,'Thống kê'!$C$3:$E$682,3,0)</f>
        <v>cái</v>
      </c>
      <c r="D1651" s="437">
        <f>VLOOKUP(A1651,'Thống kê'!$C$3:$M$682,4,0)</f>
        <v>82000</v>
      </c>
      <c r="E1651" s="438">
        <v>1</v>
      </c>
      <c r="F1651" s="439">
        <f t="shared" si="7"/>
        <v>82000</v>
      </c>
      <c r="G1651" s="440"/>
      <c r="H1651" s="447">
        <v>201712</v>
      </c>
    </row>
    <row r="1652" spans="1:8" ht="13.2">
      <c r="A1652" s="454" t="s">
        <v>2014</v>
      </c>
      <c r="B1652" s="452" t="str">
        <f>VLOOKUP(A1652,'Thống kê'!$C$3:$D$669,2,0)</f>
        <v>Móc khóa Popbean 03</v>
      </c>
      <c r="C1652" s="436" t="str">
        <f>VLOOKUP(A1652,'Thống kê'!$C$3:$E$682,3,0)</f>
        <v>cái</v>
      </c>
      <c r="D1652" s="437">
        <f>VLOOKUP(A1652,'Thống kê'!$C$3:$M$682,4,0)</f>
        <v>161850</v>
      </c>
      <c r="E1652" s="438">
        <v>1</v>
      </c>
      <c r="F1652" s="439">
        <f t="shared" si="7"/>
        <v>161850</v>
      </c>
      <c r="G1652" s="440"/>
      <c r="H1652" s="446"/>
    </row>
    <row r="1653" spans="1:8" ht="13.2">
      <c r="A1653" s="454" t="s">
        <v>2015</v>
      </c>
      <c r="B1653" s="452" t="str">
        <f>VLOOKUP(A1653,'Thống kê'!$C$3:$D$669,2,0)</f>
        <v>Móc khóa Popbean 11</v>
      </c>
      <c r="C1653" s="436" t="str">
        <f>VLOOKUP(A1653,'Thống kê'!$C$3:$E$682,3,0)</f>
        <v>cái</v>
      </c>
      <c r="D1653" s="437">
        <f>VLOOKUP(A1653,'Thống kê'!$C$3:$M$682,4,0)</f>
        <v>161850</v>
      </c>
      <c r="E1653" s="438">
        <v>1</v>
      </c>
      <c r="F1653" s="439">
        <f t="shared" si="7"/>
        <v>161850</v>
      </c>
      <c r="G1653" s="440"/>
      <c r="H1653" s="448">
        <v>133628</v>
      </c>
    </row>
    <row r="1654" spans="1:8" ht="13.2">
      <c r="A1654" s="454" t="s">
        <v>1693</v>
      </c>
      <c r="B1654" s="452" t="str">
        <f>VLOOKUP(A1654,'Thống kê'!$C$3:$D$669,2,0)</f>
        <v>Móc khóa Popbean 08</v>
      </c>
      <c r="C1654" s="436" t="str">
        <f>VLOOKUP(A1654,'Thống kê'!$C$3:$E$682,3,0)</f>
        <v>cái</v>
      </c>
      <c r="D1654" s="437">
        <f>VLOOKUP(A1654,'Thống kê'!$C$3:$M$682,4,0)</f>
        <v>161850</v>
      </c>
      <c r="E1654" s="438">
        <v>1</v>
      </c>
      <c r="F1654" s="439">
        <f t="shared" si="7"/>
        <v>161850</v>
      </c>
      <c r="G1654" s="440"/>
      <c r="H1654" s="448">
        <v>150908</v>
      </c>
    </row>
    <row r="1655" spans="1:8" ht="13.2">
      <c r="A1655" s="454" t="s">
        <v>115</v>
      </c>
      <c r="B1655" s="452" t="str">
        <f>VLOOKUP(A1655,'Thống kê'!$C$3:$D$669,2,0)</f>
        <v>Heo ú</v>
      </c>
      <c r="C1655" s="436" t="str">
        <f>VLOOKUP(A1655,'Thống kê'!$C$3:$E$682,3,0)</f>
        <v>cái</v>
      </c>
      <c r="D1655" s="437">
        <f>VLOOKUP(A1655,'Thống kê'!$C$3:$M$682,4,0)</f>
        <v>59500</v>
      </c>
      <c r="E1655" s="438">
        <v>1</v>
      </c>
      <c r="F1655" s="439">
        <f t="shared" si="7"/>
        <v>59500</v>
      </c>
      <c r="G1655" s="440"/>
      <c r="H1655" s="447">
        <v>92471</v>
      </c>
    </row>
    <row r="1656" spans="1:8" ht="13.2">
      <c r="A1656" s="454" t="s">
        <v>1594</v>
      </c>
      <c r="B1656" s="452" t="str">
        <f>VLOOKUP(A1656,'Thống kê'!$C$3:$D$669,2,0)</f>
        <v>Móc khóa đôi heo</v>
      </c>
      <c r="C1656" s="436" t="str">
        <f>VLOOKUP(A1656,'Thống kê'!$C$3:$E$682,3,0)</f>
        <v>cái</v>
      </c>
      <c r="D1656" s="437">
        <f>VLOOKUP(A1656,'Thống kê'!$C$3:$M$682,4,0)</f>
        <v>56580</v>
      </c>
      <c r="E1656" s="438">
        <v>1</v>
      </c>
      <c r="F1656" s="439">
        <f t="shared" si="7"/>
        <v>56580</v>
      </c>
      <c r="G1656" s="440"/>
      <c r="H1656" s="446"/>
    </row>
    <row r="1657" spans="1:8" ht="13.2">
      <c r="A1657" s="454" t="s">
        <v>1695</v>
      </c>
      <c r="B1657" s="452" t="str">
        <f>VLOOKUP(A1657,'Thống kê'!$C$3:$D$669,2,0)</f>
        <v>Móc khóa Popbean 12</v>
      </c>
      <c r="C1657" s="436" t="str">
        <f>VLOOKUP(A1657,'Thống kê'!$C$3:$E$682,3,0)</f>
        <v>cái</v>
      </c>
      <c r="D1657" s="437">
        <f>VLOOKUP(A1657,'Thống kê'!$C$3:$M$682,4,0)</f>
        <v>139000</v>
      </c>
      <c r="E1657" s="438">
        <v>1</v>
      </c>
      <c r="F1657" s="439">
        <f t="shared" si="7"/>
        <v>139000</v>
      </c>
      <c r="G1657" s="440"/>
      <c r="H1657" s="448">
        <v>115240</v>
      </c>
    </row>
    <row r="1658" spans="1:8" ht="13.2">
      <c r="A1658" s="454" t="s">
        <v>1595</v>
      </c>
      <c r="B1658" s="452" t="str">
        <f>VLOOKUP(A1658,'Thống kê'!$C$3:$D$669,2,0)</f>
        <v>Dao rọc giấy 08</v>
      </c>
      <c r="C1658" s="436" t="str">
        <f>VLOOKUP(A1658,'Thống kê'!$C$3:$E$682,3,0)</f>
        <v>cái</v>
      </c>
      <c r="D1658" s="437">
        <f>VLOOKUP(A1658,'Thống kê'!$C$3:$M$682,4,0)</f>
        <v>12000</v>
      </c>
      <c r="E1658" s="438">
        <v>1</v>
      </c>
      <c r="F1658" s="439">
        <f t="shared" si="7"/>
        <v>12000</v>
      </c>
      <c r="G1658" s="440"/>
      <c r="H1658" s="447">
        <v>107360</v>
      </c>
    </row>
    <row r="1659" spans="1:8" ht="13.2">
      <c r="A1659" s="454" t="s">
        <v>1587</v>
      </c>
      <c r="B1659" s="452" t="str">
        <f>VLOOKUP(A1659,'Thống kê'!$C$3:$D$669,2,0)</f>
        <v>Vịt ú bay</v>
      </c>
      <c r="C1659" s="436" t="str">
        <f>VLOOKUP(A1659,'Thống kê'!$C$3:$E$682,3,0)</f>
        <v>cái</v>
      </c>
      <c r="D1659" s="437">
        <f>VLOOKUP(A1659,'Thống kê'!$C$3:$M$682,4,0)</f>
        <v>64500</v>
      </c>
      <c r="E1659" s="438">
        <v>1</v>
      </c>
      <c r="F1659" s="439">
        <f t="shared" si="7"/>
        <v>64500</v>
      </c>
      <c r="G1659" s="440"/>
      <c r="H1659" s="446"/>
    </row>
    <row r="1660" spans="1:8" ht="13.2">
      <c r="A1660" s="454" t="s">
        <v>1591</v>
      </c>
      <c r="B1660" s="452" t="str">
        <f>VLOOKUP(A1660,'Thống kê'!$C$3:$D$669,2,0)</f>
        <v>Thỏ ú</v>
      </c>
      <c r="C1660" s="436" t="str">
        <f>VLOOKUP(A1660,'Thống kê'!$C$3:$E$682,3,0)</f>
        <v>cái</v>
      </c>
      <c r="D1660" s="437">
        <f>VLOOKUP(A1660,'Thống kê'!$C$3:$M$682,4,0)</f>
        <v>59500</v>
      </c>
      <c r="E1660" s="438">
        <v>1</v>
      </c>
      <c r="F1660" s="439">
        <f t="shared" si="7"/>
        <v>59500</v>
      </c>
      <c r="G1660" s="440"/>
      <c r="H1660" s="446"/>
    </row>
    <row r="1661" spans="1:8" ht="13.2">
      <c r="A1661" s="454" t="s">
        <v>1594</v>
      </c>
      <c r="B1661" s="452" t="str">
        <f>VLOOKUP(A1661,'Thống kê'!$C$3:$D$669,2,0)</f>
        <v>Móc khóa đôi heo</v>
      </c>
      <c r="C1661" s="436" t="str">
        <f>VLOOKUP(A1661,'Thống kê'!$C$3:$E$682,3,0)</f>
        <v>cái</v>
      </c>
      <c r="D1661" s="437">
        <f>VLOOKUP(A1661,'Thống kê'!$C$3:$M$682,4,0)</f>
        <v>56580</v>
      </c>
      <c r="E1661" s="438">
        <v>1</v>
      </c>
      <c r="F1661" s="439">
        <f t="shared" si="7"/>
        <v>56580</v>
      </c>
      <c r="G1661" s="440"/>
      <c r="H1661" s="448">
        <v>44671</v>
      </c>
    </row>
    <row r="1662" spans="1:8" ht="13.2">
      <c r="A1662" s="454" t="s">
        <v>1693</v>
      </c>
      <c r="B1662" s="452" t="str">
        <f>VLOOKUP(A1662,'Thống kê'!$C$3:$D$669,2,0)</f>
        <v>Móc khóa Popbean 08</v>
      </c>
      <c r="C1662" s="436" t="str">
        <f>VLOOKUP(A1662,'Thống kê'!$C$3:$E$682,3,0)</f>
        <v>cái</v>
      </c>
      <c r="D1662" s="437">
        <f>VLOOKUP(A1662,'Thống kê'!$C$3:$M$682,4,0)</f>
        <v>161850</v>
      </c>
      <c r="E1662" s="438">
        <v>1</v>
      </c>
      <c r="F1662" s="439">
        <f t="shared" si="7"/>
        <v>161850</v>
      </c>
      <c r="G1662" s="440"/>
      <c r="H1662" s="448">
        <v>133628</v>
      </c>
    </row>
    <row r="1663" spans="1:8" ht="13.2">
      <c r="A1663" s="454" t="s">
        <v>1581</v>
      </c>
      <c r="B1663" s="452" t="str">
        <f>VLOOKUP(A1663,'Thống kê'!$C$3:$D$669,2,0)</f>
        <v>Móc khoá mèo bông tím</v>
      </c>
      <c r="C1663" s="436" t="str">
        <f>VLOOKUP(A1663,'Thống kê'!$C$3:$E$682,3,0)</f>
        <v>cái</v>
      </c>
      <c r="D1663" s="437">
        <f>VLOOKUP(A1663,'Thống kê'!$C$3:$M$682,4,0)</f>
        <v>98000</v>
      </c>
      <c r="E1663" s="438">
        <v>1</v>
      </c>
      <c r="F1663" s="439">
        <f t="shared" si="7"/>
        <v>98000</v>
      </c>
      <c r="G1663" s="440"/>
      <c r="H1663" s="447">
        <v>83628</v>
      </c>
    </row>
    <row r="1664" spans="1:8" ht="13.2">
      <c r="A1664" s="454" t="s">
        <v>1946</v>
      </c>
      <c r="B1664" s="452" t="str">
        <f>VLOOKUP(A1664,'Thống kê'!$C$3:$D$669,2,0)</f>
        <v>Ống 20 dây cột tóc kem be nâu</v>
      </c>
      <c r="C1664" s="436" t="str">
        <f>VLOOKUP(A1664,'Thống kê'!$C$3:$E$682,3,0)</f>
        <v>ống</v>
      </c>
      <c r="D1664" s="437">
        <f>VLOOKUP(A1664,'Thống kê'!$C$3:$M$682,4,0)</f>
        <v>19000</v>
      </c>
      <c r="E1664" s="438">
        <v>1</v>
      </c>
      <c r="F1664" s="439">
        <f t="shared" si="7"/>
        <v>19000</v>
      </c>
      <c r="G1664" s="440"/>
      <c r="H1664" s="446"/>
    </row>
    <row r="1665" spans="1:8" ht="13.2">
      <c r="A1665" s="454" t="s">
        <v>183</v>
      </c>
      <c r="B1665" s="452" t="str">
        <f>VLOOKUP(A1665,'Thống kê'!$C$3:$D$669,2,0)</f>
        <v>Thỏ máy bay gắn xe</v>
      </c>
      <c r="C1665" s="436" t="str">
        <f>VLOOKUP(A1665,'Thống kê'!$C$3:$E$682,3,0)</f>
        <v>cái</v>
      </c>
      <c r="D1665" s="437">
        <f>VLOOKUP(A1665,'Thống kê'!$C$3:$M$682,4,0)</f>
        <v>45000</v>
      </c>
      <c r="E1665" s="438">
        <v>1</v>
      </c>
      <c r="F1665" s="439">
        <f t="shared" si="7"/>
        <v>45000</v>
      </c>
      <c r="G1665" s="440"/>
      <c r="H1665" s="447">
        <v>47775</v>
      </c>
    </row>
    <row r="1666" spans="1:8" ht="13.2">
      <c r="A1666" s="454" t="s">
        <v>1598</v>
      </c>
      <c r="B1666" s="452" t="str">
        <f>VLOOKUP(A1666,'Thống kê'!$C$3:$D$669,2,0)</f>
        <v>Dao rọc giấy 13</v>
      </c>
      <c r="C1666" s="436" t="str">
        <f>VLOOKUP(A1666,'Thống kê'!$C$3:$E$682,3,0)</f>
        <v>cái</v>
      </c>
      <c r="D1666" s="437">
        <f>VLOOKUP(A1666,'Thống kê'!$C$3:$M$682,4,0)</f>
        <v>12000</v>
      </c>
      <c r="E1666" s="438">
        <v>1</v>
      </c>
      <c r="F1666" s="439">
        <f t="shared" si="7"/>
        <v>12000</v>
      </c>
      <c r="G1666" s="440"/>
      <c r="H1666" s="446"/>
    </row>
    <row r="1667" spans="1:8" ht="13.2">
      <c r="A1667" s="454" t="s">
        <v>1594</v>
      </c>
      <c r="B1667" s="452" t="str">
        <f>VLOOKUP(A1667,'Thống kê'!$C$3:$D$669,2,0)</f>
        <v>Móc khóa đôi heo</v>
      </c>
      <c r="C1667" s="436" t="str">
        <f>VLOOKUP(A1667,'Thống kê'!$C$3:$E$682,3,0)</f>
        <v>cái</v>
      </c>
      <c r="D1667" s="437">
        <f>VLOOKUP(A1667,'Thống kê'!$C$3:$M$682,4,0)</f>
        <v>56580</v>
      </c>
      <c r="E1667" s="438">
        <v>1</v>
      </c>
      <c r="F1667" s="439">
        <f t="shared" si="7"/>
        <v>56580</v>
      </c>
      <c r="G1667" s="440"/>
      <c r="H1667" s="448">
        <v>52491</v>
      </c>
    </row>
    <row r="1668" spans="1:8" ht="13.2">
      <c r="A1668" s="454" t="s">
        <v>1625</v>
      </c>
      <c r="B1668" s="452" t="str">
        <f>VLOOKUP(A1668,'Thống kê'!$C$3:$D$669,2,0)</f>
        <v>Móc khóa đôi 2 mèo trắng nâu</v>
      </c>
      <c r="C1668" s="436" t="str">
        <f>VLOOKUP(A1668,'Thống kê'!$C$3:$E$682,3,0)</f>
        <v>cái</v>
      </c>
      <c r="D1668" s="437">
        <f>VLOOKUP(A1668,'Thống kê'!$C$3:$M$682,4,0)</f>
        <v>59000</v>
      </c>
      <c r="E1668" s="438">
        <v>1</v>
      </c>
      <c r="F1668" s="439">
        <f t="shared" si="7"/>
        <v>59000</v>
      </c>
      <c r="G1668" s="440"/>
      <c r="H1668" s="448">
        <v>46388</v>
      </c>
    </row>
    <row r="1669" spans="1:8" ht="13.2">
      <c r="A1669" s="454" t="s">
        <v>1624</v>
      </c>
      <c r="B1669" s="452" t="str">
        <f>VLOOKUP(A1669,'Thống kê'!$C$3:$D$669,2,0)</f>
        <v>Móc khóa mèo trái tim</v>
      </c>
      <c r="C1669" s="436" t="str">
        <f>VLOOKUP(A1669,'Thống kê'!$C$3:$E$682,3,0)</f>
        <v>cái</v>
      </c>
      <c r="D1669" s="437">
        <f>VLOOKUP(A1669,'Thống kê'!$C$3:$M$682,4,0)</f>
        <v>59000</v>
      </c>
      <c r="E1669" s="438">
        <v>1</v>
      </c>
      <c r="F1669" s="439">
        <f t="shared" si="7"/>
        <v>59000</v>
      </c>
      <c r="G1669" s="440"/>
      <c r="H1669" s="448">
        <v>46388</v>
      </c>
    </row>
    <row r="1670" spans="1:8" ht="13.2">
      <c r="A1670" s="454" t="s">
        <v>119</v>
      </c>
      <c r="B1670" s="452" t="str">
        <f>VLOOKUP(A1670,'Thống kê'!$C$3:$D$669,2,0)</f>
        <v>Thỏ chạy xe gắn xe</v>
      </c>
      <c r="C1670" s="436" t="str">
        <f>VLOOKUP(A1670,'Thống kê'!$C$3:$E$682,3,0)</f>
        <v>cái</v>
      </c>
      <c r="D1670" s="437">
        <f>VLOOKUP(A1670,'Thống kê'!$C$3:$M$682,4,0)</f>
        <v>45000</v>
      </c>
      <c r="E1670" s="438">
        <v>1</v>
      </c>
      <c r="F1670" s="439">
        <f t="shared" si="7"/>
        <v>45000</v>
      </c>
      <c r="G1670" s="440"/>
      <c r="H1670" s="447">
        <v>99000</v>
      </c>
    </row>
    <row r="1671" spans="1:8" ht="13.2">
      <c r="A1671" s="454" t="s">
        <v>1952</v>
      </c>
      <c r="B1671" s="452" t="str">
        <f>VLOOKUP(A1671,'Thống kê'!$C$3:$D$669,2,0)</f>
        <v>Túi chườm bụng vịt vàng 500ml</v>
      </c>
      <c r="C1671" s="436" t="str">
        <f>VLOOKUP(A1671,'Thống kê'!$C$3:$E$682,3,0)</f>
        <v>túi</v>
      </c>
      <c r="D1671" s="437">
        <f>VLOOKUP(A1671,'Thống kê'!$C$3:$M$682,4,0)</f>
        <v>81000</v>
      </c>
      <c r="E1671" s="438">
        <v>1</v>
      </c>
      <c r="F1671" s="439">
        <f t="shared" si="7"/>
        <v>81000</v>
      </c>
      <c r="G1671" s="440"/>
      <c r="H1671" s="446"/>
    </row>
    <row r="1672" spans="1:8" ht="13.2">
      <c r="A1672" s="454" t="s">
        <v>150</v>
      </c>
      <c r="B1672" s="452" t="str">
        <f>VLOOKUP(A1672,'Thống kê'!$C$3:$D$669,2,0)</f>
        <v>Móc khóa có chuông</v>
      </c>
      <c r="C1672" s="436" t="str">
        <f>VLOOKUP(A1672,'Thống kê'!$C$3:$E$682,3,0)</f>
        <v>cái</v>
      </c>
      <c r="D1672" s="437">
        <f>VLOOKUP(A1672,'Thống kê'!$C$3:$M$682,4,0)</f>
        <v>59000</v>
      </c>
      <c r="E1672" s="438">
        <v>1</v>
      </c>
      <c r="F1672" s="439">
        <f t="shared" si="7"/>
        <v>59000</v>
      </c>
      <c r="G1672" s="440"/>
      <c r="H1672" s="448">
        <v>46428</v>
      </c>
    </row>
    <row r="1673" spans="1:8" ht="13.2">
      <c r="A1673" s="454" t="s">
        <v>1788</v>
      </c>
      <c r="B1673" s="452" t="str">
        <f>VLOOKUP(A1673,'Thống kê'!$C$3:$D$669,2,0)</f>
        <v>Túi chườm bụng thỏ hồng 500ml</v>
      </c>
      <c r="C1673" s="436" t="str">
        <f>VLOOKUP(A1673,'Thống kê'!$C$3:$E$682,3,0)</f>
        <v>túi</v>
      </c>
      <c r="D1673" s="437">
        <f>VLOOKUP(A1673,'Thống kê'!$C$3:$M$682,4,0)</f>
        <v>81000</v>
      </c>
      <c r="E1673" s="438">
        <v>1</v>
      </c>
      <c r="F1673" s="439">
        <f t="shared" si="7"/>
        <v>81000</v>
      </c>
      <c r="G1673" s="440"/>
      <c r="H1673" s="448">
        <v>71832</v>
      </c>
    </row>
    <row r="1674" spans="1:8" ht="13.2">
      <c r="A1674" s="454" t="s">
        <v>2012</v>
      </c>
      <c r="B1674" s="452" t="str">
        <f>VLOOKUP(A1674,'Thống kê'!$C$3:$D$669,2,0)</f>
        <v>Móc khóa Popbean 02</v>
      </c>
      <c r="C1674" s="436" t="str">
        <f>VLOOKUP(A1674,'Thống kê'!$C$3:$E$682,3,0)</f>
        <v>cái</v>
      </c>
      <c r="D1674" s="437">
        <f>VLOOKUP(A1674,'Thống kê'!$C$3:$M$682,4,0)</f>
        <v>161850</v>
      </c>
      <c r="E1674" s="438">
        <v>1</v>
      </c>
      <c r="F1674" s="439">
        <f t="shared" si="7"/>
        <v>161850</v>
      </c>
      <c r="G1674" s="440"/>
      <c r="H1674" s="448">
        <v>133628</v>
      </c>
    </row>
    <row r="1675" spans="1:8" ht="13.2">
      <c r="A1675" s="454" t="s">
        <v>2016</v>
      </c>
      <c r="B1675" s="452" t="str">
        <f>VLOOKUP(A1675,'Thống kê'!$C$3:$D$669,2,0)</f>
        <v>Móc khóa Popbean 01</v>
      </c>
      <c r="C1675" s="436" t="str">
        <f>VLOOKUP(A1675,'Thống kê'!$C$3:$E$682,3,0)</f>
        <v>cái</v>
      </c>
      <c r="D1675" s="437">
        <f>VLOOKUP(A1675,'Thống kê'!$C$3:$M$682,4,0)</f>
        <v>161850</v>
      </c>
      <c r="E1675" s="438">
        <v>1</v>
      </c>
      <c r="F1675" s="439">
        <f t="shared" si="7"/>
        <v>161850</v>
      </c>
      <c r="G1675" s="440"/>
      <c r="H1675" s="447">
        <v>240988</v>
      </c>
    </row>
    <row r="1676" spans="1:8" ht="13.2">
      <c r="A1676" s="454" t="s">
        <v>2017</v>
      </c>
      <c r="B1676" s="452" t="str">
        <f>VLOOKUP(A1676,'Thống kê'!$C$3:$D$669,2,0)</f>
        <v>Móc khóa Popbean 04</v>
      </c>
      <c r="C1676" s="436" t="str">
        <f>VLOOKUP(A1676,'Thống kê'!$C$3:$E$682,3,0)</f>
        <v>cái</v>
      </c>
      <c r="D1676" s="437">
        <f>VLOOKUP(A1676,'Thống kê'!$C$3:$M$682,4,0)</f>
        <v>161850</v>
      </c>
      <c r="E1676" s="438">
        <v>1</v>
      </c>
      <c r="F1676" s="439">
        <f t="shared" si="7"/>
        <v>161850</v>
      </c>
      <c r="G1676" s="440"/>
      <c r="H1676" s="446"/>
    </row>
    <row r="1677" spans="1:8" ht="13.2">
      <c r="A1677" s="454" t="s">
        <v>2017</v>
      </c>
      <c r="B1677" s="452" t="str">
        <f>VLOOKUP(A1677,'Thống kê'!$C$3:$D$669,2,0)</f>
        <v>Móc khóa Popbean 04</v>
      </c>
      <c r="C1677" s="436" t="str">
        <f>VLOOKUP(A1677,'Thống kê'!$C$3:$E$682,3,0)</f>
        <v>cái</v>
      </c>
      <c r="D1677" s="437">
        <f>VLOOKUP(A1677,'Thống kê'!$C$3:$M$682,4,0)</f>
        <v>161850</v>
      </c>
      <c r="E1677" s="438">
        <v>1</v>
      </c>
      <c r="F1677" s="439">
        <f t="shared" si="7"/>
        <v>161850</v>
      </c>
      <c r="G1677" s="440"/>
      <c r="H1677" s="448">
        <v>133628</v>
      </c>
    </row>
    <row r="1678" spans="1:8" ht="13.2">
      <c r="A1678" s="454" t="s">
        <v>2018</v>
      </c>
      <c r="B1678" s="452" t="str">
        <f>VLOOKUP(A1678,'Thống kê'!$C$3:$D$669,2,0)</f>
        <v>Móc khóa Popbean 05</v>
      </c>
      <c r="C1678" s="436" t="str">
        <f>VLOOKUP(A1678,'Thống kê'!$C$3:$E$682,3,0)</f>
        <v>cái</v>
      </c>
      <c r="D1678" s="437">
        <f>VLOOKUP(A1678,'Thống kê'!$C$3:$M$682,4,0)</f>
        <v>161850</v>
      </c>
      <c r="E1678" s="438">
        <v>1</v>
      </c>
      <c r="F1678" s="439">
        <f t="shared" si="7"/>
        <v>161850</v>
      </c>
      <c r="G1678" s="440"/>
      <c r="H1678" s="448">
        <v>133628</v>
      </c>
    </row>
    <row r="1679" spans="1:8" ht="13.2">
      <c r="A1679" s="454" t="s">
        <v>2008</v>
      </c>
      <c r="B1679" s="452" t="str">
        <f>VLOOKUP(A1679,'Thống kê'!$C$3:$D$669,2,0)</f>
        <v>Mô hình Popbean 06</v>
      </c>
      <c r="C1679" s="436" t="str">
        <f>VLOOKUP(A1679,'Thống kê'!$C$3:$E$682,3,0)</f>
        <v>cái</v>
      </c>
      <c r="D1679" s="437">
        <f>VLOOKUP(A1679,'Thống kê'!$C$3:$M$682,4,0)</f>
        <v>89500</v>
      </c>
      <c r="E1679" s="438">
        <v>1</v>
      </c>
      <c r="F1679" s="439">
        <f t="shared" si="7"/>
        <v>89500</v>
      </c>
      <c r="G1679" s="440"/>
      <c r="H1679" s="447">
        <v>207196</v>
      </c>
    </row>
    <row r="1680" spans="1:8" ht="13.2">
      <c r="A1680" s="454" t="s">
        <v>2016</v>
      </c>
      <c r="B1680" s="452" t="str">
        <f>VLOOKUP(A1680,'Thống kê'!$C$3:$D$669,2,0)</f>
        <v>Móc khóa Popbean 01</v>
      </c>
      <c r="C1680" s="436" t="str">
        <f>VLOOKUP(A1680,'Thống kê'!$C$3:$E$682,3,0)</f>
        <v>cái</v>
      </c>
      <c r="D1680" s="437">
        <f>VLOOKUP(A1680,'Thống kê'!$C$3:$M$682,4,0)</f>
        <v>161850</v>
      </c>
      <c r="E1680" s="438">
        <v>1</v>
      </c>
      <c r="F1680" s="439">
        <f t="shared" si="7"/>
        <v>161850</v>
      </c>
      <c r="G1680" s="440"/>
      <c r="H1680" s="446"/>
    </row>
    <row r="1681" spans="1:8" ht="13.2">
      <c r="A1681" s="454" t="s">
        <v>2012</v>
      </c>
      <c r="B1681" s="452" t="str">
        <f>VLOOKUP(A1681,'Thống kê'!$C$3:$D$669,2,0)</f>
        <v>Móc khóa Popbean 02</v>
      </c>
      <c r="C1681" s="436" t="str">
        <f>VLOOKUP(A1681,'Thống kê'!$C$3:$E$682,3,0)</f>
        <v>cái</v>
      </c>
      <c r="D1681" s="437">
        <f>VLOOKUP(A1681,'Thống kê'!$C$3:$M$682,4,0)</f>
        <v>161850</v>
      </c>
      <c r="E1681" s="438">
        <v>1</v>
      </c>
      <c r="F1681" s="439">
        <f t="shared" si="7"/>
        <v>161850</v>
      </c>
      <c r="G1681" s="440"/>
      <c r="H1681" s="448">
        <v>133628</v>
      </c>
    </row>
    <row r="1682" spans="1:8" ht="13.2">
      <c r="A1682" s="454" t="s">
        <v>2012</v>
      </c>
      <c r="B1682" s="452" t="str">
        <f>VLOOKUP(A1682,'Thống kê'!$C$3:$D$669,2,0)</f>
        <v>Móc khóa Popbean 02</v>
      </c>
      <c r="C1682" s="436" t="str">
        <f>VLOOKUP(A1682,'Thống kê'!$C$3:$E$682,3,0)</f>
        <v>cái</v>
      </c>
      <c r="D1682" s="437">
        <f>VLOOKUP(A1682,'Thống kê'!$C$3:$M$682,4,0)</f>
        <v>161850</v>
      </c>
      <c r="E1682" s="438">
        <v>1</v>
      </c>
      <c r="F1682" s="439">
        <f t="shared" si="7"/>
        <v>161850</v>
      </c>
      <c r="G1682" s="440"/>
      <c r="H1682" s="448">
        <v>133628</v>
      </c>
    </row>
    <row r="1683" spans="1:8" ht="13.2">
      <c r="A1683" s="454" t="s">
        <v>2019</v>
      </c>
      <c r="B1683" s="452" t="str">
        <f>VLOOKUP(A1683,'Thống kê'!$C$3:$D$669,2,0)</f>
        <v>Vớ cổ ngắn set xanh bơ 1</v>
      </c>
      <c r="C1683" s="436" t="str">
        <f>VLOOKUP(A1683,'Thống kê'!$C$3:$E$682,3,0)</f>
        <v>đôi</v>
      </c>
      <c r="D1683" s="437">
        <f>VLOOKUP(A1683,'Thống kê'!$C$3:$M$682,4,0)</f>
        <v>9800</v>
      </c>
      <c r="E1683" s="438">
        <v>1</v>
      </c>
      <c r="F1683" s="439">
        <f t="shared" si="7"/>
        <v>9800</v>
      </c>
      <c r="G1683" s="440"/>
      <c r="H1683" s="447">
        <v>153605</v>
      </c>
    </row>
    <row r="1684" spans="1:8" ht="13.2">
      <c r="A1684" s="454" t="s">
        <v>2020</v>
      </c>
      <c r="B1684" s="452" t="str">
        <f>VLOOKUP(A1684,'Thống kê'!$C$3:$D$669,2,0)</f>
        <v>Vớ cổ ngắn họa tiết hoa thỏ be</v>
      </c>
      <c r="C1684" s="436" t="str">
        <f>VLOOKUP(A1684,'Thống kê'!$C$3:$E$682,3,0)</f>
        <v>đôi</v>
      </c>
      <c r="D1684" s="437">
        <f>VLOOKUP(A1684,'Thống kê'!$C$3:$M$682,4,0)</f>
        <v>9400</v>
      </c>
      <c r="E1684" s="438">
        <v>1</v>
      </c>
      <c r="F1684" s="439">
        <f t="shared" si="7"/>
        <v>9400</v>
      </c>
      <c r="G1684" s="440"/>
      <c r="H1684" s="446"/>
    </row>
    <row r="1685" spans="1:8" ht="13.2">
      <c r="A1685" s="454" t="s">
        <v>2012</v>
      </c>
      <c r="B1685" s="452" t="str">
        <f>VLOOKUP(A1685,'Thống kê'!$C$3:$D$669,2,0)</f>
        <v>Móc khóa Popbean 02</v>
      </c>
      <c r="C1685" s="436" t="str">
        <f>VLOOKUP(A1685,'Thống kê'!$C$3:$E$682,3,0)</f>
        <v>cái</v>
      </c>
      <c r="D1685" s="437">
        <f>VLOOKUP(A1685,'Thống kê'!$C$3:$M$682,4,0)</f>
        <v>161850</v>
      </c>
      <c r="E1685" s="438">
        <v>1</v>
      </c>
      <c r="F1685" s="439">
        <f t="shared" si="7"/>
        <v>161850</v>
      </c>
      <c r="G1685" s="440"/>
      <c r="H1685" s="446"/>
    </row>
    <row r="1686" spans="1:8" ht="13.2">
      <c r="A1686" s="454" t="s">
        <v>2017</v>
      </c>
      <c r="B1686" s="452" t="str">
        <f>VLOOKUP(A1686,'Thống kê'!$C$3:$D$669,2,0)</f>
        <v>Móc khóa Popbean 04</v>
      </c>
      <c r="C1686" s="436" t="str">
        <f>VLOOKUP(A1686,'Thống kê'!$C$3:$E$682,3,0)</f>
        <v>cái</v>
      </c>
      <c r="D1686" s="437">
        <f>VLOOKUP(A1686,'Thống kê'!$C$3:$M$682,4,0)</f>
        <v>161850</v>
      </c>
      <c r="E1686" s="438">
        <v>1</v>
      </c>
      <c r="F1686" s="439">
        <f t="shared" si="7"/>
        <v>161850</v>
      </c>
      <c r="G1686" s="440"/>
      <c r="H1686" s="448">
        <v>133628</v>
      </c>
    </row>
    <row r="1687" spans="1:8" ht="13.2">
      <c r="A1687" s="454" t="s">
        <v>1619</v>
      </c>
      <c r="B1687" s="452" t="str">
        <f>VLOOKUP(A1687,'Thống kê'!$C$3:$D$669,2,0)</f>
        <v>Kẹp tóc bướm xanh trắng</v>
      </c>
      <c r="C1687" s="436" t="str">
        <f>VLOOKUP(A1687,'Thống kê'!$C$3:$E$682,3,0)</f>
        <v>cái</v>
      </c>
      <c r="D1687" s="437">
        <f>VLOOKUP(A1687,'Thống kê'!$C$3:$M$682,4,0)</f>
        <v>52000</v>
      </c>
      <c r="E1687" s="438">
        <v>1</v>
      </c>
      <c r="F1687" s="439">
        <f t="shared" si="7"/>
        <v>52000</v>
      </c>
      <c r="G1687" s="440"/>
      <c r="H1687" s="448">
        <v>36548</v>
      </c>
    </row>
    <row r="1688" spans="1:8" ht="13.2">
      <c r="A1688" s="454" t="s">
        <v>1693</v>
      </c>
      <c r="B1688" s="452" t="str">
        <f>VLOOKUP(A1688,'Thống kê'!$C$3:$D$669,2,0)</f>
        <v>Móc khóa Popbean 08</v>
      </c>
      <c r="C1688" s="436" t="str">
        <f>VLOOKUP(A1688,'Thống kê'!$C$3:$E$682,3,0)</f>
        <v>cái</v>
      </c>
      <c r="D1688" s="437">
        <f>VLOOKUP(A1688,'Thống kê'!$C$3:$M$682,4,0)</f>
        <v>161850</v>
      </c>
      <c r="E1688" s="438">
        <v>1</v>
      </c>
      <c r="F1688" s="439">
        <f t="shared" si="7"/>
        <v>161850</v>
      </c>
      <c r="G1688" s="440"/>
      <c r="H1688" s="447">
        <v>267765</v>
      </c>
    </row>
    <row r="1689" spans="1:8" ht="13.2">
      <c r="A1689" s="454" t="s">
        <v>2021</v>
      </c>
      <c r="B1689" s="452" t="str">
        <f>VLOOKUP(A1689,'Thống kê'!$C$3:$D$669,2,0)</f>
        <v>Móc khóa Popbean 09</v>
      </c>
      <c r="C1689" s="436" t="str">
        <f>VLOOKUP(A1689,'Thống kê'!$C$3:$E$682,3,0)</f>
        <v>cái</v>
      </c>
      <c r="D1689" s="437">
        <f>VLOOKUP(A1689,'Thống kê'!$C$3:$M$682,4,0)</f>
        <v>161850</v>
      </c>
      <c r="E1689" s="438">
        <v>1</v>
      </c>
      <c r="F1689" s="439">
        <f t="shared" si="7"/>
        <v>161850</v>
      </c>
      <c r="G1689" s="440"/>
      <c r="H1689" s="446"/>
    </row>
    <row r="1690" spans="1:8" ht="13.2">
      <c r="A1690" s="454" t="s">
        <v>1591</v>
      </c>
      <c r="B1690" s="452" t="str">
        <f>VLOOKUP(A1690,'Thống kê'!$C$3:$D$669,2,0)</f>
        <v>Thỏ ú</v>
      </c>
      <c r="C1690" s="436" t="str">
        <f>VLOOKUP(A1690,'Thống kê'!$C$3:$E$682,3,0)</f>
        <v>cái</v>
      </c>
      <c r="D1690" s="437">
        <f>VLOOKUP(A1690,'Thống kê'!$C$3:$M$682,4,0)</f>
        <v>59500</v>
      </c>
      <c r="E1690" s="438">
        <v>1</v>
      </c>
      <c r="F1690" s="439">
        <f t="shared" si="7"/>
        <v>59500</v>
      </c>
      <c r="G1690" s="440"/>
      <c r="H1690" s="448">
        <v>46172</v>
      </c>
    </row>
    <row r="1691" spans="1:8" ht="13.2">
      <c r="A1691" s="454" t="s">
        <v>150</v>
      </c>
      <c r="B1691" s="452" t="str">
        <f>VLOOKUP(A1691,'Thống kê'!$C$3:$D$669,2,0)</f>
        <v>Móc khóa có chuông</v>
      </c>
      <c r="C1691" s="436" t="str">
        <f>VLOOKUP(A1691,'Thống kê'!$C$3:$E$682,3,0)</f>
        <v>cái</v>
      </c>
      <c r="D1691" s="437">
        <f>VLOOKUP(A1691,'Thống kê'!$C$3:$M$682,4,0)</f>
        <v>59000</v>
      </c>
      <c r="E1691" s="438">
        <v>1</v>
      </c>
      <c r="F1691" s="439">
        <f t="shared" si="7"/>
        <v>59000</v>
      </c>
      <c r="G1691" s="440"/>
      <c r="H1691" s="448">
        <v>46668</v>
      </c>
    </row>
    <row r="1692" spans="1:8" ht="13.2">
      <c r="A1692" s="454" t="s">
        <v>2017</v>
      </c>
      <c r="B1692" s="452" t="str">
        <f>VLOOKUP(A1692,'Thống kê'!$C$3:$D$669,2,0)</f>
        <v>Móc khóa Popbean 04</v>
      </c>
      <c r="C1692" s="436" t="str">
        <f>VLOOKUP(A1692,'Thống kê'!$C$3:$E$682,3,0)</f>
        <v>cái</v>
      </c>
      <c r="D1692" s="437">
        <f>VLOOKUP(A1692,'Thống kê'!$C$3:$M$682,4,0)</f>
        <v>161850</v>
      </c>
      <c r="E1692" s="438">
        <v>1</v>
      </c>
      <c r="F1692" s="439">
        <f t="shared" si="7"/>
        <v>161850</v>
      </c>
      <c r="G1692" s="440"/>
      <c r="H1692" s="448">
        <v>133628</v>
      </c>
    </row>
    <row r="1693" spans="1:8" ht="13.2">
      <c r="A1693" s="454" t="s">
        <v>150</v>
      </c>
      <c r="B1693" s="452" t="str">
        <f>VLOOKUP(A1693,'Thống kê'!$C$3:$D$669,2,0)</f>
        <v>Móc khóa có chuông</v>
      </c>
      <c r="C1693" s="436" t="str">
        <f>VLOOKUP(A1693,'Thống kê'!$C$3:$E$682,3,0)</f>
        <v>cái</v>
      </c>
      <c r="D1693" s="437">
        <f>VLOOKUP(A1693,'Thống kê'!$C$3:$M$682,4,0)</f>
        <v>59000</v>
      </c>
      <c r="E1693" s="438">
        <v>1</v>
      </c>
      <c r="F1693" s="439">
        <f t="shared" si="7"/>
        <v>59000</v>
      </c>
      <c r="G1693" s="440"/>
      <c r="H1693" s="448">
        <v>46448</v>
      </c>
    </row>
    <row r="1694" spans="1:8" ht="13.2">
      <c r="A1694" s="454" t="s">
        <v>1632</v>
      </c>
      <c r="B1694" s="452" t="str">
        <f>VLOOKUP(A1694,'Thống kê'!$C$3:$D$669,2,0)</f>
        <v>Móc khóa đôi mèo trắng</v>
      </c>
      <c r="C1694" s="436" t="str">
        <f>VLOOKUP(A1694,'Thống kê'!$C$3:$E$682,3,0)</f>
        <v>cái</v>
      </c>
      <c r="D1694" s="437">
        <f>VLOOKUP(A1694,'Thống kê'!$C$3:$M$682,4,0)</f>
        <v>59000</v>
      </c>
      <c r="E1694" s="438">
        <v>1</v>
      </c>
      <c r="F1694" s="439">
        <f t="shared" si="7"/>
        <v>59000</v>
      </c>
      <c r="G1694" s="440"/>
      <c r="H1694" s="448">
        <v>53448</v>
      </c>
    </row>
    <row r="1695" spans="1:8" ht="13.2">
      <c r="A1695" s="454" t="s">
        <v>1613</v>
      </c>
      <c r="B1695" s="452" t="str">
        <f>VLOOKUP(A1695,'Thống kê'!$C$3:$D$669,2,0)</f>
        <v>Kẹp tóc bướm xanh tím</v>
      </c>
      <c r="C1695" s="436" t="str">
        <f>VLOOKUP(A1695,'Thống kê'!$C$3:$E$682,3,0)</f>
        <v>cái</v>
      </c>
      <c r="D1695" s="437">
        <f>VLOOKUP(A1695,'Thống kê'!$C$3:$M$682,4,0)</f>
        <v>40000</v>
      </c>
      <c r="E1695" s="438">
        <v>1</v>
      </c>
      <c r="F1695" s="439">
        <f t="shared" si="7"/>
        <v>40000</v>
      </c>
      <c r="G1695" s="440"/>
      <c r="H1695" s="447">
        <v>120736</v>
      </c>
    </row>
    <row r="1696" spans="1:8" ht="13.2">
      <c r="A1696" s="454" t="s">
        <v>1615</v>
      </c>
      <c r="B1696" s="452" t="str">
        <f>VLOOKUP(A1696,'Thống kê'!$C$3:$D$669,2,0)</f>
        <v>Kẹp tóc bướm tím</v>
      </c>
      <c r="C1696" s="436" t="str">
        <f>VLOOKUP(A1696,'Thống kê'!$C$3:$E$682,3,0)</f>
        <v>cái</v>
      </c>
      <c r="D1696" s="437">
        <f>VLOOKUP(A1696,'Thống kê'!$C$3:$M$682,4,0)</f>
        <v>40000</v>
      </c>
      <c r="E1696" s="438">
        <v>1</v>
      </c>
      <c r="F1696" s="439">
        <f t="shared" si="7"/>
        <v>40000</v>
      </c>
      <c r="G1696" s="440"/>
      <c r="H1696" s="446"/>
    </row>
    <row r="1697" spans="1:8" ht="13.2">
      <c r="A1697" s="454" t="s">
        <v>1618</v>
      </c>
      <c r="B1697" s="452" t="str">
        <f>VLOOKUP(A1697,'Thống kê'!$C$3:$D$669,2,0)</f>
        <v>Kẹp tóc bướm hồng trắng</v>
      </c>
      <c r="C1697" s="436" t="str">
        <f>VLOOKUP(A1697,'Thống kê'!$C$3:$E$682,3,0)</f>
        <v>cái</v>
      </c>
      <c r="D1697" s="437">
        <f>VLOOKUP(A1697,'Thống kê'!$C$3:$M$682,4,0)</f>
        <v>52000</v>
      </c>
      <c r="E1697" s="438">
        <v>1</v>
      </c>
      <c r="F1697" s="439">
        <f t="shared" si="7"/>
        <v>52000</v>
      </c>
      <c r="G1697" s="440"/>
      <c r="H1697" s="446"/>
    </row>
    <row r="1698" spans="1:8" ht="13.2">
      <c r="A1698" s="454" t="s">
        <v>1619</v>
      </c>
      <c r="B1698" s="452" t="str">
        <f>VLOOKUP(A1698,'Thống kê'!$C$3:$D$669,2,0)</f>
        <v>Kẹp tóc bướm xanh trắng</v>
      </c>
      <c r="C1698" s="436" t="str">
        <f>VLOOKUP(A1698,'Thống kê'!$C$3:$E$682,3,0)</f>
        <v>cái</v>
      </c>
      <c r="D1698" s="437">
        <f>VLOOKUP(A1698,'Thống kê'!$C$3:$M$682,4,0)</f>
        <v>52000</v>
      </c>
      <c r="E1698" s="438">
        <v>1</v>
      </c>
      <c r="F1698" s="439">
        <f t="shared" si="7"/>
        <v>52000</v>
      </c>
      <c r="G1698" s="440"/>
      <c r="H1698" s="446"/>
    </row>
    <row r="1699" spans="1:8" ht="13.2">
      <c r="A1699" s="454" t="s">
        <v>1936</v>
      </c>
      <c r="B1699" s="452" t="str">
        <f>VLOOKUP(A1699,'Thống kê'!$C$3:$D$669,2,0)</f>
        <v>Kẹp tóc hoa sứ vàng</v>
      </c>
      <c r="C1699" s="436" t="str">
        <f>VLOOKUP(A1699,'Thống kê'!$C$3:$E$682,3,0)</f>
        <v>cái</v>
      </c>
      <c r="D1699" s="437">
        <f>VLOOKUP(A1699,'Thống kê'!$C$3:$M$682,4,0)</f>
        <v>18500</v>
      </c>
      <c r="E1699" s="438">
        <v>1</v>
      </c>
      <c r="F1699" s="439">
        <f t="shared" si="7"/>
        <v>18500</v>
      </c>
      <c r="G1699" s="440"/>
      <c r="H1699" s="446"/>
    </row>
    <row r="1700" spans="1:8" ht="13.2">
      <c r="A1700" s="454" t="s">
        <v>1615</v>
      </c>
      <c r="B1700" s="452" t="str">
        <f>VLOOKUP(A1700,'Thống kê'!$C$3:$D$669,2,0)</f>
        <v>Kẹp tóc bướm tím</v>
      </c>
      <c r="C1700" s="436" t="str">
        <f>VLOOKUP(A1700,'Thống kê'!$C$3:$E$682,3,0)</f>
        <v>cái</v>
      </c>
      <c r="D1700" s="437">
        <f>VLOOKUP(A1700,'Thống kê'!$C$3:$M$682,4,0)</f>
        <v>40000</v>
      </c>
      <c r="E1700" s="438">
        <v>1</v>
      </c>
      <c r="F1700" s="439">
        <f t="shared" si="7"/>
        <v>40000</v>
      </c>
      <c r="G1700" s="440"/>
      <c r="H1700" s="447">
        <v>58231</v>
      </c>
    </row>
    <row r="1701" spans="1:8" ht="13.2">
      <c r="A1701" s="454" t="s">
        <v>1618</v>
      </c>
      <c r="B1701" s="452" t="str">
        <f>VLOOKUP(A1701,'Thống kê'!$C$3:$D$669,2,0)</f>
        <v>Kẹp tóc bướm hồng trắng</v>
      </c>
      <c r="C1701" s="436" t="str">
        <f>VLOOKUP(A1701,'Thống kê'!$C$3:$E$682,3,0)</f>
        <v>cái</v>
      </c>
      <c r="D1701" s="437">
        <f>VLOOKUP(A1701,'Thống kê'!$C$3:$M$682,4,0)</f>
        <v>52000</v>
      </c>
      <c r="E1701" s="438">
        <v>1</v>
      </c>
      <c r="F1701" s="439">
        <f t="shared" si="7"/>
        <v>52000</v>
      </c>
      <c r="G1701" s="440"/>
      <c r="H1701" s="446"/>
    </row>
    <row r="1702" spans="1:8" ht="13.2">
      <c r="A1702" s="454" t="s">
        <v>1936</v>
      </c>
      <c r="B1702" s="452" t="str">
        <f>VLOOKUP(A1702,'Thống kê'!$C$3:$D$669,2,0)</f>
        <v>Kẹp tóc hoa sứ vàng</v>
      </c>
      <c r="C1702" s="436" t="str">
        <f>VLOOKUP(A1702,'Thống kê'!$C$3:$E$682,3,0)</f>
        <v>cái</v>
      </c>
      <c r="D1702" s="437">
        <f>VLOOKUP(A1702,'Thống kê'!$C$3:$M$682,4,0)</f>
        <v>18500</v>
      </c>
      <c r="E1702" s="438">
        <v>1</v>
      </c>
      <c r="F1702" s="439">
        <f t="shared" si="7"/>
        <v>18500</v>
      </c>
      <c r="G1702" s="440"/>
      <c r="H1702" s="446"/>
    </row>
    <row r="1703" spans="1:8" ht="13.2">
      <c r="A1703" s="454" t="s">
        <v>2015</v>
      </c>
      <c r="B1703" s="452" t="str">
        <f>VLOOKUP(A1703,'Thống kê'!$C$3:$D$669,2,0)</f>
        <v>Móc khóa Popbean 11</v>
      </c>
      <c r="C1703" s="436" t="str">
        <f>VLOOKUP(A1703,'Thống kê'!$C$3:$E$682,3,0)</f>
        <v>cái</v>
      </c>
      <c r="D1703" s="437">
        <f>VLOOKUP(A1703,'Thống kê'!$C$3:$M$682,4,0)</f>
        <v>161850</v>
      </c>
      <c r="E1703" s="438">
        <v>1</v>
      </c>
      <c r="F1703" s="439">
        <f t="shared" si="7"/>
        <v>161850</v>
      </c>
      <c r="G1703" s="440"/>
      <c r="H1703" s="448">
        <v>133528</v>
      </c>
    </row>
    <row r="1704" spans="1:8" ht="13.2">
      <c r="A1704" s="454" t="s">
        <v>1695</v>
      </c>
      <c r="B1704" s="452" t="str">
        <f>VLOOKUP(A1704,'Thống kê'!$C$3:$D$669,2,0)</f>
        <v>Móc khóa Popbean 12</v>
      </c>
      <c r="C1704" s="436" t="str">
        <f>VLOOKUP(A1704,'Thống kê'!$C$3:$E$682,3,0)</f>
        <v>cái</v>
      </c>
      <c r="D1704" s="437">
        <f>VLOOKUP(A1704,'Thống kê'!$C$3:$M$682,4,0)</f>
        <v>139000</v>
      </c>
      <c r="E1704" s="438">
        <v>1</v>
      </c>
      <c r="F1704" s="439">
        <f t="shared" si="7"/>
        <v>139000</v>
      </c>
      <c r="G1704" s="440"/>
      <c r="H1704" s="448">
        <v>116160</v>
      </c>
    </row>
    <row r="1705" spans="1:8" ht="13.2">
      <c r="A1705" s="454" t="s">
        <v>2012</v>
      </c>
      <c r="B1705" s="452" t="str">
        <f>VLOOKUP(A1705,'Thống kê'!$C$3:$D$669,2,0)</f>
        <v>Móc khóa Popbean 02</v>
      </c>
      <c r="C1705" s="436" t="str">
        <f>VLOOKUP(A1705,'Thống kê'!$C$3:$E$682,3,0)</f>
        <v>cái</v>
      </c>
      <c r="D1705" s="437">
        <f>VLOOKUP(A1705,'Thống kê'!$C$3:$M$682,4,0)</f>
        <v>161850</v>
      </c>
      <c r="E1705" s="438">
        <v>1</v>
      </c>
      <c r="F1705" s="439">
        <f t="shared" si="7"/>
        <v>161850</v>
      </c>
      <c r="G1705" s="440"/>
      <c r="H1705" s="448">
        <v>133628</v>
      </c>
    </row>
    <row r="1706" spans="1:8" ht="13.2">
      <c r="A1706" s="454" t="s">
        <v>1633</v>
      </c>
      <c r="B1706" s="452" t="str">
        <f>VLOOKUP(A1706,'Thống kê'!$C$3:$D$669,2,0)</f>
        <v>Móc khóa đôi gà rán bia</v>
      </c>
      <c r="C1706" s="436" t="str">
        <f>VLOOKUP(A1706,'Thống kê'!$C$3:$E$682,3,0)</f>
        <v>cái</v>
      </c>
      <c r="D1706" s="437">
        <f>VLOOKUP(A1706,'Thống kê'!$C$3:$M$682,4,0)</f>
        <v>56580</v>
      </c>
      <c r="E1706" s="438">
        <v>1</v>
      </c>
      <c r="F1706" s="439">
        <f t="shared" si="7"/>
        <v>56580</v>
      </c>
      <c r="G1706" s="440"/>
      <c r="H1706" s="447">
        <v>303000</v>
      </c>
    </row>
    <row r="1707" spans="1:8" ht="13.2">
      <c r="A1707" s="454" t="s">
        <v>1694</v>
      </c>
      <c r="B1707" s="452" t="str">
        <f>VLOOKUP(A1707,'Thống kê'!$C$3:$D$669,2,0)</f>
        <v>Móc khóa Popbean 10</v>
      </c>
      <c r="C1707" s="436" t="str">
        <f>VLOOKUP(A1707,'Thống kê'!$C$3:$E$682,3,0)</f>
        <v>cái</v>
      </c>
      <c r="D1707" s="437">
        <f>VLOOKUP(A1707,'Thống kê'!$C$3:$M$682,4,0)</f>
        <v>161850</v>
      </c>
      <c r="E1707" s="438">
        <v>1</v>
      </c>
      <c r="F1707" s="439">
        <f t="shared" si="7"/>
        <v>161850</v>
      </c>
      <c r="G1707" s="440"/>
      <c r="H1707" s="446"/>
    </row>
    <row r="1708" spans="1:8" ht="13.2">
      <c r="A1708" s="454" t="s">
        <v>2022</v>
      </c>
      <c r="B1708" s="452" t="str">
        <f>VLOOKUP(A1708,'Thống kê'!$C$3:$D$669,2,0)</f>
        <v>Kẹp khuếch tán tinh dầu vịt đen</v>
      </c>
      <c r="C1708" s="436" t="str">
        <f>VLOOKUP(A1708,'Thống kê'!$C$3:$E$682,3,0)</f>
        <v>cái</v>
      </c>
      <c r="D1708" s="437">
        <f>VLOOKUP(A1708,'Thống kê'!$C$3:$M$682,4,0)</f>
        <v>142400</v>
      </c>
      <c r="E1708" s="438">
        <v>1</v>
      </c>
      <c r="F1708" s="439">
        <f t="shared" si="7"/>
        <v>142400</v>
      </c>
      <c r="G1708" s="440"/>
      <c r="H1708" s="446"/>
    </row>
    <row r="1709" spans="1:8" ht="13.2">
      <c r="A1709" s="454" t="s">
        <v>150</v>
      </c>
      <c r="B1709" s="452" t="str">
        <f>VLOOKUP(A1709,'Thống kê'!$C$3:$D$669,2,0)</f>
        <v>Móc khóa có chuông</v>
      </c>
      <c r="C1709" s="436" t="str">
        <f>VLOOKUP(A1709,'Thống kê'!$C$3:$E$682,3,0)</f>
        <v>cái</v>
      </c>
      <c r="D1709" s="437">
        <f>VLOOKUP(A1709,'Thống kê'!$C$3:$M$682,4,0)</f>
        <v>59000</v>
      </c>
      <c r="E1709" s="438">
        <v>1</v>
      </c>
      <c r="F1709" s="439">
        <f t="shared" si="7"/>
        <v>59000</v>
      </c>
      <c r="G1709" s="440"/>
      <c r="H1709" s="448">
        <v>46668</v>
      </c>
    </row>
    <row r="1710" spans="1:8" ht="13.2">
      <c r="A1710" s="454" t="s">
        <v>1694</v>
      </c>
      <c r="B1710" s="452" t="str">
        <f>VLOOKUP(A1710,'Thống kê'!$C$3:$D$669,2,0)</f>
        <v>Móc khóa Popbean 10</v>
      </c>
      <c r="C1710" s="436" t="str">
        <f>VLOOKUP(A1710,'Thống kê'!$C$3:$E$682,3,0)</f>
        <v>cái</v>
      </c>
      <c r="D1710" s="437">
        <f>VLOOKUP(A1710,'Thống kê'!$C$3:$M$682,4,0)</f>
        <v>161850</v>
      </c>
      <c r="E1710" s="438">
        <v>1</v>
      </c>
      <c r="F1710" s="439">
        <f t="shared" si="7"/>
        <v>161850</v>
      </c>
      <c r="G1710" s="440"/>
      <c r="H1710" s="448">
        <v>133628</v>
      </c>
    </row>
    <row r="1711" spans="1:8" ht="13.2">
      <c r="A1711" s="454" t="s">
        <v>150</v>
      </c>
      <c r="B1711" s="452" t="str">
        <f>VLOOKUP(A1711,'Thống kê'!$C$3:$D$669,2,0)</f>
        <v>Móc khóa có chuông</v>
      </c>
      <c r="C1711" s="436" t="str">
        <f>VLOOKUP(A1711,'Thống kê'!$C$3:$E$682,3,0)</f>
        <v>cái</v>
      </c>
      <c r="D1711" s="437">
        <f>VLOOKUP(A1711,'Thống kê'!$C$3:$M$682,4,0)</f>
        <v>59000</v>
      </c>
      <c r="E1711" s="438">
        <v>1</v>
      </c>
      <c r="F1711" s="439">
        <f t="shared" si="7"/>
        <v>59000</v>
      </c>
      <c r="G1711" s="440"/>
      <c r="H1711" s="448">
        <v>46668</v>
      </c>
    </row>
    <row r="1712" spans="1:8" ht="13.2">
      <c r="A1712" s="454" t="s">
        <v>183</v>
      </c>
      <c r="B1712" s="452" t="str">
        <f>VLOOKUP(A1712,'Thống kê'!$C$3:$D$669,2,0)</f>
        <v>Thỏ máy bay gắn xe</v>
      </c>
      <c r="C1712" s="436" t="str">
        <f>VLOOKUP(A1712,'Thống kê'!$C$3:$E$682,3,0)</f>
        <v>cái</v>
      </c>
      <c r="D1712" s="437">
        <f>VLOOKUP(A1712,'Thống kê'!$C$3:$M$682,4,0)</f>
        <v>45000</v>
      </c>
      <c r="E1712" s="438">
        <v>1</v>
      </c>
      <c r="F1712" s="439">
        <f t="shared" si="7"/>
        <v>45000</v>
      </c>
      <c r="G1712" s="440"/>
      <c r="H1712" s="447">
        <v>98660</v>
      </c>
    </row>
    <row r="1713" spans="1:8" ht="13.2">
      <c r="A1713" s="454" t="s">
        <v>2023</v>
      </c>
      <c r="B1713" s="452" t="str">
        <f>VLOOKUP(A1713,'Thống kê'!$C$3:$D$669,2,0)</f>
        <v>Túi chườm bụng gấu nâu 500ml</v>
      </c>
      <c r="C1713" s="436" t="str">
        <f>VLOOKUP(A1713,'Thống kê'!$C$3:$E$682,3,0)</f>
        <v>túi</v>
      </c>
      <c r="D1713" s="437">
        <f>VLOOKUP(A1713,'Thống kê'!$C$3:$M$682,4,0)</f>
        <v>81000</v>
      </c>
      <c r="E1713" s="438">
        <v>1</v>
      </c>
      <c r="F1713" s="439">
        <f t="shared" si="7"/>
        <v>81000</v>
      </c>
      <c r="G1713" s="440"/>
      <c r="H1713" s="446"/>
    </row>
    <row r="1714" spans="1:8" ht="13.2">
      <c r="A1714" s="454" t="s">
        <v>2006</v>
      </c>
      <c r="B1714" s="452" t="str">
        <f>VLOOKUP(A1714,'Thống kê'!$C$3:$D$669,2,0)</f>
        <v>Mô hình Popbean 11</v>
      </c>
      <c r="C1714" s="436" t="str">
        <f>VLOOKUP(A1714,'Thống kê'!$C$3:$E$682,3,0)</f>
        <v>cái</v>
      </c>
      <c r="D1714" s="437">
        <f>VLOOKUP(A1714,'Thống kê'!$C$3:$M$682,4,0)</f>
        <v>89000</v>
      </c>
      <c r="E1714" s="438">
        <v>2</v>
      </c>
      <c r="F1714" s="439">
        <f t="shared" si="7"/>
        <v>178000</v>
      </c>
      <c r="G1714" s="440"/>
      <c r="H1714" s="447">
        <v>660000</v>
      </c>
    </row>
    <row r="1715" spans="1:8" ht="13.2">
      <c r="A1715" s="454" t="s">
        <v>2024</v>
      </c>
      <c r="B1715" s="452" t="str">
        <f>VLOOKUP(A1715,'Thống kê'!$C$3:$D$669,2,0)</f>
        <v>Mô hình Popbean 13</v>
      </c>
      <c r="C1715" s="436" t="str">
        <f>VLOOKUP(A1715,'Thống kê'!$C$3:$E$682,3,0)</f>
        <v>cái</v>
      </c>
      <c r="D1715" s="437">
        <f>VLOOKUP(A1715,'Thống kê'!$C$3:$M$682,4,0)</f>
        <v>79000</v>
      </c>
      <c r="E1715" s="438">
        <v>1</v>
      </c>
      <c r="F1715" s="439">
        <f t="shared" si="7"/>
        <v>79000</v>
      </c>
      <c r="G1715" s="440"/>
      <c r="H1715" s="446"/>
    </row>
    <row r="1716" spans="1:8" ht="13.2">
      <c r="A1716" s="454" t="s">
        <v>2025</v>
      </c>
      <c r="B1716" s="452" t="str">
        <f>VLOOKUP(A1716,'Thống kê'!$C$3:$D$669,2,0)</f>
        <v>Mô hình Popbean 02</v>
      </c>
      <c r="C1716" s="436" t="str">
        <f>VLOOKUP(A1716,'Thống kê'!$C$3:$E$682,3,0)</f>
        <v>cái</v>
      </c>
      <c r="D1716" s="437">
        <f>VLOOKUP(A1716,'Thống kê'!$C$3:$M$682,4,0)</f>
        <v>92000</v>
      </c>
      <c r="E1716" s="438">
        <v>2</v>
      </c>
      <c r="F1716" s="439">
        <f t="shared" si="7"/>
        <v>184000</v>
      </c>
      <c r="G1716" s="440"/>
      <c r="H1716" s="446"/>
    </row>
    <row r="1717" spans="1:8" ht="13.2">
      <c r="A1717" s="454" t="s">
        <v>2026</v>
      </c>
      <c r="B1717" s="452" t="str">
        <f>VLOOKUP(A1717,'Thống kê'!$C$3:$D$669,2,0)</f>
        <v>Mô hình Popbean 08</v>
      </c>
      <c r="C1717" s="436" t="str">
        <f>VLOOKUP(A1717,'Thống kê'!$C$3:$E$682,3,0)</f>
        <v>cái</v>
      </c>
      <c r="D1717" s="437">
        <f>VLOOKUP(A1717,'Thống kê'!$C$3:$M$682,4,0)</f>
        <v>79000</v>
      </c>
      <c r="E1717" s="438">
        <v>1</v>
      </c>
      <c r="F1717" s="439">
        <f t="shared" si="7"/>
        <v>79000</v>
      </c>
      <c r="G1717" s="440"/>
      <c r="H1717" s="446"/>
    </row>
    <row r="1718" spans="1:8" ht="13.2">
      <c r="A1718" s="454" t="s">
        <v>2007</v>
      </c>
      <c r="B1718" s="452" t="str">
        <f>VLOOKUP(A1718,'Thống kê'!$C$3:$D$669,2,0)</f>
        <v>Mô hình Popbean 10</v>
      </c>
      <c r="C1718" s="436" t="str">
        <f>VLOOKUP(A1718,'Thống kê'!$C$3:$E$682,3,0)</f>
        <v>cái</v>
      </c>
      <c r="D1718" s="437">
        <f>VLOOKUP(A1718,'Thống kê'!$C$3:$M$682,4,0)</f>
        <v>89000</v>
      </c>
      <c r="E1718" s="438">
        <v>1</v>
      </c>
      <c r="F1718" s="439">
        <f t="shared" si="7"/>
        <v>89000</v>
      </c>
      <c r="G1718" s="440"/>
      <c r="H1718" s="446"/>
    </row>
    <row r="1719" spans="1:8" ht="13.2">
      <c r="A1719" s="454" t="s">
        <v>2027</v>
      </c>
      <c r="B1719" s="452" t="str">
        <f>VLOOKUP(A1719,'Thống kê'!$C$3:$D$669,2,0)</f>
        <v>Mô hình Popbean 12</v>
      </c>
      <c r="C1719" s="436" t="str">
        <f>VLOOKUP(A1719,'Thống kê'!$C$3:$E$682,3,0)</f>
        <v>cái</v>
      </c>
      <c r="D1719" s="437">
        <f>VLOOKUP(A1719,'Thống kê'!$C$3:$M$682,4,0)</f>
        <v>79000</v>
      </c>
      <c r="E1719" s="438">
        <v>1</v>
      </c>
      <c r="F1719" s="439">
        <f t="shared" si="7"/>
        <v>79000</v>
      </c>
      <c r="G1719" s="440"/>
      <c r="H1719" s="446"/>
    </row>
    <row r="1720" spans="1:8" ht="13.2">
      <c r="A1720" s="454" t="s">
        <v>2028</v>
      </c>
      <c r="B1720" s="452" t="str">
        <f>VLOOKUP(A1720,'Thống kê'!$C$3:$D$669,2,0)</f>
        <v>Mô hình Popbean 01</v>
      </c>
      <c r="C1720" s="436" t="str">
        <f>VLOOKUP(A1720,'Thống kê'!$C$3:$E$682,3,0)</f>
        <v>cái</v>
      </c>
      <c r="D1720" s="437">
        <f>VLOOKUP(A1720,'Thống kê'!$C$3:$M$682,4,0)</f>
        <v>92000</v>
      </c>
      <c r="E1720" s="438">
        <v>1</v>
      </c>
      <c r="F1720" s="439">
        <f t="shared" si="7"/>
        <v>92000</v>
      </c>
      <c r="G1720" s="440"/>
      <c r="H1720" s="446"/>
    </row>
    <row r="1721" spans="1:8" ht="13.2">
      <c r="A1721" s="454" t="s">
        <v>150</v>
      </c>
      <c r="B1721" s="452" t="str">
        <f>VLOOKUP(A1721,'Thống kê'!$C$3:$D$669,2,0)</f>
        <v>Móc khóa có chuông</v>
      </c>
      <c r="C1721" s="436" t="str">
        <f>VLOOKUP(A1721,'Thống kê'!$C$3:$E$682,3,0)</f>
        <v>cái</v>
      </c>
      <c r="D1721" s="437">
        <f>VLOOKUP(A1721,'Thống kê'!$C$3:$M$682,4,0)</f>
        <v>59000</v>
      </c>
      <c r="E1721" s="438">
        <v>1</v>
      </c>
      <c r="F1721" s="439">
        <f t="shared" si="7"/>
        <v>59000</v>
      </c>
      <c r="G1721" s="440"/>
      <c r="H1721" s="448">
        <v>46588</v>
      </c>
    </row>
    <row r="1722" spans="1:8" ht="13.2">
      <c r="A1722" s="454" t="s">
        <v>2017</v>
      </c>
      <c r="B1722" s="452" t="str">
        <f>VLOOKUP(A1722,'Thống kê'!$C$3:$D$669,2,0)</f>
        <v>Móc khóa Popbean 04</v>
      </c>
      <c r="C1722" s="436" t="str">
        <f>VLOOKUP(A1722,'Thống kê'!$C$3:$E$682,3,0)</f>
        <v>cái</v>
      </c>
      <c r="D1722" s="437">
        <f>VLOOKUP(A1722,'Thống kê'!$C$3:$M$682,4,0)</f>
        <v>161850</v>
      </c>
      <c r="E1722" s="438">
        <v>1</v>
      </c>
      <c r="F1722" s="439">
        <f t="shared" si="7"/>
        <v>161850</v>
      </c>
      <c r="G1722" s="440"/>
      <c r="H1722" s="448">
        <v>133628</v>
      </c>
    </row>
    <row r="1723" spans="1:8" ht="13.2">
      <c r="A1723" s="454" t="s">
        <v>150</v>
      </c>
      <c r="B1723" s="452" t="str">
        <f>VLOOKUP(A1723,'Thống kê'!$C$3:$D$669,2,0)</f>
        <v>Móc khóa có chuông</v>
      </c>
      <c r="C1723" s="436" t="str">
        <f>VLOOKUP(A1723,'Thống kê'!$C$3:$E$682,3,0)</f>
        <v>cái</v>
      </c>
      <c r="D1723" s="437">
        <f>VLOOKUP(A1723,'Thống kê'!$C$3:$M$682,4,0)</f>
        <v>59000</v>
      </c>
      <c r="E1723" s="438">
        <v>1</v>
      </c>
      <c r="F1723" s="439">
        <f t="shared" si="7"/>
        <v>59000</v>
      </c>
      <c r="G1723" s="440"/>
      <c r="H1723" s="448">
        <v>46668</v>
      </c>
    </row>
    <row r="1724" spans="1:8" ht="13.2">
      <c r="A1724" s="454" t="s">
        <v>1613</v>
      </c>
      <c r="B1724" s="452" t="str">
        <f>VLOOKUP(A1724,'Thống kê'!$C$3:$D$669,2,0)</f>
        <v>Kẹp tóc bướm xanh tím</v>
      </c>
      <c r="C1724" s="436" t="str">
        <f>VLOOKUP(A1724,'Thống kê'!$C$3:$E$682,3,0)</f>
        <v>cái</v>
      </c>
      <c r="D1724" s="437">
        <f>VLOOKUP(A1724,'Thống kê'!$C$3:$M$682,4,0)</f>
        <v>40000</v>
      </c>
      <c r="E1724" s="438">
        <v>1</v>
      </c>
      <c r="F1724" s="439">
        <f t="shared" si="7"/>
        <v>40000</v>
      </c>
      <c r="G1724" s="440"/>
      <c r="H1724" s="447">
        <v>32200</v>
      </c>
    </row>
    <row r="1725" spans="1:8" ht="13.2">
      <c r="A1725" s="454" t="s">
        <v>1618</v>
      </c>
      <c r="B1725" s="452" t="str">
        <f>VLOOKUP(A1725,'Thống kê'!$C$3:$D$669,2,0)</f>
        <v>Kẹp tóc bướm hồng trắng</v>
      </c>
      <c r="C1725" s="436" t="str">
        <f>VLOOKUP(A1725,'Thống kê'!$C$3:$E$682,3,0)</f>
        <v>cái</v>
      </c>
      <c r="D1725" s="437">
        <f>VLOOKUP(A1725,'Thống kê'!$C$3:$M$682,4,0)</f>
        <v>52000</v>
      </c>
      <c r="E1725" s="438">
        <v>1</v>
      </c>
      <c r="F1725" s="439">
        <f t="shared" si="7"/>
        <v>52000</v>
      </c>
      <c r="G1725" s="440"/>
      <c r="H1725" s="446"/>
    </row>
    <row r="1726" spans="1:8" ht="13.2">
      <c r="A1726" s="454" t="s">
        <v>1619</v>
      </c>
      <c r="B1726" s="452" t="str">
        <f>VLOOKUP(A1726,'Thống kê'!$C$3:$D$669,2,0)</f>
        <v>Kẹp tóc bướm xanh trắng</v>
      </c>
      <c r="C1726" s="436" t="str">
        <f>VLOOKUP(A1726,'Thống kê'!$C$3:$E$682,3,0)</f>
        <v>cái</v>
      </c>
      <c r="D1726" s="437">
        <f>VLOOKUP(A1726,'Thống kê'!$C$3:$M$682,4,0)</f>
        <v>52000</v>
      </c>
      <c r="E1726" s="438">
        <v>1</v>
      </c>
      <c r="F1726" s="439">
        <f t="shared" si="7"/>
        <v>52000</v>
      </c>
      <c r="G1726" s="440"/>
      <c r="H1726" s="446"/>
    </row>
    <row r="1727" spans="1:8" ht="13.2">
      <c r="A1727" s="454" t="s">
        <v>1935</v>
      </c>
      <c r="B1727" s="452" t="str">
        <f>VLOOKUP(A1727,'Thống kê'!$C$3:$D$669,2,0)</f>
        <v>Kẹp tóc hoa sứ hồng</v>
      </c>
      <c r="C1727" s="436" t="str">
        <f>VLOOKUP(A1727,'Thống kê'!$C$3:$E$682,3,0)</f>
        <v>cái</v>
      </c>
      <c r="D1727" s="437">
        <f>VLOOKUP(A1727,'Thống kê'!$C$3:$M$682,4,0)</f>
        <v>18500</v>
      </c>
      <c r="E1727" s="438">
        <v>1</v>
      </c>
      <c r="F1727" s="439">
        <f t="shared" si="7"/>
        <v>18500</v>
      </c>
      <c r="G1727" s="440"/>
      <c r="H1727" s="446"/>
    </row>
    <row r="1728" spans="1:8" ht="13.2">
      <c r="A1728" s="454" t="s">
        <v>1852</v>
      </c>
      <c r="B1728" s="452" t="str">
        <f>VLOOKUP(A1728,'Thống kê'!$C$3:$D$669,2,0)</f>
        <v>Ống 100 dây cột tóc đen</v>
      </c>
      <c r="C1728" s="436" t="str">
        <f>VLOOKUP(A1728,'Thống kê'!$C$3:$E$682,3,0)</f>
        <v>ống</v>
      </c>
      <c r="D1728" s="437">
        <f>VLOOKUP(A1728,'Thống kê'!$C$3:$M$682,4,0)</f>
        <v>30000</v>
      </c>
      <c r="E1728" s="438">
        <v>1</v>
      </c>
      <c r="F1728" s="439">
        <f t="shared" si="7"/>
        <v>30000</v>
      </c>
      <c r="G1728" s="440"/>
      <c r="H1728" s="446"/>
    </row>
    <row r="1729" spans="1:8" ht="13.2">
      <c r="A1729" s="454" t="s">
        <v>1976</v>
      </c>
      <c r="B1729" s="452" t="str">
        <f>VLOOKUP(A1729,'Thống kê'!$C$3:$D$669,2,0)</f>
        <v>Dao rọc giấy cún trắng</v>
      </c>
      <c r="C1729" s="436" t="str">
        <f>VLOOKUP(A1729,'Thống kê'!$C$3:$E$682,3,0)</f>
        <v>cái</v>
      </c>
      <c r="D1729" s="437">
        <f>VLOOKUP(A1729,'Thống kê'!$C$3:$M$682,4,0)</f>
        <v>9000</v>
      </c>
      <c r="E1729" s="438">
        <v>1</v>
      </c>
      <c r="F1729" s="439">
        <f t="shared" si="7"/>
        <v>9000</v>
      </c>
      <c r="G1729" s="440"/>
      <c r="H1729" s="447">
        <v>49180</v>
      </c>
    </row>
    <row r="1730" spans="1:8" ht="13.2">
      <c r="A1730" s="454" t="s">
        <v>1598</v>
      </c>
      <c r="B1730" s="452" t="str">
        <f>VLOOKUP(A1730,'Thống kê'!$C$3:$D$669,2,0)</f>
        <v>Dao rọc giấy 13</v>
      </c>
      <c r="C1730" s="436" t="str">
        <f>VLOOKUP(A1730,'Thống kê'!$C$3:$E$682,3,0)</f>
        <v>cái</v>
      </c>
      <c r="D1730" s="437">
        <f>VLOOKUP(A1730,'Thống kê'!$C$3:$M$682,4,0)</f>
        <v>12000</v>
      </c>
      <c r="E1730" s="438">
        <v>1</v>
      </c>
      <c r="F1730" s="439">
        <f t="shared" si="7"/>
        <v>12000</v>
      </c>
      <c r="G1730" s="440"/>
      <c r="H1730" s="446"/>
    </row>
    <row r="1731" spans="1:8" ht="13.2">
      <c r="A1731" s="454" t="s">
        <v>145</v>
      </c>
      <c r="B1731" s="452" t="str">
        <f>VLOOKUP(A1731,'Thống kê'!$C$3:$D$669,2,0)</f>
        <v>Thỏ đi vịt gắn xe</v>
      </c>
      <c r="C1731" s="436" t="str">
        <f>VLOOKUP(A1731,'Thống kê'!$C$3:$E$682,3,0)</f>
        <v>cái</v>
      </c>
      <c r="D1731" s="437">
        <f>VLOOKUP(A1731,'Thống kê'!$C$3:$M$682,4,0)</f>
        <v>45000</v>
      </c>
      <c r="E1731" s="438">
        <v>1</v>
      </c>
      <c r="F1731" s="439">
        <f t="shared" si="7"/>
        <v>45000</v>
      </c>
      <c r="G1731" s="440"/>
      <c r="H1731" s="446"/>
    </row>
    <row r="1732" spans="1:8" ht="13.2">
      <c r="A1732" s="454" t="s">
        <v>1625</v>
      </c>
      <c r="B1732" s="452" t="str">
        <f>VLOOKUP(A1732,'Thống kê'!$C$3:$D$669,2,0)</f>
        <v>Móc khóa đôi 2 mèo trắng nâu</v>
      </c>
      <c r="C1732" s="436" t="str">
        <f>VLOOKUP(A1732,'Thống kê'!$C$3:$E$682,3,0)</f>
        <v>cái</v>
      </c>
      <c r="D1732" s="437">
        <f>VLOOKUP(A1732,'Thống kê'!$C$3:$M$682,4,0)</f>
        <v>59000</v>
      </c>
      <c r="E1732" s="438">
        <v>1</v>
      </c>
      <c r="F1732" s="439">
        <f t="shared" si="7"/>
        <v>59000</v>
      </c>
      <c r="G1732" s="440"/>
      <c r="H1732" s="447">
        <v>95040</v>
      </c>
    </row>
    <row r="1733" spans="1:8" ht="13.2">
      <c r="A1733" s="454" t="s">
        <v>150</v>
      </c>
      <c r="B1733" s="452" t="str">
        <f>VLOOKUP(A1733,'Thống kê'!$C$3:$D$669,2,0)</f>
        <v>Móc khóa có chuông</v>
      </c>
      <c r="C1733" s="436" t="str">
        <f>VLOOKUP(A1733,'Thống kê'!$C$3:$E$682,3,0)</f>
        <v>cái</v>
      </c>
      <c r="D1733" s="437">
        <f>VLOOKUP(A1733,'Thống kê'!$C$3:$M$682,4,0)</f>
        <v>59000</v>
      </c>
      <c r="E1733" s="438">
        <v>1</v>
      </c>
      <c r="F1733" s="439">
        <f t="shared" si="7"/>
        <v>59000</v>
      </c>
      <c r="G1733" s="440"/>
      <c r="H1733" s="446"/>
    </row>
    <row r="1734" spans="1:8" ht="13.2">
      <c r="A1734" s="454" t="s">
        <v>2029</v>
      </c>
      <c r="B1734" s="452" t="str">
        <f>VLOOKUP(A1734,'Thống kê'!$C$3:$D$669,2,0)</f>
        <v>Móc khóa Popbean 07</v>
      </c>
      <c r="C1734" s="436" t="str">
        <f>VLOOKUP(A1734,'Thống kê'!$C$3:$E$682,3,0)</f>
        <v>cái</v>
      </c>
      <c r="D1734" s="437">
        <f>VLOOKUP(A1734,'Thống kê'!$C$3:$M$682,4,0)</f>
        <v>161850</v>
      </c>
      <c r="E1734" s="438">
        <v>1</v>
      </c>
      <c r="F1734" s="439">
        <f t="shared" si="7"/>
        <v>161850</v>
      </c>
      <c r="G1734" s="440"/>
      <c r="H1734" s="447">
        <v>240988</v>
      </c>
    </row>
    <row r="1735" spans="1:8" ht="13.2">
      <c r="A1735" s="454" t="s">
        <v>2012</v>
      </c>
      <c r="B1735" s="452" t="str">
        <f>VLOOKUP(A1735,'Thống kê'!$C$3:$D$669,2,0)</f>
        <v>Móc khóa Popbean 02</v>
      </c>
      <c r="C1735" s="436" t="str">
        <f>VLOOKUP(A1735,'Thống kê'!$C$3:$E$682,3,0)</f>
        <v>cái</v>
      </c>
      <c r="D1735" s="437">
        <f>VLOOKUP(A1735,'Thống kê'!$C$3:$M$682,4,0)</f>
        <v>161850</v>
      </c>
      <c r="E1735" s="438">
        <v>1</v>
      </c>
      <c r="F1735" s="439">
        <f t="shared" si="7"/>
        <v>161850</v>
      </c>
      <c r="G1735" s="440"/>
      <c r="H1735" s="446"/>
    </row>
    <row r="1736" spans="1:8" ht="13.2">
      <c r="A1736" s="454" t="s">
        <v>150</v>
      </c>
      <c r="B1736" s="452" t="str">
        <f>VLOOKUP(A1736,'Thống kê'!$C$3:$D$669,2,0)</f>
        <v>Móc khóa có chuông</v>
      </c>
      <c r="C1736" s="436" t="str">
        <f>VLOOKUP(A1736,'Thống kê'!$C$3:$E$682,3,0)</f>
        <v>cái</v>
      </c>
      <c r="D1736" s="437">
        <f>VLOOKUP(A1736,'Thống kê'!$C$3:$M$682,4,0)</f>
        <v>59000</v>
      </c>
      <c r="E1736" s="438">
        <v>1</v>
      </c>
      <c r="F1736" s="439">
        <f t="shared" si="7"/>
        <v>59000</v>
      </c>
      <c r="G1736" s="440"/>
      <c r="H1736" s="447">
        <v>92911</v>
      </c>
    </row>
    <row r="1737" spans="1:8" ht="13.2">
      <c r="A1737" s="454" t="s">
        <v>1594</v>
      </c>
      <c r="B1737" s="452" t="str">
        <f>VLOOKUP(A1737,'Thống kê'!$C$3:$D$669,2,0)</f>
        <v>Móc khóa đôi heo</v>
      </c>
      <c r="C1737" s="436" t="str">
        <f>VLOOKUP(A1737,'Thống kê'!$C$3:$E$682,3,0)</f>
        <v>cái</v>
      </c>
      <c r="D1737" s="437">
        <f>VLOOKUP(A1737,'Thống kê'!$C$3:$M$682,4,0)</f>
        <v>56580</v>
      </c>
      <c r="E1737" s="438">
        <v>1</v>
      </c>
      <c r="F1737" s="439">
        <f t="shared" si="7"/>
        <v>56580</v>
      </c>
      <c r="G1737" s="440"/>
      <c r="H1737" s="446"/>
    </row>
    <row r="1738" spans="1:8" ht="13.2">
      <c r="A1738" s="454" t="s">
        <v>1632</v>
      </c>
      <c r="B1738" s="452" t="str">
        <f>VLOOKUP(A1738,'Thống kê'!$C$3:$D$669,2,0)</f>
        <v>Móc khóa đôi mèo trắng</v>
      </c>
      <c r="C1738" s="436" t="str">
        <f>VLOOKUP(A1738,'Thống kê'!$C$3:$E$682,3,0)</f>
        <v>cái</v>
      </c>
      <c r="D1738" s="437">
        <f>VLOOKUP(A1738,'Thống kê'!$C$3:$M$682,4,0)</f>
        <v>59000</v>
      </c>
      <c r="E1738" s="438">
        <v>1</v>
      </c>
      <c r="F1738" s="439">
        <f t="shared" si="7"/>
        <v>59000</v>
      </c>
      <c r="G1738" s="440"/>
      <c r="H1738" s="448">
        <v>46388</v>
      </c>
    </row>
    <row r="1739" spans="1:8" ht="13.2">
      <c r="A1739" s="454" t="s">
        <v>150</v>
      </c>
      <c r="B1739" s="452" t="str">
        <f>VLOOKUP(A1739,'Thống kê'!$C$3:$D$669,2,0)</f>
        <v>Móc khóa có chuông</v>
      </c>
      <c r="C1739" s="436" t="str">
        <f>VLOOKUP(A1739,'Thống kê'!$C$3:$E$682,3,0)</f>
        <v>cái</v>
      </c>
      <c r="D1739" s="437">
        <f>VLOOKUP(A1739,'Thống kê'!$C$3:$M$682,4,0)</f>
        <v>59000</v>
      </c>
      <c r="E1739" s="438">
        <v>1</v>
      </c>
      <c r="F1739" s="439">
        <f t="shared" si="7"/>
        <v>59000</v>
      </c>
      <c r="G1739" s="440"/>
      <c r="H1739" s="448">
        <v>46448</v>
      </c>
    </row>
    <row r="1740" spans="1:8" ht="13.2">
      <c r="A1740" s="454" t="s">
        <v>2030</v>
      </c>
      <c r="B1740" s="452" t="str">
        <f>VLOOKUP(A1740,'Thống kê'!$C$3:$D$669,2,0)</f>
        <v>Kẹp càng cua lông hình gấu nâu đậm</v>
      </c>
      <c r="C1740" s="436" t="str">
        <f>VLOOKUP(A1740,'Thống kê'!$C$3:$E$682,3,0)</f>
        <v>cái</v>
      </c>
      <c r="D1740" s="437">
        <f>VLOOKUP(A1740,'Thống kê'!$C$3:$M$682,4,0)</f>
        <v>18000</v>
      </c>
      <c r="E1740" s="438">
        <v>1</v>
      </c>
      <c r="F1740" s="439">
        <f t="shared" si="7"/>
        <v>18000</v>
      </c>
      <c r="G1740" s="440"/>
      <c r="H1740" s="447">
        <v>86413</v>
      </c>
    </row>
    <row r="1741" spans="1:8" ht="13.2">
      <c r="A1741" s="454" t="s">
        <v>1643</v>
      </c>
      <c r="B1741" s="452" t="str">
        <f>VLOOKUP(A1741,'Thống kê'!$C$3:$D$669,2,0)</f>
        <v>Túi chườm bụng dâu (hồng đất) 1000ml</v>
      </c>
      <c r="C1741" s="436" t="str">
        <f>VLOOKUP(A1741,'Thống kê'!$C$3:$E$682,3,0)</f>
        <v>túi</v>
      </c>
      <c r="D1741" s="437">
        <f>VLOOKUP(A1741,'Thống kê'!$C$3:$M$682,4,0)</f>
        <v>101150</v>
      </c>
      <c r="E1741" s="438">
        <v>1</v>
      </c>
      <c r="F1741" s="439">
        <f t="shared" si="7"/>
        <v>101150</v>
      </c>
      <c r="G1741" s="440"/>
      <c r="H1741" s="446"/>
    </row>
    <row r="1742" spans="1:8" ht="13.2">
      <c r="A1742" s="454" t="s">
        <v>1972</v>
      </c>
      <c r="B1742" s="452" t="str">
        <f>VLOOKUP(A1742,'Thống kê'!$C$3:$D$669,2,0)</f>
        <v>Túi chườm bụng gấu nâu 500ml</v>
      </c>
      <c r="C1742" s="436" t="str">
        <f>VLOOKUP(A1742,'Thống kê'!$C$3:$E$682,3,0)</f>
        <v>túi</v>
      </c>
      <c r="D1742" s="437">
        <f>VLOOKUP(A1742,'Thống kê'!$C$3:$M$682,4,0)</f>
        <v>72250</v>
      </c>
      <c r="E1742" s="438">
        <v>1</v>
      </c>
      <c r="F1742" s="439">
        <f t="shared" si="7"/>
        <v>72250</v>
      </c>
      <c r="G1742" s="440"/>
      <c r="H1742" s="448">
        <v>67260</v>
      </c>
    </row>
    <row r="1743" spans="1:8" ht="13.2">
      <c r="A1743" s="454" t="s">
        <v>2015</v>
      </c>
      <c r="B1743" s="452" t="str">
        <f>VLOOKUP(A1743,'Thống kê'!$C$3:$D$669,2,0)</f>
        <v>Móc khóa Popbean 11</v>
      </c>
      <c r="C1743" s="436" t="str">
        <f>VLOOKUP(A1743,'Thống kê'!$C$3:$E$682,3,0)</f>
        <v>cái</v>
      </c>
      <c r="D1743" s="437">
        <f>VLOOKUP(A1743,'Thống kê'!$C$3:$M$682,4,0)</f>
        <v>161850</v>
      </c>
      <c r="E1743" s="438">
        <v>1</v>
      </c>
      <c r="F1743" s="439">
        <f t="shared" si="7"/>
        <v>161850</v>
      </c>
      <c r="G1743" s="440"/>
      <c r="H1743" s="447">
        <v>374870</v>
      </c>
    </row>
    <row r="1744" spans="1:8" ht="13.2">
      <c r="A1744" s="454" t="s">
        <v>1694</v>
      </c>
      <c r="B1744" s="452" t="str">
        <f>VLOOKUP(A1744,'Thống kê'!$C$3:$D$669,2,0)</f>
        <v>Móc khóa Popbean 10</v>
      </c>
      <c r="C1744" s="436" t="str">
        <f>VLOOKUP(A1744,'Thống kê'!$C$3:$E$682,3,0)</f>
        <v>cái</v>
      </c>
      <c r="D1744" s="437">
        <f>VLOOKUP(A1744,'Thống kê'!$C$3:$M$682,4,0)</f>
        <v>161850</v>
      </c>
      <c r="E1744" s="438">
        <v>1</v>
      </c>
      <c r="F1744" s="439">
        <f t="shared" si="7"/>
        <v>161850</v>
      </c>
      <c r="G1744" s="440"/>
      <c r="H1744" s="446"/>
    </row>
    <row r="1745" spans="1:8" ht="13.2">
      <c r="A1745" s="454" t="s">
        <v>2029</v>
      </c>
      <c r="B1745" s="452" t="str">
        <f>VLOOKUP(A1745,'Thống kê'!$C$3:$D$669,2,0)</f>
        <v>Móc khóa Popbean 07</v>
      </c>
      <c r="C1745" s="436" t="str">
        <f>VLOOKUP(A1745,'Thống kê'!$C$3:$E$682,3,0)</f>
        <v>cái</v>
      </c>
      <c r="D1745" s="437">
        <f>VLOOKUP(A1745,'Thống kê'!$C$3:$M$682,4,0)</f>
        <v>161850</v>
      </c>
      <c r="E1745" s="438">
        <v>1</v>
      </c>
      <c r="F1745" s="439">
        <f t="shared" si="7"/>
        <v>161850</v>
      </c>
      <c r="G1745" s="440"/>
      <c r="H1745" s="446"/>
    </row>
    <row r="1746" spans="1:8" ht="13.2">
      <c r="A1746" s="454" t="s">
        <v>1594</v>
      </c>
      <c r="B1746" s="452" t="str">
        <f>VLOOKUP(A1746,'Thống kê'!$C$3:$D$669,2,0)</f>
        <v>Móc khóa đôi heo</v>
      </c>
      <c r="C1746" s="436" t="str">
        <f>VLOOKUP(A1746,'Thống kê'!$C$3:$E$682,3,0)</f>
        <v>cái</v>
      </c>
      <c r="D1746" s="437">
        <f>VLOOKUP(A1746,'Thống kê'!$C$3:$M$682,4,0)</f>
        <v>56580</v>
      </c>
      <c r="E1746" s="438">
        <v>1</v>
      </c>
      <c r="F1746" s="439">
        <f t="shared" si="7"/>
        <v>56580</v>
      </c>
      <c r="G1746" s="440"/>
      <c r="H1746" s="448">
        <v>52491</v>
      </c>
    </row>
    <row r="1747" spans="1:8" ht="13.2">
      <c r="A1747" s="454" t="s">
        <v>2017</v>
      </c>
      <c r="B1747" s="452" t="str">
        <f>VLOOKUP(A1747,'Thống kê'!$C$3:$D$669,2,0)</f>
        <v>Móc khóa Popbean 04</v>
      </c>
      <c r="C1747" s="436" t="str">
        <f>VLOOKUP(A1747,'Thống kê'!$C$3:$E$682,3,0)</f>
        <v>cái</v>
      </c>
      <c r="D1747" s="437">
        <f>VLOOKUP(A1747,'Thống kê'!$C$3:$M$682,4,0)</f>
        <v>161850</v>
      </c>
      <c r="E1747" s="438">
        <v>1</v>
      </c>
      <c r="F1747" s="439">
        <f t="shared" si="7"/>
        <v>161850</v>
      </c>
      <c r="G1747" s="440"/>
      <c r="H1747" s="448">
        <v>133528</v>
      </c>
    </row>
    <row r="1748" spans="1:8" ht="13.2">
      <c r="A1748" s="454" t="s">
        <v>1624</v>
      </c>
      <c r="B1748" s="452" t="str">
        <f>VLOOKUP(A1748,'Thống kê'!$C$3:$D$669,2,0)</f>
        <v>Móc khóa mèo trái tim</v>
      </c>
      <c r="C1748" s="436" t="str">
        <f>VLOOKUP(A1748,'Thống kê'!$C$3:$E$682,3,0)</f>
        <v>cái</v>
      </c>
      <c r="D1748" s="437">
        <f>VLOOKUP(A1748,'Thống kê'!$C$3:$M$682,4,0)</f>
        <v>59000</v>
      </c>
      <c r="E1748" s="438">
        <v>1</v>
      </c>
      <c r="F1748" s="439">
        <f t="shared" si="7"/>
        <v>59000</v>
      </c>
      <c r="G1748" s="440"/>
      <c r="H1748" s="448">
        <v>46728</v>
      </c>
    </row>
    <row r="1749" spans="1:8" ht="13.2">
      <c r="A1749" s="454" t="s">
        <v>1624</v>
      </c>
      <c r="B1749" s="452" t="str">
        <f>VLOOKUP(A1749,'Thống kê'!$C$3:$D$669,2,0)</f>
        <v>Móc khóa mèo trái tim</v>
      </c>
      <c r="C1749" s="436" t="str">
        <f>VLOOKUP(A1749,'Thống kê'!$C$3:$E$682,3,0)</f>
        <v>cái</v>
      </c>
      <c r="D1749" s="437">
        <f>VLOOKUP(A1749,'Thống kê'!$C$3:$M$682,4,0)</f>
        <v>59000</v>
      </c>
      <c r="E1749" s="438">
        <v>1</v>
      </c>
      <c r="F1749" s="439">
        <f t="shared" si="7"/>
        <v>59000</v>
      </c>
      <c r="G1749" s="440"/>
      <c r="H1749" s="448">
        <v>46668</v>
      </c>
    </row>
    <row r="1750" spans="1:8" ht="13.2">
      <c r="A1750" s="454" t="s">
        <v>1594</v>
      </c>
      <c r="B1750" s="452" t="str">
        <f>VLOOKUP(A1750,'Thống kê'!$C$3:$D$669,2,0)</f>
        <v>Móc khóa đôi heo</v>
      </c>
      <c r="C1750" s="436" t="str">
        <f>VLOOKUP(A1750,'Thống kê'!$C$3:$E$682,3,0)</f>
        <v>cái</v>
      </c>
      <c r="D1750" s="437">
        <f>VLOOKUP(A1750,'Thống kê'!$C$3:$M$682,4,0)</f>
        <v>56580</v>
      </c>
      <c r="E1750" s="438">
        <v>1</v>
      </c>
      <c r="F1750" s="439">
        <f t="shared" si="7"/>
        <v>56580</v>
      </c>
      <c r="G1750" s="440"/>
      <c r="H1750" s="448">
        <v>44811</v>
      </c>
    </row>
    <row r="1751" spans="1:8" ht="13.2">
      <c r="A1751" s="454" t="s">
        <v>2016</v>
      </c>
      <c r="B1751" s="452" t="str">
        <f>VLOOKUP(A1751,'Thống kê'!$C$3:$D$669,2,0)</f>
        <v>Móc khóa Popbean 01</v>
      </c>
      <c r="C1751" s="436" t="str">
        <f>VLOOKUP(A1751,'Thống kê'!$C$3:$E$682,3,0)</f>
        <v>cái</v>
      </c>
      <c r="D1751" s="437">
        <f>VLOOKUP(A1751,'Thống kê'!$C$3:$M$682,4,0)</f>
        <v>161850</v>
      </c>
      <c r="E1751" s="438">
        <v>1</v>
      </c>
      <c r="F1751" s="439">
        <f t="shared" si="7"/>
        <v>161850</v>
      </c>
      <c r="G1751" s="440"/>
      <c r="H1751" s="448">
        <v>133568</v>
      </c>
    </row>
    <row r="1752" spans="1:8" ht="13.2">
      <c r="A1752" s="454" t="s">
        <v>1616</v>
      </c>
      <c r="B1752" s="452" t="str">
        <f>VLOOKUP(A1752,'Thống kê'!$C$3:$D$669,2,0)</f>
        <v>Kẹp tóc bướm hồng phấn</v>
      </c>
      <c r="C1752" s="436" t="str">
        <f>VLOOKUP(A1752,'Thống kê'!$C$3:$E$682,3,0)</f>
        <v>cái</v>
      </c>
      <c r="D1752" s="437">
        <f>VLOOKUP(A1752,'Thống kê'!$C$3:$M$682,4,0)</f>
        <v>40000</v>
      </c>
      <c r="E1752" s="438">
        <v>1</v>
      </c>
      <c r="F1752" s="439">
        <f t="shared" si="7"/>
        <v>40000</v>
      </c>
      <c r="G1752" s="440"/>
      <c r="H1752" s="448">
        <v>28100</v>
      </c>
    </row>
    <row r="1753" spans="1:8" ht="13.2">
      <c r="A1753" s="454" t="s">
        <v>2031</v>
      </c>
      <c r="B1753" s="452" t="str">
        <f>VLOOKUP(A1753,'Thống kê'!$C$3:$D$669,2,0)</f>
        <v>Vịt áo hồng treo gương</v>
      </c>
      <c r="C1753" s="436" t="str">
        <f>VLOOKUP(A1753,'Thống kê'!$C$3:$E$682,3,0)</f>
        <v>cái</v>
      </c>
      <c r="D1753" s="437">
        <f>VLOOKUP(A1753,'Thống kê'!$C$3:$M$682,4,0)</f>
        <v>155000</v>
      </c>
      <c r="E1753" s="438">
        <v>1</v>
      </c>
      <c r="F1753" s="439">
        <f t="shared" si="7"/>
        <v>155000</v>
      </c>
      <c r="G1753" s="440"/>
      <c r="H1753" s="448">
        <v>113960</v>
      </c>
    </row>
    <row r="1754" spans="1:8" ht="13.2">
      <c r="A1754" s="454" t="s">
        <v>2017</v>
      </c>
      <c r="B1754" s="452" t="str">
        <f>VLOOKUP(A1754,'Thống kê'!$C$3:$D$669,2,0)</f>
        <v>Móc khóa Popbean 04</v>
      </c>
      <c r="C1754" s="436" t="str">
        <f>VLOOKUP(A1754,'Thống kê'!$C$3:$E$682,3,0)</f>
        <v>cái</v>
      </c>
      <c r="D1754" s="437">
        <f>VLOOKUP(A1754,'Thống kê'!$C$3:$M$682,4,0)</f>
        <v>161850</v>
      </c>
      <c r="E1754" s="438">
        <v>1</v>
      </c>
      <c r="F1754" s="439">
        <f t="shared" si="7"/>
        <v>161850</v>
      </c>
      <c r="G1754" s="440"/>
      <c r="H1754" s="448">
        <v>133822</v>
      </c>
    </row>
    <row r="1755" spans="1:8" ht="13.2">
      <c r="A1755" s="454" t="s">
        <v>2032</v>
      </c>
      <c r="B1755" s="452" t="str">
        <f>VLOOKUP(A1755,'Thống kê'!$C$3:$D$669,2,0)</f>
        <v>Móc khóa capybara 2 - hồng balo tennis</v>
      </c>
      <c r="C1755" s="436" t="str">
        <f>VLOOKUP(A1755,'Thống kê'!$C$3:$E$682,3,0)</f>
        <v>cái</v>
      </c>
      <c r="D1755" s="437">
        <f>VLOOKUP(A1755,'Thống kê'!$C$3:$M$682,4,0)</f>
        <v>58800</v>
      </c>
      <c r="E1755" s="438">
        <v>1</v>
      </c>
      <c r="F1755" s="439">
        <f t="shared" si="7"/>
        <v>58800</v>
      </c>
      <c r="G1755" s="440"/>
      <c r="H1755" s="447">
        <v>194277</v>
      </c>
    </row>
    <row r="1756" spans="1:8" ht="13.2">
      <c r="A1756" s="454" t="s">
        <v>2033</v>
      </c>
      <c r="B1756" s="452" t="str">
        <f>VLOOKUP(A1756,'Thống kê'!$C$3:$D$669,2,0)</f>
        <v>Móc khóa capybara 5 - balo tennis</v>
      </c>
      <c r="C1756" s="436" t="str">
        <f>VLOOKUP(A1756,'Thống kê'!$C$3:$E$682,3,0)</f>
        <v>cái</v>
      </c>
      <c r="D1756" s="437">
        <f>VLOOKUP(A1756,'Thống kê'!$C$3:$M$682,4,0)</f>
        <v>58800</v>
      </c>
      <c r="E1756" s="438">
        <v>1</v>
      </c>
      <c r="F1756" s="439">
        <f t="shared" si="7"/>
        <v>58800</v>
      </c>
      <c r="G1756" s="440"/>
      <c r="H1756" s="446"/>
    </row>
    <row r="1757" spans="1:8" ht="13.2">
      <c r="A1757" s="454" t="s">
        <v>2034</v>
      </c>
      <c r="B1757" s="452" t="str">
        <f>VLOOKUP(A1757,'Thống kê'!$C$3:$D$669,2,0)</f>
        <v>Móc khóa capybara 6 - bóng tennis</v>
      </c>
      <c r="C1757" s="436" t="str">
        <f>VLOOKUP(A1757,'Thống kê'!$C$3:$E$682,3,0)</f>
        <v>cái</v>
      </c>
      <c r="D1757" s="437">
        <f>VLOOKUP(A1757,'Thống kê'!$C$3:$M$682,4,0)</f>
        <v>58800</v>
      </c>
      <c r="E1757" s="438">
        <v>1</v>
      </c>
      <c r="F1757" s="439">
        <f t="shared" si="7"/>
        <v>58800</v>
      </c>
      <c r="G1757" s="440"/>
      <c r="H1757" s="446"/>
    </row>
    <row r="1758" spans="1:8" ht="13.2">
      <c r="A1758" s="454" t="s">
        <v>1933</v>
      </c>
      <c r="B1758" s="452" t="str">
        <f>VLOOKUP(A1758,'Thống kê'!$C$3:$D$669,2,0)</f>
        <v>Móc khóa capybara 3 - bóng tennis</v>
      </c>
      <c r="C1758" s="436" t="str">
        <f>VLOOKUP(A1758,'Thống kê'!$C$3:$E$682,3,0)</f>
        <v>cái</v>
      </c>
      <c r="D1758" s="437">
        <f>VLOOKUP(A1758,'Thống kê'!$C$3:$M$682,4,0)</f>
        <v>58800</v>
      </c>
      <c r="E1758" s="438">
        <v>1</v>
      </c>
      <c r="F1758" s="439">
        <f t="shared" si="7"/>
        <v>58800</v>
      </c>
      <c r="G1758" s="440"/>
      <c r="H1758" s="446"/>
    </row>
    <row r="1759" spans="1:8" ht="13.2">
      <c r="A1759" s="454" t="s">
        <v>150</v>
      </c>
      <c r="B1759" s="452" t="str">
        <f>VLOOKUP(A1759,'Thống kê'!$C$3:$D$669,2,0)</f>
        <v>Móc khóa có chuông</v>
      </c>
      <c r="C1759" s="436" t="str">
        <f>VLOOKUP(A1759,'Thống kê'!$C$3:$E$682,3,0)</f>
        <v>cái</v>
      </c>
      <c r="D1759" s="437">
        <f>VLOOKUP(A1759,'Thống kê'!$C$3:$M$682,4,0)</f>
        <v>59000</v>
      </c>
      <c r="E1759" s="438">
        <v>1</v>
      </c>
      <c r="F1759" s="439">
        <f t="shared" si="7"/>
        <v>59000</v>
      </c>
      <c r="G1759" s="440"/>
      <c r="H1759" s="448">
        <v>46728</v>
      </c>
    </row>
    <row r="1760" spans="1:8" ht="13.2">
      <c r="A1760" s="454" t="s">
        <v>1594</v>
      </c>
      <c r="B1760" s="452" t="str">
        <f>VLOOKUP(A1760,'Thống kê'!$C$3:$D$669,2,0)</f>
        <v>Móc khóa đôi heo</v>
      </c>
      <c r="C1760" s="436" t="str">
        <f>VLOOKUP(A1760,'Thống kê'!$C$3:$E$682,3,0)</f>
        <v>cái</v>
      </c>
      <c r="D1760" s="437">
        <f>VLOOKUP(A1760,'Thống kê'!$C$3:$M$682,4,0)</f>
        <v>56580</v>
      </c>
      <c r="E1760" s="438">
        <v>1</v>
      </c>
      <c r="F1760" s="439">
        <f t="shared" si="7"/>
        <v>56580</v>
      </c>
      <c r="G1760" s="440"/>
      <c r="H1760" s="448">
        <v>51531</v>
      </c>
    </row>
    <row r="1761" spans="1:8" ht="13.2">
      <c r="A1761" s="454" t="s">
        <v>2014</v>
      </c>
      <c r="B1761" s="452" t="str">
        <f>VLOOKUP(A1761,'Thống kê'!$C$3:$D$669,2,0)</f>
        <v>Móc khóa Popbean 03</v>
      </c>
      <c r="C1761" s="436" t="str">
        <f>VLOOKUP(A1761,'Thống kê'!$C$3:$E$682,3,0)</f>
        <v>cái</v>
      </c>
      <c r="D1761" s="437">
        <f>VLOOKUP(A1761,'Thống kê'!$C$3:$M$682,4,0)</f>
        <v>161850</v>
      </c>
      <c r="E1761" s="438">
        <v>1</v>
      </c>
      <c r="F1761" s="439">
        <f t="shared" si="7"/>
        <v>161850</v>
      </c>
      <c r="G1761" s="440"/>
      <c r="H1761" s="447">
        <v>382745</v>
      </c>
    </row>
    <row r="1762" spans="1:8" ht="13.2">
      <c r="A1762" s="454" t="s">
        <v>2018</v>
      </c>
      <c r="B1762" s="452" t="str">
        <f>VLOOKUP(A1762,'Thống kê'!$C$3:$D$669,2,0)</f>
        <v>Móc khóa Popbean 05</v>
      </c>
      <c r="C1762" s="436" t="str">
        <f>VLOOKUP(A1762,'Thống kê'!$C$3:$E$682,3,0)</f>
        <v>cái</v>
      </c>
      <c r="D1762" s="437">
        <f>VLOOKUP(A1762,'Thống kê'!$C$3:$M$682,4,0)</f>
        <v>161850</v>
      </c>
      <c r="E1762" s="438">
        <v>1</v>
      </c>
      <c r="F1762" s="439">
        <f t="shared" si="7"/>
        <v>161850</v>
      </c>
      <c r="G1762" s="440"/>
      <c r="H1762" s="446"/>
    </row>
    <row r="1763" spans="1:8" ht="13.2">
      <c r="A1763" s="454" t="s">
        <v>2035</v>
      </c>
      <c r="B1763" s="452" t="str">
        <f>VLOOKUP(A1763,'Thống kê'!$C$3:$D$669,2,0)</f>
        <v>Móc khóa Popbean 14</v>
      </c>
      <c r="C1763" s="436" t="str">
        <f>VLOOKUP(A1763,'Thống kê'!$C$3:$E$682,3,0)</f>
        <v>cái</v>
      </c>
      <c r="D1763" s="437">
        <f>VLOOKUP(A1763,'Thống kê'!$C$3:$M$682,4,0)</f>
        <v>139000</v>
      </c>
      <c r="E1763" s="438">
        <v>1</v>
      </c>
      <c r="F1763" s="439">
        <f t="shared" si="7"/>
        <v>139000</v>
      </c>
      <c r="G1763" s="440"/>
      <c r="H1763" s="446"/>
    </row>
    <row r="1764" spans="1:8" ht="13.2">
      <c r="A1764" s="454" t="s">
        <v>115</v>
      </c>
      <c r="B1764" s="452" t="str">
        <f>VLOOKUP(A1764,'Thống kê'!$C$3:$D$669,2,0)</f>
        <v>Heo ú</v>
      </c>
      <c r="C1764" s="436" t="str">
        <f>VLOOKUP(A1764,'Thống kê'!$C$3:$E$682,3,0)</f>
        <v>cái</v>
      </c>
      <c r="D1764" s="437">
        <f>VLOOKUP(A1764,'Thống kê'!$C$3:$M$682,4,0)</f>
        <v>59500</v>
      </c>
      <c r="E1764" s="438">
        <v>-2</v>
      </c>
      <c r="F1764" s="439">
        <f t="shared" si="7"/>
        <v>-119000</v>
      </c>
      <c r="G1764" s="440"/>
      <c r="H1764" s="448">
        <v>-107000</v>
      </c>
    </row>
    <row r="1765" spans="1:8" ht="13.2">
      <c r="A1765" s="454" t="s">
        <v>2036</v>
      </c>
      <c r="B1765" s="452" t="str">
        <f>VLOOKUP(A1765,'Thống kê'!$C$3:$D$669,2,0)</f>
        <v>Móc khóa Popbean 13</v>
      </c>
      <c r="C1765" s="436" t="str">
        <f>VLOOKUP(A1765,'Thống kê'!$C$3:$E$682,3,0)</f>
        <v>cái</v>
      </c>
      <c r="D1765" s="437">
        <f>VLOOKUP(A1765,'Thống kê'!$C$3:$M$682,4,0)</f>
        <v>139000</v>
      </c>
      <c r="E1765" s="438">
        <v>2</v>
      </c>
      <c r="F1765" s="439">
        <f t="shared" si="7"/>
        <v>278000</v>
      </c>
      <c r="G1765" s="440"/>
      <c r="H1765" s="447">
        <v>344943</v>
      </c>
    </row>
    <row r="1766" spans="1:8" ht="13.2">
      <c r="A1766" s="454" t="s">
        <v>2035</v>
      </c>
      <c r="B1766" s="452" t="str">
        <f>VLOOKUP(A1766,'Thống kê'!$C$3:$D$669,2,0)</f>
        <v>Móc khóa Popbean 14</v>
      </c>
      <c r="C1766" s="436" t="str">
        <f>VLOOKUP(A1766,'Thống kê'!$C$3:$E$682,3,0)</f>
        <v>cái</v>
      </c>
      <c r="D1766" s="437">
        <f>VLOOKUP(A1766,'Thống kê'!$C$3:$M$682,4,0)</f>
        <v>139000</v>
      </c>
      <c r="E1766" s="438">
        <v>1</v>
      </c>
      <c r="F1766" s="439">
        <f t="shared" si="7"/>
        <v>139000</v>
      </c>
      <c r="G1766" s="440"/>
      <c r="H1766" s="446"/>
    </row>
    <row r="1767" spans="1:8" ht="13.2">
      <c r="A1767" s="454" t="s">
        <v>1617</v>
      </c>
      <c r="B1767" s="452" t="str">
        <f>VLOOKUP(A1767,'Thống kê'!$C$3:$D$669,2,0)</f>
        <v xml:space="preserve">Kẹp tóc bướm hồng </v>
      </c>
      <c r="C1767" s="436" t="str">
        <f>VLOOKUP(A1767,'Thống kê'!$C$3:$E$682,3,0)</f>
        <v>cái</v>
      </c>
      <c r="D1767" s="437">
        <f>VLOOKUP(A1767,'Thống kê'!$C$3:$M$682,4,0)</f>
        <v>40000</v>
      </c>
      <c r="E1767" s="438">
        <v>1</v>
      </c>
      <c r="F1767" s="439">
        <f t="shared" si="7"/>
        <v>40000</v>
      </c>
      <c r="G1767" s="440"/>
      <c r="H1767" s="447">
        <v>50688</v>
      </c>
    </row>
    <row r="1768" spans="1:8" ht="13.2">
      <c r="A1768" s="454" t="s">
        <v>1612</v>
      </c>
      <c r="B1768" s="452" t="str">
        <f>VLOOKUP(A1768,'Thống kê'!$C$3:$D$669,2,0)</f>
        <v>Kẹp tóc bướm trắng</v>
      </c>
      <c r="C1768" s="436" t="str">
        <f>VLOOKUP(A1768,'Thống kê'!$C$3:$E$682,3,0)</f>
        <v>cái</v>
      </c>
      <c r="D1768" s="437">
        <f>VLOOKUP(A1768,'Thống kê'!$C$3:$M$682,4,0)</f>
        <v>40000</v>
      </c>
      <c r="E1768" s="438">
        <v>1</v>
      </c>
      <c r="F1768" s="439">
        <f t="shared" si="7"/>
        <v>40000</v>
      </c>
      <c r="G1768" s="440"/>
      <c r="H1768" s="446"/>
    </row>
    <row r="1769" spans="1:8" ht="13.2">
      <c r="A1769" s="454" t="s">
        <v>2037</v>
      </c>
      <c r="B1769" s="452" t="str">
        <f>VLOOKUP(A1769,'Thống kê'!$C$3:$D$669,2,0)</f>
        <v>Vịt áo xanh treo gương</v>
      </c>
      <c r="C1769" s="436" t="str">
        <f>VLOOKUP(A1769,'Thống kê'!$C$3:$E$682,3,0)</f>
        <v>cái</v>
      </c>
      <c r="D1769" s="437">
        <f>VLOOKUP(A1769,'Thống kê'!$C$3:$M$682,4,0)</f>
        <v>155000</v>
      </c>
      <c r="E1769" s="438">
        <v>1</v>
      </c>
      <c r="F1769" s="439">
        <f t="shared" si="7"/>
        <v>155000</v>
      </c>
      <c r="G1769" s="440"/>
      <c r="H1769" s="448">
        <v>113960</v>
      </c>
    </row>
    <row r="1770" spans="1:8" ht="13.2">
      <c r="A1770" s="454" t="s">
        <v>1594</v>
      </c>
      <c r="B1770" s="452" t="str">
        <f>VLOOKUP(A1770,'Thống kê'!$C$3:$D$669,2,0)</f>
        <v>Móc khóa đôi heo</v>
      </c>
      <c r="C1770" s="436" t="str">
        <f>VLOOKUP(A1770,'Thống kê'!$C$3:$E$682,3,0)</f>
        <v>cái</v>
      </c>
      <c r="D1770" s="437">
        <f>VLOOKUP(A1770,'Thống kê'!$C$3:$M$682,4,0)</f>
        <v>56580</v>
      </c>
      <c r="E1770" s="438">
        <v>1</v>
      </c>
      <c r="F1770" s="439">
        <f t="shared" si="7"/>
        <v>56580</v>
      </c>
      <c r="G1770" s="440"/>
      <c r="H1770" s="448">
        <v>62091</v>
      </c>
    </row>
    <row r="1771" spans="1:8" ht="13.2">
      <c r="A1771" s="454" t="s">
        <v>150</v>
      </c>
      <c r="B1771" s="452" t="str">
        <f>VLOOKUP(A1771,'Thống kê'!$C$3:$D$669,2,0)</f>
        <v>Móc khóa có chuông</v>
      </c>
      <c r="C1771" s="436" t="str">
        <f>VLOOKUP(A1771,'Thống kê'!$C$3:$E$682,3,0)</f>
        <v>cái</v>
      </c>
      <c r="D1771" s="437">
        <f>VLOOKUP(A1771,'Thống kê'!$C$3:$M$682,4,0)</f>
        <v>59000</v>
      </c>
      <c r="E1771" s="438">
        <v>1</v>
      </c>
      <c r="F1771" s="439">
        <f t="shared" si="7"/>
        <v>59000</v>
      </c>
      <c r="G1771" s="440"/>
      <c r="H1771" s="448">
        <v>54888</v>
      </c>
    </row>
    <row r="1772" spans="1:8" ht="13.2">
      <c r="A1772" s="454" t="s">
        <v>1594</v>
      </c>
      <c r="B1772" s="452" t="str">
        <f>VLOOKUP(A1772,'Thống kê'!$C$3:$D$669,2,0)</f>
        <v>Móc khóa đôi heo</v>
      </c>
      <c r="C1772" s="436" t="str">
        <f>VLOOKUP(A1772,'Thống kê'!$C$3:$E$682,3,0)</f>
        <v>cái</v>
      </c>
      <c r="D1772" s="437">
        <f>VLOOKUP(A1772,'Thống kê'!$C$3:$M$682,4,0)</f>
        <v>56580</v>
      </c>
      <c r="E1772" s="438">
        <v>1</v>
      </c>
      <c r="F1772" s="439">
        <f t="shared" si="7"/>
        <v>56580</v>
      </c>
      <c r="G1772" s="440"/>
      <c r="H1772" s="448">
        <v>57291</v>
      </c>
    </row>
    <row r="1773" spans="1:8" ht="13.2">
      <c r="A1773" s="454" t="s">
        <v>1612</v>
      </c>
      <c r="B1773" s="452" t="str">
        <f>VLOOKUP(A1773,'Thống kê'!$C$3:$D$669,2,0)</f>
        <v>Kẹp tóc bướm trắng</v>
      </c>
      <c r="C1773" s="436" t="str">
        <f>VLOOKUP(A1773,'Thống kê'!$C$3:$E$682,3,0)</f>
        <v>cái</v>
      </c>
      <c r="D1773" s="437">
        <f>VLOOKUP(A1773,'Thống kê'!$C$3:$M$682,4,0)</f>
        <v>40000</v>
      </c>
      <c r="E1773" s="438">
        <v>1</v>
      </c>
      <c r="F1773" s="439">
        <f t="shared" si="7"/>
        <v>40000</v>
      </c>
      <c r="G1773" s="440"/>
      <c r="H1773" s="447">
        <v>64051</v>
      </c>
    </row>
    <row r="1774" spans="1:8" ht="13.2">
      <c r="A1774" s="454" t="s">
        <v>1618</v>
      </c>
      <c r="B1774" s="452" t="str">
        <f>VLOOKUP(A1774,'Thống kê'!$C$3:$D$669,2,0)</f>
        <v>Kẹp tóc bướm hồng trắng</v>
      </c>
      <c r="C1774" s="436" t="str">
        <f>VLOOKUP(A1774,'Thống kê'!$C$3:$E$682,3,0)</f>
        <v>cái</v>
      </c>
      <c r="D1774" s="437">
        <f>VLOOKUP(A1774,'Thống kê'!$C$3:$M$682,4,0)</f>
        <v>52000</v>
      </c>
      <c r="E1774" s="438">
        <v>1</v>
      </c>
      <c r="F1774" s="439">
        <f t="shared" si="7"/>
        <v>52000</v>
      </c>
      <c r="G1774" s="440"/>
      <c r="H1774" s="446"/>
    </row>
    <row r="1775" spans="1:8" ht="13.2">
      <c r="A1775" s="454" t="s">
        <v>2012</v>
      </c>
      <c r="B1775" s="452" t="str">
        <f>VLOOKUP(A1775,'Thống kê'!$C$3:$D$669,2,0)</f>
        <v>Móc khóa Popbean 02</v>
      </c>
      <c r="C1775" s="436" t="str">
        <f>VLOOKUP(A1775,'Thống kê'!$C$3:$E$682,3,0)</f>
        <v>cái</v>
      </c>
      <c r="D1775" s="437">
        <f>VLOOKUP(A1775,'Thống kê'!$C$3:$M$682,4,0)</f>
        <v>161850</v>
      </c>
      <c r="E1775" s="438">
        <v>1</v>
      </c>
      <c r="F1775" s="439">
        <f t="shared" si="7"/>
        <v>161850</v>
      </c>
      <c r="G1775" s="440"/>
      <c r="H1775" s="448">
        <v>133628</v>
      </c>
    </row>
    <row r="1776" spans="1:8" ht="13.2">
      <c r="A1776" s="454" t="s">
        <v>2022</v>
      </c>
      <c r="B1776" s="452" t="str">
        <f>VLOOKUP(A1776,'Thống kê'!$C$3:$D$669,2,0)</f>
        <v>Kẹp khuếch tán tinh dầu vịt đen</v>
      </c>
      <c r="C1776" s="436" t="str">
        <f>VLOOKUP(A1776,'Thống kê'!$C$3:$E$682,3,0)</f>
        <v>cái</v>
      </c>
      <c r="D1776" s="437">
        <f>VLOOKUP(A1776,'Thống kê'!$C$3:$M$682,4,0)</f>
        <v>142400</v>
      </c>
      <c r="E1776" s="438">
        <v>1</v>
      </c>
      <c r="F1776" s="439">
        <f t="shared" si="7"/>
        <v>142400</v>
      </c>
      <c r="G1776" s="440"/>
      <c r="H1776" s="448">
        <v>95920</v>
      </c>
    </row>
    <row r="1777" spans="1:8" ht="13.2">
      <c r="A1777" s="454" t="s">
        <v>2017</v>
      </c>
      <c r="B1777" s="452" t="str">
        <f>VLOOKUP(A1777,'Thống kê'!$C$3:$D$669,2,0)</f>
        <v>Móc khóa Popbean 04</v>
      </c>
      <c r="C1777" s="436" t="str">
        <f>VLOOKUP(A1777,'Thống kê'!$C$3:$E$682,3,0)</f>
        <v>cái</v>
      </c>
      <c r="D1777" s="437">
        <f>VLOOKUP(A1777,'Thống kê'!$C$3:$M$682,4,0)</f>
        <v>161850</v>
      </c>
      <c r="E1777" s="438">
        <v>1</v>
      </c>
      <c r="F1777" s="439">
        <f t="shared" si="7"/>
        <v>161850</v>
      </c>
      <c r="G1777" s="440"/>
      <c r="H1777" s="448">
        <v>133628</v>
      </c>
    </row>
    <row r="1778" spans="1:8" ht="13.2">
      <c r="A1778" s="454" t="s">
        <v>1972</v>
      </c>
      <c r="B1778" s="452" t="str">
        <f>VLOOKUP(A1778,'Thống kê'!$C$3:$D$669,2,0)</f>
        <v>Túi chườm bụng gấu nâu 500ml</v>
      </c>
      <c r="C1778" s="436" t="str">
        <f>VLOOKUP(A1778,'Thống kê'!$C$3:$E$682,3,0)</f>
        <v>túi</v>
      </c>
      <c r="D1778" s="437">
        <f>VLOOKUP(A1778,'Thống kê'!$C$3:$M$682,4,0)</f>
        <v>72250</v>
      </c>
      <c r="E1778" s="438">
        <v>1</v>
      </c>
      <c r="F1778" s="439">
        <f t="shared" si="7"/>
        <v>72250</v>
      </c>
      <c r="G1778" s="440"/>
      <c r="H1778" s="448">
        <v>66600</v>
      </c>
    </row>
    <row r="1779" spans="1:8" ht="13.2">
      <c r="A1779" s="454" t="s">
        <v>1634</v>
      </c>
      <c r="B1779" s="452" t="str">
        <f>VLOOKUP(A1779,'Thống kê'!$C$3:$D$669,2,0)</f>
        <v>Móc khóa mèo đen cá</v>
      </c>
      <c r="C1779" s="436" t="str">
        <f>VLOOKUP(A1779,'Thống kê'!$C$3:$E$682,3,0)</f>
        <v>cái</v>
      </c>
      <c r="D1779" s="437">
        <f>VLOOKUP(A1779,'Thống kê'!$C$3:$M$682,4,0)</f>
        <v>59000</v>
      </c>
      <c r="E1779" s="438">
        <v>1</v>
      </c>
      <c r="F1779" s="439">
        <f t="shared" si="7"/>
        <v>59000</v>
      </c>
      <c r="G1779" s="440"/>
      <c r="H1779" s="448">
        <v>48608</v>
      </c>
    </row>
    <row r="1780" spans="1:8" ht="13.2">
      <c r="A1780" s="454" t="s">
        <v>2013</v>
      </c>
      <c r="B1780" s="452" t="str">
        <f>VLOOKUP(A1780,'Thống kê'!$C$3:$D$669,2,0)</f>
        <v>Mô hình Popbean 15</v>
      </c>
      <c r="C1780" s="436" t="str">
        <f>VLOOKUP(A1780,'Thống kê'!$C$3:$E$682,3,0)</f>
        <v>cái</v>
      </c>
      <c r="D1780" s="437">
        <f>VLOOKUP(A1780,'Thống kê'!$C$3:$M$682,4,0)</f>
        <v>82000</v>
      </c>
      <c r="E1780" s="438">
        <v>1</v>
      </c>
      <c r="F1780" s="439">
        <f t="shared" si="7"/>
        <v>82000</v>
      </c>
      <c r="G1780" s="440"/>
      <c r="H1780" s="447">
        <v>202623</v>
      </c>
    </row>
    <row r="1781" spans="1:8" ht="13.2">
      <c r="A1781" s="454" t="s">
        <v>2038</v>
      </c>
      <c r="B1781" s="452" t="str">
        <f>VLOOKUP(A1781,'Thống kê'!$C$3:$D$669,2,0)</f>
        <v>Mô hình Popbean 04</v>
      </c>
      <c r="C1781" s="436" t="str">
        <f>VLOOKUP(A1781,'Thống kê'!$C$3:$E$682,3,0)</f>
        <v>cái</v>
      </c>
      <c r="D1781" s="437">
        <f>VLOOKUP(A1781,'Thống kê'!$C$3:$M$682,4,0)</f>
        <v>89000</v>
      </c>
      <c r="E1781" s="438">
        <v>1</v>
      </c>
      <c r="F1781" s="439">
        <f t="shared" si="7"/>
        <v>89000</v>
      </c>
      <c r="G1781" s="440"/>
      <c r="H1781" s="446"/>
    </row>
    <row r="1782" spans="1:8" ht="13.2">
      <c r="A1782" s="454" t="s">
        <v>1818</v>
      </c>
      <c r="B1782" s="452" t="str">
        <f>VLOOKUP(A1782,'Thống kê'!$C$3:$D$669,2,0)</f>
        <v>Mèo trắng treo gương</v>
      </c>
      <c r="C1782" s="436" t="str">
        <f>VLOOKUP(A1782,'Thống kê'!$C$3:$E$682,3,0)</f>
        <v>cái</v>
      </c>
      <c r="D1782" s="437">
        <f>VLOOKUP(A1782,'Thống kê'!$C$3:$M$682,4,0)</f>
        <v>71500</v>
      </c>
      <c r="E1782" s="438">
        <v>1</v>
      </c>
      <c r="F1782" s="439">
        <f t="shared" si="7"/>
        <v>71500</v>
      </c>
      <c r="G1782" s="440"/>
      <c r="H1782" s="446"/>
    </row>
    <row r="1783" spans="1:8" ht="13.2">
      <c r="A1783" s="454" t="s">
        <v>266</v>
      </c>
      <c r="B1783" s="452" t="str">
        <f>VLOOKUP(A1783,'Thống kê'!$C$3:$D$669,2,0)</f>
        <v>Kẹp Snack hình tam giác</v>
      </c>
      <c r="C1783" s="436" t="str">
        <f>VLOOKUP(A1783,'Thống kê'!$C$3:$E$682,3,0)</f>
        <v>cái</v>
      </c>
      <c r="D1783" s="437">
        <f>VLOOKUP(A1783,'Thống kê'!$C$3:$M$682,4,0)</f>
        <v>12000</v>
      </c>
      <c r="E1783" s="438">
        <v>1</v>
      </c>
      <c r="F1783" s="439">
        <f t="shared" si="7"/>
        <v>12000</v>
      </c>
      <c r="G1783" s="440"/>
      <c r="H1783" s="446"/>
    </row>
    <row r="1784" spans="1:8" ht="13.2">
      <c r="A1784" s="454" t="s">
        <v>1624</v>
      </c>
      <c r="B1784" s="452" t="str">
        <f>VLOOKUP(A1784,'Thống kê'!$C$3:$D$669,2,0)</f>
        <v>Móc khóa mèo trái tim</v>
      </c>
      <c r="C1784" s="436" t="str">
        <f>VLOOKUP(A1784,'Thống kê'!$C$3:$E$682,3,0)</f>
        <v>cái</v>
      </c>
      <c r="D1784" s="437">
        <f>VLOOKUP(A1784,'Thống kê'!$C$3:$M$682,4,0)</f>
        <v>59000</v>
      </c>
      <c r="E1784" s="438">
        <v>1</v>
      </c>
      <c r="F1784" s="439">
        <f t="shared" si="7"/>
        <v>59000</v>
      </c>
      <c r="G1784" s="440"/>
      <c r="H1784" s="448">
        <v>46728</v>
      </c>
    </row>
    <row r="1785" spans="1:8" ht="13.2">
      <c r="A1785" s="454" t="s">
        <v>1594</v>
      </c>
      <c r="B1785" s="452" t="str">
        <f>VLOOKUP(A1785,'Thống kê'!$C$3:$D$669,2,0)</f>
        <v>Móc khóa đôi heo</v>
      </c>
      <c r="C1785" s="436" t="str">
        <f>VLOOKUP(A1785,'Thống kê'!$C$3:$E$682,3,0)</f>
        <v>cái</v>
      </c>
      <c r="D1785" s="437">
        <f>VLOOKUP(A1785,'Thống kê'!$C$3:$M$682,4,0)</f>
        <v>56580</v>
      </c>
      <c r="E1785" s="438">
        <v>1</v>
      </c>
      <c r="F1785" s="439">
        <f t="shared" si="7"/>
        <v>56580</v>
      </c>
      <c r="G1785" s="440"/>
      <c r="H1785" s="448">
        <v>44511</v>
      </c>
    </row>
    <row r="1786" spans="1:8" ht="13.2">
      <c r="A1786" s="454" t="s">
        <v>1616</v>
      </c>
      <c r="B1786" s="452" t="str">
        <f>VLOOKUP(A1786,'Thống kê'!$C$3:$D$669,2,0)</f>
        <v>Kẹp tóc bướm hồng phấn</v>
      </c>
      <c r="C1786" s="436" t="str">
        <f>VLOOKUP(A1786,'Thống kê'!$C$3:$E$682,3,0)</f>
        <v>cái</v>
      </c>
      <c r="D1786" s="437">
        <f>VLOOKUP(A1786,'Thống kê'!$C$3:$M$682,4,0)</f>
        <v>40000</v>
      </c>
      <c r="E1786" s="438">
        <v>1</v>
      </c>
      <c r="F1786" s="439">
        <f t="shared" si="7"/>
        <v>40000</v>
      </c>
      <c r="G1786" s="440"/>
      <c r="H1786" s="448">
        <v>28100</v>
      </c>
    </row>
    <row r="1787" spans="1:8" ht="13.2">
      <c r="A1787" s="454" t="s">
        <v>150</v>
      </c>
      <c r="B1787" s="452" t="str">
        <f>VLOOKUP(A1787,'Thống kê'!$C$3:$D$669,2,0)</f>
        <v>Móc khóa có chuông</v>
      </c>
      <c r="C1787" s="436" t="str">
        <f>VLOOKUP(A1787,'Thống kê'!$C$3:$E$682,3,0)</f>
        <v>cái</v>
      </c>
      <c r="D1787" s="437">
        <f>VLOOKUP(A1787,'Thống kê'!$C$3:$M$682,4,0)</f>
        <v>59000</v>
      </c>
      <c r="E1787" s="438">
        <v>1</v>
      </c>
      <c r="F1787" s="439">
        <f t="shared" si="7"/>
        <v>59000</v>
      </c>
      <c r="G1787" s="440"/>
      <c r="H1787" s="448">
        <v>46568</v>
      </c>
    </row>
    <row r="1788" spans="1:8" ht="13.2">
      <c r="A1788" s="454" t="s">
        <v>2011</v>
      </c>
      <c r="B1788" s="452" t="str">
        <f>VLOOKUP(A1788,'Thống kê'!$C$3:$D$669,2,0)</f>
        <v>Kẹp khuếch tán tinh dầu spider man</v>
      </c>
      <c r="C1788" s="436" t="str">
        <f>VLOOKUP(A1788,'Thống kê'!$C$3:$E$682,3,0)</f>
        <v>cái</v>
      </c>
      <c r="D1788" s="437">
        <f>VLOOKUP(A1788,'Thống kê'!$C$3:$M$682,4,0)</f>
        <v>173550</v>
      </c>
      <c r="E1788" s="438">
        <v>1</v>
      </c>
      <c r="F1788" s="439">
        <f t="shared" si="7"/>
        <v>173550</v>
      </c>
      <c r="G1788" s="440"/>
      <c r="H1788" s="447">
        <v>224171</v>
      </c>
    </row>
    <row r="1789" spans="1:8" ht="13.2">
      <c r="A1789" s="454" t="s">
        <v>116</v>
      </c>
      <c r="B1789" s="452" t="str">
        <f>VLOOKUP(A1789,'Thống kê'!$C$3:$D$669,2,0)</f>
        <v>heo ú cầm hoa</v>
      </c>
      <c r="C1789" s="436" t="str">
        <f>VLOOKUP(A1789,'Thống kê'!$C$3:$E$682,3,0)</f>
        <v>cái</v>
      </c>
      <c r="D1789" s="437">
        <f>VLOOKUP(A1789,'Thống kê'!$C$3:$M$682,4,0)</f>
        <v>64500</v>
      </c>
      <c r="E1789" s="438">
        <v>1</v>
      </c>
      <c r="F1789" s="439">
        <f t="shared" si="7"/>
        <v>64500</v>
      </c>
      <c r="G1789" s="440"/>
      <c r="H1789" s="446"/>
    </row>
    <row r="1790" spans="1:8" ht="13.2">
      <c r="A1790" s="454" t="s">
        <v>150</v>
      </c>
      <c r="B1790" s="452" t="str">
        <f>VLOOKUP(A1790,'Thống kê'!$C$3:$D$669,2,0)</f>
        <v>Móc khóa có chuông</v>
      </c>
      <c r="C1790" s="436" t="str">
        <f>VLOOKUP(A1790,'Thống kê'!$C$3:$E$682,3,0)</f>
        <v>cái</v>
      </c>
      <c r="D1790" s="437">
        <f>VLOOKUP(A1790,'Thống kê'!$C$3:$M$682,4,0)</f>
        <v>59000</v>
      </c>
      <c r="E1790" s="438">
        <v>1</v>
      </c>
      <c r="F1790" s="439">
        <f t="shared" si="7"/>
        <v>59000</v>
      </c>
      <c r="G1790" s="440"/>
      <c r="H1790" s="446"/>
    </row>
    <row r="1791" spans="1:8" ht="13.2">
      <c r="A1791" s="454" t="s">
        <v>1930</v>
      </c>
      <c r="B1791" s="452" t="str">
        <f>VLOOKUP(A1791,'Thống kê'!$C$3:$D$669,2,0)</f>
        <v>Kẹp nơ hồng</v>
      </c>
      <c r="C1791" s="436" t="str">
        <f>VLOOKUP(A1791,'Thống kê'!$C$3:$E$682,3,0)</f>
        <v>cái</v>
      </c>
      <c r="D1791" s="437">
        <f>VLOOKUP(A1791,'Thống kê'!$C$3:$M$682,4,0)</f>
        <v>22000</v>
      </c>
      <c r="E1791" s="438">
        <v>1</v>
      </c>
      <c r="F1791" s="439">
        <f t="shared" si="7"/>
        <v>22000</v>
      </c>
      <c r="G1791" s="440"/>
      <c r="H1791" s="447">
        <v>94688</v>
      </c>
    </row>
    <row r="1792" spans="1:8" ht="13.2">
      <c r="A1792" s="454" t="s">
        <v>1947</v>
      </c>
      <c r="B1792" s="452" t="str">
        <f>VLOOKUP(A1792,'Thống kê'!$C$3:$D$669,2,0)</f>
        <v>Kẹp nơ trắng</v>
      </c>
      <c r="C1792" s="436" t="str">
        <f>VLOOKUP(A1792,'Thống kê'!$C$3:$E$682,3,0)</f>
        <v>cái</v>
      </c>
      <c r="D1792" s="437">
        <f>VLOOKUP(A1792,'Thống kê'!$C$3:$M$682,4,0)</f>
        <v>22000</v>
      </c>
      <c r="E1792" s="438">
        <v>1</v>
      </c>
      <c r="F1792" s="439">
        <f t="shared" si="7"/>
        <v>22000</v>
      </c>
      <c r="G1792" s="440"/>
      <c r="H1792" s="446"/>
    </row>
    <row r="1793" spans="1:8" ht="13.2">
      <c r="A1793" s="454" t="s">
        <v>1615</v>
      </c>
      <c r="B1793" s="452" t="str">
        <f>VLOOKUP(A1793,'Thống kê'!$C$3:$D$669,2,0)</f>
        <v>Kẹp tóc bướm tím</v>
      </c>
      <c r="C1793" s="436" t="str">
        <f>VLOOKUP(A1793,'Thống kê'!$C$3:$E$682,3,0)</f>
        <v>cái</v>
      </c>
      <c r="D1793" s="437">
        <f>VLOOKUP(A1793,'Thống kê'!$C$3:$M$682,4,0)</f>
        <v>40000</v>
      </c>
      <c r="E1793" s="438">
        <v>1</v>
      </c>
      <c r="F1793" s="439">
        <f t="shared" si="7"/>
        <v>40000</v>
      </c>
      <c r="G1793" s="440"/>
      <c r="H1793" s="446"/>
    </row>
    <row r="1794" spans="1:8" ht="13.2">
      <c r="A1794" s="454" t="s">
        <v>1619</v>
      </c>
      <c r="B1794" s="452" t="str">
        <f>VLOOKUP(A1794,'Thống kê'!$C$3:$D$669,2,0)</f>
        <v>Kẹp tóc bướm xanh trắng</v>
      </c>
      <c r="C1794" s="436" t="str">
        <f>VLOOKUP(A1794,'Thống kê'!$C$3:$E$682,3,0)</f>
        <v>cái</v>
      </c>
      <c r="D1794" s="437">
        <f>VLOOKUP(A1794,'Thống kê'!$C$3:$M$682,4,0)</f>
        <v>52000</v>
      </c>
      <c r="E1794" s="438">
        <v>1</v>
      </c>
      <c r="F1794" s="439">
        <f t="shared" si="7"/>
        <v>52000</v>
      </c>
      <c r="G1794" s="440"/>
      <c r="H1794" s="446"/>
    </row>
    <row r="1795" spans="1:8" ht="13.2">
      <c r="A1795" s="454" t="s">
        <v>1935</v>
      </c>
      <c r="B1795" s="452" t="str">
        <f>VLOOKUP(A1795,'Thống kê'!$C$3:$D$669,2,0)</f>
        <v>Kẹp tóc hoa sứ hồng</v>
      </c>
      <c r="C1795" s="436" t="str">
        <f>VLOOKUP(A1795,'Thống kê'!$C$3:$E$682,3,0)</f>
        <v>cái</v>
      </c>
      <c r="D1795" s="437">
        <f>VLOOKUP(A1795,'Thống kê'!$C$3:$M$682,4,0)</f>
        <v>18500</v>
      </c>
      <c r="E1795" s="438">
        <v>1</v>
      </c>
      <c r="F1795" s="439">
        <f t="shared" si="7"/>
        <v>18500</v>
      </c>
      <c r="G1795" s="440"/>
      <c r="H1795" s="446"/>
    </row>
    <row r="1796" spans="1:8" ht="13.2">
      <c r="A1796" s="454" t="s">
        <v>2018</v>
      </c>
      <c r="B1796" s="452" t="str">
        <f>VLOOKUP(A1796,'Thống kê'!$C$3:$D$669,2,0)</f>
        <v>Móc khóa Popbean 05</v>
      </c>
      <c r="C1796" s="436" t="str">
        <f>VLOOKUP(A1796,'Thống kê'!$C$3:$E$682,3,0)</f>
        <v>cái</v>
      </c>
      <c r="D1796" s="437">
        <f>VLOOKUP(A1796,'Thống kê'!$C$3:$M$682,4,0)</f>
        <v>161850</v>
      </c>
      <c r="E1796" s="438">
        <v>1</v>
      </c>
      <c r="F1796" s="439">
        <f t="shared" si="7"/>
        <v>161850</v>
      </c>
      <c r="G1796" s="440"/>
      <c r="H1796" s="447">
        <v>267705</v>
      </c>
    </row>
    <row r="1797" spans="1:8" ht="13.2">
      <c r="A1797" s="454" t="s">
        <v>2012</v>
      </c>
      <c r="B1797" s="452" t="str">
        <f>VLOOKUP(A1797,'Thống kê'!$C$3:$D$669,2,0)</f>
        <v>Móc khóa Popbean 02</v>
      </c>
      <c r="C1797" s="436" t="str">
        <f>VLOOKUP(A1797,'Thống kê'!$C$3:$E$682,3,0)</f>
        <v>cái</v>
      </c>
      <c r="D1797" s="437">
        <f>VLOOKUP(A1797,'Thống kê'!$C$3:$M$682,4,0)</f>
        <v>161850</v>
      </c>
      <c r="E1797" s="438">
        <v>1</v>
      </c>
      <c r="F1797" s="439">
        <f t="shared" si="7"/>
        <v>161850</v>
      </c>
      <c r="G1797" s="440"/>
      <c r="H1797" s="446"/>
    </row>
    <row r="1798" spans="1:8" ht="13.2">
      <c r="A1798" s="454" t="s">
        <v>1624</v>
      </c>
      <c r="B1798" s="452" t="str">
        <f>VLOOKUP(A1798,'Thống kê'!$C$3:$D$669,2,0)</f>
        <v>Móc khóa mèo trái tim</v>
      </c>
      <c r="C1798" s="436" t="str">
        <f>VLOOKUP(A1798,'Thống kê'!$C$3:$E$682,3,0)</f>
        <v>cái</v>
      </c>
      <c r="D1798" s="437">
        <f>VLOOKUP(A1798,'Thống kê'!$C$3:$M$682,4,0)</f>
        <v>59000</v>
      </c>
      <c r="E1798" s="438">
        <v>1</v>
      </c>
      <c r="F1798" s="439">
        <f t="shared" si="7"/>
        <v>59000</v>
      </c>
      <c r="G1798" s="440"/>
      <c r="H1798" s="448">
        <v>46628</v>
      </c>
    </row>
    <row r="1799" spans="1:8" ht="13.2">
      <c r="A1799" s="454" t="s">
        <v>1790</v>
      </c>
      <c r="B1799" s="452" t="str">
        <f>VLOOKUP(A1799,'Thống kê'!$C$3:$D$669,2,0)</f>
        <v>Hộp thuốc nơ hồng</v>
      </c>
      <c r="C1799" s="436" t="str">
        <f>VLOOKUP(A1799,'Thống kê'!$C$3:$E$682,3,0)</f>
        <v>hộp</v>
      </c>
      <c r="D1799" s="437">
        <f>VLOOKUP(A1799,'Thống kê'!$C$3:$M$682,4,0)</f>
        <v>11000</v>
      </c>
      <c r="E1799" s="438">
        <v>1</v>
      </c>
      <c r="F1799" s="439">
        <f t="shared" si="7"/>
        <v>11000</v>
      </c>
      <c r="G1799" s="440"/>
      <c r="H1799" s="447">
        <v>222457</v>
      </c>
    </row>
    <row r="1800" spans="1:8" ht="13.2">
      <c r="A1800" s="454" t="s">
        <v>1977</v>
      </c>
      <c r="B1800" s="452" t="str">
        <f>VLOOKUP(A1800,'Thống kê'!$C$3:$D$669,2,0)</f>
        <v>Hộp thuốc dấu chân cún</v>
      </c>
      <c r="C1800" s="436" t="str">
        <f>VLOOKUP(A1800,'Thống kê'!$C$3:$E$682,3,0)</f>
        <v>hộp</v>
      </c>
      <c r="D1800" s="437">
        <f>VLOOKUP(A1800,'Thống kê'!$C$3:$M$682,4,0)</f>
        <v>11000</v>
      </c>
      <c r="E1800" s="438">
        <v>1</v>
      </c>
      <c r="F1800" s="439">
        <f t="shared" si="7"/>
        <v>11000</v>
      </c>
      <c r="G1800" s="440"/>
      <c r="H1800" s="446"/>
    </row>
    <row r="1801" spans="1:8" ht="13.2">
      <c r="A1801" s="454" t="s">
        <v>1648</v>
      </c>
      <c r="B1801" s="452" t="str">
        <f>VLOOKUP(A1801,'Thống kê'!$C$3:$D$669,2,0)</f>
        <v>Túi chườm bụng thỏ và dứa 1000ml</v>
      </c>
      <c r="C1801" s="436" t="str">
        <f>VLOOKUP(A1801,'Thống kê'!$C$3:$E$682,3,0)</f>
        <v>túi</v>
      </c>
      <c r="D1801" s="437">
        <f>VLOOKUP(A1801,'Thống kê'!$C$3:$M$682,4,0)</f>
        <v>101500</v>
      </c>
      <c r="E1801" s="438">
        <v>1</v>
      </c>
      <c r="F1801" s="439">
        <f t="shared" si="7"/>
        <v>101500</v>
      </c>
      <c r="G1801" s="440"/>
      <c r="H1801" s="446"/>
    </row>
    <row r="1802" spans="1:8" ht="13.2">
      <c r="A1802" s="454" t="s">
        <v>1643</v>
      </c>
      <c r="B1802" s="452" t="str">
        <f>VLOOKUP(A1802,'Thống kê'!$C$3:$D$669,2,0)</f>
        <v>Túi chườm bụng dâu (hồng đất) 1000ml</v>
      </c>
      <c r="C1802" s="436" t="str">
        <f>VLOOKUP(A1802,'Thống kê'!$C$3:$E$682,3,0)</f>
        <v>túi</v>
      </c>
      <c r="D1802" s="437">
        <f>VLOOKUP(A1802,'Thống kê'!$C$3:$M$682,4,0)</f>
        <v>101150</v>
      </c>
      <c r="E1802" s="438">
        <v>1</v>
      </c>
      <c r="F1802" s="439">
        <f t="shared" si="7"/>
        <v>101150</v>
      </c>
      <c r="G1802" s="440"/>
      <c r="H1802" s="446"/>
    </row>
    <row r="1803" spans="1:8" ht="13.2">
      <c r="A1803" s="454" t="s">
        <v>1603</v>
      </c>
      <c r="B1803" s="452" t="str">
        <f>VLOOKUP(A1803,'Thống kê'!$C$3:$D$669,2,0)</f>
        <v>Thước dây hồng phấn</v>
      </c>
      <c r="C1803" s="436" t="str">
        <f>VLOOKUP(A1803,'Thống kê'!$C$3:$E$682,3,0)</f>
        <v>cái</v>
      </c>
      <c r="D1803" s="437">
        <f>VLOOKUP(A1803,'Thống kê'!$C$3:$M$682,4,0)</f>
        <v>9000</v>
      </c>
      <c r="E1803" s="438">
        <v>1</v>
      </c>
      <c r="F1803" s="439">
        <f t="shared" si="7"/>
        <v>9000</v>
      </c>
      <c r="G1803" s="440"/>
      <c r="H1803" s="446"/>
    </row>
    <row r="1804" spans="1:8" ht="13.2">
      <c r="A1804" s="454" t="s">
        <v>2017</v>
      </c>
      <c r="B1804" s="452" t="str">
        <f>VLOOKUP(A1804,'Thống kê'!$C$3:$D$669,2,0)</f>
        <v>Móc khóa Popbean 04</v>
      </c>
      <c r="C1804" s="436" t="str">
        <f>VLOOKUP(A1804,'Thống kê'!$C$3:$E$682,3,0)</f>
        <v>cái</v>
      </c>
      <c r="D1804" s="437">
        <f>VLOOKUP(A1804,'Thống kê'!$C$3:$M$682,4,0)</f>
        <v>161850</v>
      </c>
      <c r="E1804" s="438">
        <v>1</v>
      </c>
      <c r="F1804" s="439">
        <f t="shared" si="7"/>
        <v>161850</v>
      </c>
      <c r="G1804" s="440"/>
      <c r="H1804" s="448">
        <v>133628</v>
      </c>
    </row>
    <row r="1805" spans="1:8" ht="13.2">
      <c r="A1805" s="454" t="s">
        <v>1624</v>
      </c>
      <c r="B1805" s="452" t="str">
        <f>VLOOKUP(A1805,'Thống kê'!$C$3:$D$669,2,0)</f>
        <v>Móc khóa mèo trái tim</v>
      </c>
      <c r="C1805" s="436" t="str">
        <f>VLOOKUP(A1805,'Thống kê'!$C$3:$E$682,3,0)</f>
        <v>cái</v>
      </c>
      <c r="D1805" s="437">
        <f>VLOOKUP(A1805,'Thống kê'!$C$3:$M$682,4,0)</f>
        <v>59000</v>
      </c>
      <c r="E1805" s="438">
        <v>1</v>
      </c>
      <c r="F1805" s="439">
        <f t="shared" si="7"/>
        <v>59000</v>
      </c>
      <c r="G1805" s="440"/>
      <c r="H1805" s="448">
        <v>46628</v>
      </c>
    </row>
    <row r="1806" spans="1:8" ht="13.2">
      <c r="A1806" s="454" t="s">
        <v>1625</v>
      </c>
      <c r="B1806" s="452" t="str">
        <f>VLOOKUP(A1806,'Thống kê'!$C$3:$D$669,2,0)</f>
        <v>Móc khóa đôi 2 mèo trắng nâu</v>
      </c>
      <c r="C1806" s="436" t="str">
        <f>VLOOKUP(A1806,'Thống kê'!$C$3:$E$682,3,0)</f>
        <v>cái</v>
      </c>
      <c r="D1806" s="437">
        <f>VLOOKUP(A1806,'Thống kê'!$C$3:$M$682,4,0)</f>
        <v>59000</v>
      </c>
      <c r="E1806" s="438">
        <v>1</v>
      </c>
      <c r="F1806" s="439">
        <f t="shared" si="7"/>
        <v>59000</v>
      </c>
      <c r="G1806" s="440"/>
      <c r="H1806" s="448">
        <v>51920</v>
      </c>
    </row>
    <row r="1807" spans="1:8" ht="13.2">
      <c r="A1807" s="454" t="s">
        <v>1633</v>
      </c>
      <c r="B1807" s="452" t="str">
        <f>VLOOKUP(A1807,'Thống kê'!$C$3:$D$669,2,0)</f>
        <v>Móc khóa đôi gà rán bia</v>
      </c>
      <c r="C1807" s="436" t="str">
        <f>VLOOKUP(A1807,'Thống kê'!$C$3:$E$682,3,0)</f>
        <v>cái</v>
      </c>
      <c r="D1807" s="437">
        <f>VLOOKUP(A1807,'Thống kê'!$C$3:$M$682,4,0)</f>
        <v>56580</v>
      </c>
      <c r="E1807" s="438">
        <v>1</v>
      </c>
      <c r="F1807" s="439">
        <f t="shared" si="7"/>
        <v>56580</v>
      </c>
      <c r="G1807" s="440"/>
      <c r="H1807" s="448">
        <v>44471</v>
      </c>
    </row>
    <row r="1808" spans="1:8" ht="13.2">
      <c r="A1808" s="454" t="s">
        <v>1928</v>
      </c>
      <c r="B1808" s="452" t="str">
        <f>VLOOKUP(A1808,'Thống kê'!$C$3:$D$669,2,0)</f>
        <v>Kẹp tóc xám trong</v>
      </c>
      <c r="C1808" s="436" t="str">
        <f>VLOOKUP(A1808,'Thống kê'!$C$3:$E$682,3,0)</f>
        <v>cái</v>
      </c>
      <c r="D1808" s="437">
        <f>VLOOKUP(A1808,'Thống kê'!$C$3:$M$682,4,0)</f>
        <v>14000</v>
      </c>
      <c r="E1808" s="438">
        <v>1</v>
      </c>
      <c r="F1808" s="439">
        <f t="shared" si="7"/>
        <v>14000</v>
      </c>
      <c r="G1808" s="440"/>
      <c r="H1808" s="447">
        <v>92048</v>
      </c>
    </row>
    <row r="1809" spans="1:8" ht="13.2">
      <c r="A1809" s="454" t="s">
        <v>150</v>
      </c>
      <c r="B1809" s="452" t="str">
        <f>VLOOKUP(A1809,'Thống kê'!$C$3:$D$669,2,0)</f>
        <v>Móc khóa có chuông</v>
      </c>
      <c r="C1809" s="436" t="str">
        <f>VLOOKUP(A1809,'Thống kê'!$C$3:$E$682,3,0)</f>
        <v>cái</v>
      </c>
      <c r="D1809" s="437">
        <f>VLOOKUP(A1809,'Thống kê'!$C$3:$M$682,4,0)</f>
        <v>59000</v>
      </c>
      <c r="E1809" s="438">
        <v>1</v>
      </c>
      <c r="F1809" s="439">
        <f t="shared" si="7"/>
        <v>59000</v>
      </c>
      <c r="G1809" s="440"/>
      <c r="H1809" s="446"/>
    </row>
    <row r="1810" spans="1:8" ht="13.2">
      <c r="A1810" s="454" t="s">
        <v>1618</v>
      </c>
      <c r="B1810" s="452" t="str">
        <f>VLOOKUP(A1810,'Thống kê'!$C$3:$D$669,2,0)</f>
        <v>Kẹp tóc bướm hồng trắng</v>
      </c>
      <c r="C1810" s="436" t="str">
        <f>VLOOKUP(A1810,'Thống kê'!$C$3:$E$682,3,0)</f>
        <v>cái</v>
      </c>
      <c r="D1810" s="437">
        <f>VLOOKUP(A1810,'Thống kê'!$C$3:$M$682,4,0)</f>
        <v>52000</v>
      </c>
      <c r="E1810" s="438">
        <v>1</v>
      </c>
      <c r="F1810" s="439">
        <f t="shared" si="7"/>
        <v>52000</v>
      </c>
      <c r="G1810" s="440"/>
      <c r="H1810" s="446"/>
    </row>
    <row r="1811" spans="1:8" ht="13.2">
      <c r="A1811" s="454" t="s">
        <v>1624</v>
      </c>
      <c r="B1811" s="452" t="str">
        <f>VLOOKUP(A1811,'Thống kê'!$C$3:$D$669,2,0)</f>
        <v>Móc khóa mèo trái tim</v>
      </c>
      <c r="C1811" s="436" t="str">
        <f>VLOOKUP(A1811,'Thống kê'!$C$3:$E$682,3,0)</f>
        <v>cái</v>
      </c>
      <c r="D1811" s="437">
        <f>VLOOKUP(A1811,'Thống kê'!$C$3:$M$682,4,0)</f>
        <v>59000</v>
      </c>
      <c r="E1811" s="438">
        <v>1</v>
      </c>
      <c r="F1811" s="439">
        <f t="shared" si="7"/>
        <v>59000</v>
      </c>
      <c r="G1811" s="440"/>
      <c r="H1811" s="448">
        <v>46208</v>
      </c>
    </row>
    <row r="1812" spans="1:8" ht="13.2">
      <c r="A1812" s="454" t="s">
        <v>1624</v>
      </c>
      <c r="B1812" s="452" t="str">
        <f>VLOOKUP(A1812,'Thống kê'!$C$3:$D$669,2,0)</f>
        <v>Móc khóa mèo trái tim</v>
      </c>
      <c r="C1812" s="436" t="str">
        <f>VLOOKUP(A1812,'Thống kê'!$C$3:$E$682,3,0)</f>
        <v>cái</v>
      </c>
      <c r="D1812" s="437">
        <f>VLOOKUP(A1812,'Thống kê'!$C$3:$M$682,4,0)</f>
        <v>59000</v>
      </c>
      <c r="E1812" s="438">
        <v>1</v>
      </c>
      <c r="F1812" s="439">
        <f t="shared" si="7"/>
        <v>59000</v>
      </c>
      <c r="G1812" s="440"/>
      <c r="H1812" s="448">
        <v>46668</v>
      </c>
    </row>
    <row r="1813" spans="1:8" ht="13.2">
      <c r="A1813" s="454" t="s">
        <v>150</v>
      </c>
      <c r="B1813" s="452" t="str">
        <f>VLOOKUP(A1813,'Thống kê'!$C$3:$D$669,2,0)</f>
        <v>Móc khóa có chuông</v>
      </c>
      <c r="C1813" s="436" t="str">
        <f>VLOOKUP(A1813,'Thống kê'!$C$3:$E$682,3,0)</f>
        <v>cái</v>
      </c>
      <c r="D1813" s="437">
        <f>VLOOKUP(A1813,'Thống kê'!$C$3:$M$682,4,0)</f>
        <v>59000</v>
      </c>
      <c r="E1813" s="438">
        <v>1</v>
      </c>
      <c r="F1813" s="439">
        <f t="shared" si="7"/>
        <v>59000</v>
      </c>
      <c r="G1813" s="440"/>
      <c r="H1813" s="448">
        <v>46668</v>
      </c>
    </row>
    <row r="1814" spans="1:8" ht="13.2">
      <c r="A1814" s="454" t="s">
        <v>227</v>
      </c>
      <c r="B1814" s="452" t="str">
        <f>VLOOKUP(A1814,'Thống kê'!$C$3:$D$669,2,0)</f>
        <v>Móc khóa đôi corgy</v>
      </c>
      <c r="C1814" s="436" t="str">
        <f>VLOOKUP(A1814,'Thống kê'!$C$3:$E$682,3,0)</f>
        <v>cái</v>
      </c>
      <c r="D1814" s="437">
        <f>VLOOKUP(A1814,'Thống kê'!$C$3:$M$682,4,0)</f>
        <v>56580</v>
      </c>
      <c r="E1814" s="438">
        <v>1</v>
      </c>
      <c r="F1814" s="439">
        <f t="shared" si="7"/>
        <v>56580</v>
      </c>
      <c r="G1814" s="440"/>
      <c r="H1814" s="448">
        <v>44491</v>
      </c>
    </row>
    <row r="1815" spans="1:8" ht="13.2">
      <c r="A1815" s="454" t="s">
        <v>2012</v>
      </c>
      <c r="B1815" s="452" t="str">
        <f>VLOOKUP(A1815,'Thống kê'!$C$3:$D$669,2,0)</f>
        <v>Móc khóa Popbean 02</v>
      </c>
      <c r="C1815" s="436" t="str">
        <f>VLOOKUP(A1815,'Thống kê'!$C$3:$E$682,3,0)</f>
        <v>cái</v>
      </c>
      <c r="D1815" s="437">
        <f>VLOOKUP(A1815,'Thống kê'!$C$3:$M$682,4,0)</f>
        <v>161850</v>
      </c>
      <c r="E1815" s="438">
        <v>1</v>
      </c>
      <c r="F1815" s="439">
        <f t="shared" si="7"/>
        <v>161850</v>
      </c>
      <c r="G1815" s="440"/>
      <c r="H1815" s="448">
        <v>133628</v>
      </c>
    </row>
    <row r="1816" spans="1:8" ht="13.2">
      <c r="A1816" s="454" t="s">
        <v>2035</v>
      </c>
      <c r="B1816" s="452" t="str">
        <f>VLOOKUP(A1816,'Thống kê'!$C$3:$D$669,2,0)</f>
        <v>Móc khóa Popbean 14</v>
      </c>
      <c r="C1816" s="436" t="str">
        <f>VLOOKUP(A1816,'Thống kê'!$C$3:$E$682,3,0)</f>
        <v>cái</v>
      </c>
      <c r="D1816" s="437">
        <f>VLOOKUP(A1816,'Thống kê'!$C$3:$M$682,4,0)</f>
        <v>139000</v>
      </c>
      <c r="E1816" s="438">
        <v>1</v>
      </c>
      <c r="F1816" s="439">
        <f t="shared" si="7"/>
        <v>139000</v>
      </c>
      <c r="G1816" s="440"/>
      <c r="H1816" s="447">
        <v>248863</v>
      </c>
    </row>
    <row r="1817" spans="1:8" ht="13.2">
      <c r="A1817" s="454" t="s">
        <v>2012</v>
      </c>
      <c r="B1817" s="452" t="str">
        <f>VLOOKUP(A1817,'Thống kê'!$C$3:$D$669,2,0)</f>
        <v>Móc khóa Popbean 02</v>
      </c>
      <c r="C1817" s="436" t="str">
        <f>VLOOKUP(A1817,'Thống kê'!$C$3:$E$682,3,0)</f>
        <v>cái</v>
      </c>
      <c r="D1817" s="437">
        <f>VLOOKUP(A1817,'Thống kê'!$C$3:$M$682,4,0)</f>
        <v>161850</v>
      </c>
      <c r="E1817" s="438">
        <v>1</v>
      </c>
      <c r="F1817" s="439">
        <f t="shared" si="7"/>
        <v>161850</v>
      </c>
      <c r="G1817" s="440"/>
      <c r="H1817" s="446"/>
    </row>
    <row r="1818" spans="1:8" ht="13.2">
      <c r="A1818" s="454" t="s">
        <v>1624</v>
      </c>
      <c r="B1818" s="452" t="str">
        <f>VLOOKUP(A1818,'Thống kê'!$C$3:$D$669,2,0)</f>
        <v>Móc khóa mèo trái tim</v>
      </c>
      <c r="C1818" s="436" t="str">
        <f>VLOOKUP(A1818,'Thống kê'!$C$3:$E$682,3,0)</f>
        <v>cái</v>
      </c>
      <c r="D1818" s="437">
        <f>VLOOKUP(A1818,'Thống kê'!$C$3:$M$682,4,0)</f>
        <v>59000</v>
      </c>
      <c r="E1818" s="438">
        <v>1</v>
      </c>
      <c r="F1818" s="439">
        <f t="shared" si="7"/>
        <v>59000</v>
      </c>
      <c r="G1818" s="440"/>
      <c r="H1818" s="448">
        <v>46388</v>
      </c>
    </row>
    <row r="1819" spans="1:8" ht="13.2">
      <c r="A1819" s="454" t="s">
        <v>116</v>
      </c>
      <c r="B1819" s="452" t="str">
        <f>VLOOKUP(A1819,'Thống kê'!$C$3:$D$669,2,0)</f>
        <v>heo ú cầm hoa</v>
      </c>
      <c r="C1819" s="436" t="str">
        <f>VLOOKUP(A1819,'Thống kê'!$C$3:$E$682,3,0)</f>
        <v>cái</v>
      </c>
      <c r="D1819" s="437">
        <f>VLOOKUP(A1819,'Thống kê'!$C$3:$M$682,4,0)</f>
        <v>64500</v>
      </c>
      <c r="E1819" s="438">
        <v>1</v>
      </c>
      <c r="F1819" s="439">
        <f t="shared" si="7"/>
        <v>64500</v>
      </c>
      <c r="G1819" s="440"/>
      <c r="H1819" s="448">
        <v>49340</v>
      </c>
    </row>
    <row r="1820" spans="1:8" ht="13.2">
      <c r="A1820" s="454" t="s">
        <v>1624</v>
      </c>
      <c r="B1820" s="452" t="str">
        <f>VLOOKUP(A1820,'Thống kê'!$C$3:$D$669,2,0)</f>
        <v>Móc khóa mèo trái tim</v>
      </c>
      <c r="C1820" s="436" t="str">
        <f>VLOOKUP(A1820,'Thống kê'!$C$3:$E$682,3,0)</f>
        <v>cái</v>
      </c>
      <c r="D1820" s="437">
        <f>VLOOKUP(A1820,'Thống kê'!$C$3:$M$682,4,0)</f>
        <v>59000</v>
      </c>
      <c r="E1820" s="438">
        <v>1</v>
      </c>
      <c r="F1820" s="439">
        <f t="shared" si="7"/>
        <v>59000</v>
      </c>
      <c r="G1820" s="440"/>
      <c r="H1820" s="448">
        <v>46668</v>
      </c>
    </row>
    <row r="1821" spans="1:8" ht="13.2">
      <c r="A1821" s="454" t="s">
        <v>150</v>
      </c>
      <c r="B1821" s="452" t="str">
        <f>VLOOKUP(A1821,'Thống kê'!$C$3:$D$669,2,0)</f>
        <v>Móc khóa có chuông</v>
      </c>
      <c r="C1821" s="436" t="str">
        <f>VLOOKUP(A1821,'Thống kê'!$C$3:$E$682,3,0)</f>
        <v>cái</v>
      </c>
      <c r="D1821" s="437">
        <f>VLOOKUP(A1821,'Thống kê'!$C$3:$M$682,4,0)</f>
        <v>59000</v>
      </c>
      <c r="E1821" s="438">
        <v>1</v>
      </c>
      <c r="F1821" s="439">
        <f t="shared" si="7"/>
        <v>59000</v>
      </c>
      <c r="G1821" s="440"/>
      <c r="H1821" s="448">
        <v>46728</v>
      </c>
    </row>
    <row r="1822" spans="1:8" ht="13.2">
      <c r="A1822" s="454" t="s">
        <v>2006</v>
      </c>
      <c r="B1822" s="452" t="str">
        <f>VLOOKUP(A1822,'Thống kê'!$C$3:$D$669,2,0)</f>
        <v>Mô hình Popbean 11</v>
      </c>
      <c r="C1822" s="436" t="str">
        <f>VLOOKUP(A1822,'Thống kê'!$C$3:$E$682,3,0)</f>
        <v>cái</v>
      </c>
      <c r="D1822" s="437">
        <f>VLOOKUP(A1822,'Thống kê'!$C$3:$M$682,4,0)</f>
        <v>89000</v>
      </c>
      <c r="E1822" s="438">
        <v>1</v>
      </c>
      <c r="F1822" s="439">
        <f t="shared" si="7"/>
        <v>89000</v>
      </c>
      <c r="G1822" s="440"/>
      <c r="H1822" s="448">
        <v>70148</v>
      </c>
    </row>
    <row r="1823" spans="1:8" ht="13.2">
      <c r="A1823" s="454" t="s">
        <v>1587</v>
      </c>
      <c r="B1823" s="452" t="str">
        <f>VLOOKUP(A1823,'Thống kê'!$C$3:$D$669,2,0)</f>
        <v>Vịt ú bay</v>
      </c>
      <c r="C1823" s="436" t="str">
        <f>VLOOKUP(A1823,'Thống kê'!$C$3:$E$682,3,0)</f>
        <v>cái</v>
      </c>
      <c r="D1823" s="437">
        <f>VLOOKUP(A1823,'Thống kê'!$C$3:$M$682,4,0)</f>
        <v>64500</v>
      </c>
      <c r="E1823" s="438">
        <v>1</v>
      </c>
      <c r="F1823" s="439">
        <f t="shared" si="7"/>
        <v>64500</v>
      </c>
      <c r="G1823" s="440"/>
      <c r="H1823" s="448">
        <v>48708</v>
      </c>
    </row>
    <row r="1824" spans="1:8" ht="13.2">
      <c r="A1824" s="454" t="s">
        <v>2036</v>
      </c>
      <c r="B1824" s="452" t="str">
        <f>VLOOKUP(A1824,'Thống kê'!$C$3:$D$669,2,0)</f>
        <v>Móc khóa Popbean 13</v>
      </c>
      <c r="C1824" s="436" t="str">
        <f>VLOOKUP(A1824,'Thống kê'!$C$3:$E$682,3,0)</f>
        <v>cái</v>
      </c>
      <c r="D1824" s="437">
        <f>VLOOKUP(A1824,'Thống kê'!$C$3:$M$682,4,0)</f>
        <v>139000</v>
      </c>
      <c r="E1824" s="438">
        <v>1</v>
      </c>
      <c r="F1824" s="439">
        <f t="shared" si="7"/>
        <v>139000</v>
      </c>
      <c r="G1824" s="440"/>
      <c r="H1824" s="448">
        <v>113520</v>
      </c>
    </row>
    <row r="1825" spans="1:8" ht="13.2">
      <c r="A1825" s="454" t="s">
        <v>2012</v>
      </c>
      <c r="B1825" s="452" t="str">
        <f>VLOOKUP(A1825,'Thống kê'!$C$3:$D$669,2,0)</f>
        <v>Móc khóa Popbean 02</v>
      </c>
      <c r="C1825" s="436" t="str">
        <f>VLOOKUP(A1825,'Thống kê'!$C$3:$E$682,3,0)</f>
        <v>cái</v>
      </c>
      <c r="D1825" s="437">
        <f>VLOOKUP(A1825,'Thống kê'!$C$3:$M$682,4,0)</f>
        <v>161850</v>
      </c>
      <c r="E1825" s="438">
        <v>1</v>
      </c>
      <c r="F1825" s="439">
        <f t="shared" si="7"/>
        <v>161850</v>
      </c>
      <c r="G1825" s="440"/>
      <c r="H1825" s="448">
        <v>133628</v>
      </c>
    </row>
    <row r="1826" spans="1:8" ht="13.2">
      <c r="A1826" s="454" t="s">
        <v>2014</v>
      </c>
      <c r="B1826" s="452" t="str">
        <f>VLOOKUP(A1826,'Thống kê'!$C$3:$D$669,2,0)</f>
        <v>Móc khóa Popbean 03</v>
      </c>
      <c r="C1826" s="436" t="str">
        <f>VLOOKUP(A1826,'Thống kê'!$C$3:$E$682,3,0)</f>
        <v>cái</v>
      </c>
      <c r="D1826" s="437">
        <f>VLOOKUP(A1826,'Thống kê'!$C$3:$M$682,4,0)</f>
        <v>161850</v>
      </c>
      <c r="E1826" s="438">
        <v>1</v>
      </c>
      <c r="F1826" s="439">
        <f t="shared" si="7"/>
        <v>161850</v>
      </c>
      <c r="G1826" s="440"/>
      <c r="H1826" s="447">
        <v>267765</v>
      </c>
    </row>
    <row r="1827" spans="1:8" ht="13.2">
      <c r="A1827" s="454" t="s">
        <v>2015</v>
      </c>
      <c r="B1827" s="452" t="str">
        <f>VLOOKUP(A1827,'Thống kê'!$C$3:$D$669,2,0)</f>
        <v>Móc khóa Popbean 11</v>
      </c>
      <c r="C1827" s="436" t="str">
        <f>VLOOKUP(A1827,'Thống kê'!$C$3:$E$682,3,0)</f>
        <v>cái</v>
      </c>
      <c r="D1827" s="437">
        <f>VLOOKUP(A1827,'Thống kê'!$C$3:$M$682,4,0)</f>
        <v>161850</v>
      </c>
      <c r="E1827" s="438">
        <v>1</v>
      </c>
      <c r="F1827" s="439">
        <f t="shared" si="7"/>
        <v>161850</v>
      </c>
      <c r="G1827" s="440"/>
      <c r="H1827" s="446"/>
    </row>
    <row r="1828" spans="1:8" ht="13.2">
      <c r="A1828" s="454" t="s">
        <v>1206</v>
      </c>
      <c r="B1828" s="452" t="str">
        <f>VLOOKUP(A1828,'Thống kê'!$C$3:$D$669,2,0)</f>
        <v>Móc khóa có chuông</v>
      </c>
      <c r="C1828" s="436" t="str">
        <f>VLOOKUP(A1828,'Thống kê'!$C$3:$E$682,3,0)</f>
        <v>cái</v>
      </c>
      <c r="D1828" s="437">
        <f>VLOOKUP(A1828,'Thống kê'!$C$3:$M$682,4,0)</f>
        <v>59000</v>
      </c>
      <c r="E1828" s="438">
        <v>1</v>
      </c>
      <c r="F1828" s="439">
        <f t="shared" si="7"/>
        <v>59000</v>
      </c>
      <c r="G1828" s="440"/>
      <c r="H1828" s="448">
        <v>46668</v>
      </c>
    </row>
    <row r="1829" spans="1:8" ht="13.2">
      <c r="A1829" s="454" t="s">
        <v>2009</v>
      </c>
      <c r="B1829" s="452" t="str">
        <f>VLOOKUP(A1829,'Thống kê'!$C$3:$D$669,2,0)</f>
        <v>Mô hình Popbean 07</v>
      </c>
      <c r="C1829" s="436" t="str">
        <f>VLOOKUP(A1829,'Thống kê'!$C$3:$E$682,3,0)</f>
        <v>cái</v>
      </c>
      <c r="D1829" s="437">
        <f>VLOOKUP(A1829,'Thống kê'!$C$3:$M$682,4,0)</f>
        <v>89500</v>
      </c>
      <c r="E1829" s="438">
        <v>2</v>
      </c>
      <c r="F1829" s="439">
        <f t="shared" si="7"/>
        <v>179000</v>
      </c>
      <c r="G1829" s="440"/>
      <c r="H1829" s="447">
        <v>868000</v>
      </c>
    </row>
    <row r="1830" spans="1:8" ht="13.2">
      <c r="A1830" s="454" t="s">
        <v>2008</v>
      </c>
      <c r="B1830" s="452" t="str">
        <f>VLOOKUP(A1830,'Thống kê'!$C$3:$D$669,2,0)</f>
        <v>Mô hình Popbean 06</v>
      </c>
      <c r="C1830" s="436" t="str">
        <f>VLOOKUP(A1830,'Thống kê'!$C$3:$E$682,3,0)</f>
        <v>cái</v>
      </c>
      <c r="D1830" s="437">
        <f>VLOOKUP(A1830,'Thống kê'!$C$3:$M$682,4,0)</f>
        <v>89500</v>
      </c>
      <c r="E1830" s="438">
        <v>1</v>
      </c>
      <c r="F1830" s="439">
        <f t="shared" si="7"/>
        <v>89500</v>
      </c>
      <c r="G1830" s="440"/>
      <c r="H1830" s="446"/>
    </row>
    <row r="1831" spans="1:8" ht="13.2">
      <c r="A1831" s="454" t="s">
        <v>2006</v>
      </c>
      <c r="B1831" s="452" t="str">
        <f>VLOOKUP(A1831,'Thống kê'!$C$3:$D$669,2,0)</f>
        <v>Mô hình Popbean 11</v>
      </c>
      <c r="C1831" s="436" t="str">
        <f>VLOOKUP(A1831,'Thống kê'!$C$3:$E$682,3,0)</f>
        <v>cái</v>
      </c>
      <c r="D1831" s="437">
        <f>VLOOKUP(A1831,'Thống kê'!$C$3:$M$682,4,0)</f>
        <v>89000</v>
      </c>
      <c r="E1831" s="438">
        <v>2</v>
      </c>
      <c r="F1831" s="439">
        <f t="shared" si="7"/>
        <v>178000</v>
      </c>
      <c r="G1831" s="440"/>
      <c r="H1831" s="446"/>
    </row>
    <row r="1832" spans="1:8" ht="13.2">
      <c r="A1832" s="454" t="s">
        <v>2013</v>
      </c>
      <c r="B1832" s="452" t="str">
        <f>VLOOKUP(A1832,'Thống kê'!$C$3:$D$669,2,0)</f>
        <v>Mô hình Popbean 15</v>
      </c>
      <c r="C1832" s="436" t="str">
        <f>VLOOKUP(A1832,'Thống kê'!$C$3:$E$682,3,0)</f>
        <v>cái</v>
      </c>
      <c r="D1832" s="437">
        <f>VLOOKUP(A1832,'Thống kê'!$C$3:$M$682,4,0)</f>
        <v>82000</v>
      </c>
      <c r="E1832" s="438">
        <v>2</v>
      </c>
      <c r="F1832" s="439">
        <f t="shared" si="7"/>
        <v>164000</v>
      </c>
      <c r="G1832" s="440"/>
      <c r="H1832" s="446"/>
    </row>
    <row r="1833" spans="1:8" ht="13.2">
      <c r="A1833" s="454" t="s">
        <v>2024</v>
      </c>
      <c r="B1833" s="452" t="str">
        <f>VLOOKUP(A1833,'Thống kê'!$C$3:$D$669,2,0)</f>
        <v>Mô hình Popbean 13</v>
      </c>
      <c r="C1833" s="436" t="str">
        <f>VLOOKUP(A1833,'Thống kê'!$C$3:$E$682,3,0)</f>
        <v>cái</v>
      </c>
      <c r="D1833" s="437">
        <f>VLOOKUP(A1833,'Thống kê'!$C$3:$M$682,4,0)</f>
        <v>79000</v>
      </c>
      <c r="E1833" s="438">
        <v>2</v>
      </c>
      <c r="F1833" s="439">
        <f t="shared" si="7"/>
        <v>158000</v>
      </c>
      <c r="G1833" s="440"/>
      <c r="H1833" s="446"/>
    </row>
    <row r="1834" spans="1:8" ht="13.2">
      <c r="A1834" s="454" t="s">
        <v>2027</v>
      </c>
      <c r="B1834" s="452" t="str">
        <f>VLOOKUP(A1834,'Thống kê'!$C$3:$D$669,2,0)</f>
        <v>Mô hình Popbean 12</v>
      </c>
      <c r="C1834" s="436" t="str">
        <f>VLOOKUP(A1834,'Thống kê'!$C$3:$E$682,3,0)</f>
        <v>cái</v>
      </c>
      <c r="D1834" s="437">
        <f>VLOOKUP(A1834,'Thống kê'!$C$3:$M$682,4,0)</f>
        <v>79000</v>
      </c>
      <c r="E1834" s="438">
        <v>1</v>
      </c>
      <c r="F1834" s="439">
        <f t="shared" si="7"/>
        <v>79000</v>
      </c>
      <c r="G1834" s="440"/>
      <c r="H1834" s="446"/>
    </row>
    <row r="1835" spans="1:8" ht="13.2">
      <c r="A1835" s="454" t="s">
        <v>2039</v>
      </c>
      <c r="B1835" s="452" t="str">
        <f>VLOOKUP(A1835,'Thống kê'!$C$3:$D$669,2,0)</f>
        <v>Mô hình Popbean 05</v>
      </c>
      <c r="C1835" s="436" t="str">
        <f>VLOOKUP(A1835,'Thống kê'!$C$3:$E$682,3,0)</f>
        <v>cái</v>
      </c>
      <c r="D1835" s="437">
        <f>VLOOKUP(A1835,'Thống kê'!$C$3:$M$682,4,0)</f>
        <v>89000</v>
      </c>
      <c r="E1835" s="438">
        <v>1</v>
      </c>
      <c r="F1835" s="439">
        <f t="shared" si="7"/>
        <v>89000</v>
      </c>
      <c r="G1835" s="440"/>
      <c r="H1835" s="446"/>
    </row>
    <row r="1836" spans="1:8" ht="13.2">
      <c r="A1836" s="454" t="s">
        <v>150</v>
      </c>
      <c r="B1836" s="452" t="str">
        <f>VLOOKUP(A1836,'Thống kê'!$C$3:$D$669,2,0)</f>
        <v>Móc khóa có chuông</v>
      </c>
      <c r="C1836" s="436" t="str">
        <f>VLOOKUP(A1836,'Thống kê'!$C$3:$E$682,3,0)</f>
        <v>cái</v>
      </c>
      <c r="D1836" s="437">
        <f>VLOOKUP(A1836,'Thống kê'!$C$3:$M$682,4,0)</f>
        <v>59000</v>
      </c>
      <c r="E1836" s="438">
        <v>1</v>
      </c>
      <c r="F1836" s="439">
        <f t="shared" si="7"/>
        <v>59000</v>
      </c>
      <c r="G1836" s="440"/>
      <c r="H1836" s="448">
        <v>46408</v>
      </c>
    </row>
    <row r="1837" spans="1:8" ht="13.2">
      <c r="A1837" s="454" t="s">
        <v>1695</v>
      </c>
      <c r="B1837" s="452" t="str">
        <f>VLOOKUP(A1837,'Thống kê'!$C$3:$D$669,2,0)</f>
        <v>Móc khóa Popbean 12</v>
      </c>
      <c r="C1837" s="436" t="str">
        <f>VLOOKUP(A1837,'Thống kê'!$C$3:$E$682,3,0)</f>
        <v>cái</v>
      </c>
      <c r="D1837" s="437">
        <f>VLOOKUP(A1837,'Thống kê'!$C$3:$M$682,4,0)</f>
        <v>139000</v>
      </c>
      <c r="E1837" s="438">
        <v>1</v>
      </c>
      <c r="F1837" s="439">
        <f t="shared" si="7"/>
        <v>139000</v>
      </c>
      <c r="G1837" s="440"/>
      <c r="H1837" s="448">
        <v>115500</v>
      </c>
    </row>
    <row r="1838" spans="1:8" ht="13.2">
      <c r="A1838" s="454" t="s">
        <v>2012</v>
      </c>
      <c r="B1838" s="452" t="str">
        <f>VLOOKUP(A1838,'Thống kê'!$C$3:$D$669,2,0)</f>
        <v>Móc khóa Popbean 02</v>
      </c>
      <c r="C1838" s="436" t="str">
        <f>VLOOKUP(A1838,'Thống kê'!$C$3:$E$682,3,0)</f>
        <v>cái</v>
      </c>
      <c r="D1838" s="437">
        <f>VLOOKUP(A1838,'Thống kê'!$C$3:$M$682,4,0)</f>
        <v>161850</v>
      </c>
      <c r="E1838" s="438">
        <v>1</v>
      </c>
      <c r="F1838" s="439">
        <f t="shared" si="7"/>
        <v>161850</v>
      </c>
      <c r="G1838" s="440"/>
      <c r="H1838" s="448">
        <v>133628</v>
      </c>
    </row>
    <row r="1839" spans="1:8" ht="13.2">
      <c r="A1839" s="454" t="s">
        <v>150</v>
      </c>
      <c r="B1839" s="452" t="str">
        <f>VLOOKUP(A1839,'Thống kê'!$C$3:$D$669,2,0)</f>
        <v>Móc khóa có chuông</v>
      </c>
      <c r="C1839" s="436" t="str">
        <f>VLOOKUP(A1839,'Thống kê'!$C$3:$E$682,3,0)</f>
        <v>cái</v>
      </c>
      <c r="D1839" s="437">
        <f>VLOOKUP(A1839,'Thống kê'!$C$3:$M$682,4,0)</f>
        <v>59000</v>
      </c>
      <c r="E1839" s="438">
        <v>1</v>
      </c>
      <c r="F1839" s="439">
        <f t="shared" si="7"/>
        <v>59000</v>
      </c>
      <c r="G1839" s="440"/>
      <c r="H1839" s="448">
        <v>46568</v>
      </c>
    </row>
    <row r="1840" spans="1:8" ht="13.2">
      <c r="A1840" s="454" t="s">
        <v>150</v>
      </c>
      <c r="B1840" s="452" t="str">
        <f>VLOOKUP(A1840,'Thống kê'!$C$3:$D$669,2,0)</f>
        <v>Móc khóa có chuông</v>
      </c>
      <c r="C1840" s="436" t="str">
        <f>VLOOKUP(A1840,'Thống kê'!$C$3:$E$682,3,0)</f>
        <v>cái</v>
      </c>
      <c r="D1840" s="437">
        <f>VLOOKUP(A1840,'Thống kê'!$C$3:$M$682,4,0)</f>
        <v>59000</v>
      </c>
      <c r="E1840" s="438">
        <v>1</v>
      </c>
      <c r="F1840" s="439">
        <f t="shared" ref="F1840:F2094" si="8">D1840*E1840</f>
        <v>59000</v>
      </c>
      <c r="G1840" s="440"/>
      <c r="H1840" s="448">
        <v>46388</v>
      </c>
    </row>
    <row r="1841" spans="1:8" ht="13.2">
      <c r="A1841" s="454" t="s">
        <v>1625</v>
      </c>
      <c r="B1841" s="452" t="str">
        <f>VLOOKUP(A1841,'Thống kê'!$C$3:$D$669,2,0)</f>
        <v>Móc khóa đôi 2 mèo trắng nâu</v>
      </c>
      <c r="C1841" s="436" t="str">
        <f>VLOOKUP(A1841,'Thống kê'!$C$3:$E$682,3,0)</f>
        <v>cái</v>
      </c>
      <c r="D1841" s="437">
        <f>VLOOKUP(A1841,'Thống kê'!$C$3:$M$682,4,0)</f>
        <v>59000</v>
      </c>
      <c r="E1841" s="438">
        <v>1</v>
      </c>
      <c r="F1841" s="439">
        <f t="shared" si="8"/>
        <v>59000</v>
      </c>
      <c r="G1841" s="440"/>
      <c r="H1841" s="447">
        <v>218877</v>
      </c>
    </row>
    <row r="1842" spans="1:8" ht="13.2">
      <c r="A1842" s="454" t="s">
        <v>2033</v>
      </c>
      <c r="B1842" s="452" t="str">
        <f>VLOOKUP(A1842,'Thống kê'!$C$3:$D$669,2,0)</f>
        <v>Móc khóa capybara 5 - balo tennis</v>
      </c>
      <c r="C1842" s="436" t="str">
        <f>VLOOKUP(A1842,'Thống kê'!$C$3:$E$682,3,0)</f>
        <v>cái</v>
      </c>
      <c r="D1842" s="437">
        <f>VLOOKUP(A1842,'Thống kê'!$C$3:$M$682,4,0)</f>
        <v>58800</v>
      </c>
      <c r="E1842" s="438">
        <v>1</v>
      </c>
      <c r="F1842" s="439">
        <f t="shared" si="8"/>
        <v>58800</v>
      </c>
      <c r="G1842" s="440"/>
      <c r="H1842" s="446"/>
    </row>
    <row r="1843" spans="1:8" ht="13.2">
      <c r="A1843" s="454" t="s">
        <v>1626</v>
      </c>
      <c r="B1843" s="452" t="str">
        <f>VLOOKUP(A1843,'Thống kê'!$C$3:$D$669,2,0)</f>
        <v>Móc khóa capybara</v>
      </c>
      <c r="C1843" s="436" t="str">
        <f>VLOOKUP(A1843,'Thống kê'!$C$3:$E$682,3,0)</f>
        <v>cái</v>
      </c>
      <c r="D1843" s="437">
        <f>VLOOKUP(A1843,'Thống kê'!$C$3:$M$682,4,0)</f>
        <v>58800</v>
      </c>
      <c r="E1843" s="438">
        <v>1</v>
      </c>
      <c r="F1843" s="439">
        <f t="shared" si="8"/>
        <v>58800</v>
      </c>
      <c r="G1843" s="440"/>
      <c r="H1843" s="446"/>
    </row>
    <row r="1844" spans="1:8" ht="13.2">
      <c r="A1844" s="454" t="s">
        <v>1584</v>
      </c>
      <c r="B1844" s="452" t="str">
        <f>VLOOKUP(A1844,'Thống kê'!$C$3:$D$669,2,0)</f>
        <v>Móc khoá mèo bông hồng trắng</v>
      </c>
      <c r="C1844" s="436" t="str">
        <f>VLOOKUP(A1844,'Thống kê'!$C$3:$E$682,3,0)</f>
        <v>cái</v>
      </c>
      <c r="D1844" s="437">
        <f>VLOOKUP(A1844,'Thống kê'!$C$3:$M$682,4,0)</f>
        <v>98000</v>
      </c>
      <c r="E1844" s="438">
        <v>1</v>
      </c>
      <c r="F1844" s="439">
        <f t="shared" si="8"/>
        <v>98000</v>
      </c>
      <c r="G1844" s="440"/>
      <c r="H1844" s="446"/>
    </row>
    <row r="1845" spans="1:8" ht="13.2">
      <c r="A1845" s="454" t="s">
        <v>1930</v>
      </c>
      <c r="B1845" s="452" t="str">
        <f>VLOOKUP(A1845,'Thống kê'!$C$3:$D$669,2,0)</f>
        <v>Kẹp nơ hồng</v>
      </c>
      <c r="C1845" s="436" t="str">
        <f>VLOOKUP(A1845,'Thống kê'!$C$3:$E$682,3,0)</f>
        <v>cái</v>
      </c>
      <c r="D1845" s="437">
        <f>VLOOKUP(A1845,'Thống kê'!$C$3:$M$682,4,0)</f>
        <v>22000</v>
      </c>
      <c r="E1845" s="438">
        <v>1</v>
      </c>
      <c r="F1845" s="439">
        <f t="shared" si="8"/>
        <v>22000</v>
      </c>
      <c r="G1845" s="440"/>
      <c r="H1845" s="448">
        <v>19020</v>
      </c>
    </row>
    <row r="1846" spans="1:8" ht="13.2">
      <c r="A1846" s="454" t="s">
        <v>1594</v>
      </c>
      <c r="B1846" s="452" t="str">
        <f>VLOOKUP(A1846,'Thống kê'!$C$3:$D$669,2,0)</f>
        <v>Móc khóa đôi heo</v>
      </c>
      <c r="C1846" s="436" t="str">
        <f>VLOOKUP(A1846,'Thống kê'!$C$3:$E$682,3,0)</f>
        <v>cái</v>
      </c>
      <c r="D1846" s="437">
        <f>VLOOKUP(A1846,'Thống kê'!$C$3:$M$682,4,0)</f>
        <v>56580</v>
      </c>
      <c r="E1846" s="438">
        <v>1</v>
      </c>
      <c r="F1846" s="439">
        <f t="shared" si="8"/>
        <v>56580</v>
      </c>
      <c r="G1846" s="440"/>
      <c r="H1846" s="448">
        <v>44491</v>
      </c>
    </row>
    <row r="1847" spans="1:8" ht="13.2">
      <c r="A1847" s="454" t="s">
        <v>1625</v>
      </c>
      <c r="B1847" s="452" t="str">
        <f>VLOOKUP(A1847,'Thống kê'!$C$3:$D$669,2,0)</f>
        <v>Móc khóa đôi 2 mèo trắng nâu</v>
      </c>
      <c r="C1847" s="436" t="str">
        <f>VLOOKUP(A1847,'Thống kê'!$C$3:$E$682,3,0)</f>
        <v>cái</v>
      </c>
      <c r="D1847" s="437">
        <f>VLOOKUP(A1847,'Thống kê'!$C$3:$M$682,4,0)</f>
        <v>59000</v>
      </c>
      <c r="E1847" s="438">
        <v>1</v>
      </c>
      <c r="F1847" s="439">
        <f t="shared" si="8"/>
        <v>59000</v>
      </c>
      <c r="G1847" s="440"/>
      <c r="H1847" s="448">
        <v>46728</v>
      </c>
    </row>
    <row r="1848" spans="1:8" ht="13.2">
      <c r="A1848" s="454" t="s">
        <v>2012</v>
      </c>
      <c r="B1848" s="452" t="str">
        <f>VLOOKUP(A1848,'Thống kê'!$C$3:$D$669,2,0)</f>
        <v>Móc khóa Popbean 02</v>
      </c>
      <c r="C1848" s="436" t="str">
        <f>VLOOKUP(A1848,'Thống kê'!$C$3:$E$682,3,0)</f>
        <v>cái</v>
      </c>
      <c r="D1848" s="437">
        <f>VLOOKUP(A1848,'Thống kê'!$C$3:$M$682,4,0)</f>
        <v>161850</v>
      </c>
      <c r="E1848" s="438">
        <v>1</v>
      </c>
      <c r="F1848" s="439">
        <f t="shared" si="8"/>
        <v>161850</v>
      </c>
      <c r="G1848" s="440"/>
      <c r="H1848" s="448">
        <v>133628</v>
      </c>
    </row>
    <row r="1849" spans="1:8" ht="13.2">
      <c r="A1849" s="454" t="s">
        <v>2012</v>
      </c>
      <c r="B1849" s="452" t="str">
        <f>VLOOKUP(A1849,'Thống kê'!$C$3:$D$669,2,0)</f>
        <v>Móc khóa Popbean 02</v>
      </c>
      <c r="C1849" s="436" t="str">
        <f>VLOOKUP(A1849,'Thống kê'!$C$3:$E$682,3,0)</f>
        <v>cái</v>
      </c>
      <c r="D1849" s="437">
        <f>VLOOKUP(A1849,'Thống kê'!$C$3:$M$682,4,0)</f>
        <v>161850</v>
      </c>
      <c r="E1849" s="438">
        <v>1</v>
      </c>
      <c r="F1849" s="439">
        <f t="shared" si="8"/>
        <v>161850</v>
      </c>
      <c r="G1849" s="440"/>
      <c r="H1849" s="448">
        <v>133628</v>
      </c>
    </row>
    <row r="1850" spans="1:8" ht="13.2">
      <c r="A1850" s="454" t="s">
        <v>2007</v>
      </c>
      <c r="B1850" s="452" t="str">
        <f>VLOOKUP(A1850,'Thống kê'!$C$3:$D$669,2,0)</f>
        <v>Mô hình Popbean 10</v>
      </c>
      <c r="C1850" s="436" t="str">
        <f>VLOOKUP(A1850,'Thống kê'!$C$3:$E$682,3,0)</f>
        <v>cái</v>
      </c>
      <c r="D1850" s="437">
        <f>VLOOKUP(A1850,'Thống kê'!$C$3:$M$682,4,0)</f>
        <v>89000</v>
      </c>
      <c r="E1850" s="438">
        <v>1</v>
      </c>
      <c r="F1850" s="439">
        <f t="shared" si="8"/>
        <v>89000</v>
      </c>
      <c r="G1850" s="440"/>
      <c r="H1850" s="448">
        <v>70488</v>
      </c>
    </row>
    <row r="1851" spans="1:8" ht="13.2">
      <c r="A1851" s="454" t="s">
        <v>1594</v>
      </c>
      <c r="B1851" s="452" t="str">
        <f>VLOOKUP(A1851,'Thống kê'!$C$3:$D$669,2,0)</f>
        <v>Móc khóa đôi heo</v>
      </c>
      <c r="C1851" s="436" t="str">
        <f>VLOOKUP(A1851,'Thống kê'!$C$3:$E$682,3,0)</f>
        <v>cái</v>
      </c>
      <c r="D1851" s="437">
        <f>VLOOKUP(A1851,'Thống kê'!$C$3:$M$682,4,0)</f>
        <v>56580</v>
      </c>
      <c r="E1851" s="438">
        <v>1</v>
      </c>
      <c r="F1851" s="439">
        <f t="shared" si="8"/>
        <v>56580</v>
      </c>
      <c r="G1851" s="440"/>
      <c r="H1851" s="448">
        <v>44491</v>
      </c>
    </row>
    <row r="1852" spans="1:8" ht="13.2">
      <c r="A1852" s="454" t="s">
        <v>150</v>
      </c>
      <c r="B1852" s="452" t="str">
        <f>VLOOKUP(A1852,'Thống kê'!$C$3:$D$669,2,0)</f>
        <v>Móc khóa có chuông</v>
      </c>
      <c r="C1852" s="436" t="str">
        <f>VLOOKUP(A1852,'Thống kê'!$C$3:$E$682,3,0)</f>
        <v>cái</v>
      </c>
      <c r="D1852" s="437">
        <f>VLOOKUP(A1852,'Thống kê'!$C$3:$M$682,4,0)</f>
        <v>59000</v>
      </c>
      <c r="E1852" s="438">
        <v>2</v>
      </c>
      <c r="F1852" s="439">
        <f t="shared" si="8"/>
        <v>118000</v>
      </c>
      <c r="G1852" s="440"/>
      <c r="H1852" s="448">
        <v>95040</v>
      </c>
    </row>
    <row r="1853" spans="1:8" ht="13.2">
      <c r="A1853" s="454" t="s">
        <v>1616</v>
      </c>
      <c r="B1853" s="452" t="str">
        <f>VLOOKUP(A1853,'Thống kê'!$C$3:$D$669,2,0)</f>
        <v>Kẹp tóc bướm hồng phấn</v>
      </c>
      <c r="C1853" s="436" t="str">
        <f>VLOOKUP(A1853,'Thống kê'!$C$3:$E$682,3,0)</f>
        <v>cái</v>
      </c>
      <c r="D1853" s="437">
        <f>VLOOKUP(A1853,'Thống kê'!$C$3:$M$682,4,0)</f>
        <v>40000</v>
      </c>
      <c r="E1853" s="438">
        <v>2</v>
      </c>
      <c r="F1853" s="439">
        <f t="shared" si="8"/>
        <v>80000</v>
      </c>
      <c r="G1853" s="440"/>
      <c r="H1853" s="447">
        <v>103120</v>
      </c>
    </row>
    <row r="1854" spans="1:8" ht="13.2">
      <c r="A1854" s="454" t="s">
        <v>1612</v>
      </c>
      <c r="B1854" s="452" t="str">
        <f>VLOOKUP(A1854,'Thống kê'!$C$3:$D$669,2,0)</f>
        <v>Kẹp tóc bướm trắng</v>
      </c>
      <c r="C1854" s="436" t="str">
        <f>VLOOKUP(A1854,'Thống kê'!$C$3:$E$682,3,0)</f>
        <v>cái</v>
      </c>
      <c r="D1854" s="437">
        <f>VLOOKUP(A1854,'Thống kê'!$C$3:$M$682,4,0)</f>
        <v>40000</v>
      </c>
      <c r="E1854" s="438">
        <v>2</v>
      </c>
      <c r="F1854" s="439">
        <f t="shared" si="8"/>
        <v>80000</v>
      </c>
      <c r="G1854" s="440"/>
      <c r="H1854" s="446"/>
    </row>
    <row r="1855" spans="1:8" ht="13.2">
      <c r="A1855" s="454" t="s">
        <v>1935</v>
      </c>
      <c r="B1855" s="452" t="str">
        <f>VLOOKUP(A1855,'Thống kê'!$C$3:$D$669,2,0)</f>
        <v>Kẹp tóc hoa sứ hồng</v>
      </c>
      <c r="C1855" s="436" t="str">
        <f>VLOOKUP(A1855,'Thống kê'!$C$3:$E$682,3,0)</f>
        <v>cái</v>
      </c>
      <c r="D1855" s="437">
        <f>VLOOKUP(A1855,'Thống kê'!$C$3:$M$682,4,0)</f>
        <v>18500</v>
      </c>
      <c r="E1855" s="438">
        <v>1</v>
      </c>
      <c r="F1855" s="439">
        <f t="shared" si="8"/>
        <v>18500</v>
      </c>
      <c r="G1855" s="440"/>
      <c r="H1855" s="446"/>
    </row>
    <row r="1856" spans="1:8" ht="13.2">
      <c r="A1856" s="454" t="s">
        <v>150</v>
      </c>
      <c r="B1856" s="452" t="str">
        <f>VLOOKUP(A1856,'Thống kê'!$C$3:$D$669,2,0)</f>
        <v>Móc khóa có chuông</v>
      </c>
      <c r="C1856" s="436" t="str">
        <f>VLOOKUP(A1856,'Thống kê'!$C$3:$E$682,3,0)</f>
        <v>cái</v>
      </c>
      <c r="D1856" s="437">
        <f>VLOOKUP(A1856,'Thống kê'!$C$3:$M$682,4,0)</f>
        <v>59000</v>
      </c>
      <c r="E1856" s="438">
        <v>1</v>
      </c>
      <c r="F1856" s="439">
        <f t="shared" si="8"/>
        <v>59000</v>
      </c>
      <c r="G1856" s="440"/>
      <c r="H1856" s="448">
        <v>46568</v>
      </c>
    </row>
    <row r="1857" spans="1:8" ht="13.2">
      <c r="A1857" s="454" t="s">
        <v>1974</v>
      </c>
      <c r="B1857" s="452" t="str">
        <f>VLOOKUP(A1857,'Thống kê'!$C$3:$D$669,2,0)</f>
        <v>Mô hình cún 01</v>
      </c>
      <c r="C1857" s="436" t="str">
        <f>VLOOKUP(A1857,'Thống kê'!$C$3:$E$682,3,0)</f>
        <v>cái</v>
      </c>
      <c r="D1857" s="437">
        <f>VLOOKUP(A1857,'Thống kê'!$C$3:$M$682,4,0)</f>
        <v>39000</v>
      </c>
      <c r="E1857" s="438">
        <v>1</v>
      </c>
      <c r="F1857" s="439">
        <f t="shared" si="8"/>
        <v>39000</v>
      </c>
      <c r="G1857" s="440"/>
      <c r="H1857" s="448">
        <v>33663</v>
      </c>
    </row>
    <row r="1858" spans="1:8" ht="13.2">
      <c r="A1858" s="454" t="s">
        <v>2016</v>
      </c>
      <c r="B1858" s="452" t="str">
        <f>VLOOKUP(A1858,'Thống kê'!$C$3:$D$669,2,0)</f>
        <v>Móc khóa Popbean 01</v>
      </c>
      <c r="C1858" s="436" t="str">
        <f>VLOOKUP(A1858,'Thống kê'!$C$3:$E$682,3,0)</f>
        <v>cái</v>
      </c>
      <c r="D1858" s="437">
        <f>VLOOKUP(A1858,'Thống kê'!$C$3:$M$682,4,0)</f>
        <v>161850</v>
      </c>
      <c r="E1858" s="438">
        <v>1</v>
      </c>
      <c r="F1858" s="439">
        <f t="shared" si="8"/>
        <v>161850</v>
      </c>
      <c r="G1858" s="440"/>
      <c r="H1858" s="448">
        <v>133628</v>
      </c>
    </row>
    <row r="1859" spans="1:8" ht="13.2">
      <c r="A1859" s="454" t="s">
        <v>1634</v>
      </c>
      <c r="B1859" s="452" t="str">
        <f>VLOOKUP(A1859,'Thống kê'!$C$3:$D$669,2,0)</f>
        <v>Móc khóa mèo đen cá</v>
      </c>
      <c r="C1859" s="436" t="str">
        <f>VLOOKUP(A1859,'Thống kê'!$C$3:$E$682,3,0)</f>
        <v>cái</v>
      </c>
      <c r="D1859" s="437">
        <f>VLOOKUP(A1859,'Thống kê'!$C$3:$M$682,4,0)</f>
        <v>59000</v>
      </c>
      <c r="E1859" s="438">
        <v>1</v>
      </c>
      <c r="F1859" s="439">
        <f t="shared" si="8"/>
        <v>59000</v>
      </c>
      <c r="G1859" s="440"/>
      <c r="H1859" s="448">
        <v>48388</v>
      </c>
    </row>
    <row r="1860" spans="1:8" ht="13.2">
      <c r="A1860" s="454" t="s">
        <v>2014</v>
      </c>
      <c r="B1860" s="452" t="str">
        <f>VLOOKUP(A1860,'Thống kê'!$C$3:$D$669,2,0)</f>
        <v>Móc khóa Popbean 03</v>
      </c>
      <c r="C1860" s="436" t="str">
        <f>VLOOKUP(A1860,'Thống kê'!$C$3:$E$682,3,0)</f>
        <v>cái</v>
      </c>
      <c r="D1860" s="437">
        <f>VLOOKUP(A1860,'Thống kê'!$C$3:$M$682,4,0)</f>
        <v>161850</v>
      </c>
      <c r="E1860" s="438">
        <v>1</v>
      </c>
      <c r="F1860" s="439">
        <f t="shared" si="8"/>
        <v>161850</v>
      </c>
      <c r="G1860" s="440"/>
      <c r="H1860" s="448">
        <v>135000</v>
      </c>
    </row>
    <row r="1861" spans="1:8" ht="13.2">
      <c r="A1861" s="454" t="s">
        <v>1624</v>
      </c>
      <c r="B1861" s="452" t="str">
        <f>VLOOKUP(A1861,'Thống kê'!$C$3:$D$669,2,0)</f>
        <v>Móc khóa mèo trái tim</v>
      </c>
      <c r="C1861" s="436" t="str">
        <f>VLOOKUP(A1861,'Thống kê'!$C$3:$E$682,3,0)</f>
        <v>cái</v>
      </c>
      <c r="D1861" s="437">
        <f>VLOOKUP(A1861,'Thống kê'!$C$3:$M$682,4,0)</f>
        <v>59000</v>
      </c>
      <c r="E1861" s="438">
        <v>1</v>
      </c>
      <c r="F1861" s="439">
        <f t="shared" si="8"/>
        <v>59000</v>
      </c>
      <c r="G1861" s="440"/>
      <c r="H1861" s="448">
        <v>46408</v>
      </c>
    </row>
    <row r="1862" spans="1:8" ht="13.2">
      <c r="A1862" s="454" t="s">
        <v>1594</v>
      </c>
      <c r="B1862" s="452" t="str">
        <f>VLOOKUP(A1862,'Thống kê'!$C$3:$D$669,2,0)</f>
        <v>Móc khóa đôi heo</v>
      </c>
      <c r="C1862" s="436" t="str">
        <f>VLOOKUP(A1862,'Thống kê'!$C$3:$E$682,3,0)</f>
        <v>cái</v>
      </c>
      <c r="D1862" s="437">
        <f>VLOOKUP(A1862,'Thống kê'!$C$3:$M$682,4,0)</f>
        <v>56580</v>
      </c>
      <c r="E1862" s="438">
        <v>1</v>
      </c>
      <c r="F1862" s="439">
        <f t="shared" si="8"/>
        <v>56580</v>
      </c>
      <c r="G1862" s="440"/>
      <c r="H1862" s="448">
        <v>44111</v>
      </c>
    </row>
    <row r="1863" spans="1:8" ht="13.2">
      <c r="A1863" s="454" t="s">
        <v>119</v>
      </c>
      <c r="B1863" s="452" t="str">
        <f>VLOOKUP(A1863,'Thống kê'!$C$3:$D$669,2,0)</f>
        <v>Thỏ chạy xe gắn xe</v>
      </c>
      <c r="C1863" s="436" t="str">
        <f>VLOOKUP(A1863,'Thống kê'!$C$3:$E$682,3,0)</f>
        <v>cái</v>
      </c>
      <c r="D1863" s="437">
        <f>VLOOKUP(A1863,'Thống kê'!$C$3:$M$682,4,0)</f>
        <v>45000</v>
      </c>
      <c r="E1863" s="438">
        <v>1</v>
      </c>
      <c r="F1863" s="439">
        <f t="shared" si="8"/>
        <v>45000</v>
      </c>
      <c r="G1863" s="440"/>
      <c r="H1863" s="448">
        <v>36180</v>
      </c>
    </row>
    <row r="1864" spans="1:8" ht="13.2">
      <c r="A1864" s="454" t="s">
        <v>1593</v>
      </c>
      <c r="B1864" s="452" t="str">
        <f>VLOOKUP(A1864,'Thống kê'!$C$3:$D$669,2,0)</f>
        <v>Heo cưỡi kì lân gắn xe</v>
      </c>
      <c r="C1864" s="436" t="str">
        <f>VLOOKUP(A1864,'Thống kê'!$C$3:$E$682,3,0)</f>
        <v>cái</v>
      </c>
      <c r="D1864" s="437">
        <f>VLOOKUP(A1864,'Thống kê'!$C$3:$M$682,4,0)</f>
        <v>45000</v>
      </c>
      <c r="E1864" s="438">
        <v>1</v>
      </c>
      <c r="F1864" s="439">
        <f t="shared" si="8"/>
        <v>45000</v>
      </c>
      <c r="G1864" s="440"/>
      <c r="H1864" s="447">
        <v>91256</v>
      </c>
    </row>
    <row r="1865" spans="1:8" ht="13.2">
      <c r="A1865" s="454" t="s">
        <v>2040</v>
      </c>
      <c r="B1865" s="452" t="str">
        <f>VLOOKUP(A1865,'Thống kê'!$C$3:$D$669,2,0)</f>
        <v>Vớ cổ ngắn họa tiết hoa thỏ kem</v>
      </c>
      <c r="C1865" s="436" t="str">
        <f>VLOOKUP(A1865,'Thống kê'!$C$3:$E$682,3,0)</f>
        <v>đôi</v>
      </c>
      <c r="D1865" s="437">
        <f>VLOOKUP(A1865,'Thống kê'!$C$3:$M$682,4,0)</f>
        <v>9400</v>
      </c>
      <c r="E1865" s="438">
        <v>1</v>
      </c>
      <c r="F1865" s="439">
        <f t="shared" si="8"/>
        <v>9400</v>
      </c>
      <c r="G1865" s="440"/>
      <c r="H1865" s="446"/>
    </row>
    <row r="1866" spans="1:8" ht="13.2">
      <c r="A1866" s="454" t="s">
        <v>2020</v>
      </c>
      <c r="B1866" s="452" t="str">
        <f>VLOOKUP(A1866,'Thống kê'!$C$3:$D$669,2,0)</f>
        <v>Vớ cổ ngắn họa tiết hoa thỏ be</v>
      </c>
      <c r="C1866" s="436" t="str">
        <f>VLOOKUP(A1866,'Thống kê'!$C$3:$E$682,3,0)</f>
        <v>đôi</v>
      </c>
      <c r="D1866" s="437">
        <f>VLOOKUP(A1866,'Thống kê'!$C$3:$M$682,4,0)</f>
        <v>9400</v>
      </c>
      <c r="E1866" s="438">
        <v>1</v>
      </c>
      <c r="F1866" s="439">
        <f t="shared" si="8"/>
        <v>9400</v>
      </c>
      <c r="G1866" s="440"/>
      <c r="H1866" s="446"/>
    </row>
    <row r="1867" spans="1:8" ht="13.2">
      <c r="A1867" s="454" t="s">
        <v>2041</v>
      </c>
      <c r="B1867" s="452" t="str">
        <f>VLOOKUP(A1867,'Thống kê'!$C$3:$D$669,2,0)</f>
        <v>Vớ cổ ngắn họa tiết hoa thỏ hồng</v>
      </c>
      <c r="C1867" s="436" t="str">
        <f>VLOOKUP(A1867,'Thống kê'!$C$3:$E$682,3,0)</f>
        <v>đôi</v>
      </c>
      <c r="D1867" s="437">
        <f>VLOOKUP(A1867,'Thống kê'!$C$3:$M$682,4,0)</f>
        <v>9400</v>
      </c>
      <c r="E1867" s="438">
        <v>1</v>
      </c>
      <c r="F1867" s="439">
        <f t="shared" si="8"/>
        <v>9400</v>
      </c>
      <c r="G1867" s="440"/>
      <c r="H1867" s="446"/>
    </row>
    <row r="1868" spans="1:8" ht="13.2">
      <c r="A1868" s="454" t="s">
        <v>2042</v>
      </c>
      <c r="B1868" s="452" t="str">
        <f>VLOOKUP(A1868,'Thống kê'!$C$3:$D$669,2,0)</f>
        <v>Vớ cổ cao trắng cỏ ba lá xanh</v>
      </c>
      <c r="C1868" s="436" t="str">
        <f>VLOOKUP(A1868,'Thống kê'!$C$3:$E$682,3,0)</f>
        <v>đôi</v>
      </c>
      <c r="D1868" s="437">
        <f>VLOOKUP(A1868,'Thống kê'!$C$3:$M$682,4,0)</f>
        <v>19800</v>
      </c>
      <c r="E1868" s="438">
        <v>1</v>
      </c>
      <c r="F1868" s="439">
        <f t="shared" si="8"/>
        <v>19800</v>
      </c>
      <c r="G1868" s="440"/>
      <c r="H1868" s="446"/>
    </row>
    <row r="1869" spans="1:8" ht="13.2">
      <c r="A1869" s="454" t="s">
        <v>2043</v>
      </c>
      <c r="B1869" s="452" t="str">
        <f>VLOOKUP(A1869,'Thống kê'!$C$3:$D$669,2,0)</f>
        <v>Ống 50 dây cột tóc đen be nâu</v>
      </c>
      <c r="C1869" s="436" t="str">
        <f>VLOOKUP(A1869,'Thống kê'!$C$3:$E$682,3,0)</f>
        <v>ống</v>
      </c>
      <c r="D1869" s="437">
        <f>VLOOKUP(A1869,'Thống kê'!$C$3:$M$682,4,0)</f>
        <v>23000</v>
      </c>
      <c r="E1869" s="438">
        <v>1</v>
      </c>
      <c r="F1869" s="439">
        <f t="shared" si="8"/>
        <v>23000</v>
      </c>
      <c r="G1869" s="440"/>
      <c r="H1869" s="446"/>
    </row>
    <row r="1870" spans="1:8" ht="13.2">
      <c r="A1870" s="454" t="s">
        <v>325</v>
      </c>
      <c r="B1870" s="452" t="str">
        <f>VLOOKUP(A1870,'Thống kê'!$C$3:$D$669,2,0)</f>
        <v>Gấu ú</v>
      </c>
      <c r="C1870" s="436" t="str">
        <f>VLOOKUP(A1870,'Thống kê'!$C$3:$E$682,3,0)</f>
        <v>cái</v>
      </c>
      <c r="D1870" s="437">
        <f>VLOOKUP(A1870,'Thống kê'!$C$3:$M$682,4,0)</f>
        <v>59500</v>
      </c>
      <c r="E1870" s="438">
        <v>1</v>
      </c>
      <c r="F1870" s="439">
        <f t="shared" si="8"/>
        <v>59500</v>
      </c>
      <c r="G1870" s="440"/>
      <c r="H1870" s="447">
        <v>94600</v>
      </c>
    </row>
    <row r="1871" spans="1:8" ht="13.2">
      <c r="A1871" s="454" t="s">
        <v>1716</v>
      </c>
      <c r="B1871" s="452" t="str">
        <f>VLOOKUP(A1871,'Thống kê'!$C$3:$D$669,2,0)</f>
        <v>Móc khóa đôi 2 quả lê có nam châm</v>
      </c>
      <c r="C1871" s="436" t="str">
        <f>VLOOKUP(A1871,'Thống kê'!$C$3:$E$682,3,0)</f>
        <v>cái</v>
      </c>
      <c r="D1871" s="437">
        <f>VLOOKUP(A1871,'Thống kê'!$C$3:$M$682,4,0)</f>
        <v>59000</v>
      </c>
      <c r="E1871" s="438">
        <v>1</v>
      </c>
      <c r="F1871" s="439">
        <f t="shared" si="8"/>
        <v>59000</v>
      </c>
      <c r="G1871" s="440"/>
      <c r="H1871" s="446"/>
    </row>
    <row r="1872" spans="1:8" ht="13.2">
      <c r="A1872" s="454" t="s">
        <v>1917</v>
      </c>
      <c r="B1872" s="452" t="str">
        <f>VLOOKUP(A1872,'Thống kê'!$C$3:$D$669,2,0)</f>
        <v>Móc khóa đôi thỏ cà rốt</v>
      </c>
      <c r="C1872" s="436" t="str">
        <f>VLOOKUP(A1872,'Thống kê'!$C$3:$E$682,3,0)</f>
        <v>cái</v>
      </c>
      <c r="D1872" s="437">
        <f>VLOOKUP(A1872,'Thống kê'!$C$3:$M$682,4,0)</f>
        <v>48300</v>
      </c>
      <c r="E1872" s="438">
        <v>1</v>
      </c>
      <c r="F1872" s="439">
        <f t="shared" si="8"/>
        <v>48300</v>
      </c>
      <c r="G1872" s="440"/>
      <c r="H1872" s="447">
        <v>77989</v>
      </c>
    </row>
    <row r="1873" spans="1:8" ht="13.2">
      <c r="A1873" s="454" t="s">
        <v>1619</v>
      </c>
      <c r="B1873" s="452" t="str">
        <f>VLOOKUP(A1873,'Thống kê'!$C$3:$D$669,2,0)</f>
        <v>Kẹp tóc bướm xanh trắng</v>
      </c>
      <c r="C1873" s="436" t="str">
        <f>VLOOKUP(A1873,'Thống kê'!$C$3:$E$682,3,0)</f>
        <v>cái</v>
      </c>
      <c r="D1873" s="437">
        <f>VLOOKUP(A1873,'Thống kê'!$C$3:$M$682,4,0)</f>
        <v>52000</v>
      </c>
      <c r="E1873" s="438">
        <v>1</v>
      </c>
      <c r="F1873" s="439">
        <f t="shared" si="8"/>
        <v>52000</v>
      </c>
      <c r="G1873" s="440"/>
      <c r="H1873" s="446"/>
    </row>
    <row r="1874" spans="1:8" ht="13.2">
      <c r="A1874" s="454" t="s">
        <v>1605</v>
      </c>
      <c r="B1874" s="452" t="str">
        <f>VLOOKUP(A1874,'Thống kê'!$C$3:$D$669,2,0)</f>
        <v>Thước dây xanh</v>
      </c>
      <c r="C1874" s="436" t="str">
        <f>VLOOKUP(A1874,'Thống kê'!$C$3:$E$682,3,0)</f>
        <v>cái</v>
      </c>
      <c r="D1874" s="437">
        <f>VLOOKUP(A1874,'Thống kê'!$C$3:$M$682,4,0)</f>
        <v>9000</v>
      </c>
      <c r="E1874" s="438">
        <v>1</v>
      </c>
      <c r="F1874" s="439">
        <f t="shared" si="8"/>
        <v>9000</v>
      </c>
      <c r="G1874" s="440"/>
      <c r="H1874" s="446"/>
    </row>
    <row r="1875" spans="1:8" ht="13.2">
      <c r="A1875" s="454" t="s">
        <v>1594</v>
      </c>
      <c r="B1875" s="452" t="str">
        <f>VLOOKUP(A1875,'Thống kê'!$C$3:$D$669,2,0)</f>
        <v>Móc khóa đôi heo</v>
      </c>
      <c r="C1875" s="436" t="str">
        <f>VLOOKUP(A1875,'Thống kê'!$C$3:$E$682,3,0)</f>
        <v>cái</v>
      </c>
      <c r="D1875" s="437">
        <f>VLOOKUP(A1875,'Thống kê'!$C$3:$M$682,4,0)</f>
        <v>56580</v>
      </c>
      <c r="E1875" s="438">
        <v>1</v>
      </c>
      <c r="F1875" s="439">
        <f t="shared" si="8"/>
        <v>56580</v>
      </c>
      <c r="G1875" s="440"/>
      <c r="H1875" s="448">
        <v>43911</v>
      </c>
    </row>
    <row r="1876" spans="1:8" ht="13.2">
      <c r="A1876" s="454" t="s">
        <v>1594</v>
      </c>
      <c r="B1876" s="452" t="str">
        <f>VLOOKUP(A1876,'Thống kê'!$C$3:$D$669,2,0)</f>
        <v>Móc khóa đôi heo</v>
      </c>
      <c r="C1876" s="436" t="str">
        <f>VLOOKUP(A1876,'Thống kê'!$C$3:$E$682,3,0)</f>
        <v>cái</v>
      </c>
      <c r="D1876" s="437">
        <f>VLOOKUP(A1876,'Thống kê'!$C$3:$M$682,4,0)</f>
        <v>56580</v>
      </c>
      <c r="E1876" s="438">
        <v>1</v>
      </c>
      <c r="F1876" s="439">
        <f t="shared" si="8"/>
        <v>56580</v>
      </c>
      <c r="G1876" s="440"/>
      <c r="H1876" s="447">
        <v>59007</v>
      </c>
    </row>
    <row r="1877" spans="1:8" ht="13.2">
      <c r="A1877" s="454" t="s">
        <v>1948</v>
      </c>
      <c r="B1877" s="452" t="str">
        <f>VLOOKUP(A1877,'Thống kê'!$C$3:$D$669,2,0)</f>
        <v>Ống 6 dây cột tóc be nâu</v>
      </c>
      <c r="C1877" s="436" t="str">
        <f>VLOOKUP(A1877,'Thống kê'!$C$3:$E$682,3,0)</f>
        <v>ống</v>
      </c>
      <c r="D1877" s="437">
        <f>VLOOKUP(A1877,'Thống kê'!$C$3:$M$682,4,0)</f>
        <v>20000</v>
      </c>
      <c r="E1877" s="438">
        <v>1</v>
      </c>
      <c r="F1877" s="439">
        <f t="shared" si="8"/>
        <v>20000</v>
      </c>
      <c r="G1877" s="440"/>
      <c r="H1877" s="446"/>
    </row>
    <row r="1878" spans="1:8" ht="13.2">
      <c r="A1878" s="454" t="s">
        <v>2016</v>
      </c>
      <c r="B1878" s="452" t="str">
        <f>VLOOKUP(A1878,'Thống kê'!$C$3:$D$669,2,0)</f>
        <v>Móc khóa Popbean 01</v>
      </c>
      <c r="C1878" s="436" t="str">
        <f>VLOOKUP(A1878,'Thống kê'!$C$3:$E$682,3,0)</f>
        <v>cái</v>
      </c>
      <c r="D1878" s="437">
        <f>VLOOKUP(A1878,'Thống kê'!$C$3:$M$682,4,0)</f>
        <v>161850</v>
      </c>
      <c r="E1878" s="438">
        <v>1</v>
      </c>
      <c r="F1878" s="439">
        <f t="shared" si="8"/>
        <v>161850</v>
      </c>
      <c r="G1878" s="440"/>
      <c r="H1878" s="447">
        <v>267765</v>
      </c>
    </row>
    <row r="1879" spans="1:8" ht="13.2">
      <c r="A1879" s="454" t="s">
        <v>2021</v>
      </c>
      <c r="B1879" s="452" t="str">
        <f>VLOOKUP(A1879,'Thống kê'!$C$3:$D$669,2,0)</f>
        <v>Móc khóa Popbean 09</v>
      </c>
      <c r="C1879" s="436" t="str">
        <f>VLOOKUP(A1879,'Thống kê'!$C$3:$E$682,3,0)</f>
        <v>cái</v>
      </c>
      <c r="D1879" s="437">
        <f>VLOOKUP(A1879,'Thống kê'!$C$3:$M$682,4,0)</f>
        <v>161850</v>
      </c>
      <c r="E1879" s="438">
        <v>1</v>
      </c>
      <c r="F1879" s="439">
        <f t="shared" si="8"/>
        <v>161850</v>
      </c>
      <c r="G1879" s="440"/>
      <c r="H1879" s="446"/>
    </row>
    <row r="1880" spans="1:8" ht="13.2">
      <c r="A1880" s="454" t="s">
        <v>2014</v>
      </c>
      <c r="B1880" s="452" t="str">
        <f>VLOOKUP(A1880,'Thống kê'!$C$3:$D$669,2,0)</f>
        <v>Móc khóa Popbean 03</v>
      </c>
      <c r="C1880" s="436" t="str">
        <f>VLOOKUP(A1880,'Thống kê'!$C$3:$E$682,3,0)</f>
        <v>cái</v>
      </c>
      <c r="D1880" s="437">
        <f>VLOOKUP(A1880,'Thống kê'!$C$3:$M$682,4,0)</f>
        <v>161850</v>
      </c>
      <c r="E1880" s="438">
        <v>1</v>
      </c>
      <c r="F1880" s="439">
        <f t="shared" si="8"/>
        <v>161850</v>
      </c>
      <c r="G1880" s="440"/>
      <c r="H1880" s="447">
        <v>401647</v>
      </c>
    </row>
    <row r="1881" spans="1:8" ht="13.2">
      <c r="A1881" s="454" t="s">
        <v>2016</v>
      </c>
      <c r="B1881" s="452" t="str">
        <f>VLOOKUP(A1881,'Thống kê'!$C$3:$D$669,2,0)</f>
        <v>Móc khóa Popbean 01</v>
      </c>
      <c r="C1881" s="436" t="str">
        <f>VLOOKUP(A1881,'Thống kê'!$C$3:$E$682,3,0)</f>
        <v>cái</v>
      </c>
      <c r="D1881" s="437">
        <f>VLOOKUP(A1881,'Thống kê'!$C$3:$M$682,4,0)</f>
        <v>161850</v>
      </c>
      <c r="E1881" s="438">
        <v>1</v>
      </c>
      <c r="F1881" s="439">
        <f t="shared" si="8"/>
        <v>161850</v>
      </c>
      <c r="G1881" s="440"/>
      <c r="H1881" s="446"/>
    </row>
    <row r="1882" spans="1:8" ht="13.2">
      <c r="A1882" s="454" t="s">
        <v>2015</v>
      </c>
      <c r="B1882" s="452" t="str">
        <f>VLOOKUP(A1882,'Thống kê'!$C$3:$D$669,2,0)</f>
        <v>Móc khóa Popbean 11</v>
      </c>
      <c r="C1882" s="436" t="str">
        <f>VLOOKUP(A1882,'Thống kê'!$C$3:$E$682,3,0)</f>
        <v>cái</v>
      </c>
      <c r="D1882" s="437">
        <f>VLOOKUP(A1882,'Thống kê'!$C$3:$M$682,4,0)</f>
        <v>161850</v>
      </c>
      <c r="E1882" s="438">
        <v>1</v>
      </c>
      <c r="F1882" s="439">
        <f t="shared" si="8"/>
        <v>161850</v>
      </c>
      <c r="G1882" s="440"/>
      <c r="H1882" s="446"/>
    </row>
    <row r="1883" spans="1:8" ht="13.2">
      <c r="A1883" s="454" t="s">
        <v>115</v>
      </c>
      <c r="B1883" s="452" t="str">
        <f>VLOOKUP(A1883,'Thống kê'!$C$3:$D$669,2,0)</f>
        <v>Heo ú</v>
      </c>
      <c r="C1883" s="436" t="str">
        <f>VLOOKUP(A1883,'Thống kê'!$C$3:$E$682,3,0)</f>
        <v>cái</v>
      </c>
      <c r="D1883" s="437">
        <f>VLOOKUP(A1883,'Thống kê'!$C$3:$M$682,4,0)</f>
        <v>59500</v>
      </c>
      <c r="E1883" s="438">
        <v>1</v>
      </c>
      <c r="F1883" s="439">
        <f t="shared" si="8"/>
        <v>59500</v>
      </c>
      <c r="G1883" s="440"/>
      <c r="H1883" s="448">
        <v>46012</v>
      </c>
    </row>
    <row r="1884" spans="1:8" ht="13.2">
      <c r="A1884" s="454" t="s">
        <v>150</v>
      </c>
      <c r="B1884" s="452" t="str">
        <f>VLOOKUP(A1884,'Thống kê'!$C$3:$D$669,2,0)</f>
        <v>Móc khóa có chuông</v>
      </c>
      <c r="C1884" s="436" t="str">
        <f>VLOOKUP(A1884,'Thống kê'!$C$3:$E$682,3,0)</f>
        <v>cái</v>
      </c>
      <c r="D1884" s="437">
        <f>VLOOKUP(A1884,'Thống kê'!$C$3:$M$682,4,0)</f>
        <v>59000</v>
      </c>
      <c r="E1884" s="438">
        <v>1</v>
      </c>
      <c r="F1884" s="439">
        <f t="shared" si="8"/>
        <v>59000</v>
      </c>
      <c r="G1884" s="440"/>
      <c r="H1884" s="448">
        <v>46008</v>
      </c>
    </row>
    <row r="1885" spans="1:8" ht="13.2">
      <c r="A1885" s="454" t="s">
        <v>1624</v>
      </c>
      <c r="B1885" s="452" t="str">
        <f>VLOOKUP(A1885,'Thống kê'!$C$3:$D$669,2,0)</f>
        <v>Móc khóa mèo trái tim</v>
      </c>
      <c r="C1885" s="436" t="str">
        <f>VLOOKUP(A1885,'Thống kê'!$C$3:$E$682,3,0)</f>
        <v>cái</v>
      </c>
      <c r="D1885" s="437">
        <f>VLOOKUP(A1885,'Thống kê'!$C$3:$M$682,4,0)</f>
        <v>59000</v>
      </c>
      <c r="E1885" s="438">
        <v>1</v>
      </c>
      <c r="F1885" s="439">
        <f t="shared" si="8"/>
        <v>59000</v>
      </c>
      <c r="G1885" s="440"/>
      <c r="H1885" s="448">
        <v>46608</v>
      </c>
    </row>
    <row r="1886" spans="1:8" ht="13.2">
      <c r="A1886" s="454" t="s">
        <v>1716</v>
      </c>
      <c r="B1886" s="452" t="str">
        <f>VLOOKUP(A1886,'Thống kê'!$C$3:$D$669,2,0)</f>
        <v>Móc khóa đôi 2 quả lê có nam châm</v>
      </c>
      <c r="C1886" s="436" t="str">
        <f>VLOOKUP(A1886,'Thống kê'!$C$3:$E$682,3,0)</f>
        <v>cái</v>
      </c>
      <c r="D1886" s="437">
        <f>VLOOKUP(A1886,'Thống kê'!$C$3:$M$682,4,0)</f>
        <v>59000</v>
      </c>
      <c r="E1886" s="438">
        <v>1</v>
      </c>
      <c r="F1886" s="439">
        <f t="shared" si="8"/>
        <v>59000</v>
      </c>
      <c r="G1886" s="440"/>
      <c r="H1886" s="448">
        <v>46668</v>
      </c>
    </row>
    <row r="1887" spans="1:8" ht="13.2">
      <c r="A1887" s="454" t="s">
        <v>1633</v>
      </c>
      <c r="B1887" s="452" t="str">
        <f>VLOOKUP(A1887,'Thống kê'!$C$3:$D$669,2,0)</f>
        <v>Móc khóa đôi gà rán bia</v>
      </c>
      <c r="C1887" s="436" t="str">
        <f>VLOOKUP(A1887,'Thống kê'!$C$3:$E$682,3,0)</f>
        <v>cái</v>
      </c>
      <c r="D1887" s="437">
        <f>VLOOKUP(A1887,'Thống kê'!$C$3:$M$682,4,0)</f>
        <v>56580</v>
      </c>
      <c r="E1887" s="438">
        <v>1</v>
      </c>
      <c r="F1887" s="439">
        <f t="shared" si="8"/>
        <v>56580</v>
      </c>
      <c r="G1887" s="440"/>
      <c r="H1887" s="448">
        <v>44751</v>
      </c>
    </row>
    <row r="1888" spans="1:8" ht="13.2">
      <c r="A1888" s="454" t="s">
        <v>2015</v>
      </c>
      <c r="B1888" s="452" t="str">
        <f>VLOOKUP(A1888,'Thống kê'!$C$3:$D$669,2,0)</f>
        <v>Móc khóa Popbean 11</v>
      </c>
      <c r="C1888" s="436" t="str">
        <f>VLOOKUP(A1888,'Thống kê'!$C$3:$E$682,3,0)</f>
        <v>cái</v>
      </c>
      <c r="D1888" s="437">
        <f>VLOOKUP(A1888,'Thống kê'!$C$3:$M$682,4,0)</f>
        <v>161850</v>
      </c>
      <c r="E1888" s="438">
        <v>1</v>
      </c>
      <c r="F1888" s="439">
        <f t="shared" si="8"/>
        <v>161850</v>
      </c>
      <c r="G1888" s="440"/>
      <c r="H1888" s="448">
        <v>133628</v>
      </c>
    </row>
    <row r="1889" spans="1:8" ht="13.2">
      <c r="A1889" s="454" t="s">
        <v>1624</v>
      </c>
      <c r="B1889" s="452" t="str">
        <f>VLOOKUP(A1889,'Thống kê'!$C$3:$D$669,2,0)</f>
        <v>Móc khóa mèo trái tim</v>
      </c>
      <c r="C1889" s="436" t="str">
        <f>VLOOKUP(A1889,'Thống kê'!$C$3:$E$682,3,0)</f>
        <v>cái</v>
      </c>
      <c r="D1889" s="437">
        <f>VLOOKUP(A1889,'Thống kê'!$C$3:$M$682,4,0)</f>
        <v>59000</v>
      </c>
      <c r="E1889" s="438">
        <v>1</v>
      </c>
      <c r="F1889" s="439">
        <f t="shared" si="8"/>
        <v>59000</v>
      </c>
      <c r="G1889" s="440"/>
      <c r="H1889" s="448">
        <v>46068</v>
      </c>
    </row>
    <row r="1890" spans="1:8" ht="13.2">
      <c r="A1890" s="454" t="s">
        <v>2015</v>
      </c>
      <c r="B1890" s="452" t="str">
        <f>VLOOKUP(A1890,'Thống kê'!$C$3:$D$669,2,0)</f>
        <v>Móc khóa Popbean 11</v>
      </c>
      <c r="C1890" s="436" t="str">
        <f>VLOOKUP(A1890,'Thống kê'!$C$3:$E$682,3,0)</f>
        <v>cái</v>
      </c>
      <c r="D1890" s="437">
        <f>VLOOKUP(A1890,'Thống kê'!$C$3:$M$682,4,0)</f>
        <v>161850</v>
      </c>
      <c r="E1890" s="438">
        <v>1</v>
      </c>
      <c r="F1890" s="439">
        <f t="shared" si="8"/>
        <v>161850</v>
      </c>
      <c r="G1890" s="440"/>
      <c r="H1890" s="448">
        <v>133628</v>
      </c>
    </row>
    <row r="1891" spans="1:8" ht="13.2">
      <c r="A1891" s="454" t="s">
        <v>2044</v>
      </c>
      <c r="B1891" s="452" t="str">
        <f>VLOOKUP(A1891,'Thống kê'!$C$3:$D$669,2,0)</f>
        <v>Túi chườm bụng chó trắng 500ml</v>
      </c>
      <c r="C1891" s="436" t="str">
        <f>VLOOKUP(A1891,'Thống kê'!$C$3:$E$682,3,0)</f>
        <v>túi</v>
      </c>
      <c r="D1891" s="437">
        <f>VLOOKUP(A1891,'Thống kê'!$C$3:$M$682,4,0)</f>
        <v>81000</v>
      </c>
      <c r="E1891" s="438">
        <v>1</v>
      </c>
      <c r="F1891" s="439">
        <f t="shared" si="8"/>
        <v>81000</v>
      </c>
      <c r="G1891" s="440"/>
      <c r="H1891" s="448">
        <v>64152</v>
      </c>
    </row>
    <row r="1892" spans="1:8" ht="13.2">
      <c r="A1892" s="454" t="s">
        <v>1990</v>
      </c>
      <c r="B1892" s="452" t="str">
        <f>VLOOKUP(A1892,'Thống kê'!$C$3:$D$669,2,0)</f>
        <v>Kẹp khuếch tán tinh dầu vịt vàng</v>
      </c>
      <c r="C1892" s="436" t="str">
        <f>VLOOKUP(A1892,'Thống kê'!$C$3:$E$682,3,0)</f>
        <v>cái</v>
      </c>
      <c r="D1892" s="437">
        <f>VLOOKUP(A1892,'Thống kê'!$C$3:$M$682,4,0)</f>
        <v>142400</v>
      </c>
      <c r="E1892" s="438">
        <v>1</v>
      </c>
      <c r="F1892" s="439">
        <f t="shared" si="8"/>
        <v>142400</v>
      </c>
      <c r="G1892" s="440"/>
      <c r="H1892" s="447">
        <v>196873</v>
      </c>
    </row>
    <row r="1893" spans="1:8" ht="13.2">
      <c r="A1893" s="454" t="s">
        <v>1978</v>
      </c>
      <c r="B1893" s="452" t="str">
        <f>VLOOKUP(A1893,'Thống kê'!$C$3:$D$669,2,0)</f>
        <v>Kẹp khuếch tán tinh dầu vịt nâu</v>
      </c>
      <c r="C1893" s="436" t="str">
        <f>VLOOKUP(A1893,'Thống kê'!$C$3:$E$682,3,0)</f>
        <v>cái</v>
      </c>
      <c r="D1893" s="437">
        <f>VLOOKUP(A1893,'Thống kê'!$C$3:$M$682,4,0)</f>
        <v>142400</v>
      </c>
      <c r="E1893" s="438">
        <v>1</v>
      </c>
      <c r="F1893" s="439">
        <f t="shared" si="8"/>
        <v>142400</v>
      </c>
      <c r="G1893" s="440"/>
      <c r="H1893" s="446"/>
    </row>
    <row r="1894" spans="1:8" ht="13.2">
      <c r="A1894" s="454" t="s">
        <v>227</v>
      </c>
      <c r="B1894" s="452" t="str">
        <f>VLOOKUP(A1894,'Thống kê'!$C$3:$D$669,2,0)</f>
        <v>Móc khóa đôi corgy</v>
      </c>
      <c r="C1894" s="436" t="str">
        <f>VLOOKUP(A1894,'Thống kê'!$C$3:$E$682,3,0)</f>
        <v>cái</v>
      </c>
      <c r="D1894" s="437">
        <f>VLOOKUP(A1894,'Thống kê'!$C$3:$M$682,4,0)</f>
        <v>56580</v>
      </c>
      <c r="E1894" s="438">
        <v>1</v>
      </c>
      <c r="F1894" s="439">
        <f t="shared" si="8"/>
        <v>56580</v>
      </c>
      <c r="G1894" s="440"/>
      <c r="H1894" s="447">
        <v>58015</v>
      </c>
    </row>
    <row r="1895" spans="1:8" ht="13.2">
      <c r="A1895" s="454" t="s">
        <v>1946</v>
      </c>
      <c r="B1895" s="452" t="str">
        <f>VLOOKUP(A1895,'Thống kê'!$C$3:$D$669,2,0)</f>
        <v>Ống 20 dây cột tóc kem be nâu</v>
      </c>
      <c r="C1895" s="436" t="str">
        <f>VLOOKUP(A1895,'Thống kê'!$C$3:$E$682,3,0)</f>
        <v>ống</v>
      </c>
      <c r="D1895" s="437">
        <f>VLOOKUP(A1895,'Thống kê'!$C$3:$M$682,4,0)</f>
        <v>19000</v>
      </c>
      <c r="E1895" s="438">
        <v>1</v>
      </c>
      <c r="F1895" s="439">
        <f t="shared" si="8"/>
        <v>19000</v>
      </c>
      <c r="G1895" s="440"/>
      <c r="H1895" s="446"/>
    </row>
    <row r="1896" spans="1:8" ht="13.2">
      <c r="A1896" s="454" t="s">
        <v>1974</v>
      </c>
      <c r="B1896" s="452" t="str">
        <f>VLOOKUP(A1896,'Thống kê'!$C$3:$D$669,2,0)</f>
        <v>Mô hình cún 01</v>
      </c>
      <c r="C1896" s="436" t="str">
        <f>VLOOKUP(A1896,'Thống kê'!$C$3:$E$682,3,0)</f>
        <v>cái</v>
      </c>
      <c r="D1896" s="437">
        <f>VLOOKUP(A1896,'Thống kê'!$C$3:$M$682,4,0)</f>
        <v>39000</v>
      </c>
      <c r="E1896" s="438">
        <v>1</v>
      </c>
      <c r="F1896" s="439">
        <f t="shared" si="8"/>
        <v>39000</v>
      </c>
      <c r="G1896" s="440"/>
      <c r="H1896" s="447">
        <v>61146</v>
      </c>
    </row>
    <row r="1897" spans="1:8" ht="13.2">
      <c r="A1897" s="454" t="s">
        <v>1621</v>
      </c>
      <c r="B1897" s="452" t="str">
        <f>VLOOKUP(A1897,'Thống kê'!$C$3:$D$669,2,0)</f>
        <v>Mô hình mèo 2</v>
      </c>
      <c r="C1897" s="436" t="str">
        <f>VLOOKUP(A1897,'Thống kê'!$C$3:$E$682,3,0)</f>
        <v>cái</v>
      </c>
      <c r="D1897" s="437">
        <f>VLOOKUP(A1897,'Thống kê'!$C$3:$M$682,4,0)</f>
        <v>37800</v>
      </c>
      <c r="E1897" s="438">
        <v>1</v>
      </c>
      <c r="F1897" s="439">
        <f t="shared" si="8"/>
        <v>37800</v>
      </c>
      <c r="G1897" s="440"/>
      <c r="H1897" s="446"/>
    </row>
    <row r="1898" spans="1:8" ht="13.2">
      <c r="A1898" s="454" t="s">
        <v>150</v>
      </c>
      <c r="B1898" s="452" t="str">
        <f>VLOOKUP(A1898,'Thống kê'!$C$3:$D$669,2,0)</f>
        <v>Móc khóa có chuông</v>
      </c>
      <c r="C1898" s="436" t="str">
        <f>VLOOKUP(A1898,'Thống kê'!$C$3:$E$682,3,0)</f>
        <v>cái</v>
      </c>
      <c r="D1898" s="437">
        <f>VLOOKUP(A1898,'Thống kê'!$C$3:$M$682,4,0)</f>
        <v>59000</v>
      </c>
      <c r="E1898" s="438">
        <v>1</v>
      </c>
      <c r="F1898" s="439">
        <f t="shared" si="8"/>
        <v>59000</v>
      </c>
      <c r="G1898" s="440"/>
      <c r="H1898" s="448">
        <v>46588</v>
      </c>
    </row>
    <row r="1899" spans="1:8" ht="13.2">
      <c r="A1899" s="454" t="s">
        <v>143</v>
      </c>
      <c r="B1899" s="452" t="str">
        <f>VLOOKUP(A1899,'Thống kê'!$C$3:$D$669,2,0)</f>
        <v>Mèo ú</v>
      </c>
      <c r="C1899" s="436" t="str">
        <f>VLOOKUP(A1899,'Thống kê'!$C$3:$E$682,3,0)</f>
        <v>cái</v>
      </c>
      <c r="D1899" s="437">
        <f>VLOOKUP(A1899,'Thống kê'!$C$3:$M$682,4,0)</f>
        <v>59500</v>
      </c>
      <c r="E1899" s="438">
        <v>1</v>
      </c>
      <c r="F1899" s="439">
        <f t="shared" si="8"/>
        <v>59500</v>
      </c>
      <c r="G1899" s="440"/>
      <c r="H1899" s="448">
        <v>45992</v>
      </c>
    </row>
    <row r="1900" spans="1:8" ht="13.2">
      <c r="A1900" s="454" t="s">
        <v>2016</v>
      </c>
      <c r="B1900" s="452" t="str">
        <f>VLOOKUP(A1900,'Thống kê'!$C$3:$D$669,2,0)</f>
        <v>Móc khóa Popbean 01</v>
      </c>
      <c r="C1900" s="436" t="str">
        <f>VLOOKUP(A1900,'Thống kê'!$C$3:$E$682,3,0)</f>
        <v>cái</v>
      </c>
      <c r="D1900" s="437">
        <f>VLOOKUP(A1900,'Thống kê'!$C$3:$M$682,4,0)</f>
        <v>161850</v>
      </c>
      <c r="E1900" s="438">
        <v>1</v>
      </c>
      <c r="F1900" s="439">
        <f t="shared" si="8"/>
        <v>161850</v>
      </c>
      <c r="G1900" s="440"/>
      <c r="H1900" s="448">
        <v>133628</v>
      </c>
    </row>
    <row r="1901" spans="1:8" ht="13.2">
      <c r="A1901" s="454" t="s">
        <v>2016</v>
      </c>
      <c r="B1901" s="452" t="str">
        <f>VLOOKUP(A1901,'Thống kê'!$C$3:$D$669,2,0)</f>
        <v>Móc khóa Popbean 01</v>
      </c>
      <c r="C1901" s="436" t="str">
        <f>VLOOKUP(A1901,'Thống kê'!$C$3:$E$682,3,0)</f>
        <v>cái</v>
      </c>
      <c r="D1901" s="437">
        <f>VLOOKUP(A1901,'Thống kê'!$C$3:$M$682,4,0)</f>
        <v>161850</v>
      </c>
      <c r="E1901" s="438">
        <v>1</v>
      </c>
      <c r="F1901" s="439">
        <f t="shared" si="8"/>
        <v>161850</v>
      </c>
      <c r="G1901" s="440"/>
      <c r="H1901" s="448">
        <v>133628</v>
      </c>
    </row>
    <row r="1902" spans="1:8" ht="13.2">
      <c r="A1902" s="454" t="s">
        <v>1716</v>
      </c>
      <c r="B1902" s="452" t="str">
        <f>VLOOKUP(A1902,'Thống kê'!$C$3:$D$669,2,0)</f>
        <v>Móc khóa đôi 2 quả lê có nam châm</v>
      </c>
      <c r="C1902" s="436" t="str">
        <f>VLOOKUP(A1902,'Thống kê'!$C$3:$E$682,3,0)</f>
        <v>cái</v>
      </c>
      <c r="D1902" s="437">
        <f>VLOOKUP(A1902,'Thống kê'!$C$3:$M$682,4,0)</f>
        <v>59000</v>
      </c>
      <c r="E1902" s="438">
        <v>1</v>
      </c>
      <c r="F1902" s="439">
        <f t="shared" si="8"/>
        <v>59000</v>
      </c>
      <c r="G1902" s="440"/>
      <c r="H1902" s="448">
        <v>46668</v>
      </c>
    </row>
    <row r="1903" spans="1:8" ht="13.2">
      <c r="A1903" s="454" t="s">
        <v>1594</v>
      </c>
      <c r="B1903" s="452" t="str">
        <f>VLOOKUP(A1903,'Thống kê'!$C$3:$D$669,2,0)</f>
        <v>Móc khóa đôi heo</v>
      </c>
      <c r="C1903" s="436" t="str">
        <f>VLOOKUP(A1903,'Thống kê'!$C$3:$E$682,3,0)</f>
        <v>cái</v>
      </c>
      <c r="D1903" s="437">
        <f>VLOOKUP(A1903,'Thống kê'!$C$3:$M$682,4,0)</f>
        <v>56580</v>
      </c>
      <c r="E1903" s="438">
        <v>1</v>
      </c>
      <c r="F1903" s="439">
        <f t="shared" si="8"/>
        <v>56580</v>
      </c>
      <c r="G1903" s="440"/>
      <c r="H1903" s="448">
        <v>44751</v>
      </c>
    </row>
    <row r="1904" spans="1:8" ht="13.2">
      <c r="A1904" s="454" t="s">
        <v>150</v>
      </c>
      <c r="B1904" s="452" t="str">
        <f>VLOOKUP(A1904,'Thống kê'!$C$3:$D$669,2,0)</f>
        <v>Móc khóa có chuông</v>
      </c>
      <c r="C1904" s="436" t="str">
        <f>VLOOKUP(A1904,'Thống kê'!$C$3:$E$682,3,0)</f>
        <v>cái</v>
      </c>
      <c r="D1904" s="437">
        <f>VLOOKUP(A1904,'Thống kê'!$C$3:$M$682,4,0)</f>
        <v>59000</v>
      </c>
      <c r="E1904" s="438">
        <v>1</v>
      </c>
      <c r="F1904" s="439">
        <f t="shared" si="8"/>
        <v>59000</v>
      </c>
      <c r="G1904" s="440"/>
      <c r="H1904" s="448">
        <v>46568</v>
      </c>
    </row>
    <row r="1905" spans="1:8" ht="13.2">
      <c r="A1905" s="454" t="s">
        <v>150</v>
      </c>
      <c r="B1905" s="452" t="str">
        <f>VLOOKUP(A1905,'Thống kê'!$C$3:$D$669,2,0)</f>
        <v>Móc khóa có chuông</v>
      </c>
      <c r="C1905" s="436" t="str">
        <f>VLOOKUP(A1905,'Thống kê'!$C$3:$E$682,3,0)</f>
        <v>cái</v>
      </c>
      <c r="D1905" s="437">
        <f>VLOOKUP(A1905,'Thống kê'!$C$3:$M$682,4,0)</f>
        <v>59000</v>
      </c>
      <c r="E1905" s="438">
        <v>1</v>
      </c>
      <c r="F1905" s="439">
        <f t="shared" si="8"/>
        <v>59000</v>
      </c>
      <c r="G1905" s="440"/>
      <c r="H1905" s="448">
        <v>46728</v>
      </c>
    </row>
    <row r="1906" spans="1:8" ht="13.2">
      <c r="A1906" s="454" t="s">
        <v>186</v>
      </c>
      <c r="B1906" s="452" t="str">
        <f>VLOOKUP(A1906,'Thống kê'!$C$3:$D$669,2,0)</f>
        <v>Thỏ ú bay</v>
      </c>
      <c r="C1906" s="436" t="str">
        <f>VLOOKUP(A1906,'Thống kê'!$C$3:$E$682,3,0)</f>
        <v>cái</v>
      </c>
      <c r="D1906" s="437">
        <f>VLOOKUP(A1906,'Thống kê'!$C$3:$M$682,4,0)</f>
        <v>64500</v>
      </c>
      <c r="E1906" s="438">
        <v>1</v>
      </c>
      <c r="F1906" s="439">
        <f t="shared" si="8"/>
        <v>64500</v>
      </c>
      <c r="G1906" s="440"/>
      <c r="H1906" s="448">
        <v>47948</v>
      </c>
    </row>
    <row r="1907" spans="1:8" ht="13.2">
      <c r="A1907" s="454" t="s">
        <v>115</v>
      </c>
      <c r="B1907" s="452" t="str">
        <f>VLOOKUP(A1907,'Thống kê'!$C$3:$D$669,2,0)</f>
        <v>Heo ú</v>
      </c>
      <c r="C1907" s="436" t="str">
        <f>VLOOKUP(A1907,'Thống kê'!$C$3:$E$682,3,0)</f>
        <v>cái</v>
      </c>
      <c r="D1907" s="437">
        <f>VLOOKUP(A1907,'Thống kê'!$C$3:$M$682,4,0)</f>
        <v>59500</v>
      </c>
      <c r="E1907" s="438">
        <v>1</v>
      </c>
      <c r="F1907" s="439">
        <f t="shared" si="8"/>
        <v>59500</v>
      </c>
      <c r="G1907" s="440"/>
      <c r="H1907" s="447">
        <v>96300</v>
      </c>
    </row>
    <row r="1908" spans="1:8" ht="13.2">
      <c r="A1908" s="454" t="s">
        <v>186</v>
      </c>
      <c r="B1908" s="452" t="str">
        <f>VLOOKUP(A1908,'Thống kê'!$C$3:$D$669,2,0)</f>
        <v>Thỏ ú bay</v>
      </c>
      <c r="C1908" s="436" t="str">
        <f>VLOOKUP(A1908,'Thống kê'!$C$3:$E$682,3,0)</f>
        <v>cái</v>
      </c>
      <c r="D1908" s="437">
        <f>VLOOKUP(A1908,'Thống kê'!$C$3:$M$682,4,0)</f>
        <v>64500</v>
      </c>
      <c r="E1908" s="438">
        <v>1</v>
      </c>
      <c r="F1908" s="439">
        <f t="shared" si="8"/>
        <v>64500</v>
      </c>
      <c r="G1908" s="440"/>
      <c r="H1908" s="446"/>
    </row>
    <row r="1909" spans="1:8" ht="13.2">
      <c r="A1909" s="454" t="s">
        <v>1624</v>
      </c>
      <c r="B1909" s="452" t="str">
        <f>VLOOKUP(A1909,'Thống kê'!$C$3:$D$669,2,0)</f>
        <v>Móc khóa mèo trái tim</v>
      </c>
      <c r="C1909" s="436" t="str">
        <f>VLOOKUP(A1909,'Thống kê'!$C$3:$E$682,3,0)</f>
        <v>cái</v>
      </c>
      <c r="D1909" s="437">
        <f>VLOOKUP(A1909,'Thống kê'!$C$3:$M$682,4,0)</f>
        <v>59000</v>
      </c>
      <c r="E1909" s="438">
        <v>1</v>
      </c>
      <c r="F1909" s="439">
        <f t="shared" si="8"/>
        <v>59000</v>
      </c>
      <c r="G1909" s="440"/>
      <c r="H1909" s="447">
        <v>65496</v>
      </c>
    </row>
    <row r="1910" spans="1:8" ht="13.2">
      <c r="A1910" s="454" t="s">
        <v>1791</v>
      </c>
      <c r="B1910" s="452" t="str">
        <f>VLOOKUP(A1910,'Thống kê'!$C$3:$D$669,2,0)</f>
        <v>Kẹp tóc kim loại ngôi sao</v>
      </c>
      <c r="C1910" s="436" t="str">
        <f>VLOOKUP(A1910,'Thống kê'!$C$3:$E$682,3,0)</f>
        <v>cái</v>
      </c>
      <c r="D1910" s="437">
        <f>VLOOKUP(A1910,'Thống kê'!$C$3:$M$682,4,0)</f>
        <v>14000</v>
      </c>
      <c r="E1910" s="438">
        <v>1</v>
      </c>
      <c r="F1910" s="439">
        <f t="shared" si="8"/>
        <v>14000</v>
      </c>
      <c r="G1910" s="440"/>
      <c r="H1910" s="446"/>
    </row>
    <row r="1911" spans="1:8" ht="13.2">
      <c r="A1911" s="454" t="s">
        <v>1591</v>
      </c>
      <c r="B1911" s="452" t="str">
        <f>VLOOKUP(A1911,'Thống kê'!$C$3:$D$669,2,0)</f>
        <v>Thỏ ú</v>
      </c>
      <c r="C1911" s="436" t="str">
        <f>VLOOKUP(A1911,'Thống kê'!$C$3:$E$682,3,0)</f>
        <v>cái</v>
      </c>
      <c r="D1911" s="437">
        <f>VLOOKUP(A1911,'Thống kê'!$C$3:$M$682,4,0)</f>
        <v>59500</v>
      </c>
      <c r="E1911" s="438">
        <v>1</v>
      </c>
      <c r="F1911" s="439">
        <f t="shared" si="8"/>
        <v>59500</v>
      </c>
      <c r="G1911" s="440"/>
      <c r="H1911" s="448">
        <v>45992</v>
      </c>
    </row>
    <row r="1912" spans="1:8" ht="13.2">
      <c r="A1912" s="454" t="s">
        <v>2045</v>
      </c>
      <c r="B1912" s="452" t="str">
        <f>VLOOKUP(A1912,'Thống kê'!$C$3:$D$669,2,0)</f>
        <v>Vớ cổ cao hồng be</v>
      </c>
      <c r="C1912" s="436" t="str">
        <f>VLOOKUP(A1912,'Thống kê'!$C$3:$E$682,3,0)</f>
        <v>đôi</v>
      </c>
      <c r="D1912" s="437">
        <f>VLOOKUP(A1912,'Thống kê'!$C$3:$M$682,4,0)</f>
        <v>15900</v>
      </c>
      <c r="E1912" s="438">
        <v>1</v>
      </c>
      <c r="F1912" s="439">
        <f t="shared" si="8"/>
        <v>15900</v>
      </c>
      <c r="G1912" s="440"/>
      <c r="H1912" s="447">
        <v>79133</v>
      </c>
    </row>
    <row r="1913" spans="1:8" ht="13.2">
      <c r="A1913" s="454" t="s">
        <v>1624</v>
      </c>
      <c r="B1913" s="452" t="str">
        <f>VLOOKUP(A1913,'Thống kê'!$C$3:$D$669,2,0)</f>
        <v>Móc khóa mèo trái tim</v>
      </c>
      <c r="C1913" s="436" t="str">
        <f>VLOOKUP(A1913,'Thống kê'!$C$3:$E$682,3,0)</f>
        <v>cái</v>
      </c>
      <c r="D1913" s="437">
        <f>VLOOKUP(A1913,'Thống kê'!$C$3:$M$682,4,0)</f>
        <v>59000</v>
      </c>
      <c r="E1913" s="438">
        <v>1</v>
      </c>
      <c r="F1913" s="439">
        <f t="shared" si="8"/>
        <v>59000</v>
      </c>
      <c r="G1913" s="440"/>
      <c r="H1913" s="446"/>
    </row>
    <row r="1914" spans="1:8" ht="13.2">
      <c r="A1914" s="454" t="s">
        <v>1832</v>
      </c>
      <c r="B1914" s="452" t="str">
        <f>VLOOKUP(A1914,'Thống kê'!$C$3:$D$669,2,0)</f>
        <v>Ống 10 dây cột tóc đen</v>
      </c>
      <c r="C1914" s="436" t="str">
        <f>VLOOKUP(A1914,'Thống kê'!$C$3:$E$682,3,0)</f>
        <v>ống</v>
      </c>
      <c r="D1914" s="437">
        <f>VLOOKUP(A1914,'Thống kê'!$C$3:$M$682,4,0)</f>
        <v>30000</v>
      </c>
      <c r="E1914" s="438">
        <v>1</v>
      </c>
      <c r="F1914" s="439">
        <f t="shared" si="8"/>
        <v>30000</v>
      </c>
      <c r="G1914" s="440"/>
      <c r="H1914" s="446"/>
    </row>
    <row r="1915" spans="1:8" ht="13.2">
      <c r="A1915" s="454" t="s">
        <v>1632</v>
      </c>
      <c r="B1915" s="452" t="str">
        <f>VLOOKUP(A1915,'Thống kê'!$C$3:$D$669,2,0)</f>
        <v>Móc khóa đôi mèo trắng</v>
      </c>
      <c r="C1915" s="436" t="str">
        <f>VLOOKUP(A1915,'Thống kê'!$C$3:$E$682,3,0)</f>
        <v>cái</v>
      </c>
      <c r="D1915" s="437">
        <f>VLOOKUP(A1915,'Thống kê'!$C$3:$M$682,4,0)</f>
        <v>59000</v>
      </c>
      <c r="E1915" s="438">
        <v>1</v>
      </c>
      <c r="F1915" s="439">
        <f t="shared" si="8"/>
        <v>59000</v>
      </c>
      <c r="G1915" s="440"/>
      <c r="H1915" s="448">
        <v>46408</v>
      </c>
    </row>
    <row r="1916" spans="1:8" ht="13.2">
      <c r="A1916" s="454" t="s">
        <v>115</v>
      </c>
      <c r="B1916" s="452" t="str">
        <f>VLOOKUP(A1916,'Thống kê'!$C$3:$D$669,2,0)</f>
        <v>Heo ú</v>
      </c>
      <c r="C1916" s="436" t="str">
        <f>VLOOKUP(A1916,'Thống kê'!$C$3:$E$682,3,0)</f>
        <v>cái</v>
      </c>
      <c r="D1916" s="437">
        <f>VLOOKUP(A1916,'Thống kê'!$C$3:$M$682,4,0)</f>
        <v>59500</v>
      </c>
      <c r="E1916" s="438">
        <v>1</v>
      </c>
      <c r="F1916" s="439">
        <f t="shared" si="8"/>
        <v>59500</v>
      </c>
      <c r="G1916" s="440"/>
      <c r="H1916" s="447">
        <v>145835</v>
      </c>
    </row>
    <row r="1917" spans="1:8" ht="13.2">
      <c r="A1917" s="454" t="s">
        <v>150</v>
      </c>
      <c r="B1917" s="452" t="str">
        <f>VLOOKUP(A1917,'Thống kê'!$C$3:$D$669,2,0)</f>
        <v>Móc khóa có chuông</v>
      </c>
      <c r="C1917" s="436" t="str">
        <f>VLOOKUP(A1917,'Thống kê'!$C$3:$E$682,3,0)</f>
        <v>cái</v>
      </c>
      <c r="D1917" s="437">
        <f>VLOOKUP(A1917,'Thống kê'!$C$3:$M$682,4,0)</f>
        <v>59000</v>
      </c>
      <c r="E1917" s="438">
        <v>1</v>
      </c>
      <c r="F1917" s="439">
        <f t="shared" si="8"/>
        <v>59000</v>
      </c>
      <c r="G1917" s="440"/>
      <c r="H1917" s="446"/>
    </row>
    <row r="1918" spans="1:8" ht="13.2">
      <c r="A1918" s="454" t="s">
        <v>1626</v>
      </c>
      <c r="B1918" s="452" t="str">
        <f>VLOOKUP(A1918,'Thống kê'!$C$3:$D$669,2,0)</f>
        <v>Móc khóa capybara</v>
      </c>
      <c r="C1918" s="436" t="str">
        <f>VLOOKUP(A1918,'Thống kê'!$C$3:$E$682,3,0)</f>
        <v>cái</v>
      </c>
      <c r="D1918" s="437">
        <f>VLOOKUP(A1918,'Thống kê'!$C$3:$M$682,4,0)</f>
        <v>58800</v>
      </c>
      <c r="E1918" s="438">
        <v>1</v>
      </c>
      <c r="F1918" s="439">
        <f t="shared" si="8"/>
        <v>58800</v>
      </c>
      <c r="G1918" s="440"/>
      <c r="H1918" s="446"/>
    </row>
    <row r="1919" spans="1:8" ht="13.2">
      <c r="A1919" s="454" t="s">
        <v>2016</v>
      </c>
      <c r="B1919" s="452" t="str">
        <f>VLOOKUP(A1919,'Thống kê'!$C$3:$D$669,2,0)</f>
        <v>Móc khóa Popbean 01</v>
      </c>
      <c r="C1919" s="436" t="str">
        <f>VLOOKUP(A1919,'Thống kê'!$C$3:$E$682,3,0)</f>
        <v>cái</v>
      </c>
      <c r="D1919" s="437">
        <f>VLOOKUP(A1919,'Thống kê'!$C$3:$M$682,4,0)</f>
        <v>161850</v>
      </c>
      <c r="E1919" s="438">
        <v>1</v>
      </c>
      <c r="F1919" s="439">
        <f t="shared" si="8"/>
        <v>161850</v>
      </c>
      <c r="G1919" s="440"/>
      <c r="H1919" s="448">
        <v>133628</v>
      </c>
    </row>
    <row r="1920" spans="1:8" ht="13.2">
      <c r="A1920" s="454" t="s">
        <v>227</v>
      </c>
      <c r="B1920" s="452" t="str">
        <f>VLOOKUP(A1920,'Thống kê'!$C$3:$D$669,2,0)</f>
        <v>Móc khóa đôi corgy</v>
      </c>
      <c r="C1920" s="436" t="str">
        <f>VLOOKUP(A1920,'Thống kê'!$C$3:$E$682,3,0)</f>
        <v>cái</v>
      </c>
      <c r="D1920" s="437">
        <f>VLOOKUP(A1920,'Thống kê'!$C$3:$M$682,4,0)</f>
        <v>56580</v>
      </c>
      <c r="E1920" s="438">
        <v>1</v>
      </c>
      <c r="F1920" s="439">
        <f t="shared" si="8"/>
        <v>56580</v>
      </c>
      <c r="G1920" s="440"/>
      <c r="H1920" s="448">
        <v>44811</v>
      </c>
    </row>
    <row r="1921" spans="1:8" ht="13.2">
      <c r="A1921" s="454" t="s">
        <v>150</v>
      </c>
      <c r="B1921" s="452" t="str">
        <f>VLOOKUP(A1921,'Thống kê'!$C$3:$D$669,2,0)</f>
        <v>Móc khóa có chuông</v>
      </c>
      <c r="C1921" s="436" t="str">
        <f>VLOOKUP(A1921,'Thống kê'!$C$3:$E$682,3,0)</f>
        <v>cái</v>
      </c>
      <c r="D1921" s="437">
        <f>VLOOKUP(A1921,'Thống kê'!$C$3:$M$682,4,0)</f>
        <v>59000</v>
      </c>
      <c r="E1921" s="438">
        <v>1</v>
      </c>
      <c r="F1921" s="439">
        <f t="shared" si="8"/>
        <v>59000</v>
      </c>
      <c r="G1921" s="440"/>
      <c r="H1921" s="448">
        <v>46668</v>
      </c>
    </row>
    <row r="1922" spans="1:8" ht="13.2">
      <c r="A1922" s="454" t="s">
        <v>1210</v>
      </c>
      <c r="B1922" s="452" t="str">
        <f>VLOOKUP(A1922,'Thống kê'!$C$3:$D$669,2,0)</f>
        <v>Shiba ú cầm hoa</v>
      </c>
      <c r="C1922" s="436" t="str">
        <f>VLOOKUP(A1922,'Thống kê'!$C$3:$E$682,3,0)</f>
        <v>cái</v>
      </c>
      <c r="D1922" s="437">
        <f>VLOOKUP(A1922,'Thống kê'!$C$3:$M$682,4,0)</f>
        <v>64500</v>
      </c>
      <c r="E1922" s="438">
        <v>1</v>
      </c>
      <c r="F1922" s="439">
        <f t="shared" si="8"/>
        <v>64500</v>
      </c>
      <c r="G1922" s="440"/>
      <c r="H1922" s="448">
        <v>49500</v>
      </c>
    </row>
    <row r="1923" spans="1:8" ht="13.2">
      <c r="A1923" s="454" t="s">
        <v>1978</v>
      </c>
      <c r="B1923" s="452" t="str">
        <f>VLOOKUP(A1923,'Thống kê'!$C$3:$D$669,2,0)</f>
        <v>Kẹp khuếch tán tinh dầu vịt nâu</v>
      </c>
      <c r="C1923" s="436" t="str">
        <f>VLOOKUP(A1923,'Thống kê'!$C$3:$E$682,3,0)</f>
        <v>cái</v>
      </c>
      <c r="D1923" s="437">
        <f>VLOOKUP(A1923,'Thống kê'!$C$3:$M$682,4,0)</f>
        <v>142400</v>
      </c>
      <c r="E1923" s="438">
        <v>1</v>
      </c>
      <c r="F1923" s="439">
        <f t="shared" si="8"/>
        <v>142400</v>
      </c>
      <c r="G1923" s="440"/>
      <c r="H1923" s="447">
        <v>196873</v>
      </c>
    </row>
    <row r="1924" spans="1:8" ht="13.2">
      <c r="A1924" s="454" t="s">
        <v>1979</v>
      </c>
      <c r="B1924" s="452" t="str">
        <f>VLOOKUP(A1924,'Thống kê'!$C$3:$D$669,2,0)</f>
        <v>Kẹp khuếch tán tinh dầu mèo hồng</v>
      </c>
      <c r="C1924" s="436" t="str">
        <f>VLOOKUP(A1924,'Thống kê'!$C$3:$E$682,3,0)</f>
        <v>cái</v>
      </c>
      <c r="D1924" s="437">
        <f>VLOOKUP(A1924,'Thống kê'!$C$3:$M$682,4,0)</f>
        <v>142400</v>
      </c>
      <c r="E1924" s="438">
        <v>1</v>
      </c>
      <c r="F1924" s="439">
        <f t="shared" si="8"/>
        <v>142400</v>
      </c>
      <c r="G1924" s="440"/>
      <c r="H1924" s="446"/>
    </row>
    <row r="1925" spans="1:8" ht="13.2">
      <c r="A1925" s="454" t="s">
        <v>1930</v>
      </c>
      <c r="B1925" s="452" t="str">
        <f>VLOOKUP(A1925,'Thống kê'!$C$3:$D$669,2,0)</f>
        <v>Kẹp nơ hồng</v>
      </c>
      <c r="C1925" s="436" t="str">
        <f>VLOOKUP(A1925,'Thống kê'!$C$3:$E$682,3,0)</f>
        <v>cái</v>
      </c>
      <c r="D1925" s="437">
        <f>VLOOKUP(A1925,'Thống kê'!$C$3:$M$682,4,0)</f>
        <v>22000</v>
      </c>
      <c r="E1925" s="438">
        <v>1</v>
      </c>
      <c r="F1925" s="439">
        <f t="shared" si="8"/>
        <v>22000</v>
      </c>
      <c r="G1925" s="440"/>
      <c r="H1925" s="448">
        <v>19300</v>
      </c>
    </row>
    <row r="1926" spans="1:8" ht="13.2">
      <c r="A1926" s="454" t="s">
        <v>1625</v>
      </c>
      <c r="B1926" s="452" t="str">
        <f>VLOOKUP(A1926,'Thống kê'!$C$3:$D$669,2,0)</f>
        <v>Móc khóa đôi 2 mèo trắng nâu</v>
      </c>
      <c r="C1926" s="436" t="str">
        <f>VLOOKUP(A1926,'Thống kê'!$C$3:$E$682,3,0)</f>
        <v>cái</v>
      </c>
      <c r="D1926" s="437">
        <f>VLOOKUP(A1926,'Thống kê'!$C$3:$M$682,4,0)</f>
        <v>59000</v>
      </c>
      <c r="E1926" s="438">
        <v>1</v>
      </c>
      <c r="F1926" s="439">
        <f t="shared" si="8"/>
        <v>59000</v>
      </c>
      <c r="G1926" s="440"/>
      <c r="H1926" s="448">
        <v>46588</v>
      </c>
    </row>
    <row r="1927" spans="1:8" ht="13.2">
      <c r="A1927" s="454" t="s">
        <v>1625</v>
      </c>
      <c r="B1927" s="452" t="str">
        <f>VLOOKUP(A1927,'Thống kê'!$C$3:$D$669,2,0)</f>
        <v>Móc khóa đôi 2 mèo trắng nâu</v>
      </c>
      <c r="C1927" s="436" t="str">
        <f>VLOOKUP(A1927,'Thống kê'!$C$3:$E$682,3,0)</f>
        <v>cái</v>
      </c>
      <c r="D1927" s="437">
        <f>VLOOKUP(A1927,'Thống kê'!$C$3:$M$682,4,0)</f>
        <v>59000</v>
      </c>
      <c r="E1927" s="438">
        <v>1</v>
      </c>
      <c r="F1927" s="439">
        <f t="shared" si="8"/>
        <v>59000</v>
      </c>
      <c r="G1927" s="440"/>
      <c r="H1927" s="448">
        <v>46608</v>
      </c>
    </row>
    <row r="1928" spans="1:8" ht="13.2">
      <c r="A1928" s="454" t="s">
        <v>1621</v>
      </c>
      <c r="B1928" s="452" t="str">
        <f>VLOOKUP(A1928,'Thống kê'!$C$3:$D$669,2,0)</f>
        <v>Mô hình mèo 2</v>
      </c>
      <c r="C1928" s="436" t="str">
        <f>VLOOKUP(A1928,'Thống kê'!$C$3:$E$682,3,0)</f>
        <v>cái</v>
      </c>
      <c r="D1928" s="437">
        <f>VLOOKUP(A1928,'Thống kê'!$C$3:$M$682,4,0)</f>
        <v>37800</v>
      </c>
      <c r="E1928" s="438">
        <v>1</v>
      </c>
      <c r="F1928" s="439">
        <f t="shared" si="8"/>
        <v>37800</v>
      </c>
      <c r="G1928" s="440"/>
      <c r="H1928" s="448">
        <v>33863</v>
      </c>
    </row>
    <row r="1929" spans="1:8" ht="13.2">
      <c r="A1929" s="454" t="s">
        <v>150</v>
      </c>
      <c r="B1929" s="452" t="str">
        <f>VLOOKUP(A1929,'Thống kê'!$C$3:$D$669,2,0)</f>
        <v>Móc khóa có chuông</v>
      </c>
      <c r="C1929" s="436" t="str">
        <f>VLOOKUP(A1929,'Thống kê'!$C$3:$E$682,3,0)</f>
        <v>cái</v>
      </c>
      <c r="D1929" s="437">
        <f>VLOOKUP(A1929,'Thống kê'!$C$3:$M$682,4,0)</f>
        <v>59000</v>
      </c>
      <c r="E1929" s="438">
        <v>1</v>
      </c>
      <c r="F1929" s="439">
        <f t="shared" si="8"/>
        <v>59000</v>
      </c>
      <c r="G1929" s="440"/>
      <c r="H1929" s="448">
        <v>46608</v>
      </c>
    </row>
    <row r="1930" spans="1:8" ht="13.2">
      <c r="A1930" s="454" t="s">
        <v>2016</v>
      </c>
      <c r="B1930" s="452" t="str">
        <f>VLOOKUP(A1930,'Thống kê'!$C$3:$D$669,2,0)</f>
        <v>Móc khóa Popbean 01</v>
      </c>
      <c r="C1930" s="436" t="str">
        <f>VLOOKUP(A1930,'Thống kê'!$C$3:$E$682,3,0)</f>
        <v>cái</v>
      </c>
      <c r="D1930" s="437">
        <f>VLOOKUP(A1930,'Thống kê'!$C$3:$M$682,4,0)</f>
        <v>161850</v>
      </c>
      <c r="E1930" s="438">
        <v>1</v>
      </c>
      <c r="F1930" s="439">
        <f t="shared" si="8"/>
        <v>161850</v>
      </c>
      <c r="G1930" s="440"/>
      <c r="H1930" s="448">
        <v>133628</v>
      </c>
    </row>
    <row r="1931" spans="1:8" ht="13.2">
      <c r="A1931" s="454" t="s">
        <v>1594</v>
      </c>
      <c r="B1931" s="452" t="str">
        <f>VLOOKUP(A1931,'Thống kê'!$C$3:$D$669,2,0)</f>
        <v>Móc khóa đôi heo</v>
      </c>
      <c r="C1931" s="436" t="str">
        <f>VLOOKUP(A1931,'Thống kê'!$C$3:$E$682,3,0)</f>
        <v>cái</v>
      </c>
      <c r="D1931" s="437">
        <f>VLOOKUP(A1931,'Thống kê'!$C$3:$M$682,4,0)</f>
        <v>56580</v>
      </c>
      <c r="E1931" s="438">
        <v>1</v>
      </c>
      <c r="F1931" s="439">
        <f t="shared" si="8"/>
        <v>56580</v>
      </c>
      <c r="G1931" s="440"/>
      <c r="H1931" s="448">
        <v>44111</v>
      </c>
    </row>
    <row r="1932" spans="1:8" ht="13.2">
      <c r="A1932" s="454" t="s">
        <v>115</v>
      </c>
      <c r="B1932" s="452" t="str">
        <f>VLOOKUP(A1932,'Thống kê'!$C$3:$D$669,2,0)</f>
        <v>Heo ú</v>
      </c>
      <c r="C1932" s="436" t="str">
        <f>VLOOKUP(A1932,'Thống kê'!$C$3:$E$682,3,0)</f>
        <v>cái</v>
      </c>
      <c r="D1932" s="437">
        <f>VLOOKUP(A1932,'Thống kê'!$C$3:$M$682,4,0)</f>
        <v>59500</v>
      </c>
      <c r="E1932" s="438">
        <v>1</v>
      </c>
      <c r="F1932" s="439">
        <f t="shared" si="8"/>
        <v>59500</v>
      </c>
      <c r="G1932" s="440"/>
      <c r="H1932" s="448">
        <v>46332</v>
      </c>
    </row>
    <row r="1933" spans="1:8" ht="13.2">
      <c r="A1933" s="454" t="s">
        <v>150</v>
      </c>
      <c r="B1933" s="452" t="str">
        <f>VLOOKUP(A1933,'Thống kê'!$C$3:$D$669,2,0)</f>
        <v>Móc khóa có chuông</v>
      </c>
      <c r="C1933" s="436" t="str">
        <f>VLOOKUP(A1933,'Thống kê'!$C$3:$E$682,3,0)</f>
        <v>cái</v>
      </c>
      <c r="D1933" s="437">
        <f>VLOOKUP(A1933,'Thống kê'!$C$3:$M$682,4,0)</f>
        <v>59000</v>
      </c>
      <c r="E1933" s="438">
        <v>1</v>
      </c>
      <c r="F1933" s="439">
        <f t="shared" si="8"/>
        <v>59000</v>
      </c>
      <c r="G1933" s="440"/>
      <c r="H1933" s="448">
        <v>46728</v>
      </c>
    </row>
    <row r="1934" spans="1:8" ht="13.2">
      <c r="A1934" s="454" t="s">
        <v>1591</v>
      </c>
      <c r="B1934" s="452" t="str">
        <f>VLOOKUP(A1934,'Thống kê'!$C$3:$D$669,2,0)</f>
        <v>Thỏ ú</v>
      </c>
      <c r="C1934" s="436" t="str">
        <f>VLOOKUP(A1934,'Thống kê'!$C$3:$E$682,3,0)</f>
        <v>cái</v>
      </c>
      <c r="D1934" s="437">
        <f>VLOOKUP(A1934,'Thống kê'!$C$3:$M$682,4,0)</f>
        <v>59500</v>
      </c>
      <c r="E1934" s="438">
        <v>1</v>
      </c>
      <c r="F1934" s="439">
        <f t="shared" si="8"/>
        <v>59500</v>
      </c>
      <c r="G1934" s="440"/>
      <c r="H1934" s="448">
        <v>46332</v>
      </c>
    </row>
    <row r="1935" spans="1:8" ht="13.2">
      <c r="A1935" s="454" t="s">
        <v>1854</v>
      </c>
      <c r="B1935" s="452" t="str">
        <f>VLOOKUP(A1935,'Thống kê'!$C$3:$D$669,2,0)</f>
        <v>Mèo vàng treo gương</v>
      </c>
      <c r="C1935" s="436" t="str">
        <f>VLOOKUP(A1935,'Thống kê'!$C$3:$E$682,3,0)</f>
        <v>cái</v>
      </c>
      <c r="D1935" s="437">
        <f>VLOOKUP(A1935,'Thống kê'!$C$3:$M$682,4,0)</f>
        <v>71500</v>
      </c>
      <c r="E1935" s="438">
        <v>1</v>
      </c>
      <c r="F1935" s="439">
        <f t="shared" si="8"/>
        <v>71500</v>
      </c>
      <c r="G1935" s="440"/>
      <c r="H1935" s="448">
        <v>56628</v>
      </c>
    </row>
    <row r="1936" spans="1:8" ht="13.2">
      <c r="A1936" s="454" t="s">
        <v>1634</v>
      </c>
      <c r="B1936" s="452" t="str">
        <f>VLOOKUP(A1936,'Thống kê'!$C$3:$D$669,2,0)</f>
        <v>Móc khóa mèo đen cá</v>
      </c>
      <c r="C1936" s="436" t="str">
        <f>VLOOKUP(A1936,'Thống kê'!$C$3:$E$682,3,0)</f>
        <v>cái</v>
      </c>
      <c r="D1936" s="437">
        <f>VLOOKUP(A1936,'Thống kê'!$C$3:$M$682,4,0)</f>
        <v>59000</v>
      </c>
      <c r="E1936" s="438">
        <v>1</v>
      </c>
      <c r="F1936" s="439">
        <f t="shared" si="8"/>
        <v>59000</v>
      </c>
      <c r="G1936" s="440"/>
      <c r="H1936" s="448">
        <v>48408</v>
      </c>
    </row>
    <row r="1937" spans="1:8" ht="13.2">
      <c r="A1937" s="454" t="s">
        <v>143</v>
      </c>
      <c r="B1937" s="452" t="str">
        <f>VLOOKUP(A1937,'Thống kê'!$C$3:$D$669,2,0)</f>
        <v>Mèo ú</v>
      </c>
      <c r="C1937" s="436" t="str">
        <f>VLOOKUP(A1937,'Thống kê'!$C$3:$E$682,3,0)</f>
        <v>cái</v>
      </c>
      <c r="D1937" s="437">
        <f>VLOOKUP(A1937,'Thống kê'!$C$3:$M$682,4,0)</f>
        <v>59500</v>
      </c>
      <c r="E1937" s="438">
        <v>1</v>
      </c>
      <c r="F1937" s="439">
        <f t="shared" si="8"/>
        <v>59500</v>
      </c>
      <c r="G1937" s="440"/>
      <c r="H1937" s="448">
        <v>46332</v>
      </c>
    </row>
    <row r="1938" spans="1:8" ht="13.2">
      <c r="A1938" s="454" t="s">
        <v>1989</v>
      </c>
      <c r="B1938" s="452" t="str">
        <f>VLOOKUP(A1938,'Thống kê'!$C$3:$D$669,2,0)</f>
        <v>Móc khóa capybara 12 - ghitar điện</v>
      </c>
      <c r="C1938" s="436" t="str">
        <f>VLOOKUP(A1938,'Thống kê'!$C$3:$E$682,3,0)</f>
        <v>cái</v>
      </c>
      <c r="D1938" s="437">
        <f>VLOOKUP(A1938,'Thống kê'!$C$3:$M$682,4,0)</f>
        <v>58800</v>
      </c>
      <c r="E1938" s="438">
        <v>1</v>
      </c>
      <c r="F1938" s="439">
        <f t="shared" si="8"/>
        <v>58800</v>
      </c>
      <c r="G1938" s="440"/>
      <c r="H1938" s="448">
        <v>46509</v>
      </c>
    </row>
    <row r="1939" spans="1:8" ht="13.2">
      <c r="A1939" s="454" t="s">
        <v>115</v>
      </c>
      <c r="B1939" s="452" t="str">
        <f>VLOOKUP(A1939,'Thống kê'!$C$3:$D$669,2,0)</f>
        <v>Heo ú</v>
      </c>
      <c r="C1939" s="436" t="str">
        <f>VLOOKUP(A1939,'Thống kê'!$C$3:$E$682,3,0)</f>
        <v>cái</v>
      </c>
      <c r="D1939" s="437">
        <f>VLOOKUP(A1939,'Thống kê'!$C$3:$M$682,4,0)</f>
        <v>59500</v>
      </c>
      <c r="E1939" s="438">
        <v>1</v>
      </c>
      <c r="F1939" s="439">
        <f t="shared" si="8"/>
        <v>59500</v>
      </c>
      <c r="G1939" s="440"/>
      <c r="H1939" s="447">
        <v>94160</v>
      </c>
    </row>
    <row r="1940" spans="1:8" ht="13.2">
      <c r="A1940" s="454" t="s">
        <v>1591</v>
      </c>
      <c r="B1940" s="452" t="str">
        <f>VLOOKUP(A1940,'Thống kê'!$C$3:$D$669,2,0)</f>
        <v>Thỏ ú</v>
      </c>
      <c r="C1940" s="436" t="str">
        <f>VLOOKUP(A1940,'Thống kê'!$C$3:$E$682,3,0)</f>
        <v>cái</v>
      </c>
      <c r="D1940" s="437">
        <f>VLOOKUP(A1940,'Thống kê'!$C$3:$M$682,4,0)</f>
        <v>59500</v>
      </c>
      <c r="E1940" s="438">
        <v>1</v>
      </c>
      <c r="F1940" s="439">
        <f t="shared" si="8"/>
        <v>59500</v>
      </c>
      <c r="G1940" s="440"/>
      <c r="H1940" s="446"/>
    </row>
    <row r="1941" spans="1:8" ht="13.2">
      <c r="A1941" s="454" t="s">
        <v>1594</v>
      </c>
      <c r="B1941" s="452" t="str">
        <f>VLOOKUP(A1941,'Thống kê'!$C$3:$D$669,2,0)</f>
        <v>Móc khóa đôi heo</v>
      </c>
      <c r="C1941" s="436" t="str">
        <f>VLOOKUP(A1941,'Thống kê'!$C$3:$E$682,3,0)</f>
        <v>cái</v>
      </c>
      <c r="D1941" s="437">
        <f>VLOOKUP(A1941,'Thống kê'!$C$3:$M$682,4,0)</f>
        <v>56580</v>
      </c>
      <c r="E1941" s="438">
        <v>1</v>
      </c>
      <c r="F1941" s="439">
        <f t="shared" si="8"/>
        <v>56580</v>
      </c>
      <c r="G1941" s="440"/>
      <c r="H1941" s="448">
        <v>49731</v>
      </c>
    </row>
    <row r="1942" spans="1:8" ht="13.2">
      <c r="A1942" s="454" t="s">
        <v>1594</v>
      </c>
      <c r="B1942" s="452" t="str">
        <f>VLOOKUP(A1942,'Thống kê'!$C$3:$D$669,2,0)</f>
        <v>Móc khóa đôi heo</v>
      </c>
      <c r="C1942" s="436" t="str">
        <f>VLOOKUP(A1942,'Thống kê'!$C$3:$E$682,3,0)</f>
        <v>cái</v>
      </c>
      <c r="D1942" s="437">
        <f>VLOOKUP(A1942,'Thống kê'!$C$3:$M$682,4,0)</f>
        <v>56580</v>
      </c>
      <c r="E1942" s="438">
        <v>1</v>
      </c>
      <c r="F1942" s="439">
        <f t="shared" si="8"/>
        <v>56580</v>
      </c>
      <c r="G1942" s="440"/>
      <c r="H1942" s="448">
        <v>44751</v>
      </c>
    </row>
    <row r="1943" spans="1:8" ht="13.2">
      <c r="A1943" s="454" t="s">
        <v>2021</v>
      </c>
      <c r="B1943" s="452" t="str">
        <f>VLOOKUP(A1943,'Thống kê'!$C$3:$D$669,2,0)</f>
        <v>Móc khóa Popbean 09</v>
      </c>
      <c r="C1943" s="436" t="str">
        <f>VLOOKUP(A1943,'Thống kê'!$C$3:$E$682,3,0)</f>
        <v>cái</v>
      </c>
      <c r="D1943" s="437">
        <f>VLOOKUP(A1943,'Thống kê'!$C$3:$M$682,4,0)</f>
        <v>161850</v>
      </c>
      <c r="E1943" s="438">
        <v>1</v>
      </c>
      <c r="F1943" s="439">
        <f t="shared" si="8"/>
        <v>161850</v>
      </c>
      <c r="G1943" s="440"/>
      <c r="H1943" s="448">
        <v>133628</v>
      </c>
    </row>
    <row r="1944" spans="1:8" ht="13.2">
      <c r="A1944" s="454" t="s">
        <v>1625</v>
      </c>
      <c r="B1944" s="452" t="str">
        <f>VLOOKUP(A1944,'Thống kê'!$C$3:$D$669,2,0)</f>
        <v>Móc khóa đôi 2 mèo trắng nâu</v>
      </c>
      <c r="C1944" s="436" t="str">
        <f>VLOOKUP(A1944,'Thống kê'!$C$3:$E$682,3,0)</f>
        <v>cái</v>
      </c>
      <c r="D1944" s="437">
        <f>VLOOKUP(A1944,'Thống kê'!$C$3:$M$682,4,0)</f>
        <v>59000</v>
      </c>
      <c r="E1944" s="438">
        <v>1</v>
      </c>
      <c r="F1944" s="439">
        <f t="shared" si="8"/>
        <v>59000</v>
      </c>
      <c r="G1944" s="440"/>
      <c r="H1944" s="448">
        <v>46668</v>
      </c>
    </row>
    <row r="1945" spans="1:8" ht="13.2">
      <c r="A1945" s="454" t="s">
        <v>1716</v>
      </c>
      <c r="B1945" s="452" t="str">
        <f>VLOOKUP(A1945,'Thống kê'!$C$3:$D$669,2,0)</f>
        <v>Móc khóa đôi 2 quả lê có nam châm</v>
      </c>
      <c r="C1945" s="436" t="str">
        <f>VLOOKUP(A1945,'Thống kê'!$C$3:$E$682,3,0)</f>
        <v>cái</v>
      </c>
      <c r="D1945" s="437">
        <f>VLOOKUP(A1945,'Thống kê'!$C$3:$M$682,4,0)</f>
        <v>59000</v>
      </c>
      <c r="E1945" s="438">
        <v>1</v>
      </c>
      <c r="F1945" s="439">
        <f t="shared" si="8"/>
        <v>59000</v>
      </c>
      <c r="G1945" s="440"/>
      <c r="H1945" s="448">
        <v>45135</v>
      </c>
    </row>
    <row r="1946" spans="1:8" ht="13.2">
      <c r="A1946" s="454" t="s">
        <v>1597</v>
      </c>
      <c r="B1946" s="452" t="str">
        <f>VLOOKUP(A1946,'Thống kê'!$C$3:$D$669,2,0)</f>
        <v>Dao rọc giấy 12</v>
      </c>
      <c r="C1946" s="436" t="str">
        <f>VLOOKUP(A1946,'Thống kê'!$C$3:$E$682,3,0)</f>
        <v>cái</v>
      </c>
      <c r="D1946" s="437">
        <f>VLOOKUP(A1946,'Thống kê'!$C$3:$M$682,4,0)</f>
        <v>12000</v>
      </c>
      <c r="E1946" s="438">
        <v>1</v>
      </c>
      <c r="F1946" s="439">
        <f t="shared" si="8"/>
        <v>12000</v>
      </c>
      <c r="G1946" s="440"/>
      <c r="H1946" s="447">
        <v>92344</v>
      </c>
    </row>
    <row r="1947" spans="1:8" ht="13.2">
      <c r="A1947" s="454" t="s">
        <v>1624</v>
      </c>
      <c r="B1947" s="452" t="str">
        <f>VLOOKUP(A1947,'Thống kê'!$C$3:$D$669,2,0)</f>
        <v>Móc khóa mèo trái tim</v>
      </c>
      <c r="C1947" s="436" t="str">
        <f>VLOOKUP(A1947,'Thống kê'!$C$3:$E$682,3,0)</f>
        <v>cái</v>
      </c>
      <c r="D1947" s="437">
        <f>VLOOKUP(A1947,'Thống kê'!$C$3:$M$682,4,0)</f>
        <v>59000</v>
      </c>
      <c r="E1947" s="438">
        <v>1</v>
      </c>
      <c r="F1947" s="439">
        <f t="shared" si="8"/>
        <v>59000</v>
      </c>
      <c r="G1947" s="440"/>
      <c r="H1947" s="446"/>
    </row>
    <row r="1948" spans="1:8" ht="13.2">
      <c r="A1948" s="454" t="s">
        <v>1951</v>
      </c>
      <c r="B1948" s="452" t="str">
        <f>VLOOKUP(A1948,'Thống kê'!$C$3:$D$669,2,0)</f>
        <v>Mô hình cún 04</v>
      </c>
      <c r="C1948" s="436" t="str">
        <f>VLOOKUP(A1948,'Thống kê'!$C$3:$E$682,3,0)</f>
        <v>cái</v>
      </c>
      <c r="D1948" s="437">
        <f>VLOOKUP(A1948,'Thống kê'!$C$3:$M$682,4,0)</f>
        <v>39000</v>
      </c>
      <c r="E1948" s="438">
        <v>1</v>
      </c>
      <c r="F1948" s="439">
        <f t="shared" si="8"/>
        <v>39000</v>
      </c>
      <c r="G1948" s="440"/>
      <c r="H1948" s="446"/>
    </row>
    <row r="1949" spans="1:8" ht="13.2">
      <c r="A1949" s="454" t="s">
        <v>1603</v>
      </c>
      <c r="B1949" s="452" t="str">
        <f>VLOOKUP(A1949,'Thống kê'!$C$3:$D$669,2,0)</f>
        <v>Thước dây hồng phấn</v>
      </c>
      <c r="C1949" s="436" t="str">
        <f>VLOOKUP(A1949,'Thống kê'!$C$3:$E$682,3,0)</f>
        <v>cái</v>
      </c>
      <c r="D1949" s="437">
        <f>VLOOKUP(A1949,'Thống kê'!$C$3:$M$682,4,0)</f>
        <v>9000</v>
      </c>
      <c r="E1949" s="438">
        <v>1</v>
      </c>
      <c r="F1949" s="439">
        <f t="shared" si="8"/>
        <v>9000</v>
      </c>
      <c r="G1949" s="440"/>
      <c r="H1949" s="446"/>
    </row>
    <row r="1950" spans="1:8" ht="13.2">
      <c r="A1950" s="454" t="s">
        <v>1605</v>
      </c>
      <c r="B1950" s="452" t="str">
        <f>VLOOKUP(A1950,'Thống kê'!$C$3:$D$669,2,0)</f>
        <v>Thước dây xanh</v>
      </c>
      <c r="C1950" s="436" t="str">
        <f>VLOOKUP(A1950,'Thống kê'!$C$3:$E$682,3,0)</f>
        <v>cái</v>
      </c>
      <c r="D1950" s="437">
        <f>VLOOKUP(A1950,'Thống kê'!$C$3:$M$682,4,0)</f>
        <v>9000</v>
      </c>
      <c r="E1950" s="438">
        <v>1</v>
      </c>
      <c r="F1950" s="439">
        <f t="shared" si="8"/>
        <v>9000</v>
      </c>
      <c r="G1950" s="440"/>
      <c r="H1950" s="447">
        <v>136509</v>
      </c>
    </row>
    <row r="1951" spans="1:8" ht="13.2">
      <c r="A1951" s="454" t="s">
        <v>1694</v>
      </c>
      <c r="B1951" s="452" t="str">
        <f>VLOOKUP(A1951,'Thống kê'!$C$3:$D$669,2,0)</f>
        <v>Móc khóa Popbean 10</v>
      </c>
      <c r="C1951" s="436" t="str">
        <f>VLOOKUP(A1951,'Thống kê'!$C$3:$E$682,3,0)</f>
        <v>cái</v>
      </c>
      <c r="D1951" s="437">
        <f>VLOOKUP(A1951,'Thống kê'!$C$3:$M$682,4,0)</f>
        <v>161850</v>
      </c>
      <c r="E1951" s="438">
        <v>1</v>
      </c>
      <c r="F1951" s="439">
        <f t="shared" si="8"/>
        <v>161850</v>
      </c>
      <c r="G1951" s="440"/>
      <c r="H1951" s="446"/>
    </row>
    <row r="1952" spans="1:8" ht="13.2">
      <c r="A1952" s="454" t="s">
        <v>1621</v>
      </c>
      <c r="B1952" s="452" t="str">
        <f>VLOOKUP(A1952,'Thống kê'!$C$3:$D$669,2,0)</f>
        <v>Mô hình mèo 2</v>
      </c>
      <c r="C1952" s="436" t="str">
        <f>VLOOKUP(A1952,'Thống kê'!$C$3:$E$682,3,0)</f>
        <v>cái</v>
      </c>
      <c r="D1952" s="437">
        <f>VLOOKUP(A1952,'Thống kê'!$C$3:$M$682,4,0)</f>
        <v>37800</v>
      </c>
      <c r="E1952" s="438">
        <v>1</v>
      </c>
      <c r="F1952" s="439">
        <f t="shared" si="8"/>
        <v>37800</v>
      </c>
      <c r="G1952" s="440"/>
      <c r="H1952" s="448">
        <v>32669</v>
      </c>
    </row>
    <row r="1953" spans="1:8" ht="13.2">
      <c r="A1953" s="454" t="s">
        <v>1941</v>
      </c>
      <c r="B1953" s="452" t="str">
        <f>VLOOKUP(A1953,'Thống kê'!$C$3:$D$669,2,0)</f>
        <v>Móc khóa capybara 7 - táo</v>
      </c>
      <c r="C1953" s="436" t="str">
        <f>VLOOKUP(A1953,'Thống kê'!$C$3:$E$682,3,0)</f>
        <v>cái</v>
      </c>
      <c r="D1953" s="437">
        <f>VLOOKUP(A1953,'Thống kê'!$C$3:$M$682,4,0)</f>
        <v>58800</v>
      </c>
      <c r="E1953" s="438">
        <v>1</v>
      </c>
      <c r="F1953" s="439">
        <f t="shared" si="8"/>
        <v>58800</v>
      </c>
      <c r="G1953" s="440"/>
      <c r="H1953" s="447">
        <v>176299</v>
      </c>
    </row>
    <row r="1954" spans="1:8" ht="13.2">
      <c r="A1954" s="454" t="s">
        <v>1694</v>
      </c>
      <c r="B1954" s="452" t="str">
        <f>VLOOKUP(A1954,'Thống kê'!$C$3:$D$669,2,0)</f>
        <v>Móc khóa Popbean 10</v>
      </c>
      <c r="C1954" s="436" t="str">
        <f>VLOOKUP(A1954,'Thống kê'!$C$3:$E$682,3,0)</f>
        <v>cái</v>
      </c>
      <c r="D1954" s="437">
        <f>VLOOKUP(A1954,'Thống kê'!$C$3:$M$682,4,0)</f>
        <v>161850</v>
      </c>
      <c r="E1954" s="438">
        <v>1</v>
      </c>
      <c r="F1954" s="439">
        <f t="shared" si="8"/>
        <v>161850</v>
      </c>
      <c r="G1954" s="440"/>
      <c r="H1954" s="446"/>
    </row>
    <row r="1955" spans="1:8" ht="13.2">
      <c r="A1955" s="454" t="s">
        <v>269</v>
      </c>
      <c r="B1955" s="452" t="str">
        <f>VLOOKUP(A1955,'Thống kê'!$C$3:$D$669,2,0)</f>
        <v>Dao rọc giấy 17</v>
      </c>
      <c r="C1955" s="436" t="str">
        <f>VLOOKUP(A1955,'Thống kê'!$C$3:$E$682,3,0)</f>
        <v>cái</v>
      </c>
      <c r="D1955" s="437">
        <f>VLOOKUP(A1955,'Thống kê'!$C$3:$M$682,4,0)</f>
        <v>12000</v>
      </c>
      <c r="E1955" s="438">
        <v>1</v>
      </c>
      <c r="F1955" s="439">
        <f t="shared" si="8"/>
        <v>12000</v>
      </c>
      <c r="G1955" s="440"/>
      <c r="H1955" s="447">
        <v>53932</v>
      </c>
    </row>
    <row r="1956" spans="1:8" ht="13.2">
      <c r="A1956" s="454" t="s">
        <v>143</v>
      </c>
      <c r="B1956" s="452" t="str">
        <f>VLOOKUP(A1956,'Thống kê'!$C$3:$D$669,2,0)</f>
        <v>Mèo ú</v>
      </c>
      <c r="C1956" s="436" t="str">
        <f>VLOOKUP(A1956,'Thống kê'!$C$3:$E$682,3,0)</f>
        <v>cái</v>
      </c>
      <c r="D1956" s="437">
        <f>VLOOKUP(A1956,'Thống kê'!$C$3:$M$682,4,0)</f>
        <v>59500</v>
      </c>
      <c r="E1956" s="438">
        <v>1</v>
      </c>
      <c r="F1956" s="439">
        <f t="shared" si="8"/>
        <v>59500</v>
      </c>
      <c r="G1956" s="440"/>
      <c r="H1956" s="446"/>
    </row>
    <row r="1957" spans="1:8" ht="13.2">
      <c r="A1957" s="454" t="s">
        <v>2028</v>
      </c>
      <c r="B1957" s="452" t="str">
        <f>VLOOKUP(A1957,'Thống kê'!$C$3:$D$669,2,0)</f>
        <v>Mô hình Popbean 01</v>
      </c>
      <c r="C1957" s="436" t="str">
        <f>VLOOKUP(A1957,'Thống kê'!$C$3:$E$682,3,0)</f>
        <v>cái</v>
      </c>
      <c r="D1957" s="437">
        <f>VLOOKUP(A1957,'Thống kê'!$C$3:$M$682,4,0)</f>
        <v>92000</v>
      </c>
      <c r="E1957" s="438">
        <v>1</v>
      </c>
      <c r="F1957" s="439">
        <f t="shared" si="8"/>
        <v>92000</v>
      </c>
      <c r="G1957" s="440"/>
      <c r="H1957" s="448">
        <v>70380</v>
      </c>
    </row>
    <row r="1958" spans="1:8" ht="13.2">
      <c r="A1958" s="454" t="s">
        <v>1624</v>
      </c>
      <c r="B1958" s="452" t="str">
        <f>VLOOKUP(A1958,'Thống kê'!$C$3:$D$669,2,0)</f>
        <v>Móc khóa mèo trái tim</v>
      </c>
      <c r="C1958" s="436" t="str">
        <f>VLOOKUP(A1958,'Thống kê'!$C$3:$E$682,3,0)</f>
        <v>cái</v>
      </c>
      <c r="D1958" s="437">
        <f>VLOOKUP(A1958,'Thống kê'!$C$3:$M$682,4,0)</f>
        <v>59000</v>
      </c>
      <c r="E1958" s="438">
        <v>1</v>
      </c>
      <c r="F1958" s="439">
        <f t="shared" si="8"/>
        <v>59000</v>
      </c>
      <c r="G1958" s="440"/>
      <c r="H1958" s="448">
        <v>45135</v>
      </c>
    </row>
    <row r="1959" spans="1:8" ht="13.2">
      <c r="A1959" s="454" t="s">
        <v>1624</v>
      </c>
      <c r="B1959" s="452" t="str">
        <f>VLOOKUP(A1959,'Thống kê'!$C$3:$D$669,2,0)</f>
        <v>Móc khóa mèo trái tim</v>
      </c>
      <c r="C1959" s="436" t="str">
        <f>VLOOKUP(A1959,'Thống kê'!$C$3:$E$682,3,0)</f>
        <v>cái</v>
      </c>
      <c r="D1959" s="437">
        <f>VLOOKUP(A1959,'Thống kê'!$C$3:$M$682,4,0)</f>
        <v>59000</v>
      </c>
      <c r="E1959" s="438">
        <v>1</v>
      </c>
      <c r="F1959" s="439">
        <f t="shared" si="8"/>
        <v>59000</v>
      </c>
      <c r="G1959" s="440"/>
      <c r="H1959" s="448">
        <v>45135</v>
      </c>
    </row>
    <row r="1960" spans="1:8" ht="13.2">
      <c r="A1960" s="454" t="s">
        <v>150</v>
      </c>
      <c r="B1960" s="452" t="str">
        <f>VLOOKUP(A1960,'Thống kê'!$C$3:$D$669,2,0)</f>
        <v>Móc khóa có chuông</v>
      </c>
      <c r="C1960" s="436" t="str">
        <f>VLOOKUP(A1960,'Thống kê'!$C$3:$E$682,3,0)</f>
        <v>cái</v>
      </c>
      <c r="D1960" s="437">
        <f>VLOOKUP(A1960,'Thống kê'!$C$3:$M$682,4,0)</f>
        <v>59000</v>
      </c>
      <c r="E1960" s="438">
        <v>1</v>
      </c>
      <c r="F1960" s="439">
        <f t="shared" si="8"/>
        <v>59000</v>
      </c>
      <c r="G1960" s="440"/>
      <c r="H1960" s="447">
        <v>89743</v>
      </c>
    </row>
    <row r="1961" spans="1:8" ht="13.2">
      <c r="A1961" s="454" t="s">
        <v>231</v>
      </c>
      <c r="B1961" s="452" t="str">
        <f>VLOOKUP(A1961,'Thống kê'!$C$3:$D$669,2,0)</f>
        <v>Móc khóa đôi gấu trúc</v>
      </c>
      <c r="C1961" s="436" t="str">
        <f>VLOOKUP(A1961,'Thống kê'!$C$3:$E$682,3,0)</f>
        <v>cái</v>
      </c>
      <c r="D1961" s="437">
        <f>VLOOKUP(A1961,'Thống kê'!$C$3:$M$682,4,0)</f>
        <v>56580</v>
      </c>
      <c r="E1961" s="438">
        <v>1</v>
      </c>
      <c r="F1961" s="439">
        <f t="shared" si="8"/>
        <v>56580</v>
      </c>
      <c r="G1961" s="440"/>
      <c r="H1961" s="446"/>
    </row>
    <row r="1962" spans="1:8" ht="13.2">
      <c r="A1962" s="454" t="s">
        <v>1624</v>
      </c>
      <c r="B1962" s="452" t="str">
        <f>VLOOKUP(A1962,'Thống kê'!$C$3:$D$669,2,0)</f>
        <v>Móc khóa mèo trái tim</v>
      </c>
      <c r="C1962" s="436" t="str">
        <f>VLOOKUP(A1962,'Thống kê'!$C$3:$E$682,3,0)</f>
        <v>cái</v>
      </c>
      <c r="D1962" s="437">
        <f>VLOOKUP(A1962,'Thống kê'!$C$3:$M$682,4,0)</f>
        <v>59000</v>
      </c>
      <c r="E1962" s="438">
        <v>1</v>
      </c>
      <c r="F1962" s="439">
        <f t="shared" si="8"/>
        <v>59000</v>
      </c>
      <c r="G1962" s="440"/>
      <c r="H1962" s="448">
        <v>44760</v>
      </c>
    </row>
    <row r="1963" spans="1:8" ht="13.2">
      <c r="A1963" s="454" t="s">
        <v>1625</v>
      </c>
      <c r="B1963" s="452" t="str">
        <f>VLOOKUP(A1963,'Thống kê'!$C$3:$D$669,2,0)</f>
        <v>Móc khóa đôi 2 mèo trắng nâu</v>
      </c>
      <c r="C1963" s="436" t="str">
        <f>VLOOKUP(A1963,'Thống kê'!$C$3:$E$682,3,0)</f>
        <v>cái</v>
      </c>
      <c r="D1963" s="437">
        <f>VLOOKUP(A1963,'Thống kê'!$C$3:$M$682,4,0)</f>
        <v>59000</v>
      </c>
      <c r="E1963" s="438">
        <v>1</v>
      </c>
      <c r="F1963" s="439">
        <f t="shared" si="8"/>
        <v>59000</v>
      </c>
      <c r="G1963" s="440"/>
      <c r="H1963" s="448">
        <v>45135</v>
      </c>
    </row>
    <row r="1964" spans="1:8" ht="13.2">
      <c r="A1964" s="454" t="s">
        <v>2014</v>
      </c>
      <c r="B1964" s="452" t="str">
        <f>VLOOKUP(A1964,'Thống kê'!$C$3:$D$669,2,0)</f>
        <v>Móc khóa Popbean 03</v>
      </c>
      <c r="C1964" s="436" t="str">
        <f>VLOOKUP(A1964,'Thống kê'!$C$3:$E$682,3,0)</f>
        <v>cái</v>
      </c>
      <c r="D1964" s="437">
        <f>VLOOKUP(A1964,'Thống kê'!$C$3:$M$682,4,0)</f>
        <v>161850</v>
      </c>
      <c r="E1964" s="438">
        <v>1</v>
      </c>
      <c r="F1964" s="439">
        <f t="shared" si="8"/>
        <v>161850</v>
      </c>
      <c r="G1964" s="440"/>
      <c r="H1964" s="448">
        <v>129072</v>
      </c>
    </row>
    <row r="1965" spans="1:8" ht="13.2">
      <c r="A1965" s="454" t="s">
        <v>150</v>
      </c>
      <c r="B1965" s="452" t="str">
        <f>VLOOKUP(A1965,'Thống kê'!$C$3:$D$669,2,0)</f>
        <v>Móc khóa có chuông</v>
      </c>
      <c r="C1965" s="436" t="str">
        <f>VLOOKUP(A1965,'Thống kê'!$C$3:$E$682,3,0)</f>
        <v>cái</v>
      </c>
      <c r="D1965" s="437">
        <f>VLOOKUP(A1965,'Thống kê'!$C$3:$M$682,4,0)</f>
        <v>59000</v>
      </c>
      <c r="E1965" s="438">
        <v>1</v>
      </c>
      <c r="F1965" s="439">
        <f t="shared" si="8"/>
        <v>59000</v>
      </c>
      <c r="G1965" s="440"/>
      <c r="H1965" s="447">
        <v>57804</v>
      </c>
    </row>
    <row r="1966" spans="1:8" ht="13.2">
      <c r="A1966" s="454" t="s">
        <v>2030</v>
      </c>
      <c r="B1966" s="452" t="str">
        <f>VLOOKUP(A1966,'Thống kê'!$C$3:$D$669,2,0)</f>
        <v>Kẹp càng cua lông hình gấu nâu đậm</v>
      </c>
      <c r="C1966" s="436" t="str">
        <f>VLOOKUP(A1966,'Thống kê'!$C$3:$E$682,3,0)</f>
        <v>cái</v>
      </c>
      <c r="D1966" s="437">
        <f>VLOOKUP(A1966,'Thống kê'!$C$3:$M$682,4,0)</f>
        <v>18000</v>
      </c>
      <c r="E1966" s="438">
        <v>1</v>
      </c>
      <c r="F1966" s="439">
        <f t="shared" si="8"/>
        <v>18000</v>
      </c>
      <c r="G1966" s="440"/>
      <c r="H1966" s="446"/>
    </row>
    <row r="1967" spans="1:8" ht="13.2">
      <c r="A1967" s="454" t="s">
        <v>2021</v>
      </c>
      <c r="B1967" s="452" t="str">
        <f>VLOOKUP(A1967,'Thống kê'!$C$3:$D$669,2,0)</f>
        <v>Móc khóa Popbean 09</v>
      </c>
      <c r="C1967" s="436" t="str">
        <f>VLOOKUP(A1967,'Thống kê'!$C$3:$E$682,3,0)</f>
        <v>cái</v>
      </c>
      <c r="D1967" s="437">
        <f>VLOOKUP(A1967,'Thống kê'!$C$3:$M$682,4,0)</f>
        <v>161850</v>
      </c>
      <c r="E1967" s="438">
        <v>1</v>
      </c>
      <c r="F1967" s="439">
        <f t="shared" si="8"/>
        <v>161850</v>
      </c>
      <c r="G1967" s="440"/>
      <c r="H1967" s="448">
        <v>129072</v>
      </c>
    </row>
    <row r="1968" spans="1:8" ht="13.2">
      <c r="A1968" s="454" t="s">
        <v>1962</v>
      </c>
      <c r="B1968" s="452" t="str">
        <f>VLOOKUP(A1968,'Thống kê'!$C$3:$D$669,2,0)</f>
        <v>Dao rọc giấy cún vàng</v>
      </c>
      <c r="C1968" s="436" t="str">
        <f>VLOOKUP(A1968,'Thống kê'!$C$3:$E$682,3,0)</f>
        <v>cái</v>
      </c>
      <c r="D1968" s="437">
        <f>VLOOKUP(A1968,'Thống kê'!$C$3:$M$682,4,0)</f>
        <v>9000</v>
      </c>
      <c r="E1968" s="438">
        <v>1</v>
      </c>
      <c r="F1968" s="439">
        <f t="shared" si="8"/>
        <v>9000</v>
      </c>
      <c r="G1968" s="440"/>
      <c r="H1968" s="447">
        <v>77785</v>
      </c>
    </row>
    <row r="1969" spans="1:8" ht="13.2">
      <c r="A1969" s="454" t="s">
        <v>119</v>
      </c>
      <c r="B1969" s="452" t="str">
        <f>VLOOKUP(A1969,'Thống kê'!$C$3:$D$669,2,0)</f>
        <v>Thỏ chạy xe gắn xe</v>
      </c>
      <c r="C1969" s="436" t="str">
        <f>VLOOKUP(A1969,'Thống kê'!$C$3:$E$682,3,0)</f>
        <v>cái</v>
      </c>
      <c r="D1969" s="437">
        <f>VLOOKUP(A1969,'Thống kê'!$C$3:$M$682,4,0)</f>
        <v>45000</v>
      </c>
      <c r="E1969" s="438">
        <v>1</v>
      </c>
      <c r="F1969" s="439">
        <f t="shared" si="8"/>
        <v>45000</v>
      </c>
      <c r="G1969" s="440"/>
      <c r="H1969" s="446"/>
    </row>
    <row r="1970" spans="1:8" ht="13.2">
      <c r="A1970" s="454" t="s">
        <v>1597</v>
      </c>
      <c r="B1970" s="452" t="str">
        <f>VLOOKUP(A1970,'Thống kê'!$C$3:$D$669,2,0)</f>
        <v>Dao rọc giấy 12</v>
      </c>
      <c r="C1970" s="436" t="str">
        <f>VLOOKUP(A1970,'Thống kê'!$C$3:$E$682,3,0)</f>
        <v>cái</v>
      </c>
      <c r="D1970" s="437">
        <f>VLOOKUP(A1970,'Thống kê'!$C$3:$M$682,4,0)</f>
        <v>12000</v>
      </c>
      <c r="E1970" s="438">
        <v>1</v>
      </c>
      <c r="F1970" s="439">
        <f t="shared" si="8"/>
        <v>12000</v>
      </c>
      <c r="G1970" s="440"/>
      <c r="H1970" s="446"/>
    </row>
    <row r="1971" spans="1:8" ht="13.2">
      <c r="A1971" s="454" t="s">
        <v>181</v>
      </c>
      <c r="B1971" s="452" t="str">
        <f>VLOOKUP(A1971,'Thống kê'!$C$3:$D$669,2,0)</f>
        <v>Thỏ mặt trăng gắn xe</v>
      </c>
      <c r="C1971" s="436" t="str">
        <f>VLOOKUP(A1971,'Thống kê'!$C$3:$E$682,3,0)</f>
        <v>cái</v>
      </c>
      <c r="D1971" s="437">
        <f>VLOOKUP(A1971,'Thống kê'!$C$3:$M$682,4,0)</f>
        <v>45000</v>
      </c>
      <c r="E1971" s="438">
        <v>1</v>
      </c>
      <c r="F1971" s="439">
        <f t="shared" si="8"/>
        <v>45000</v>
      </c>
      <c r="G1971" s="440"/>
      <c r="H1971" s="446"/>
    </row>
    <row r="1972" spans="1:8" ht="13.2">
      <c r="A1972" s="454" t="s">
        <v>150</v>
      </c>
      <c r="B1972" s="452" t="str">
        <f>VLOOKUP(A1972,'Thống kê'!$C$3:$D$669,2,0)</f>
        <v>Móc khóa có chuông</v>
      </c>
      <c r="C1972" s="436" t="str">
        <f>VLOOKUP(A1972,'Thống kê'!$C$3:$E$682,3,0)</f>
        <v>cái</v>
      </c>
      <c r="D1972" s="437">
        <f>VLOOKUP(A1972,'Thống kê'!$C$3:$M$682,4,0)</f>
        <v>59000</v>
      </c>
      <c r="E1972" s="438">
        <v>1</v>
      </c>
      <c r="F1972" s="439">
        <f t="shared" si="8"/>
        <v>59000</v>
      </c>
      <c r="G1972" s="440"/>
      <c r="H1972" s="448">
        <v>44735</v>
      </c>
    </row>
    <row r="1973" spans="1:8" ht="13.2">
      <c r="A1973" s="454" t="s">
        <v>1625</v>
      </c>
      <c r="B1973" s="452" t="str">
        <f>VLOOKUP(A1973,'Thống kê'!$C$3:$D$669,2,0)</f>
        <v>Móc khóa đôi 2 mèo trắng nâu</v>
      </c>
      <c r="C1973" s="436" t="str">
        <f>VLOOKUP(A1973,'Thống kê'!$C$3:$E$682,3,0)</f>
        <v>cái</v>
      </c>
      <c r="D1973" s="437">
        <f>VLOOKUP(A1973,'Thống kê'!$C$3:$M$682,4,0)</f>
        <v>59000</v>
      </c>
      <c r="E1973" s="438">
        <v>1</v>
      </c>
      <c r="F1973" s="439">
        <f t="shared" si="8"/>
        <v>59000</v>
      </c>
      <c r="G1973" s="440"/>
      <c r="H1973" s="448">
        <v>45135</v>
      </c>
    </row>
    <row r="1974" spans="1:8" ht="13.2">
      <c r="A1974" s="454" t="s">
        <v>1595</v>
      </c>
      <c r="B1974" s="452" t="str">
        <f>VLOOKUP(A1974,'Thống kê'!$C$3:$D$669,2,0)</f>
        <v>Dao rọc giấy 08</v>
      </c>
      <c r="C1974" s="436" t="str">
        <f>VLOOKUP(A1974,'Thống kê'!$C$3:$E$682,3,0)</f>
        <v>cái</v>
      </c>
      <c r="D1974" s="437">
        <f>VLOOKUP(A1974,'Thống kê'!$C$3:$M$682,4,0)</f>
        <v>12000</v>
      </c>
      <c r="E1974" s="438">
        <v>3</v>
      </c>
      <c r="F1974" s="439">
        <f t="shared" si="8"/>
        <v>36000</v>
      </c>
      <c r="G1974" s="440"/>
      <c r="H1974" s="447">
        <v>103360</v>
      </c>
    </row>
    <row r="1975" spans="1:8" ht="13.2">
      <c r="A1975" s="454" t="s">
        <v>161</v>
      </c>
      <c r="B1975" s="452" t="str">
        <f>VLOOKUP(A1975,'Thống kê'!$C$3:$D$669,2,0)</f>
        <v>Dao rọc giấy 07</v>
      </c>
      <c r="C1975" s="436" t="str">
        <f>VLOOKUP(A1975,'Thống kê'!$C$3:$E$682,3,0)</f>
        <v>cái</v>
      </c>
      <c r="D1975" s="437">
        <f>VLOOKUP(A1975,'Thống kê'!$C$3:$M$682,4,0)</f>
        <v>12000</v>
      </c>
      <c r="E1975" s="438">
        <v>3</v>
      </c>
      <c r="F1975" s="439">
        <f t="shared" si="8"/>
        <v>36000</v>
      </c>
      <c r="G1975" s="440"/>
      <c r="H1975" s="446"/>
    </row>
    <row r="1976" spans="1:8" ht="13.2">
      <c r="A1976" s="454" t="s">
        <v>1600</v>
      </c>
      <c r="B1976" s="452" t="str">
        <f>VLOOKUP(A1976,'Thống kê'!$C$3:$D$669,2,0)</f>
        <v>Dao rọc giấy 18</v>
      </c>
      <c r="C1976" s="436" t="str">
        <f>VLOOKUP(A1976,'Thống kê'!$C$3:$E$682,3,0)</f>
        <v>cái</v>
      </c>
      <c r="D1976" s="437">
        <f>VLOOKUP(A1976,'Thống kê'!$C$3:$M$682,4,0)</f>
        <v>12000</v>
      </c>
      <c r="E1976" s="438">
        <v>3</v>
      </c>
      <c r="F1976" s="439">
        <f t="shared" si="8"/>
        <v>36000</v>
      </c>
      <c r="G1976" s="440"/>
      <c r="H1976" s="446"/>
    </row>
    <row r="1977" spans="1:8" ht="13.2">
      <c r="A1977" s="454" t="s">
        <v>1598</v>
      </c>
      <c r="B1977" s="452" t="str">
        <f>VLOOKUP(A1977,'Thống kê'!$C$3:$D$669,2,0)</f>
        <v>Dao rọc giấy 13</v>
      </c>
      <c r="C1977" s="436" t="str">
        <f>VLOOKUP(A1977,'Thống kê'!$C$3:$E$682,3,0)</f>
        <v>cái</v>
      </c>
      <c r="D1977" s="437">
        <f>VLOOKUP(A1977,'Thống kê'!$C$3:$M$682,4,0)</f>
        <v>12000</v>
      </c>
      <c r="E1977" s="438">
        <v>3</v>
      </c>
      <c r="F1977" s="439">
        <f t="shared" si="8"/>
        <v>36000</v>
      </c>
      <c r="G1977" s="440"/>
      <c r="H1977" s="446"/>
    </row>
    <row r="1978" spans="1:8" ht="13.2">
      <c r="A1978" s="454" t="s">
        <v>1587</v>
      </c>
      <c r="B1978" s="452" t="str">
        <f>VLOOKUP(A1978,'Thống kê'!$C$3:$D$669,2,0)</f>
        <v>Vịt ú bay</v>
      </c>
      <c r="C1978" s="436" t="str">
        <f>VLOOKUP(A1978,'Thống kê'!$C$3:$E$682,3,0)</f>
        <v>cái</v>
      </c>
      <c r="D1978" s="437">
        <f>VLOOKUP(A1978,'Thống kê'!$C$3:$M$682,4,0)</f>
        <v>64500</v>
      </c>
      <c r="E1978" s="438">
        <v>1</v>
      </c>
      <c r="F1978" s="439">
        <f t="shared" si="8"/>
        <v>64500</v>
      </c>
      <c r="G1978" s="440"/>
      <c r="H1978" s="447">
        <v>96050</v>
      </c>
    </row>
    <row r="1979" spans="1:8" ht="13.2">
      <c r="A1979" s="454" t="s">
        <v>1589</v>
      </c>
      <c r="B1979" s="452" t="str">
        <f>VLOOKUP(A1979,'Thống kê'!$C$3:$D$669,2,0)</f>
        <v>Heo ú bay</v>
      </c>
      <c r="C1979" s="436" t="str">
        <f>VLOOKUP(A1979,'Thống kê'!$C$3:$E$682,3,0)</f>
        <v>cái</v>
      </c>
      <c r="D1979" s="437">
        <f>VLOOKUP(A1979,'Thống kê'!$C$3:$M$682,4,0)</f>
        <v>64500</v>
      </c>
      <c r="E1979" s="438">
        <v>1</v>
      </c>
      <c r="F1979" s="439">
        <f t="shared" si="8"/>
        <v>64500</v>
      </c>
      <c r="G1979" s="440"/>
      <c r="H1979" s="446"/>
    </row>
    <row r="1980" spans="1:8" ht="13.2">
      <c r="A1980" s="454" t="s">
        <v>1930</v>
      </c>
      <c r="B1980" s="452" t="str">
        <f>VLOOKUP(A1980,'Thống kê'!$C$3:$D$669,2,0)</f>
        <v>Kẹp nơ hồng</v>
      </c>
      <c r="C1980" s="436" t="str">
        <f>VLOOKUP(A1980,'Thống kê'!$C$3:$E$682,3,0)</f>
        <v>cái</v>
      </c>
      <c r="D1980" s="437">
        <f>VLOOKUP(A1980,'Thống kê'!$C$3:$M$682,4,0)</f>
        <v>22000</v>
      </c>
      <c r="E1980" s="438">
        <v>1</v>
      </c>
      <c r="F1980" s="439">
        <f t="shared" si="8"/>
        <v>22000</v>
      </c>
      <c r="G1980" s="440"/>
      <c r="H1980" s="448">
        <v>18625</v>
      </c>
    </row>
    <row r="1981" spans="1:8" ht="13.2">
      <c r="A1981" s="454" t="s">
        <v>1716</v>
      </c>
      <c r="B1981" s="452" t="str">
        <f>VLOOKUP(A1981,'Thống kê'!$C$3:$D$669,2,0)</f>
        <v>Móc khóa đôi 2 quả lê có nam châm</v>
      </c>
      <c r="C1981" s="436" t="str">
        <f>VLOOKUP(A1981,'Thống kê'!$C$3:$E$682,3,0)</f>
        <v>cái</v>
      </c>
      <c r="D1981" s="437">
        <f>VLOOKUP(A1981,'Thống kê'!$C$3:$M$682,4,0)</f>
        <v>59000</v>
      </c>
      <c r="E1981" s="438">
        <v>1</v>
      </c>
      <c r="F1981" s="439">
        <f t="shared" si="8"/>
        <v>59000</v>
      </c>
      <c r="G1981" s="440"/>
      <c r="H1981" s="448">
        <v>45060</v>
      </c>
    </row>
    <row r="1982" spans="1:8" ht="13.2">
      <c r="A1982" s="454" t="s">
        <v>150</v>
      </c>
      <c r="B1982" s="452" t="str">
        <f>VLOOKUP(A1982,'Thống kê'!$C$3:$D$669,2,0)</f>
        <v>Móc khóa có chuông</v>
      </c>
      <c r="C1982" s="436" t="str">
        <f>VLOOKUP(A1982,'Thống kê'!$C$3:$E$682,3,0)</f>
        <v>cái</v>
      </c>
      <c r="D1982" s="437">
        <f>VLOOKUP(A1982,'Thống kê'!$C$3:$M$682,4,0)</f>
        <v>59000</v>
      </c>
      <c r="E1982" s="438">
        <v>1</v>
      </c>
      <c r="F1982" s="439">
        <f t="shared" si="8"/>
        <v>59000</v>
      </c>
      <c r="G1982" s="440"/>
      <c r="H1982" s="448">
        <v>44985</v>
      </c>
    </row>
    <row r="1983" spans="1:8" ht="13.2">
      <c r="A1983" s="454" t="s">
        <v>150</v>
      </c>
      <c r="B1983" s="452" t="str">
        <f>VLOOKUP(A1983,'Thống kê'!$C$3:$D$669,2,0)</f>
        <v>Móc khóa có chuông</v>
      </c>
      <c r="C1983" s="436" t="str">
        <f>VLOOKUP(A1983,'Thống kê'!$C$3:$E$682,3,0)</f>
        <v>cái</v>
      </c>
      <c r="D1983" s="437">
        <f>VLOOKUP(A1983,'Thống kê'!$C$3:$M$682,4,0)</f>
        <v>59000</v>
      </c>
      <c r="E1983" s="438">
        <v>1</v>
      </c>
      <c r="F1983" s="439">
        <f t="shared" si="8"/>
        <v>59000</v>
      </c>
      <c r="G1983" s="440"/>
      <c r="H1983" s="448">
        <v>44985</v>
      </c>
    </row>
    <row r="1984" spans="1:8" ht="13.2">
      <c r="A1984" s="454" t="s">
        <v>186</v>
      </c>
      <c r="B1984" s="452" t="str">
        <f>VLOOKUP(A1984,'Thống kê'!$C$3:$D$669,2,0)</f>
        <v>Thỏ ú bay</v>
      </c>
      <c r="C1984" s="436" t="str">
        <f>VLOOKUP(A1984,'Thống kê'!$C$3:$E$682,3,0)</f>
        <v>cái</v>
      </c>
      <c r="D1984" s="437">
        <f>VLOOKUP(A1984,'Thống kê'!$C$3:$M$682,4,0)</f>
        <v>64500</v>
      </c>
      <c r="E1984" s="438">
        <v>1</v>
      </c>
      <c r="F1984" s="439">
        <f t="shared" si="8"/>
        <v>64500</v>
      </c>
      <c r="G1984" s="440"/>
      <c r="H1984" s="448">
        <v>46697</v>
      </c>
    </row>
    <row r="1985" spans="1:8" ht="13.2">
      <c r="A1985" s="454" t="s">
        <v>150</v>
      </c>
      <c r="B1985" s="452" t="str">
        <f>VLOOKUP(A1985,'Thống kê'!$C$3:$D$669,2,0)</f>
        <v>Móc khóa có chuông</v>
      </c>
      <c r="C1985" s="436" t="str">
        <f>VLOOKUP(A1985,'Thống kê'!$C$3:$E$682,3,0)</f>
        <v>cái</v>
      </c>
      <c r="D1985" s="437">
        <f>VLOOKUP(A1985,'Thống kê'!$C$3:$M$682,4,0)</f>
        <v>59000</v>
      </c>
      <c r="E1985" s="438">
        <v>1</v>
      </c>
      <c r="F1985" s="439">
        <f t="shared" si="8"/>
        <v>59000</v>
      </c>
      <c r="G1985" s="440"/>
      <c r="H1985" s="448">
        <v>44735</v>
      </c>
    </row>
    <row r="1986" spans="1:8" ht="13.2">
      <c r="A1986" s="454" t="s">
        <v>1625</v>
      </c>
      <c r="B1986" s="452" t="str">
        <f>VLOOKUP(A1986,'Thống kê'!$C$3:$D$669,2,0)</f>
        <v>Móc khóa đôi 2 mèo trắng nâu</v>
      </c>
      <c r="C1986" s="436" t="str">
        <f>VLOOKUP(A1986,'Thống kê'!$C$3:$E$682,3,0)</f>
        <v>cái</v>
      </c>
      <c r="D1986" s="437">
        <f>VLOOKUP(A1986,'Thống kê'!$C$3:$M$682,4,0)</f>
        <v>59000</v>
      </c>
      <c r="E1986" s="438">
        <v>1</v>
      </c>
      <c r="F1986" s="439">
        <f t="shared" si="8"/>
        <v>59000</v>
      </c>
      <c r="G1986" s="440"/>
      <c r="H1986" s="448">
        <v>45135</v>
      </c>
    </row>
    <row r="1987" spans="1:8" ht="13.2">
      <c r="A1987" s="454" t="s">
        <v>150</v>
      </c>
      <c r="B1987" s="452" t="str">
        <f>VLOOKUP(A1987,'Thống kê'!$C$3:$D$669,2,0)</f>
        <v>Móc khóa có chuông</v>
      </c>
      <c r="C1987" s="436" t="str">
        <f>VLOOKUP(A1987,'Thống kê'!$C$3:$E$682,3,0)</f>
        <v>cái</v>
      </c>
      <c r="D1987" s="437">
        <f>VLOOKUP(A1987,'Thống kê'!$C$3:$M$682,4,0)</f>
        <v>59000</v>
      </c>
      <c r="E1987" s="438">
        <v>1</v>
      </c>
      <c r="F1987" s="439">
        <f t="shared" si="8"/>
        <v>59000</v>
      </c>
      <c r="G1987" s="440"/>
      <c r="H1987" s="447">
        <v>152490</v>
      </c>
    </row>
    <row r="1988" spans="1:8" ht="13.2">
      <c r="A1988" s="454" t="s">
        <v>1990</v>
      </c>
      <c r="B1988" s="452" t="str">
        <f>VLOOKUP(A1988,'Thống kê'!$C$3:$D$669,2,0)</f>
        <v>Kẹp khuếch tán tinh dầu vịt vàng</v>
      </c>
      <c r="C1988" s="436" t="str">
        <f>VLOOKUP(A1988,'Thống kê'!$C$3:$E$682,3,0)</f>
        <v>cái</v>
      </c>
      <c r="D1988" s="437">
        <f>VLOOKUP(A1988,'Thống kê'!$C$3:$M$682,4,0)</f>
        <v>142400</v>
      </c>
      <c r="E1988" s="438">
        <v>1</v>
      </c>
      <c r="F1988" s="439">
        <f t="shared" si="8"/>
        <v>142400</v>
      </c>
      <c r="G1988" s="440"/>
      <c r="H1988" s="446"/>
    </row>
    <row r="1989" spans="1:8" ht="13.2">
      <c r="A1989" s="454" t="s">
        <v>1930</v>
      </c>
      <c r="B1989" s="452" t="str">
        <f>VLOOKUP(A1989,'Thống kê'!$C$3:$D$669,2,0)</f>
        <v>Kẹp nơ hồng</v>
      </c>
      <c r="C1989" s="436" t="str">
        <f>VLOOKUP(A1989,'Thống kê'!$C$3:$E$682,3,0)</f>
        <v>cái</v>
      </c>
      <c r="D1989" s="437">
        <f>VLOOKUP(A1989,'Thống kê'!$C$3:$M$682,4,0)</f>
        <v>22000</v>
      </c>
      <c r="E1989" s="438">
        <v>1</v>
      </c>
      <c r="F1989" s="439">
        <f t="shared" si="8"/>
        <v>22000</v>
      </c>
      <c r="G1989" s="440"/>
      <c r="H1989" s="447">
        <v>88927</v>
      </c>
    </row>
    <row r="1990" spans="1:8" ht="13.2">
      <c r="A1990" s="454" t="s">
        <v>1615</v>
      </c>
      <c r="B1990" s="452" t="str">
        <f>VLOOKUP(A1990,'Thống kê'!$C$3:$D$669,2,0)</f>
        <v>Kẹp tóc bướm tím</v>
      </c>
      <c r="C1990" s="436" t="str">
        <f>VLOOKUP(A1990,'Thống kê'!$C$3:$E$682,3,0)</f>
        <v>cái</v>
      </c>
      <c r="D1990" s="437">
        <f>VLOOKUP(A1990,'Thống kê'!$C$3:$M$682,4,0)</f>
        <v>40000</v>
      </c>
      <c r="E1990" s="438">
        <v>1</v>
      </c>
      <c r="F1990" s="439">
        <f t="shared" si="8"/>
        <v>40000</v>
      </c>
      <c r="G1990" s="440"/>
      <c r="H1990" s="446"/>
    </row>
    <row r="1991" spans="1:8" ht="13.2">
      <c r="A1991" s="454" t="s">
        <v>1618</v>
      </c>
      <c r="B1991" s="452" t="str">
        <f>VLOOKUP(A1991,'Thống kê'!$C$3:$D$669,2,0)</f>
        <v>Kẹp tóc bướm hồng trắng</v>
      </c>
      <c r="C1991" s="436" t="str">
        <f>VLOOKUP(A1991,'Thống kê'!$C$3:$E$682,3,0)</f>
        <v>cái</v>
      </c>
      <c r="D1991" s="437">
        <f>VLOOKUP(A1991,'Thống kê'!$C$3:$M$682,4,0)</f>
        <v>52000</v>
      </c>
      <c r="E1991" s="438">
        <v>1</v>
      </c>
      <c r="F1991" s="439">
        <f t="shared" si="8"/>
        <v>52000</v>
      </c>
      <c r="G1991" s="440"/>
      <c r="H1991" s="446"/>
    </row>
    <row r="1992" spans="1:8" ht="13.2">
      <c r="A1992" s="454" t="s">
        <v>1935</v>
      </c>
      <c r="B1992" s="452" t="str">
        <f>VLOOKUP(A1992,'Thống kê'!$C$3:$D$669,2,0)</f>
        <v>Kẹp tóc hoa sứ hồng</v>
      </c>
      <c r="C1992" s="436" t="str">
        <f>VLOOKUP(A1992,'Thống kê'!$C$3:$E$682,3,0)</f>
        <v>cái</v>
      </c>
      <c r="D1992" s="437">
        <f>VLOOKUP(A1992,'Thống kê'!$C$3:$M$682,4,0)</f>
        <v>18500</v>
      </c>
      <c r="E1992" s="438">
        <v>1</v>
      </c>
      <c r="F1992" s="439">
        <f t="shared" si="8"/>
        <v>18500</v>
      </c>
      <c r="G1992" s="440"/>
      <c r="H1992" s="446"/>
    </row>
    <row r="1993" spans="1:8" ht="13.2">
      <c r="A1993" s="454" t="s">
        <v>1925</v>
      </c>
      <c r="B1993" s="452" t="str">
        <f>VLOOKUP(A1993,'Thống kê'!$C$3:$D$669,2,0)</f>
        <v>Kẹp tóc hoa sứ đỏ</v>
      </c>
      <c r="C1993" s="436" t="str">
        <f>VLOOKUP(A1993,'Thống kê'!$C$3:$E$682,3,0)</f>
        <v>cái</v>
      </c>
      <c r="D1993" s="437">
        <f>VLOOKUP(A1993,'Thống kê'!$C$3:$M$682,4,0)</f>
        <v>18500</v>
      </c>
      <c r="E1993" s="438">
        <v>1</v>
      </c>
      <c r="F1993" s="439">
        <f t="shared" si="8"/>
        <v>18500</v>
      </c>
      <c r="G1993" s="440"/>
      <c r="H1993" s="446"/>
    </row>
    <row r="1994" spans="1:8" ht="13.2">
      <c r="A1994" s="454" t="s">
        <v>1633</v>
      </c>
      <c r="B1994" s="452" t="str">
        <f>VLOOKUP(A1994,'Thống kê'!$C$3:$D$669,2,0)</f>
        <v>Móc khóa đôi gà rán bia</v>
      </c>
      <c r="C1994" s="436" t="str">
        <f>VLOOKUP(A1994,'Thống kê'!$C$3:$E$682,3,0)</f>
        <v>cái</v>
      </c>
      <c r="D1994" s="437">
        <f>VLOOKUP(A1994,'Thống kê'!$C$3:$M$682,4,0)</f>
        <v>56580</v>
      </c>
      <c r="E1994" s="438">
        <v>1</v>
      </c>
      <c r="F1994" s="439">
        <f t="shared" si="8"/>
        <v>56580</v>
      </c>
      <c r="G1994" s="440"/>
      <c r="H1994" s="448">
        <v>43284</v>
      </c>
    </row>
    <row r="1995" spans="1:8" ht="13.2">
      <c r="A1995" s="454" t="s">
        <v>2022</v>
      </c>
      <c r="B1995" s="452" t="str">
        <f>VLOOKUP(A1995,'Thống kê'!$C$3:$D$669,2,0)</f>
        <v>Kẹp khuếch tán tinh dầu vịt đen</v>
      </c>
      <c r="C1995" s="436" t="str">
        <f>VLOOKUP(A1995,'Thống kê'!$C$3:$E$682,3,0)</f>
        <v>cái</v>
      </c>
      <c r="D1995" s="437">
        <f>VLOOKUP(A1995,'Thống kê'!$C$3:$M$682,4,0)</f>
        <v>142400</v>
      </c>
      <c r="E1995" s="438">
        <v>1</v>
      </c>
      <c r="F1995" s="439">
        <f t="shared" si="8"/>
        <v>142400</v>
      </c>
      <c r="G1995" s="440"/>
      <c r="H1995" s="447">
        <v>212704</v>
      </c>
    </row>
    <row r="1996" spans="1:8" ht="13.2">
      <c r="A1996" s="454" t="s">
        <v>2046</v>
      </c>
      <c r="B1996" s="452" t="str">
        <f>VLOOKUP(A1996,'Thống kê'!$C$3:$D$669,2,0)</f>
        <v>Kẹp khuếch tán tinh dầu thỏ hồng</v>
      </c>
      <c r="C1996" s="436" t="str">
        <f>VLOOKUP(A1996,'Thống kê'!$C$3:$E$682,3,0)</f>
        <v>cái</v>
      </c>
      <c r="D1996" s="437">
        <f>VLOOKUP(A1996,'Thống kê'!$C$3:$M$682,4,0)</f>
        <v>142400</v>
      </c>
      <c r="E1996" s="438">
        <v>1</v>
      </c>
      <c r="F1996" s="439">
        <f t="shared" si="8"/>
        <v>142400</v>
      </c>
      <c r="G1996" s="440"/>
      <c r="H1996" s="446"/>
    </row>
    <row r="1997" spans="1:8" ht="13.2">
      <c r="A1997" s="454" t="s">
        <v>1633</v>
      </c>
      <c r="B1997" s="452" t="str">
        <f>VLOOKUP(A1997,'Thống kê'!$C$3:$D$669,2,0)</f>
        <v>Móc khóa đôi gà rán bia</v>
      </c>
      <c r="C1997" s="436" t="str">
        <f>VLOOKUP(A1997,'Thống kê'!$C$3:$E$682,3,0)</f>
        <v>cái</v>
      </c>
      <c r="D1997" s="437">
        <f>VLOOKUP(A1997,'Thống kê'!$C$3:$M$682,4,0)</f>
        <v>56580</v>
      </c>
      <c r="E1997" s="438">
        <v>1</v>
      </c>
      <c r="F1997" s="439">
        <f t="shared" si="8"/>
        <v>56580</v>
      </c>
      <c r="G1997" s="440"/>
      <c r="H1997" s="448">
        <v>43134</v>
      </c>
    </row>
    <row r="1998" spans="1:8" ht="13.2">
      <c r="A1998" s="454" t="s">
        <v>1965</v>
      </c>
      <c r="B1998" s="452" t="str">
        <f>VLOOKUP(A1998,'Thống kê'!$C$3:$D$669,2,0)</f>
        <v>Kẹp tóc nâu lạnh</v>
      </c>
      <c r="C1998" s="436" t="str">
        <f>VLOOKUP(A1998,'Thống kê'!$C$3:$E$682,3,0)</f>
        <v>cái</v>
      </c>
      <c r="D1998" s="437">
        <f>VLOOKUP(A1998,'Thống kê'!$C$3:$M$682,4,0)</f>
        <v>14000</v>
      </c>
      <c r="E1998" s="438">
        <v>1</v>
      </c>
      <c r="F1998" s="439">
        <f t="shared" si="8"/>
        <v>14000</v>
      </c>
      <c r="G1998" s="440"/>
      <c r="H1998" s="448">
        <v>0</v>
      </c>
    </row>
    <row r="1999" spans="1:8" ht="13.2">
      <c r="A1999" s="454" t="s">
        <v>150</v>
      </c>
      <c r="B1999" s="452" t="str">
        <f>VLOOKUP(A1999,'Thống kê'!$C$3:$D$669,2,0)</f>
        <v>Móc khóa có chuông</v>
      </c>
      <c r="C1999" s="436" t="str">
        <f>VLOOKUP(A1999,'Thống kê'!$C$3:$E$682,3,0)</f>
        <v>cái</v>
      </c>
      <c r="D1999" s="437">
        <f>VLOOKUP(A1999,'Thống kê'!$C$3:$M$682,4,0)</f>
        <v>59000</v>
      </c>
      <c r="E1999" s="438">
        <v>1</v>
      </c>
      <c r="F1999" s="439">
        <f t="shared" si="8"/>
        <v>59000</v>
      </c>
      <c r="G1999" s="440"/>
      <c r="H1999" s="448">
        <v>45135</v>
      </c>
    </row>
    <row r="2000" spans="1:8" ht="13.2">
      <c r="A2000" s="454" t="s">
        <v>1788</v>
      </c>
      <c r="B2000" s="452" t="str">
        <f>VLOOKUP(A2000,'Thống kê'!$C$3:$D$669,2,0)</f>
        <v>Túi chườm bụng thỏ hồng 500ml</v>
      </c>
      <c r="C2000" s="436" t="str">
        <f>VLOOKUP(A2000,'Thống kê'!$C$3:$E$682,3,0)</f>
        <v>túi</v>
      </c>
      <c r="D2000" s="437">
        <f>VLOOKUP(A2000,'Thống kê'!$C$3:$M$682,4,0)</f>
        <v>81000</v>
      </c>
      <c r="E2000" s="438">
        <v>1</v>
      </c>
      <c r="F2000" s="439">
        <f t="shared" si="8"/>
        <v>81000</v>
      </c>
      <c r="G2000" s="440"/>
      <c r="H2000" s="448">
        <v>62050</v>
      </c>
    </row>
    <row r="2001" spans="1:8" ht="13.2">
      <c r="A2001" s="454" t="s">
        <v>150</v>
      </c>
      <c r="B2001" s="452" t="str">
        <f>VLOOKUP(A2001,'Thống kê'!$C$3:$D$669,2,0)</f>
        <v>Móc khóa có chuông</v>
      </c>
      <c r="C2001" s="436" t="str">
        <f>VLOOKUP(A2001,'Thống kê'!$C$3:$E$682,3,0)</f>
        <v>cái</v>
      </c>
      <c r="D2001" s="437">
        <f>VLOOKUP(A2001,'Thống kê'!$C$3:$M$682,4,0)</f>
        <v>59000</v>
      </c>
      <c r="E2001" s="438">
        <v>1</v>
      </c>
      <c r="F2001" s="439">
        <f t="shared" si="8"/>
        <v>59000</v>
      </c>
      <c r="G2001" s="440"/>
      <c r="H2001" s="448">
        <v>45135</v>
      </c>
    </row>
    <row r="2002" spans="1:8" ht="13.2">
      <c r="A2002" s="454" t="s">
        <v>1642</v>
      </c>
      <c r="B2002" s="452" t="str">
        <f>VLOOKUP(A2002,'Thống kê'!$C$3:$D$669,2,0)</f>
        <v>Túi chườm bụng dứa (xanh đậm) 1000ml</v>
      </c>
      <c r="C2002" s="436" t="str">
        <f>VLOOKUP(A2002,'Thống kê'!$C$3:$E$682,3,0)</f>
        <v>túi</v>
      </c>
      <c r="D2002" s="437">
        <f>VLOOKUP(A2002,'Thống kê'!$C$3:$M$682,4,0)</f>
        <v>101150</v>
      </c>
      <c r="E2002" s="438">
        <v>1</v>
      </c>
      <c r="F2002" s="439">
        <f t="shared" si="8"/>
        <v>101150</v>
      </c>
      <c r="G2002" s="440"/>
      <c r="H2002" s="448">
        <v>66861</v>
      </c>
    </row>
    <row r="2003" spans="1:8" ht="13.2">
      <c r="A2003" s="454" t="s">
        <v>2012</v>
      </c>
      <c r="B2003" s="452" t="str">
        <f>VLOOKUP(A2003,'Thống kê'!$C$3:$D$669,2,0)</f>
        <v>Móc khóa Popbean 02</v>
      </c>
      <c r="C2003" s="436" t="str">
        <f>VLOOKUP(A2003,'Thống kê'!$C$3:$E$682,3,0)</f>
        <v>cái</v>
      </c>
      <c r="D2003" s="437">
        <f>VLOOKUP(A2003,'Thống kê'!$C$3:$M$682,4,0)</f>
        <v>161850</v>
      </c>
      <c r="E2003" s="438">
        <v>1</v>
      </c>
      <c r="F2003" s="439">
        <f t="shared" si="8"/>
        <v>161850</v>
      </c>
      <c r="G2003" s="440"/>
      <c r="H2003" s="448">
        <v>151790</v>
      </c>
    </row>
    <row r="2004" spans="1:8" ht="13.2">
      <c r="A2004" s="454" t="s">
        <v>1625</v>
      </c>
      <c r="B2004" s="452" t="str">
        <f>VLOOKUP(A2004,'Thống kê'!$C$3:$D$669,2,0)</f>
        <v>Móc khóa đôi 2 mèo trắng nâu</v>
      </c>
      <c r="C2004" s="436" t="str">
        <f>VLOOKUP(A2004,'Thống kê'!$C$3:$E$682,3,0)</f>
        <v>cái</v>
      </c>
      <c r="D2004" s="437">
        <f>VLOOKUP(A2004,'Thống kê'!$C$3:$M$682,4,0)</f>
        <v>59000</v>
      </c>
      <c r="E2004" s="438">
        <v>1</v>
      </c>
      <c r="F2004" s="439">
        <f t="shared" si="8"/>
        <v>59000</v>
      </c>
      <c r="G2004" s="440"/>
      <c r="H2004" s="448">
        <v>44735</v>
      </c>
    </row>
    <row r="2005" spans="1:8" ht="13.2">
      <c r="A2005" s="454" t="s">
        <v>2029</v>
      </c>
      <c r="B2005" s="452" t="str">
        <f>VLOOKUP(A2005,'Thống kê'!$C$3:$D$669,2,0)</f>
        <v>Móc khóa Popbean 07</v>
      </c>
      <c r="C2005" s="436" t="str">
        <f>VLOOKUP(A2005,'Thống kê'!$C$3:$E$682,3,0)</f>
        <v>cái</v>
      </c>
      <c r="D2005" s="437">
        <f>VLOOKUP(A2005,'Thống kê'!$C$3:$M$682,4,0)</f>
        <v>161850</v>
      </c>
      <c r="E2005" s="438">
        <v>1</v>
      </c>
      <c r="F2005" s="439">
        <f t="shared" si="8"/>
        <v>161850</v>
      </c>
      <c r="G2005" s="440"/>
      <c r="H2005" s="448">
        <v>130772</v>
      </c>
    </row>
    <row r="2006" spans="1:8" ht="13.2">
      <c r="A2006" s="454" t="s">
        <v>150</v>
      </c>
      <c r="B2006" s="452" t="str">
        <f>VLOOKUP(A2006,'Thống kê'!$C$3:$D$669,2,0)</f>
        <v>Móc khóa có chuông</v>
      </c>
      <c r="C2006" s="436" t="str">
        <f>VLOOKUP(A2006,'Thống kê'!$C$3:$E$682,3,0)</f>
        <v>cái</v>
      </c>
      <c r="D2006" s="437">
        <f>VLOOKUP(A2006,'Thống kê'!$C$3:$M$682,4,0)</f>
        <v>59000</v>
      </c>
      <c r="E2006" s="438">
        <v>1</v>
      </c>
      <c r="F2006" s="439">
        <f t="shared" si="8"/>
        <v>59000</v>
      </c>
      <c r="G2006" s="440"/>
      <c r="H2006" s="448">
        <v>44985</v>
      </c>
    </row>
    <row r="2007" spans="1:8" ht="13.2">
      <c r="A2007" s="454" t="s">
        <v>186</v>
      </c>
      <c r="B2007" s="452" t="str">
        <f>VLOOKUP(A2007,'Thống kê'!$C$3:$D$669,2,0)</f>
        <v>Thỏ ú bay</v>
      </c>
      <c r="C2007" s="436" t="str">
        <f>VLOOKUP(A2007,'Thống kê'!$C$3:$E$682,3,0)</f>
        <v>cái</v>
      </c>
      <c r="D2007" s="437">
        <f>VLOOKUP(A2007,'Thống kê'!$C$3:$M$682,4,0)</f>
        <v>64500</v>
      </c>
      <c r="E2007" s="438">
        <v>1</v>
      </c>
      <c r="F2007" s="439">
        <f t="shared" si="8"/>
        <v>64500</v>
      </c>
      <c r="G2007" s="440"/>
      <c r="H2007" s="448">
        <v>46897</v>
      </c>
    </row>
    <row r="2008" spans="1:8" ht="13.2">
      <c r="A2008" s="454" t="s">
        <v>2014</v>
      </c>
      <c r="B2008" s="452" t="str">
        <f>VLOOKUP(A2008,'Thống kê'!$C$3:$D$669,2,0)</f>
        <v>Móc khóa Popbean 03</v>
      </c>
      <c r="C2008" s="436" t="str">
        <f>VLOOKUP(A2008,'Thống kê'!$C$3:$E$682,3,0)</f>
        <v>cái</v>
      </c>
      <c r="D2008" s="437">
        <f>VLOOKUP(A2008,'Thống kê'!$C$3:$M$682,4,0)</f>
        <v>161850</v>
      </c>
      <c r="E2008" s="438">
        <v>1</v>
      </c>
      <c r="F2008" s="439">
        <f t="shared" si="8"/>
        <v>161850</v>
      </c>
      <c r="G2008" s="440"/>
      <c r="H2008" s="448">
        <v>130772</v>
      </c>
    </row>
    <row r="2009" spans="1:8" ht="13.2">
      <c r="A2009" s="454" t="s">
        <v>119</v>
      </c>
      <c r="B2009" s="452" t="str">
        <f>VLOOKUP(A2009,'Thống kê'!$C$3:$D$669,2,0)</f>
        <v>Thỏ chạy xe gắn xe</v>
      </c>
      <c r="C2009" s="436" t="str">
        <f>VLOOKUP(A2009,'Thống kê'!$C$3:$E$682,3,0)</f>
        <v>cái</v>
      </c>
      <c r="D2009" s="437">
        <f>VLOOKUP(A2009,'Thống kê'!$C$3:$M$682,4,0)</f>
        <v>45000</v>
      </c>
      <c r="E2009" s="438">
        <v>1</v>
      </c>
      <c r="F2009" s="439">
        <f t="shared" si="8"/>
        <v>45000</v>
      </c>
      <c r="G2009" s="440"/>
      <c r="H2009" s="448">
        <v>34850</v>
      </c>
    </row>
    <row r="2010" spans="1:8" ht="13.2">
      <c r="A2010" s="454" t="s">
        <v>1625</v>
      </c>
      <c r="B2010" s="452" t="str">
        <f>VLOOKUP(A2010,'Thống kê'!$C$3:$D$669,2,0)</f>
        <v>Móc khóa đôi 2 mèo trắng nâu</v>
      </c>
      <c r="C2010" s="436" t="str">
        <f>VLOOKUP(A2010,'Thống kê'!$C$3:$E$682,3,0)</f>
        <v>cái</v>
      </c>
      <c r="D2010" s="437">
        <f>VLOOKUP(A2010,'Thống kê'!$C$3:$M$682,4,0)</f>
        <v>59000</v>
      </c>
      <c r="E2010" s="438">
        <v>1</v>
      </c>
      <c r="F2010" s="439">
        <f t="shared" si="8"/>
        <v>59000</v>
      </c>
      <c r="G2010" s="440"/>
      <c r="H2010" s="448">
        <v>44735</v>
      </c>
    </row>
    <row r="2011" spans="1:8" ht="13.2">
      <c r="A2011" s="454" t="s">
        <v>2029</v>
      </c>
      <c r="B2011" s="452" t="str">
        <f>VLOOKUP(A2011,'Thống kê'!$C$3:$D$669,2,0)</f>
        <v>Móc khóa Popbean 07</v>
      </c>
      <c r="C2011" s="436" t="str">
        <f>VLOOKUP(A2011,'Thống kê'!$C$3:$E$682,3,0)</f>
        <v>cái</v>
      </c>
      <c r="D2011" s="437">
        <f>VLOOKUP(A2011,'Thống kê'!$C$3:$M$682,4,0)</f>
        <v>161850</v>
      </c>
      <c r="E2011" s="438">
        <v>1</v>
      </c>
      <c r="F2011" s="439">
        <f t="shared" si="8"/>
        <v>161850</v>
      </c>
      <c r="G2011" s="440"/>
      <c r="H2011" s="447">
        <v>794291</v>
      </c>
    </row>
    <row r="2012" spans="1:8" ht="13.2">
      <c r="A2012" s="454" t="s">
        <v>2047</v>
      </c>
      <c r="B2012" s="452" t="str">
        <f>VLOOKUP(A2012,'Thống kê'!$C$3:$D$669,2,0)</f>
        <v>Móc khóa Popbean 15</v>
      </c>
      <c r="C2012" s="436" t="str">
        <f>VLOOKUP(A2012,'Thống kê'!$C$3:$E$682,3,0)</f>
        <v>cái</v>
      </c>
      <c r="D2012" s="437">
        <f>VLOOKUP(A2012,'Thống kê'!$C$3:$M$682,4,0)</f>
        <v>139000</v>
      </c>
      <c r="E2012" s="438">
        <v>1</v>
      </c>
      <c r="F2012" s="439">
        <f t="shared" si="8"/>
        <v>139000</v>
      </c>
      <c r="G2012" s="440"/>
      <c r="H2012" s="446"/>
    </row>
    <row r="2013" spans="1:8" ht="13.2">
      <c r="A2013" s="454" t="s">
        <v>2016</v>
      </c>
      <c r="B2013" s="452" t="str">
        <f>VLOOKUP(A2013,'Thống kê'!$C$3:$D$669,2,0)</f>
        <v>Móc khóa Popbean 01</v>
      </c>
      <c r="C2013" s="436" t="str">
        <f>VLOOKUP(A2013,'Thống kê'!$C$3:$E$682,3,0)</f>
        <v>cái</v>
      </c>
      <c r="D2013" s="437">
        <f>VLOOKUP(A2013,'Thống kê'!$C$3:$M$682,4,0)</f>
        <v>161850</v>
      </c>
      <c r="E2013" s="438">
        <v>1</v>
      </c>
      <c r="F2013" s="439">
        <f t="shared" si="8"/>
        <v>161850</v>
      </c>
      <c r="G2013" s="440"/>
      <c r="H2013" s="446"/>
    </row>
    <row r="2014" spans="1:8" ht="13.2">
      <c r="A2014" s="454" t="s">
        <v>1692</v>
      </c>
      <c r="B2014" s="452" t="str">
        <f>VLOOKUP(A2014,'Thống kê'!$C$3:$D$669,2,0)</f>
        <v>Móc khóa Popbean 06</v>
      </c>
      <c r="C2014" s="436" t="str">
        <f>VLOOKUP(A2014,'Thống kê'!$C$3:$E$682,3,0)</f>
        <v>cái</v>
      </c>
      <c r="D2014" s="437">
        <f>VLOOKUP(A2014,'Thống kê'!$C$3:$M$682,4,0)</f>
        <v>161850</v>
      </c>
      <c r="E2014" s="438">
        <v>1</v>
      </c>
      <c r="F2014" s="439">
        <f t="shared" si="8"/>
        <v>161850</v>
      </c>
      <c r="G2014" s="440"/>
      <c r="H2014" s="446"/>
    </row>
    <row r="2015" spans="1:8" ht="13.2">
      <c r="A2015" s="454" t="s">
        <v>2015</v>
      </c>
      <c r="B2015" s="452" t="str">
        <f>VLOOKUP(A2015,'Thống kê'!$C$3:$D$669,2,0)</f>
        <v>Móc khóa Popbean 11</v>
      </c>
      <c r="C2015" s="436" t="str">
        <f>VLOOKUP(A2015,'Thống kê'!$C$3:$E$682,3,0)</f>
        <v>cái</v>
      </c>
      <c r="D2015" s="437">
        <f>VLOOKUP(A2015,'Thống kê'!$C$3:$M$682,4,0)</f>
        <v>161850</v>
      </c>
      <c r="E2015" s="438">
        <v>1</v>
      </c>
      <c r="F2015" s="439">
        <f t="shared" si="8"/>
        <v>161850</v>
      </c>
      <c r="G2015" s="440"/>
      <c r="H2015" s="446"/>
    </row>
    <row r="2016" spans="1:8" ht="13.2">
      <c r="A2016" s="454" t="s">
        <v>150</v>
      </c>
      <c r="B2016" s="452" t="str">
        <f>VLOOKUP(A2016,'Thống kê'!$C$3:$D$669,2,0)</f>
        <v>Móc khóa có chuông</v>
      </c>
      <c r="C2016" s="436" t="str">
        <f>VLOOKUP(A2016,'Thống kê'!$C$3:$E$682,3,0)</f>
        <v>cái</v>
      </c>
      <c r="D2016" s="437">
        <f>VLOOKUP(A2016,'Thống kê'!$C$3:$M$682,4,0)</f>
        <v>59000</v>
      </c>
      <c r="E2016" s="438">
        <v>1</v>
      </c>
      <c r="F2016" s="439">
        <f t="shared" si="8"/>
        <v>59000</v>
      </c>
      <c r="G2016" s="440"/>
      <c r="H2016" s="447">
        <v>141858</v>
      </c>
    </row>
    <row r="2017" spans="1:8" ht="13.2">
      <c r="A2017" s="454" t="s">
        <v>119</v>
      </c>
      <c r="B2017" s="452" t="str">
        <f>VLOOKUP(A2017,'Thống kê'!$C$3:$D$669,2,0)</f>
        <v>Thỏ chạy xe gắn xe</v>
      </c>
      <c r="C2017" s="436" t="str">
        <f>VLOOKUP(A2017,'Thống kê'!$C$3:$E$682,3,0)</f>
        <v>cái</v>
      </c>
      <c r="D2017" s="437">
        <f>VLOOKUP(A2017,'Thống kê'!$C$3:$M$682,4,0)</f>
        <v>45000</v>
      </c>
      <c r="E2017" s="438">
        <v>1</v>
      </c>
      <c r="F2017" s="439">
        <f t="shared" si="8"/>
        <v>45000</v>
      </c>
      <c r="G2017" s="440"/>
      <c r="H2017" s="446"/>
    </row>
    <row r="2018" spans="1:8" ht="13.2">
      <c r="A2018" s="454" t="s">
        <v>2044</v>
      </c>
      <c r="B2018" s="452" t="str">
        <f>VLOOKUP(A2018,'Thống kê'!$C$3:$D$669,2,0)</f>
        <v>Túi chườm bụng chó trắng 500ml</v>
      </c>
      <c r="C2018" s="436" t="str">
        <f>VLOOKUP(A2018,'Thống kê'!$C$3:$E$682,3,0)</f>
        <v>túi</v>
      </c>
      <c r="D2018" s="437">
        <f>VLOOKUP(A2018,'Thống kê'!$C$3:$M$682,4,0)</f>
        <v>81000</v>
      </c>
      <c r="E2018" s="438">
        <v>1</v>
      </c>
      <c r="F2018" s="439">
        <f t="shared" si="8"/>
        <v>81000</v>
      </c>
      <c r="G2018" s="440"/>
      <c r="H2018" s="446"/>
    </row>
    <row r="2019" spans="1:8" ht="13.2">
      <c r="A2019" s="454" t="s">
        <v>1930</v>
      </c>
      <c r="B2019" s="452" t="str">
        <f>VLOOKUP(A2019,'Thống kê'!$C$3:$D$669,2,0)</f>
        <v>Kẹp nơ hồng</v>
      </c>
      <c r="C2019" s="436" t="str">
        <f>VLOOKUP(A2019,'Thống kê'!$C$3:$E$682,3,0)</f>
        <v>cái</v>
      </c>
      <c r="D2019" s="437">
        <f>VLOOKUP(A2019,'Thống kê'!$C$3:$M$682,4,0)</f>
        <v>22000</v>
      </c>
      <c r="E2019" s="438">
        <v>1</v>
      </c>
      <c r="F2019" s="439">
        <f t="shared" si="8"/>
        <v>22000</v>
      </c>
      <c r="G2019" s="440"/>
      <c r="H2019" s="448">
        <v>18525</v>
      </c>
    </row>
    <row r="2020" spans="1:8" ht="13.2">
      <c r="A2020" s="454" t="s">
        <v>150</v>
      </c>
      <c r="B2020" s="452" t="str">
        <f>VLOOKUP(A2020,'Thống kê'!$C$3:$D$669,2,0)</f>
        <v>Móc khóa có chuông</v>
      </c>
      <c r="C2020" s="436" t="str">
        <f>VLOOKUP(A2020,'Thống kê'!$C$3:$E$682,3,0)</f>
        <v>cái</v>
      </c>
      <c r="D2020" s="437">
        <f>VLOOKUP(A2020,'Thống kê'!$C$3:$M$682,4,0)</f>
        <v>59000</v>
      </c>
      <c r="E2020" s="438">
        <v>1</v>
      </c>
      <c r="F2020" s="439">
        <f t="shared" si="8"/>
        <v>59000</v>
      </c>
      <c r="G2020" s="440"/>
      <c r="H2020" s="448">
        <v>44985</v>
      </c>
    </row>
    <row r="2021" spans="1:8" ht="13.2">
      <c r="A2021" s="454" t="s">
        <v>2021</v>
      </c>
      <c r="B2021" s="452" t="str">
        <f>VLOOKUP(A2021,'Thống kê'!$C$3:$D$669,2,0)</f>
        <v>Móc khóa Popbean 09</v>
      </c>
      <c r="C2021" s="436" t="str">
        <f>VLOOKUP(A2021,'Thống kê'!$C$3:$E$682,3,0)</f>
        <v>cái</v>
      </c>
      <c r="D2021" s="437">
        <f>VLOOKUP(A2021,'Thống kê'!$C$3:$M$682,4,0)</f>
        <v>161850</v>
      </c>
      <c r="E2021" s="438">
        <v>1</v>
      </c>
      <c r="F2021" s="439">
        <f t="shared" si="8"/>
        <v>161850</v>
      </c>
      <c r="G2021" s="440"/>
      <c r="H2021" s="448">
        <v>130772</v>
      </c>
    </row>
    <row r="2022" spans="1:8" ht="13.2">
      <c r="A2022" s="454" t="s">
        <v>1625</v>
      </c>
      <c r="B2022" s="452" t="str">
        <f>VLOOKUP(A2022,'Thống kê'!$C$3:$D$669,2,0)</f>
        <v>Móc khóa đôi 2 mèo trắng nâu</v>
      </c>
      <c r="C2022" s="436" t="str">
        <f>VLOOKUP(A2022,'Thống kê'!$C$3:$E$682,3,0)</f>
        <v>cái</v>
      </c>
      <c r="D2022" s="437">
        <f>VLOOKUP(A2022,'Thống kê'!$C$3:$M$682,4,0)</f>
        <v>59000</v>
      </c>
      <c r="E2022" s="438">
        <v>1</v>
      </c>
      <c r="F2022" s="439">
        <f t="shared" si="8"/>
        <v>59000</v>
      </c>
      <c r="G2022" s="440"/>
      <c r="H2022" s="448">
        <v>45135</v>
      </c>
    </row>
    <row r="2023" spans="1:8" ht="13.2">
      <c r="A2023" s="454" t="s">
        <v>150</v>
      </c>
      <c r="B2023" s="452" t="str">
        <f>VLOOKUP(A2023,'Thống kê'!$C$3:$D$669,2,0)</f>
        <v>Móc khóa có chuông</v>
      </c>
      <c r="C2023" s="436" t="str">
        <f>VLOOKUP(A2023,'Thống kê'!$C$3:$E$682,3,0)</f>
        <v>cái</v>
      </c>
      <c r="D2023" s="437">
        <f>VLOOKUP(A2023,'Thống kê'!$C$3:$M$682,4,0)</f>
        <v>59000</v>
      </c>
      <c r="E2023" s="438">
        <v>1</v>
      </c>
      <c r="F2023" s="439">
        <f t="shared" si="8"/>
        <v>59000</v>
      </c>
      <c r="G2023" s="440"/>
      <c r="H2023" s="448">
        <v>45135</v>
      </c>
    </row>
    <row r="2024" spans="1:8" ht="13.2">
      <c r="A2024" s="454" t="s">
        <v>1792</v>
      </c>
      <c r="B2024" s="452" t="str">
        <f>VLOOKUP(A2024,'Thống kê'!$C$3:$D$669,2,0)</f>
        <v>Mèo da treo gương</v>
      </c>
      <c r="C2024" s="436" t="str">
        <f>VLOOKUP(A2024,'Thống kê'!$C$3:$E$682,3,0)</f>
        <v>cái</v>
      </c>
      <c r="D2024" s="437">
        <f>VLOOKUP(A2024,'Thống kê'!$C$3:$M$682,4,0)</f>
        <v>71500</v>
      </c>
      <c r="E2024" s="438">
        <v>1</v>
      </c>
      <c r="F2024" s="439">
        <f t="shared" si="8"/>
        <v>71500</v>
      </c>
      <c r="G2024" s="440"/>
      <c r="H2024" s="447"/>
    </row>
    <row r="2025" spans="1:8" ht="13.2">
      <c r="A2025" s="454" t="s">
        <v>1622</v>
      </c>
      <c r="B2025" s="452" t="str">
        <f>VLOOKUP(A2025,'Thống kê'!$C$3:$D$669,2,0)</f>
        <v>Mô hình mèo 1</v>
      </c>
      <c r="C2025" s="436" t="str">
        <f>VLOOKUP(A2025,'Thống kê'!$C$3:$E$682,3,0)</f>
        <v>cái</v>
      </c>
      <c r="D2025" s="437">
        <f>VLOOKUP(A2025,'Thống kê'!$C$3:$M$682,4,0)</f>
        <v>37800</v>
      </c>
      <c r="E2025" s="438">
        <v>1</v>
      </c>
      <c r="F2025" s="439">
        <f t="shared" si="8"/>
        <v>37800</v>
      </c>
      <c r="G2025" s="440"/>
      <c r="H2025" s="446"/>
    </row>
    <row r="2026" spans="1:8" ht="13.2">
      <c r="A2026" s="454" t="s">
        <v>1621</v>
      </c>
      <c r="B2026" s="452" t="str">
        <f>VLOOKUP(A2026,'Thống kê'!$C$3:$D$669,2,0)</f>
        <v>Mô hình mèo 2</v>
      </c>
      <c r="C2026" s="436" t="str">
        <f>VLOOKUP(A2026,'Thống kê'!$C$3:$E$682,3,0)</f>
        <v>cái</v>
      </c>
      <c r="D2026" s="437">
        <f>VLOOKUP(A2026,'Thống kê'!$C$3:$M$682,4,0)</f>
        <v>37800</v>
      </c>
      <c r="E2026" s="438">
        <v>1</v>
      </c>
      <c r="F2026" s="439">
        <f t="shared" si="8"/>
        <v>37800</v>
      </c>
      <c r="G2026" s="440"/>
      <c r="H2026" s="446"/>
    </row>
    <row r="2027" spans="1:8" ht="13.2">
      <c r="A2027" s="454" t="s">
        <v>1636</v>
      </c>
      <c r="B2027" s="452" t="str">
        <f>VLOOKUP(A2027,'Thống kê'!$C$3:$D$669,2,0)</f>
        <v>Mô hình mèo 3</v>
      </c>
      <c r="C2027" s="436" t="str">
        <f>VLOOKUP(A2027,'Thống kê'!$C$3:$E$682,3,0)</f>
        <v>cái</v>
      </c>
      <c r="D2027" s="437">
        <f>VLOOKUP(A2027,'Thống kê'!$C$3:$M$682,4,0)</f>
        <v>37800</v>
      </c>
      <c r="E2027" s="438">
        <v>1</v>
      </c>
      <c r="F2027" s="439">
        <f t="shared" si="8"/>
        <v>37800</v>
      </c>
      <c r="G2027" s="440"/>
      <c r="H2027" s="446"/>
    </row>
    <row r="2028" spans="1:8" ht="13.2">
      <c r="A2028" s="454" t="s">
        <v>1635</v>
      </c>
      <c r="B2028" s="452" t="str">
        <f>VLOOKUP(A2028,'Thống kê'!$C$3:$D$669,2,0)</f>
        <v>Mô hình mèo 4</v>
      </c>
      <c r="C2028" s="436" t="str">
        <f>VLOOKUP(A2028,'Thống kê'!$C$3:$E$682,3,0)</f>
        <v>cái</v>
      </c>
      <c r="D2028" s="437">
        <f>VLOOKUP(A2028,'Thống kê'!$C$3:$M$682,4,0)</f>
        <v>37800</v>
      </c>
      <c r="E2028" s="438">
        <v>1</v>
      </c>
      <c r="F2028" s="439">
        <f t="shared" si="8"/>
        <v>37800</v>
      </c>
      <c r="G2028" s="440"/>
      <c r="H2028" s="446"/>
    </row>
    <row r="2029" spans="1:8" ht="13.2">
      <c r="A2029" s="454" t="s">
        <v>1623</v>
      </c>
      <c r="B2029" s="452" t="str">
        <f>VLOOKUP(A2029,'Thống kê'!$C$3:$D$669,2,0)</f>
        <v>Mô hình mèo 5</v>
      </c>
      <c r="C2029" s="436" t="str">
        <f>VLOOKUP(A2029,'Thống kê'!$C$3:$E$682,3,0)</f>
        <v>cái</v>
      </c>
      <c r="D2029" s="437">
        <f>VLOOKUP(A2029,'Thống kê'!$C$3:$M$682,4,0)</f>
        <v>37800</v>
      </c>
      <c r="E2029" s="438">
        <v>1</v>
      </c>
      <c r="F2029" s="439">
        <f t="shared" si="8"/>
        <v>37800</v>
      </c>
      <c r="G2029" s="440"/>
      <c r="H2029" s="446"/>
    </row>
    <row r="2030" spans="1:8" ht="13.2">
      <c r="A2030" s="454" t="s">
        <v>150</v>
      </c>
      <c r="B2030" s="452" t="str">
        <f>VLOOKUP(A2030,'Thống kê'!$C$3:$D$669,2,0)</f>
        <v>Móc khóa có chuông</v>
      </c>
      <c r="C2030" s="436" t="str">
        <f>VLOOKUP(A2030,'Thống kê'!$C$3:$E$682,3,0)</f>
        <v>cái</v>
      </c>
      <c r="D2030" s="437">
        <f>VLOOKUP(A2030,'Thống kê'!$C$3:$M$682,4,0)</f>
        <v>59000</v>
      </c>
      <c r="E2030" s="438">
        <v>1</v>
      </c>
      <c r="F2030" s="439">
        <f t="shared" si="8"/>
        <v>59000</v>
      </c>
      <c r="G2030" s="440"/>
      <c r="H2030" s="448">
        <v>44785</v>
      </c>
    </row>
    <row r="2031" spans="1:8" ht="13.2">
      <c r="A2031" s="454" t="s">
        <v>2016</v>
      </c>
      <c r="B2031" s="452" t="str">
        <f>VLOOKUP(A2031,'Thống kê'!$C$3:$D$669,2,0)</f>
        <v>Móc khóa Popbean 01</v>
      </c>
      <c r="C2031" s="436" t="str">
        <f>VLOOKUP(A2031,'Thống kê'!$C$3:$E$682,3,0)</f>
        <v>cái</v>
      </c>
      <c r="D2031" s="437">
        <f>VLOOKUP(A2031,'Thống kê'!$C$3:$M$682,4,0)</f>
        <v>161850</v>
      </c>
      <c r="E2031" s="438">
        <v>1</v>
      </c>
      <c r="F2031" s="439">
        <f t="shared" si="8"/>
        <v>161850</v>
      </c>
      <c r="G2031" s="440"/>
      <c r="H2031" s="448">
        <v>130772</v>
      </c>
    </row>
    <row r="2032" spans="1:8" ht="13.2">
      <c r="A2032" s="454" t="s">
        <v>1716</v>
      </c>
      <c r="B2032" s="452" t="str">
        <f>VLOOKUP(A2032,'Thống kê'!$C$3:$D$669,2,0)</f>
        <v>Móc khóa đôi 2 quả lê có nam châm</v>
      </c>
      <c r="C2032" s="436" t="str">
        <f>VLOOKUP(A2032,'Thống kê'!$C$3:$E$682,3,0)</f>
        <v>cái</v>
      </c>
      <c r="D2032" s="437">
        <f>VLOOKUP(A2032,'Thống kê'!$C$3:$M$682,4,0)</f>
        <v>59000</v>
      </c>
      <c r="E2032" s="438">
        <v>1</v>
      </c>
      <c r="F2032" s="439">
        <f t="shared" si="8"/>
        <v>59000</v>
      </c>
      <c r="G2032" s="440"/>
      <c r="H2032" s="448">
        <v>45135</v>
      </c>
    </row>
    <row r="2033" spans="1:8" ht="13.2">
      <c r="A2033" s="454" t="s">
        <v>150</v>
      </c>
      <c r="B2033" s="452" t="str">
        <f>VLOOKUP(A2033,'Thống kê'!$C$3:$D$669,2,0)</f>
        <v>Móc khóa có chuông</v>
      </c>
      <c r="C2033" s="436" t="str">
        <f>VLOOKUP(A2033,'Thống kê'!$C$3:$E$682,3,0)</f>
        <v>cái</v>
      </c>
      <c r="D2033" s="437">
        <f>VLOOKUP(A2033,'Thống kê'!$C$3:$M$682,4,0)</f>
        <v>59000</v>
      </c>
      <c r="E2033" s="438">
        <v>1</v>
      </c>
      <c r="F2033" s="439">
        <f t="shared" si="8"/>
        <v>59000</v>
      </c>
      <c r="G2033" s="440"/>
      <c r="H2033" s="448">
        <v>44985</v>
      </c>
    </row>
    <row r="2034" spans="1:8" ht="13.2">
      <c r="A2034" s="454" t="s">
        <v>2016</v>
      </c>
      <c r="B2034" s="452" t="str">
        <f>VLOOKUP(A2034,'Thống kê'!$C$3:$D$669,2,0)</f>
        <v>Móc khóa Popbean 01</v>
      </c>
      <c r="C2034" s="436" t="str">
        <f>VLOOKUP(A2034,'Thống kê'!$C$3:$E$682,3,0)</f>
        <v>cái</v>
      </c>
      <c r="D2034" s="437">
        <f>VLOOKUP(A2034,'Thống kê'!$C$3:$M$682,4,0)</f>
        <v>161850</v>
      </c>
      <c r="E2034" s="438">
        <v>1</v>
      </c>
      <c r="F2034" s="439">
        <f t="shared" si="8"/>
        <v>161850</v>
      </c>
      <c r="G2034" s="440"/>
      <c r="H2034" s="447">
        <v>253134</v>
      </c>
    </row>
    <row r="2035" spans="1:8" ht="13.2">
      <c r="A2035" s="454" t="s">
        <v>2015</v>
      </c>
      <c r="B2035" s="452" t="str">
        <f>VLOOKUP(A2035,'Thống kê'!$C$3:$D$669,2,0)</f>
        <v>Móc khóa Popbean 11</v>
      </c>
      <c r="C2035" s="436" t="str">
        <f>VLOOKUP(A2035,'Thống kê'!$C$3:$E$682,3,0)</f>
        <v>cái</v>
      </c>
      <c r="D2035" s="437">
        <f>VLOOKUP(A2035,'Thống kê'!$C$3:$M$682,4,0)</f>
        <v>161850</v>
      </c>
      <c r="E2035" s="438">
        <v>1</v>
      </c>
      <c r="F2035" s="439">
        <f t="shared" si="8"/>
        <v>161850</v>
      </c>
      <c r="G2035" s="440"/>
      <c r="H2035" s="446"/>
    </row>
    <row r="2036" spans="1:8" ht="13.2">
      <c r="A2036" s="454" t="s">
        <v>116</v>
      </c>
      <c r="B2036" s="452" t="str">
        <f>VLOOKUP(A2036,'Thống kê'!$C$3:$D$669,2,0)</f>
        <v>heo ú cầm hoa</v>
      </c>
      <c r="C2036" s="436" t="str">
        <f>VLOOKUP(A2036,'Thống kê'!$C$3:$E$682,3,0)</f>
        <v>cái</v>
      </c>
      <c r="D2036" s="437">
        <f>VLOOKUP(A2036,'Thống kê'!$C$3:$M$682,4,0)</f>
        <v>64500</v>
      </c>
      <c r="E2036" s="438">
        <v>1</v>
      </c>
      <c r="F2036" s="439">
        <f t="shared" si="8"/>
        <v>64500</v>
      </c>
      <c r="G2036" s="440"/>
      <c r="H2036" s="448">
        <v>47812</v>
      </c>
    </row>
    <row r="2037" spans="1:8" ht="13.2">
      <c r="A2037" s="454" t="s">
        <v>1625</v>
      </c>
      <c r="B2037" s="452" t="str">
        <f>VLOOKUP(A2037,'Thống kê'!$C$3:$D$669,2,0)</f>
        <v>Móc khóa đôi 2 mèo trắng nâu</v>
      </c>
      <c r="C2037" s="436" t="str">
        <f>VLOOKUP(A2037,'Thống kê'!$C$3:$E$682,3,0)</f>
        <v>cái</v>
      </c>
      <c r="D2037" s="437">
        <f>VLOOKUP(A2037,'Thống kê'!$C$3:$M$682,4,0)</f>
        <v>59000</v>
      </c>
      <c r="E2037" s="438">
        <v>1</v>
      </c>
      <c r="F2037" s="439">
        <f t="shared" si="8"/>
        <v>59000</v>
      </c>
      <c r="G2037" s="440"/>
      <c r="H2037" s="448">
        <v>45135</v>
      </c>
    </row>
    <row r="2038" spans="1:8" ht="13.2">
      <c r="A2038" s="454" t="s">
        <v>1589</v>
      </c>
      <c r="B2038" s="452" t="str">
        <f>VLOOKUP(A2038,'Thống kê'!$C$3:$D$669,2,0)</f>
        <v>Heo ú bay</v>
      </c>
      <c r="C2038" s="436" t="str">
        <f>VLOOKUP(A2038,'Thống kê'!$C$3:$E$682,3,0)</f>
        <v>cái</v>
      </c>
      <c r="D2038" s="437">
        <f>VLOOKUP(A2038,'Thống kê'!$C$3:$M$682,4,0)</f>
        <v>64500</v>
      </c>
      <c r="E2038" s="438">
        <v>1</v>
      </c>
      <c r="F2038" s="439">
        <f t="shared" si="8"/>
        <v>64500</v>
      </c>
      <c r="G2038" s="440"/>
      <c r="H2038" s="448">
        <v>47047</v>
      </c>
    </row>
    <row r="2039" spans="1:8" ht="13.2">
      <c r="A2039" s="454" t="s">
        <v>1622</v>
      </c>
      <c r="B2039" s="452" t="str">
        <f>VLOOKUP(A2039,'Thống kê'!$C$3:$D$669,2,0)</f>
        <v>Mô hình mèo 1</v>
      </c>
      <c r="C2039" s="436" t="str">
        <f>VLOOKUP(A2039,'Thống kê'!$C$3:$E$682,3,0)</f>
        <v>cái</v>
      </c>
      <c r="D2039" s="437">
        <f>VLOOKUP(A2039,'Thống kê'!$C$3:$M$682,4,0)</f>
        <v>37800</v>
      </c>
      <c r="E2039" s="438">
        <v>1</v>
      </c>
      <c r="F2039" s="439">
        <f t="shared" si="8"/>
        <v>37800</v>
      </c>
      <c r="G2039" s="440"/>
      <c r="H2039" s="447">
        <v>58969</v>
      </c>
    </row>
    <row r="2040" spans="1:8" ht="13.2">
      <c r="A2040" s="454" t="s">
        <v>1623</v>
      </c>
      <c r="B2040" s="452" t="str">
        <f>VLOOKUP(A2040,'Thống kê'!$C$3:$D$669,2,0)</f>
        <v>Mô hình mèo 5</v>
      </c>
      <c r="C2040" s="436" t="str">
        <f>VLOOKUP(A2040,'Thống kê'!$C$3:$E$682,3,0)</f>
        <v>cái</v>
      </c>
      <c r="D2040" s="437">
        <f>VLOOKUP(A2040,'Thống kê'!$C$3:$M$682,4,0)</f>
        <v>37800</v>
      </c>
      <c r="E2040" s="438">
        <v>1</v>
      </c>
      <c r="F2040" s="439">
        <f t="shared" si="8"/>
        <v>37800</v>
      </c>
      <c r="G2040" s="440"/>
      <c r="H2040" s="446"/>
    </row>
    <row r="2041" spans="1:8" ht="13.2">
      <c r="A2041" s="454" t="s">
        <v>2015</v>
      </c>
      <c r="B2041" s="452" t="str">
        <f>VLOOKUP(A2041,'Thống kê'!$C$3:$D$669,2,0)</f>
        <v>Móc khóa Popbean 11</v>
      </c>
      <c r="C2041" s="436" t="str">
        <f>VLOOKUP(A2041,'Thống kê'!$C$3:$E$682,3,0)</f>
        <v>cái</v>
      </c>
      <c r="D2041" s="437">
        <f>VLOOKUP(A2041,'Thống kê'!$C$3:$M$682,4,0)</f>
        <v>161850</v>
      </c>
      <c r="E2041" s="438">
        <v>1</v>
      </c>
      <c r="F2041" s="439">
        <f t="shared" si="8"/>
        <v>161850</v>
      </c>
      <c r="G2041" s="440"/>
      <c r="H2041" s="448">
        <v>130772</v>
      </c>
    </row>
    <row r="2042" spans="1:8" ht="13.2">
      <c r="A2042" s="454" t="s">
        <v>2016</v>
      </c>
      <c r="B2042" s="452" t="str">
        <f>VLOOKUP(A2042,'Thống kê'!$C$3:$D$669,2,0)</f>
        <v>Móc khóa Popbean 01</v>
      </c>
      <c r="C2042" s="436" t="str">
        <f>VLOOKUP(A2042,'Thống kê'!$C$3:$E$682,3,0)</f>
        <v>cái</v>
      </c>
      <c r="D2042" s="437">
        <f>VLOOKUP(A2042,'Thống kê'!$C$3:$M$682,4,0)</f>
        <v>161850</v>
      </c>
      <c r="E2042" s="438">
        <v>1</v>
      </c>
      <c r="F2042" s="439">
        <f t="shared" si="8"/>
        <v>161850</v>
      </c>
      <c r="G2042" s="440"/>
      <c r="H2042" s="448">
        <v>129072</v>
      </c>
    </row>
    <row r="2043" spans="1:8" ht="13.2">
      <c r="A2043" s="454" t="s">
        <v>2016</v>
      </c>
      <c r="B2043" s="452" t="str">
        <f>VLOOKUP(A2043,'Thống kê'!$C$3:$D$669,2,0)</f>
        <v>Móc khóa Popbean 01</v>
      </c>
      <c r="C2043" s="436" t="str">
        <f>VLOOKUP(A2043,'Thống kê'!$C$3:$E$682,3,0)</f>
        <v>cái</v>
      </c>
      <c r="D2043" s="437">
        <f>VLOOKUP(A2043,'Thống kê'!$C$3:$M$682,4,0)</f>
        <v>161850</v>
      </c>
      <c r="E2043" s="438">
        <v>1</v>
      </c>
      <c r="F2043" s="439">
        <f t="shared" si="8"/>
        <v>161850</v>
      </c>
      <c r="G2043" s="440"/>
      <c r="H2043" s="448">
        <v>130772</v>
      </c>
    </row>
    <row r="2044" spans="1:8" ht="13.2">
      <c r="A2044" s="454" t="s">
        <v>1625</v>
      </c>
      <c r="B2044" s="452" t="str">
        <f>VLOOKUP(A2044,'Thống kê'!$C$3:$D$669,2,0)</f>
        <v>Móc khóa đôi 2 mèo trắng nâu</v>
      </c>
      <c r="C2044" s="436" t="str">
        <f>VLOOKUP(A2044,'Thống kê'!$C$3:$E$682,3,0)</f>
        <v>cái</v>
      </c>
      <c r="D2044" s="437">
        <f>VLOOKUP(A2044,'Thống kê'!$C$3:$M$682,4,0)</f>
        <v>59000</v>
      </c>
      <c r="E2044" s="438">
        <v>1</v>
      </c>
      <c r="F2044" s="439">
        <f t="shared" si="8"/>
        <v>59000</v>
      </c>
      <c r="G2044" s="440"/>
      <c r="H2044" s="448">
        <v>45135</v>
      </c>
    </row>
    <row r="2045" spans="1:8" ht="13.2">
      <c r="A2045" s="454" t="s">
        <v>150</v>
      </c>
      <c r="B2045" s="452" t="str">
        <f>VLOOKUP(A2045,'Thống kê'!$C$3:$D$669,2,0)</f>
        <v>Móc khóa có chuông</v>
      </c>
      <c r="C2045" s="436" t="str">
        <f>VLOOKUP(A2045,'Thống kê'!$C$3:$E$682,3,0)</f>
        <v>cái</v>
      </c>
      <c r="D2045" s="437">
        <f>VLOOKUP(A2045,'Thống kê'!$C$3:$M$682,4,0)</f>
        <v>59000</v>
      </c>
      <c r="E2045" s="438">
        <v>1</v>
      </c>
      <c r="F2045" s="439">
        <f t="shared" si="8"/>
        <v>59000</v>
      </c>
      <c r="G2045" s="440"/>
      <c r="H2045" s="448">
        <v>45135</v>
      </c>
    </row>
    <row r="2046" spans="1:8" ht="13.2">
      <c r="A2046" s="454" t="s">
        <v>150</v>
      </c>
      <c r="B2046" s="452" t="str">
        <f>VLOOKUP(A2046,'Thống kê'!$C$3:$D$669,2,0)</f>
        <v>Móc khóa có chuông</v>
      </c>
      <c r="C2046" s="436" t="str">
        <f>VLOOKUP(A2046,'Thống kê'!$C$3:$E$682,3,0)</f>
        <v>cái</v>
      </c>
      <c r="D2046" s="437">
        <f>VLOOKUP(A2046,'Thống kê'!$C$3:$M$682,4,0)</f>
        <v>59000</v>
      </c>
      <c r="E2046" s="438">
        <v>1</v>
      </c>
      <c r="F2046" s="439">
        <f t="shared" si="8"/>
        <v>59000</v>
      </c>
      <c r="G2046" s="440"/>
      <c r="H2046" s="448">
        <v>44010</v>
      </c>
    </row>
    <row r="2047" spans="1:8" ht="13.2">
      <c r="A2047" s="454" t="s">
        <v>2039</v>
      </c>
      <c r="B2047" s="452" t="str">
        <f>VLOOKUP(A2047,'Thống kê'!$C$3:$D$669,2,0)</f>
        <v>Mô hình Popbean 05</v>
      </c>
      <c r="C2047" s="436" t="str">
        <f>VLOOKUP(A2047,'Thống kê'!$C$3:$E$682,3,0)</f>
        <v>cái</v>
      </c>
      <c r="D2047" s="437">
        <f>VLOOKUP(A2047,'Thống kê'!$C$3:$M$682,4,0)</f>
        <v>89000</v>
      </c>
      <c r="E2047" s="438">
        <v>1</v>
      </c>
      <c r="F2047" s="439">
        <f t="shared" si="8"/>
        <v>89000</v>
      </c>
      <c r="G2047" s="440"/>
      <c r="H2047" s="447">
        <v>263025</v>
      </c>
    </row>
    <row r="2048" spans="1:8" ht="13.2">
      <c r="A2048" s="454" t="s">
        <v>1589</v>
      </c>
      <c r="B2048" s="452" t="str">
        <f>VLOOKUP(A2048,'Thống kê'!$C$3:$D$669,2,0)</f>
        <v>Heo ú bay</v>
      </c>
      <c r="C2048" s="436" t="str">
        <f>VLOOKUP(A2048,'Thống kê'!$C$3:$E$682,3,0)</f>
        <v>cái</v>
      </c>
      <c r="D2048" s="437">
        <f>VLOOKUP(A2048,'Thống kê'!$C$3:$M$682,4,0)</f>
        <v>64500</v>
      </c>
      <c r="E2048" s="438">
        <v>1</v>
      </c>
      <c r="F2048" s="439">
        <f t="shared" si="8"/>
        <v>64500</v>
      </c>
      <c r="G2048" s="440"/>
      <c r="H2048" s="446"/>
    </row>
    <row r="2049" spans="1:8" ht="13.2">
      <c r="A2049" s="454" t="s">
        <v>1605</v>
      </c>
      <c r="B2049" s="452" t="str">
        <f>VLOOKUP(A2049,'Thống kê'!$C$3:$D$669,2,0)</f>
        <v>Thước dây xanh</v>
      </c>
      <c r="C2049" s="436" t="str">
        <f>VLOOKUP(A2049,'Thống kê'!$C$3:$E$682,3,0)</f>
        <v>cái</v>
      </c>
      <c r="D2049" s="437">
        <f>VLOOKUP(A2049,'Thống kê'!$C$3:$M$682,4,0)</f>
        <v>9000</v>
      </c>
      <c r="E2049" s="438">
        <v>1</v>
      </c>
      <c r="F2049" s="439">
        <f t="shared" si="8"/>
        <v>9000</v>
      </c>
      <c r="G2049" s="440"/>
      <c r="H2049" s="446"/>
    </row>
    <row r="2050" spans="1:8" ht="13.2">
      <c r="A2050" s="454" t="s">
        <v>2016</v>
      </c>
      <c r="B2050" s="452" t="str">
        <f>VLOOKUP(A2050,'Thống kê'!$C$3:$D$669,2,0)</f>
        <v>Móc khóa Popbean 01</v>
      </c>
      <c r="C2050" s="436" t="str">
        <f>VLOOKUP(A2050,'Thống kê'!$C$3:$E$682,3,0)</f>
        <v>cái</v>
      </c>
      <c r="D2050" s="437">
        <f>VLOOKUP(A2050,'Thống kê'!$C$3:$M$682,4,0)</f>
        <v>161850</v>
      </c>
      <c r="E2050" s="438">
        <v>1</v>
      </c>
      <c r="F2050" s="439">
        <f t="shared" si="8"/>
        <v>161850</v>
      </c>
      <c r="G2050" s="440"/>
      <c r="H2050" s="446"/>
    </row>
    <row r="2051" spans="1:8" ht="13.2">
      <c r="A2051" s="454" t="s">
        <v>119</v>
      </c>
      <c r="B2051" s="452" t="str">
        <f>VLOOKUP(A2051,'Thống kê'!$C$3:$D$669,2,0)</f>
        <v>Thỏ chạy xe gắn xe</v>
      </c>
      <c r="C2051" s="436" t="str">
        <f>VLOOKUP(A2051,'Thống kê'!$C$3:$E$682,3,0)</f>
        <v>cái</v>
      </c>
      <c r="D2051" s="437">
        <f>VLOOKUP(A2051,'Thống kê'!$C$3:$M$682,4,0)</f>
        <v>45000</v>
      </c>
      <c r="E2051" s="438">
        <v>1</v>
      </c>
      <c r="F2051" s="439">
        <f t="shared" si="8"/>
        <v>45000</v>
      </c>
      <c r="G2051" s="440"/>
      <c r="H2051" s="448">
        <v>38125</v>
      </c>
    </row>
    <row r="2052" spans="1:8" ht="13.2">
      <c r="A2052" s="454" t="s">
        <v>1622</v>
      </c>
      <c r="B2052" s="452" t="str">
        <f>VLOOKUP(A2052,'Thống kê'!$C$3:$D$669,2,0)</f>
        <v>Mô hình mèo 1</v>
      </c>
      <c r="C2052" s="436" t="str">
        <f>VLOOKUP(A2052,'Thống kê'!$C$3:$E$682,3,0)</f>
        <v>cái</v>
      </c>
      <c r="D2052" s="437">
        <f>VLOOKUP(A2052,'Thống kê'!$C$3:$M$682,4,0)</f>
        <v>37800</v>
      </c>
      <c r="E2052" s="438">
        <v>1</v>
      </c>
      <c r="F2052" s="439">
        <f t="shared" si="8"/>
        <v>37800</v>
      </c>
      <c r="G2052" s="440"/>
      <c r="H2052" s="447">
        <v>151082</v>
      </c>
    </row>
    <row r="2053" spans="1:8" ht="13.2">
      <c r="A2053" s="454" t="s">
        <v>1621</v>
      </c>
      <c r="B2053" s="452" t="str">
        <f>VLOOKUP(A2053,'Thống kê'!$C$3:$D$669,2,0)</f>
        <v>Mô hình mèo 2</v>
      </c>
      <c r="C2053" s="436" t="str">
        <f>VLOOKUP(A2053,'Thống kê'!$C$3:$E$682,3,0)</f>
        <v>cái</v>
      </c>
      <c r="D2053" s="437">
        <f>VLOOKUP(A2053,'Thống kê'!$C$3:$M$682,4,0)</f>
        <v>37800</v>
      </c>
      <c r="E2053" s="438">
        <v>1</v>
      </c>
      <c r="F2053" s="439">
        <f t="shared" si="8"/>
        <v>37800</v>
      </c>
      <c r="G2053" s="440"/>
      <c r="H2053" s="446"/>
    </row>
    <row r="2054" spans="1:8" ht="13.2">
      <c r="A2054" s="454" t="s">
        <v>1636</v>
      </c>
      <c r="B2054" s="452" t="str">
        <f>VLOOKUP(A2054,'Thống kê'!$C$3:$D$669,2,0)</f>
        <v>Mô hình mèo 3</v>
      </c>
      <c r="C2054" s="436" t="str">
        <f>VLOOKUP(A2054,'Thống kê'!$C$3:$E$682,3,0)</f>
        <v>cái</v>
      </c>
      <c r="D2054" s="437">
        <f>VLOOKUP(A2054,'Thống kê'!$C$3:$M$682,4,0)</f>
        <v>37800</v>
      </c>
      <c r="E2054" s="438">
        <v>1</v>
      </c>
      <c r="F2054" s="439">
        <f t="shared" si="8"/>
        <v>37800</v>
      </c>
      <c r="G2054" s="440"/>
      <c r="H2054" s="446"/>
    </row>
    <row r="2055" spans="1:8" ht="13.2">
      <c r="A2055" s="454" t="s">
        <v>1635</v>
      </c>
      <c r="B2055" s="452" t="str">
        <f>VLOOKUP(A2055,'Thống kê'!$C$3:$D$669,2,0)</f>
        <v>Mô hình mèo 4</v>
      </c>
      <c r="C2055" s="436" t="str">
        <f>VLOOKUP(A2055,'Thống kê'!$C$3:$E$682,3,0)</f>
        <v>cái</v>
      </c>
      <c r="D2055" s="437">
        <f>VLOOKUP(A2055,'Thống kê'!$C$3:$M$682,4,0)</f>
        <v>37800</v>
      </c>
      <c r="E2055" s="438">
        <v>1</v>
      </c>
      <c r="F2055" s="439">
        <f t="shared" si="8"/>
        <v>37800</v>
      </c>
      <c r="G2055" s="440"/>
      <c r="H2055" s="446"/>
    </row>
    <row r="2056" spans="1:8" ht="13.2">
      <c r="A2056" s="454" t="s">
        <v>1623</v>
      </c>
      <c r="B2056" s="452" t="str">
        <f>VLOOKUP(A2056,'Thống kê'!$C$3:$D$669,2,0)</f>
        <v>Mô hình mèo 5</v>
      </c>
      <c r="C2056" s="436" t="str">
        <f>VLOOKUP(A2056,'Thống kê'!$C$3:$E$682,3,0)</f>
        <v>cái</v>
      </c>
      <c r="D2056" s="437">
        <f>VLOOKUP(A2056,'Thống kê'!$C$3:$M$682,4,0)</f>
        <v>37800</v>
      </c>
      <c r="E2056" s="438">
        <v>1</v>
      </c>
      <c r="F2056" s="439">
        <f t="shared" si="8"/>
        <v>37800</v>
      </c>
      <c r="G2056" s="440"/>
      <c r="H2056" s="446"/>
    </row>
    <row r="2057" spans="1:8" ht="13.2">
      <c r="A2057" s="454" t="s">
        <v>150</v>
      </c>
      <c r="B2057" s="452" t="str">
        <f>VLOOKUP(A2057,'Thống kê'!$C$3:$D$669,2,0)</f>
        <v>Móc khóa có chuông</v>
      </c>
      <c r="C2057" s="436" t="str">
        <f>VLOOKUP(A2057,'Thống kê'!$C$3:$E$682,3,0)</f>
        <v>cái</v>
      </c>
      <c r="D2057" s="437">
        <f>VLOOKUP(A2057,'Thống kê'!$C$3:$M$682,4,0)</f>
        <v>59000</v>
      </c>
      <c r="E2057" s="438">
        <v>1</v>
      </c>
      <c r="F2057" s="439">
        <f t="shared" si="8"/>
        <v>59000</v>
      </c>
      <c r="G2057" s="440"/>
      <c r="H2057" s="448">
        <v>45135</v>
      </c>
    </row>
    <row r="2058" spans="1:8" ht="13.2">
      <c r="A2058" s="454" t="s">
        <v>2014</v>
      </c>
      <c r="B2058" s="452" t="str">
        <f>VLOOKUP(A2058,'Thống kê'!$C$3:$D$669,2,0)</f>
        <v>Móc khóa Popbean 03</v>
      </c>
      <c r="C2058" s="436" t="str">
        <f>VLOOKUP(A2058,'Thống kê'!$C$3:$E$682,3,0)</f>
        <v>cái</v>
      </c>
      <c r="D2058" s="437">
        <f>VLOOKUP(A2058,'Thống kê'!$C$3:$M$682,4,0)</f>
        <v>161850</v>
      </c>
      <c r="E2058" s="438">
        <v>1</v>
      </c>
      <c r="F2058" s="439">
        <f t="shared" si="8"/>
        <v>161850</v>
      </c>
      <c r="G2058" s="440"/>
      <c r="H2058" s="447">
        <v>253134</v>
      </c>
    </row>
    <row r="2059" spans="1:8" ht="13.2">
      <c r="A2059" s="454" t="s">
        <v>2016</v>
      </c>
      <c r="B2059" s="452" t="str">
        <f>VLOOKUP(A2059,'Thống kê'!$C$3:$D$669,2,0)</f>
        <v>Móc khóa Popbean 01</v>
      </c>
      <c r="C2059" s="436" t="str">
        <f>VLOOKUP(A2059,'Thống kê'!$C$3:$E$682,3,0)</f>
        <v>cái</v>
      </c>
      <c r="D2059" s="437">
        <f>VLOOKUP(A2059,'Thống kê'!$C$3:$M$682,4,0)</f>
        <v>161850</v>
      </c>
      <c r="E2059" s="438">
        <v>1</v>
      </c>
      <c r="F2059" s="439">
        <f t="shared" si="8"/>
        <v>161850</v>
      </c>
      <c r="G2059" s="440"/>
      <c r="H2059" s="446"/>
    </row>
    <row r="2060" spans="1:8" ht="13.2">
      <c r="A2060" s="454" t="s">
        <v>150</v>
      </c>
      <c r="B2060" s="452" t="str">
        <f>VLOOKUP(A2060,'Thống kê'!$C$3:$D$669,2,0)</f>
        <v>Móc khóa có chuông</v>
      </c>
      <c r="C2060" s="436" t="str">
        <f>VLOOKUP(A2060,'Thống kê'!$C$3:$E$682,3,0)</f>
        <v>cái</v>
      </c>
      <c r="D2060" s="437">
        <f>VLOOKUP(A2060,'Thống kê'!$C$3:$M$682,4,0)</f>
        <v>59000</v>
      </c>
      <c r="E2060" s="438">
        <v>1</v>
      </c>
      <c r="F2060" s="439">
        <f t="shared" si="8"/>
        <v>59000</v>
      </c>
      <c r="G2060" s="440"/>
      <c r="H2060" s="447">
        <v>89743</v>
      </c>
    </row>
    <row r="2061" spans="1:8" ht="13.2">
      <c r="A2061" s="454" t="s">
        <v>1633</v>
      </c>
      <c r="B2061" s="452" t="str">
        <f>VLOOKUP(A2061,'Thống kê'!$C$3:$D$669,2,0)</f>
        <v>Móc khóa đôi gà rán bia</v>
      </c>
      <c r="C2061" s="436" t="str">
        <f>VLOOKUP(A2061,'Thống kê'!$C$3:$E$682,3,0)</f>
        <v>cái</v>
      </c>
      <c r="D2061" s="437">
        <f>VLOOKUP(A2061,'Thống kê'!$C$3:$M$682,4,0)</f>
        <v>56580</v>
      </c>
      <c r="E2061" s="438">
        <v>1</v>
      </c>
      <c r="F2061" s="439">
        <f t="shared" si="8"/>
        <v>56580</v>
      </c>
      <c r="G2061" s="440"/>
      <c r="H2061" s="446"/>
    </row>
    <row r="2062" spans="1:8" ht="13.2">
      <c r="A2062" s="454" t="s">
        <v>150</v>
      </c>
      <c r="B2062" s="452" t="str">
        <f>VLOOKUP(A2062,'Thống kê'!$C$3:$D$669,2,0)</f>
        <v>Móc khóa có chuông</v>
      </c>
      <c r="C2062" s="436" t="str">
        <f>VLOOKUP(A2062,'Thống kê'!$C$3:$E$682,3,0)</f>
        <v>cái</v>
      </c>
      <c r="D2062" s="437">
        <f>VLOOKUP(A2062,'Thống kê'!$C$3:$M$682,4,0)</f>
        <v>59000</v>
      </c>
      <c r="E2062" s="438">
        <v>1</v>
      </c>
      <c r="F2062" s="439">
        <f t="shared" si="8"/>
        <v>59000</v>
      </c>
      <c r="G2062" s="440"/>
      <c r="H2062" s="448">
        <v>44985</v>
      </c>
    </row>
    <row r="2063" spans="1:8" ht="13.2">
      <c r="A2063" s="454" t="s">
        <v>467</v>
      </c>
      <c r="B2063" s="452" t="str">
        <f>VLOOKUP(A2063,'Thống kê'!$C$3:$D$669,2,0)</f>
        <v>Cài áo kính bạc</v>
      </c>
      <c r="C2063" s="436" t="str">
        <f>VLOOKUP(A2063,'Thống kê'!$C$3:$E$682,3,0)</f>
        <v>cái</v>
      </c>
      <c r="D2063" s="437">
        <f>VLOOKUP(A2063,'Thống kê'!$C$3:$M$682,4,0)</f>
        <v>12500</v>
      </c>
      <c r="E2063" s="438">
        <v>1</v>
      </c>
      <c r="F2063" s="439">
        <f t="shared" si="8"/>
        <v>12500</v>
      </c>
      <c r="G2063" s="440"/>
      <c r="H2063" s="447">
        <v>73525</v>
      </c>
    </row>
    <row r="2064" spans="1:8" ht="13.2">
      <c r="A2064" s="454" t="s">
        <v>181</v>
      </c>
      <c r="B2064" s="452" t="str">
        <f>VLOOKUP(A2064,'Thống kê'!$C$3:$D$669,2,0)</f>
        <v>Thỏ mặt trăng gắn xe</v>
      </c>
      <c r="C2064" s="436" t="str">
        <f>VLOOKUP(A2064,'Thống kê'!$C$3:$E$682,3,0)</f>
        <v>cái</v>
      </c>
      <c r="D2064" s="437">
        <f>VLOOKUP(A2064,'Thống kê'!$C$3:$M$682,4,0)</f>
        <v>45000</v>
      </c>
      <c r="E2064" s="438">
        <v>1</v>
      </c>
      <c r="F2064" s="439">
        <f t="shared" si="8"/>
        <v>45000</v>
      </c>
      <c r="G2064" s="440"/>
      <c r="H2064" s="446"/>
    </row>
    <row r="2065" spans="1:8" ht="13.2">
      <c r="A2065" s="454" t="s">
        <v>119</v>
      </c>
      <c r="B2065" s="452" t="str">
        <f>VLOOKUP(A2065,'Thống kê'!$C$3:$D$669,2,0)</f>
        <v>Thỏ chạy xe gắn xe</v>
      </c>
      <c r="C2065" s="436" t="str">
        <f>VLOOKUP(A2065,'Thống kê'!$C$3:$E$682,3,0)</f>
        <v>cái</v>
      </c>
      <c r="D2065" s="437">
        <f>VLOOKUP(A2065,'Thống kê'!$C$3:$M$682,4,0)</f>
        <v>45000</v>
      </c>
      <c r="E2065" s="438">
        <v>1</v>
      </c>
      <c r="F2065" s="439">
        <f t="shared" si="8"/>
        <v>45000</v>
      </c>
      <c r="G2065" s="440"/>
      <c r="H2065" s="446"/>
    </row>
    <row r="2066" spans="1:8" ht="13.2">
      <c r="A2066" s="454" t="s">
        <v>161</v>
      </c>
      <c r="B2066" s="452" t="str">
        <f>VLOOKUP(A2066,'Thống kê'!$C$3:$D$669,2,0)</f>
        <v>Dao rọc giấy 07</v>
      </c>
      <c r="C2066" s="436" t="str">
        <f>VLOOKUP(A2066,'Thống kê'!$C$3:$E$682,3,0)</f>
        <v>cái</v>
      </c>
      <c r="D2066" s="437">
        <f>VLOOKUP(A2066,'Thống kê'!$C$3:$M$682,4,0)</f>
        <v>12000</v>
      </c>
      <c r="E2066" s="438">
        <v>1</v>
      </c>
      <c r="F2066" s="439">
        <f t="shared" si="8"/>
        <v>12000</v>
      </c>
      <c r="G2066" s="440"/>
      <c r="H2066" s="447">
        <v>65272</v>
      </c>
    </row>
    <row r="2067" spans="1:8" ht="13.2">
      <c r="A2067" s="454" t="s">
        <v>150</v>
      </c>
      <c r="B2067" s="452" t="str">
        <f>VLOOKUP(A2067,'Thống kê'!$C$3:$D$669,2,0)</f>
        <v>Móc khóa có chuông</v>
      </c>
      <c r="C2067" s="436" t="str">
        <f>VLOOKUP(A2067,'Thống kê'!$C$3:$E$682,3,0)</f>
        <v>cái</v>
      </c>
      <c r="D2067" s="437">
        <f>VLOOKUP(A2067,'Thống kê'!$C$3:$M$682,4,0)</f>
        <v>59000</v>
      </c>
      <c r="E2067" s="438">
        <v>1</v>
      </c>
      <c r="F2067" s="439">
        <f t="shared" si="8"/>
        <v>59000</v>
      </c>
      <c r="G2067" s="440"/>
      <c r="H2067" s="446"/>
    </row>
    <row r="2068" spans="1:8" ht="13.2">
      <c r="A2068" s="454" t="s">
        <v>1622</v>
      </c>
      <c r="B2068" s="452" t="str">
        <f>VLOOKUP(A2068,'Thống kê'!$C$3:$D$669,2,0)</f>
        <v>Mô hình mèo 1</v>
      </c>
      <c r="C2068" s="436" t="str">
        <f>VLOOKUP(A2068,'Thống kê'!$C$3:$E$682,3,0)</f>
        <v>cái</v>
      </c>
      <c r="D2068" s="437">
        <f>VLOOKUP(A2068,'Thống kê'!$C$3:$M$682,4,0)</f>
        <v>37800</v>
      </c>
      <c r="E2068" s="438">
        <v>1</v>
      </c>
      <c r="F2068" s="439">
        <f t="shared" si="8"/>
        <v>37800</v>
      </c>
      <c r="G2068" s="440"/>
      <c r="H2068" s="447">
        <v>124576</v>
      </c>
    </row>
    <row r="2069" spans="1:8" ht="13.2">
      <c r="A2069" s="454" t="s">
        <v>1621</v>
      </c>
      <c r="B2069" s="452" t="str">
        <f>VLOOKUP(A2069,'Thống kê'!$C$3:$D$669,2,0)</f>
        <v>Mô hình mèo 2</v>
      </c>
      <c r="C2069" s="436" t="str">
        <f>VLOOKUP(A2069,'Thống kê'!$C$3:$E$682,3,0)</f>
        <v>cái</v>
      </c>
      <c r="D2069" s="437">
        <f>VLOOKUP(A2069,'Thống kê'!$C$3:$M$682,4,0)</f>
        <v>37800</v>
      </c>
      <c r="E2069" s="438">
        <v>1</v>
      </c>
      <c r="F2069" s="439">
        <f t="shared" si="8"/>
        <v>37800</v>
      </c>
      <c r="G2069" s="440"/>
      <c r="H2069" s="446"/>
    </row>
    <row r="2070" spans="1:8" ht="13.2">
      <c r="A2070" s="454" t="s">
        <v>1635</v>
      </c>
      <c r="B2070" s="452" t="str">
        <f>VLOOKUP(A2070,'Thống kê'!$C$3:$D$669,2,0)</f>
        <v>Mô hình mèo 4</v>
      </c>
      <c r="C2070" s="436" t="str">
        <f>VLOOKUP(A2070,'Thống kê'!$C$3:$E$682,3,0)</f>
        <v>cái</v>
      </c>
      <c r="D2070" s="437">
        <f>VLOOKUP(A2070,'Thống kê'!$C$3:$M$682,4,0)</f>
        <v>37800</v>
      </c>
      <c r="E2070" s="438">
        <v>1</v>
      </c>
      <c r="F2070" s="439">
        <f t="shared" si="8"/>
        <v>37800</v>
      </c>
      <c r="G2070" s="440"/>
      <c r="H2070" s="446"/>
    </row>
    <row r="2071" spans="1:8" ht="13.2">
      <c r="A2071" s="454" t="s">
        <v>1623</v>
      </c>
      <c r="B2071" s="452" t="str">
        <f>VLOOKUP(A2071,'Thống kê'!$C$3:$D$669,2,0)</f>
        <v>Mô hình mèo 5</v>
      </c>
      <c r="C2071" s="436" t="str">
        <f>VLOOKUP(A2071,'Thống kê'!$C$3:$E$682,3,0)</f>
        <v>cái</v>
      </c>
      <c r="D2071" s="437">
        <f>VLOOKUP(A2071,'Thống kê'!$C$3:$M$682,4,0)</f>
        <v>37800</v>
      </c>
      <c r="E2071" s="438">
        <v>1</v>
      </c>
      <c r="F2071" s="439">
        <f t="shared" si="8"/>
        <v>37800</v>
      </c>
      <c r="G2071" s="440"/>
      <c r="H2071" s="446"/>
    </row>
    <row r="2072" spans="1:8" ht="13.2">
      <c r="A2072" s="454" t="s">
        <v>1851</v>
      </c>
      <c r="B2072" s="452" t="str">
        <f>VLOOKUP(A2072,'Thống kê'!$C$3:$D$669,2,0)</f>
        <v>Hộp thuốc cô bé tóc nâu</v>
      </c>
      <c r="C2072" s="436" t="str">
        <f>VLOOKUP(A2072,'Thống kê'!$C$3:$E$682,3,0)</f>
        <v>hộp</v>
      </c>
      <c r="D2072" s="437">
        <f>VLOOKUP(A2072,'Thống kê'!$C$3:$M$682,4,0)</f>
        <v>11000</v>
      </c>
      <c r="E2072" s="438">
        <v>1</v>
      </c>
      <c r="F2072" s="439">
        <f t="shared" si="8"/>
        <v>11000</v>
      </c>
      <c r="G2072" s="440"/>
      <c r="H2072" s="447">
        <v>135133</v>
      </c>
    </row>
    <row r="2073" spans="1:8" ht="13.2">
      <c r="A2073" s="454" t="s">
        <v>150</v>
      </c>
      <c r="B2073" s="452" t="str">
        <f>VLOOKUP(A2073,'Thống kê'!$C$3:$D$669,2,0)</f>
        <v>Móc khóa có chuông</v>
      </c>
      <c r="C2073" s="436" t="str">
        <f>VLOOKUP(A2073,'Thống kê'!$C$3:$E$682,3,0)</f>
        <v>cái</v>
      </c>
      <c r="D2073" s="437">
        <f>VLOOKUP(A2073,'Thống kê'!$C$3:$M$682,4,0)</f>
        <v>59000</v>
      </c>
      <c r="E2073" s="438">
        <v>1</v>
      </c>
      <c r="F2073" s="439">
        <f t="shared" si="8"/>
        <v>59000</v>
      </c>
      <c r="G2073" s="440"/>
      <c r="H2073" s="446"/>
    </row>
    <row r="2074" spans="1:8" ht="13.2">
      <c r="A2074" s="454" t="s">
        <v>145</v>
      </c>
      <c r="B2074" s="452" t="str">
        <f>VLOOKUP(A2074,'Thống kê'!$C$3:$D$669,2,0)</f>
        <v>Thỏ đi vịt gắn xe</v>
      </c>
      <c r="C2074" s="436" t="str">
        <f>VLOOKUP(A2074,'Thống kê'!$C$3:$E$682,3,0)</f>
        <v>cái</v>
      </c>
      <c r="D2074" s="437">
        <f>VLOOKUP(A2074,'Thống kê'!$C$3:$M$682,4,0)</f>
        <v>45000</v>
      </c>
      <c r="E2074" s="438">
        <v>1</v>
      </c>
      <c r="F2074" s="439">
        <f t="shared" si="8"/>
        <v>45000</v>
      </c>
      <c r="G2074" s="440"/>
      <c r="H2074" s="446"/>
    </row>
    <row r="2075" spans="1:8" ht="13.2">
      <c r="A2075" s="454" t="s">
        <v>227</v>
      </c>
      <c r="B2075" s="452" t="str">
        <f>VLOOKUP(A2075,'Thống kê'!$C$3:$D$669,2,0)</f>
        <v>Móc khóa đôi corgy</v>
      </c>
      <c r="C2075" s="436" t="str">
        <f>VLOOKUP(A2075,'Thống kê'!$C$3:$E$682,3,0)</f>
        <v>cái</v>
      </c>
      <c r="D2075" s="437">
        <f>VLOOKUP(A2075,'Thống kê'!$C$3:$M$682,4,0)</f>
        <v>56580</v>
      </c>
      <c r="E2075" s="438">
        <v>1</v>
      </c>
      <c r="F2075" s="439">
        <f t="shared" si="8"/>
        <v>56580</v>
      </c>
      <c r="G2075" s="440"/>
      <c r="H2075" s="446"/>
    </row>
    <row r="2076" spans="1:8" ht="13.2">
      <c r="A2076" s="454" t="s">
        <v>119</v>
      </c>
      <c r="B2076" s="452" t="str">
        <f>VLOOKUP(A2076,'Thống kê'!$C$3:$D$669,2,0)</f>
        <v>Thỏ chạy xe gắn xe</v>
      </c>
      <c r="C2076" s="436" t="str">
        <f>VLOOKUP(A2076,'Thống kê'!$C$3:$E$682,3,0)</f>
        <v>cái</v>
      </c>
      <c r="D2076" s="437">
        <f>VLOOKUP(A2076,'Thống kê'!$C$3:$M$682,4,0)</f>
        <v>45000</v>
      </c>
      <c r="E2076" s="438">
        <v>1</v>
      </c>
      <c r="F2076" s="439">
        <f t="shared" si="8"/>
        <v>45000</v>
      </c>
      <c r="G2076" s="440"/>
      <c r="H2076" s="448">
        <v>34875</v>
      </c>
    </row>
    <row r="2077" spans="1:8" ht="13.2">
      <c r="A2077" s="454" t="s">
        <v>150</v>
      </c>
      <c r="B2077" s="452" t="str">
        <f>VLOOKUP(A2077,'Thống kê'!$C$3:$D$669,2,0)</f>
        <v>Móc khóa có chuông</v>
      </c>
      <c r="C2077" s="436" t="str">
        <f>VLOOKUP(A2077,'Thống kê'!$C$3:$E$682,3,0)</f>
        <v>cái</v>
      </c>
      <c r="D2077" s="437">
        <f>VLOOKUP(A2077,'Thống kê'!$C$3:$M$682,4,0)</f>
        <v>59000</v>
      </c>
      <c r="E2077" s="438">
        <v>1</v>
      </c>
      <c r="F2077" s="439">
        <f t="shared" si="8"/>
        <v>59000</v>
      </c>
      <c r="G2077" s="440"/>
      <c r="H2077" s="448">
        <v>45135</v>
      </c>
    </row>
    <row r="2078" spans="1:8" ht="13.2">
      <c r="A2078" s="454" t="s">
        <v>1716</v>
      </c>
      <c r="B2078" s="452" t="str">
        <f>VLOOKUP(A2078,'Thống kê'!$C$3:$D$669,2,0)</f>
        <v>Móc khóa đôi 2 quả lê có nam châm</v>
      </c>
      <c r="C2078" s="436" t="str">
        <f>VLOOKUP(A2078,'Thống kê'!$C$3:$E$682,3,0)</f>
        <v>cái</v>
      </c>
      <c r="D2078" s="437">
        <f>VLOOKUP(A2078,'Thống kê'!$C$3:$M$682,4,0)</f>
        <v>59000</v>
      </c>
      <c r="E2078" s="438">
        <v>1</v>
      </c>
      <c r="F2078" s="439">
        <f t="shared" si="8"/>
        <v>59000</v>
      </c>
      <c r="G2078" s="440"/>
      <c r="H2078" s="447">
        <v>57940</v>
      </c>
    </row>
    <row r="2079" spans="1:8" ht="13.2">
      <c r="A2079" s="454" t="s">
        <v>1988</v>
      </c>
      <c r="B2079" s="452" t="str">
        <f>VLOOKUP(A2079,'Thống kê'!$C$3:$D$669,2,0)</f>
        <v>Ống 6 dâu cột tóc nâu</v>
      </c>
      <c r="C2079" s="436" t="str">
        <f>VLOOKUP(A2079,'Thống kê'!$C$3:$E$682,3,0)</f>
        <v>ống</v>
      </c>
      <c r="D2079" s="437">
        <f>VLOOKUP(A2079,'Thống kê'!$C$3:$M$682,4,0)</f>
        <v>20000</v>
      </c>
      <c r="E2079" s="438">
        <v>1</v>
      </c>
      <c r="F2079" s="439">
        <f t="shared" si="8"/>
        <v>20000</v>
      </c>
      <c r="G2079" s="440"/>
      <c r="H2079" s="446"/>
    </row>
    <row r="2080" spans="1:8" ht="13.2">
      <c r="A2080" s="454" t="s">
        <v>150</v>
      </c>
      <c r="B2080" s="452" t="str">
        <f>VLOOKUP(A2080,'Thống kê'!$C$3:$D$669,2,0)</f>
        <v>Móc khóa có chuông</v>
      </c>
      <c r="C2080" s="436" t="str">
        <f>VLOOKUP(A2080,'Thống kê'!$C$3:$E$682,3,0)</f>
        <v>cái</v>
      </c>
      <c r="D2080" s="437">
        <f>VLOOKUP(A2080,'Thống kê'!$C$3:$M$682,4,0)</f>
        <v>59000</v>
      </c>
      <c r="E2080" s="438">
        <v>1</v>
      </c>
      <c r="F2080" s="439">
        <f t="shared" si="8"/>
        <v>59000</v>
      </c>
      <c r="G2080" s="440"/>
      <c r="H2080" s="448">
        <v>45060</v>
      </c>
    </row>
    <row r="2081" spans="1:8" ht="13.2">
      <c r="A2081" s="454" t="s">
        <v>1594</v>
      </c>
      <c r="B2081" s="452" t="str">
        <f>VLOOKUP(A2081,'Thống kê'!$C$3:$D$669,2,0)</f>
        <v>Móc khóa đôi heo</v>
      </c>
      <c r="C2081" s="436" t="str">
        <f>VLOOKUP(A2081,'Thống kê'!$C$3:$E$682,3,0)</f>
        <v>cái</v>
      </c>
      <c r="D2081" s="437">
        <f>VLOOKUP(A2081,'Thống kê'!$C$3:$M$682,4,0)</f>
        <v>56580</v>
      </c>
      <c r="E2081" s="438">
        <v>1</v>
      </c>
      <c r="F2081" s="439">
        <f t="shared" si="8"/>
        <v>56580</v>
      </c>
      <c r="G2081" s="440"/>
      <c r="H2081" s="448">
        <v>42934</v>
      </c>
    </row>
    <row r="2082" spans="1:8" ht="13.2">
      <c r="A2082" s="454" t="s">
        <v>1624</v>
      </c>
      <c r="B2082" s="452" t="str">
        <f>VLOOKUP(A2082,'Thống kê'!$C$3:$D$669,2,0)</f>
        <v>Móc khóa mèo trái tim</v>
      </c>
      <c r="C2082" s="436" t="str">
        <f>VLOOKUP(A2082,'Thống kê'!$C$3:$E$682,3,0)</f>
        <v>cái</v>
      </c>
      <c r="D2082" s="437">
        <f>VLOOKUP(A2082,'Thống kê'!$C$3:$M$682,4,0)</f>
        <v>59000</v>
      </c>
      <c r="E2082" s="438">
        <v>1</v>
      </c>
      <c r="F2082" s="439">
        <f t="shared" si="8"/>
        <v>59000</v>
      </c>
      <c r="G2082" s="440"/>
      <c r="H2082" s="448">
        <v>44735</v>
      </c>
    </row>
    <row r="2083" spans="1:8" ht="13.2">
      <c r="A2083" s="454" t="s">
        <v>1625</v>
      </c>
      <c r="B2083" s="452" t="str">
        <f>VLOOKUP(A2083,'Thống kê'!$C$3:$D$669,2,0)</f>
        <v>Móc khóa đôi 2 mèo trắng nâu</v>
      </c>
      <c r="C2083" s="436" t="str">
        <f>VLOOKUP(A2083,'Thống kê'!$C$3:$E$682,3,0)</f>
        <v>cái</v>
      </c>
      <c r="D2083" s="437">
        <f>VLOOKUP(A2083,'Thống kê'!$C$3:$M$682,4,0)</f>
        <v>59000</v>
      </c>
      <c r="E2083" s="438">
        <v>1</v>
      </c>
      <c r="F2083" s="439">
        <f t="shared" si="8"/>
        <v>59000</v>
      </c>
      <c r="G2083" s="440"/>
      <c r="H2083" s="448">
        <v>45135</v>
      </c>
    </row>
    <row r="2084" spans="1:8" ht="13.2">
      <c r="A2084" s="454" t="s">
        <v>227</v>
      </c>
      <c r="B2084" s="452" t="str">
        <f>VLOOKUP(A2084,'Thống kê'!$C$3:$D$669,2,0)</f>
        <v>Móc khóa đôi corgy</v>
      </c>
      <c r="C2084" s="436" t="str">
        <f>VLOOKUP(A2084,'Thống kê'!$C$3:$E$682,3,0)</f>
        <v>cái</v>
      </c>
      <c r="D2084" s="437">
        <f>VLOOKUP(A2084,'Thống kê'!$C$3:$M$682,4,0)</f>
        <v>56580</v>
      </c>
      <c r="E2084" s="438">
        <v>1</v>
      </c>
      <c r="F2084" s="439">
        <f t="shared" si="8"/>
        <v>56580</v>
      </c>
      <c r="G2084" s="440"/>
      <c r="H2084" s="448">
        <v>43284</v>
      </c>
    </row>
    <row r="2085" spans="1:8" ht="13.2">
      <c r="A2085" s="454" t="s">
        <v>1806</v>
      </c>
      <c r="B2085" s="452" t="str">
        <f>VLOOKUP(A2085,'Thống kê'!$C$3:$D$669,2,0)</f>
        <v>Móc khoá cún Đầu táo</v>
      </c>
      <c r="C2085" s="436" t="str">
        <f>VLOOKUP(A2085,'Thống kê'!$C$3:$E$682,3,0)</f>
        <v>cái</v>
      </c>
      <c r="D2085" s="437">
        <f>VLOOKUP(A2085,'Thống kê'!$C$3:$M$682,4,0)</f>
        <v>38000</v>
      </c>
      <c r="E2085" s="438">
        <v>1</v>
      </c>
      <c r="F2085" s="439">
        <f t="shared" si="8"/>
        <v>38000</v>
      </c>
      <c r="G2085" s="440"/>
      <c r="H2085" s="447">
        <v>199042</v>
      </c>
    </row>
    <row r="2086" spans="1:8" ht="13.2">
      <c r="A2086" s="454" t="s">
        <v>227</v>
      </c>
      <c r="B2086" s="452" t="str">
        <f>VLOOKUP(A2086,'Thống kê'!$C$3:$D$669,2,0)</f>
        <v>Móc khóa đôi corgy</v>
      </c>
      <c r="C2086" s="436" t="str">
        <f>VLOOKUP(A2086,'Thống kê'!$C$3:$E$682,3,0)</f>
        <v>cái</v>
      </c>
      <c r="D2086" s="437">
        <f>VLOOKUP(A2086,'Thống kê'!$C$3:$M$682,4,0)</f>
        <v>56580</v>
      </c>
      <c r="E2086" s="438">
        <v>1</v>
      </c>
      <c r="F2086" s="439">
        <f t="shared" si="8"/>
        <v>56580</v>
      </c>
      <c r="G2086" s="440"/>
      <c r="H2086" s="446"/>
    </row>
    <row r="2087" spans="1:8" ht="13.2">
      <c r="A2087" s="454" t="s">
        <v>2016</v>
      </c>
      <c r="B2087" s="452" t="str">
        <f>VLOOKUP(A2087,'Thống kê'!$C$3:$D$669,2,0)</f>
        <v>Móc khóa Popbean 01</v>
      </c>
      <c r="C2087" s="436" t="str">
        <f>VLOOKUP(A2087,'Thống kê'!$C$3:$E$682,3,0)</f>
        <v>cái</v>
      </c>
      <c r="D2087" s="437">
        <f>VLOOKUP(A2087,'Thống kê'!$C$3:$M$682,4,0)</f>
        <v>161850</v>
      </c>
      <c r="E2087" s="438">
        <v>1</v>
      </c>
      <c r="F2087" s="439">
        <f t="shared" si="8"/>
        <v>161850</v>
      </c>
      <c r="G2087" s="440"/>
      <c r="H2087" s="446"/>
    </row>
    <row r="2088" spans="1:8" ht="13.2">
      <c r="A2088" s="454" t="s">
        <v>1624</v>
      </c>
      <c r="B2088" s="452" t="str">
        <f>VLOOKUP(A2088,'Thống kê'!$C$3:$D$669,2,0)</f>
        <v>Móc khóa mèo trái tim</v>
      </c>
      <c r="C2088" s="436" t="str">
        <f>VLOOKUP(A2088,'Thống kê'!$C$3:$E$682,3,0)</f>
        <v>cái</v>
      </c>
      <c r="D2088" s="437">
        <f>VLOOKUP(A2088,'Thống kê'!$C$3:$M$682,4,0)</f>
        <v>59000</v>
      </c>
      <c r="E2088" s="438">
        <v>1</v>
      </c>
      <c r="F2088" s="439">
        <f t="shared" si="8"/>
        <v>59000</v>
      </c>
      <c r="G2088" s="440"/>
      <c r="H2088" s="448">
        <v>44235</v>
      </c>
    </row>
    <row r="2089" spans="1:8" ht="13.2">
      <c r="A2089" s="454" t="s">
        <v>330</v>
      </c>
      <c r="B2089" s="452" t="str">
        <f>VLOOKUP(A2089,'Thống kê'!$C$3:$D$669,2,0)</f>
        <v>Túi chườm bụng thỏ xám  500ml</v>
      </c>
      <c r="C2089" s="436" t="str">
        <f>VLOOKUP(A2089,'Thống kê'!$C$3:$E$682,3,0)</f>
        <v>túi</v>
      </c>
      <c r="D2089" s="437">
        <f>VLOOKUP(A2089,'Thống kê'!$C$3:$M$682,4,0)</f>
        <v>81000</v>
      </c>
      <c r="E2089" s="438">
        <v>1</v>
      </c>
      <c r="F2089" s="439">
        <f t="shared" si="8"/>
        <v>81000</v>
      </c>
      <c r="G2089" s="440"/>
      <c r="H2089" s="448">
        <v>62050</v>
      </c>
    </row>
    <row r="2090" spans="1:8" ht="13.2">
      <c r="A2090" s="454" t="s">
        <v>1716</v>
      </c>
      <c r="B2090" s="452" t="str">
        <f>VLOOKUP(A2090,'Thống kê'!$C$3:$D$669,2,0)</f>
        <v>Móc khóa đôi 2 quả lê có nam châm</v>
      </c>
      <c r="C2090" s="436" t="str">
        <f>VLOOKUP(A2090,'Thống kê'!$C$3:$E$682,3,0)</f>
        <v>cái</v>
      </c>
      <c r="D2090" s="437">
        <f>VLOOKUP(A2090,'Thống kê'!$C$3:$M$682,4,0)</f>
        <v>59000</v>
      </c>
      <c r="E2090" s="438">
        <v>1</v>
      </c>
      <c r="F2090" s="439">
        <f t="shared" si="8"/>
        <v>59000</v>
      </c>
      <c r="G2090" s="440"/>
      <c r="H2090" s="447">
        <v>99043</v>
      </c>
    </row>
    <row r="2091" spans="1:8" ht="13.2">
      <c r="A2091" s="454" t="s">
        <v>227</v>
      </c>
      <c r="B2091" s="452" t="str">
        <f>VLOOKUP(A2091,'Thống kê'!$C$3:$D$669,2,0)</f>
        <v>Móc khóa đôi corgy</v>
      </c>
      <c r="C2091" s="436" t="str">
        <f>VLOOKUP(A2091,'Thống kê'!$C$3:$E$682,3,0)</f>
        <v>cái</v>
      </c>
      <c r="D2091" s="437">
        <f>VLOOKUP(A2091,'Thống kê'!$C$3:$M$682,4,0)</f>
        <v>56580</v>
      </c>
      <c r="E2091" s="438">
        <v>1</v>
      </c>
      <c r="F2091" s="439">
        <f t="shared" si="8"/>
        <v>56580</v>
      </c>
      <c r="G2091" s="440"/>
      <c r="H2091" s="446"/>
    </row>
    <row r="2092" spans="1:8" ht="13.2">
      <c r="A2092" s="454" t="s">
        <v>1612</v>
      </c>
      <c r="B2092" s="452" t="str">
        <f>VLOOKUP(A2092,'Thống kê'!$C$3:$D$669,2,0)</f>
        <v>Kẹp tóc bướm trắng</v>
      </c>
      <c r="C2092" s="436" t="str">
        <f>VLOOKUP(A2092,'Thống kê'!$C$3:$E$682,3,0)</f>
        <v>cái</v>
      </c>
      <c r="D2092" s="437">
        <f>VLOOKUP(A2092,'Thống kê'!$C$3:$M$682,4,0)</f>
        <v>40000</v>
      </c>
      <c r="E2092" s="438">
        <v>1</v>
      </c>
      <c r="F2092" s="439">
        <f t="shared" si="8"/>
        <v>40000</v>
      </c>
      <c r="G2092" s="440"/>
      <c r="H2092" s="447">
        <v>57834</v>
      </c>
    </row>
    <row r="2093" spans="1:8" ht="13.2">
      <c r="A2093" s="454" t="s">
        <v>1631</v>
      </c>
      <c r="B2093" s="452" t="str">
        <f>VLOOKUP(A2093,'Thống kê'!$C$3:$D$669,2,0)</f>
        <v>Kẹp tóc bướm xanh vàng</v>
      </c>
      <c r="C2093" s="436" t="str">
        <f>VLOOKUP(A2093,'Thống kê'!$C$3:$E$682,3,0)</f>
        <v>cái</v>
      </c>
      <c r="D2093" s="437">
        <f>VLOOKUP(A2093,'Thống kê'!$C$3:$M$682,4,0)</f>
        <v>52000</v>
      </c>
      <c r="E2093" s="438">
        <v>1</v>
      </c>
      <c r="F2093" s="439">
        <f t="shared" si="8"/>
        <v>52000</v>
      </c>
      <c r="G2093" s="440"/>
      <c r="H2093" s="446"/>
    </row>
    <row r="2094" spans="1:8" ht="13.2">
      <c r="A2094" s="454" t="s">
        <v>1925</v>
      </c>
      <c r="B2094" s="452" t="str">
        <f>VLOOKUP(A2094,'Thống kê'!$C$3:$D$669,2,0)</f>
        <v>Kẹp tóc hoa sứ đỏ</v>
      </c>
      <c r="C2094" s="436" t="str">
        <f>VLOOKUP(A2094,'Thống kê'!$C$3:$E$682,3,0)</f>
        <v>cái</v>
      </c>
      <c r="D2094" s="437">
        <f>VLOOKUP(A2094,'Thống kê'!$C$3:$M$682,4,0)</f>
        <v>18500</v>
      </c>
      <c r="E2094" s="438">
        <v>1</v>
      </c>
      <c r="F2094" s="439">
        <f t="shared" si="8"/>
        <v>18500</v>
      </c>
      <c r="G2094" s="440"/>
      <c r="H2094" s="446"/>
    </row>
    <row r="2095" spans="1:8" ht="13.2">
      <c r="A2095" s="454" t="s">
        <v>1624</v>
      </c>
      <c r="B2095" s="452" t="str">
        <f>VLOOKUP(A2095,'Thống kê'!$C$3:$D$669,2,0)</f>
        <v>Móc khóa mèo trái tim</v>
      </c>
      <c r="C2095" s="436" t="str">
        <f>VLOOKUP(A2095,'Thống kê'!$C$3:$E$682,3,0)</f>
        <v>cái</v>
      </c>
      <c r="D2095" s="437">
        <f>VLOOKUP(A2095,'Thống kê'!$C$3:$M$682,4,0)</f>
        <v>59000</v>
      </c>
      <c r="E2095" s="438">
        <v>1</v>
      </c>
      <c r="F2095" s="439">
        <f t="shared" ref="F2095:F2349" si="9">D2095*E2095</f>
        <v>59000</v>
      </c>
      <c r="G2095" s="440"/>
      <c r="H2095" s="448">
        <v>44985</v>
      </c>
    </row>
    <row r="2096" spans="1:8" ht="13.2">
      <c r="A2096" s="454" t="s">
        <v>115</v>
      </c>
      <c r="B2096" s="452" t="str">
        <f>VLOOKUP(A2096,'Thống kê'!$C$3:$D$669,2,0)</f>
        <v>Heo ú</v>
      </c>
      <c r="C2096" s="436" t="str">
        <f>VLOOKUP(A2096,'Thống kê'!$C$3:$E$682,3,0)</f>
        <v>cái</v>
      </c>
      <c r="D2096" s="437">
        <f>VLOOKUP(A2096,'Thống kê'!$C$3:$M$682,4,0)</f>
        <v>59500</v>
      </c>
      <c r="E2096" s="438">
        <v>1</v>
      </c>
      <c r="F2096" s="439">
        <f t="shared" si="9"/>
        <v>59500</v>
      </c>
      <c r="G2096" s="440"/>
      <c r="H2096" s="448">
        <v>44602</v>
      </c>
    </row>
    <row r="2097" spans="1:8" ht="13.2">
      <c r="A2097" s="454" t="s">
        <v>1594</v>
      </c>
      <c r="B2097" s="452" t="str">
        <f>VLOOKUP(A2097,'Thống kê'!$C$3:$D$669,2,0)</f>
        <v>Móc khóa đôi heo</v>
      </c>
      <c r="C2097" s="436" t="str">
        <f>VLOOKUP(A2097,'Thống kê'!$C$3:$E$682,3,0)</f>
        <v>cái</v>
      </c>
      <c r="D2097" s="437">
        <f>VLOOKUP(A2097,'Thống kê'!$C$3:$M$682,4,0)</f>
        <v>56580</v>
      </c>
      <c r="E2097" s="438">
        <v>1</v>
      </c>
      <c r="F2097" s="439">
        <f t="shared" si="9"/>
        <v>56580</v>
      </c>
      <c r="G2097" s="440"/>
      <c r="H2097" s="448">
        <v>42384</v>
      </c>
    </row>
    <row r="2098" spans="1:8" ht="13.2">
      <c r="A2098" s="454" t="s">
        <v>1716</v>
      </c>
      <c r="B2098" s="452" t="str">
        <f>VLOOKUP(A2098,'Thống kê'!$C$3:$D$669,2,0)</f>
        <v>Móc khóa đôi 2 quả lê có nam châm</v>
      </c>
      <c r="C2098" s="436" t="str">
        <f>VLOOKUP(A2098,'Thống kê'!$C$3:$E$682,3,0)</f>
        <v>cái</v>
      </c>
      <c r="D2098" s="437">
        <f>VLOOKUP(A2098,'Thống kê'!$C$3:$M$682,4,0)</f>
        <v>59000</v>
      </c>
      <c r="E2098" s="438">
        <v>1</v>
      </c>
      <c r="F2098" s="439">
        <f t="shared" si="9"/>
        <v>59000</v>
      </c>
      <c r="G2098" s="440"/>
      <c r="H2098" s="447">
        <v>53874</v>
      </c>
    </row>
    <row r="2099" spans="1:8" ht="13.2">
      <c r="A2099" s="454" t="s">
        <v>1940</v>
      </c>
      <c r="B2099" s="452" t="str">
        <f>VLOOKUP(A2099,'Thống kê'!$C$3:$D$669,2,0)</f>
        <v>Kẹp tóc kim loại bông hoa</v>
      </c>
      <c r="C2099" s="436" t="str">
        <f>VLOOKUP(A2099,'Thống kê'!$C$3:$E$682,3,0)</f>
        <v>cái</v>
      </c>
      <c r="D2099" s="437">
        <f>VLOOKUP(A2099,'Thống kê'!$C$3:$M$682,4,0)</f>
        <v>14000</v>
      </c>
      <c r="E2099" s="438">
        <v>1</v>
      </c>
      <c r="F2099" s="439">
        <f t="shared" si="9"/>
        <v>14000</v>
      </c>
      <c r="G2099" s="440"/>
      <c r="H2099" s="446"/>
    </row>
    <row r="2100" spans="1:8" ht="13.2">
      <c r="A2100" s="454" t="s">
        <v>1873</v>
      </c>
      <c r="B2100" s="452" t="str">
        <f>VLOOKUP(A2100,'Thống kê'!$C$3:$D$669,2,0)</f>
        <v>Trâm cài 26</v>
      </c>
      <c r="C2100" s="436" t="str">
        <f>VLOOKUP(A2100,'Thống kê'!$C$3:$E$682,3,0)</f>
        <v>cây</v>
      </c>
      <c r="D2100" s="437">
        <f>VLOOKUP(A2100,'Thống kê'!$C$3:$M$682,4,0)</f>
        <v>33120</v>
      </c>
      <c r="E2100" s="438">
        <v>1</v>
      </c>
      <c r="F2100" s="439">
        <f t="shared" si="9"/>
        <v>33120</v>
      </c>
      <c r="G2100" s="440"/>
      <c r="H2100" s="448">
        <v>27952</v>
      </c>
    </row>
    <row r="2101" spans="1:8" ht="13.2">
      <c r="A2101" s="454" t="s">
        <v>1587</v>
      </c>
      <c r="B2101" s="452" t="str">
        <f>VLOOKUP(A2101,'Thống kê'!$C$3:$D$669,2,0)</f>
        <v>Vịt ú bay</v>
      </c>
      <c r="C2101" s="436" t="str">
        <f>VLOOKUP(A2101,'Thống kê'!$C$3:$E$682,3,0)</f>
        <v>cái</v>
      </c>
      <c r="D2101" s="437">
        <f>VLOOKUP(A2101,'Thống kê'!$C$3:$M$682,4,0)</f>
        <v>64500</v>
      </c>
      <c r="E2101" s="438">
        <v>1</v>
      </c>
      <c r="F2101" s="439">
        <f t="shared" si="9"/>
        <v>64500</v>
      </c>
      <c r="G2101" s="440"/>
      <c r="H2101" s="448">
        <v>44352</v>
      </c>
    </row>
    <row r="2102" spans="1:8" ht="13.2">
      <c r="A2102" s="454" t="s">
        <v>115</v>
      </c>
      <c r="B2102" s="452" t="str">
        <f>VLOOKUP(A2102,'Thống kê'!$C$3:$D$669,2,0)</f>
        <v>Heo ú</v>
      </c>
      <c r="C2102" s="436" t="str">
        <f>VLOOKUP(A2102,'Thống kê'!$C$3:$E$682,3,0)</f>
        <v>cái</v>
      </c>
      <c r="D2102" s="437">
        <f>VLOOKUP(A2102,'Thống kê'!$C$3:$M$682,4,0)</f>
        <v>59500</v>
      </c>
      <c r="E2102" s="438">
        <v>1</v>
      </c>
      <c r="F2102" s="439">
        <f t="shared" si="9"/>
        <v>59500</v>
      </c>
      <c r="G2102" s="440"/>
      <c r="H2102" s="448">
        <v>44577</v>
      </c>
    </row>
    <row r="2103" spans="1:8" ht="13.2">
      <c r="A2103" s="454" t="s">
        <v>2016</v>
      </c>
      <c r="B2103" s="452" t="str">
        <f>VLOOKUP(A2103,'Thống kê'!$C$3:$D$669,2,0)</f>
        <v>Móc khóa Popbean 01</v>
      </c>
      <c r="C2103" s="436" t="str">
        <f>VLOOKUP(A2103,'Thống kê'!$C$3:$E$682,3,0)</f>
        <v>cái</v>
      </c>
      <c r="D2103" s="437">
        <f>VLOOKUP(A2103,'Thống kê'!$C$3:$M$682,4,0)</f>
        <v>161850</v>
      </c>
      <c r="E2103" s="438">
        <v>1</v>
      </c>
      <c r="F2103" s="439">
        <f t="shared" si="9"/>
        <v>161850</v>
      </c>
      <c r="G2103" s="440"/>
      <c r="H2103" s="448">
        <v>133450</v>
      </c>
    </row>
    <row r="2104" spans="1:8" ht="13.2">
      <c r="A2104" s="454" t="s">
        <v>1625</v>
      </c>
      <c r="B2104" s="452" t="str">
        <f>VLOOKUP(A2104,'Thống kê'!$C$3:$D$669,2,0)</f>
        <v>Móc khóa đôi 2 mèo trắng nâu</v>
      </c>
      <c r="C2104" s="436" t="str">
        <f>VLOOKUP(A2104,'Thống kê'!$C$3:$E$682,3,0)</f>
        <v>cái</v>
      </c>
      <c r="D2104" s="437">
        <f>VLOOKUP(A2104,'Thống kê'!$C$3:$M$682,4,0)</f>
        <v>59000</v>
      </c>
      <c r="E2104" s="438">
        <v>1</v>
      </c>
      <c r="F2104" s="439">
        <f t="shared" si="9"/>
        <v>59000</v>
      </c>
      <c r="G2104" s="440"/>
      <c r="H2104" s="448">
        <v>45060</v>
      </c>
    </row>
    <row r="2105" spans="1:8" ht="13.2">
      <c r="A2105" s="454" t="s">
        <v>150</v>
      </c>
      <c r="B2105" s="452" t="str">
        <f>VLOOKUP(A2105,'Thống kê'!$C$3:$D$669,2,0)</f>
        <v>Móc khóa có chuông</v>
      </c>
      <c r="C2105" s="436" t="str">
        <f>VLOOKUP(A2105,'Thống kê'!$C$3:$E$682,3,0)</f>
        <v>cái</v>
      </c>
      <c r="D2105" s="437">
        <f>VLOOKUP(A2105,'Thống kê'!$C$3:$M$682,4,0)</f>
        <v>59000</v>
      </c>
      <c r="E2105" s="438">
        <v>1</v>
      </c>
      <c r="F2105" s="439">
        <f t="shared" si="9"/>
        <v>59000</v>
      </c>
      <c r="G2105" s="440"/>
      <c r="H2105" s="448">
        <v>44735</v>
      </c>
    </row>
    <row r="2106" spans="1:8" ht="13.2">
      <c r="A2106" s="454" t="s">
        <v>115</v>
      </c>
      <c r="B2106" s="452" t="str">
        <f>VLOOKUP(A2106,'Thống kê'!$C$3:$D$669,2,0)</f>
        <v>Heo ú</v>
      </c>
      <c r="C2106" s="436" t="str">
        <f>VLOOKUP(A2106,'Thống kê'!$C$3:$E$682,3,0)</f>
        <v>cái</v>
      </c>
      <c r="D2106" s="437">
        <f>VLOOKUP(A2106,'Thống kê'!$C$3:$M$682,4,0)</f>
        <v>59500</v>
      </c>
      <c r="E2106" s="438">
        <v>1</v>
      </c>
      <c r="F2106" s="439">
        <f t="shared" si="9"/>
        <v>59500</v>
      </c>
      <c r="G2106" s="440"/>
      <c r="H2106" s="448">
        <v>44677</v>
      </c>
    </row>
    <row r="2107" spans="1:8" ht="13.2">
      <c r="A2107" s="454" t="s">
        <v>1624</v>
      </c>
      <c r="B2107" s="452" t="str">
        <f>VLOOKUP(A2107,'Thống kê'!$C$3:$D$669,2,0)</f>
        <v>Móc khóa mèo trái tim</v>
      </c>
      <c r="C2107" s="436" t="str">
        <f>VLOOKUP(A2107,'Thống kê'!$C$3:$E$682,3,0)</f>
        <v>cái</v>
      </c>
      <c r="D2107" s="437">
        <f>VLOOKUP(A2107,'Thống kê'!$C$3:$M$682,4,0)</f>
        <v>59000</v>
      </c>
      <c r="E2107" s="438">
        <v>1</v>
      </c>
      <c r="F2107" s="439">
        <f t="shared" si="9"/>
        <v>59000</v>
      </c>
      <c r="G2107" s="440"/>
      <c r="H2107" s="448">
        <v>45135</v>
      </c>
    </row>
    <row r="2108" spans="1:8" ht="13.2">
      <c r="A2108" s="454" t="s">
        <v>115</v>
      </c>
      <c r="B2108" s="452" t="str">
        <f>VLOOKUP(A2108,'Thống kê'!$C$3:$D$669,2,0)</f>
        <v>Heo ú</v>
      </c>
      <c r="C2108" s="436" t="str">
        <f>VLOOKUP(A2108,'Thống kê'!$C$3:$E$682,3,0)</f>
        <v>cái</v>
      </c>
      <c r="D2108" s="437">
        <f>VLOOKUP(A2108,'Thống kê'!$C$3:$M$682,4,0)</f>
        <v>59500</v>
      </c>
      <c r="E2108" s="438">
        <v>1</v>
      </c>
      <c r="F2108" s="439">
        <f t="shared" si="9"/>
        <v>59500</v>
      </c>
      <c r="G2108" s="440"/>
      <c r="H2108" s="447">
        <v>126293</v>
      </c>
    </row>
    <row r="2109" spans="1:8" ht="13.2">
      <c r="A2109" s="454" t="s">
        <v>119</v>
      </c>
      <c r="B2109" s="452" t="str">
        <f>VLOOKUP(A2109,'Thống kê'!$C$3:$D$669,2,0)</f>
        <v>Thỏ chạy xe gắn xe</v>
      </c>
      <c r="C2109" s="436" t="str">
        <f>VLOOKUP(A2109,'Thống kê'!$C$3:$E$682,3,0)</f>
        <v>cái</v>
      </c>
      <c r="D2109" s="437">
        <f>VLOOKUP(A2109,'Thống kê'!$C$3:$M$682,4,0)</f>
        <v>45000</v>
      </c>
      <c r="E2109" s="438">
        <v>1</v>
      </c>
      <c r="F2109" s="439">
        <f t="shared" si="9"/>
        <v>45000</v>
      </c>
      <c r="G2109" s="440"/>
      <c r="H2109" s="446"/>
    </row>
    <row r="2110" spans="1:8" ht="13.2">
      <c r="A2110" s="454" t="s">
        <v>1594</v>
      </c>
      <c r="B2110" s="452" t="str">
        <f>VLOOKUP(A2110,'Thống kê'!$C$3:$D$669,2,0)</f>
        <v>Móc khóa đôi heo</v>
      </c>
      <c r="C2110" s="436" t="str">
        <f>VLOOKUP(A2110,'Thống kê'!$C$3:$E$682,3,0)</f>
        <v>cái</v>
      </c>
      <c r="D2110" s="437">
        <f>VLOOKUP(A2110,'Thống kê'!$C$3:$M$682,4,0)</f>
        <v>56580</v>
      </c>
      <c r="E2110" s="438">
        <v>1</v>
      </c>
      <c r="F2110" s="439">
        <f t="shared" si="9"/>
        <v>56580</v>
      </c>
      <c r="G2110" s="440"/>
      <c r="H2110" s="446"/>
    </row>
    <row r="2111" spans="1:8" ht="13.2">
      <c r="A2111" s="454" t="s">
        <v>150</v>
      </c>
      <c r="B2111" s="452" t="str">
        <f>VLOOKUP(A2111,'Thống kê'!$C$3:$D$669,2,0)</f>
        <v>Móc khóa có chuông</v>
      </c>
      <c r="C2111" s="436" t="str">
        <f>VLOOKUP(A2111,'Thống kê'!$C$3:$E$682,3,0)</f>
        <v>cái</v>
      </c>
      <c r="D2111" s="437">
        <f>VLOOKUP(A2111,'Thống kê'!$C$3:$M$682,4,0)</f>
        <v>59000</v>
      </c>
      <c r="E2111" s="438">
        <v>1</v>
      </c>
      <c r="F2111" s="439">
        <f t="shared" si="9"/>
        <v>59000</v>
      </c>
      <c r="G2111" s="440"/>
      <c r="H2111" s="448">
        <v>45060</v>
      </c>
    </row>
    <row r="2112" spans="1:8" ht="13.2">
      <c r="A2112" s="454" t="s">
        <v>1640</v>
      </c>
      <c r="B2112" s="452" t="str">
        <f>VLOOKUP(A2112,'Thống kê'!$C$3:$D$669,2,0)</f>
        <v>Móc khóa đôi Capypara</v>
      </c>
      <c r="C2112" s="436" t="str">
        <f>VLOOKUP(A2112,'Thống kê'!$C$3:$E$682,3,0)</f>
        <v>cái</v>
      </c>
      <c r="D2112" s="437">
        <f>VLOOKUP(A2112,'Thống kê'!$C$3:$M$682,4,0)</f>
        <v>59000</v>
      </c>
      <c r="E2112" s="438">
        <v>1</v>
      </c>
      <c r="F2112" s="439">
        <f t="shared" si="9"/>
        <v>59000</v>
      </c>
      <c r="G2112" s="440"/>
      <c r="H2112" s="448">
        <v>44735</v>
      </c>
    </row>
    <row r="2113" spans="1:8" ht="13.2">
      <c r="A2113" s="454" t="s">
        <v>1716</v>
      </c>
      <c r="B2113" s="452" t="str">
        <f>VLOOKUP(A2113,'Thống kê'!$C$3:$D$669,2,0)</f>
        <v>Móc khóa đôi 2 quả lê có nam châm</v>
      </c>
      <c r="C2113" s="436" t="str">
        <f>VLOOKUP(A2113,'Thống kê'!$C$3:$E$682,3,0)</f>
        <v>cái</v>
      </c>
      <c r="D2113" s="437">
        <f>VLOOKUP(A2113,'Thống kê'!$C$3:$M$682,4,0)</f>
        <v>59000</v>
      </c>
      <c r="E2113" s="438">
        <v>1</v>
      </c>
      <c r="F2113" s="439">
        <f t="shared" si="9"/>
        <v>59000</v>
      </c>
      <c r="G2113" s="440"/>
      <c r="H2113" s="448">
        <v>45135</v>
      </c>
    </row>
    <row r="2114" spans="1:8" ht="13.2">
      <c r="A2114" s="454" t="s">
        <v>150</v>
      </c>
      <c r="B2114" s="452" t="str">
        <f>VLOOKUP(A2114,'Thống kê'!$C$3:$D$669,2,0)</f>
        <v>Móc khóa có chuông</v>
      </c>
      <c r="C2114" s="436" t="str">
        <f>VLOOKUP(A2114,'Thống kê'!$C$3:$E$682,3,0)</f>
        <v>cái</v>
      </c>
      <c r="D2114" s="437">
        <f>VLOOKUP(A2114,'Thống kê'!$C$3:$M$682,4,0)</f>
        <v>59000</v>
      </c>
      <c r="E2114" s="438">
        <v>1</v>
      </c>
      <c r="F2114" s="439">
        <f t="shared" si="9"/>
        <v>59000</v>
      </c>
      <c r="G2114" s="440"/>
      <c r="H2114" s="448">
        <v>44985</v>
      </c>
    </row>
    <row r="2115" spans="1:8" ht="13.2">
      <c r="A2115" s="454" t="s">
        <v>115</v>
      </c>
      <c r="B2115" s="452" t="str">
        <f>VLOOKUP(A2115,'Thống kê'!$C$3:$D$669,2,0)</f>
        <v>Heo ú</v>
      </c>
      <c r="C2115" s="436" t="str">
        <f>VLOOKUP(A2115,'Thống kê'!$C$3:$E$682,3,0)</f>
        <v>cái</v>
      </c>
      <c r="D2115" s="437">
        <f>VLOOKUP(A2115,'Thống kê'!$C$3:$M$682,4,0)</f>
        <v>59500</v>
      </c>
      <c r="E2115" s="438">
        <v>1</v>
      </c>
      <c r="F2115" s="439">
        <f t="shared" si="9"/>
        <v>59500</v>
      </c>
      <c r="G2115" s="440"/>
      <c r="H2115" s="448">
        <v>44752</v>
      </c>
    </row>
    <row r="2116" spans="1:8" ht="13.2">
      <c r="A2116" s="454" t="s">
        <v>145</v>
      </c>
      <c r="B2116" s="452" t="str">
        <f>VLOOKUP(A2116,'Thống kê'!$C$3:$D$669,2,0)</f>
        <v>Thỏ đi vịt gắn xe</v>
      </c>
      <c r="C2116" s="436" t="str">
        <f>VLOOKUP(A2116,'Thống kê'!$C$3:$E$682,3,0)</f>
        <v>cái</v>
      </c>
      <c r="D2116" s="437">
        <f>VLOOKUP(A2116,'Thống kê'!$C$3:$M$682,4,0)</f>
        <v>45000</v>
      </c>
      <c r="E2116" s="438">
        <v>1</v>
      </c>
      <c r="F2116" s="439">
        <f t="shared" si="9"/>
        <v>45000</v>
      </c>
      <c r="G2116" s="440"/>
      <c r="H2116" s="447">
        <v>63750</v>
      </c>
    </row>
    <row r="2117" spans="1:8" ht="13.2">
      <c r="A2117" s="454" t="s">
        <v>119</v>
      </c>
      <c r="B2117" s="452" t="str">
        <f>VLOOKUP(A2117,'Thống kê'!$C$3:$D$669,2,0)</f>
        <v>Thỏ chạy xe gắn xe</v>
      </c>
      <c r="C2117" s="436" t="str">
        <f>VLOOKUP(A2117,'Thống kê'!$C$3:$E$682,3,0)</f>
        <v>cái</v>
      </c>
      <c r="D2117" s="437">
        <f>VLOOKUP(A2117,'Thống kê'!$C$3:$M$682,4,0)</f>
        <v>45000</v>
      </c>
      <c r="E2117" s="438">
        <v>1</v>
      </c>
      <c r="F2117" s="439">
        <f t="shared" si="9"/>
        <v>45000</v>
      </c>
      <c r="G2117" s="440"/>
      <c r="H2117" s="446"/>
    </row>
    <row r="2118" spans="1:8" ht="13.2">
      <c r="A2118" s="454" t="s">
        <v>2047</v>
      </c>
      <c r="B2118" s="452" t="str">
        <f>VLOOKUP(A2118,'Thống kê'!$C$3:$D$669,2,0)</f>
        <v>Móc khóa Popbean 15</v>
      </c>
      <c r="C2118" s="436" t="str">
        <f>VLOOKUP(A2118,'Thống kê'!$C$3:$E$682,3,0)</f>
        <v>cái</v>
      </c>
      <c r="D2118" s="437">
        <f>VLOOKUP(A2118,'Thống kê'!$C$3:$M$682,4,0)</f>
        <v>139000</v>
      </c>
      <c r="E2118" s="438">
        <v>1</v>
      </c>
      <c r="F2118" s="439">
        <f t="shared" si="9"/>
        <v>139000</v>
      </c>
      <c r="G2118" s="440"/>
      <c r="H2118" s="447">
        <v>339575</v>
      </c>
    </row>
    <row r="2119" spans="1:8" ht="13.2">
      <c r="A2119" s="454" t="s">
        <v>2015</v>
      </c>
      <c r="B2119" s="452" t="str">
        <f>VLOOKUP(A2119,'Thống kê'!$C$3:$D$669,2,0)</f>
        <v>Móc khóa Popbean 11</v>
      </c>
      <c r="C2119" s="436" t="str">
        <f>VLOOKUP(A2119,'Thống kê'!$C$3:$E$682,3,0)</f>
        <v>cái</v>
      </c>
      <c r="D2119" s="437">
        <f>VLOOKUP(A2119,'Thống kê'!$C$3:$M$682,4,0)</f>
        <v>161850</v>
      </c>
      <c r="E2119" s="438">
        <v>1</v>
      </c>
      <c r="F2119" s="439">
        <f t="shared" si="9"/>
        <v>161850</v>
      </c>
      <c r="G2119" s="440"/>
      <c r="H2119" s="446"/>
    </row>
    <row r="2120" spans="1:8" ht="13.2">
      <c r="A2120" s="454" t="s">
        <v>1652</v>
      </c>
      <c r="B2120" s="452" t="str">
        <f>VLOOKUP(A2120,'Thống kê'!$C$3:$D$669,2,0)</f>
        <v>Móc khóa Popbean Hacipupu</v>
      </c>
      <c r="C2120" s="436" t="str">
        <f>VLOOKUP(A2120,'Thống kê'!$C$3:$E$682,3,0)</f>
        <v>cái</v>
      </c>
      <c r="D2120" s="437">
        <f>VLOOKUP(A2120,'Thống kê'!$C$3:$M$682,4,0)</f>
        <v>155000</v>
      </c>
      <c r="E2120" s="438">
        <v>1</v>
      </c>
      <c r="F2120" s="439">
        <f t="shared" si="9"/>
        <v>155000</v>
      </c>
      <c r="G2120" s="440"/>
      <c r="H2120" s="446"/>
    </row>
    <row r="2121" spans="1:8" ht="13.2">
      <c r="A2121" s="454" t="s">
        <v>115</v>
      </c>
      <c r="B2121" s="452" t="str">
        <f>VLOOKUP(A2121,'Thống kê'!$C$3:$D$669,2,0)</f>
        <v>Heo ú</v>
      </c>
      <c r="C2121" s="436" t="str">
        <f>VLOOKUP(A2121,'Thống kê'!$C$3:$E$682,3,0)</f>
        <v>cái</v>
      </c>
      <c r="D2121" s="437">
        <f>VLOOKUP(A2121,'Thống kê'!$C$3:$M$682,4,0)</f>
        <v>59500</v>
      </c>
      <c r="E2121" s="438">
        <v>1</v>
      </c>
      <c r="F2121" s="439">
        <f t="shared" si="9"/>
        <v>59500</v>
      </c>
      <c r="G2121" s="440"/>
      <c r="H2121" s="448">
        <v>44752</v>
      </c>
    </row>
    <row r="2122" spans="1:8" ht="13.2">
      <c r="A2122" s="454" t="s">
        <v>1625</v>
      </c>
      <c r="B2122" s="452" t="str">
        <f>VLOOKUP(A2122,'Thống kê'!$C$3:$D$669,2,0)</f>
        <v>Móc khóa đôi 2 mèo trắng nâu</v>
      </c>
      <c r="C2122" s="436" t="str">
        <f>VLOOKUP(A2122,'Thống kê'!$C$3:$E$682,3,0)</f>
        <v>cái</v>
      </c>
      <c r="D2122" s="437">
        <f>VLOOKUP(A2122,'Thống kê'!$C$3:$M$682,4,0)</f>
        <v>59000</v>
      </c>
      <c r="E2122" s="438">
        <v>1</v>
      </c>
      <c r="F2122" s="439">
        <f t="shared" si="9"/>
        <v>59000</v>
      </c>
      <c r="G2122" s="440"/>
      <c r="H2122" s="448">
        <v>45060</v>
      </c>
    </row>
    <row r="2123" spans="1:8" ht="13.2">
      <c r="A2123" s="454" t="s">
        <v>1624</v>
      </c>
      <c r="B2123" s="452" t="str">
        <f>VLOOKUP(A2123,'Thống kê'!$C$3:$D$669,2,0)</f>
        <v>Móc khóa mèo trái tim</v>
      </c>
      <c r="C2123" s="436" t="str">
        <f>VLOOKUP(A2123,'Thống kê'!$C$3:$E$682,3,0)</f>
        <v>cái</v>
      </c>
      <c r="D2123" s="437">
        <f>VLOOKUP(A2123,'Thống kê'!$C$3:$M$682,4,0)</f>
        <v>59000</v>
      </c>
      <c r="E2123" s="438">
        <v>1</v>
      </c>
      <c r="F2123" s="439">
        <f t="shared" si="9"/>
        <v>59000</v>
      </c>
      <c r="G2123" s="440"/>
      <c r="H2123" s="448">
        <v>45135</v>
      </c>
    </row>
    <row r="2124" spans="1:8" ht="13.2">
      <c r="A2124" s="454" t="s">
        <v>115</v>
      </c>
      <c r="B2124" s="452" t="str">
        <f>VLOOKUP(A2124,'Thống kê'!$C$3:$D$669,2,0)</f>
        <v>Heo ú</v>
      </c>
      <c r="C2124" s="436" t="str">
        <f>VLOOKUP(A2124,'Thống kê'!$C$3:$E$682,3,0)</f>
        <v>cái</v>
      </c>
      <c r="D2124" s="437">
        <f>VLOOKUP(A2124,'Thống kê'!$C$3:$M$682,4,0)</f>
        <v>59500</v>
      </c>
      <c r="E2124" s="438">
        <v>1</v>
      </c>
      <c r="F2124" s="439">
        <f t="shared" si="9"/>
        <v>59500</v>
      </c>
      <c r="G2124" s="440"/>
      <c r="H2124" s="448">
        <v>44352</v>
      </c>
    </row>
    <row r="2125" spans="1:8" ht="13.2">
      <c r="A2125" s="454" t="s">
        <v>150</v>
      </c>
      <c r="B2125" s="452" t="str">
        <f>VLOOKUP(A2125,'Thống kê'!$C$3:$D$669,2,0)</f>
        <v>Móc khóa có chuông</v>
      </c>
      <c r="C2125" s="436" t="str">
        <f>VLOOKUP(A2125,'Thống kê'!$C$3:$E$682,3,0)</f>
        <v>cái</v>
      </c>
      <c r="D2125" s="437">
        <f>VLOOKUP(A2125,'Thống kê'!$C$3:$M$682,4,0)</f>
        <v>59000</v>
      </c>
      <c r="E2125" s="438">
        <v>1</v>
      </c>
      <c r="F2125" s="439">
        <f t="shared" si="9"/>
        <v>59000</v>
      </c>
      <c r="G2125" s="440"/>
      <c r="H2125" s="448">
        <v>44985</v>
      </c>
    </row>
    <row r="2126" spans="1:8" ht="13.2">
      <c r="A2126" s="454" t="s">
        <v>1599</v>
      </c>
      <c r="B2126" s="452" t="str">
        <f>VLOOKUP(A2126,'Thống kê'!$C$3:$D$669,2,0)</f>
        <v>Dao rọc giấy 14</v>
      </c>
      <c r="C2126" s="436" t="str">
        <f>VLOOKUP(A2126,'Thống kê'!$C$3:$E$682,3,0)</f>
        <v>cái</v>
      </c>
      <c r="D2126" s="437">
        <f>VLOOKUP(A2126,'Thống kê'!$C$3:$M$682,4,0)</f>
        <v>12000</v>
      </c>
      <c r="E2126" s="438">
        <v>1</v>
      </c>
      <c r="F2126" s="439">
        <f t="shared" si="9"/>
        <v>12000</v>
      </c>
      <c r="G2126" s="440"/>
      <c r="H2126" s="447">
        <v>112523</v>
      </c>
    </row>
    <row r="2127" spans="1:8" ht="13.2">
      <c r="A2127" s="454" t="s">
        <v>278</v>
      </c>
      <c r="B2127" s="452" t="str">
        <f>VLOOKUP(A2127,'Thống kê'!$C$3:$D$669,2,0)</f>
        <v>Dao rọc giấy 09</v>
      </c>
      <c r="C2127" s="436" t="str">
        <f>VLOOKUP(A2127,'Thống kê'!$C$3:$E$682,3,0)</f>
        <v>cái</v>
      </c>
      <c r="D2127" s="437">
        <f>VLOOKUP(A2127,'Thống kê'!$C$3:$M$682,4,0)</f>
        <v>12000</v>
      </c>
      <c r="E2127" s="438">
        <v>1</v>
      </c>
      <c r="F2127" s="439">
        <f t="shared" si="9"/>
        <v>12000</v>
      </c>
      <c r="G2127" s="440"/>
      <c r="H2127" s="446"/>
    </row>
    <row r="2128" spans="1:8" ht="13.2">
      <c r="A2128" s="454" t="s">
        <v>119</v>
      </c>
      <c r="B2128" s="452" t="str">
        <f>VLOOKUP(A2128,'Thống kê'!$C$3:$D$669,2,0)</f>
        <v>Thỏ chạy xe gắn xe</v>
      </c>
      <c r="C2128" s="436" t="str">
        <f>VLOOKUP(A2128,'Thống kê'!$C$3:$E$682,3,0)</f>
        <v>cái</v>
      </c>
      <c r="D2128" s="437">
        <f>VLOOKUP(A2128,'Thống kê'!$C$3:$M$682,4,0)</f>
        <v>45000</v>
      </c>
      <c r="E2128" s="438">
        <v>1</v>
      </c>
      <c r="F2128" s="439">
        <f t="shared" si="9"/>
        <v>45000</v>
      </c>
      <c r="G2128" s="440"/>
      <c r="H2128" s="446"/>
    </row>
    <row r="2129" spans="1:8" ht="13.2">
      <c r="A2129" s="454" t="s">
        <v>1621</v>
      </c>
      <c r="B2129" s="452" t="str">
        <f>VLOOKUP(A2129,'Thống kê'!$C$3:$D$669,2,0)</f>
        <v>Mô hình mèo 2</v>
      </c>
      <c r="C2129" s="436" t="str">
        <f>VLOOKUP(A2129,'Thống kê'!$C$3:$E$682,3,0)</f>
        <v>cái</v>
      </c>
      <c r="D2129" s="437">
        <f>VLOOKUP(A2129,'Thống kê'!$C$3:$M$682,4,0)</f>
        <v>37800</v>
      </c>
      <c r="E2129" s="438">
        <v>1</v>
      </c>
      <c r="F2129" s="439">
        <f t="shared" si="9"/>
        <v>37800</v>
      </c>
      <c r="G2129" s="440"/>
      <c r="H2129" s="446"/>
    </row>
    <row r="2130" spans="1:8" ht="13.2">
      <c r="A2130" s="454" t="s">
        <v>1635</v>
      </c>
      <c r="B2130" s="452" t="str">
        <f>VLOOKUP(A2130,'Thống kê'!$C$3:$D$669,2,0)</f>
        <v>Mô hình mèo 4</v>
      </c>
      <c r="C2130" s="436" t="str">
        <f>VLOOKUP(A2130,'Thống kê'!$C$3:$E$682,3,0)</f>
        <v>cái</v>
      </c>
      <c r="D2130" s="437">
        <f>VLOOKUP(A2130,'Thống kê'!$C$3:$M$682,4,0)</f>
        <v>37800</v>
      </c>
      <c r="E2130" s="438">
        <v>1</v>
      </c>
      <c r="F2130" s="439">
        <f t="shared" si="9"/>
        <v>37800</v>
      </c>
      <c r="G2130" s="440"/>
      <c r="H2130" s="446"/>
    </row>
    <row r="2131" spans="1:8" ht="13.2">
      <c r="A2131" s="454" t="s">
        <v>2014</v>
      </c>
      <c r="B2131" s="452" t="str">
        <f>VLOOKUP(A2131,'Thống kê'!$C$3:$D$669,2,0)</f>
        <v>Móc khóa Popbean 03</v>
      </c>
      <c r="C2131" s="436" t="str">
        <f>VLOOKUP(A2131,'Thống kê'!$C$3:$E$682,3,0)</f>
        <v>cái</v>
      </c>
      <c r="D2131" s="437">
        <f>VLOOKUP(A2131,'Thống kê'!$C$3:$M$682,4,0)</f>
        <v>161850</v>
      </c>
      <c r="E2131" s="438">
        <v>1</v>
      </c>
      <c r="F2131" s="439">
        <f t="shared" si="9"/>
        <v>161850</v>
      </c>
      <c r="G2131" s="440"/>
      <c r="H2131" s="447">
        <v>230299</v>
      </c>
    </row>
    <row r="2132" spans="1:8" ht="13.2">
      <c r="A2132" s="454" t="s">
        <v>1656</v>
      </c>
      <c r="B2132" s="452" t="str">
        <f>VLOOKUP(A2132,'Thống kê'!$C$3:$D$669,2,0)</f>
        <v>Móc khóa Popbean Dimoo</v>
      </c>
      <c r="C2132" s="436" t="str">
        <f>VLOOKUP(A2132,'Thống kê'!$C$3:$E$682,3,0)</f>
        <v>cái</v>
      </c>
      <c r="D2132" s="437">
        <f>VLOOKUP(A2132,'Thống kê'!$C$3:$M$682,4,0)</f>
        <v>155000</v>
      </c>
      <c r="E2132" s="438">
        <v>1</v>
      </c>
      <c r="F2132" s="439">
        <f t="shared" si="9"/>
        <v>155000</v>
      </c>
      <c r="G2132" s="440"/>
      <c r="H2132" s="446"/>
    </row>
    <row r="2133" spans="1:8" ht="13.2">
      <c r="A2133" s="454" t="s">
        <v>1617</v>
      </c>
      <c r="B2133" s="452" t="str">
        <f>VLOOKUP(A2133,'Thống kê'!$C$3:$D$669,2,0)</f>
        <v xml:space="preserve">Kẹp tóc bướm hồng </v>
      </c>
      <c r="C2133" s="436" t="str">
        <f>VLOOKUP(A2133,'Thống kê'!$C$3:$E$682,3,0)</f>
        <v>cái</v>
      </c>
      <c r="D2133" s="437">
        <f>VLOOKUP(A2133,'Thống kê'!$C$3:$M$682,4,0)</f>
        <v>40000</v>
      </c>
      <c r="E2133" s="438">
        <v>1</v>
      </c>
      <c r="F2133" s="439">
        <f t="shared" si="9"/>
        <v>40000</v>
      </c>
      <c r="G2133" s="440"/>
      <c r="H2133" s="447">
        <v>51620</v>
      </c>
    </row>
    <row r="2134" spans="1:8" ht="13.2">
      <c r="A2134" s="454" t="s">
        <v>1614</v>
      </c>
      <c r="B2134" s="452" t="str">
        <f>VLOOKUP(A2134,'Thống kê'!$C$3:$D$669,2,0)</f>
        <v>Kẹp tóc bướm xanh ngọc</v>
      </c>
      <c r="C2134" s="436" t="str">
        <f>VLOOKUP(A2134,'Thống kê'!$C$3:$E$682,3,0)</f>
        <v>cái</v>
      </c>
      <c r="D2134" s="437">
        <f>VLOOKUP(A2134,'Thống kê'!$C$3:$M$682,4,0)</f>
        <v>38000</v>
      </c>
      <c r="E2134" s="438">
        <v>1</v>
      </c>
      <c r="F2134" s="439">
        <f t="shared" si="9"/>
        <v>38000</v>
      </c>
      <c r="G2134" s="440"/>
      <c r="H2134" s="446"/>
    </row>
    <row r="2135" spans="1:8" ht="13.2">
      <c r="A2135" s="454" t="s">
        <v>1625</v>
      </c>
      <c r="B2135" s="452" t="str">
        <f>VLOOKUP(A2135,'Thống kê'!$C$3:$D$669,2,0)</f>
        <v>Móc khóa đôi 2 mèo trắng nâu</v>
      </c>
      <c r="C2135" s="436" t="str">
        <f>VLOOKUP(A2135,'Thống kê'!$C$3:$E$682,3,0)</f>
        <v>cái</v>
      </c>
      <c r="D2135" s="437">
        <f>VLOOKUP(A2135,'Thống kê'!$C$3:$M$682,4,0)</f>
        <v>59000</v>
      </c>
      <c r="E2135" s="438">
        <v>1</v>
      </c>
      <c r="F2135" s="439">
        <f t="shared" si="9"/>
        <v>59000</v>
      </c>
      <c r="G2135" s="440"/>
      <c r="H2135" s="448">
        <v>43495</v>
      </c>
    </row>
    <row r="2136" spans="1:8" ht="13.2">
      <c r="A2136" s="454" t="s">
        <v>1624</v>
      </c>
      <c r="B2136" s="452" t="str">
        <f>VLOOKUP(A2136,'Thống kê'!$C$3:$D$669,2,0)</f>
        <v>Móc khóa mèo trái tim</v>
      </c>
      <c r="C2136" s="436" t="str">
        <f>VLOOKUP(A2136,'Thống kê'!$C$3:$E$682,3,0)</f>
        <v>cái</v>
      </c>
      <c r="D2136" s="437">
        <f>VLOOKUP(A2136,'Thống kê'!$C$3:$M$682,4,0)</f>
        <v>59000</v>
      </c>
      <c r="E2136" s="438">
        <v>1</v>
      </c>
      <c r="F2136" s="439">
        <f t="shared" si="9"/>
        <v>59000</v>
      </c>
      <c r="G2136" s="440"/>
      <c r="H2136" s="448">
        <v>45135</v>
      </c>
    </row>
    <row r="2137" spans="1:8" ht="13.2">
      <c r="A2137" s="454" t="s">
        <v>227</v>
      </c>
      <c r="B2137" s="452" t="str">
        <f>VLOOKUP(A2137,'Thống kê'!$C$3:$D$669,2,0)</f>
        <v>Móc khóa đôi corgy</v>
      </c>
      <c r="C2137" s="436" t="str">
        <f>VLOOKUP(A2137,'Thống kê'!$C$3:$E$682,3,0)</f>
        <v>cái</v>
      </c>
      <c r="D2137" s="437">
        <f>VLOOKUP(A2137,'Thống kê'!$C$3:$M$682,4,0)</f>
        <v>56580</v>
      </c>
      <c r="E2137" s="438">
        <v>1</v>
      </c>
      <c r="F2137" s="439">
        <f t="shared" si="9"/>
        <v>56580</v>
      </c>
      <c r="G2137" s="440"/>
      <c r="H2137" s="448">
        <v>43284</v>
      </c>
    </row>
    <row r="2138" spans="1:8" ht="13.2">
      <c r="A2138" s="454" t="s">
        <v>115</v>
      </c>
      <c r="B2138" s="452" t="str">
        <f>VLOOKUP(A2138,'Thống kê'!$C$3:$D$669,2,0)</f>
        <v>Heo ú</v>
      </c>
      <c r="C2138" s="436" t="str">
        <f>VLOOKUP(A2138,'Thống kê'!$C$3:$E$682,3,0)</f>
        <v>cái</v>
      </c>
      <c r="D2138" s="437">
        <f>VLOOKUP(A2138,'Thống kê'!$C$3:$M$682,4,0)</f>
        <v>59500</v>
      </c>
      <c r="E2138" s="438">
        <v>1</v>
      </c>
      <c r="F2138" s="439">
        <f t="shared" si="9"/>
        <v>59500</v>
      </c>
      <c r="G2138" s="440"/>
      <c r="H2138" s="448">
        <v>44602</v>
      </c>
    </row>
    <row r="2139" spans="1:8" ht="13.2">
      <c r="A2139" s="454" t="s">
        <v>115</v>
      </c>
      <c r="B2139" s="452" t="str">
        <f>VLOOKUP(A2139,'Thống kê'!$C$3:$D$669,2,0)</f>
        <v>Heo ú</v>
      </c>
      <c r="C2139" s="436" t="str">
        <f>VLOOKUP(A2139,'Thống kê'!$C$3:$E$682,3,0)</f>
        <v>cái</v>
      </c>
      <c r="D2139" s="437">
        <f>VLOOKUP(A2139,'Thống kê'!$C$3:$M$682,4,0)</f>
        <v>59500</v>
      </c>
      <c r="E2139" s="438">
        <v>1</v>
      </c>
      <c r="F2139" s="439">
        <f t="shared" si="9"/>
        <v>59500</v>
      </c>
      <c r="G2139" s="440"/>
      <c r="H2139" s="447">
        <v>140600</v>
      </c>
    </row>
    <row r="2140" spans="1:8" ht="13.2">
      <c r="A2140" s="454" t="s">
        <v>1590</v>
      </c>
      <c r="B2140" s="452" t="str">
        <f>VLOOKUP(A2140,'Thống kê'!$C$3:$D$669,2,0)</f>
        <v>Cún ú hoa</v>
      </c>
      <c r="C2140" s="436" t="str">
        <f>VLOOKUP(A2140,'Thống kê'!$C$3:$E$682,3,0)</f>
        <v>cái</v>
      </c>
      <c r="D2140" s="437">
        <f>VLOOKUP(A2140,'Thống kê'!$C$3:$M$682,4,0)</f>
        <v>64500</v>
      </c>
      <c r="E2140" s="438">
        <v>1</v>
      </c>
      <c r="F2140" s="439">
        <f t="shared" si="9"/>
        <v>64500</v>
      </c>
      <c r="G2140" s="440"/>
      <c r="H2140" s="446"/>
    </row>
    <row r="2141" spans="1:8" ht="13.2">
      <c r="A2141" s="454" t="s">
        <v>1210</v>
      </c>
      <c r="B2141" s="452" t="str">
        <f>VLOOKUP(A2141,'Thống kê'!$C$3:$D$669,2,0)</f>
        <v>Shiba ú cầm hoa</v>
      </c>
      <c r="C2141" s="436" t="str">
        <f>VLOOKUP(A2141,'Thống kê'!$C$3:$E$682,3,0)</f>
        <v>cái</v>
      </c>
      <c r="D2141" s="437">
        <f>VLOOKUP(A2141,'Thống kê'!$C$3:$M$682,4,0)</f>
        <v>64500</v>
      </c>
      <c r="E2141" s="438">
        <v>1</v>
      </c>
      <c r="F2141" s="439">
        <f t="shared" si="9"/>
        <v>64500</v>
      </c>
      <c r="G2141" s="440"/>
      <c r="H2141" s="446"/>
    </row>
    <row r="2142" spans="1:8" ht="13.2">
      <c r="A2142" s="454" t="s">
        <v>150</v>
      </c>
      <c r="B2142" s="452" t="str">
        <f>VLOOKUP(A2142,'Thống kê'!$C$3:$D$669,2,0)</f>
        <v>Móc khóa có chuông</v>
      </c>
      <c r="C2142" s="436" t="str">
        <f>VLOOKUP(A2142,'Thống kê'!$C$3:$E$682,3,0)</f>
        <v>cái</v>
      </c>
      <c r="D2142" s="437">
        <f>VLOOKUP(A2142,'Thống kê'!$C$3:$M$682,4,0)</f>
        <v>59000</v>
      </c>
      <c r="E2142" s="438">
        <v>1</v>
      </c>
      <c r="F2142" s="439">
        <f t="shared" si="9"/>
        <v>59000</v>
      </c>
      <c r="G2142" s="440"/>
      <c r="H2142" s="448">
        <v>44485</v>
      </c>
    </row>
    <row r="2143" spans="1:8" ht="13.2">
      <c r="A2143" s="454" t="s">
        <v>1854</v>
      </c>
      <c r="B2143" s="452" t="str">
        <f>VLOOKUP(A2143,'Thống kê'!$C$3:$D$669,2,0)</f>
        <v>Mèo vàng treo gương</v>
      </c>
      <c r="C2143" s="436" t="str">
        <f>VLOOKUP(A2143,'Thống kê'!$C$3:$E$682,3,0)</f>
        <v>cái</v>
      </c>
      <c r="D2143" s="437">
        <f>VLOOKUP(A2143,'Thống kê'!$C$3:$M$682,4,0)</f>
        <v>71500</v>
      </c>
      <c r="E2143" s="438">
        <v>1</v>
      </c>
      <c r="F2143" s="439">
        <f t="shared" si="9"/>
        <v>71500</v>
      </c>
      <c r="G2143" s="440"/>
      <c r="H2143" s="447">
        <v>65857</v>
      </c>
    </row>
    <row r="2144" spans="1:8" ht="13.2">
      <c r="A2144" s="454" t="s">
        <v>1930</v>
      </c>
      <c r="B2144" s="452" t="str">
        <f>VLOOKUP(A2144,'Thống kê'!$C$3:$D$669,2,0)</f>
        <v>Kẹp nơ hồng</v>
      </c>
      <c r="C2144" s="436" t="str">
        <f>VLOOKUP(A2144,'Thống kê'!$C$3:$E$682,3,0)</f>
        <v>cái</v>
      </c>
      <c r="D2144" s="437">
        <f>VLOOKUP(A2144,'Thống kê'!$C$3:$M$682,4,0)</f>
        <v>22000</v>
      </c>
      <c r="E2144" s="438">
        <v>1</v>
      </c>
      <c r="F2144" s="439">
        <f t="shared" si="9"/>
        <v>22000</v>
      </c>
      <c r="G2144" s="440"/>
      <c r="H2144" s="446"/>
    </row>
    <row r="2145" spans="1:8" ht="13.2">
      <c r="A2145" s="454" t="s">
        <v>150</v>
      </c>
      <c r="B2145" s="452" t="str">
        <f>VLOOKUP(A2145,'Thống kê'!$C$3:$D$669,2,0)</f>
        <v>Móc khóa có chuông</v>
      </c>
      <c r="C2145" s="436" t="str">
        <f>VLOOKUP(A2145,'Thống kê'!$C$3:$E$682,3,0)</f>
        <v>cái</v>
      </c>
      <c r="D2145" s="437">
        <f>VLOOKUP(A2145,'Thống kê'!$C$3:$M$682,4,0)</f>
        <v>59000</v>
      </c>
      <c r="E2145" s="438">
        <v>1</v>
      </c>
      <c r="F2145" s="439">
        <f t="shared" si="9"/>
        <v>59000</v>
      </c>
      <c r="G2145" s="440"/>
      <c r="H2145" s="448">
        <v>45135</v>
      </c>
    </row>
    <row r="2146" spans="1:8" ht="13.2">
      <c r="A2146" s="454" t="s">
        <v>1692</v>
      </c>
      <c r="B2146" s="452" t="str">
        <f>VLOOKUP(A2146,'Thống kê'!$C$3:$D$669,2,0)</f>
        <v>Móc khóa Popbean 06</v>
      </c>
      <c r="C2146" s="436" t="str">
        <f>VLOOKUP(A2146,'Thống kê'!$C$3:$E$682,3,0)</f>
        <v>cái</v>
      </c>
      <c r="D2146" s="437">
        <f>VLOOKUP(A2146,'Thống kê'!$C$3:$M$682,4,0)</f>
        <v>161850</v>
      </c>
      <c r="E2146" s="438">
        <v>1</v>
      </c>
      <c r="F2146" s="439">
        <f t="shared" si="9"/>
        <v>161850</v>
      </c>
      <c r="G2146" s="440"/>
      <c r="H2146" s="448">
        <v>131750</v>
      </c>
    </row>
    <row r="2147" spans="1:8" ht="13.2">
      <c r="A2147" s="454" t="s">
        <v>150</v>
      </c>
      <c r="B2147" s="452" t="str">
        <f>VLOOKUP(A2147,'Thống kê'!$C$3:$D$669,2,0)</f>
        <v>Móc khóa có chuông</v>
      </c>
      <c r="C2147" s="436" t="str">
        <f>VLOOKUP(A2147,'Thống kê'!$C$3:$E$682,3,0)</f>
        <v>cái</v>
      </c>
      <c r="D2147" s="437">
        <f>VLOOKUP(A2147,'Thống kê'!$C$3:$M$682,4,0)</f>
        <v>59000</v>
      </c>
      <c r="E2147" s="438">
        <v>1</v>
      </c>
      <c r="F2147" s="439">
        <f t="shared" si="9"/>
        <v>59000</v>
      </c>
      <c r="G2147" s="440"/>
      <c r="H2147" s="448">
        <v>45135</v>
      </c>
    </row>
    <row r="2148" spans="1:8" ht="13.2">
      <c r="A2148" s="454" t="s">
        <v>1589</v>
      </c>
      <c r="B2148" s="452" t="str">
        <f>VLOOKUP(A2148,'Thống kê'!$C$3:$D$669,2,0)</f>
        <v>Heo ú bay</v>
      </c>
      <c r="C2148" s="436" t="str">
        <f>VLOOKUP(A2148,'Thống kê'!$C$3:$E$682,3,0)</f>
        <v>cái</v>
      </c>
      <c r="D2148" s="437">
        <f>VLOOKUP(A2148,'Thống kê'!$C$3:$M$682,4,0)</f>
        <v>64500</v>
      </c>
      <c r="E2148" s="438">
        <v>1</v>
      </c>
      <c r="F2148" s="439">
        <f t="shared" si="9"/>
        <v>64500</v>
      </c>
      <c r="G2148" s="440"/>
      <c r="H2148" s="448">
        <v>44102</v>
      </c>
    </row>
    <row r="2149" spans="1:8" ht="13.2">
      <c r="A2149" s="454" t="s">
        <v>1633</v>
      </c>
      <c r="B2149" s="452" t="str">
        <f>VLOOKUP(A2149,'Thống kê'!$C$3:$D$669,2,0)</f>
        <v>Móc khóa đôi gà rán bia</v>
      </c>
      <c r="C2149" s="436" t="str">
        <f>VLOOKUP(A2149,'Thống kê'!$C$3:$E$682,3,0)</f>
        <v>cái</v>
      </c>
      <c r="D2149" s="437">
        <f>VLOOKUP(A2149,'Thống kê'!$C$3:$M$682,4,0)</f>
        <v>56580</v>
      </c>
      <c r="E2149" s="438">
        <v>1</v>
      </c>
      <c r="F2149" s="439">
        <f t="shared" si="9"/>
        <v>56580</v>
      </c>
      <c r="G2149" s="440"/>
      <c r="H2149" s="448">
        <v>42884</v>
      </c>
    </row>
    <row r="2150" spans="1:8" ht="13.2">
      <c r="A2150" s="454" t="s">
        <v>1624</v>
      </c>
      <c r="B2150" s="452" t="str">
        <f>VLOOKUP(A2150,'Thống kê'!$C$3:$D$669,2,0)</f>
        <v>Móc khóa mèo trái tim</v>
      </c>
      <c r="C2150" s="436" t="str">
        <f>VLOOKUP(A2150,'Thống kê'!$C$3:$E$682,3,0)</f>
        <v>cái</v>
      </c>
      <c r="D2150" s="437">
        <f>VLOOKUP(A2150,'Thống kê'!$C$3:$M$682,4,0)</f>
        <v>59000</v>
      </c>
      <c r="E2150" s="438">
        <v>1</v>
      </c>
      <c r="F2150" s="439">
        <f t="shared" si="9"/>
        <v>59000</v>
      </c>
      <c r="G2150" s="440"/>
      <c r="H2150" s="448">
        <v>44735</v>
      </c>
    </row>
    <row r="2151" spans="1:8" ht="13.2">
      <c r="A2151" s="454" t="s">
        <v>119</v>
      </c>
      <c r="B2151" s="452" t="str">
        <f>VLOOKUP(A2151,'Thống kê'!$C$3:$D$669,2,0)</f>
        <v>Thỏ chạy xe gắn xe</v>
      </c>
      <c r="C2151" s="436" t="str">
        <f>VLOOKUP(A2151,'Thống kê'!$C$3:$E$682,3,0)</f>
        <v>cái</v>
      </c>
      <c r="D2151" s="437">
        <f>VLOOKUP(A2151,'Thống kê'!$C$3:$M$682,4,0)</f>
        <v>45000</v>
      </c>
      <c r="E2151" s="438">
        <v>1</v>
      </c>
      <c r="F2151" s="439">
        <f t="shared" si="9"/>
        <v>45000</v>
      </c>
      <c r="G2151" s="440"/>
      <c r="H2151" s="448">
        <v>34875</v>
      </c>
    </row>
    <row r="2152" spans="1:8" ht="13.2">
      <c r="A2152" s="454" t="s">
        <v>115</v>
      </c>
      <c r="B2152" s="452" t="str">
        <f>VLOOKUP(A2152,'Thống kê'!$C$3:$D$669,2,0)</f>
        <v>Heo ú</v>
      </c>
      <c r="C2152" s="436" t="str">
        <f>VLOOKUP(A2152,'Thống kê'!$C$3:$E$682,3,0)</f>
        <v>cái</v>
      </c>
      <c r="D2152" s="437">
        <f>VLOOKUP(A2152,'Thống kê'!$C$3:$M$682,4,0)</f>
        <v>59500</v>
      </c>
      <c r="E2152" s="438">
        <v>1</v>
      </c>
      <c r="F2152" s="439">
        <f t="shared" si="9"/>
        <v>59500</v>
      </c>
      <c r="G2152" s="440"/>
      <c r="H2152" s="448">
        <v>44102</v>
      </c>
    </row>
    <row r="2153" spans="1:8" ht="13.2">
      <c r="A2153" s="454" t="s">
        <v>1639</v>
      </c>
      <c r="B2153" s="452" t="str">
        <f>VLOOKUP(A2153,'Thống kê'!$C$3:$D$669,2,0)</f>
        <v>Móc khóa đôi Puppy</v>
      </c>
      <c r="C2153" s="436" t="str">
        <f>VLOOKUP(A2153,'Thống kê'!$C$3:$E$682,3,0)</f>
        <v>cái</v>
      </c>
      <c r="D2153" s="437">
        <f>VLOOKUP(A2153,'Thống kê'!$C$3:$M$682,4,0)</f>
        <v>59000</v>
      </c>
      <c r="E2153" s="438">
        <v>1</v>
      </c>
      <c r="F2153" s="439">
        <f t="shared" si="9"/>
        <v>59000</v>
      </c>
      <c r="G2153" s="440"/>
      <c r="H2153" s="448">
        <v>44935</v>
      </c>
    </row>
    <row r="2154" spans="1:8" ht="13.2">
      <c r="A2154" s="454" t="s">
        <v>128</v>
      </c>
      <c r="B2154" s="452" t="str">
        <f>VLOOKUP(A2154,'Thống kê'!$C$3:$D$669,2,0)</f>
        <v>Mèo ú bay</v>
      </c>
      <c r="C2154" s="436" t="str">
        <f>VLOOKUP(A2154,'Thống kê'!$C$3:$E$682,3,0)</f>
        <v>cái</v>
      </c>
      <c r="D2154" s="437">
        <f>VLOOKUP(A2154,'Thống kê'!$C$3:$M$682,4,0)</f>
        <v>64500</v>
      </c>
      <c r="E2154" s="438">
        <v>1</v>
      </c>
      <c r="F2154" s="439">
        <f t="shared" si="9"/>
        <v>64500</v>
      </c>
      <c r="G2154" s="440"/>
      <c r="H2154" s="447">
        <v>72369</v>
      </c>
    </row>
    <row r="2155" spans="1:8" ht="13.2">
      <c r="A2155" s="454" t="s">
        <v>1980</v>
      </c>
      <c r="B2155" s="452" t="str">
        <f>VLOOKUP(A2155,'Thống kê'!$C$3:$D$669,2,0)</f>
        <v>Móc khoá cún Sandwich</v>
      </c>
      <c r="C2155" s="436" t="str">
        <f>VLOOKUP(A2155,'Thống kê'!$C$3:$E$682,3,0)</f>
        <v>cái</v>
      </c>
      <c r="D2155" s="437">
        <f>VLOOKUP(A2155,'Thống kê'!$C$3:$M$682,4,0)</f>
        <v>38000</v>
      </c>
      <c r="E2155" s="438">
        <v>1</v>
      </c>
      <c r="F2155" s="439">
        <f t="shared" si="9"/>
        <v>38000</v>
      </c>
      <c r="G2155" s="440"/>
      <c r="H2155" s="446"/>
    </row>
    <row r="2156" spans="1:8" ht="13.2">
      <c r="A2156" s="454" t="s">
        <v>2014</v>
      </c>
      <c r="B2156" s="452" t="str">
        <f>VLOOKUP(A2156,'Thống kê'!$C$3:$D$669,2,0)</f>
        <v>Móc khóa Popbean 03</v>
      </c>
      <c r="C2156" s="436" t="str">
        <f>VLOOKUP(A2156,'Thống kê'!$C$3:$E$682,3,0)</f>
        <v>cái</v>
      </c>
      <c r="D2156" s="437">
        <f>VLOOKUP(A2156,'Thống kê'!$C$3:$M$682,4,0)</f>
        <v>161850</v>
      </c>
      <c r="E2156" s="438">
        <v>1</v>
      </c>
      <c r="F2156" s="439">
        <f t="shared" si="9"/>
        <v>161850</v>
      </c>
      <c r="G2156" s="440"/>
      <c r="H2156" s="448">
        <v>124950</v>
      </c>
    </row>
    <row r="2157" spans="1:8" ht="13.2">
      <c r="A2157" s="454" t="s">
        <v>2015</v>
      </c>
      <c r="B2157" s="452" t="str">
        <f>VLOOKUP(A2157,'Thống kê'!$C$3:$D$669,2,0)</f>
        <v>Móc khóa Popbean 11</v>
      </c>
      <c r="C2157" s="436" t="str">
        <f>VLOOKUP(A2157,'Thống kê'!$C$3:$E$682,3,0)</f>
        <v>cái</v>
      </c>
      <c r="D2157" s="437">
        <f>VLOOKUP(A2157,'Thống kê'!$C$3:$M$682,4,0)</f>
        <v>161850</v>
      </c>
      <c r="E2157" s="438">
        <v>1</v>
      </c>
      <c r="F2157" s="439">
        <f t="shared" si="9"/>
        <v>161850</v>
      </c>
      <c r="G2157" s="440"/>
      <c r="H2157" s="448">
        <v>124950</v>
      </c>
    </row>
    <row r="2158" spans="1:8" ht="13.2">
      <c r="A2158" s="454" t="s">
        <v>1599</v>
      </c>
      <c r="B2158" s="452" t="str">
        <f>VLOOKUP(A2158,'Thống kê'!$C$3:$D$669,2,0)</f>
        <v>Dao rọc giấy 14</v>
      </c>
      <c r="C2158" s="436" t="str">
        <f>VLOOKUP(A2158,'Thống kê'!$C$3:$E$682,3,0)</f>
        <v>cái</v>
      </c>
      <c r="D2158" s="437">
        <f>VLOOKUP(A2158,'Thống kê'!$C$3:$M$682,4,0)</f>
        <v>12000</v>
      </c>
      <c r="E2158" s="438">
        <v>1</v>
      </c>
      <c r="F2158" s="439">
        <f t="shared" si="9"/>
        <v>12000</v>
      </c>
      <c r="G2158" s="440"/>
      <c r="H2158" s="447">
        <v>328567</v>
      </c>
    </row>
    <row r="2159" spans="1:8" ht="13.2">
      <c r="A2159" s="454" t="s">
        <v>2011</v>
      </c>
      <c r="B2159" s="452" t="str">
        <f>VLOOKUP(A2159,'Thống kê'!$C$3:$D$669,2,0)</f>
        <v>Kẹp khuếch tán tinh dầu spider man</v>
      </c>
      <c r="C2159" s="436" t="str">
        <f>VLOOKUP(A2159,'Thống kê'!$C$3:$E$682,3,0)</f>
        <v>cái</v>
      </c>
      <c r="D2159" s="437">
        <f>VLOOKUP(A2159,'Thống kê'!$C$3:$M$682,4,0)</f>
        <v>173550</v>
      </c>
      <c r="E2159" s="438">
        <v>1</v>
      </c>
      <c r="F2159" s="439">
        <f t="shared" si="9"/>
        <v>173550</v>
      </c>
      <c r="G2159" s="440"/>
      <c r="H2159" s="446"/>
    </row>
    <row r="2160" spans="1:8" ht="13.2">
      <c r="A2160" s="454" t="s">
        <v>232</v>
      </c>
      <c r="B2160" s="452" t="str">
        <f>VLOOKUP(A2160,'Thống kê'!$C$3:$D$669,2,0)</f>
        <v>Cáo gắn xe</v>
      </c>
      <c r="C2160" s="436" t="str">
        <f>VLOOKUP(A2160,'Thống kê'!$C$3:$E$682,3,0)</f>
        <v>cái</v>
      </c>
      <c r="D2160" s="437">
        <f>VLOOKUP(A2160,'Thống kê'!$C$3:$M$682,4,0)</f>
        <v>45000</v>
      </c>
      <c r="E2160" s="438">
        <v>1</v>
      </c>
      <c r="F2160" s="439">
        <f t="shared" si="9"/>
        <v>45000</v>
      </c>
      <c r="G2160" s="440"/>
      <c r="H2160" s="446"/>
    </row>
    <row r="2161" spans="1:8" ht="13.2">
      <c r="A2161" s="454" t="s">
        <v>1615</v>
      </c>
      <c r="B2161" s="452" t="str">
        <f>VLOOKUP(A2161,'Thống kê'!$C$3:$D$669,2,0)</f>
        <v>Kẹp tóc bướm tím</v>
      </c>
      <c r="C2161" s="436" t="str">
        <f>VLOOKUP(A2161,'Thống kê'!$C$3:$E$682,3,0)</f>
        <v>cái</v>
      </c>
      <c r="D2161" s="437">
        <f>VLOOKUP(A2161,'Thống kê'!$C$3:$M$682,4,0)</f>
        <v>40000</v>
      </c>
      <c r="E2161" s="438">
        <v>1</v>
      </c>
      <c r="F2161" s="439">
        <f t="shared" si="9"/>
        <v>40000</v>
      </c>
      <c r="G2161" s="440"/>
      <c r="H2161" s="446"/>
    </row>
    <row r="2162" spans="1:8" ht="13.2">
      <c r="A2162" s="454" t="s">
        <v>1660</v>
      </c>
      <c r="B2162" s="452" t="str">
        <f>VLOOKUP(A2162,'Thống kê'!$C$3:$D$669,2,0)</f>
        <v>Móc khóa Popbean Skull Panda</v>
      </c>
      <c r="C2162" s="436" t="str">
        <f>VLOOKUP(A2162,'Thống kê'!$C$3:$E$682,3,0)</f>
        <v>cái</v>
      </c>
      <c r="D2162" s="437">
        <f>VLOOKUP(A2162,'Thống kê'!$C$3:$M$682,4,0)</f>
        <v>155000</v>
      </c>
      <c r="E2162" s="438">
        <v>1</v>
      </c>
      <c r="F2162" s="439">
        <f t="shared" si="9"/>
        <v>155000</v>
      </c>
      <c r="G2162" s="440"/>
      <c r="H2162" s="446"/>
    </row>
    <row r="2163" spans="1:8" ht="13.2">
      <c r="A2163" s="454" t="s">
        <v>1622</v>
      </c>
      <c r="B2163" s="452" t="str">
        <f>VLOOKUP(A2163,'Thống kê'!$C$3:$D$669,2,0)</f>
        <v>Mô hình mèo 1</v>
      </c>
      <c r="C2163" s="436" t="str">
        <f>VLOOKUP(A2163,'Thống kê'!$C$3:$E$682,3,0)</f>
        <v>cái</v>
      </c>
      <c r="D2163" s="437">
        <f>VLOOKUP(A2163,'Thống kê'!$C$3:$M$682,4,0)</f>
        <v>37800</v>
      </c>
      <c r="E2163" s="438">
        <v>1</v>
      </c>
      <c r="F2163" s="439">
        <f t="shared" si="9"/>
        <v>37800</v>
      </c>
      <c r="G2163" s="440"/>
      <c r="H2163" s="447">
        <v>59044</v>
      </c>
    </row>
    <row r="2164" spans="1:8" ht="13.2">
      <c r="A2164" s="454" t="s">
        <v>1621</v>
      </c>
      <c r="B2164" s="452" t="str">
        <f>VLOOKUP(A2164,'Thống kê'!$C$3:$D$669,2,0)</f>
        <v>Mô hình mèo 2</v>
      </c>
      <c r="C2164" s="436" t="str">
        <f>VLOOKUP(A2164,'Thống kê'!$C$3:$E$682,3,0)</f>
        <v>cái</v>
      </c>
      <c r="D2164" s="437">
        <f>VLOOKUP(A2164,'Thống kê'!$C$3:$M$682,4,0)</f>
        <v>37800</v>
      </c>
      <c r="E2164" s="438">
        <v>1</v>
      </c>
      <c r="F2164" s="439">
        <f t="shared" si="9"/>
        <v>37800</v>
      </c>
      <c r="G2164" s="440"/>
      <c r="H2164" s="446"/>
    </row>
    <row r="2165" spans="1:8" ht="13.2">
      <c r="A2165" s="454" t="s">
        <v>1591</v>
      </c>
      <c r="B2165" s="452" t="str">
        <f>VLOOKUP(A2165,'Thống kê'!$C$3:$D$669,2,0)</f>
        <v>Thỏ ú</v>
      </c>
      <c r="C2165" s="436" t="str">
        <f>VLOOKUP(A2165,'Thống kê'!$C$3:$E$682,3,0)</f>
        <v>cái</v>
      </c>
      <c r="D2165" s="437">
        <f>VLOOKUP(A2165,'Thống kê'!$C$3:$M$682,4,0)</f>
        <v>59500</v>
      </c>
      <c r="E2165" s="438">
        <v>1</v>
      </c>
      <c r="F2165" s="439">
        <f t="shared" si="9"/>
        <v>59500</v>
      </c>
      <c r="G2165" s="440"/>
      <c r="H2165" s="448">
        <v>44752</v>
      </c>
    </row>
    <row r="2166" spans="1:8" ht="13.2">
      <c r="A2166" s="454" t="s">
        <v>1716</v>
      </c>
      <c r="B2166" s="452" t="str">
        <f>VLOOKUP(A2166,'Thống kê'!$C$3:$D$669,2,0)</f>
        <v>Móc khóa đôi 2 quả lê có nam châm</v>
      </c>
      <c r="C2166" s="436" t="str">
        <f>VLOOKUP(A2166,'Thống kê'!$C$3:$E$682,3,0)</f>
        <v>cái</v>
      </c>
      <c r="D2166" s="437">
        <f>VLOOKUP(A2166,'Thống kê'!$C$3:$M$682,4,0)</f>
        <v>59000</v>
      </c>
      <c r="E2166" s="438">
        <v>1</v>
      </c>
      <c r="F2166" s="439">
        <f t="shared" si="9"/>
        <v>59000</v>
      </c>
      <c r="G2166" s="440"/>
      <c r="H2166" s="448">
        <v>44735</v>
      </c>
    </row>
    <row r="2167" spans="1:8" ht="13.2">
      <c r="A2167" s="454" t="s">
        <v>1622</v>
      </c>
      <c r="B2167" s="452" t="str">
        <f>VLOOKUP(A2167,'Thống kê'!$C$3:$D$669,2,0)</f>
        <v>Mô hình mèo 1</v>
      </c>
      <c r="C2167" s="436" t="str">
        <f>VLOOKUP(A2167,'Thống kê'!$C$3:$E$682,3,0)</f>
        <v>cái</v>
      </c>
      <c r="D2167" s="437">
        <f>VLOOKUP(A2167,'Thống kê'!$C$3:$M$682,4,0)</f>
        <v>37800</v>
      </c>
      <c r="E2167" s="438">
        <v>1</v>
      </c>
      <c r="F2167" s="439">
        <f t="shared" si="9"/>
        <v>37800</v>
      </c>
      <c r="G2167" s="440"/>
      <c r="H2167" s="447">
        <v>151082</v>
      </c>
    </row>
    <row r="2168" spans="1:8" ht="13.2">
      <c r="A2168" s="454" t="s">
        <v>1621</v>
      </c>
      <c r="B2168" s="452" t="str">
        <f>VLOOKUP(A2168,'Thống kê'!$C$3:$D$669,2,0)</f>
        <v>Mô hình mèo 2</v>
      </c>
      <c r="C2168" s="436" t="str">
        <f>VLOOKUP(A2168,'Thống kê'!$C$3:$E$682,3,0)</f>
        <v>cái</v>
      </c>
      <c r="D2168" s="437">
        <f>VLOOKUP(A2168,'Thống kê'!$C$3:$M$682,4,0)</f>
        <v>37800</v>
      </c>
      <c r="E2168" s="438">
        <v>1</v>
      </c>
      <c r="F2168" s="439">
        <f t="shared" si="9"/>
        <v>37800</v>
      </c>
      <c r="G2168" s="440"/>
      <c r="H2168" s="446"/>
    </row>
    <row r="2169" spans="1:8" ht="13.2">
      <c r="A2169" s="454" t="s">
        <v>1636</v>
      </c>
      <c r="B2169" s="452" t="str">
        <f>VLOOKUP(A2169,'Thống kê'!$C$3:$D$669,2,0)</f>
        <v>Mô hình mèo 3</v>
      </c>
      <c r="C2169" s="436" t="str">
        <f>VLOOKUP(A2169,'Thống kê'!$C$3:$E$682,3,0)</f>
        <v>cái</v>
      </c>
      <c r="D2169" s="437">
        <f>VLOOKUP(A2169,'Thống kê'!$C$3:$M$682,4,0)</f>
        <v>37800</v>
      </c>
      <c r="E2169" s="438">
        <v>1</v>
      </c>
      <c r="F2169" s="439">
        <f t="shared" si="9"/>
        <v>37800</v>
      </c>
      <c r="G2169" s="440"/>
      <c r="H2169" s="446"/>
    </row>
    <row r="2170" spans="1:8" ht="13.2">
      <c r="A2170" s="454" t="s">
        <v>1635</v>
      </c>
      <c r="B2170" s="452" t="str">
        <f>VLOOKUP(A2170,'Thống kê'!$C$3:$D$669,2,0)</f>
        <v>Mô hình mèo 4</v>
      </c>
      <c r="C2170" s="436" t="str">
        <f>VLOOKUP(A2170,'Thống kê'!$C$3:$E$682,3,0)</f>
        <v>cái</v>
      </c>
      <c r="D2170" s="437">
        <f>VLOOKUP(A2170,'Thống kê'!$C$3:$M$682,4,0)</f>
        <v>37800</v>
      </c>
      <c r="E2170" s="438">
        <v>1</v>
      </c>
      <c r="F2170" s="439">
        <f t="shared" si="9"/>
        <v>37800</v>
      </c>
      <c r="G2170" s="440"/>
      <c r="H2170" s="446"/>
    </row>
    <row r="2171" spans="1:8" ht="13.2">
      <c r="A2171" s="454" t="s">
        <v>1623</v>
      </c>
      <c r="B2171" s="452" t="str">
        <f>VLOOKUP(A2171,'Thống kê'!$C$3:$D$669,2,0)</f>
        <v>Mô hình mèo 5</v>
      </c>
      <c r="C2171" s="436" t="str">
        <f>VLOOKUP(A2171,'Thống kê'!$C$3:$E$682,3,0)</f>
        <v>cái</v>
      </c>
      <c r="D2171" s="437">
        <f>VLOOKUP(A2171,'Thống kê'!$C$3:$M$682,4,0)</f>
        <v>37800</v>
      </c>
      <c r="E2171" s="438">
        <v>1</v>
      </c>
      <c r="F2171" s="439">
        <f t="shared" si="9"/>
        <v>37800</v>
      </c>
      <c r="G2171" s="440"/>
      <c r="H2171" s="446"/>
    </row>
    <row r="2172" spans="1:8" ht="13.2">
      <c r="A2172" s="454" t="s">
        <v>1654</v>
      </c>
      <c r="B2172" s="452" t="str">
        <f>VLOOKUP(A2172,'Thống kê'!$C$3:$D$669,2,0)</f>
        <v>Móc khóa Popbean Hacipupu</v>
      </c>
      <c r="C2172" s="436" t="str">
        <f>VLOOKUP(A2172,'Thống kê'!$C$3:$E$682,3,0)</f>
        <v>cái</v>
      </c>
      <c r="D2172" s="437">
        <f>VLOOKUP(A2172,'Thống kê'!$C$3:$M$682,4,0)</f>
        <v>155000</v>
      </c>
      <c r="E2172" s="438">
        <v>1</v>
      </c>
      <c r="F2172" s="439">
        <f t="shared" si="9"/>
        <v>155000</v>
      </c>
      <c r="G2172" s="440"/>
      <c r="H2172" s="447">
        <v>330225</v>
      </c>
    </row>
    <row r="2173" spans="1:8" ht="13.2">
      <c r="A2173" s="454" t="s">
        <v>1655</v>
      </c>
      <c r="B2173" s="452" t="str">
        <f>VLOOKUP(A2173,'Thống kê'!$C$3:$D$669,2,0)</f>
        <v>Móc khóa Popbean Labubu</v>
      </c>
      <c r="C2173" s="436" t="str">
        <f>VLOOKUP(A2173,'Thống kê'!$C$3:$E$682,3,0)</f>
        <v>cái</v>
      </c>
      <c r="D2173" s="437">
        <f>VLOOKUP(A2173,'Thống kê'!$C$3:$M$682,4,0)</f>
        <v>155000</v>
      </c>
      <c r="E2173" s="438">
        <v>1</v>
      </c>
      <c r="F2173" s="439">
        <f t="shared" si="9"/>
        <v>155000</v>
      </c>
      <c r="G2173" s="440"/>
      <c r="H2173" s="446"/>
    </row>
    <row r="2174" spans="1:8" ht="13.2">
      <c r="A2174" s="454" t="s">
        <v>1640</v>
      </c>
      <c r="B2174" s="452" t="str">
        <f>VLOOKUP(A2174,'Thống kê'!$C$3:$D$669,2,0)</f>
        <v>Móc khóa đôi Capypara</v>
      </c>
      <c r="C2174" s="436" t="str">
        <f>VLOOKUP(A2174,'Thống kê'!$C$3:$E$682,3,0)</f>
        <v>cái</v>
      </c>
      <c r="D2174" s="437">
        <f>VLOOKUP(A2174,'Thống kê'!$C$3:$M$682,4,0)</f>
        <v>59000</v>
      </c>
      <c r="E2174" s="438">
        <v>1</v>
      </c>
      <c r="F2174" s="439">
        <f t="shared" si="9"/>
        <v>59000</v>
      </c>
      <c r="G2174" s="440"/>
      <c r="H2174" s="448">
        <v>44735</v>
      </c>
    </row>
    <row r="2175" spans="1:8" ht="13.2">
      <c r="A2175" s="454" t="s">
        <v>150</v>
      </c>
      <c r="B2175" s="452" t="str">
        <f>VLOOKUP(A2175,'Thống kê'!$C$3:$D$669,2,0)</f>
        <v>Móc khóa có chuông</v>
      </c>
      <c r="C2175" s="436" t="str">
        <f>VLOOKUP(A2175,'Thống kê'!$C$3:$E$682,3,0)</f>
        <v>cái</v>
      </c>
      <c r="D2175" s="437">
        <f>VLOOKUP(A2175,'Thống kê'!$C$3:$M$682,4,0)</f>
        <v>59000</v>
      </c>
      <c r="E2175" s="438">
        <v>1</v>
      </c>
      <c r="F2175" s="439">
        <f t="shared" si="9"/>
        <v>59000</v>
      </c>
      <c r="G2175" s="440"/>
      <c r="H2175" s="448">
        <v>44235</v>
      </c>
    </row>
    <row r="2176" spans="1:8" ht="13.2">
      <c r="A2176" s="454" t="s">
        <v>1974</v>
      </c>
      <c r="B2176" s="452" t="str">
        <f>VLOOKUP(A2176,'Thống kê'!$C$3:$D$669,2,0)</f>
        <v>Mô hình cún 01</v>
      </c>
      <c r="C2176" s="436" t="str">
        <f>VLOOKUP(A2176,'Thống kê'!$C$3:$E$682,3,0)</f>
        <v>cái</v>
      </c>
      <c r="D2176" s="437">
        <f>VLOOKUP(A2176,'Thống kê'!$C$3:$M$682,4,0)</f>
        <v>39000</v>
      </c>
      <c r="E2176" s="438">
        <v>1</v>
      </c>
      <c r="F2176" s="439">
        <f t="shared" si="9"/>
        <v>39000</v>
      </c>
      <c r="G2176" s="440"/>
      <c r="H2176" s="447">
        <v>91732</v>
      </c>
    </row>
    <row r="2177" spans="1:8" ht="13.2">
      <c r="A2177" s="454" t="s">
        <v>1635</v>
      </c>
      <c r="B2177" s="452" t="str">
        <f>VLOOKUP(A2177,'Thống kê'!$C$3:$D$669,2,0)</f>
        <v>Mô hình mèo 4</v>
      </c>
      <c r="C2177" s="436" t="str">
        <f>VLOOKUP(A2177,'Thống kê'!$C$3:$E$682,3,0)</f>
        <v>cái</v>
      </c>
      <c r="D2177" s="437">
        <f>VLOOKUP(A2177,'Thống kê'!$C$3:$M$682,4,0)</f>
        <v>37800</v>
      </c>
      <c r="E2177" s="438">
        <v>1</v>
      </c>
      <c r="F2177" s="439">
        <f t="shared" si="9"/>
        <v>37800</v>
      </c>
      <c r="G2177" s="440"/>
      <c r="H2177" s="446"/>
    </row>
    <row r="2178" spans="1:8" ht="13.2">
      <c r="A2178" s="454" t="s">
        <v>1623</v>
      </c>
      <c r="B2178" s="452" t="str">
        <f>VLOOKUP(A2178,'Thống kê'!$C$3:$D$669,2,0)</f>
        <v>Mô hình mèo 5</v>
      </c>
      <c r="C2178" s="436" t="str">
        <f>VLOOKUP(A2178,'Thống kê'!$C$3:$E$682,3,0)</f>
        <v>cái</v>
      </c>
      <c r="D2178" s="437">
        <f>VLOOKUP(A2178,'Thống kê'!$C$3:$M$682,4,0)</f>
        <v>37800</v>
      </c>
      <c r="E2178" s="438">
        <v>1</v>
      </c>
      <c r="F2178" s="439">
        <f t="shared" si="9"/>
        <v>37800</v>
      </c>
      <c r="G2178" s="440"/>
      <c r="H2178" s="446"/>
    </row>
    <row r="2179" spans="1:8" ht="13.2">
      <c r="A2179" s="454" t="s">
        <v>1624</v>
      </c>
      <c r="B2179" s="452" t="str">
        <f>VLOOKUP(A2179,'Thống kê'!$C$3:$D$669,2,0)</f>
        <v>Móc khóa mèo trái tim</v>
      </c>
      <c r="C2179" s="436" t="str">
        <f>VLOOKUP(A2179,'Thống kê'!$C$3:$E$682,3,0)</f>
        <v>cái</v>
      </c>
      <c r="D2179" s="437">
        <f>VLOOKUP(A2179,'Thống kê'!$C$3:$M$682,4,0)</f>
        <v>59000</v>
      </c>
      <c r="E2179" s="438">
        <v>1</v>
      </c>
      <c r="F2179" s="439">
        <f t="shared" si="9"/>
        <v>59000</v>
      </c>
      <c r="G2179" s="440"/>
      <c r="H2179" s="448">
        <v>44435</v>
      </c>
    </row>
    <row r="2180" spans="1:8" ht="13.2">
      <c r="A2180" s="454" t="s">
        <v>150</v>
      </c>
      <c r="B2180" s="452" t="str">
        <f>VLOOKUP(A2180,'Thống kê'!$C$3:$D$669,2,0)</f>
        <v>Móc khóa có chuông</v>
      </c>
      <c r="C2180" s="436" t="str">
        <f>VLOOKUP(A2180,'Thống kê'!$C$3:$E$682,3,0)</f>
        <v>cái</v>
      </c>
      <c r="D2180" s="437">
        <f>VLOOKUP(A2180,'Thống kê'!$C$3:$M$682,4,0)</f>
        <v>59000</v>
      </c>
      <c r="E2180" s="438">
        <v>1</v>
      </c>
      <c r="F2180" s="439">
        <f t="shared" si="9"/>
        <v>59000</v>
      </c>
      <c r="G2180" s="440"/>
      <c r="H2180" s="448">
        <v>45135</v>
      </c>
    </row>
    <row r="2181" spans="1:8" ht="13.2">
      <c r="A2181" s="454" t="s">
        <v>1594</v>
      </c>
      <c r="B2181" s="452" t="str">
        <f>VLOOKUP(A2181,'Thống kê'!$C$3:$D$669,2,0)</f>
        <v>Móc khóa đôi heo</v>
      </c>
      <c r="C2181" s="436" t="str">
        <f>VLOOKUP(A2181,'Thống kê'!$C$3:$E$682,3,0)</f>
        <v>cái</v>
      </c>
      <c r="D2181" s="437">
        <f>VLOOKUP(A2181,'Thống kê'!$C$3:$M$682,4,0)</f>
        <v>56580</v>
      </c>
      <c r="E2181" s="438">
        <v>1</v>
      </c>
      <c r="F2181" s="439">
        <f t="shared" si="9"/>
        <v>56580</v>
      </c>
      <c r="G2181" s="440"/>
      <c r="H2181" s="448">
        <v>42634</v>
      </c>
    </row>
    <row r="2182" spans="1:8" ht="13.2">
      <c r="A2182" s="454" t="s">
        <v>150</v>
      </c>
      <c r="B2182" s="452" t="str">
        <f>VLOOKUP(A2182,'Thống kê'!$C$3:$D$669,2,0)</f>
        <v>Móc khóa có chuông</v>
      </c>
      <c r="C2182" s="436" t="str">
        <f>VLOOKUP(A2182,'Thống kê'!$C$3:$E$682,3,0)</f>
        <v>cái</v>
      </c>
      <c r="D2182" s="437">
        <f>VLOOKUP(A2182,'Thống kê'!$C$3:$M$682,4,0)</f>
        <v>59000</v>
      </c>
      <c r="E2182" s="438">
        <v>1</v>
      </c>
      <c r="F2182" s="439">
        <f t="shared" si="9"/>
        <v>59000</v>
      </c>
      <c r="G2182" s="440"/>
      <c r="H2182" s="447">
        <v>75324</v>
      </c>
    </row>
    <row r="2183" spans="1:8" ht="13.2">
      <c r="A2183" s="454" t="s">
        <v>1786</v>
      </c>
      <c r="B2183" s="452" t="str">
        <f>VLOOKUP(A2183,'Thống kê'!$C$3:$D$669,2,0)</f>
        <v>Trâm cài 09</v>
      </c>
      <c r="C2183" s="436" t="str">
        <f>VLOOKUP(A2183,'Thống kê'!$C$3:$E$682,3,0)</f>
        <v>cây</v>
      </c>
      <c r="D2183" s="437">
        <f>VLOOKUP(A2183,'Thống kê'!$C$3:$M$682,4,0)</f>
        <v>28520</v>
      </c>
      <c r="E2183" s="438">
        <v>1</v>
      </c>
      <c r="F2183" s="439">
        <f t="shared" si="9"/>
        <v>28520</v>
      </c>
      <c r="G2183" s="440"/>
      <c r="H2183" s="446"/>
    </row>
    <row r="2184" spans="1:8" ht="13.2">
      <c r="A2184" s="454" t="s">
        <v>1783</v>
      </c>
      <c r="B2184" s="452" t="str">
        <f>VLOOKUP(A2184,'Thống kê'!$C$3:$D$669,2,0)</f>
        <v>Trâm cài 10</v>
      </c>
      <c r="C2184" s="436" t="str">
        <f>VLOOKUP(A2184,'Thống kê'!$C$3:$E$682,3,0)</f>
        <v>cây</v>
      </c>
      <c r="D2184" s="437">
        <f>VLOOKUP(A2184,'Thống kê'!$C$3:$M$682,4,0)</f>
        <v>11040</v>
      </c>
      <c r="E2184" s="438">
        <v>1</v>
      </c>
      <c r="F2184" s="439">
        <f t="shared" si="9"/>
        <v>11040</v>
      </c>
      <c r="G2184" s="440"/>
      <c r="H2184" s="446"/>
    </row>
    <row r="2185" spans="1:8" ht="13.2">
      <c r="A2185" s="454" t="s">
        <v>1598</v>
      </c>
      <c r="B2185" s="452" t="str">
        <f>VLOOKUP(A2185,'Thống kê'!$C$3:$D$669,2,0)</f>
        <v>Dao rọc giấy 13</v>
      </c>
      <c r="C2185" s="436" t="str">
        <f>VLOOKUP(A2185,'Thống kê'!$C$3:$E$682,3,0)</f>
        <v>cái</v>
      </c>
      <c r="D2185" s="437">
        <f>VLOOKUP(A2185,'Thống kê'!$C$3:$M$682,4,0)</f>
        <v>12000</v>
      </c>
      <c r="E2185" s="438">
        <v>1</v>
      </c>
      <c r="F2185" s="439">
        <f t="shared" si="9"/>
        <v>12000</v>
      </c>
      <c r="G2185" s="440"/>
      <c r="H2185" s="447">
        <v>122315</v>
      </c>
    </row>
    <row r="2186" spans="1:8" ht="13.2">
      <c r="A2186" s="454" t="s">
        <v>1790</v>
      </c>
      <c r="B2186" s="452" t="str">
        <f>VLOOKUP(A2186,'Thống kê'!$C$3:$D$669,2,0)</f>
        <v>Hộp thuốc nơ hồng</v>
      </c>
      <c r="C2186" s="436" t="str">
        <f>VLOOKUP(A2186,'Thống kê'!$C$3:$E$682,3,0)</f>
        <v>hộp</v>
      </c>
      <c r="D2186" s="437">
        <f>VLOOKUP(A2186,'Thống kê'!$C$3:$M$682,4,0)</f>
        <v>11000</v>
      </c>
      <c r="E2186" s="438">
        <v>1</v>
      </c>
      <c r="F2186" s="439">
        <f t="shared" si="9"/>
        <v>11000</v>
      </c>
      <c r="G2186" s="440"/>
      <c r="H2186" s="446"/>
    </row>
    <row r="2187" spans="1:8" ht="13.2">
      <c r="A2187" s="454" t="s">
        <v>1662</v>
      </c>
      <c r="B2187" s="452" t="str">
        <f>VLOOKUP(A2187,'Thống kê'!$C$3:$D$669,2,0)</f>
        <v>Móc khóa Popbean Cry Baby</v>
      </c>
      <c r="C2187" s="436" t="str">
        <f>VLOOKUP(A2187,'Thống kê'!$C$3:$E$682,3,0)</f>
        <v>cái</v>
      </c>
      <c r="D2187" s="437">
        <f>VLOOKUP(A2187,'Thống kê'!$C$3:$M$682,4,0)</f>
        <v>148000</v>
      </c>
      <c r="E2187" s="438">
        <v>1</v>
      </c>
      <c r="F2187" s="439">
        <f t="shared" si="9"/>
        <v>148000</v>
      </c>
      <c r="G2187" s="440"/>
      <c r="H2187" s="446"/>
    </row>
    <row r="2188" spans="1:8" ht="13.2">
      <c r="A2188" s="454" t="s">
        <v>1606</v>
      </c>
      <c r="B2188" s="452" t="str">
        <f>VLOOKUP(A2188,'Thống kê'!$C$3:$D$669,2,0)</f>
        <v>Kẹp Snack hình khoai tay gọt</v>
      </c>
      <c r="C2188" s="436" t="str">
        <f>VLOOKUP(A2188,'Thống kê'!$C$3:$E$682,3,0)</f>
        <v>cái</v>
      </c>
      <c r="D2188" s="437">
        <f>VLOOKUP(A2188,'Thống kê'!$C$3:$M$682,4,0)</f>
        <v>12000</v>
      </c>
      <c r="E2188" s="438">
        <v>1</v>
      </c>
      <c r="F2188" s="439">
        <f t="shared" si="9"/>
        <v>12000</v>
      </c>
      <c r="G2188" s="440"/>
      <c r="H2188" s="446"/>
    </row>
    <row r="2189" spans="1:8" ht="13.2">
      <c r="A2189" s="454" t="s">
        <v>181</v>
      </c>
      <c r="B2189" s="452" t="str">
        <f>VLOOKUP(A2189,'Thống kê'!$C$3:$D$669,2,0)</f>
        <v>Thỏ mặt trăng gắn xe</v>
      </c>
      <c r="C2189" s="436" t="str">
        <f>VLOOKUP(A2189,'Thống kê'!$C$3:$E$682,3,0)</f>
        <v>cái</v>
      </c>
      <c r="D2189" s="437">
        <f>VLOOKUP(A2189,'Thống kê'!$C$3:$M$682,4,0)</f>
        <v>45000</v>
      </c>
      <c r="E2189" s="438">
        <v>1</v>
      </c>
      <c r="F2189" s="439">
        <f t="shared" si="9"/>
        <v>45000</v>
      </c>
      <c r="G2189" s="440"/>
      <c r="H2189" s="447">
        <v>63350</v>
      </c>
    </row>
    <row r="2190" spans="1:8" ht="13.2">
      <c r="A2190" s="454" t="s">
        <v>119</v>
      </c>
      <c r="B2190" s="452" t="str">
        <f>VLOOKUP(A2190,'Thống kê'!$C$3:$D$669,2,0)</f>
        <v>Thỏ chạy xe gắn xe</v>
      </c>
      <c r="C2190" s="436" t="str">
        <f>VLOOKUP(A2190,'Thống kê'!$C$3:$E$682,3,0)</f>
        <v>cái</v>
      </c>
      <c r="D2190" s="437">
        <f>VLOOKUP(A2190,'Thống kê'!$C$3:$M$682,4,0)</f>
        <v>45000</v>
      </c>
      <c r="E2190" s="438">
        <v>1</v>
      </c>
      <c r="F2190" s="439">
        <f t="shared" si="9"/>
        <v>45000</v>
      </c>
      <c r="G2190" s="440"/>
      <c r="H2190" s="446"/>
    </row>
    <row r="2191" spans="1:8" ht="13.2">
      <c r="A2191" s="454" t="s">
        <v>150</v>
      </c>
      <c r="B2191" s="452" t="str">
        <f>VLOOKUP(A2191,'Thống kê'!$C$3:$D$669,2,0)</f>
        <v>Móc khóa có chuông</v>
      </c>
      <c r="C2191" s="436" t="str">
        <f>VLOOKUP(A2191,'Thống kê'!$C$3:$E$682,3,0)</f>
        <v>cái</v>
      </c>
      <c r="D2191" s="437">
        <f>VLOOKUP(A2191,'Thống kê'!$C$3:$M$682,4,0)</f>
        <v>59000</v>
      </c>
      <c r="E2191" s="438">
        <v>1</v>
      </c>
      <c r="F2191" s="439">
        <f t="shared" si="9"/>
        <v>59000</v>
      </c>
      <c r="G2191" s="440"/>
      <c r="H2191" s="448">
        <v>44735</v>
      </c>
    </row>
    <row r="2192" spans="1:8" ht="13.2">
      <c r="A2192" s="454" t="s">
        <v>1624</v>
      </c>
      <c r="B2192" s="452" t="str">
        <f>VLOOKUP(A2192,'Thống kê'!$C$3:$D$669,2,0)</f>
        <v>Móc khóa mèo trái tim</v>
      </c>
      <c r="C2192" s="436" t="str">
        <f>VLOOKUP(A2192,'Thống kê'!$C$3:$E$682,3,0)</f>
        <v>cái</v>
      </c>
      <c r="D2192" s="437">
        <f>VLOOKUP(A2192,'Thống kê'!$C$3:$M$682,4,0)</f>
        <v>59000</v>
      </c>
      <c r="E2192" s="438">
        <v>1</v>
      </c>
      <c r="F2192" s="439">
        <f t="shared" si="9"/>
        <v>59000</v>
      </c>
      <c r="G2192" s="440"/>
      <c r="H2192" s="448">
        <v>45135</v>
      </c>
    </row>
    <row r="2193" spans="1:8" ht="13.2">
      <c r="A2193" s="454" t="s">
        <v>325</v>
      </c>
      <c r="B2193" s="452" t="str">
        <f>VLOOKUP(A2193,'Thống kê'!$C$3:$D$669,2,0)</f>
        <v>Gấu ú</v>
      </c>
      <c r="C2193" s="436" t="str">
        <f>VLOOKUP(A2193,'Thống kê'!$C$3:$E$682,3,0)</f>
        <v>cái</v>
      </c>
      <c r="D2193" s="437">
        <f>VLOOKUP(A2193,'Thống kê'!$C$3:$M$682,4,0)</f>
        <v>59500</v>
      </c>
      <c r="E2193" s="438">
        <v>1</v>
      </c>
      <c r="F2193" s="439">
        <f t="shared" si="9"/>
        <v>59500</v>
      </c>
      <c r="G2193" s="440"/>
      <c r="H2193" s="447">
        <v>57757</v>
      </c>
    </row>
    <row r="2194" spans="1:8" ht="13.2">
      <c r="A2194" s="454" t="s">
        <v>1988</v>
      </c>
      <c r="B2194" s="452" t="str">
        <f>VLOOKUP(A2194,'Thống kê'!$C$3:$D$669,2,0)</f>
        <v>Ống 6 dâu cột tóc nâu</v>
      </c>
      <c r="C2194" s="436" t="str">
        <f>VLOOKUP(A2194,'Thống kê'!$C$3:$E$682,3,0)</f>
        <v>ống</v>
      </c>
      <c r="D2194" s="437">
        <f>VLOOKUP(A2194,'Thống kê'!$C$3:$M$682,4,0)</f>
        <v>20000</v>
      </c>
      <c r="E2194" s="438">
        <v>1</v>
      </c>
      <c r="F2194" s="439">
        <f t="shared" si="9"/>
        <v>20000</v>
      </c>
      <c r="G2194" s="440"/>
      <c r="H2194" s="446"/>
    </row>
    <row r="2195" spans="1:8" ht="13.2">
      <c r="A2195" s="454" t="s">
        <v>1625</v>
      </c>
      <c r="B2195" s="452" t="str">
        <f>VLOOKUP(A2195,'Thống kê'!$C$3:$D$669,2,0)</f>
        <v>Móc khóa đôi 2 mèo trắng nâu</v>
      </c>
      <c r="C2195" s="436" t="str">
        <f>VLOOKUP(A2195,'Thống kê'!$C$3:$E$682,3,0)</f>
        <v>cái</v>
      </c>
      <c r="D2195" s="437">
        <f>VLOOKUP(A2195,'Thống kê'!$C$3:$M$682,4,0)</f>
        <v>59000</v>
      </c>
      <c r="E2195" s="438">
        <v>1</v>
      </c>
      <c r="F2195" s="439">
        <f t="shared" si="9"/>
        <v>59000</v>
      </c>
      <c r="G2195" s="440"/>
      <c r="H2195" s="448">
        <v>45135</v>
      </c>
    </row>
    <row r="2196" spans="1:8" ht="13.2">
      <c r="A2196" s="454" t="s">
        <v>150</v>
      </c>
      <c r="B2196" s="452" t="str">
        <f>VLOOKUP(A2196,'Thống kê'!$C$3:$D$669,2,0)</f>
        <v>Móc khóa có chuông</v>
      </c>
      <c r="C2196" s="436" t="str">
        <f>VLOOKUP(A2196,'Thống kê'!$C$3:$E$682,3,0)</f>
        <v>cái</v>
      </c>
      <c r="D2196" s="437">
        <f>VLOOKUP(A2196,'Thống kê'!$C$3:$M$682,4,0)</f>
        <v>59000</v>
      </c>
      <c r="E2196" s="438">
        <v>1</v>
      </c>
      <c r="F2196" s="439">
        <f t="shared" si="9"/>
        <v>59000</v>
      </c>
      <c r="G2196" s="440"/>
      <c r="H2196" s="448">
        <v>44735</v>
      </c>
    </row>
    <row r="2197" spans="1:8" ht="13.2">
      <c r="A2197" s="454" t="s">
        <v>161</v>
      </c>
      <c r="B2197" s="452" t="str">
        <f>VLOOKUP(A2197,'Thống kê'!$C$3:$D$669,2,0)</f>
        <v>Dao rọc giấy 07</v>
      </c>
      <c r="C2197" s="436" t="str">
        <f>VLOOKUP(A2197,'Thống kê'!$C$3:$E$682,3,0)</f>
        <v>cái</v>
      </c>
      <c r="D2197" s="437">
        <f>VLOOKUP(A2197,'Thống kê'!$C$3:$M$682,4,0)</f>
        <v>12000</v>
      </c>
      <c r="E2197" s="438">
        <v>1</v>
      </c>
      <c r="F2197" s="439">
        <f t="shared" si="9"/>
        <v>12000</v>
      </c>
      <c r="G2197" s="440"/>
      <c r="H2197" s="448">
        <v>9180</v>
      </c>
    </row>
    <row r="2198" spans="1:8" ht="13.2">
      <c r="A2198" s="454" t="s">
        <v>1625</v>
      </c>
      <c r="B2198" s="452" t="str">
        <f>VLOOKUP(A2198,'Thống kê'!$C$3:$D$669,2,0)</f>
        <v>Móc khóa đôi 2 mèo trắng nâu</v>
      </c>
      <c r="C2198" s="436" t="str">
        <f>VLOOKUP(A2198,'Thống kê'!$C$3:$E$682,3,0)</f>
        <v>cái</v>
      </c>
      <c r="D2198" s="437">
        <f>VLOOKUP(A2198,'Thống kê'!$C$3:$M$682,4,0)</f>
        <v>59000</v>
      </c>
      <c r="E2198" s="438">
        <v>1</v>
      </c>
      <c r="F2198" s="439">
        <f t="shared" si="9"/>
        <v>59000</v>
      </c>
      <c r="G2198" s="440"/>
      <c r="H2198" s="448">
        <v>45060</v>
      </c>
    </row>
    <row r="2199" spans="1:8" ht="13.2">
      <c r="A2199" s="454" t="s">
        <v>1660</v>
      </c>
      <c r="B2199" s="452" t="str">
        <f>VLOOKUP(A2199,'Thống kê'!$C$3:$D$669,2,0)</f>
        <v>Móc khóa Popbean Skull Panda</v>
      </c>
      <c r="C2199" s="436" t="str">
        <f>VLOOKUP(A2199,'Thống kê'!$C$3:$E$682,3,0)</f>
        <v>cái</v>
      </c>
      <c r="D2199" s="437">
        <f>VLOOKUP(A2199,'Thống kê'!$C$3:$M$682,4,0)</f>
        <v>155000</v>
      </c>
      <c r="E2199" s="438">
        <v>1</v>
      </c>
      <c r="F2199" s="439">
        <f t="shared" si="9"/>
        <v>155000</v>
      </c>
      <c r="G2199" s="440"/>
      <c r="H2199" s="447">
        <v>116450</v>
      </c>
    </row>
    <row r="2200" spans="1:8" ht="13.2">
      <c r="A2200" s="454" t="s">
        <v>1606</v>
      </c>
      <c r="B2200" s="452" t="str">
        <f>VLOOKUP(A2200,'Thống kê'!$C$3:$D$669,2,0)</f>
        <v>Kẹp Snack hình khoai tay gọt</v>
      </c>
      <c r="C2200" s="436" t="str">
        <f>VLOOKUP(A2200,'Thống kê'!$C$3:$E$682,3,0)</f>
        <v>cái</v>
      </c>
      <c r="D2200" s="437">
        <f>VLOOKUP(A2200,'Thống kê'!$C$3:$M$682,4,0)</f>
        <v>12000</v>
      </c>
      <c r="E2200" s="438">
        <v>1</v>
      </c>
      <c r="F2200" s="439">
        <f t="shared" si="9"/>
        <v>12000</v>
      </c>
      <c r="G2200" s="440"/>
      <c r="H2200" s="446"/>
    </row>
    <row r="2201" spans="1:8" ht="13.2">
      <c r="A2201" s="454" t="s">
        <v>1594</v>
      </c>
      <c r="B2201" s="452" t="str">
        <f>VLOOKUP(A2201,'Thống kê'!$C$3:$D$669,2,0)</f>
        <v>Móc khóa đôi heo</v>
      </c>
      <c r="C2201" s="436" t="str">
        <f>VLOOKUP(A2201,'Thống kê'!$C$3:$E$682,3,0)</f>
        <v>cái</v>
      </c>
      <c r="D2201" s="437">
        <f>VLOOKUP(A2201,'Thống kê'!$C$3:$M$682,4,0)</f>
        <v>56580</v>
      </c>
      <c r="E2201" s="438">
        <v>1</v>
      </c>
      <c r="F2201" s="439">
        <f t="shared" si="9"/>
        <v>56580</v>
      </c>
      <c r="G2201" s="440"/>
      <c r="H2201" s="448">
        <v>43284</v>
      </c>
    </row>
    <row r="2202" spans="1:8" ht="13.2">
      <c r="A2202" s="454" t="s">
        <v>1623</v>
      </c>
      <c r="B2202" s="452" t="str">
        <f>VLOOKUP(A2202,'Thống kê'!$C$3:$D$669,2,0)</f>
        <v>Mô hình mèo 5</v>
      </c>
      <c r="C2202" s="436" t="str">
        <f>VLOOKUP(A2202,'Thống kê'!$C$3:$E$682,3,0)</f>
        <v>cái</v>
      </c>
      <c r="D2202" s="437">
        <f>VLOOKUP(A2202,'Thống kê'!$C$3:$M$682,4,0)</f>
        <v>37800</v>
      </c>
      <c r="E2202" s="438">
        <v>16</v>
      </c>
      <c r="F2202" s="439">
        <f t="shared" si="9"/>
        <v>604800</v>
      </c>
      <c r="G2202" s="440"/>
      <c r="H2202" s="448">
        <v>497164</v>
      </c>
    </row>
    <row r="2203" spans="1:8" ht="13.2">
      <c r="A2203" s="454" t="s">
        <v>162</v>
      </c>
      <c r="B2203" s="452" t="str">
        <f>VLOOKUP(A2203,'Thống kê'!$C$3:$D$669,2,0)</f>
        <v>Móc khoá cún Donut</v>
      </c>
      <c r="C2203" s="436" t="str">
        <f>VLOOKUP(A2203,'Thống kê'!$C$3:$E$682,3,0)</f>
        <v>cái</v>
      </c>
      <c r="D2203" s="437">
        <f>VLOOKUP(A2203,'Thống kê'!$C$3:$M$682,4,0)</f>
        <v>38000</v>
      </c>
      <c r="E2203" s="438">
        <v>1</v>
      </c>
      <c r="F2203" s="439">
        <f t="shared" si="9"/>
        <v>38000</v>
      </c>
      <c r="G2203" s="440"/>
      <c r="H2203" s="448">
        <v>46360</v>
      </c>
    </row>
    <row r="2204" spans="1:8" ht="13.2">
      <c r="A2204" s="454" t="s">
        <v>115</v>
      </c>
      <c r="B2204" s="452" t="str">
        <f>VLOOKUP(A2204,'Thống kê'!$C$3:$D$669,2,0)</f>
        <v>Heo ú</v>
      </c>
      <c r="C2204" s="436" t="str">
        <f>VLOOKUP(A2204,'Thống kê'!$C$3:$E$682,3,0)</f>
        <v>cái</v>
      </c>
      <c r="D2204" s="437">
        <f>VLOOKUP(A2204,'Thống kê'!$C$3:$M$682,4,0)</f>
        <v>59500</v>
      </c>
      <c r="E2204" s="438">
        <v>1</v>
      </c>
      <c r="F2204" s="439">
        <f t="shared" si="9"/>
        <v>59500</v>
      </c>
      <c r="G2204" s="440"/>
      <c r="H2204" s="447">
        <v>91375</v>
      </c>
    </row>
    <row r="2205" spans="1:8" ht="13.2">
      <c r="A2205" s="454" t="s">
        <v>1640</v>
      </c>
      <c r="B2205" s="452" t="str">
        <f>VLOOKUP(A2205,'Thống kê'!$C$3:$D$669,2,0)</f>
        <v>Móc khóa đôi Capypara</v>
      </c>
      <c r="C2205" s="436" t="str">
        <f>VLOOKUP(A2205,'Thống kê'!$C$3:$E$682,3,0)</f>
        <v>cái</v>
      </c>
      <c r="D2205" s="437">
        <f>VLOOKUP(A2205,'Thống kê'!$C$3:$M$682,4,0)</f>
        <v>59000</v>
      </c>
      <c r="E2205" s="438">
        <v>1</v>
      </c>
      <c r="F2205" s="439">
        <f t="shared" si="9"/>
        <v>59000</v>
      </c>
      <c r="G2205" s="440"/>
      <c r="H2205" s="446"/>
    </row>
    <row r="2206" spans="1:8" ht="13.2">
      <c r="A2206" s="454" t="s">
        <v>150</v>
      </c>
      <c r="B2206" s="452" t="str">
        <f>VLOOKUP(A2206,'Thống kê'!$C$3:$D$669,2,0)</f>
        <v>Móc khóa có chuông</v>
      </c>
      <c r="C2206" s="436" t="str">
        <f>VLOOKUP(A2206,'Thống kê'!$C$3:$E$682,3,0)</f>
        <v>cái</v>
      </c>
      <c r="D2206" s="437">
        <f>VLOOKUP(A2206,'Thống kê'!$C$3:$M$682,4,0)</f>
        <v>59000</v>
      </c>
      <c r="E2206" s="438">
        <v>1</v>
      </c>
      <c r="F2206" s="439">
        <f t="shared" si="9"/>
        <v>59000</v>
      </c>
      <c r="G2206" s="440"/>
      <c r="H2206" s="447">
        <v>51845</v>
      </c>
    </row>
    <row r="2207" spans="1:8" ht="13.2">
      <c r="A2207" s="454" t="s">
        <v>1605</v>
      </c>
      <c r="B2207" s="452" t="str">
        <f>VLOOKUP(A2207,'Thống kê'!$C$3:$D$669,2,0)</f>
        <v>Thước dây xanh</v>
      </c>
      <c r="C2207" s="436" t="str">
        <f>VLOOKUP(A2207,'Thống kê'!$C$3:$E$682,3,0)</f>
        <v>cái</v>
      </c>
      <c r="D2207" s="437">
        <f>VLOOKUP(A2207,'Thống kê'!$C$3:$M$682,4,0)</f>
        <v>9000</v>
      </c>
      <c r="E2207" s="438">
        <v>1</v>
      </c>
      <c r="F2207" s="439">
        <f t="shared" si="9"/>
        <v>9000</v>
      </c>
      <c r="G2207" s="440"/>
      <c r="H2207" s="446"/>
    </row>
    <row r="2208" spans="1:8" ht="13.2">
      <c r="A2208" s="454" t="s">
        <v>150</v>
      </c>
      <c r="B2208" s="452" t="str">
        <f>VLOOKUP(A2208,'Thống kê'!$C$3:$D$669,2,0)</f>
        <v>Móc khóa có chuông</v>
      </c>
      <c r="C2208" s="436" t="str">
        <f>VLOOKUP(A2208,'Thống kê'!$C$3:$E$682,3,0)</f>
        <v>cái</v>
      </c>
      <c r="D2208" s="437">
        <f>VLOOKUP(A2208,'Thống kê'!$C$3:$M$682,4,0)</f>
        <v>59000</v>
      </c>
      <c r="E2208" s="438">
        <v>1</v>
      </c>
      <c r="F2208" s="439">
        <f t="shared" si="9"/>
        <v>59000</v>
      </c>
      <c r="G2208" s="440"/>
      <c r="H2208" s="448">
        <v>44485</v>
      </c>
    </row>
    <row r="2209" spans="1:8" ht="13.2">
      <c r="A2209" s="454" t="s">
        <v>2048</v>
      </c>
      <c r="B2209" s="452" t="str">
        <f>VLOOKUP(A2209,'Thống kê'!$C$3:$D$669,2,0)</f>
        <v xml:space="preserve">Móc khóa capybara 11 - sổ mũ </v>
      </c>
      <c r="C2209" s="436" t="str">
        <f>VLOOKUP(A2209,'Thống kê'!$C$3:$E$682,3,0)</f>
        <v>cái</v>
      </c>
      <c r="D2209" s="437">
        <f>VLOOKUP(A2209,'Thống kê'!$C$3:$M$682,4,0)</f>
        <v>58800</v>
      </c>
      <c r="E2209" s="438">
        <v>1</v>
      </c>
      <c r="F2209" s="439">
        <f t="shared" si="9"/>
        <v>58800</v>
      </c>
      <c r="G2209" s="440"/>
      <c r="H2209" s="448">
        <v>44907</v>
      </c>
    </row>
    <row r="2210" spans="1:8" ht="13.2">
      <c r="A2210" s="454" t="s">
        <v>2014</v>
      </c>
      <c r="B2210" s="452" t="str">
        <f>VLOOKUP(A2210,'Thống kê'!$C$3:$D$669,2,0)</f>
        <v>Móc khóa Popbean 03</v>
      </c>
      <c r="C2210" s="436" t="str">
        <f>VLOOKUP(A2210,'Thống kê'!$C$3:$E$682,3,0)</f>
        <v>cái</v>
      </c>
      <c r="D2210" s="437">
        <f>VLOOKUP(A2210,'Thống kê'!$C$3:$M$682,4,0)</f>
        <v>161850</v>
      </c>
      <c r="E2210" s="438">
        <v>1</v>
      </c>
      <c r="F2210" s="439">
        <f t="shared" si="9"/>
        <v>161850</v>
      </c>
      <c r="G2210" s="440"/>
      <c r="H2210" s="447">
        <v>222479</v>
      </c>
    </row>
    <row r="2211" spans="1:8" ht="13.2">
      <c r="A2211" s="454" t="s">
        <v>1329</v>
      </c>
      <c r="B2211" s="452" t="str">
        <f>VLOOKUP(A2211,'Thống kê'!$C$3:$D$669,2,0)</f>
        <v>Móc khóa Popbean</v>
      </c>
      <c r="C2211" s="436" t="str">
        <f>VLOOKUP(A2211,'Thống kê'!$C$3:$E$682,3,0)</f>
        <v>cái</v>
      </c>
      <c r="D2211" s="437">
        <f>VLOOKUP(A2211,'Thống kê'!$C$3:$M$682,4,0)</f>
        <v>148000</v>
      </c>
      <c r="E2211" s="438">
        <v>1</v>
      </c>
      <c r="F2211" s="439">
        <f t="shared" si="9"/>
        <v>148000</v>
      </c>
      <c r="G2211" s="440"/>
      <c r="H2211" s="446"/>
    </row>
    <row r="2212" spans="1:8" ht="13.2">
      <c r="A2212" s="454" t="s">
        <v>1606</v>
      </c>
      <c r="B2212" s="452" t="str">
        <f>VLOOKUP(A2212,'Thống kê'!$C$3:$D$669,2,0)</f>
        <v>Kẹp Snack hình khoai tay gọt</v>
      </c>
      <c r="C2212" s="436" t="str">
        <f>VLOOKUP(A2212,'Thống kê'!$C$3:$E$682,3,0)</f>
        <v>cái</v>
      </c>
      <c r="D2212" s="437">
        <f>VLOOKUP(A2212,'Thống kê'!$C$3:$M$682,4,0)</f>
        <v>12000</v>
      </c>
      <c r="E2212" s="438">
        <v>1</v>
      </c>
      <c r="F2212" s="439">
        <f t="shared" si="9"/>
        <v>12000</v>
      </c>
      <c r="G2212" s="440"/>
      <c r="H2212" s="446"/>
    </row>
    <row r="2213" spans="1:8" ht="13.2">
      <c r="A2213" s="454" t="s">
        <v>2021</v>
      </c>
      <c r="B2213" s="452" t="str">
        <f>VLOOKUP(A2213,'Thống kê'!$C$3:$D$669,2,0)</f>
        <v>Móc khóa Popbean 09</v>
      </c>
      <c r="C2213" s="436" t="str">
        <f>VLOOKUP(A2213,'Thống kê'!$C$3:$E$682,3,0)</f>
        <v>cái</v>
      </c>
      <c r="D2213" s="437">
        <f>VLOOKUP(A2213,'Thống kê'!$C$3:$M$682,4,0)</f>
        <v>161850</v>
      </c>
      <c r="E2213" s="438">
        <v>1</v>
      </c>
      <c r="F2213" s="439">
        <f t="shared" si="9"/>
        <v>161850</v>
      </c>
      <c r="G2213" s="440"/>
      <c r="H2213" s="447">
        <v>218960</v>
      </c>
    </row>
    <row r="2214" spans="1:8" ht="13.2">
      <c r="A2214" s="454" t="s">
        <v>1660</v>
      </c>
      <c r="B2214" s="452" t="str">
        <f>VLOOKUP(A2214,'Thống kê'!$C$3:$D$669,2,0)</f>
        <v>Móc khóa Popbean Skull Panda</v>
      </c>
      <c r="C2214" s="436" t="str">
        <f>VLOOKUP(A2214,'Thống kê'!$C$3:$E$682,3,0)</f>
        <v>cái</v>
      </c>
      <c r="D2214" s="437">
        <f>VLOOKUP(A2214,'Thống kê'!$C$3:$M$682,4,0)</f>
        <v>155000</v>
      </c>
      <c r="E2214" s="438">
        <v>1</v>
      </c>
      <c r="F2214" s="439">
        <f t="shared" si="9"/>
        <v>155000</v>
      </c>
      <c r="G2214" s="440"/>
      <c r="H2214" s="446"/>
    </row>
    <row r="2215" spans="1:8" ht="13.2">
      <c r="A2215" s="454" t="s">
        <v>1606</v>
      </c>
      <c r="B2215" s="452" t="str">
        <f>VLOOKUP(A2215,'Thống kê'!$C$3:$D$669,2,0)</f>
        <v>Kẹp Snack hình khoai tay gọt</v>
      </c>
      <c r="C2215" s="436" t="str">
        <f>VLOOKUP(A2215,'Thống kê'!$C$3:$E$682,3,0)</f>
        <v>cái</v>
      </c>
      <c r="D2215" s="437">
        <f>VLOOKUP(A2215,'Thống kê'!$C$3:$M$682,4,0)</f>
        <v>12000</v>
      </c>
      <c r="E2215" s="438">
        <v>1</v>
      </c>
      <c r="F2215" s="439">
        <f t="shared" si="9"/>
        <v>12000</v>
      </c>
      <c r="G2215" s="440"/>
      <c r="H2215" s="446"/>
    </row>
    <row r="2216" spans="1:8" ht="13.2">
      <c r="A2216" s="454" t="s">
        <v>1639</v>
      </c>
      <c r="B2216" s="452" t="str">
        <f>VLOOKUP(A2216,'Thống kê'!$C$3:$D$669,2,0)</f>
        <v>Móc khóa đôi Puppy</v>
      </c>
      <c r="C2216" s="436" t="str">
        <f>VLOOKUP(A2216,'Thống kê'!$C$3:$E$682,3,0)</f>
        <v>cái</v>
      </c>
      <c r="D2216" s="437">
        <f>VLOOKUP(A2216,'Thống kê'!$C$3:$M$682,4,0)</f>
        <v>59000</v>
      </c>
      <c r="E2216" s="438">
        <v>1</v>
      </c>
      <c r="F2216" s="439">
        <f t="shared" si="9"/>
        <v>59000</v>
      </c>
      <c r="G2216" s="440"/>
      <c r="H2216" s="447">
        <v>76550</v>
      </c>
    </row>
    <row r="2217" spans="1:8" ht="13.2">
      <c r="A2217" s="454" t="s">
        <v>119</v>
      </c>
      <c r="B2217" s="452" t="str">
        <f>VLOOKUP(A2217,'Thống kê'!$C$3:$D$669,2,0)</f>
        <v>Thỏ chạy xe gắn xe</v>
      </c>
      <c r="C2217" s="436" t="str">
        <f>VLOOKUP(A2217,'Thống kê'!$C$3:$E$682,3,0)</f>
        <v>cái</v>
      </c>
      <c r="D2217" s="437">
        <f>VLOOKUP(A2217,'Thống kê'!$C$3:$M$682,4,0)</f>
        <v>45000</v>
      </c>
      <c r="E2217" s="438">
        <v>1</v>
      </c>
      <c r="F2217" s="439">
        <f t="shared" si="9"/>
        <v>45000</v>
      </c>
      <c r="G2217" s="440"/>
      <c r="H2217" s="446"/>
    </row>
    <row r="2218" spans="1:8" ht="13.2">
      <c r="A2218" s="454" t="s">
        <v>150</v>
      </c>
      <c r="B2218" s="452" t="str">
        <f>VLOOKUP(A2218,'Thống kê'!$C$3:$D$669,2,0)</f>
        <v>Móc khóa có chuông</v>
      </c>
      <c r="C2218" s="436" t="str">
        <f>VLOOKUP(A2218,'Thống kê'!$C$3:$E$682,3,0)</f>
        <v>cái</v>
      </c>
      <c r="D2218" s="437">
        <f>VLOOKUP(A2218,'Thống kê'!$C$3:$M$682,4,0)</f>
        <v>59000</v>
      </c>
      <c r="E2218" s="438">
        <v>1</v>
      </c>
      <c r="F2218" s="439">
        <f t="shared" si="9"/>
        <v>59000</v>
      </c>
      <c r="G2218" s="440"/>
      <c r="H2218" s="448">
        <v>44960</v>
      </c>
    </row>
    <row r="2219" spans="1:8" ht="13.2">
      <c r="A2219" s="454" t="s">
        <v>1595</v>
      </c>
      <c r="B2219" s="452" t="str">
        <f>VLOOKUP(A2219,'Thống kê'!$C$3:$D$669,2,0)</f>
        <v>Dao rọc giấy 08</v>
      </c>
      <c r="C2219" s="436" t="str">
        <f>VLOOKUP(A2219,'Thống kê'!$C$3:$E$682,3,0)</f>
        <v>cái</v>
      </c>
      <c r="D2219" s="437">
        <f>VLOOKUP(A2219,'Thống kê'!$C$3:$M$682,4,0)</f>
        <v>12000</v>
      </c>
      <c r="E2219" s="438">
        <v>3</v>
      </c>
      <c r="F2219" s="439">
        <f t="shared" si="9"/>
        <v>36000</v>
      </c>
      <c r="G2219" s="440"/>
      <c r="H2219" s="448">
        <v>26715</v>
      </c>
    </row>
    <row r="2220" spans="1:8" ht="13.2">
      <c r="A2220" s="454" t="s">
        <v>1594</v>
      </c>
      <c r="B2220" s="452" t="str">
        <f>VLOOKUP(A2220,'Thống kê'!$C$3:$D$669,2,0)</f>
        <v>Móc khóa đôi heo</v>
      </c>
      <c r="C2220" s="436" t="str">
        <f>VLOOKUP(A2220,'Thống kê'!$C$3:$E$682,3,0)</f>
        <v>cái</v>
      </c>
      <c r="D2220" s="437">
        <f>VLOOKUP(A2220,'Thống kê'!$C$3:$M$682,4,0)</f>
        <v>56580</v>
      </c>
      <c r="E2220" s="438">
        <v>1</v>
      </c>
      <c r="F2220" s="439">
        <f t="shared" si="9"/>
        <v>56580</v>
      </c>
      <c r="G2220" s="440"/>
      <c r="H2220" s="448">
        <v>43284</v>
      </c>
    </row>
    <row r="2221" spans="1:8" ht="13.2">
      <c r="A2221" s="454" t="s">
        <v>1910</v>
      </c>
      <c r="B2221" s="452" t="str">
        <f>VLOOKUP(A2221,'Thống kê'!$C$3:$D$669,2,0)</f>
        <v>Vớ cổ cao full hồng</v>
      </c>
      <c r="C2221" s="436" t="str">
        <f>VLOOKUP(A2221,'Thống kê'!$C$3:$E$682,3,0)</f>
        <v>đôi</v>
      </c>
      <c r="D2221" s="437">
        <f>VLOOKUP(A2221,'Thống kê'!$C$3:$M$682,4,0)</f>
        <v>15900</v>
      </c>
      <c r="E2221" s="438">
        <v>1</v>
      </c>
      <c r="F2221" s="439">
        <f t="shared" si="9"/>
        <v>15900</v>
      </c>
      <c r="G2221" s="440"/>
      <c r="H2221" s="447">
        <v>120000</v>
      </c>
    </row>
    <row r="2222" spans="1:8" ht="13.2">
      <c r="A2222" s="454" t="s">
        <v>2045</v>
      </c>
      <c r="B2222" s="452" t="str">
        <f>VLOOKUP(A2222,'Thống kê'!$C$3:$D$669,2,0)</f>
        <v>Vớ cổ cao hồng be</v>
      </c>
      <c r="C2222" s="436" t="str">
        <f>VLOOKUP(A2222,'Thống kê'!$C$3:$E$682,3,0)</f>
        <v>đôi</v>
      </c>
      <c r="D2222" s="437">
        <f>VLOOKUP(A2222,'Thống kê'!$C$3:$M$682,4,0)</f>
        <v>15900</v>
      </c>
      <c r="E2222" s="438">
        <v>1</v>
      </c>
      <c r="F2222" s="439">
        <f t="shared" si="9"/>
        <v>15900</v>
      </c>
      <c r="G2222" s="440"/>
      <c r="H2222" s="446"/>
    </row>
    <row r="2223" spans="1:8" ht="13.2">
      <c r="A2223" s="454" t="s">
        <v>2004</v>
      </c>
      <c r="B2223" s="452" t="str">
        <f>VLOOKUP(A2223,'Thống kê'!$C$3:$D$669,2,0)</f>
        <v>Vớ cổ cao sọc hồng</v>
      </c>
      <c r="C2223" s="436" t="str">
        <f>VLOOKUP(A2223,'Thống kê'!$C$3:$E$682,3,0)</f>
        <v>đôi</v>
      </c>
      <c r="D2223" s="437">
        <f>VLOOKUP(A2223,'Thống kê'!$C$3:$M$682,4,0)</f>
        <v>15900</v>
      </c>
      <c r="E2223" s="438">
        <v>1</v>
      </c>
      <c r="F2223" s="439">
        <f t="shared" si="9"/>
        <v>15900</v>
      </c>
      <c r="G2223" s="440"/>
      <c r="H2223" s="446"/>
    </row>
    <row r="2224" spans="1:8" ht="13.2">
      <c r="A2224" s="454" t="s">
        <v>150</v>
      </c>
      <c r="B2224" s="452" t="str">
        <f>VLOOKUP(A2224,'Thống kê'!$C$3:$D$669,2,0)</f>
        <v>Móc khóa có chuông</v>
      </c>
      <c r="C2224" s="436" t="str">
        <f>VLOOKUP(A2224,'Thống kê'!$C$3:$E$682,3,0)</f>
        <v>cái</v>
      </c>
      <c r="D2224" s="437">
        <f>VLOOKUP(A2224,'Thống kê'!$C$3:$M$682,4,0)</f>
        <v>59000</v>
      </c>
      <c r="E2224" s="438">
        <v>1</v>
      </c>
      <c r="F2224" s="439">
        <f t="shared" si="9"/>
        <v>59000</v>
      </c>
      <c r="G2224" s="440"/>
      <c r="H2224" s="446"/>
    </row>
    <row r="2225" spans="1:8" ht="13.2">
      <c r="A2225" s="454" t="s">
        <v>2049</v>
      </c>
      <c r="B2225" s="452" t="str">
        <f>VLOOKUP(A2225,'Thống kê'!$C$3:$D$669,2,0)</f>
        <v>Trâm cài 11</v>
      </c>
      <c r="C2225" s="436" t="str">
        <f>VLOOKUP(A2225,'Thống kê'!$C$3:$E$682,3,0)</f>
        <v>cây</v>
      </c>
      <c r="D2225" s="437">
        <f>VLOOKUP(A2225,'Thống kê'!$C$3:$M$682,4,0)</f>
        <v>32200</v>
      </c>
      <c r="E2225" s="438">
        <v>1</v>
      </c>
      <c r="F2225" s="439">
        <f t="shared" si="9"/>
        <v>32200</v>
      </c>
      <c r="G2225" s="440"/>
      <c r="H2225" s="446"/>
    </row>
    <row r="2226" spans="1:8" ht="13.2">
      <c r="A2226" s="454" t="s">
        <v>2050</v>
      </c>
      <c r="B2226" s="452" t="str">
        <f>VLOOKUP(A2226,'Thống kê'!$C$3:$D$669,2,0)</f>
        <v>Buộc tóc lụa hoa đen</v>
      </c>
      <c r="C2226" s="436" t="str">
        <f>VLOOKUP(A2226,'Thống kê'!$C$3:$E$682,3,0)</f>
        <v>cái</v>
      </c>
      <c r="D2226" s="437">
        <f>VLOOKUP(A2226,'Thống kê'!$C$3:$M$682,4,0)</f>
        <v>29500</v>
      </c>
      <c r="E2226" s="438">
        <v>1</v>
      </c>
      <c r="F2226" s="439">
        <f t="shared" si="9"/>
        <v>29500</v>
      </c>
      <c r="G2226" s="440"/>
      <c r="H2226" s="447">
        <v>180978</v>
      </c>
    </row>
    <row r="2227" spans="1:8" ht="13.2">
      <c r="A2227" s="454" t="s">
        <v>2051</v>
      </c>
      <c r="B2227" s="452" t="str">
        <f>VLOOKUP(A2227,'Thống kê'!$C$3:$D$669,2,0)</f>
        <v>Buộc tóc lụa hoa be</v>
      </c>
      <c r="C2227" s="436" t="str">
        <f>VLOOKUP(A2227,'Thống kê'!$C$3:$E$682,3,0)</f>
        <v>cái</v>
      </c>
      <c r="D2227" s="437">
        <f>VLOOKUP(A2227,'Thống kê'!$C$3:$M$682,4,0)</f>
        <v>29500</v>
      </c>
      <c r="E2227" s="438">
        <v>1</v>
      </c>
      <c r="F2227" s="439">
        <f t="shared" si="9"/>
        <v>29500</v>
      </c>
      <c r="G2227" s="440"/>
      <c r="H2227" s="446"/>
    </row>
    <row r="2228" spans="1:8" ht="13.2">
      <c r="A2228" s="454" t="s">
        <v>1789</v>
      </c>
      <c r="B2228" s="452" t="str">
        <f>VLOOKUP(A2228,'Thống kê'!$C$3:$D$669,2,0)</f>
        <v>Ống 50 dây cột tóc đen</v>
      </c>
      <c r="C2228" s="436" t="str">
        <f>VLOOKUP(A2228,'Thống kê'!$C$3:$E$682,3,0)</f>
        <v>ống</v>
      </c>
      <c r="D2228" s="437">
        <f>VLOOKUP(A2228,'Thống kê'!$C$3:$M$682,4,0)</f>
        <v>20000</v>
      </c>
      <c r="E2228" s="438">
        <v>1</v>
      </c>
      <c r="F2228" s="439">
        <f t="shared" si="9"/>
        <v>20000</v>
      </c>
      <c r="G2228" s="440"/>
      <c r="H2228" s="446"/>
    </row>
    <row r="2229" spans="1:8" ht="13.2">
      <c r="A2229" s="454" t="s">
        <v>1692</v>
      </c>
      <c r="B2229" s="452" t="str">
        <f>VLOOKUP(A2229,'Thống kê'!$C$3:$D$669,2,0)</f>
        <v>Móc khóa Popbean 06</v>
      </c>
      <c r="C2229" s="436" t="str">
        <f>VLOOKUP(A2229,'Thống kê'!$C$3:$E$682,3,0)</f>
        <v>cái</v>
      </c>
      <c r="D2229" s="437">
        <f>VLOOKUP(A2229,'Thống kê'!$C$3:$M$682,4,0)</f>
        <v>161850</v>
      </c>
      <c r="E2229" s="438">
        <v>1</v>
      </c>
      <c r="F2229" s="439">
        <f t="shared" si="9"/>
        <v>161850</v>
      </c>
      <c r="G2229" s="440"/>
      <c r="H2229" s="446"/>
    </row>
    <row r="2230" spans="1:8" ht="13.2">
      <c r="A2230" s="454" t="s">
        <v>1606</v>
      </c>
      <c r="B2230" s="452" t="str">
        <f>VLOOKUP(A2230,'Thống kê'!$C$3:$D$669,2,0)</f>
        <v>Kẹp Snack hình khoai tay gọt</v>
      </c>
      <c r="C2230" s="436" t="str">
        <f>VLOOKUP(A2230,'Thống kê'!$C$3:$E$682,3,0)</f>
        <v>cái</v>
      </c>
      <c r="D2230" s="437">
        <f>VLOOKUP(A2230,'Thống kê'!$C$3:$M$682,4,0)</f>
        <v>12000</v>
      </c>
      <c r="E2230" s="438">
        <v>1</v>
      </c>
      <c r="F2230" s="439">
        <f t="shared" si="9"/>
        <v>12000</v>
      </c>
      <c r="G2230" s="440"/>
      <c r="H2230" s="446"/>
    </row>
    <row r="2231" spans="1:8" ht="13.2">
      <c r="A2231" s="454" t="s">
        <v>150</v>
      </c>
      <c r="B2231" s="452" t="str">
        <f>VLOOKUP(A2231,'Thống kê'!$C$3:$D$669,2,0)</f>
        <v>Móc khóa có chuông</v>
      </c>
      <c r="C2231" s="436" t="str">
        <f>VLOOKUP(A2231,'Thống kê'!$C$3:$E$682,3,0)</f>
        <v>cái</v>
      </c>
      <c r="D2231" s="437">
        <f>VLOOKUP(A2231,'Thống kê'!$C$3:$M$682,4,0)</f>
        <v>59000</v>
      </c>
      <c r="E2231" s="438">
        <v>1</v>
      </c>
      <c r="F2231" s="439">
        <f t="shared" si="9"/>
        <v>59000</v>
      </c>
      <c r="G2231" s="440"/>
      <c r="H2231" s="448">
        <v>45060</v>
      </c>
    </row>
    <row r="2232" spans="1:8" ht="13.2">
      <c r="A2232" s="454" t="s">
        <v>1624</v>
      </c>
      <c r="B2232" s="452" t="str">
        <f>VLOOKUP(A2232,'Thống kê'!$C$3:$D$669,2,0)</f>
        <v>Móc khóa mèo trái tim</v>
      </c>
      <c r="C2232" s="436" t="str">
        <f>VLOOKUP(A2232,'Thống kê'!$C$3:$E$682,3,0)</f>
        <v>cái</v>
      </c>
      <c r="D2232" s="437">
        <f>VLOOKUP(A2232,'Thống kê'!$C$3:$M$682,4,0)</f>
        <v>59000</v>
      </c>
      <c r="E2232" s="438">
        <v>1</v>
      </c>
      <c r="F2232" s="439">
        <f t="shared" si="9"/>
        <v>59000</v>
      </c>
      <c r="G2232" s="440"/>
      <c r="H2232" s="448">
        <v>44735</v>
      </c>
    </row>
    <row r="2233" spans="1:8" ht="13.2">
      <c r="A2233" s="454" t="s">
        <v>1956</v>
      </c>
      <c r="B2233" s="452" t="str">
        <f>VLOOKUP(A2233,'Thống kê'!$C$3:$D$669,2,0)</f>
        <v>Móc khóa capybara 9 - mũ gấu</v>
      </c>
      <c r="C2233" s="436" t="str">
        <f>VLOOKUP(A2233,'Thống kê'!$C$3:$E$682,3,0)</f>
        <v>cái</v>
      </c>
      <c r="D2233" s="437">
        <f>VLOOKUP(A2233,'Thống kê'!$C$3:$M$682,4,0)</f>
        <v>58800</v>
      </c>
      <c r="E2233" s="438">
        <v>2</v>
      </c>
      <c r="F2233" s="439">
        <f t="shared" si="9"/>
        <v>117600</v>
      </c>
      <c r="G2233" s="440"/>
      <c r="H2233" s="448">
        <v>93160</v>
      </c>
    </row>
    <row r="2234" spans="1:8" ht="13.2">
      <c r="A2234" s="454" t="s">
        <v>1660</v>
      </c>
      <c r="B2234" s="452" t="str">
        <f>VLOOKUP(A2234,'Thống kê'!$C$3:$D$669,2,0)</f>
        <v>Móc khóa Popbean Skull Panda</v>
      </c>
      <c r="C2234" s="436" t="str">
        <f>VLOOKUP(A2234,'Thống kê'!$C$3:$E$682,3,0)</f>
        <v>cái</v>
      </c>
      <c r="D2234" s="437">
        <f>VLOOKUP(A2234,'Thống kê'!$C$3:$M$682,4,0)</f>
        <v>155000</v>
      </c>
      <c r="E2234" s="438">
        <v>1</v>
      </c>
      <c r="F2234" s="439">
        <f t="shared" si="9"/>
        <v>155000</v>
      </c>
      <c r="G2234" s="440"/>
      <c r="H2234" s="447">
        <v>116981</v>
      </c>
    </row>
    <row r="2235" spans="1:8" ht="13.2">
      <c r="A2235" s="454" t="s">
        <v>1606</v>
      </c>
      <c r="B2235" s="452" t="str">
        <f>VLOOKUP(A2235,'Thống kê'!$C$3:$D$669,2,0)</f>
        <v>Kẹp Snack hình khoai tay gọt</v>
      </c>
      <c r="C2235" s="436" t="str">
        <f>VLOOKUP(A2235,'Thống kê'!$C$3:$E$682,3,0)</f>
        <v>cái</v>
      </c>
      <c r="D2235" s="437">
        <f>VLOOKUP(A2235,'Thống kê'!$C$3:$M$682,4,0)</f>
        <v>12000</v>
      </c>
      <c r="E2235" s="438">
        <v>1</v>
      </c>
      <c r="F2235" s="439">
        <f t="shared" si="9"/>
        <v>12000</v>
      </c>
      <c r="G2235" s="440"/>
      <c r="H2235" s="446"/>
    </row>
    <row r="2236" spans="1:8" ht="13.2">
      <c r="A2236" s="454" t="s">
        <v>150</v>
      </c>
      <c r="B2236" s="452" t="str">
        <f>VLOOKUP(A2236,'Thống kê'!$C$3:$D$669,2,0)</f>
        <v>Móc khóa có chuông</v>
      </c>
      <c r="C2236" s="436" t="str">
        <f>VLOOKUP(A2236,'Thống kê'!$C$3:$E$682,3,0)</f>
        <v>cái</v>
      </c>
      <c r="D2236" s="437">
        <f>VLOOKUP(A2236,'Thống kê'!$C$3:$M$682,4,0)</f>
        <v>59000</v>
      </c>
      <c r="E2236" s="438">
        <v>1</v>
      </c>
      <c r="F2236" s="439">
        <f t="shared" si="9"/>
        <v>59000</v>
      </c>
      <c r="G2236" s="440"/>
      <c r="H2236" s="448">
        <v>45135</v>
      </c>
    </row>
    <row r="2237" spans="1:8" ht="13.2">
      <c r="A2237" s="454" t="s">
        <v>1617</v>
      </c>
      <c r="B2237" s="452" t="str">
        <f>VLOOKUP(A2237,'Thống kê'!$C$3:$D$669,2,0)</f>
        <v xml:space="preserve">Kẹp tóc bướm hồng </v>
      </c>
      <c r="C2237" s="436" t="str">
        <f>VLOOKUP(A2237,'Thống kê'!$C$3:$E$682,3,0)</f>
        <v>cái</v>
      </c>
      <c r="D2237" s="437">
        <f>VLOOKUP(A2237,'Thống kê'!$C$3:$M$682,4,0)</f>
        <v>40000</v>
      </c>
      <c r="E2237" s="438">
        <v>1</v>
      </c>
      <c r="F2237" s="439">
        <f t="shared" si="9"/>
        <v>40000</v>
      </c>
      <c r="G2237" s="440"/>
      <c r="H2237" s="447">
        <v>86360</v>
      </c>
    </row>
    <row r="2238" spans="1:8" ht="13.2">
      <c r="A2238" s="454" t="s">
        <v>1615</v>
      </c>
      <c r="B2238" s="452" t="str">
        <f>VLOOKUP(A2238,'Thống kê'!$C$3:$D$669,2,0)</f>
        <v>Kẹp tóc bướm tím</v>
      </c>
      <c r="C2238" s="436" t="str">
        <f>VLOOKUP(A2238,'Thống kê'!$C$3:$E$682,3,0)</f>
        <v>cái</v>
      </c>
      <c r="D2238" s="437">
        <f>VLOOKUP(A2238,'Thống kê'!$C$3:$M$682,4,0)</f>
        <v>40000</v>
      </c>
      <c r="E2238" s="438">
        <v>1</v>
      </c>
      <c r="F2238" s="439">
        <f t="shared" si="9"/>
        <v>40000</v>
      </c>
      <c r="G2238" s="440"/>
      <c r="H2238" s="446"/>
    </row>
    <row r="2239" spans="1:8" ht="13.2">
      <c r="A2239" s="454" t="s">
        <v>1619</v>
      </c>
      <c r="B2239" s="452" t="str">
        <f>VLOOKUP(A2239,'Thống kê'!$C$3:$D$669,2,0)</f>
        <v>Kẹp tóc bướm xanh trắng</v>
      </c>
      <c r="C2239" s="436" t="str">
        <f>VLOOKUP(A2239,'Thống kê'!$C$3:$E$682,3,0)</f>
        <v>cái</v>
      </c>
      <c r="D2239" s="437">
        <f>VLOOKUP(A2239,'Thống kê'!$C$3:$M$682,4,0)</f>
        <v>52000</v>
      </c>
      <c r="E2239" s="438">
        <v>1</v>
      </c>
      <c r="F2239" s="439">
        <f t="shared" si="9"/>
        <v>52000</v>
      </c>
      <c r="G2239" s="440"/>
      <c r="H2239" s="446"/>
    </row>
    <row r="2240" spans="1:8" ht="13.2">
      <c r="A2240" s="454" t="s">
        <v>1935</v>
      </c>
      <c r="B2240" s="452" t="str">
        <f>VLOOKUP(A2240,'Thống kê'!$C$3:$D$669,2,0)</f>
        <v>Kẹp tóc hoa sứ hồng</v>
      </c>
      <c r="C2240" s="436" t="str">
        <f>VLOOKUP(A2240,'Thống kê'!$C$3:$E$682,3,0)</f>
        <v>cái</v>
      </c>
      <c r="D2240" s="437">
        <f>VLOOKUP(A2240,'Thống kê'!$C$3:$M$682,4,0)</f>
        <v>18500</v>
      </c>
      <c r="E2240" s="438">
        <v>1</v>
      </c>
      <c r="F2240" s="439">
        <f t="shared" si="9"/>
        <v>18500</v>
      </c>
      <c r="G2240" s="440"/>
      <c r="H2240" s="446"/>
    </row>
    <row r="2241" spans="1:8" ht="13.2">
      <c r="A2241" s="454" t="s">
        <v>1639</v>
      </c>
      <c r="B2241" s="452" t="str">
        <f>VLOOKUP(A2241,'Thống kê'!$C$3:$D$669,2,0)</f>
        <v>Móc khóa đôi Puppy</v>
      </c>
      <c r="C2241" s="436" t="str">
        <f>VLOOKUP(A2241,'Thống kê'!$C$3:$E$682,3,0)</f>
        <v>cái</v>
      </c>
      <c r="D2241" s="437">
        <f>VLOOKUP(A2241,'Thống kê'!$C$3:$M$682,4,0)</f>
        <v>59000</v>
      </c>
      <c r="E2241" s="438">
        <v>1</v>
      </c>
      <c r="F2241" s="439">
        <f t="shared" si="9"/>
        <v>59000</v>
      </c>
      <c r="G2241" s="440"/>
      <c r="H2241" s="448">
        <v>44235</v>
      </c>
    </row>
    <row r="2242" spans="1:8" ht="13.2">
      <c r="A2242" s="454" t="s">
        <v>1329</v>
      </c>
      <c r="B2242" s="452" t="str">
        <f>VLOOKUP(A2242,'Thống kê'!$C$3:$D$669,2,0)</f>
        <v>Móc khóa Popbean</v>
      </c>
      <c r="C2242" s="436" t="str">
        <f>VLOOKUP(A2242,'Thống kê'!$C$3:$E$682,3,0)</f>
        <v>cái</v>
      </c>
      <c r="D2242" s="437">
        <f>VLOOKUP(A2242,'Thống kê'!$C$3:$M$682,4,0)</f>
        <v>148000</v>
      </c>
      <c r="E2242" s="438">
        <v>1</v>
      </c>
      <c r="F2242" s="439">
        <f t="shared" si="9"/>
        <v>148000</v>
      </c>
      <c r="G2242" s="440"/>
      <c r="H2242" s="447">
        <v>111775</v>
      </c>
    </row>
    <row r="2243" spans="1:8" ht="13.2">
      <c r="A2243" s="454" t="s">
        <v>1606</v>
      </c>
      <c r="B2243" s="452" t="str">
        <f>VLOOKUP(A2243,'Thống kê'!$C$3:$D$669,2,0)</f>
        <v>Kẹp Snack hình khoai tay gọt</v>
      </c>
      <c r="C2243" s="436" t="str">
        <f>VLOOKUP(A2243,'Thống kê'!$C$3:$E$682,3,0)</f>
        <v>cái</v>
      </c>
      <c r="D2243" s="437">
        <f>VLOOKUP(A2243,'Thống kê'!$C$3:$M$682,4,0)</f>
        <v>12000</v>
      </c>
      <c r="E2243" s="438">
        <v>1</v>
      </c>
      <c r="F2243" s="439">
        <f t="shared" si="9"/>
        <v>12000</v>
      </c>
      <c r="G2243" s="440"/>
      <c r="H2243" s="446"/>
    </row>
    <row r="2244" spans="1:8" ht="13.2">
      <c r="A2244" s="454" t="s">
        <v>2014</v>
      </c>
      <c r="B2244" s="452" t="str">
        <f>VLOOKUP(A2244,'Thống kê'!$C$3:$D$669,2,0)</f>
        <v>Móc khóa Popbean 03</v>
      </c>
      <c r="C2244" s="436" t="str">
        <f>VLOOKUP(A2244,'Thống kê'!$C$3:$E$682,3,0)</f>
        <v>cái</v>
      </c>
      <c r="D2244" s="437">
        <f>VLOOKUP(A2244,'Thống kê'!$C$3:$M$682,4,0)</f>
        <v>161850</v>
      </c>
      <c r="E2244" s="438">
        <v>1</v>
      </c>
      <c r="F2244" s="439">
        <f t="shared" si="9"/>
        <v>161850</v>
      </c>
      <c r="G2244" s="440"/>
      <c r="H2244" s="447">
        <v>114750</v>
      </c>
    </row>
    <row r="2245" spans="1:8" ht="13.2">
      <c r="A2245" s="454" t="s">
        <v>1606</v>
      </c>
      <c r="B2245" s="452" t="str">
        <f>VLOOKUP(A2245,'Thống kê'!$C$3:$D$669,2,0)</f>
        <v>Kẹp Snack hình khoai tay gọt</v>
      </c>
      <c r="C2245" s="436" t="str">
        <f>VLOOKUP(A2245,'Thống kê'!$C$3:$E$682,3,0)</f>
        <v>cái</v>
      </c>
      <c r="D2245" s="437">
        <f>VLOOKUP(A2245,'Thống kê'!$C$3:$M$682,4,0)</f>
        <v>12000</v>
      </c>
      <c r="E2245" s="438">
        <v>1</v>
      </c>
      <c r="F2245" s="439">
        <f t="shared" si="9"/>
        <v>12000</v>
      </c>
      <c r="G2245" s="440"/>
      <c r="H2245" s="446"/>
    </row>
    <row r="2246" spans="1:8" ht="13.2">
      <c r="A2246" s="454" t="s">
        <v>186</v>
      </c>
      <c r="B2246" s="452" t="str">
        <f>VLOOKUP(A2246,'Thống kê'!$C$3:$D$669,2,0)</f>
        <v>Thỏ ú bay</v>
      </c>
      <c r="C2246" s="436" t="str">
        <f>VLOOKUP(A2246,'Thống kê'!$C$3:$E$682,3,0)</f>
        <v>cái</v>
      </c>
      <c r="D2246" s="437">
        <f>VLOOKUP(A2246,'Thống kê'!$C$3:$M$682,4,0)</f>
        <v>64500</v>
      </c>
      <c r="E2246" s="438">
        <v>1</v>
      </c>
      <c r="F2246" s="439">
        <f t="shared" si="9"/>
        <v>64500</v>
      </c>
      <c r="G2246" s="440"/>
      <c r="H2246" s="447">
        <v>108613</v>
      </c>
    </row>
    <row r="2247" spans="1:8" ht="13.2">
      <c r="A2247" s="454" t="s">
        <v>1951</v>
      </c>
      <c r="B2247" s="452" t="str">
        <f>VLOOKUP(A2247,'Thống kê'!$C$3:$D$669,2,0)</f>
        <v>Mô hình cún 04</v>
      </c>
      <c r="C2247" s="436" t="str">
        <f>VLOOKUP(A2247,'Thống kê'!$C$3:$E$682,3,0)</f>
        <v>cái</v>
      </c>
      <c r="D2247" s="437">
        <f>VLOOKUP(A2247,'Thống kê'!$C$3:$M$682,4,0)</f>
        <v>39000</v>
      </c>
      <c r="E2247" s="438">
        <v>1</v>
      </c>
      <c r="F2247" s="439">
        <f t="shared" si="9"/>
        <v>39000</v>
      </c>
      <c r="G2247" s="440"/>
      <c r="H2247" s="446"/>
    </row>
    <row r="2248" spans="1:8" ht="13.2">
      <c r="A2248" s="454" t="s">
        <v>1621</v>
      </c>
      <c r="B2248" s="452" t="str">
        <f>VLOOKUP(A2248,'Thống kê'!$C$3:$D$669,2,0)</f>
        <v>Mô hình mèo 2</v>
      </c>
      <c r="C2248" s="436" t="str">
        <f>VLOOKUP(A2248,'Thống kê'!$C$3:$E$682,3,0)</f>
        <v>cái</v>
      </c>
      <c r="D2248" s="437">
        <f>VLOOKUP(A2248,'Thống kê'!$C$3:$M$682,4,0)</f>
        <v>37800</v>
      </c>
      <c r="E2248" s="438">
        <v>1</v>
      </c>
      <c r="F2248" s="439">
        <f t="shared" si="9"/>
        <v>37800</v>
      </c>
      <c r="G2248" s="440"/>
      <c r="H2248" s="446"/>
    </row>
    <row r="2249" spans="1:8" ht="13.2">
      <c r="A2249" s="454" t="s">
        <v>186</v>
      </c>
      <c r="B2249" s="452" t="str">
        <f>VLOOKUP(A2249,'Thống kê'!$C$3:$D$669,2,0)</f>
        <v>Thỏ ú bay</v>
      </c>
      <c r="C2249" s="436" t="str">
        <f>VLOOKUP(A2249,'Thống kê'!$C$3:$E$682,3,0)</f>
        <v>cái</v>
      </c>
      <c r="D2249" s="437">
        <f>VLOOKUP(A2249,'Thống kê'!$C$3:$M$682,4,0)</f>
        <v>64500</v>
      </c>
      <c r="E2249" s="438">
        <v>1</v>
      </c>
      <c r="F2249" s="439">
        <f t="shared" si="9"/>
        <v>64500</v>
      </c>
      <c r="G2249" s="440"/>
      <c r="H2249" s="448">
        <v>44677</v>
      </c>
    </row>
    <row r="2250" spans="1:8" ht="13.2">
      <c r="A2250" s="454" t="s">
        <v>2031</v>
      </c>
      <c r="B2250" s="452" t="str">
        <f>VLOOKUP(A2250,'Thống kê'!$C$3:$D$669,2,0)</f>
        <v>Vịt áo hồng treo gương</v>
      </c>
      <c r="C2250" s="436" t="str">
        <f>VLOOKUP(A2250,'Thống kê'!$C$3:$E$682,3,0)</f>
        <v>cái</v>
      </c>
      <c r="D2250" s="437">
        <f>VLOOKUP(A2250,'Thống kê'!$C$3:$M$682,4,0)</f>
        <v>155000</v>
      </c>
      <c r="E2250" s="438">
        <v>1</v>
      </c>
      <c r="F2250" s="439">
        <f t="shared" si="9"/>
        <v>155000</v>
      </c>
      <c r="G2250" s="440"/>
      <c r="H2250" s="448">
        <v>111775</v>
      </c>
    </row>
    <row r="2251" spans="1:8" ht="13.2">
      <c r="A2251" s="454" t="s">
        <v>150</v>
      </c>
      <c r="B2251" s="452" t="str">
        <f>VLOOKUP(A2251,'Thống kê'!$C$3:$D$669,2,0)</f>
        <v>Móc khóa có chuông</v>
      </c>
      <c r="C2251" s="436" t="str">
        <f>VLOOKUP(A2251,'Thống kê'!$C$3:$E$682,3,0)</f>
        <v>cái</v>
      </c>
      <c r="D2251" s="437">
        <f>VLOOKUP(A2251,'Thống kê'!$C$3:$M$682,4,0)</f>
        <v>59000</v>
      </c>
      <c r="E2251" s="438">
        <v>1</v>
      </c>
      <c r="F2251" s="439">
        <f t="shared" si="9"/>
        <v>59000</v>
      </c>
      <c r="G2251" s="440"/>
      <c r="H2251" s="448">
        <v>44735</v>
      </c>
    </row>
    <row r="2252" spans="1:8" ht="13.2">
      <c r="A2252" s="454" t="s">
        <v>2021</v>
      </c>
      <c r="B2252" s="452" t="str">
        <f>VLOOKUP(A2252,'Thống kê'!$C$3:$D$669,2,0)</f>
        <v>Móc khóa Popbean 09</v>
      </c>
      <c r="C2252" s="436" t="str">
        <f>VLOOKUP(A2252,'Thống kê'!$C$3:$E$682,3,0)</f>
        <v>cái</v>
      </c>
      <c r="D2252" s="437">
        <f>VLOOKUP(A2252,'Thống kê'!$C$3:$M$682,4,0)</f>
        <v>161850</v>
      </c>
      <c r="E2252" s="438">
        <v>1</v>
      </c>
      <c r="F2252" s="439">
        <f t="shared" si="9"/>
        <v>161850</v>
      </c>
      <c r="G2252" s="440"/>
      <c r="H2252" s="447">
        <v>107950</v>
      </c>
    </row>
    <row r="2253" spans="1:8" ht="13.2">
      <c r="A2253" s="454" t="s">
        <v>1606</v>
      </c>
      <c r="B2253" s="452" t="str">
        <f>VLOOKUP(A2253,'Thống kê'!$C$3:$D$669,2,0)</f>
        <v>Kẹp Snack hình khoai tay gọt</v>
      </c>
      <c r="C2253" s="436" t="str">
        <f>VLOOKUP(A2253,'Thống kê'!$C$3:$E$682,3,0)</f>
        <v>cái</v>
      </c>
      <c r="D2253" s="437">
        <f>VLOOKUP(A2253,'Thống kê'!$C$3:$M$682,4,0)</f>
        <v>12000</v>
      </c>
      <c r="E2253" s="438">
        <v>1</v>
      </c>
      <c r="F2253" s="439">
        <f t="shared" si="9"/>
        <v>12000</v>
      </c>
      <c r="G2253" s="440"/>
      <c r="H2253" s="446"/>
    </row>
    <row r="2254" spans="1:8" ht="13.2">
      <c r="A2254" s="454" t="s">
        <v>1639</v>
      </c>
      <c r="B2254" s="452" t="str">
        <f>VLOOKUP(A2254,'Thống kê'!$C$3:$D$669,2,0)</f>
        <v>Móc khóa đôi Puppy</v>
      </c>
      <c r="C2254" s="436" t="str">
        <f>VLOOKUP(A2254,'Thống kê'!$C$3:$E$682,3,0)</f>
        <v>cái</v>
      </c>
      <c r="D2254" s="437">
        <f>VLOOKUP(A2254,'Thống kê'!$C$3:$M$682,4,0)</f>
        <v>59000</v>
      </c>
      <c r="E2254" s="438">
        <v>1</v>
      </c>
      <c r="F2254" s="439">
        <f t="shared" si="9"/>
        <v>59000</v>
      </c>
      <c r="G2254" s="440"/>
      <c r="H2254" s="448">
        <v>44735</v>
      </c>
    </row>
    <row r="2255" spans="1:8" ht="13.2">
      <c r="A2255" s="454" t="s">
        <v>150</v>
      </c>
      <c r="B2255" s="452" t="str">
        <f>VLOOKUP(A2255,'Thống kê'!$C$3:$D$669,2,0)</f>
        <v>Móc khóa có chuông</v>
      </c>
      <c r="C2255" s="436" t="str">
        <f>VLOOKUP(A2255,'Thống kê'!$C$3:$E$682,3,0)</f>
        <v>cái</v>
      </c>
      <c r="D2255" s="437">
        <f>VLOOKUP(A2255,'Thống kê'!$C$3:$M$682,4,0)</f>
        <v>59000</v>
      </c>
      <c r="E2255" s="438">
        <v>1</v>
      </c>
      <c r="F2255" s="439">
        <f t="shared" si="9"/>
        <v>59000</v>
      </c>
      <c r="G2255" s="440"/>
      <c r="H2255" s="448">
        <v>44960</v>
      </c>
    </row>
    <row r="2256" spans="1:8" ht="13.2">
      <c r="A2256" s="454" t="s">
        <v>150</v>
      </c>
      <c r="B2256" s="452" t="str">
        <f>VLOOKUP(A2256,'Thống kê'!$C$3:$D$669,2,0)</f>
        <v>Móc khóa có chuông</v>
      </c>
      <c r="C2256" s="436" t="str">
        <f>VLOOKUP(A2256,'Thống kê'!$C$3:$E$682,3,0)</f>
        <v>cái</v>
      </c>
      <c r="D2256" s="437">
        <f>VLOOKUP(A2256,'Thống kê'!$C$3:$M$682,4,0)</f>
        <v>59000</v>
      </c>
      <c r="E2256" s="438">
        <v>1</v>
      </c>
      <c r="F2256" s="439">
        <f t="shared" si="9"/>
        <v>59000</v>
      </c>
      <c r="G2256" s="440"/>
      <c r="H2256" s="447">
        <v>52708</v>
      </c>
    </row>
    <row r="2257" spans="1:8" ht="13.2">
      <c r="A2257" s="454" t="s">
        <v>1991</v>
      </c>
      <c r="B2257" s="452" t="str">
        <f>VLOOKUP(A2257,'Thống kê'!$C$3:$D$669,2,0)</f>
        <v>Vớ trắng icon be 1</v>
      </c>
      <c r="C2257" s="436" t="str">
        <f>VLOOKUP(A2257,'Thống kê'!$C$3:$E$682,3,0)</f>
        <v>đôi</v>
      </c>
      <c r="D2257" s="437">
        <f>VLOOKUP(A2257,'Thống kê'!$C$3:$M$682,4,0)</f>
        <v>9900</v>
      </c>
      <c r="E2257" s="438">
        <v>1</v>
      </c>
      <c r="F2257" s="439">
        <f t="shared" si="9"/>
        <v>9900</v>
      </c>
      <c r="G2257" s="440"/>
      <c r="H2257" s="446"/>
    </row>
    <row r="2258" spans="1:8" ht="13.2">
      <c r="A2258" s="454" t="s">
        <v>150</v>
      </c>
      <c r="B2258" s="452" t="str">
        <f>VLOOKUP(A2258,'Thống kê'!$C$3:$D$669,2,0)</f>
        <v>Móc khóa có chuông</v>
      </c>
      <c r="C2258" s="436" t="str">
        <f>VLOOKUP(A2258,'Thống kê'!$C$3:$E$682,3,0)</f>
        <v>cái</v>
      </c>
      <c r="D2258" s="437">
        <f>VLOOKUP(A2258,'Thống kê'!$C$3:$M$682,4,0)</f>
        <v>59000</v>
      </c>
      <c r="E2258" s="438">
        <v>1</v>
      </c>
      <c r="F2258" s="439">
        <f t="shared" si="9"/>
        <v>59000</v>
      </c>
      <c r="G2258" s="440"/>
      <c r="H2258" s="447">
        <v>103020</v>
      </c>
    </row>
    <row r="2259" spans="1:8" ht="13.2">
      <c r="A2259" s="454" t="s">
        <v>1980</v>
      </c>
      <c r="B2259" s="452" t="str">
        <f>VLOOKUP(A2259,'Thống kê'!$C$3:$D$669,2,0)</f>
        <v>Móc khoá cún Sandwich</v>
      </c>
      <c r="C2259" s="436" t="str">
        <f>VLOOKUP(A2259,'Thống kê'!$C$3:$E$682,3,0)</f>
        <v>cái</v>
      </c>
      <c r="D2259" s="437">
        <f>VLOOKUP(A2259,'Thống kê'!$C$3:$M$682,4,0)</f>
        <v>38000</v>
      </c>
      <c r="E2259" s="438">
        <v>1</v>
      </c>
      <c r="F2259" s="439">
        <f t="shared" si="9"/>
        <v>38000</v>
      </c>
      <c r="G2259" s="440"/>
      <c r="H2259" s="446"/>
    </row>
    <row r="2260" spans="1:8" ht="13.2">
      <c r="A2260" s="454" t="s">
        <v>162</v>
      </c>
      <c r="B2260" s="452" t="str">
        <f>VLOOKUP(A2260,'Thống kê'!$C$3:$D$669,2,0)</f>
        <v>Móc khoá cún Donut</v>
      </c>
      <c r="C2260" s="436" t="str">
        <f>VLOOKUP(A2260,'Thống kê'!$C$3:$E$682,3,0)</f>
        <v>cái</v>
      </c>
      <c r="D2260" s="437">
        <f>VLOOKUP(A2260,'Thống kê'!$C$3:$M$682,4,0)</f>
        <v>38000</v>
      </c>
      <c r="E2260" s="438">
        <v>1</v>
      </c>
      <c r="F2260" s="439">
        <f t="shared" si="9"/>
        <v>38000</v>
      </c>
      <c r="G2260" s="440"/>
      <c r="H2260" s="446"/>
    </row>
    <row r="2261" spans="1:8" ht="13.2">
      <c r="A2261" s="454" t="s">
        <v>115</v>
      </c>
      <c r="B2261" s="452" t="str">
        <f>VLOOKUP(A2261,'Thống kê'!$C$3:$D$669,2,0)</f>
        <v>Heo ú</v>
      </c>
      <c r="C2261" s="436" t="str">
        <f>VLOOKUP(A2261,'Thống kê'!$C$3:$E$682,3,0)</f>
        <v>cái</v>
      </c>
      <c r="D2261" s="437">
        <f>VLOOKUP(A2261,'Thống kê'!$C$3:$M$682,4,0)</f>
        <v>59500</v>
      </c>
      <c r="E2261" s="438">
        <v>1</v>
      </c>
      <c r="F2261" s="439">
        <f t="shared" si="9"/>
        <v>59500</v>
      </c>
      <c r="G2261" s="440"/>
      <c r="H2261" s="447">
        <v>140675</v>
      </c>
    </row>
    <row r="2262" spans="1:8" ht="13.2">
      <c r="A2262" s="454" t="s">
        <v>1589</v>
      </c>
      <c r="B2262" s="452" t="str">
        <f>VLOOKUP(A2262,'Thống kê'!$C$3:$D$669,2,0)</f>
        <v>Heo ú bay</v>
      </c>
      <c r="C2262" s="436" t="str">
        <f>VLOOKUP(A2262,'Thống kê'!$C$3:$E$682,3,0)</f>
        <v>cái</v>
      </c>
      <c r="D2262" s="437">
        <f>VLOOKUP(A2262,'Thống kê'!$C$3:$M$682,4,0)</f>
        <v>64500</v>
      </c>
      <c r="E2262" s="438">
        <v>1</v>
      </c>
      <c r="F2262" s="439">
        <f t="shared" si="9"/>
        <v>64500</v>
      </c>
      <c r="G2262" s="440"/>
      <c r="H2262" s="446"/>
    </row>
    <row r="2263" spans="1:8" ht="13.2">
      <c r="A2263" s="454" t="s">
        <v>186</v>
      </c>
      <c r="B2263" s="452" t="str">
        <f>VLOOKUP(A2263,'Thống kê'!$C$3:$D$669,2,0)</f>
        <v>Thỏ ú bay</v>
      </c>
      <c r="C2263" s="436" t="str">
        <f>VLOOKUP(A2263,'Thống kê'!$C$3:$E$682,3,0)</f>
        <v>cái</v>
      </c>
      <c r="D2263" s="437">
        <f>VLOOKUP(A2263,'Thống kê'!$C$3:$M$682,4,0)</f>
        <v>64500</v>
      </c>
      <c r="E2263" s="438">
        <v>1</v>
      </c>
      <c r="F2263" s="439">
        <f t="shared" si="9"/>
        <v>64500</v>
      </c>
      <c r="G2263" s="440"/>
      <c r="H2263" s="446"/>
    </row>
    <row r="2264" spans="1:8" ht="13.2">
      <c r="A2264" s="454" t="s">
        <v>1625</v>
      </c>
      <c r="B2264" s="452" t="str">
        <f>VLOOKUP(A2264,'Thống kê'!$C$3:$D$669,2,0)</f>
        <v>Móc khóa đôi 2 mèo trắng nâu</v>
      </c>
      <c r="C2264" s="436" t="str">
        <f>VLOOKUP(A2264,'Thống kê'!$C$3:$E$682,3,0)</f>
        <v>cái</v>
      </c>
      <c r="D2264" s="437">
        <f>VLOOKUP(A2264,'Thống kê'!$C$3:$M$682,4,0)</f>
        <v>59000</v>
      </c>
      <c r="E2264" s="438">
        <v>1</v>
      </c>
      <c r="F2264" s="439">
        <f t="shared" si="9"/>
        <v>59000</v>
      </c>
      <c r="G2264" s="440"/>
      <c r="H2264" s="447">
        <v>51808</v>
      </c>
    </row>
    <row r="2265" spans="1:8" ht="13.2">
      <c r="A2265" s="454" t="s">
        <v>1992</v>
      </c>
      <c r="B2265" s="452" t="str">
        <f>VLOOKUP(A2265,'Thống kê'!$C$3:$D$669,2,0)</f>
        <v>Vớ trắng icon be 5</v>
      </c>
      <c r="C2265" s="436" t="str">
        <f>VLOOKUP(A2265,'Thống kê'!$C$3:$E$682,3,0)</f>
        <v>đôi</v>
      </c>
      <c r="D2265" s="437">
        <f>VLOOKUP(A2265,'Thống kê'!$C$3:$M$682,4,0)</f>
        <v>9900</v>
      </c>
      <c r="E2265" s="438">
        <v>1</v>
      </c>
      <c r="F2265" s="439">
        <f t="shared" si="9"/>
        <v>9900</v>
      </c>
      <c r="G2265" s="440"/>
      <c r="H2265" s="446"/>
    </row>
    <row r="2266" spans="1:8" ht="13.2">
      <c r="A2266" s="454" t="s">
        <v>1623</v>
      </c>
      <c r="B2266" s="452" t="str">
        <f>VLOOKUP(A2266,'Thống kê'!$C$3:$D$669,2,0)</f>
        <v>Mô hình mèo 5</v>
      </c>
      <c r="C2266" s="436" t="str">
        <f>VLOOKUP(A2266,'Thống kê'!$C$3:$E$682,3,0)</f>
        <v>cái</v>
      </c>
      <c r="D2266" s="437">
        <f>VLOOKUP(A2266,'Thống kê'!$C$3:$M$682,4,0)</f>
        <v>37800</v>
      </c>
      <c r="E2266" s="438">
        <v>-16</v>
      </c>
      <c r="F2266" s="439">
        <f t="shared" si="9"/>
        <v>-604800</v>
      </c>
      <c r="G2266" s="440"/>
      <c r="H2266" s="448">
        <v>-497164</v>
      </c>
    </row>
    <row r="2267" spans="1:8" ht="13.2">
      <c r="A2267" s="454" t="s">
        <v>1329</v>
      </c>
      <c r="B2267" s="452" t="str">
        <f>VLOOKUP(A2267,'Thống kê'!$C$3:$D$669,2,0)</f>
        <v>Móc khóa Popbean</v>
      </c>
      <c r="C2267" s="436" t="str">
        <f>VLOOKUP(A2267,'Thống kê'!$C$3:$E$682,3,0)</f>
        <v>cái</v>
      </c>
      <c r="D2267" s="437">
        <f>VLOOKUP(A2267,'Thống kê'!$C$3:$M$682,4,0)</f>
        <v>148000</v>
      </c>
      <c r="E2267" s="438">
        <v>1</v>
      </c>
      <c r="F2267" s="439">
        <f t="shared" si="9"/>
        <v>148000</v>
      </c>
      <c r="G2267" s="440"/>
      <c r="H2267" s="447">
        <v>114750</v>
      </c>
    </row>
    <row r="2268" spans="1:8" ht="13.2">
      <c r="A2268" s="454" t="s">
        <v>1606</v>
      </c>
      <c r="B2268" s="452" t="str">
        <f>VLOOKUP(A2268,'Thống kê'!$C$3:$D$669,2,0)</f>
        <v>Kẹp Snack hình khoai tay gọt</v>
      </c>
      <c r="C2268" s="436" t="str">
        <f>VLOOKUP(A2268,'Thống kê'!$C$3:$E$682,3,0)</f>
        <v>cái</v>
      </c>
      <c r="D2268" s="437">
        <f>VLOOKUP(A2268,'Thống kê'!$C$3:$M$682,4,0)</f>
        <v>12000</v>
      </c>
      <c r="E2268" s="438">
        <v>1</v>
      </c>
      <c r="F2268" s="439">
        <f t="shared" si="9"/>
        <v>12000</v>
      </c>
      <c r="G2268" s="440"/>
      <c r="H2268" s="446"/>
    </row>
    <row r="2269" spans="1:8" ht="13.2">
      <c r="A2269" s="454" t="s">
        <v>1979</v>
      </c>
      <c r="B2269" s="452" t="str">
        <f>VLOOKUP(A2269,'Thống kê'!$C$3:$D$669,2,0)</f>
        <v>Kẹp khuếch tán tinh dầu mèo hồng</v>
      </c>
      <c r="C2269" s="436" t="str">
        <f>VLOOKUP(A2269,'Thống kê'!$C$3:$E$682,3,0)</f>
        <v>cái</v>
      </c>
      <c r="D2269" s="437">
        <f>VLOOKUP(A2269,'Thống kê'!$C$3:$M$682,4,0)</f>
        <v>142400</v>
      </c>
      <c r="E2269" s="438">
        <v>1</v>
      </c>
      <c r="F2269" s="439">
        <f t="shared" si="9"/>
        <v>142400</v>
      </c>
      <c r="G2269" s="440"/>
      <c r="H2269" s="448">
        <v>108800</v>
      </c>
    </row>
    <row r="2270" spans="1:8" ht="13.2">
      <c r="A2270" s="454" t="s">
        <v>1594</v>
      </c>
      <c r="B2270" s="452" t="str">
        <f>VLOOKUP(A2270,'Thống kê'!$C$3:$D$669,2,0)</f>
        <v>Móc khóa đôi heo</v>
      </c>
      <c r="C2270" s="436" t="str">
        <f>VLOOKUP(A2270,'Thống kê'!$C$3:$E$682,3,0)</f>
        <v>cái</v>
      </c>
      <c r="D2270" s="437">
        <f>VLOOKUP(A2270,'Thống kê'!$C$3:$M$682,4,0)</f>
        <v>56580</v>
      </c>
      <c r="E2270" s="438">
        <v>1</v>
      </c>
      <c r="F2270" s="439">
        <f t="shared" si="9"/>
        <v>56580</v>
      </c>
      <c r="G2270" s="440"/>
      <c r="H2270" s="448">
        <v>43284</v>
      </c>
    </row>
    <row r="2271" spans="1:8" ht="13.2">
      <c r="A2271" s="454" t="s">
        <v>150</v>
      </c>
      <c r="B2271" s="452" t="str">
        <f>VLOOKUP(A2271,'Thống kê'!$C$3:$D$669,2,0)</f>
        <v>Móc khóa có chuông</v>
      </c>
      <c r="C2271" s="436" t="str">
        <f>VLOOKUP(A2271,'Thống kê'!$C$3:$E$682,3,0)</f>
        <v>cái</v>
      </c>
      <c r="D2271" s="437">
        <f>VLOOKUP(A2271,'Thống kê'!$C$3:$M$682,4,0)</f>
        <v>59000</v>
      </c>
      <c r="E2271" s="438">
        <v>1</v>
      </c>
      <c r="F2271" s="439">
        <f t="shared" si="9"/>
        <v>59000</v>
      </c>
      <c r="G2271" s="440"/>
      <c r="H2271" s="448">
        <v>45060</v>
      </c>
    </row>
    <row r="2272" spans="1:8" ht="13.2">
      <c r="A2272" s="454" t="s">
        <v>1625</v>
      </c>
      <c r="B2272" s="452" t="str">
        <f>VLOOKUP(A2272,'Thống kê'!$C$3:$D$669,2,0)</f>
        <v>Móc khóa đôi 2 mèo trắng nâu</v>
      </c>
      <c r="C2272" s="436" t="str">
        <f>VLOOKUP(A2272,'Thống kê'!$C$3:$E$682,3,0)</f>
        <v>cái</v>
      </c>
      <c r="D2272" s="437">
        <f>VLOOKUP(A2272,'Thống kê'!$C$3:$M$682,4,0)</f>
        <v>59000</v>
      </c>
      <c r="E2272" s="438">
        <v>1</v>
      </c>
      <c r="F2272" s="439">
        <f t="shared" si="9"/>
        <v>59000</v>
      </c>
      <c r="G2272" s="440"/>
      <c r="H2272" s="448">
        <v>52735</v>
      </c>
    </row>
    <row r="2273" spans="1:8" ht="13.2">
      <c r="A2273" s="454" t="s">
        <v>1625</v>
      </c>
      <c r="B2273" s="452" t="str">
        <f>VLOOKUP(A2273,'Thống kê'!$C$3:$D$669,2,0)</f>
        <v>Móc khóa đôi 2 mèo trắng nâu</v>
      </c>
      <c r="C2273" s="436" t="str">
        <f>VLOOKUP(A2273,'Thống kê'!$C$3:$E$682,3,0)</f>
        <v>cái</v>
      </c>
      <c r="D2273" s="437">
        <f>VLOOKUP(A2273,'Thống kê'!$C$3:$M$682,4,0)</f>
        <v>59000</v>
      </c>
      <c r="E2273" s="438">
        <v>1</v>
      </c>
      <c r="F2273" s="439">
        <f t="shared" si="9"/>
        <v>59000</v>
      </c>
      <c r="G2273" s="440"/>
      <c r="H2273" s="448">
        <v>48935</v>
      </c>
    </row>
    <row r="2274" spans="1:8" ht="13.2">
      <c r="A2274" s="454" t="s">
        <v>2052</v>
      </c>
      <c r="B2274" s="452" t="str">
        <f>VLOOKUP(A2274,'Thống kê'!$C$3:$D$669,2,0)</f>
        <v>Buộc tóc trắng nhung tăm</v>
      </c>
      <c r="C2274" s="436" t="str">
        <f>VLOOKUP(A2274,'Thống kê'!$C$3:$E$682,3,0)</f>
        <v>cái</v>
      </c>
      <c r="D2274" s="437">
        <f>VLOOKUP(A2274,'Thống kê'!$C$3:$M$682,4,0)</f>
        <v>11000</v>
      </c>
      <c r="E2274" s="438">
        <v>1</v>
      </c>
      <c r="F2274" s="439">
        <f t="shared" si="9"/>
        <v>11000</v>
      </c>
      <c r="G2274" s="440"/>
      <c r="H2274" s="447">
        <v>40393</v>
      </c>
    </row>
    <row r="2275" spans="1:8" ht="13.2">
      <c r="A2275" s="454" t="s">
        <v>1927</v>
      </c>
      <c r="B2275" s="452" t="str">
        <f>VLOOKUP(A2275,'Thống kê'!$C$3:$D$669,2,0)</f>
        <v>Kẹp tóc bướm tím</v>
      </c>
      <c r="C2275" s="436" t="str">
        <f>VLOOKUP(A2275,'Thống kê'!$C$3:$E$682,3,0)</f>
        <v>cái</v>
      </c>
      <c r="D2275" s="437">
        <f>VLOOKUP(A2275,'Thống kê'!$C$3:$M$682,4,0)</f>
        <v>19000</v>
      </c>
      <c r="E2275" s="438">
        <v>1</v>
      </c>
      <c r="F2275" s="439">
        <f t="shared" si="9"/>
        <v>19000</v>
      </c>
      <c r="G2275" s="440"/>
      <c r="H2275" s="446"/>
    </row>
    <row r="2276" spans="1:8" ht="13.2">
      <c r="A2276" s="454" t="s">
        <v>2053</v>
      </c>
      <c r="B2276" s="452" t="str">
        <f>VLOOKUP(A2276,'Thống kê'!$C$3:$D$669,2,0)</f>
        <v>Buộc tóc vải xốp đen</v>
      </c>
      <c r="C2276" s="436" t="str">
        <f>VLOOKUP(A2276,'Thống kê'!$C$3:$E$682,3,0)</f>
        <v>cái</v>
      </c>
      <c r="D2276" s="437">
        <f>VLOOKUP(A2276,'Thống kê'!$C$3:$M$682,4,0)</f>
        <v>14000</v>
      </c>
      <c r="E2276" s="438">
        <v>1</v>
      </c>
      <c r="F2276" s="439">
        <f t="shared" si="9"/>
        <v>14000</v>
      </c>
      <c r="G2276" s="440"/>
      <c r="H2276" s="446"/>
    </row>
    <row r="2277" spans="1:8" ht="13.2">
      <c r="A2277" s="454" t="s">
        <v>2054</v>
      </c>
      <c r="B2277" s="452" t="str">
        <f>VLOOKUP(A2277,'Thống kê'!$C$3:$D$669,2,0)</f>
        <v>Buộc tóc hồng lông nhỏ</v>
      </c>
      <c r="C2277" s="436" t="str">
        <f>VLOOKUP(A2277,'Thống kê'!$C$3:$E$682,3,0)</f>
        <v>cái</v>
      </c>
      <c r="D2277" s="437">
        <f>VLOOKUP(A2277,'Thống kê'!$C$3:$M$682,4,0)</f>
        <v>12000</v>
      </c>
      <c r="E2277" s="438">
        <v>1</v>
      </c>
      <c r="F2277" s="439">
        <f t="shared" si="9"/>
        <v>12000</v>
      </c>
      <c r="G2277" s="440"/>
      <c r="H2277" s="446"/>
    </row>
    <row r="2278" spans="1:8" ht="13.2">
      <c r="A2278" s="454" t="s">
        <v>119</v>
      </c>
      <c r="B2278" s="452" t="str">
        <f>VLOOKUP(A2278,'Thống kê'!$C$3:$D$669,2,0)</f>
        <v>Thỏ chạy xe gắn xe</v>
      </c>
      <c r="C2278" s="436" t="str">
        <f>VLOOKUP(A2278,'Thống kê'!$C$3:$E$682,3,0)</f>
        <v>cái</v>
      </c>
      <c r="D2278" s="437">
        <f>VLOOKUP(A2278,'Thống kê'!$C$3:$M$682,4,0)</f>
        <v>45000</v>
      </c>
      <c r="E2278" s="438">
        <v>1</v>
      </c>
      <c r="F2278" s="439">
        <f t="shared" si="9"/>
        <v>45000</v>
      </c>
      <c r="G2278" s="440"/>
      <c r="H2278" s="448">
        <v>34875</v>
      </c>
    </row>
    <row r="2279" spans="1:8" ht="13.2">
      <c r="A2279" s="454" t="s">
        <v>1624</v>
      </c>
      <c r="B2279" s="452" t="str">
        <f>VLOOKUP(A2279,'Thống kê'!$C$3:$D$669,2,0)</f>
        <v>Móc khóa mèo trái tim</v>
      </c>
      <c r="C2279" s="436" t="str">
        <f>VLOOKUP(A2279,'Thống kê'!$C$3:$E$682,3,0)</f>
        <v>cái</v>
      </c>
      <c r="D2279" s="437">
        <f>VLOOKUP(A2279,'Thống kê'!$C$3:$M$682,4,0)</f>
        <v>59000</v>
      </c>
      <c r="E2279" s="438">
        <v>1</v>
      </c>
      <c r="F2279" s="439">
        <f t="shared" si="9"/>
        <v>59000</v>
      </c>
      <c r="G2279" s="440"/>
      <c r="H2279" s="448">
        <v>49950</v>
      </c>
    </row>
    <row r="2280" spans="1:8" ht="13.2">
      <c r="A2280" s="454" t="s">
        <v>1716</v>
      </c>
      <c r="B2280" s="452" t="str">
        <f>VLOOKUP(A2280,'Thống kê'!$C$3:$D$669,2,0)</f>
        <v>Móc khóa đôi 2 quả lê có nam châm</v>
      </c>
      <c r="C2280" s="436" t="str">
        <f>VLOOKUP(A2280,'Thống kê'!$C$3:$E$682,3,0)</f>
        <v>cái</v>
      </c>
      <c r="D2280" s="437">
        <f>VLOOKUP(A2280,'Thống kê'!$C$3:$M$682,4,0)</f>
        <v>59000</v>
      </c>
      <c r="E2280" s="438">
        <v>1</v>
      </c>
      <c r="F2280" s="439">
        <f t="shared" si="9"/>
        <v>59000</v>
      </c>
      <c r="G2280" s="440"/>
      <c r="H2280" s="448">
        <v>45135</v>
      </c>
    </row>
    <row r="2281" spans="1:8" ht="13.2">
      <c r="A2281" s="454" t="s">
        <v>1329</v>
      </c>
      <c r="B2281" s="452" t="str">
        <f>VLOOKUP(A2281,'Thống kê'!$C$3:$D$669,2,0)</f>
        <v>Móc khóa Popbean</v>
      </c>
      <c r="C2281" s="436" t="str">
        <f>VLOOKUP(A2281,'Thống kê'!$C$3:$E$682,3,0)</f>
        <v>cái</v>
      </c>
      <c r="D2281" s="437">
        <f>VLOOKUP(A2281,'Thống kê'!$C$3:$M$682,4,0)</f>
        <v>148000</v>
      </c>
      <c r="E2281" s="438">
        <v>1</v>
      </c>
      <c r="F2281" s="439">
        <f t="shared" si="9"/>
        <v>148000</v>
      </c>
      <c r="G2281" s="440"/>
      <c r="H2281" s="447">
        <v>226780</v>
      </c>
    </row>
    <row r="2282" spans="1:8" ht="13.2">
      <c r="A2282" s="454" t="s">
        <v>1660</v>
      </c>
      <c r="B2282" s="452" t="str">
        <f>VLOOKUP(A2282,'Thống kê'!$C$3:$D$669,2,0)</f>
        <v>Móc khóa Popbean Skull Panda</v>
      </c>
      <c r="C2282" s="436" t="str">
        <f>VLOOKUP(A2282,'Thống kê'!$C$3:$E$682,3,0)</f>
        <v>cái</v>
      </c>
      <c r="D2282" s="437">
        <f>VLOOKUP(A2282,'Thống kê'!$C$3:$M$682,4,0)</f>
        <v>155000</v>
      </c>
      <c r="E2282" s="438">
        <v>1</v>
      </c>
      <c r="F2282" s="439">
        <f t="shared" si="9"/>
        <v>155000</v>
      </c>
      <c r="G2282" s="440"/>
      <c r="H2282" s="446"/>
    </row>
    <row r="2283" spans="1:8" ht="13.2">
      <c r="A2283" s="454" t="s">
        <v>1606</v>
      </c>
      <c r="B2283" s="452" t="str">
        <f>VLOOKUP(A2283,'Thống kê'!$C$3:$D$669,2,0)</f>
        <v>Kẹp Snack hình khoai tay gọt</v>
      </c>
      <c r="C2283" s="436" t="str">
        <f>VLOOKUP(A2283,'Thống kê'!$C$3:$E$682,3,0)</f>
        <v>cái</v>
      </c>
      <c r="D2283" s="437">
        <f>VLOOKUP(A2283,'Thống kê'!$C$3:$M$682,4,0)</f>
        <v>12000</v>
      </c>
      <c r="E2283" s="438">
        <v>1</v>
      </c>
      <c r="F2283" s="439">
        <f t="shared" si="9"/>
        <v>12000</v>
      </c>
      <c r="G2283" s="440"/>
      <c r="H2283" s="446"/>
    </row>
    <row r="2284" spans="1:8" ht="13.2">
      <c r="A2284" s="454" t="s">
        <v>1716</v>
      </c>
      <c r="B2284" s="452" t="str">
        <f>VLOOKUP(A2284,'Thống kê'!$C$3:$D$669,2,0)</f>
        <v>Móc khóa đôi 2 quả lê có nam châm</v>
      </c>
      <c r="C2284" s="436" t="str">
        <f>VLOOKUP(A2284,'Thống kê'!$C$3:$E$682,3,0)</f>
        <v>cái</v>
      </c>
      <c r="D2284" s="437">
        <f>VLOOKUP(A2284,'Thống kê'!$C$3:$M$682,4,0)</f>
        <v>59000</v>
      </c>
      <c r="E2284" s="438">
        <v>1</v>
      </c>
      <c r="F2284" s="439">
        <f t="shared" si="9"/>
        <v>59000</v>
      </c>
      <c r="G2284" s="440"/>
      <c r="H2284" s="448">
        <v>44760</v>
      </c>
    </row>
    <row r="2285" spans="1:8" ht="13.2">
      <c r="A2285" s="454" t="s">
        <v>2055</v>
      </c>
      <c r="B2285" s="452" t="str">
        <f>VLOOKUP(A2285,'Thống kê'!$C$3:$D$669,2,0)</f>
        <v>Móc khoá cún Bánh mì</v>
      </c>
      <c r="C2285" s="436" t="str">
        <f>VLOOKUP(A2285,'Thống kê'!$C$3:$E$682,3,0)</f>
        <v>cái</v>
      </c>
      <c r="D2285" s="437">
        <f>VLOOKUP(A2285,'Thống kê'!$C$3:$M$682,4,0)</f>
        <v>38000</v>
      </c>
      <c r="E2285" s="438">
        <v>1</v>
      </c>
      <c r="F2285" s="439">
        <f t="shared" si="9"/>
        <v>38000</v>
      </c>
      <c r="G2285" s="440"/>
      <c r="H2285" s="447">
        <v>138635</v>
      </c>
    </row>
    <row r="2286" spans="1:8" ht="13.2">
      <c r="A2286" s="454" t="s">
        <v>2021</v>
      </c>
      <c r="B2286" s="452" t="str">
        <f>VLOOKUP(A2286,'Thống kê'!$C$3:$D$669,2,0)</f>
        <v>Móc khóa Popbean 09</v>
      </c>
      <c r="C2286" s="436" t="str">
        <f>VLOOKUP(A2286,'Thống kê'!$C$3:$E$682,3,0)</f>
        <v>cái</v>
      </c>
      <c r="D2286" s="437">
        <f>VLOOKUP(A2286,'Thống kê'!$C$3:$M$682,4,0)</f>
        <v>161850</v>
      </c>
      <c r="E2286" s="438">
        <v>1</v>
      </c>
      <c r="F2286" s="439">
        <f t="shared" si="9"/>
        <v>161850</v>
      </c>
      <c r="G2286" s="440"/>
      <c r="H2286" s="446"/>
    </row>
    <row r="2287" spans="1:8" ht="13.2">
      <c r="A2287" s="454" t="s">
        <v>1606</v>
      </c>
      <c r="B2287" s="452" t="str">
        <f>VLOOKUP(A2287,'Thống kê'!$C$3:$D$669,2,0)</f>
        <v>Kẹp Snack hình khoai tay gọt</v>
      </c>
      <c r="C2287" s="436" t="str">
        <f>VLOOKUP(A2287,'Thống kê'!$C$3:$E$682,3,0)</f>
        <v>cái</v>
      </c>
      <c r="D2287" s="437">
        <f>VLOOKUP(A2287,'Thống kê'!$C$3:$M$682,4,0)</f>
        <v>12000</v>
      </c>
      <c r="E2287" s="438">
        <v>1</v>
      </c>
      <c r="F2287" s="439">
        <f t="shared" si="9"/>
        <v>12000</v>
      </c>
      <c r="G2287" s="440"/>
      <c r="H2287" s="446"/>
    </row>
    <row r="2288" spans="1:8" ht="13.2">
      <c r="A2288" s="454" t="s">
        <v>1632</v>
      </c>
      <c r="B2288" s="452" t="str">
        <f>VLOOKUP(A2288,'Thống kê'!$C$3:$D$669,2,0)</f>
        <v>Móc khóa đôi mèo trắng</v>
      </c>
      <c r="C2288" s="436" t="str">
        <f>VLOOKUP(A2288,'Thống kê'!$C$3:$E$682,3,0)</f>
        <v>cái</v>
      </c>
      <c r="D2288" s="437">
        <f>VLOOKUP(A2288,'Thống kê'!$C$3:$M$682,4,0)</f>
        <v>59000</v>
      </c>
      <c r="E2288" s="438">
        <v>1</v>
      </c>
      <c r="F2288" s="439">
        <f t="shared" si="9"/>
        <v>59000</v>
      </c>
      <c r="G2288" s="440"/>
      <c r="H2288" s="448">
        <v>44935</v>
      </c>
    </row>
    <row r="2289" spans="1:8" ht="13.2">
      <c r="A2289" s="454" t="s">
        <v>1657</v>
      </c>
      <c r="B2289" s="452" t="str">
        <f>VLOOKUP(A2289,'Thống kê'!$C$3:$D$669,2,0)</f>
        <v>Móc khóa Popbean Cry Baby</v>
      </c>
      <c r="C2289" s="436" t="str">
        <f>VLOOKUP(A2289,'Thống kê'!$C$3:$E$682,3,0)</f>
        <v>cái</v>
      </c>
      <c r="D2289" s="437">
        <f>VLOOKUP(A2289,'Thống kê'!$C$3:$M$682,4,0)</f>
        <v>155000</v>
      </c>
      <c r="E2289" s="438">
        <v>1</v>
      </c>
      <c r="F2289" s="439">
        <f t="shared" si="9"/>
        <v>155000</v>
      </c>
      <c r="G2289" s="440"/>
      <c r="H2289" s="447">
        <v>111775</v>
      </c>
    </row>
    <row r="2290" spans="1:8" ht="13.2">
      <c r="A2290" s="454" t="s">
        <v>1606</v>
      </c>
      <c r="B2290" s="452" t="str">
        <f>VLOOKUP(A2290,'Thống kê'!$C$3:$D$669,2,0)</f>
        <v>Kẹp Snack hình khoai tay gọt</v>
      </c>
      <c r="C2290" s="436" t="str">
        <f>VLOOKUP(A2290,'Thống kê'!$C$3:$E$682,3,0)</f>
        <v>cái</v>
      </c>
      <c r="D2290" s="437">
        <f>VLOOKUP(A2290,'Thống kê'!$C$3:$M$682,4,0)</f>
        <v>12000</v>
      </c>
      <c r="E2290" s="438">
        <v>1</v>
      </c>
      <c r="F2290" s="439">
        <f t="shared" si="9"/>
        <v>12000</v>
      </c>
      <c r="G2290" s="440"/>
      <c r="H2290" s="446"/>
    </row>
    <row r="2291" spans="1:8" ht="13.2">
      <c r="A2291" s="454" t="s">
        <v>1594</v>
      </c>
      <c r="B2291" s="452" t="str">
        <f>VLOOKUP(A2291,'Thống kê'!$C$3:$D$669,2,0)</f>
        <v>Móc khóa đôi heo</v>
      </c>
      <c r="C2291" s="436" t="str">
        <f>VLOOKUP(A2291,'Thống kê'!$C$3:$E$682,3,0)</f>
        <v>cái</v>
      </c>
      <c r="D2291" s="437">
        <f>VLOOKUP(A2291,'Thống kê'!$C$3:$M$682,4,0)</f>
        <v>56580</v>
      </c>
      <c r="E2291" s="438">
        <v>1</v>
      </c>
      <c r="F2291" s="439">
        <f t="shared" si="9"/>
        <v>56580</v>
      </c>
      <c r="G2291" s="440"/>
      <c r="H2291" s="448">
        <v>42884</v>
      </c>
    </row>
    <row r="2292" spans="1:8" ht="13.2">
      <c r="A2292" s="454" t="s">
        <v>2056</v>
      </c>
      <c r="B2292" s="452" t="str">
        <f>VLOOKUP(A2292,'Thống kê'!$C$3:$D$669,2,0)</f>
        <v>Buộc tóc trắng vải xù</v>
      </c>
      <c r="C2292" s="436" t="str">
        <f>VLOOKUP(A2292,'Thống kê'!$C$3:$E$682,3,0)</f>
        <v>cái</v>
      </c>
      <c r="D2292" s="437">
        <f>VLOOKUP(A2292,'Thống kê'!$C$3:$M$682,4,0)</f>
        <v>12000</v>
      </c>
      <c r="E2292" s="438">
        <v>1</v>
      </c>
      <c r="F2292" s="439">
        <f t="shared" si="9"/>
        <v>12000</v>
      </c>
      <c r="G2292" s="440"/>
      <c r="H2292" s="447">
        <v>156039</v>
      </c>
    </row>
    <row r="2293" spans="1:8" ht="13.2">
      <c r="A2293" s="454" t="s">
        <v>1997</v>
      </c>
      <c r="B2293" s="452" t="str">
        <f>VLOOKUP(A2293,'Thống kê'!$C$3:$D$669,2,0)</f>
        <v>Vớ cổ cao trắng hoa hồng</v>
      </c>
      <c r="C2293" s="436" t="str">
        <f>VLOOKUP(A2293,'Thống kê'!$C$3:$E$682,3,0)</f>
        <v>đôi</v>
      </c>
      <c r="D2293" s="437">
        <f>VLOOKUP(A2293,'Thống kê'!$C$3:$M$682,4,0)</f>
        <v>15900</v>
      </c>
      <c r="E2293" s="438">
        <v>1</v>
      </c>
      <c r="F2293" s="439">
        <f t="shared" si="9"/>
        <v>15900</v>
      </c>
      <c r="G2293" s="440"/>
      <c r="H2293" s="446"/>
    </row>
    <row r="2294" spans="1:8" ht="13.2">
      <c r="A2294" s="454" t="s">
        <v>1916</v>
      </c>
      <c r="B2294" s="452" t="str">
        <f>VLOOKUP(A2294,'Thống kê'!$C$3:$D$669,2,0)</f>
        <v>Vớ trắng mỏng nhiều hoa</v>
      </c>
      <c r="C2294" s="436" t="str">
        <f>VLOOKUP(A2294,'Thống kê'!$C$3:$E$682,3,0)</f>
        <v>đôi</v>
      </c>
      <c r="D2294" s="437">
        <f>VLOOKUP(A2294,'Thống kê'!$C$3:$M$682,4,0)</f>
        <v>9900</v>
      </c>
      <c r="E2294" s="438">
        <v>1</v>
      </c>
      <c r="F2294" s="439">
        <f t="shared" si="9"/>
        <v>9900</v>
      </c>
      <c r="G2294" s="440"/>
      <c r="H2294" s="446"/>
    </row>
    <row r="2295" spans="1:8" ht="13.2">
      <c r="A2295" s="454" t="s">
        <v>1631</v>
      </c>
      <c r="B2295" s="452" t="str">
        <f>VLOOKUP(A2295,'Thống kê'!$C$3:$D$669,2,0)</f>
        <v>Kẹp tóc bướm xanh vàng</v>
      </c>
      <c r="C2295" s="436" t="str">
        <f>VLOOKUP(A2295,'Thống kê'!$C$3:$E$682,3,0)</f>
        <v>cái</v>
      </c>
      <c r="D2295" s="437">
        <f>VLOOKUP(A2295,'Thống kê'!$C$3:$M$682,4,0)</f>
        <v>52000</v>
      </c>
      <c r="E2295" s="438">
        <v>1</v>
      </c>
      <c r="F2295" s="439">
        <f t="shared" si="9"/>
        <v>52000</v>
      </c>
      <c r="G2295" s="440"/>
      <c r="H2295" s="446"/>
    </row>
    <row r="2296" spans="1:8" ht="13.2">
      <c r="A2296" s="454" t="s">
        <v>1842</v>
      </c>
      <c r="B2296" s="452" t="str">
        <f>VLOOKUP(A2296,'Thống kê'!$C$3:$D$669,2,0)</f>
        <v>Trâm cài 27</v>
      </c>
      <c r="C2296" s="436" t="str">
        <f>VLOOKUP(A2296,'Thống kê'!$C$3:$E$682,3,0)</f>
        <v>cây</v>
      </c>
      <c r="D2296" s="437">
        <f>VLOOKUP(A2296,'Thống kê'!$C$3:$M$682,4,0)</f>
        <v>36340</v>
      </c>
      <c r="E2296" s="438">
        <v>1</v>
      </c>
      <c r="F2296" s="439">
        <f t="shared" si="9"/>
        <v>36340</v>
      </c>
      <c r="G2296" s="440"/>
      <c r="H2296" s="446"/>
    </row>
    <row r="2297" spans="1:8" ht="13.2">
      <c r="A2297" s="454" t="s">
        <v>2057</v>
      </c>
      <c r="B2297" s="452" t="str">
        <f>VLOOKUP(A2297,'Thống kê'!$C$3:$D$669,2,0)</f>
        <v>Trâm cài 29</v>
      </c>
      <c r="C2297" s="436" t="str">
        <f>VLOOKUP(A2297,'Thống kê'!$C$3:$E$682,3,0)</f>
        <v>cây</v>
      </c>
      <c r="D2297" s="437">
        <f>VLOOKUP(A2297,'Thống kê'!$C$3:$M$682,4,0)</f>
        <v>36340</v>
      </c>
      <c r="E2297" s="438">
        <v>1</v>
      </c>
      <c r="F2297" s="439">
        <f t="shared" si="9"/>
        <v>36340</v>
      </c>
      <c r="G2297" s="440"/>
      <c r="H2297" s="446"/>
    </row>
    <row r="2298" spans="1:8" ht="13.2">
      <c r="A2298" s="454" t="s">
        <v>2005</v>
      </c>
      <c r="B2298" s="452" t="str">
        <f>VLOOKUP(A2298,'Thống kê'!$C$3:$D$669,2,0)</f>
        <v>Kẹp tóc len hoa be</v>
      </c>
      <c r="C2298" s="436" t="str">
        <f>VLOOKUP(A2298,'Thống kê'!$C$3:$E$682,3,0)</f>
        <v>cái</v>
      </c>
      <c r="D2298" s="437">
        <f>VLOOKUP(A2298,'Thống kê'!$C$3:$M$682,4,0)</f>
        <v>32500</v>
      </c>
      <c r="E2298" s="438">
        <v>1</v>
      </c>
      <c r="F2298" s="439">
        <f t="shared" si="9"/>
        <v>32500</v>
      </c>
      <c r="G2298" s="440"/>
      <c r="H2298" s="446"/>
    </row>
    <row r="2299" spans="1:8" ht="13.2">
      <c r="A2299" s="454" t="s">
        <v>1918</v>
      </c>
      <c r="B2299" s="452" t="str">
        <f>VLOOKUP(A2299,'Thống kê'!$C$3:$D$669,2,0)</f>
        <v>Vớ cổ cao trắng hoa vàng</v>
      </c>
      <c r="C2299" s="436" t="str">
        <f>VLOOKUP(A2299,'Thống kê'!$C$3:$E$682,3,0)</f>
        <v>đôi</v>
      </c>
      <c r="D2299" s="437">
        <f>VLOOKUP(A2299,'Thống kê'!$C$3:$M$682,4,0)</f>
        <v>19800</v>
      </c>
      <c r="E2299" s="438">
        <v>1</v>
      </c>
      <c r="F2299" s="439">
        <f t="shared" si="9"/>
        <v>19800</v>
      </c>
      <c r="G2299" s="440"/>
      <c r="H2299" s="446"/>
    </row>
    <row r="2300" spans="1:8" ht="13.2">
      <c r="A2300" s="454" t="s">
        <v>232</v>
      </c>
      <c r="B2300" s="452" t="str">
        <f>VLOOKUP(A2300,'Thống kê'!$C$3:$D$669,2,0)</f>
        <v>Cáo gắn xe</v>
      </c>
      <c r="C2300" s="436" t="str">
        <f>VLOOKUP(A2300,'Thống kê'!$C$3:$E$682,3,0)</f>
        <v>cái</v>
      </c>
      <c r="D2300" s="437">
        <f>VLOOKUP(A2300,'Thống kê'!$C$3:$M$682,4,0)</f>
        <v>45000</v>
      </c>
      <c r="E2300" s="438">
        <v>1</v>
      </c>
      <c r="F2300" s="439">
        <f t="shared" si="9"/>
        <v>45000</v>
      </c>
      <c r="G2300" s="440"/>
      <c r="H2300" s="448">
        <v>34975</v>
      </c>
    </row>
    <row r="2301" spans="1:8" ht="13.2">
      <c r="A2301" s="454" t="s">
        <v>1329</v>
      </c>
      <c r="B2301" s="452" t="str">
        <f>VLOOKUP(A2301,'Thống kê'!$C$3:$D$669,2,0)</f>
        <v>Móc khóa Popbean</v>
      </c>
      <c r="C2301" s="436" t="str">
        <f>VLOOKUP(A2301,'Thống kê'!$C$3:$E$682,3,0)</f>
        <v>cái</v>
      </c>
      <c r="D2301" s="437">
        <f>VLOOKUP(A2301,'Thống kê'!$C$3:$M$682,4,0)</f>
        <v>148000</v>
      </c>
      <c r="E2301" s="438">
        <v>1</v>
      </c>
      <c r="F2301" s="439">
        <f t="shared" si="9"/>
        <v>148000</v>
      </c>
      <c r="G2301" s="440"/>
      <c r="H2301" s="447">
        <v>116450</v>
      </c>
    </row>
    <row r="2302" spans="1:8" ht="13.2">
      <c r="A2302" s="454" t="s">
        <v>1606</v>
      </c>
      <c r="B2302" s="452" t="str">
        <f>VLOOKUP(A2302,'Thống kê'!$C$3:$D$669,2,0)</f>
        <v>Kẹp Snack hình khoai tay gọt</v>
      </c>
      <c r="C2302" s="436" t="str">
        <f>VLOOKUP(A2302,'Thống kê'!$C$3:$E$682,3,0)</f>
        <v>cái</v>
      </c>
      <c r="D2302" s="437">
        <f>VLOOKUP(A2302,'Thống kê'!$C$3:$M$682,4,0)</f>
        <v>12000</v>
      </c>
      <c r="E2302" s="438">
        <v>1</v>
      </c>
      <c r="F2302" s="439">
        <f t="shared" si="9"/>
        <v>12000</v>
      </c>
      <c r="G2302" s="440"/>
      <c r="H2302" s="446"/>
    </row>
    <row r="2303" spans="1:8" ht="13.2">
      <c r="A2303" s="454" t="s">
        <v>1639</v>
      </c>
      <c r="B2303" s="452" t="str">
        <f>VLOOKUP(A2303,'Thống kê'!$C$3:$D$669,2,0)</f>
        <v>Móc khóa đôi Puppy</v>
      </c>
      <c r="C2303" s="436" t="str">
        <f>VLOOKUP(A2303,'Thống kê'!$C$3:$E$682,3,0)</f>
        <v>cái</v>
      </c>
      <c r="D2303" s="437">
        <f>VLOOKUP(A2303,'Thống kê'!$C$3:$M$682,4,0)</f>
        <v>59000</v>
      </c>
      <c r="E2303" s="438">
        <v>1</v>
      </c>
      <c r="F2303" s="439">
        <f t="shared" si="9"/>
        <v>59000</v>
      </c>
      <c r="G2303" s="440"/>
      <c r="H2303" s="448">
        <v>45060</v>
      </c>
    </row>
    <row r="2304" spans="1:8" ht="13.2">
      <c r="A2304" s="454" t="s">
        <v>1657</v>
      </c>
      <c r="B2304" s="452" t="str">
        <f>VLOOKUP(A2304,'Thống kê'!$C$3:$D$669,2,0)</f>
        <v>Móc khóa Popbean Cry Baby</v>
      </c>
      <c r="C2304" s="436" t="str">
        <f>VLOOKUP(A2304,'Thống kê'!$C$3:$E$682,3,0)</f>
        <v>cái</v>
      </c>
      <c r="D2304" s="437">
        <f>VLOOKUP(A2304,'Thống kê'!$C$3:$M$682,4,0)</f>
        <v>155000</v>
      </c>
      <c r="E2304" s="438">
        <v>1</v>
      </c>
      <c r="F2304" s="439">
        <f t="shared" si="9"/>
        <v>155000</v>
      </c>
      <c r="G2304" s="440"/>
      <c r="H2304" s="447">
        <v>110075</v>
      </c>
    </row>
    <row r="2305" spans="1:8" ht="13.2">
      <c r="A2305" s="454" t="s">
        <v>1606</v>
      </c>
      <c r="B2305" s="452" t="str">
        <f>VLOOKUP(A2305,'Thống kê'!$C$3:$D$669,2,0)</f>
        <v>Kẹp Snack hình khoai tay gọt</v>
      </c>
      <c r="C2305" s="436" t="str">
        <f>VLOOKUP(A2305,'Thống kê'!$C$3:$E$682,3,0)</f>
        <v>cái</v>
      </c>
      <c r="D2305" s="437">
        <f>VLOOKUP(A2305,'Thống kê'!$C$3:$M$682,4,0)</f>
        <v>12000</v>
      </c>
      <c r="E2305" s="438">
        <v>1</v>
      </c>
      <c r="F2305" s="439">
        <f t="shared" si="9"/>
        <v>12000</v>
      </c>
      <c r="G2305" s="440"/>
      <c r="H2305" s="446"/>
    </row>
    <row r="2306" spans="1:8" ht="13.2">
      <c r="A2306" s="454" t="s">
        <v>1591</v>
      </c>
      <c r="B2306" s="452" t="str">
        <f>VLOOKUP(A2306,'Thống kê'!$C$3:$D$669,2,0)</f>
        <v>Thỏ ú</v>
      </c>
      <c r="C2306" s="436" t="str">
        <f>VLOOKUP(A2306,'Thống kê'!$C$3:$E$682,3,0)</f>
        <v>cái</v>
      </c>
      <c r="D2306" s="437">
        <f>VLOOKUP(A2306,'Thống kê'!$C$3:$M$682,4,0)</f>
        <v>59500</v>
      </c>
      <c r="E2306" s="438">
        <v>1</v>
      </c>
      <c r="F2306" s="439">
        <f t="shared" si="9"/>
        <v>59500</v>
      </c>
      <c r="G2306" s="440"/>
      <c r="H2306" s="447">
        <v>142800</v>
      </c>
    </row>
    <row r="2307" spans="1:8" ht="13.2">
      <c r="A2307" s="454" t="s">
        <v>325</v>
      </c>
      <c r="B2307" s="452" t="str">
        <f>VLOOKUP(A2307,'Thống kê'!$C$3:$D$669,2,0)</f>
        <v>Gấu ú</v>
      </c>
      <c r="C2307" s="436" t="str">
        <f>VLOOKUP(A2307,'Thống kê'!$C$3:$E$682,3,0)</f>
        <v>cái</v>
      </c>
      <c r="D2307" s="437">
        <f>VLOOKUP(A2307,'Thống kê'!$C$3:$M$682,4,0)</f>
        <v>59500</v>
      </c>
      <c r="E2307" s="438">
        <v>1</v>
      </c>
      <c r="F2307" s="439">
        <f t="shared" si="9"/>
        <v>59500</v>
      </c>
      <c r="G2307" s="440"/>
      <c r="H2307" s="446"/>
    </row>
    <row r="2308" spans="1:8" ht="13.2">
      <c r="A2308" s="454" t="s">
        <v>1624</v>
      </c>
      <c r="B2308" s="452" t="str">
        <f>VLOOKUP(A2308,'Thống kê'!$C$3:$D$669,2,0)</f>
        <v>Móc khóa mèo trái tim</v>
      </c>
      <c r="C2308" s="436" t="str">
        <f>VLOOKUP(A2308,'Thống kê'!$C$3:$E$682,3,0)</f>
        <v>cái</v>
      </c>
      <c r="D2308" s="437">
        <f>VLOOKUP(A2308,'Thống kê'!$C$3:$M$682,4,0)</f>
        <v>59000</v>
      </c>
      <c r="E2308" s="438">
        <v>1</v>
      </c>
      <c r="F2308" s="439">
        <f t="shared" si="9"/>
        <v>59000</v>
      </c>
      <c r="G2308" s="440"/>
      <c r="H2308" s="446"/>
    </row>
    <row r="2309" spans="1:8" ht="13.2">
      <c r="A2309" s="454" t="s">
        <v>1624</v>
      </c>
      <c r="B2309" s="452" t="str">
        <f>VLOOKUP(A2309,'Thống kê'!$C$3:$D$669,2,0)</f>
        <v>Móc khóa mèo trái tim</v>
      </c>
      <c r="C2309" s="436" t="str">
        <f>VLOOKUP(A2309,'Thống kê'!$C$3:$E$682,3,0)</f>
        <v>cái</v>
      </c>
      <c r="D2309" s="437">
        <f>VLOOKUP(A2309,'Thống kê'!$C$3:$M$682,4,0)</f>
        <v>59000</v>
      </c>
      <c r="E2309" s="438">
        <v>1</v>
      </c>
      <c r="F2309" s="439">
        <f t="shared" si="9"/>
        <v>59000</v>
      </c>
      <c r="G2309" s="440"/>
      <c r="H2309" s="448">
        <v>45060</v>
      </c>
    </row>
    <row r="2310" spans="1:8" ht="13.2">
      <c r="A2310" s="454" t="s">
        <v>1589</v>
      </c>
      <c r="B2310" s="452" t="str">
        <f>VLOOKUP(A2310,'Thống kê'!$C$3:$D$669,2,0)</f>
        <v>Heo ú bay</v>
      </c>
      <c r="C2310" s="436" t="str">
        <f>VLOOKUP(A2310,'Thống kê'!$C$3:$E$682,3,0)</f>
        <v>cái</v>
      </c>
      <c r="D2310" s="437">
        <f>VLOOKUP(A2310,'Thống kê'!$C$3:$M$682,4,0)</f>
        <v>64500</v>
      </c>
      <c r="E2310" s="438">
        <v>1</v>
      </c>
      <c r="F2310" s="439">
        <f t="shared" si="9"/>
        <v>64500</v>
      </c>
      <c r="G2310" s="440"/>
      <c r="H2310" s="448">
        <v>44677</v>
      </c>
    </row>
    <row r="2311" spans="1:8" ht="13.2">
      <c r="A2311" s="454" t="s">
        <v>1624</v>
      </c>
      <c r="B2311" s="452" t="str">
        <f>VLOOKUP(A2311,'Thống kê'!$C$3:$D$669,2,0)</f>
        <v>Móc khóa mèo trái tim</v>
      </c>
      <c r="C2311" s="436" t="str">
        <f>VLOOKUP(A2311,'Thống kê'!$C$3:$E$682,3,0)</f>
        <v>cái</v>
      </c>
      <c r="D2311" s="437">
        <f>VLOOKUP(A2311,'Thống kê'!$C$3:$M$682,4,0)</f>
        <v>59000</v>
      </c>
      <c r="E2311" s="438">
        <v>1</v>
      </c>
      <c r="F2311" s="439">
        <f t="shared" si="9"/>
        <v>59000</v>
      </c>
      <c r="G2311" s="440"/>
      <c r="H2311" s="448">
        <v>52735</v>
      </c>
    </row>
    <row r="2312" spans="1:8" ht="13.2">
      <c r="A2312" s="454" t="s">
        <v>1332</v>
      </c>
      <c r="B2312" s="452" t="str">
        <f>VLOOKUP(A2312,'Thống kê'!$C$3:$D$669,2,0)</f>
        <v>Móc khóa Popbean</v>
      </c>
      <c r="C2312" s="436" t="str">
        <f>VLOOKUP(A2312,'Thống kê'!$C$3:$E$682,3,0)</f>
        <v>cái</v>
      </c>
      <c r="D2312" s="437">
        <f>VLOOKUP(A2312,'Thống kê'!$C$3:$M$682,4,0)</f>
        <v>148000</v>
      </c>
      <c r="E2312" s="438">
        <v>1</v>
      </c>
      <c r="F2312" s="439">
        <f t="shared" si="9"/>
        <v>148000</v>
      </c>
      <c r="G2312" s="440"/>
      <c r="H2312" s="447">
        <v>339575</v>
      </c>
    </row>
    <row r="2313" spans="1:8" ht="13.2">
      <c r="A2313" s="454" t="s">
        <v>1329</v>
      </c>
      <c r="B2313" s="452" t="str">
        <f>VLOOKUP(A2313,'Thống kê'!$C$3:$D$669,2,0)</f>
        <v>Móc khóa Popbean</v>
      </c>
      <c r="C2313" s="436" t="str">
        <f>VLOOKUP(A2313,'Thống kê'!$C$3:$E$682,3,0)</f>
        <v>cái</v>
      </c>
      <c r="D2313" s="437">
        <f>VLOOKUP(A2313,'Thống kê'!$C$3:$M$682,4,0)</f>
        <v>148000</v>
      </c>
      <c r="E2313" s="438">
        <v>1</v>
      </c>
      <c r="F2313" s="439">
        <f t="shared" si="9"/>
        <v>148000</v>
      </c>
      <c r="G2313" s="440"/>
      <c r="H2313" s="446"/>
    </row>
    <row r="2314" spans="1:8" ht="13.2">
      <c r="A2314" s="454" t="s">
        <v>1660</v>
      </c>
      <c r="B2314" s="452" t="str">
        <f>VLOOKUP(A2314,'Thống kê'!$C$3:$D$669,2,0)</f>
        <v>Móc khóa Popbean Skull Panda</v>
      </c>
      <c r="C2314" s="436" t="str">
        <f>VLOOKUP(A2314,'Thống kê'!$C$3:$E$682,3,0)</f>
        <v>cái</v>
      </c>
      <c r="D2314" s="437">
        <f>VLOOKUP(A2314,'Thống kê'!$C$3:$M$682,4,0)</f>
        <v>155000</v>
      </c>
      <c r="E2314" s="438">
        <v>1</v>
      </c>
      <c r="F2314" s="439">
        <f t="shared" si="9"/>
        <v>155000</v>
      </c>
      <c r="G2314" s="440"/>
      <c r="H2314" s="446"/>
    </row>
    <row r="2315" spans="1:8" ht="13.2">
      <c r="A2315" s="454" t="s">
        <v>1606</v>
      </c>
      <c r="B2315" s="452" t="str">
        <f>VLOOKUP(A2315,'Thống kê'!$C$3:$D$669,2,0)</f>
        <v>Kẹp Snack hình khoai tay gọt</v>
      </c>
      <c r="C2315" s="436" t="str">
        <f>VLOOKUP(A2315,'Thống kê'!$C$3:$E$682,3,0)</f>
        <v>cái</v>
      </c>
      <c r="D2315" s="437">
        <f>VLOOKUP(A2315,'Thống kê'!$C$3:$M$682,4,0)</f>
        <v>12000</v>
      </c>
      <c r="E2315" s="438">
        <v>1</v>
      </c>
      <c r="F2315" s="439">
        <f t="shared" si="9"/>
        <v>12000</v>
      </c>
      <c r="G2315" s="440"/>
      <c r="H2315" s="446"/>
    </row>
    <row r="2316" spans="1:8" ht="13.2">
      <c r="A2316" s="454" t="s">
        <v>1625</v>
      </c>
      <c r="B2316" s="452" t="str">
        <f>VLOOKUP(A2316,'Thống kê'!$C$3:$D$669,2,0)</f>
        <v>Móc khóa đôi 2 mèo trắng nâu</v>
      </c>
      <c r="C2316" s="436" t="str">
        <f>VLOOKUP(A2316,'Thống kê'!$C$3:$E$682,3,0)</f>
        <v>cái</v>
      </c>
      <c r="D2316" s="437">
        <f>VLOOKUP(A2316,'Thống kê'!$C$3:$M$682,4,0)</f>
        <v>59000</v>
      </c>
      <c r="E2316" s="438">
        <v>1</v>
      </c>
      <c r="F2316" s="439">
        <f t="shared" si="9"/>
        <v>59000</v>
      </c>
      <c r="G2316" s="440"/>
      <c r="H2316" s="448">
        <v>45135</v>
      </c>
    </row>
    <row r="2317" spans="1:8" ht="13.2">
      <c r="A2317" s="454" t="s">
        <v>1716</v>
      </c>
      <c r="B2317" s="452" t="str">
        <f>VLOOKUP(A2317,'Thống kê'!$C$3:$D$669,2,0)</f>
        <v>Móc khóa đôi 2 quả lê có nam châm</v>
      </c>
      <c r="C2317" s="436" t="str">
        <f>VLOOKUP(A2317,'Thống kê'!$C$3:$E$682,3,0)</f>
        <v>cái</v>
      </c>
      <c r="D2317" s="437">
        <f>VLOOKUP(A2317,'Thống kê'!$C$3:$M$682,4,0)</f>
        <v>59000</v>
      </c>
      <c r="E2317" s="438">
        <v>1</v>
      </c>
      <c r="F2317" s="439">
        <f t="shared" si="9"/>
        <v>59000</v>
      </c>
      <c r="G2317" s="440"/>
      <c r="H2317" s="448">
        <v>44735</v>
      </c>
    </row>
    <row r="2318" spans="1:8" ht="13.2">
      <c r="A2318" s="454" t="s">
        <v>1624</v>
      </c>
      <c r="B2318" s="452" t="str">
        <f>VLOOKUP(A2318,'Thống kê'!$C$3:$D$669,2,0)</f>
        <v>Móc khóa mèo trái tim</v>
      </c>
      <c r="C2318" s="436" t="str">
        <f>VLOOKUP(A2318,'Thống kê'!$C$3:$E$682,3,0)</f>
        <v>cái</v>
      </c>
      <c r="D2318" s="437">
        <f>VLOOKUP(A2318,'Thống kê'!$C$3:$M$682,4,0)</f>
        <v>59000</v>
      </c>
      <c r="E2318" s="438">
        <v>1</v>
      </c>
      <c r="F2318" s="439">
        <f t="shared" si="9"/>
        <v>59000</v>
      </c>
      <c r="G2318" s="440"/>
      <c r="H2318" s="448">
        <v>52735</v>
      </c>
    </row>
    <row r="2319" spans="1:8" ht="13.2">
      <c r="A2319" s="454" t="s">
        <v>143</v>
      </c>
      <c r="B2319" s="452" t="str">
        <f>VLOOKUP(A2319,'Thống kê'!$C$3:$D$669,2,0)</f>
        <v>Mèo ú</v>
      </c>
      <c r="C2319" s="436" t="str">
        <f>VLOOKUP(A2319,'Thống kê'!$C$3:$E$682,3,0)</f>
        <v>cái</v>
      </c>
      <c r="D2319" s="437">
        <f>VLOOKUP(A2319,'Thống kê'!$C$3:$M$682,4,0)</f>
        <v>59500</v>
      </c>
      <c r="E2319" s="438">
        <v>1</v>
      </c>
      <c r="F2319" s="439">
        <f t="shared" si="9"/>
        <v>59500</v>
      </c>
      <c r="G2319" s="440"/>
      <c r="H2319" s="448">
        <v>61852</v>
      </c>
    </row>
    <row r="2320" spans="1:8" ht="13.2">
      <c r="A2320" s="454" t="s">
        <v>1590</v>
      </c>
      <c r="B2320" s="452" t="str">
        <f>VLOOKUP(A2320,'Thống kê'!$C$3:$D$669,2,0)</f>
        <v>Cún ú hoa</v>
      </c>
      <c r="C2320" s="436" t="str">
        <f>VLOOKUP(A2320,'Thống kê'!$C$3:$E$682,3,0)</f>
        <v>cái</v>
      </c>
      <c r="D2320" s="437">
        <f>VLOOKUP(A2320,'Thống kê'!$C$3:$M$682,4,0)</f>
        <v>64500</v>
      </c>
      <c r="E2320" s="438">
        <v>1</v>
      </c>
      <c r="F2320" s="439">
        <f t="shared" si="9"/>
        <v>64500</v>
      </c>
      <c r="G2320" s="440"/>
      <c r="H2320" s="448">
        <v>52352</v>
      </c>
    </row>
    <row r="2321" spans="1:8" ht="13.2">
      <c r="A2321" s="454" t="s">
        <v>1594</v>
      </c>
      <c r="B2321" s="452" t="str">
        <f>VLOOKUP(A2321,'Thống kê'!$C$3:$D$669,2,0)</f>
        <v>Móc khóa đôi heo</v>
      </c>
      <c r="C2321" s="436" t="str">
        <f>VLOOKUP(A2321,'Thống kê'!$C$3:$E$682,3,0)</f>
        <v>cái</v>
      </c>
      <c r="D2321" s="437">
        <f>VLOOKUP(A2321,'Thống kê'!$C$3:$M$682,4,0)</f>
        <v>56580</v>
      </c>
      <c r="E2321" s="438">
        <v>1</v>
      </c>
      <c r="F2321" s="439">
        <f t="shared" si="9"/>
        <v>56580</v>
      </c>
      <c r="G2321" s="440"/>
      <c r="H2321" s="448">
        <v>42884</v>
      </c>
    </row>
    <row r="2322" spans="1:8" ht="13.2">
      <c r="A2322" s="454" t="s">
        <v>2057</v>
      </c>
      <c r="B2322" s="452" t="str">
        <f>VLOOKUP(A2322,'Thống kê'!$C$3:$D$669,2,0)</f>
        <v>Trâm cài 29</v>
      </c>
      <c r="C2322" s="436" t="str">
        <f>VLOOKUP(A2322,'Thống kê'!$C$3:$E$682,3,0)</f>
        <v>cây</v>
      </c>
      <c r="D2322" s="437">
        <f>VLOOKUP(A2322,'Thống kê'!$C$3:$M$682,4,0)</f>
        <v>36340</v>
      </c>
      <c r="E2322" s="438">
        <v>1</v>
      </c>
      <c r="F2322" s="439">
        <f t="shared" si="9"/>
        <v>36340</v>
      </c>
      <c r="G2322" s="440"/>
      <c r="H2322" s="448">
        <v>30814</v>
      </c>
    </row>
    <row r="2323" spans="1:8" ht="13.2">
      <c r="A2323" s="454" t="s">
        <v>119</v>
      </c>
      <c r="B2323" s="452" t="str">
        <f>VLOOKUP(A2323,'Thống kê'!$C$3:$D$669,2,0)</f>
        <v>Thỏ chạy xe gắn xe</v>
      </c>
      <c r="C2323" s="436" t="str">
        <f>VLOOKUP(A2323,'Thống kê'!$C$3:$E$682,3,0)</f>
        <v>cái</v>
      </c>
      <c r="D2323" s="437">
        <f>VLOOKUP(A2323,'Thống kê'!$C$3:$M$682,4,0)</f>
        <v>45000</v>
      </c>
      <c r="E2323" s="438">
        <v>1</v>
      </c>
      <c r="F2323" s="439">
        <f t="shared" si="9"/>
        <v>45000</v>
      </c>
      <c r="G2323" s="440"/>
      <c r="H2323" s="448">
        <v>35100</v>
      </c>
    </row>
    <row r="2324" spans="1:8" ht="13.2">
      <c r="A2324" s="454" t="s">
        <v>1624</v>
      </c>
      <c r="B2324" s="452" t="str">
        <f>VLOOKUP(A2324,'Thống kê'!$C$3:$D$669,2,0)</f>
        <v>Móc khóa mèo trái tim</v>
      </c>
      <c r="C2324" s="436" t="str">
        <f>VLOOKUP(A2324,'Thống kê'!$C$3:$E$682,3,0)</f>
        <v>cái</v>
      </c>
      <c r="D2324" s="437">
        <f>VLOOKUP(A2324,'Thống kê'!$C$3:$M$682,4,0)</f>
        <v>59000</v>
      </c>
      <c r="E2324" s="438">
        <v>1</v>
      </c>
      <c r="F2324" s="439">
        <f t="shared" si="9"/>
        <v>59000</v>
      </c>
      <c r="G2324" s="440"/>
      <c r="H2324" s="448">
        <v>44235</v>
      </c>
    </row>
    <row r="2325" spans="1:8" ht="13.2">
      <c r="A2325" s="454" t="s">
        <v>1622</v>
      </c>
      <c r="B2325" s="452" t="str">
        <f>VLOOKUP(A2325,'Thống kê'!$C$3:$D$669,2,0)</f>
        <v>Mô hình mèo 1</v>
      </c>
      <c r="C2325" s="436" t="str">
        <f>VLOOKUP(A2325,'Thống kê'!$C$3:$E$682,3,0)</f>
        <v>cái</v>
      </c>
      <c r="D2325" s="437">
        <f>VLOOKUP(A2325,'Thống kê'!$C$3:$M$682,4,0)</f>
        <v>37800</v>
      </c>
      <c r="E2325" s="438">
        <v>1</v>
      </c>
      <c r="F2325" s="439">
        <f t="shared" si="9"/>
        <v>37800</v>
      </c>
      <c r="G2325" s="440"/>
      <c r="H2325" s="447">
        <v>151007</v>
      </c>
    </row>
    <row r="2326" spans="1:8" ht="13.2">
      <c r="A2326" s="454" t="s">
        <v>1621</v>
      </c>
      <c r="B2326" s="452" t="str">
        <f>VLOOKUP(A2326,'Thống kê'!$C$3:$D$669,2,0)</f>
        <v>Mô hình mèo 2</v>
      </c>
      <c r="C2326" s="436" t="str">
        <f>VLOOKUP(A2326,'Thống kê'!$C$3:$E$682,3,0)</f>
        <v>cái</v>
      </c>
      <c r="D2326" s="437">
        <f>VLOOKUP(A2326,'Thống kê'!$C$3:$M$682,4,0)</f>
        <v>37800</v>
      </c>
      <c r="E2326" s="438">
        <v>1</v>
      </c>
      <c r="F2326" s="439">
        <f t="shared" si="9"/>
        <v>37800</v>
      </c>
      <c r="G2326" s="440"/>
      <c r="H2326" s="446"/>
    </row>
    <row r="2327" spans="1:8" ht="13.2">
      <c r="A2327" s="454" t="s">
        <v>1636</v>
      </c>
      <c r="B2327" s="452" t="str">
        <f>VLOOKUP(A2327,'Thống kê'!$C$3:$D$669,2,0)</f>
        <v>Mô hình mèo 3</v>
      </c>
      <c r="C2327" s="436" t="str">
        <f>VLOOKUP(A2327,'Thống kê'!$C$3:$E$682,3,0)</f>
        <v>cái</v>
      </c>
      <c r="D2327" s="437">
        <f>VLOOKUP(A2327,'Thống kê'!$C$3:$M$682,4,0)</f>
        <v>37800</v>
      </c>
      <c r="E2327" s="438">
        <v>1</v>
      </c>
      <c r="F2327" s="439">
        <f t="shared" si="9"/>
        <v>37800</v>
      </c>
      <c r="G2327" s="440"/>
      <c r="H2327" s="446"/>
    </row>
    <row r="2328" spans="1:8" ht="13.2">
      <c r="A2328" s="454" t="s">
        <v>1635</v>
      </c>
      <c r="B2328" s="452" t="str">
        <f>VLOOKUP(A2328,'Thống kê'!$C$3:$D$669,2,0)</f>
        <v>Mô hình mèo 4</v>
      </c>
      <c r="C2328" s="436" t="str">
        <f>VLOOKUP(A2328,'Thống kê'!$C$3:$E$682,3,0)</f>
        <v>cái</v>
      </c>
      <c r="D2328" s="437">
        <f>VLOOKUP(A2328,'Thống kê'!$C$3:$M$682,4,0)</f>
        <v>37800</v>
      </c>
      <c r="E2328" s="438">
        <v>1</v>
      </c>
      <c r="F2328" s="439">
        <f t="shared" si="9"/>
        <v>37800</v>
      </c>
      <c r="G2328" s="440"/>
      <c r="H2328" s="446"/>
    </row>
    <row r="2329" spans="1:8" ht="13.2">
      <c r="A2329" s="454" t="s">
        <v>1623</v>
      </c>
      <c r="B2329" s="452" t="str">
        <f>VLOOKUP(A2329,'Thống kê'!$C$3:$D$669,2,0)</f>
        <v>Mô hình mèo 5</v>
      </c>
      <c r="C2329" s="436" t="str">
        <f>VLOOKUP(A2329,'Thống kê'!$C$3:$E$682,3,0)</f>
        <v>cái</v>
      </c>
      <c r="D2329" s="437">
        <f>VLOOKUP(A2329,'Thống kê'!$C$3:$M$682,4,0)</f>
        <v>37800</v>
      </c>
      <c r="E2329" s="438">
        <v>1</v>
      </c>
      <c r="F2329" s="439">
        <f t="shared" si="9"/>
        <v>37800</v>
      </c>
      <c r="G2329" s="440"/>
      <c r="H2329" s="446"/>
    </row>
    <row r="2330" spans="1:8" ht="13.2">
      <c r="A2330" s="454" t="s">
        <v>1716</v>
      </c>
      <c r="B2330" s="452" t="str">
        <f>VLOOKUP(A2330,'Thống kê'!$C$3:$D$669,2,0)</f>
        <v>Móc khóa đôi 2 quả lê có nam châm</v>
      </c>
      <c r="C2330" s="436" t="str">
        <f>VLOOKUP(A2330,'Thống kê'!$C$3:$E$682,3,0)</f>
        <v>cái</v>
      </c>
      <c r="D2330" s="437">
        <f>VLOOKUP(A2330,'Thống kê'!$C$3:$M$682,4,0)</f>
        <v>59000</v>
      </c>
      <c r="E2330" s="438">
        <v>1</v>
      </c>
      <c r="F2330" s="439">
        <f t="shared" si="9"/>
        <v>59000</v>
      </c>
      <c r="G2330" s="440"/>
      <c r="H2330" s="448">
        <v>45060</v>
      </c>
    </row>
    <row r="2331" spans="1:8" ht="13.2">
      <c r="A2331" s="454" t="s">
        <v>1647</v>
      </c>
      <c r="B2331" s="452" t="str">
        <f>VLOOKUP(A2331,'Thống kê'!$C$3:$D$669,2,0)</f>
        <v>Túi chườm bụng dứa (xanh đậm) 500ml</v>
      </c>
      <c r="C2331" s="436" t="str">
        <f>VLOOKUP(A2331,'Thống kê'!$C$3:$E$682,3,0)</f>
        <v>túi</v>
      </c>
      <c r="D2331" s="437">
        <f>VLOOKUP(A2331,'Thống kê'!$C$3:$M$682,4,0)</f>
        <v>78200</v>
      </c>
      <c r="E2331" s="438">
        <v>1</v>
      </c>
      <c r="F2331" s="439">
        <f t="shared" si="9"/>
        <v>78200</v>
      </c>
      <c r="G2331" s="440"/>
      <c r="H2331" s="448">
        <v>67490</v>
      </c>
    </row>
    <row r="2332" spans="1:8" ht="13.2">
      <c r="A2332" s="454" t="s">
        <v>1589</v>
      </c>
      <c r="B2332" s="452" t="str">
        <f>VLOOKUP(A2332,'Thống kê'!$C$3:$D$669,2,0)</f>
        <v>Heo ú bay</v>
      </c>
      <c r="C2332" s="436" t="str">
        <f>VLOOKUP(A2332,'Thống kê'!$C$3:$E$682,3,0)</f>
        <v>cái</v>
      </c>
      <c r="D2332" s="437">
        <f>VLOOKUP(A2332,'Thống kê'!$C$3:$M$682,4,0)</f>
        <v>64500</v>
      </c>
      <c r="E2332" s="438">
        <v>1</v>
      </c>
      <c r="F2332" s="439">
        <f t="shared" si="9"/>
        <v>64500</v>
      </c>
      <c r="G2332" s="440"/>
      <c r="H2332" s="448">
        <v>44552</v>
      </c>
    </row>
    <row r="2333" spans="1:8" ht="13.2">
      <c r="A2333" s="454" t="s">
        <v>2023</v>
      </c>
      <c r="B2333" s="452" t="str">
        <f>VLOOKUP(A2333,'Thống kê'!$C$3:$D$669,2,0)</f>
        <v>Túi chườm bụng gấu nâu 500ml</v>
      </c>
      <c r="C2333" s="436" t="str">
        <f>VLOOKUP(A2333,'Thống kê'!$C$3:$E$682,3,0)</f>
        <v>túi</v>
      </c>
      <c r="D2333" s="437">
        <f>VLOOKUP(A2333,'Thống kê'!$C$3:$M$682,4,0)</f>
        <v>81000</v>
      </c>
      <c r="E2333" s="438">
        <v>1</v>
      </c>
      <c r="F2333" s="439">
        <f t="shared" si="9"/>
        <v>81000</v>
      </c>
      <c r="G2333" s="440"/>
      <c r="H2333" s="448">
        <v>61565</v>
      </c>
    </row>
    <row r="2334" spans="1:8" ht="13.2">
      <c r="A2334" s="454" t="s">
        <v>115</v>
      </c>
      <c r="B2334" s="452" t="str">
        <f>VLOOKUP(A2334,'Thống kê'!$C$3:$D$669,2,0)</f>
        <v>Heo ú</v>
      </c>
      <c r="C2334" s="436" t="str">
        <f>VLOOKUP(A2334,'Thống kê'!$C$3:$E$682,3,0)</f>
        <v>cái</v>
      </c>
      <c r="D2334" s="437">
        <f>VLOOKUP(A2334,'Thống kê'!$C$3:$M$682,4,0)</f>
        <v>59500</v>
      </c>
      <c r="E2334" s="438">
        <v>1</v>
      </c>
      <c r="F2334" s="439">
        <f t="shared" si="9"/>
        <v>59500</v>
      </c>
      <c r="G2334" s="440"/>
      <c r="H2334" s="447">
        <v>92650</v>
      </c>
    </row>
    <row r="2335" spans="1:8" ht="13.2">
      <c r="A2335" s="454" t="s">
        <v>325</v>
      </c>
      <c r="B2335" s="452" t="str">
        <f>VLOOKUP(A2335,'Thống kê'!$C$3:$D$669,2,0)</f>
        <v>Gấu ú</v>
      </c>
      <c r="C2335" s="436" t="str">
        <f>VLOOKUP(A2335,'Thống kê'!$C$3:$E$682,3,0)</f>
        <v>cái</v>
      </c>
      <c r="D2335" s="437">
        <f>VLOOKUP(A2335,'Thống kê'!$C$3:$M$682,4,0)</f>
        <v>59500</v>
      </c>
      <c r="E2335" s="438">
        <v>1</v>
      </c>
      <c r="F2335" s="439">
        <f t="shared" si="9"/>
        <v>59500</v>
      </c>
      <c r="G2335" s="440"/>
      <c r="H2335" s="446"/>
    </row>
    <row r="2336" spans="1:8" ht="13.2">
      <c r="A2336" s="454" t="s">
        <v>1329</v>
      </c>
      <c r="B2336" s="452" t="str">
        <f>VLOOKUP(A2336,'Thống kê'!$C$3:$D$669,2,0)</f>
        <v>Móc khóa Popbean</v>
      </c>
      <c r="C2336" s="436" t="str">
        <f>VLOOKUP(A2336,'Thống kê'!$C$3:$E$682,3,0)</f>
        <v>cái</v>
      </c>
      <c r="D2336" s="437">
        <f>VLOOKUP(A2336,'Thống kê'!$C$3:$M$682,4,0)</f>
        <v>148000</v>
      </c>
      <c r="E2336" s="438">
        <v>1</v>
      </c>
      <c r="F2336" s="439">
        <f t="shared" si="9"/>
        <v>148000</v>
      </c>
      <c r="G2336" s="440"/>
      <c r="H2336" s="447">
        <v>215832</v>
      </c>
    </row>
    <row r="2337" spans="1:8" ht="13.2">
      <c r="A2337" s="454" t="s">
        <v>1660</v>
      </c>
      <c r="B2337" s="452" t="str">
        <f>VLOOKUP(A2337,'Thống kê'!$C$3:$D$669,2,0)</f>
        <v>Móc khóa Popbean Skull Panda</v>
      </c>
      <c r="C2337" s="436" t="str">
        <f>VLOOKUP(A2337,'Thống kê'!$C$3:$E$682,3,0)</f>
        <v>cái</v>
      </c>
      <c r="D2337" s="437">
        <f>VLOOKUP(A2337,'Thống kê'!$C$3:$M$682,4,0)</f>
        <v>155000</v>
      </c>
      <c r="E2337" s="438">
        <v>1</v>
      </c>
      <c r="F2337" s="439">
        <f t="shared" si="9"/>
        <v>155000</v>
      </c>
      <c r="G2337" s="440"/>
      <c r="H2337" s="446"/>
    </row>
    <row r="2338" spans="1:8" ht="13.2">
      <c r="A2338" s="454" t="s">
        <v>1606</v>
      </c>
      <c r="B2338" s="452" t="str">
        <f>VLOOKUP(A2338,'Thống kê'!$C$3:$D$669,2,0)</f>
        <v>Kẹp Snack hình khoai tay gọt</v>
      </c>
      <c r="C2338" s="436" t="str">
        <f>VLOOKUP(A2338,'Thống kê'!$C$3:$E$682,3,0)</f>
        <v>cái</v>
      </c>
      <c r="D2338" s="437">
        <f>VLOOKUP(A2338,'Thống kê'!$C$3:$M$682,4,0)</f>
        <v>12000</v>
      </c>
      <c r="E2338" s="438">
        <v>1</v>
      </c>
      <c r="F2338" s="439">
        <f t="shared" si="9"/>
        <v>12000</v>
      </c>
      <c r="G2338" s="440"/>
      <c r="H2338" s="446"/>
    </row>
    <row r="2339" spans="1:8" ht="13.2">
      <c r="A2339" s="454" t="s">
        <v>1661</v>
      </c>
      <c r="B2339" s="452" t="str">
        <f>VLOOKUP(A2339,'Thống kê'!$C$3:$D$669,2,0)</f>
        <v>Móc khóa Popbean Kubo</v>
      </c>
      <c r="C2339" s="436" t="str">
        <f>VLOOKUP(A2339,'Thống kê'!$C$3:$E$682,3,0)</f>
        <v>cái</v>
      </c>
      <c r="D2339" s="437">
        <f>VLOOKUP(A2339,'Thống kê'!$C$3:$M$682,4,0)</f>
        <v>148000</v>
      </c>
      <c r="E2339" s="438">
        <v>1</v>
      </c>
      <c r="F2339" s="439">
        <f t="shared" si="9"/>
        <v>148000</v>
      </c>
      <c r="G2339" s="440"/>
      <c r="H2339" s="447">
        <v>100300</v>
      </c>
    </row>
    <row r="2340" spans="1:8" ht="13.2">
      <c r="A2340" s="454" t="s">
        <v>1606</v>
      </c>
      <c r="B2340" s="452" t="str">
        <f>VLOOKUP(A2340,'Thống kê'!$C$3:$D$669,2,0)</f>
        <v>Kẹp Snack hình khoai tay gọt</v>
      </c>
      <c r="C2340" s="436" t="str">
        <f>VLOOKUP(A2340,'Thống kê'!$C$3:$E$682,3,0)</f>
        <v>cái</v>
      </c>
      <c r="D2340" s="437">
        <f>VLOOKUP(A2340,'Thống kê'!$C$3:$M$682,4,0)</f>
        <v>12000</v>
      </c>
      <c r="E2340" s="438">
        <v>1</v>
      </c>
      <c r="F2340" s="439">
        <f t="shared" si="9"/>
        <v>12000</v>
      </c>
      <c r="G2340" s="440"/>
      <c r="H2340" s="446"/>
    </row>
    <row r="2341" spans="1:8" ht="13.2">
      <c r="A2341" s="454" t="s">
        <v>2058</v>
      </c>
      <c r="B2341" s="452" t="str">
        <f>VLOOKUP(A2341,'Thống kê'!$C$3:$D$669,2,0)</f>
        <v>Dao rọc giấy gấu nâu</v>
      </c>
      <c r="C2341" s="436" t="str">
        <f>VLOOKUP(A2341,'Thống kê'!$C$3:$E$682,3,0)</f>
        <v>cái</v>
      </c>
      <c r="D2341" s="437">
        <f>VLOOKUP(A2341,'Thống kê'!$C$3:$M$682,4,0)</f>
        <v>9000</v>
      </c>
      <c r="E2341" s="438">
        <v>1</v>
      </c>
      <c r="F2341" s="439">
        <f t="shared" si="9"/>
        <v>9000</v>
      </c>
      <c r="G2341" s="440"/>
      <c r="H2341" s="447">
        <v>51256</v>
      </c>
    </row>
    <row r="2342" spans="1:8" ht="13.2">
      <c r="A2342" s="454" t="s">
        <v>150</v>
      </c>
      <c r="B2342" s="452" t="str">
        <f>VLOOKUP(A2342,'Thống kê'!$C$3:$D$669,2,0)</f>
        <v>Móc khóa có chuông</v>
      </c>
      <c r="C2342" s="436" t="str">
        <f>VLOOKUP(A2342,'Thống kê'!$C$3:$E$682,3,0)</f>
        <v>cái</v>
      </c>
      <c r="D2342" s="437">
        <f>VLOOKUP(A2342,'Thống kê'!$C$3:$M$682,4,0)</f>
        <v>59000</v>
      </c>
      <c r="E2342" s="438">
        <v>1</v>
      </c>
      <c r="F2342" s="439">
        <f t="shared" si="9"/>
        <v>59000</v>
      </c>
      <c r="G2342" s="440"/>
      <c r="H2342" s="446"/>
    </row>
    <row r="2343" spans="1:8" ht="13.2">
      <c r="A2343" s="454" t="s">
        <v>1329</v>
      </c>
      <c r="B2343" s="452" t="str">
        <f>VLOOKUP(A2343,'Thống kê'!$C$3:$D$669,2,0)</f>
        <v>Móc khóa Popbean</v>
      </c>
      <c r="C2343" s="436" t="str">
        <f>VLOOKUP(A2343,'Thống kê'!$C$3:$E$682,3,0)</f>
        <v>cái</v>
      </c>
      <c r="D2343" s="437">
        <f>VLOOKUP(A2343,'Thống kê'!$C$3:$M$682,4,0)</f>
        <v>148000</v>
      </c>
      <c r="E2343" s="438">
        <v>1</v>
      </c>
      <c r="F2343" s="439">
        <f t="shared" si="9"/>
        <v>148000</v>
      </c>
      <c r="G2343" s="440"/>
      <c r="H2343" s="447">
        <v>110500</v>
      </c>
    </row>
    <row r="2344" spans="1:8" ht="13.2">
      <c r="A2344" s="454" t="s">
        <v>1606</v>
      </c>
      <c r="B2344" s="452" t="str">
        <f>VLOOKUP(A2344,'Thống kê'!$C$3:$D$669,2,0)</f>
        <v>Kẹp Snack hình khoai tay gọt</v>
      </c>
      <c r="C2344" s="436" t="str">
        <f>VLOOKUP(A2344,'Thống kê'!$C$3:$E$682,3,0)</f>
        <v>cái</v>
      </c>
      <c r="D2344" s="437">
        <f>VLOOKUP(A2344,'Thống kê'!$C$3:$M$682,4,0)</f>
        <v>12000</v>
      </c>
      <c r="E2344" s="438">
        <v>1</v>
      </c>
      <c r="F2344" s="439">
        <f t="shared" si="9"/>
        <v>12000</v>
      </c>
      <c r="G2344" s="440"/>
      <c r="H2344" s="446"/>
    </row>
    <row r="2345" spans="1:8" ht="13.2">
      <c r="A2345" s="454" t="s">
        <v>1584</v>
      </c>
      <c r="B2345" s="452" t="str">
        <f>VLOOKUP(A2345,'Thống kê'!$C$3:$D$669,2,0)</f>
        <v>Móc khoá mèo bông hồng trắng</v>
      </c>
      <c r="C2345" s="436" t="str">
        <f>VLOOKUP(A2345,'Thống kê'!$C$3:$E$682,3,0)</f>
        <v>cái</v>
      </c>
      <c r="D2345" s="437">
        <f>VLOOKUP(A2345,'Thống kê'!$C$3:$M$682,4,0)</f>
        <v>98000</v>
      </c>
      <c r="E2345" s="438">
        <v>1</v>
      </c>
      <c r="F2345" s="439">
        <f t="shared" si="9"/>
        <v>98000</v>
      </c>
      <c r="G2345" s="440"/>
      <c r="H2345" s="447">
        <v>144670</v>
      </c>
    </row>
    <row r="2346" spans="1:8" ht="13.2">
      <c r="A2346" s="454" t="s">
        <v>1585</v>
      </c>
      <c r="B2346" s="452" t="str">
        <f>VLOOKUP(A2346,'Thống kê'!$C$3:$D$669,2,0)</f>
        <v>Móc khoá mèo bông đen</v>
      </c>
      <c r="C2346" s="436" t="str">
        <f>VLOOKUP(A2346,'Thống kê'!$C$3:$E$682,3,0)</f>
        <v>cái</v>
      </c>
      <c r="D2346" s="437">
        <f>VLOOKUP(A2346,'Thống kê'!$C$3:$M$682,4,0)</f>
        <v>98000</v>
      </c>
      <c r="E2346" s="438">
        <v>1</v>
      </c>
      <c r="F2346" s="439">
        <f t="shared" si="9"/>
        <v>98000</v>
      </c>
      <c r="G2346" s="440"/>
      <c r="H2346" s="446"/>
    </row>
    <row r="2347" spans="1:8" ht="13.2">
      <c r="A2347" s="454" t="s">
        <v>1603</v>
      </c>
      <c r="B2347" s="452" t="str">
        <f>VLOOKUP(A2347,'Thống kê'!$C$3:$D$669,2,0)</f>
        <v>Thước dây hồng phấn</v>
      </c>
      <c r="C2347" s="436" t="str">
        <f>VLOOKUP(A2347,'Thống kê'!$C$3:$E$682,3,0)</f>
        <v>cái</v>
      </c>
      <c r="D2347" s="437">
        <f>VLOOKUP(A2347,'Thống kê'!$C$3:$M$682,4,0)</f>
        <v>9000</v>
      </c>
      <c r="E2347" s="438">
        <v>1</v>
      </c>
      <c r="F2347" s="439">
        <f t="shared" si="9"/>
        <v>9000</v>
      </c>
      <c r="G2347" s="440"/>
      <c r="H2347" s="446"/>
    </row>
    <row r="2348" spans="1:8" ht="13.2">
      <c r="A2348" s="454" t="s">
        <v>1640</v>
      </c>
      <c r="B2348" s="452" t="str">
        <f>VLOOKUP(A2348,'Thống kê'!$C$3:$D$669,2,0)</f>
        <v>Móc khóa đôi Capypara</v>
      </c>
      <c r="C2348" s="436" t="str">
        <f>VLOOKUP(A2348,'Thống kê'!$C$3:$E$682,3,0)</f>
        <v>cái</v>
      </c>
      <c r="D2348" s="437">
        <f>VLOOKUP(A2348,'Thống kê'!$C$3:$M$682,4,0)</f>
        <v>59000</v>
      </c>
      <c r="E2348" s="438">
        <v>1</v>
      </c>
      <c r="F2348" s="439">
        <f t="shared" si="9"/>
        <v>59000</v>
      </c>
      <c r="G2348" s="440"/>
      <c r="H2348" s="448">
        <v>44935</v>
      </c>
    </row>
    <row r="2349" spans="1:8" ht="13.2">
      <c r="A2349" s="454" t="s">
        <v>115</v>
      </c>
      <c r="B2349" s="452" t="str">
        <f>VLOOKUP(A2349,'Thống kê'!$C$3:$D$669,2,0)</f>
        <v>Heo ú</v>
      </c>
      <c r="C2349" s="436" t="str">
        <f>VLOOKUP(A2349,'Thống kê'!$C$3:$E$682,3,0)</f>
        <v>cái</v>
      </c>
      <c r="D2349" s="437">
        <f>VLOOKUP(A2349,'Thống kê'!$C$3:$M$682,4,0)</f>
        <v>59500</v>
      </c>
      <c r="E2349" s="438">
        <v>1</v>
      </c>
      <c r="F2349" s="439">
        <f t="shared" si="9"/>
        <v>59500</v>
      </c>
      <c r="G2349" s="440"/>
      <c r="H2349" s="447">
        <v>92650</v>
      </c>
    </row>
    <row r="2350" spans="1:8" ht="13.2">
      <c r="A2350" s="454" t="s">
        <v>325</v>
      </c>
      <c r="B2350" s="452" t="str">
        <f>VLOOKUP(A2350,'Thống kê'!$C$3:$D$669,2,0)</f>
        <v>Gấu ú</v>
      </c>
      <c r="C2350" s="436" t="str">
        <f>VLOOKUP(A2350,'Thống kê'!$C$3:$E$682,3,0)</f>
        <v>cái</v>
      </c>
      <c r="D2350" s="437">
        <f>VLOOKUP(A2350,'Thống kê'!$C$3:$M$682,4,0)</f>
        <v>59500</v>
      </c>
      <c r="E2350" s="438">
        <v>1</v>
      </c>
      <c r="F2350" s="439">
        <f t="shared" ref="F2350:F2604" si="10">D2350*E2350</f>
        <v>59500</v>
      </c>
      <c r="G2350" s="440"/>
      <c r="H2350" s="446"/>
    </row>
    <row r="2351" spans="1:8" ht="13.2">
      <c r="A2351" s="454" t="s">
        <v>143</v>
      </c>
      <c r="B2351" s="452" t="str">
        <f>VLOOKUP(A2351,'Thống kê'!$C$3:$D$669,2,0)</f>
        <v>Mèo ú</v>
      </c>
      <c r="C2351" s="436" t="str">
        <f>VLOOKUP(A2351,'Thống kê'!$C$3:$E$682,3,0)</f>
        <v>cái</v>
      </c>
      <c r="D2351" s="437">
        <f>VLOOKUP(A2351,'Thống kê'!$C$3:$M$682,4,0)</f>
        <v>59500</v>
      </c>
      <c r="E2351" s="438">
        <v>1</v>
      </c>
      <c r="F2351" s="439">
        <f t="shared" si="10"/>
        <v>59500</v>
      </c>
      <c r="G2351" s="440"/>
      <c r="H2351" s="447">
        <v>99229</v>
      </c>
    </row>
    <row r="2352" spans="1:8" ht="13.2">
      <c r="A2352" s="454" t="s">
        <v>1873</v>
      </c>
      <c r="B2352" s="452" t="str">
        <f>VLOOKUP(A2352,'Thống kê'!$C$3:$D$669,2,0)</f>
        <v>Trâm cài 26</v>
      </c>
      <c r="C2352" s="436" t="str">
        <f>VLOOKUP(A2352,'Thống kê'!$C$3:$E$682,3,0)</f>
        <v>cây</v>
      </c>
      <c r="D2352" s="437">
        <f>VLOOKUP(A2352,'Thống kê'!$C$3:$M$682,4,0)</f>
        <v>33120</v>
      </c>
      <c r="E2352" s="438">
        <v>1</v>
      </c>
      <c r="F2352" s="439">
        <f t="shared" si="10"/>
        <v>33120</v>
      </c>
      <c r="G2352" s="440"/>
      <c r="H2352" s="446"/>
    </row>
    <row r="2353" spans="1:8" ht="13.2">
      <c r="A2353" s="454" t="s">
        <v>150</v>
      </c>
      <c r="B2353" s="452" t="str">
        <f>VLOOKUP(A2353,'Thống kê'!$C$3:$D$669,2,0)</f>
        <v>Móc khóa có chuông</v>
      </c>
      <c r="C2353" s="436" t="str">
        <f>VLOOKUP(A2353,'Thống kê'!$C$3:$E$682,3,0)</f>
        <v>cái</v>
      </c>
      <c r="D2353" s="437">
        <f>VLOOKUP(A2353,'Thống kê'!$C$3:$M$682,4,0)</f>
        <v>59000</v>
      </c>
      <c r="E2353" s="438">
        <v>1</v>
      </c>
      <c r="F2353" s="439">
        <f t="shared" si="10"/>
        <v>59000</v>
      </c>
      <c r="G2353" s="440"/>
      <c r="H2353" s="448">
        <v>44935</v>
      </c>
    </row>
    <row r="2354" spans="1:8" ht="13.2">
      <c r="A2354" s="454" t="s">
        <v>150</v>
      </c>
      <c r="B2354" s="452" t="str">
        <f>VLOOKUP(A2354,'Thống kê'!$C$3:$D$669,2,0)</f>
        <v>Móc khóa có chuông</v>
      </c>
      <c r="C2354" s="436" t="str">
        <f>VLOOKUP(A2354,'Thống kê'!$C$3:$E$682,3,0)</f>
        <v>cái</v>
      </c>
      <c r="D2354" s="437">
        <f>VLOOKUP(A2354,'Thống kê'!$C$3:$M$682,4,0)</f>
        <v>59000</v>
      </c>
      <c r="E2354" s="438">
        <v>1</v>
      </c>
      <c r="F2354" s="439">
        <f t="shared" si="10"/>
        <v>59000</v>
      </c>
      <c r="G2354" s="440"/>
      <c r="H2354" s="448">
        <v>44735</v>
      </c>
    </row>
    <row r="2355" spans="1:8" ht="13.2">
      <c r="A2355" s="454" t="s">
        <v>2015</v>
      </c>
      <c r="B2355" s="452" t="str">
        <f>VLOOKUP(A2355,'Thống kê'!$C$3:$D$669,2,0)</f>
        <v>Móc khóa Popbean 11</v>
      </c>
      <c r="C2355" s="436" t="str">
        <f>VLOOKUP(A2355,'Thống kê'!$C$3:$E$682,3,0)</f>
        <v>cái</v>
      </c>
      <c r="D2355" s="437">
        <f>VLOOKUP(A2355,'Thống kê'!$C$3:$M$682,4,0)</f>
        <v>161850</v>
      </c>
      <c r="E2355" s="438">
        <v>1</v>
      </c>
      <c r="F2355" s="439">
        <f t="shared" si="10"/>
        <v>161850</v>
      </c>
      <c r="G2355" s="440"/>
      <c r="H2355" s="447">
        <v>106250</v>
      </c>
    </row>
    <row r="2356" spans="1:8" ht="13.2">
      <c r="A2356" s="454" t="s">
        <v>1606</v>
      </c>
      <c r="B2356" s="452" t="str">
        <f>VLOOKUP(A2356,'Thống kê'!$C$3:$D$669,2,0)</f>
        <v>Kẹp Snack hình khoai tay gọt</v>
      </c>
      <c r="C2356" s="436" t="str">
        <f>VLOOKUP(A2356,'Thống kê'!$C$3:$E$682,3,0)</f>
        <v>cái</v>
      </c>
      <c r="D2356" s="437">
        <f>VLOOKUP(A2356,'Thống kê'!$C$3:$M$682,4,0)</f>
        <v>12000</v>
      </c>
      <c r="E2356" s="438">
        <v>1</v>
      </c>
      <c r="F2356" s="439">
        <f t="shared" si="10"/>
        <v>12000</v>
      </c>
      <c r="G2356" s="440"/>
      <c r="H2356" s="446"/>
    </row>
    <row r="2357" spans="1:8" ht="13.2">
      <c r="A2357" s="454" t="s">
        <v>1624</v>
      </c>
      <c r="B2357" s="452" t="str">
        <f>VLOOKUP(A2357,'Thống kê'!$C$3:$D$669,2,0)</f>
        <v>Móc khóa mèo trái tim</v>
      </c>
      <c r="C2357" s="436" t="str">
        <f>VLOOKUP(A2357,'Thống kê'!$C$3:$E$682,3,0)</f>
        <v>cái</v>
      </c>
      <c r="D2357" s="437">
        <f>VLOOKUP(A2357,'Thống kê'!$C$3:$M$682,4,0)</f>
        <v>59000</v>
      </c>
      <c r="E2357" s="438">
        <v>1</v>
      </c>
      <c r="F2357" s="439">
        <f t="shared" si="10"/>
        <v>59000</v>
      </c>
      <c r="G2357" s="440"/>
      <c r="H2357" s="448">
        <v>45135</v>
      </c>
    </row>
    <row r="2358" spans="1:8" ht="13.2">
      <c r="A2358" s="454" t="s">
        <v>150</v>
      </c>
      <c r="B2358" s="452" t="str">
        <f>VLOOKUP(A2358,'Thống kê'!$C$3:$D$669,2,0)</f>
        <v>Móc khóa có chuông</v>
      </c>
      <c r="C2358" s="436" t="str">
        <f>VLOOKUP(A2358,'Thống kê'!$C$3:$E$682,3,0)</f>
        <v>cái</v>
      </c>
      <c r="D2358" s="437">
        <f>VLOOKUP(A2358,'Thống kê'!$C$3:$M$682,4,0)</f>
        <v>59000</v>
      </c>
      <c r="E2358" s="438">
        <v>1</v>
      </c>
      <c r="F2358" s="439">
        <f t="shared" si="10"/>
        <v>59000</v>
      </c>
      <c r="G2358" s="440"/>
      <c r="H2358" s="448">
        <v>45135</v>
      </c>
    </row>
    <row r="2359" spans="1:8" ht="13.2">
      <c r="A2359" s="454" t="s">
        <v>1661</v>
      </c>
      <c r="B2359" s="452" t="str">
        <f>VLOOKUP(A2359,'Thống kê'!$C$3:$D$669,2,0)</f>
        <v>Móc khóa Popbean Kubo</v>
      </c>
      <c r="C2359" s="436" t="str">
        <f>VLOOKUP(A2359,'Thống kê'!$C$3:$E$682,3,0)</f>
        <v>cái</v>
      </c>
      <c r="D2359" s="437">
        <f>VLOOKUP(A2359,'Thống kê'!$C$3:$M$682,4,0)</f>
        <v>148000</v>
      </c>
      <c r="E2359" s="438">
        <v>1</v>
      </c>
      <c r="F2359" s="439">
        <f t="shared" si="10"/>
        <v>148000</v>
      </c>
      <c r="G2359" s="440"/>
      <c r="H2359" s="447">
        <v>108800</v>
      </c>
    </row>
    <row r="2360" spans="1:8" ht="13.2">
      <c r="A2360" s="454" t="s">
        <v>1606</v>
      </c>
      <c r="B2360" s="452" t="str">
        <f>VLOOKUP(A2360,'Thống kê'!$C$3:$D$669,2,0)</f>
        <v>Kẹp Snack hình khoai tay gọt</v>
      </c>
      <c r="C2360" s="436" t="str">
        <f>VLOOKUP(A2360,'Thống kê'!$C$3:$E$682,3,0)</f>
        <v>cái</v>
      </c>
      <c r="D2360" s="437">
        <f>VLOOKUP(A2360,'Thống kê'!$C$3:$M$682,4,0)</f>
        <v>12000</v>
      </c>
      <c r="E2360" s="438">
        <v>1</v>
      </c>
      <c r="F2360" s="439">
        <f t="shared" si="10"/>
        <v>12000</v>
      </c>
      <c r="G2360" s="440"/>
      <c r="H2360" s="446"/>
    </row>
    <row r="2361" spans="1:8" ht="13.2">
      <c r="A2361" s="454" t="s">
        <v>119</v>
      </c>
      <c r="B2361" s="452" t="str">
        <f>VLOOKUP(A2361,'Thống kê'!$C$3:$D$669,2,0)</f>
        <v>Thỏ chạy xe gắn xe</v>
      </c>
      <c r="C2361" s="436" t="str">
        <f>VLOOKUP(A2361,'Thống kê'!$C$3:$E$682,3,0)</f>
        <v>cái</v>
      </c>
      <c r="D2361" s="437">
        <f>VLOOKUP(A2361,'Thống kê'!$C$3:$M$682,4,0)</f>
        <v>45000</v>
      </c>
      <c r="E2361" s="438">
        <v>1</v>
      </c>
      <c r="F2361" s="439">
        <f t="shared" si="10"/>
        <v>45000</v>
      </c>
      <c r="G2361" s="440"/>
      <c r="H2361" s="448">
        <v>34375</v>
      </c>
    </row>
    <row r="2362" spans="1:8" ht="13.2">
      <c r="A2362" s="454" t="s">
        <v>2059</v>
      </c>
      <c r="B2362" s="452" t="str">
        <f>VLOOKUP(A2362,'Thống kê'!$C$3:$D$669,2,0)</f>
        <v>Vịt áo vàng treo gương</v>
      </c>
      <c r="C2362" s="436" t="str">
        <f>VLOOKUP(A2362,'Thống kê'!$C$3:$E$682,3,0)</f>
        <v>cái</v>
      </c>
      <c r="D2362" s="437">
        <f>VLOOKUP(A2362,'Thống kê'!$C$3:$M$682,4,0)</f>
        <v>155000</v>
      </c>
      <c r="E2362" s="438">
        <v>1</v>
      </c>
      <c r="F2362" s="439">
        <f t="shared" si="10"/>
        <v>155000</v>
      </c>
      <c r="G2362" s="440"/>
      <c r="H2362" s="447">
        <v>155071</v>
      </c>
    </row>
    <row r="2363" spans="1:8" ht="13.2">
      <c r="A2363" s="454" t="s">
        <v>1989</v>
      </c>
      <c r="B2363" s="452" t="str">
        <f>VLOOKUP(A2363,'Thống kê'!$C$3:$D$669,2,0)</f>
        <v>Móc khóa capybara 12 - ghitar điện</v>
      </c>
      <c r="C2363" s="436" t="str">
        <f>VLOOKUP(A2363,'Thống kê'!$C$3:$E$682,3,0)</f>
        <v>cái</v>
      </c>
      <c r="D2363" s="437">
        <f>VLOOKUP(A2363,'Thống kê'!$C$3:$M$682,4,0)</f>
        <v>58800</v>
      </c>
      <c r="E2363" s="438">
        <v>1</v>
      </c>
      <c r="F2363" s="439">
        <f t="shared" si="10"/>
        <v>58800</v>
      </c>
      <c r="G2363" s="440"/>
      <c r="H2363" s="446"/>
    </row>
    <row r="2364" spans="1:8" ht="13.2">
      <c r="A2364" s="454" t="s">
        <v>1625</v>
      </c>
      <c r="B2364" s="452" t="str">
        <f>VLOOKUP(A2364,'Thống kê'!$C$3:$D$669,2,0)</f>
        <v>Móc khóa đôi 2 mèo trắng nâu</v>
      </c>
      <c r="C2364" s="436" t="str">
        <f>VLOOKUP(A2364,'Thống kê'!$C$3:$E$682,3,0)</f>
        <v>cái</v>
      </c>
      <c r="D2364" s="437">
        <f>VLOOKUP(A2364,'Thống kê'!$C$3:$M$682,4,0)</f>
        <v>59000</v>
      </c>
      <c r="E2364" s="438">
        <v>1</v>
      </c>
      <c r="F2364" s="439">
        <f t="shared" si="10"/>
        <v>59000</v>
      </c>
      <c r="G2364" s="440"/>
      <c r="H2364" s="448">
        <v>44935</v>
      </c>
    </row>
    <row r="2365" spans="1:8" ht="13.2">
      <c r="A2365" s="454" t="s">
        <v>150</v>
      </c>
      <c r="B2365" s="452" t="str">
        <f>VLOOKUP(A2365,'Thống kê'!$C$3:$D$669,2,0)</f>
        <v>Móc khóa có chuông</v>
      </c>
      <c r="C2365" s="436" t="str">
        <f>VLOOKUP(A2365,'Thống kê'!$C$3:$E$682,3,0)</f>
        <v>cái</v>
      </c>
      <c r="D2365" s="437">
        <f>VLOOKUP(A2365,'Thống kê'!$C$3:$M$682,4,0)</f>
        <v>59000</v>
      </c>
      <c r="E2365" s="438">
        <v>1</v>
      </c>
      <c r="F2365" s="439">
        <f t="shared" si="10"/>
        <v>59000</v>
      </c>
      <c r="G2365" s="440"/>
      <c r="H2365" s="447">
        <v>89743</v>
      </c>
    </row>
    <row r="2366" spans="1:8" ht="13.2">
      <c r="A2366" s="454" t="s">
        <v>1594</v>
      </c>
      <c r="B2366" s="452" t="str">
        <f>VLOOKUP(A2366,'Thống kê'!$C$3:$D$669,2,0)</f>
        <v>Móc khóa đôi heo</v>
      </c>
      <c r="C2366" s="436" t="str">
        <f>VLOOKUP(A2366,'Thống kê'!$C$3:$E$682,3,0)</f>
        <v>cái</v>
      </c>
      <c r="D2366" s="437">
        <f>VLOOKUP(A2366,'Thống kê'!$C$3:$M$682,4,0)</f>
        <v>56580</v>
      </c>
      <c r="E2366" s="438">
        <v>1</v>
      </c>
      <c r="F2366" s="439">
        <f t="shared" si="10"/>
        <v>56580</v>
      </c>
      <c r="G2366" s="440"/>
      <c r="H2366" s="446"/>
    </row>
    <row r="2367" spans="1:8" ht="13.2">
      <c r="A2367" s="454" t="s">
        <v>1632</v>
      </c>
      <c r="B2367" s="452" t="str">
        <f>VLOOKUP(A2367,'Thống kê'!$C$3:$D$669,2,0)</f>
        <v>Móc khóa đôi mèo trắng</v>
      </c>
      <c r="C2367" s="436" t="str">
        <f>VLOOKUP(A2367,'Thống kê'!$C$3:$E$682,3,0)</f>
        <v>cái</v>
      </c>
      <c r="D2367" s="437">
        <f>VLOOKUP(A2367,'Thống kê'!$C$3:$M$682,4,0)</f>
        <v>59000</v>
      </c>
      <c r="E2367" s="438">
        <v>1</v>
      </c>
      <c r="F2367" s="439">
        <f t="shared" si="10"/>
        <v>59000</v>
      </c>
      <c r="G2367" s="440"/>
      <c r="H2367" s="448">
        <v>44935</v>
      </c>
    </row>
    <row r="2368" spans="1:8" ht="13.2">
      <c r="A2368" s="454" t="s">
        <v>2015</v>
      </c>
      <c r="B2368" s="452" t="str">
        <f>VLOOKUP(A2368,'Thống kê'!$C$3:$D$669,2,0)</f>
        <v>Móc khóa Popbean 11</v>
      </c>
      <c r="C2368" s="436" t="str">
        <f>VLOOKUP(A2368,'Thống kê'!$C$3:$E$682,3,0)</f>
        <v>cái</v>
      </c>
      <c r="D2368" s="437">
        <f>VLOOKUP(A2368,'Thống kê'!$C$3:$M$682,4,0)</f>
        <v>161850</v>
      </c>
      <c r="E2368" s="438">
        <v>1</v>
      </c>
      <c r="F2368" s="439">
        <f t="shared" si="10"/>
        <v>161850</v>
      </c>
      <c r="G2368" s="440"/>
      <c r="H2368" s="448">
        <v>106175</v>
      </c>
    </row>
    <row r="2369" spans="1:8" ht="13.2">
      <c r="A2369" s="454" t="s">
        <v>1655</v>
      </c>
      <c r="B2369" s="452" t="str">
        <f>VLOOKUP(A2369,'Thống kê'!$C$3:$D$669,2,0)</f>
        <v>Móc khóa Popbean Labubu</v>
      </c>
      <c r="C2369" s="436" t="str">
        <f>VLOOKUP(A2369,'Thống kê'!$C$3:$E$682,3,0)</f>
        <v>cái</v>
      </c>
      <c r="D2369" s="437">
        <f>VLOOKUP(A2369,'Thống kê'!$C$3:$M$682,4,0)</f>
        <v>155000</v>
      </c>
      <c r="E2369" s="438">
        <v>1</v>
      </c>
      <c r="F2369" s="439">
        <f t="shared" si="10"/>
        <v>155000</v>
      </c>
      <c r="G2369" s="440"/>
      <c r="H2369" s="448">
        <v>106250</v>
      </c>
    </row>
    <row r="2370" spans="1:8" ht="13.2">
      <c r="A2370" s="454" t="s">
        <v>1634</v>
      </c>
      <c r="B2370" s="452" t="str">
        <f>VLOOKUP(A2370,'Thống kê'!$C$3:$D$669,2,0)</f>
        <v>Móc khóa mèo đen cá</v>
      </c>
      <c r="C2370" s="436" t="str">
        <f>VLOOKUP(A2370,'Thống kê'!$C$3:$E$682,3,0)</f>
        <v>cái</v>
      </c>
      <c r="D2370" s="437">
        <f>VLOOKUP(A2370,'Thống kê'!$C$3:$M$682,4,0)</f>
        <v>59000</v>
      </c>
      <c r="E2370" s="438">
        <v>1</v>
      </c>
      <c r="F2370" s="439">
        <f t="shared" si="10"/>
        <v>59000</v>
      </c>
      <c r="G2370" s="440"/>
      <c r="H2370" s="448">
        <v>46672</v>
      </c>
    </row>
    <row r="2371" spans="1:8" ht="13.2">
      <c r="A2371" s="454" t="s">
        <v>170</v>
      </c>
      <c r="B2371" s="452" t="str">
        <f>VLOOKUP(A2371,'Thống kê'!$C$3:$D$669,2,0)</f>
        <v>Móc khóa chuối</v>
      </c>
      <c r="C2371" s="436" t="str">
        <f>VLOOKUP(A2371,'Thống kê'!$C$3:$E$682,3,0)</f>
        <v>cái</v>
      </c>
      <c r="D2371" s="437">
        <f>VLOOKUP(A2371,'Thống kê'!$C$3:$M$682,4,0)</f>
        <v>148000</v>
      </c>
      <c r="E2371" s="438">
        <v>1</v>
      </c>
      <c r="F2371" s="439">
        <f t="shared" si="10"/>
        <v>148000</v>
      </c>
      <c r="G2371" s="440"/>
      <c r="H2371" s="447">
        <v>181815</v>
      </c>
    </row>
    <row r="2372" spans="1:8" ht="13.2">
      <c r="A2372" s="454" t="s">
        <v>1660</v>
      </c>
      <c r="B2372" s="452" t="str">
        <f>VLOOKUP(A2372,'Thống kê'!$C$3:$D$669,2,0)</f>
        <v>Móc khóa Popbean Skull Panda</v>
      </c>
      <c r="C2372" s="436" t="str">
        <f>VLOOKUP(A2372,'Thống kê'!$C$3:$E$682,3,0)</f>
        <v>cái</v>
      </c>
      <c r="D2372" s="437">
        <f>VLOOKUP(A2372,'Thống kê'!$C$3:$M$682,4,0)</f>
        <v>155000</v>
      </c>
      <c r="E2372" s="438">
        <v>1</v>
      </c>
      <c r="F2372" s="439">
        <f t="shared" si="10"/>
        <v>155000</v>
      </c>
      <c r="G2372" s="440"/>
      <c r="H2372" s="446"/>
    </row>
    <row r="2373" spans="1:8" ht="13.2">
      <c r="A2373" s="454" t="s">
        <v>1716</v>
      </c>
      <c r="B2373" s="452" t="str">
        <f>VLOOKUP(A2373,'Thống kê'!$C$3:$D$669,2,0)</f>
        <v>Móc khóa đôi 2 quả lê có nam châm</v>
      </c>
      <c r="C2373" s="436" t="str">
        <f>VLOOKUP(A2373,'Thống kê'!$C$3:$E$682,3,0)</f>
        <v>cái</v>
      </c>
      <c r="D2373" s="437">
        <f>VLOOKUP(A2373,'Thống kê'!$C$3:$M$682,4,0)</f>
        <v>59000</v>
      </c>
      <c r="E2373" s="438">
        <v>2</v>
      </c>
      <c r="F2373" s="439">
        <f t="shared" si="10"/>
        <v>118000</v>
      </c>
      <c r="G2373" s="440"/>
      <c r="H2373" s="448">
        <v>92600</v>
      </c>
    </row>
    <row r="2374" spans="1:8" ht="13.2">
      <c r="A2374" s="454" t="s">
        <v>1329</v>
      </c>
      <c r="B2374" s="452" t="str">
        <f>VLOOKUP(A2374,'Thống kê'!$C$3:$D$669,2,0)</f>
        <v>Móc khóa Popbean</v>
      </c>
      <c r="C2374" s="436" t="str">
        <f>VLOOKUP(A2374,'Thống kê'!$C$3:$E$682,3,0)</f>
        <v>cái</v>
      </c>
      <c r="D2374" s="437">
        <f>VLOOKUP(A2374,'Thống kê'!$C$3:$M$682,4,0)</f>
        <v>148000</v>
      </c>
      <c r="E2374" s="438">
        <v>1</v>
      </c>
      <c r="F2374" s="439">
        <f t="shared" si="10"/>
        <v>148000</v>
      </c>
      <c r="G2374" s="440"/>
      <c r="H2374" s="448">
        <v>110500</v>
      </c>
    </row>
    <row r="2375" spans="1:8" ht="13.2">
      <c r="A2375" s="454" t="s">
        <v>1588</v>
      </c>
      <c r="B2375" s="452" t="str">
        <f>VLOOKUP(A2375,'Thống kê'!$C$3:$D$669,2,0)</f>
        <v>Heo ú hoa</v>
      </c>
      <c r="C2375" s="436" t="str">
        <f>VLOOKUP(A2375,'Thống kê'!$C$3:$E$682,3,0)</f>
        <v>cái</v>
      </c>
      <c r="D2375" s="437">
        <f>VLOOKUP(A2375,'Thống kê'!$C$3:$M$682,4,0)</f>
        <v>64500</v>
      </c>
      <c r="E2375" s="438">
        <v>1</v>
      </c>
      <c r="F2375" s="439">
        <f t="shared" si="10"/>
        <v>64500</v>
      </c>
      <c r="G2375" s="440"/>
      <c r="H2375" s="447">
        <v>76500</v>
      </c>
    </row>
    <row r="2376" spans="1:8" ht="13.2">
      <c r="A2376" s="454" t="s">
        <v>181</v>
      </c>
      <c r="B2376" s="452" t="str">
        <f>VLOOKUP(A2376,'Thống kê'!$C$3:$D$669,2,0)</f>
        <v>Thỏ mặt trăng gắn xe</v>
      </c>
      <c r="C2376" s="436" t="str">
        <f>VLOOKUP(A2376,'Thống kê'!$C$3:$E$682,3,0)</f>
        <v>cái</v>
      </c>
      <c r="D2376" s="437">
        <f>VLOOKUP(A2376,'Thống kê'!$C$3:$M$682,4,0)</f>
        <v>45000</v>
      </c>
      <c r="E2376" s="438">
        <v>1</v>
      </c>
      <c r="F2376" s="439">
        <f t="shared" si="10"/>
        <v>45000</v>
      </c>
      <c r="G2376" s="440"/>
      <c r="H2376" s="446"/>
    </row>
    <row r="2377" spans="1:8" ht="13.2">
      <c r="A2377" s="454" t="s">
        <v>1716</v>
      </c>
      <c r="B2377" s="452" t="str">
        <f>VLOOKUP(A2377,'Thống kê'!$C$3:$D$669,2,0)</f>
        <v>Móc khóa đôi 2 quả lê có nam châm</v>
      </c>
      <c r="C2377" s="436" t="str">
        <f>VLOOKUP(A2377,'Thống kê'!$C$3:$E$682,3,0)</f>
        <v>cái</v>
      </c>
      <c r="D2377" s="437">
        <f>VLOOKUP(A2377,'Thống kê'!$C$3:$M$682,4,0)</f>
        <v>59000</v>
      </c>
      <c r="E2377" s="438">
        <v>1</v>
      </c>
      <c r="F2377" s="439">
        <f t="shared" si="10"/>
        <v>59000</v>
      </c>
      <c r="G2377" s="440"/>
      <c r="H2377" s="448">
        <v>44735</v>
      </c>
    </row>
    <row r="2378" spans="1:8" ht="13.2">
      <c r="A2378" s="454" t="s">
        <v>1591</v>
      </c>
      <c r="B2378" s="452" t="str">
        <f>VLOOKUP(A2378,'Thống kê'!$C$3:$D$669,2,0)</f>
        <v>Thỏ ú</v>
      </c>
      <c r="C2378" s="436" t="str">
        <f>VLOOKUP(A2378,'Thống kê'!$C$3:$E$682,3,0)</f>
        <v>cái</v>
      </c>
      <c r="D2378" s="437">
        <f>VLOOKUP(A2378,'Thống kê'!$C$3:$M$682,4,0)</f>
        <v>59500</v>
      </c>
      <c r="E2378" s="438">
        <v>1</v>
      </c>
      <c r="F2378" s="439">
        <f t="shared" si="10"/>
        <v>59500</v>
      </c>
      <c r="G2378" s="440"/>
      <c r="H2378" s="448">
        <v>44352</v>
      </c>
    </row>
    <row r="2379" spans="1:8" ht="13.2">
      <c r="A2379" s="454" t="s">
        <v>1589</v>
      </c>
      <c r="B2379" s="452" t="str">
        <f>VLOOKUP(A2379,'Thống kê'!$C$3:$D$669,2,0)</f>
        <v>Heo ú bay</v>
      </c>
      <c r="C2379" s="436" t="str">
        <f>VLOOKUP(A2379,'Thống kê'!$C$3:$E$682,3,0)</f>
        <v>cái</v>
      </c>
      <c r="D2379" s="437">
        <f>VLOOKUP(A2379,'Thống kê'!$C$3:$M$682,4,0)</f>
        <v>64500</v>
      </c>
      <c r="E2379" s="438">
        <v>1</v>
      </c>
      <c r="F2379" s="439">
        <f t="shared" si="10"/>
        <v>64500</v>
      </c>
      <c r="G2379" s="440"/>
      <c r="H2379" s="448">
        <v>44552</v>
      </c>
    </row>
    <row r="2380" spans="1:8" ht="13.2">
      <c r="A2380" s="454" t="s">
        <v>1654</v>
      </c>
      <c r="B2380" s="452" t="str">
        <f>VLOOKUP(A2380,'Thống kê'!$C$3:$D$669,2,0)</f>
        <v>Móc khóa Popbean Hacipupu</v>
      </c>
      <c r="C2380" s="436" t="str">
        <f>VLOOKUP(A2380,'Thống kê'!$C$3:$E$682,3,0)</f>
        <v>cái</v>
      </c>
      <c r="D2380" s="437">
        <f>VLOOKUP(A2380,'Thống kê'!$C$3:$M$682,4,0)</f>
        <v>155000</v>
      </c>
      <c r="E2380" s="438">
        <v>2</v>
      </c>
      <c r="F2380" s="439">
        <f t="shared" si="10"/>
        <v>310000</v>
      </c>
      <c r="G2380" s="440"/>
      <c r="H2380" s="448">
        <v>208012</v>
      </c>
    </row>
    <row r="2381" spans="1:8" ht="13.2">
      <c r="A2381" s="454" t="s">
        <v>1589</v>
      </c>
      <c r="B2381" s="452" t="str">
        <f>VLOOKUP(A2381,'Thống kê'!$C$3:$D$669,2,0)</f>
        <v>Heo ú bay</v>
      </c>
      <c r="C2381" s="436" t="str">
        <f>VLOOKUP(A2381,'Thống kê'!$C$3:$E$682,3,0)</f>
        <v>cái</v>
      </c>
      <c r="D2381" s="437">
        <f>VLOOKUP(A2381,'Thống kê'!$C$3:$M$682,4,0)</f>
        <v>64500</v>
      </c>
      <c r="E2381" s="438">
        <v>1</v>
      </c>
      <c r="F2381" s="439">
        <f t="shared" si="10"/>
        <v>64500</v>
      </c>
      <c r="G2381" s="440"/>
      <c r="H2381" s="448">
        <v>44677</v>
      </c>
    </row>
    <row r="2382" spans="1:8" ht="13.2">
      <c r="A2382" s="454" t="s">
        <v>1329</v>
      </c>
      <c r="B2382" s="452" t="str">
        <f>VLOOKUP(A2382,'Thống kê'!$C$3:$D$669,2,0)</f>
        <v>Móc khóa Popbean</v>
      </c>
      <c r="C2382" s="436" t="str">
        <f>VLOOKUP(A2382,'Thống kê'!$C$3:$E$682,3,0)</f>
        <v>cái</v>
      </c>
      <c r="D2382" s="437">
        <f>VLOOKUP(A2382,'Thống kê'!$C$3:$M$682,4,0)</f>
        <v>148000</v>
      </c>
      <c r="E2382" s="438">
        <v>1</v>
      </c>
      <c r="F2382" s="439">
        <f t="shared" si="10"/>
        <v>148000</v>
      </c>
      <c r="G2382" s="440"/>
      <c r="H2382" s="448">
        <v>110500</v>
      </c>
    </row>
    <row r="2383" spans="1:8" ht="13.2">
      <c r="A2383" s="454" t="s">
        <v>1329</v>
      </c>
      <c r="B2383" s="452" t="str">
        <f>VLOOKUP(A2383,'Thống kê'!$C$3:$D$669,2,0)</f>
        <v>Móc khóa Popbean</v>
      </c>
      <c r="C2383" s="436" t="str">
        <f>VLOOKUP(A2383,'Thống kê'!$C$3:$E$682,3,0)</f>
        <v>cái</v>
      </c>
      <c r="D2383" s="437">
        <f>VLOOKUP(A2383,'Thống kê'!$C$3:$M$682,4,0)</f>
        <v>148000</v>
      </c>
      <c r="E2383" s="438">
        <v>1</v>
      </c>
      <c r="F2383" s="439">
        <f t="shared" si="10"/>
        <v>148000</v>
      </c>
      <c r="G2383" s="440"/>
      <c r="H2383" s="448">
        <v>109675</v>
      </c>
    </row>
    <row r="2384" spans="1:8" ht="13.2">
      <c r="A2384" s="454" t="s">
        <v>2058</v>
      </c>
      <c r="B2384" s="452" t="str">
        <f>VLOOKUP(A2384,'Thống kê'!$C$3:$D$669,2,0)</f>
        <v>Dao rọc giấy gấu nâu</v>
      </c>
      <c r="C2384" s="436" t="str">
        <f>VLOOKUP(A2384,'Thống kê'!$C$3:$E$682,3,0)</f>
        <v>cái</v>
      </c>
      <c r="D2384" s="437">
        <f>VLOOKUP(A2384,'Thống kê'!$C$3:$M$682,4,0)</f>
        <v>9000</v>
      </c>
      <c r="E2384" s="438">
        <v>1</v>
      </c>
      <c r="F2384" s="439">
        <f t="shared" si="10"/>
        <v>9000</v>
      </c>
      <c r="G2384" s="440"/>
      <c r="H2384" s="447">
        <v>50549</v>
      </c>
    </row>
    <row r="2385" spans="1:8" ht="13.2">
      <c r="A2385" s="454" t="s">
        <v>1590</v>
      </c>
      <c r="B2385" s="452" t="str">
        <f>VLOOKUP(A2385,'Thống kê'!$C$3:$D$669,2,0)</f>
        <v>Cún ú hoa</v>
      </c>
      <c r="C2385" s="436" t="str">
        <f>VLOOKUP(A2385,'Thống kê'!$C$3:$E$682,3,0)</f>
        <v>cái</v>
      </c>
      <c r="D2385" s="437">
        <f>VLOOKUP(A2385,'Thống kê'!$C$3:$M$682,4,0)</f>
        <v>64500</v>
      </c>
      <c r="E2385" s="438">
        <v>1</v>
      </c>
      <c r="F2385" s="439">
        <f t="shared" si="10"/>
        <v>64500</v>
      </c>
      <c r="G2385" s="440"/>
      <c r="H2385" s="446"/>
    </row>
    <row r="2386" spans="1:8" ht="13.2">
      <c r="A2386" s="454" t="s">
        <v>1660</v>
      </c>
      <c r="B2386" s="452" t="str">
        <f>VLOOKUP(A2386,'Thống kê'!$C$3:$D$669,2,0)</f>
        <v>Móc khóa Popbean Skull Panda</v>
      </c>
      <c r="C2386" s="436" t="str">
        <f>VLOOKUP(A2386,'Thống kê'!$C$3:$E$682,3,0)</f>
        <v>cái</v>
      </c>
      <c r="D2386" s="437">
        <f>VLOOKUP(A2386,'Thống kê'!$C$3:$M$682,4,0)</f>
        <v>155000</v>
      </c>
      <c r="E2386" s="438">
        <v>1</v>
      </c>
      <c r="F2386" s="439">
        <f t="shared" si="10"/>
        <v>155000</v>
      </c>
      <c r="G2386" s="440"/>
      <c r="H2386" s="448">
        <v>110425</v>
      </c>
    </row>
    <row r="2387" spans="1:8" ht="13.2">
      <c r="A2387" s="454" t="s">
        <v>1622</v>
      </c>
      <c r="B2387" s="452" t="str">
        <f>VLOOKUP(A2387,'Thống kê'!$C$3:$D$669,2,0)</f>
        <v>Mô hình mèo 1</v>
      </c>
      <c r="C2387" s="436" t="str">
        <f>VLOOKUP(A2387,'Thống kê'!$C$3:$E$682,3,0)</f>
        <v>cái</v>
      </c>
      <c r="D2387" s="437">
        <f>VLOOKUP(A2387,'Thống kê'!$C$3:$M$682,4,0)</f>
        <v>37800</v>
      </c>
      <c r="E2387" s="438">
        <v>1</v>
      </c>
      <c r="F2387" s="439">
        <f t="shared" si="10"/>
        <v>37800</v>
      </c>
      <c r="G2387" s="440"/>
      <c r="H2387" s="447">
        <v>91732</v>
      </c>
    </row>
    <row r="2388" spans="1:8" ht="13.2">
      <c r="A2388" s="454" t="s">
        <v>1636</v>
      </c>
      <c r="B2388" s="452" t="str">
        <f>VLOOKUP(A2388,'Thống kê'!$C$3:$D$669,2,0)</f>
        <v>Mô hình mèo 3</v>
      </c>
      <c r="C2388" s="436" t="str">
        <f>VLOOKUP(A2388,'Thống kê'!$C$3:$E$682,3,0)</f>
        <v>cái</v>
      </c>
      <c r="D2388" s="437">
        <f>VLOOKUP(A2388,'Thống kê'!$C$3:$M$682,4,0)</f>
        <v>37800</v>
      </c>
      <c r="E2388" s="438">
        <v>1</v>
      </c>
      <c r="F2388" s="439">
        <f t="shared" si="10"/>
        <v>37800</v>
      </c>
      <c r="G2388" s="440"/>
      <c r="H2388" s="446"/>
    </row>
    <row r="2389" spans="1:8" ht="13.2">
      <c r="A2389" s="454" t="s">
        <v>1623</v>
      </c>
      <c r="B2389" s="452" t="str">
        <f>VLOOKUP(A2389,'Thống kê'!$C$3:$D$669,2,0)</f>
        <v>Mô hình mèo 5</v>
      </c>
      <c r="C2389" s="436" t="str">
        <f>VLOOKUP(A2389,'Thống kê'!$C$3:$E$682,3,0)</f>
        <v>cái</v>
      </c>
      <c r="D2389" s="437">
        <f>VLOOKUP(A2389,'Thống kê'!$C$3:$M$682,4,0)</f>
        <v>37800</v>
      </c>
      <c r="E2389" s="438">
        <v>1</v>
      </c>
      <c r="F2389" s="439">
        <f t="shared" si="10"/>
        <v>37800</v>
      </c>
      <c r="G2389" s="440"/>
      <c r="H2389" s="446"/>
    </row>
    <row r="2390" spans="1:8" ht="13.2">
      <c r="A2390" s="454" t="s">
        <v>1647</v>
      </c>
      <c r="B2390" s="452" t="str">
        <f>VLOOKUP(A2390,'Thống kê'!$C$3:$D$669,2,0)</f>
        <v>Túi chườm bụng dứa (xanh đậm) 500ml</v>
      </c>
      <c r="C2390" s="436" t="str">
        <f>VLOOKUP(A2390,'Thống kê'!$C$3:$E$682,3,0)</f>
        <v>túi</v>
      </c>
      <c r="D2390" s="437">
        <f>VLOOKUP(A2390,'Thống kê'!$C$3:$M$682,4,0)</f>
        <v>78200</v>
      </c>
      <c r="E2390" s="438">
        <v>1</v>
      </c>
      <c r="F2390" s="439">
        <f t="shared" si="10"/>
        <v>78200</v>
      </c>
      <c r="G2390" s="440"/>
      <c r="H2390" s="448">
        <v>67090</v>
      </c>
    </row>
    <row r="2391" spans="1:8" ht="13.2">
      <c r="A2391" s="454" t="s">
        <v>116</v>
      </c>
      <c r="B2391" s="452" t="str">
        <f>VLOOKUP(A2391,'Thống kê'!$C$3:$D$669,2,0)</f>
        <v>heo ú cầm hoa</v>
      </c>
      <c r="C2391" s="436" t="str">
        <f>VLOOKUP(A2391,'Thống kê'!$C$3:$E$682,3,0)</f>
        <v>cái</v>
      </c>
      <c r="D2391" s="437">
        <f>VLOOKUP(A2391,'Thống kê'!$C$3:$M$682,4,0)</f>
        <v>64500</v>
      </c>
      <c r="E2391" s="438">
        <v>1</v>
      </c>
      <c r="F2391" s="439">
        <f t="shared" si="10"/>
        <v>64500</v>
      </c>
      <c r="G2391" s="440"/>
      <c r="H2391" s="447">
        <v>91018</v>
      </c>
    </row>
    <row r="2392" spans="1:8" ht="13.2">
      <c r="A2392" s="454" t="s">
        <v>1594</v>
      </c>
      <c r="B2392" s="452" t="str">
        <f>VLOOKUP(A2392,'Thống kê'!$C$3:$D$669,2,0)</f>
        <v>Móc khóa đôi heo</v>
      </c>
      <c r="C2392" s="436" t="str">
        <f>VLOOKUP(A2392,'Thống kê'!$C$3:$E$682,3,0)</f>
        <v>cái</v>
      </c>
      <c r="D2392" s="437">
        <f>VLOOKUP(A2392,'Thống kê'!$C$3:$M$682,4,0)</f>
        <v>56580</v>
      </c>
      <c r="E2392" s="438">
        <v>1</v>
      </c>
      <c r="F2392" s="439">
        <f t="shared" si="10"/>
        <v>56580</v>
      </c>
      <c r="G2392" s="440"/>
      <c r="H2392" s="446"/>
    </row>
    <row r="2393" spans="1:8" ht="13.2">
      <c r="A2393" s="454" t="s">
        <v>1590</v>
      </c>
      <c r="B2393" s="452" t="str">
        <f>VLOOKUP(A2393,'Thống kê'!$C$3:$D$669,2,0)</f>
        <v>Cún ú hoa</v>
      </c>
      <c r="C2393" s="436" t="str">
        <f>VLOOKUP(A2393,'Thống kê'!$C$3:$E$682,3,0)</f>
        <v>cái</v>
      </c>
      <c r="D2393" s="437">
        <f>VLOOKUP(A2393,'Thống kê'!$C$3:$M$682,4,0)</f>
        <v>64500</v>
      </c>
      <c r="E2393" s="438">
        <v>1</v>
      </c>
      <c r="F2393" s="439">
        <f t="shared" si="10"/>
        <v>64500</v>
      </c>
      <c r="G2393" s="440"/>
      <c r="H2393" s="448">
        <v>44677</v>
      </c>
    </row>
    <row r="2394" spans="1:8" ht="13.2">
      <c r="A2394" s="454" t="s">
        <v>1657</v>
      </c>
      <c r="B2394" s="452" t="str">
        <f>VLOOKUP(A2394,'Thống kê'!$C$3:$D$669,2,0)</f>
        <v>Móc khóa Popbean Cry Baby</v>
      </c>
      <c r="C2394" s="436" t="str">
        <f>VLOOKUP(A2394,'Thống kê'!$C$3:$E$682,3,0)</f>
        <v>cái</v>
      </c>
      <c r="D2394" s="437">
        <f>VLOOKUP(A2394,'Thống kê'!$C$3:$M$682,4,0)</f>
        <v>155000</v>
      </c>
      <c r="E2394" s="438">
        <v>1</v>
      </c>
      <c r="F2394" s="439">
        <f t="shared" si="10"/>
        <v>155000</v>
      </c>
      <c r="G2394" s="440"/>
      <c r="H2394" s="448">
        <v>104550</v>
      </c>
    </row>
    <row r="2395" spans="1:8" ht="13.2">
      <c r="A2395" s="454" t="s">
        <v>1660</v>
      </c>
      <c r="B2395" s="452" t="str">
        <f>VLOOKUP(A2395,'Thống kê'!$C$3:$D$669,2,0)</f>
        <v>Móc khóa Popbean Skull Panda</v>
      </c>
      <c r="C2395" s="436" t="str">
        <f>VLOOKUP(A2395,'Thống kê'!$C$3:$E$682,3,0)</f>
        <v>cái</v>
      </c>
      <c r="D2395" s="437">
        <f>VLOOKUP(A2395,'Thống kê'!$C$3:$M$682,4,0)</f>
        <v>155000</v>
      </c>
      <c r="E2395" s="438">
        <v>1</v>
      </c>
      <c r="F2395" s="439">
        <f t="shared" si="10"/>
        <v>155000</v>
      </c>
      <c r="G2395" s="440"/>
      <c r="H2395" s="448">
        <v>110425</v>
      </c>
    </row>
    <row r="2396" spans="1:8" ht="13.2">
      <c r="A2396" s="454" t="s">
        <v>1591</v>
      </c>
      <c r="B2396" s="452" t="str">
        <f>VLOOKUP(A2396,'Thống kê'!$C$3:$D$669,2,0)</f>
        <v>Thỏ ú</v>
      </c>
      <c r="C2396" s="436" t="str">
        <f>VLOOKUP(A2396,'Thống kê'!$C$3:$E$682,3,0)</f>
        <v>cái</v>
      </c>
      <c r="D2396" s="437">
        <f>VLOOKUP(A2396,'Thống kê'!$C$3:$M$682,4,0)</f>
        <v>59500</v>
      </c>
      <c r="E2396" s="438">
        <v>1</v>
      </c>
      <c r="F2396" s="439">
        <f t="shared" si="10"/>
        <v>59500</v>
      </c>
      <c r="G2396" s="440"/>
      <c r="H2396" s="448">
        <v>44352</v>
      </c>
    </row>
    <row r="2397" spans="1:8" ht="13.2">
      <c r="A2397" s="454" t="s">
        <v>1597</v>
      </c>
      <c r="B2397" s="452" t="str">
        <f>VLOOKUP(A2397,'Thống kê'!$C$3:$D$669,2,0)</f>
        <v>Dao rọc giấy 12</v>
      </c>
      <c r="C2397" s="436" t="str">
        <f>VLOOKUP(A2397,'Thống kê'!$C$3:$E$682,3,0)</f>
        <v>cái</v>
      </c>
      <c r="D2397" s="437">
        <f>VLOOKUP(A2397,'Thống kê'!$C$3:$M$682,4,0)</f>
        <v>12000</v>
      </c>
      <c r="E2397" s="438">
        <v>1</v>
      </c>
      <c r="F2397" s="439">
        <f t="shared" si="10"/>
        <v>12000</v>
      </c>
      <c r="G2397" s="440"/>
      <c r="H2397" s="447">
        <v>121380</v>
      </c>
    </row>
    <row r="2398" spans="1:8" ht="13.2">
      <c r="A2398" s="454" t="s">
        <v>1329</v>
      </c>
      <c r="B2398" s="452" t="str">
        <f>VLOOKUP(A2398,'Thống kê'!$C$3:$D$669,2,0)</f>
        <v>Móc khóa Popbean</v>
      </c>
      <c r="C2398" s="436" t="str">
        <f>VLOOKUP(A2398,'Thống kê'!$C$3:$E$682,3,0)</f>
        <v>cái</v>
      </c>
      <c r="D2398" s="437">
        <f>VLOOKUP(A2398,'Thống kê'!$C$3:$M$682,4,0)</f>
        <v>148000</v>
      </c>
      <c r="E2398" s="438">
        <v>1</v>
      </c>
      <c r="F2398" s="439">
        <f t="shared" si="10"/>
        <v>148000</v>
      </c>
      <c r="G2398" s="440"/>
      <c r="H2398" s="446"/>
    </row>
    <row r="2399" spans="1:8" ht="13.2">
      <c r="A2399" s="454" t="s">
        <v>1335</v>
      </c>
      <c r="B2399" s="452" t="str">
        <f>VLOOKUP(A2399,'Thống kê'!$C$3:$D$669,2,0)</f>
        <v>Móc khóa Popbean</v>
      </c>
      <c r="C2399" s="436" t="str">
        <f>VLOOKUP(A2399,'Thống kê'!$C$3:$E$682,3,0)</f>
        <v>cái</v>
      </c>
      <c r="D2399" s="437">
        <f>VLOOKUP(A2399,'Thống kê'!$C$3:$M$682,4,0)</f>
        <v>148000</v>
      </c>
      <c r="E2399" s="438">
        <v>1</v>
      </c>
      <c r="F2399" s="439">
        <f t="shared" si="10"/>
        <v>148000</v>
      </c>
      <c r="G2399" s="440"/>
      <c r="H2399" s="448">
        <v>90950</v>
      </c>
    </row>
    <row r="2400" spans="1:8" ht="13.2">
      <c r="A2400" s="454" t="s">
        <v>1624</v>
      </c>
      <c r="B2400" s="452" t="str">
        <f>VLOOKUP(A2400,'Thống kê'!$C$3:$D$669,2,0)</f>
        <v>Móc khóa mèo trái tim</v>
      </c>
      <c r="C2400" s="436" t="str">
        <f>VLOOKUP(A2400,'Thống kê'!$C$3:$E$682,3,0)</f>
        <v>cái</v>
      </c>
      <c r="D2400" s="437">
        <f>VLOOKUP(A2400,'Thống kê'!$C$3:$M$682,4,0)</f>
        <v>59000</v>
      </c>
      <c r="E2400" s="438">
        <v>1</v>
      </c>
      <c r="F2400" s="439">
        <f t="shared" si="10"/>
        <v>59000</v>
      </c>
      <c r="G2400" s="440"/>
      <c r="H2400" s="448">
        <v>44485</v>
      </c>
    </row>
    <row r="2401" spans="1:8" ht="13.2">
      <c r="A2401" s="454" t="s">
        <v>1661</v>
      </c>
      <c r="B2401" s="452" t="str">
        <f>VLOOKUP(A2401,'Thống kê'!$C$3:$D$669,2,0)</f>
        <v>Móc khóa Popbean Kubo</v>
      </c>
      <c r="C2401" s="436" t="str">
        <f>VLOOKUP(A2401,'Thống kê'!$C$3:$E$682,3,0)</f>
        <v>cái</v>
      </c>
      <c r="D2401" s="437">
        <f>VLOOKUP(A2401,'Thống kê'!$C$3:$M$682,4,0)</f>
        <v>148000</v>
      </c>
      <c r="E2401" s="438">
        <v>1</v>
      </c>
      <c r="F2401" s="439">
        <f t="shared" si="10"/>
        <v>148000</v>
      </c>
      <c r="G2401" s="440"/>
      <c r="H2401" s="448">
        <v>107950</v>
      </c>
    </row>
    <row r="2402" spans="1:8" ht="13.2">
      <c r="A2402" s="454" t="s">
        <v>1950</v>
      </c>
      <c r="B2402" s="452" t="str">
        <f>VLOOKUP(A2402,'Thống kê'!$C$3:$D$669,2,0)</f>
        <v>Mô hình cún 03</v>
      </c>
      <c r="C2402" s="436" t="str">
        <f>VLOOKUP(A2402,'Thống kê'!$C$3:$E$682,3,0)</f>
        <v>cái</v>
      </c>
      <c r="D2402" s="437">
        <f>VLOOKUP(A2402,'Thống kê'!$C$3:$M$682,4,0)</f>
        <v>39000</v>
      </c>
      <c r="E2402" s="438">
        <v>1</v>
      </c>
      <c r="F2402" s="439">
        <f t="shared" si="10"/>
        <v>39000</v>
      </c>
      <c r="G2402" s="440"/>
      <c r="H2402" s="447">
        <v>323799</v>
      </c>
    </row>
    <row r="2403" spans="1:8" ht="13.2">
      <c r="A2403" s="454" t="s">
        <v>1623</v>
      </c>
      <c r="B2403" s="452" t="str">
        <f>VLOOKUP(A2403,'Thống kê'!$C$3:$D$669,2,0)</f>
        <v>Mô hình mèo 5</v>
      </c>
      <c r="C2403" s="436" t="str">
        <f>VLOOKUP(A2403,'Thống kê'!$C$3:$E$682,3,0)</f>
        <v>cái</v>
      </c>
      <c r="D2403" s="437">
        <f>VLOOKUP(A2403,'Thống kê'!$C$3:$M$682,4,0)</f>
        <v>37800</v>
      </c>
      <c r="E2403" s="438">
        <v>1</v>
      </c>
      <c r="F2403" s="439">
        <f t="shared" si="10"/>
        <v>37800</v>
      </c>
      <c r="G2403" s="440"/>
      <c r="H2403" s="446"/>
    </row>
    <row r="2404" spans="1:8" ht="13.2">
      <c r="A2404" s="454" t="s">
        <v>1980</v>
      </c>
      <c r="B2404" s="452" t="str">
        <f>VLOOKUP(A2404,'Thống kê'!$C$3:$D$669,2,0)</f>
        <v>Móc khoá cún Sandwich</v>
      </c>
      <c r="C2404" s="436" t="str">
        <f>VLOOKUP(A2404,'Thống kê'!$C$3:$E$682,3,0)</f>
        <v>cái</v>
      </c>
      <c r="D2404" s="437">
        <f>VLOOKUP(A2404,'Thống kê'!$C$3:$M$682,4,0)</f>
        <v>38000</v>
      </c>
      <c r="E2404" s="438">
        <v>1</v>
      </c>
      <c r="F2404" s="439">
        <f t="shared" si="10"/>
        <v>38000</v>
      </c>
      <c r="G2404" s="440"/>
      <c r="H2404" s="446"/>
    </row>
    <row r="2405" spans="1:8" ht="13.2">
      <c r="A2405" s="454" t="s">
        <v>2060</v>
      </c>
      <c r="B2405" s="452" t="str">
        <f>VLOOKUP(A2405,'Thống kê'!$C$3:$D$669,2,0)</f>
        <v>Mô hình trái cây 08</v>
      </c>
      <c r="C2405" s="436" t="str">
        <f>VLOOKUP(A2405,'Thống kê'!$C$3:$E$682,3,0)</f>
        <v>cái</v>
      </c>
      <c r="D2405" s="437">
        <f>VLOOKUP(A2405,'Thống kê'!$C$3:$M$682,4,0)</f>
        <v>39000</v>
      </c>
      <c r="E2405" s="438">
        <v>1</v>
      </c>
      <c r="F2405" s="439">
        <f t="shared" si="10"/>
        <v>39000</v>
      </c>
      <c r="G2405" s="440"/>
      <c r="H2405" s="446"/>
    </row>
    <row r="2406" spans="1:8" ht="13.2">
      <c r="A2406" s="454" t="s">
        <v>1330</v>
      </c>
      <c r="B2406" s="452" t="str">
        <f>VLOOKUP(A2406,'Thống kê'!$C$3:$D$669,2,0)</f>
        <v>Móc khóa Popbean</v>
      </c>
      <c r="C2406" s="436" t="str">
        <f>VLOOKUP(A2406,'Thống kê'!$C$3:$E$682,3,0)</f>
        <v>cái</v>
      </c>
      <c r="D2406" s="437">
        <f>VLOOKUP(A2406,'Thống kê'!$C$3:$M$682,4,0)</f>
        <v>148000</v>
      </c>
      <c r="E2406" s="438">
        <v>1</v>
      </c>
      <c r="F2406" s="439">
        <f t="shared" si="10"/>
        <v>148000</v>
      </c>
      <c r="G2406" s="440"/>
      <c r="H2406" s="446"/>
    </row>
    <row r="2407" spans="1:8" ht="13.2">
      <c r="A2407" s="454" t="s">
        <v>1651</v>
      </c>
      <c r="B2407" s="452" t="str">
        <f>VLOOKUP(A2407,'Thống kê'!$C$3:$D$669,2,0)</f>
        <v>Móc khóa Popbean Sweet Bean</v>
      </c>
      <c r="C2407" s="436" t="str">
        <f>VLOOKUP(A2407,'Thống kê'!$C$3:$E$682,3,0)</f>
        <v>cái</v>
      </c>
      <c r="D2407" s="437">
        <f>VLOOKUP(A2407,'Thống kê'!$C$3:$M$682,4,0)</f>
        <v>155000</v>
      </c>
      <c r="E2407" s="438">
        <v>1</v>
      </c>
      <c r="F2407" s="439">
        <f t="shared" si="10"/>
        <v>155000</v>
      </c>
      <c r="G2407" s="440"/>
      <c r="H2407" s="446"/>
    </row>
    <row r="2408" spans="1:8" ht="13.2">
      <c r="A2408" s="454" t="s">
        <v>2015</v>
      </c>
      <c r="B2408" s="452" t="str">
        <f>VLOOKUP(A2408,'Thống kê'!$C$3:$D$669,2,0)</f>
        <v>Móc khóa Popbean 11</v>
      </c>
      <c r="C2408" s="436" t="str">
        <f>VLOOKUP(A2408,'Thống kê'!$C$3:$E$682,3,0)</f>
        <v>cái</v>
      </c>
      <c r="D2408" s="437">
        <f>VLOOKUP(A2408,'Thống kê'!$C$3:$M$682,4,0)</f>
        <v>161850</v>
      </c>
      <c r="E2408" s="438">
        <v>1</v>
      </c>
      <c r="F2408" s="439">
        <f t="shared" si="10"/>
        <v>161850</v>
      </c>
      <c r="G2408" s="440"/>
      <c r="H2408" s="447">
        <v>331500</v>
      </c>
    </row>
    <row r="2409" spans="1:8" ht="13.2">
      <c r="A2409" s="454" t="s">
        <v>1329</v>
      </c>
      <c r="B2409" s="452" t="str">
        <f>VLOOKUP(A2409,'Thống kê'!$C$3:$D$669,2,0)</f>
        <v>Móc khóa Popbean</v>
      </c>
      <c r="C2409" s="436" t="str">
        <f>VLOOKUP(A2409,'Thống kê'!$C$3:$E$682,3,0)</f>
        <v>cái</v>
      </c>
      <c r="D2409" s="437">
        <f>VLOOKUP(A2409,'Thống kê'!$C$3:$M$682,4,0)</f>
        <v>148000</v>
      </c>
      <c r="E2409" s="438">
        <v>1</v>
      </c>
      <c r="F2409" s="439">
        <f t="shared" si="10"/>
        <v>148000</v>
      </c>
      <c r="G2409" s="440"/>
      <c r="H2409" s="446"/>
    </row>
    <row r="2410" spans="1:8" ht="13.2">
      <c r="A2410" s="454" t="s">
        <v>1660</v>
      </c>
      <c r="B2410" s="452" t="str">
        <f>VLOOKUP(A2410,'Thống kê'!$C$3:$D$669,2,0)</f>
        <v>Móc khóa Popbean Skull Panda</v>
      </c>
      <c r="C2410" s="436" t="str">
        <f>VLOOKUP(A2410,'Thống kê'!$C$3:$E$682,3,0)</f>
        <v>cái</v>
      </c>
      <c r="D2410" s="437">
        <f>VLOOKUP(A2410,'Thống kê'!$C$3:$M$682,4,0)</f>
        <v>155000</v>
      </c>
      <c r="E2410" s="438">
        <v>1</v>
      </c>
      <c r="F2410" s="439">
        <f t="shared" si="10"/>
        <v>155000</v>
      </c>
      <c r="G2410" s="440"/>
      <c r="H2410" s="446"/>
    </row>
    <row r="2411" spans="1:8" ht="13.2">
      <c r="A2411" s="454" t="s">
        <v>1329</v>
      </c>
      <c r="B2411" s="452" t="str">
        <f>VLOOKUP(A2411,'Thống kê'!$C$3:$D$669,2,0)</f>
        <v>Móc khóa Popbean</v>
      </c>
      <c r="C2411" s="436" t="str">
        <f>VLOOKUP(A2411,'Thống kê'!$C$3:$E$682,3,0)</f>
        <v>cái</v>
      </c>
      <c r="D2411" s="437">
        <f>VLOOKUP(A2411,'Thống kê'!$C$3:$M$682,4,0)</f>
        <v>148000</v>
      </c>
      <c r="E2411" s="438">
        <v>1</v>
      </c>
      <c r="F2411" s="439">
        <f t="shared" si="10"/>
        <v>148000</v>
      </c>
      <c r="G2411" s="440"/>
      <c r="H2411" s="448">
        <v>112200</v>
      </c>
    </row>
    <row r="2412" spans="1:8" ht="13.2">
      <c r="A2412" s="454" t="s">
        <v>150</v>
      </c>
      <c r="B2412" s="452" t="str">
        <f>VLOOKUP(A2412,'Thống kê'!$C$3:$D$669,2,0)</f>
        <v>Móc khóa có chuông</v>
      </c>
      <c r="C2412" s="436" t="str">
        <f>VLOOKUP(A2412,'Thống kê'!$C$3:$E$682,3,0)</f>
        <v>cái</v>
      </c>
      <c r="D2412" s="437">
        <f>VLOOKUP(A2412,'Thống kê'!$C$3:$M$682,4,0)</f>
        <v>59000</v>
      </c>
      <c r="E2412" s="438">
        <v>1</v>
      </c>
      <c r="F2412" s="439">
        <f t="shared" si="10"/>
        <v>59000</v>
      </c>
      <c r="G2412" s="440"/>
      <c r="H2412" s="448">
        <v>45135</v>
      </c>
    </row>
    <row r="2413" spans="1:8" ht="13.2">
      <c r="A2413" s="454" t="s">
        <v>325</v>
      </c>
      <c r="B2413" s="452" t="str">
        <f>VLOOKUP(A2413,'Thống kê'!$C$3:$D$669,2,0)</f>
        <v>Gấu ú</v>
      </c>
      <c r="C2413" s="436" t="str">
        <f>VLOOKUP(A2413,'Thống kê'!$C$3:$E$682,3,0)</f>
        <v>cái</v>
      </c>
      <c r="D2413" s="437">
        <f>VLOOKUP(A2413,'Thống kê'!$C$3:$M$682,4,0)</f>
        <v>59500</v>
      </c>
      <c r="E2413" s="438">
        <v>1</v>
      </c>
      <c r="F2413" s="439">
        <f t="shared" si="10"/>
        <v>59500</v>
      </c>
      <c r="G2413" s="440"/>
      <c r="H2413" s="447">
        <v>595850</v>
      </c>
    </row>
    <row r="2414" spans="1:8" ht="13.2">
      <c r="A2414" s="454" t="s">
        <v>128</v>
      </c>
      <c r="B2414" s="452" t="str">
        <f>VLOOKUP(A2414,'Thống kê'!$C$3:$D$669,2,0)</f>
        <v>Mèo ú bay</v>
      </c>
      <c r="C2414" s="436" t="str">
        <f>VLOOKUP(A2414,'Thống kê'!$C$3:$E$682,3,0)</f>
        <v>cái</v>
      </c>
      <c r="D2414" s="437">
        <f>VLOOKUP(A2414,'Thống kê'!$C$3:$M$682,4,0)</f>
        <v>64500</v>
      </c>
      <c r="E2414" s="438">
        <v>1</v>
      </c>
      <c r="F2414" s="439">
        <f t="shared" si="10"/>
        <v>64500</v>
      </c>
      <c r="G2414" s="440"/>
      <c r="H2414" s="446"/>
    </row>
    <row r="2415" spans="1:8" ht="13.2">
      <c r="A2415" s="454" t="s">
        <v>150</v>
      </c>
      <c r="B2415" s="452" t="str">
        <f>VLOOKUP(A2415,'Thống kê'!$C$3:$D$669,2,0)</f>
        <v>Móc khóa có chuông</v>
      </c>
      <c r="C2415" s="436" t="str">
        <f>VLOOKUP(A2415,'Thống kê'!$C$3:$E$682,3,0)</f>
        <v>cái</v>
      </c>
      <c r="D2415" s="437">
        <f>VLOOKUP(A2415,'Thống kê'!$C$3:$M$682,4,0)</f>
        <v>59000</v>
      </c>
      <c r="E2415" s="438">
        <v>1</v>
      </c>
      <c r="F2415" s="439">
        <f t="shared" si="10"/>
        <v>59000</v>
      </c>
      <c r="G2415" s="440"/>
      <c r="H2415" s="446"/>
    </row>
    <row r="2416" spans="1:8" ht="13.2">
      <c r="A2416" s="454" t="s">
        <v>1330</v>
      </c>
      <c r="B2416" s="452" t="str">
        <f>VLOOKUP(A2416,'Thống kê'!$C$3:$D$669,2,0)</f>
        <v>Móc khóa Popbean</v>
      </c>
      <c r="C2416" s="436" t="str">
        <f>VLOOKUP(A2416,'Thống kê'!$C$3:$E$682,3,0)</f>
        <v>cái</v>
      </c>
      <c r="D2416" s="437">
        <f>VLOOKUP(A2416,'Thống kê'!$C$3:$M$682,4,0)</f>
        <v>148000</v>
      </c>
      <c r="E2416" s="438">
        <v>1</v>
      </c>
      <c r="F2416" s="439">
        <f t="shared" si="10"/>
        <v>148000</v>
      </c>
      <c r="G2416" s="440"/>
      <c r="H2416" s="446"/>
    </row>
    <row r="2417" spans="1:8" ht="13.2">
      <c r="A2417" s="454" t="s">
        <v>1329</v>
      </c>
      <c r="B2417" s="452" t="str">
        <f>VLOOKUP(A2417,'Thống kê'!$C$3:$D$669,2,0)</f>
        <v>Móc khóa Popbean</v>
      </c>
      <c r="C2417" s="436" t="str">
        <f>VLOOKUP(A2417,'Thống kê'!$C$3:$E$682,3,0)</f>
        <v>cái</v>
      </c>
      <c r="D2417" s="437">
        <f>VLOOKUP(A2417,'Thống kê'!$C$3:$M$682,4,0)</f>
        <v>148000</v>
      </c>
      <c r="E2417" s="438">
        <v>1</v>
      </c>
      <c r="F2417" s="439">
        <f t="shared" si="10"/>
        <v>148000</v>
      </c>
      <c r="G2417" s="440"/>
      <c r="H2417" s="446"/>
    </row>
    <row r="2418" spans="1:8" ht="13.2">
      <c r="A2418" s="454" t="s">
        <v>1660</v>
      </c>
      <c r="B2418" s="452" t="str">
        <f>VLOOKUP(A2418,'Thống kê'!$C$3:$D$669,2,0)</f>
        <v>Móc khóa Popbean Skull Panda</v>
      </c>
      <c r="C2418" s="436" t="str">
        <f>VLOOKUP(A2418,'Thống kê'!$C$3:$E$682,3,0)</f>
        <v>cái</v>
      </c>
      <c r="D2418" s="437">
        <f>VLOOKUP(A2418,'Thống kê'!$C$3:$M$682,4,0)</f>
        <v>155000</v>
      </c>
      <c r="E2418" s="438">
        <v>1</v>
      </c>
      <c r="F2418" s="439">
        <f t="shared" si="10"/>
        <v>155000</v>
      </c>
      <c r="G2418" s="440"/>
      <c r="H2418" s="446"/>
    </row>
    <row r="2419" spans="1:8" ht="13.2">
      <c r="A2419" s="454" t="s">
        <v>1663</v>
      </c>
      <c r="B2419" s="452" t="str">
        <f>VLOOKUP(A2419,'Thống kê'!$C$3:$D$669,2,0)</f>
        <v>Móc khóa Popbean Zsiga</v>
      </c>
      <c r="C2419" s="436" t="str">
        <f>VLOOKUP(A2419,'Thống kê'!$C$3:$E$682,3,0)</f>
        <v>cái</v>
      </c>
      <c r="D2419" s="437">
        <f>VLOOKUP(A2419,'Thống kê'!$C$3:$M$682,4,0)</f>
        <v>148000</v>
      </c>
      <c r="E2419" s="438">
        <v>1</v>
      </c>
      <c r="F2419" s="439">
        <f t="shared" si="10"/>
        <v>148000</v>
      </c>
      <c r="G2419" s="440"/>
      <c r="H2419" s="446"/>
    </row>
    <row r="2420" spans="1:8" ht="13.2">
      <c r="A2420" s="454" t="s">
        <v>2047</v>
      </c>
      <c r="B2420" s="452" t="str">
        <f>VLOOKUP(A2420,'Thống kê'!$C$3:$D$669,2,0)</f>
        <v>Móc khóa Popbean 15</v>
      </c>
      <c r="C2420" s="436" t="str">
        <f>VLOOKUP(A2420,'Thống kê'!$C$3:$E$682,3,0)</f>
        <v>cái</v>
      </c>
      <c r="D2420" s="437">
        <f>VLOOKUP(A2420,'Thống kê'!$C$3:$M$682,4,0)</f>
        <v>139000</v>
      </c>
      <c r="E2420" s="438">
        <v>1</v>
      </c>
      <c r="F2420" s="439">
        <f t="shared" si="10"/>
        <v>139000</v>
      </c>
      <c r="G2420" s="440"/>
      <c r="H2420" s="448">
        <v>94550</v>
      </c>
    </row>
    <row r="2421" spans="1:8" ht="13.2">
      <c r="A2421" s="454" t="s">
        <v>1590</v>
      </c>
      <c r="B2421" s="452" t="str">
        <f>VLOOKUP(A2421,'Thống kê'!$C$3:$D$669,2,0)</f>
        <v>Cún ú hoa</v>
      </c>
      <c r="C2421" s="436" t="str">
        <f>VLOOKUP(A2421,'Thống kê'!$C$3:$E$682,3,0)</f>
        <v>cái</v>
      </c>
      <c r="D2421" s="437">
        <f>VLOOKUP(A2421,'Thống kê'!$C$3:$M$682,4,0)</f>
        <v>64500</v>
      </c>
      <c r="E2421" s="438">
        <v>1</v>
      </c>
      <c r="F2421" s="439">
        <f t="shared" si="10"/>
        <v>64500</v>
      </c>
      <c r="G2421" s="440"/>
      <c r="H2421" s="448">
        <v>44302</v>
      </c>
    </row>
    <row r="2422" spans="1:8" ht="13.2">
      <c r="A2422" s="454" t="s">
        <v>1660</v>
      </c>
      <c r="B2422" s="452" t="str">
        <f>VLOOKUP(A2422,'Thống kê'!$C$3:$D$669,2,0)</f>
        <v>Móc khóa Popbean Skull Panda</v>
      </c>
      <c r="C2422" s="436" t="str">
        <f>VLOOKUP(A2422,'Thống kê'!$C$3:$E$682,3,0)</f>
        <v>cái</v>
      </c>
      <c r="D2422" s="437">
        <f>VLOOKUP(A2422,'Thống kê'!$C$3:$M$682,4,0)</f>
        <v>155000</v>
      </c>
      <c r="E2422" s="438">
        <v>1</v>
      </c>
      <c r="F2422" s="439">
        <f t="shared" si="10"/>
        <v>155000</v>
      </c>
      <c r="G2422" s="440"/>
      <c r="H2422" s="448">
        <v>116450</v>
      </c>
    </row>
    <row r="2423" spans="1:8" ht="13.2">
      <c r="A2423" s="454" t="s">
        <v>1625</v>
      </c>
      <c r="B2423" s="452" t="str">
        <f>VLOOKUP(A2423,'Thống kê'!$C$3:$D$669,2,0)</f>
        <v>Móc khóa đôi 2 mèo trắng nâu</v>
      </c>
      <c r="C2423" s="436" t="str">
        <f>VLOOKUP(A2423,'Thống kê'!$C$3:$E$682,3,0)</f>
        <v>cái</v>
      </c>
      <c r="D2423" s="437">
        <f>VLOOKUP(A2423,'Thống kê'!$C$3:$M$682,4,0)</f>
        <v>59000</v>
      </c>
      <c r="E2423" s="438">
        <v>1</v>
      </c>
      <c r="F2423" s="439">
        <f t="shared" si="10"/>
        <v>59000</v>
      </c>
      <c r="G2423" s="440"/>
      <c r="H2423" s="448">
        <v>45060</v>
      </c>
    </row>
    <row r="2424" spans="1:8" ht="13.2">
      <c r="A2424" s="454" t="s">
        <v>1660</v>
      </c>
      <c r="B2424" s="452" t="str">
        <f>VLOOKUP(A2424,'Thống kê'!$C$3:$D$669,2,0)</f>
        <v>Móc khóa Popbean Skull Panda</v>
      </c>
      <c r="C2424" s="436" t="str">
        <f>VLOOKUP(A2424,'Thống kê'!$C$3:$E$682,3,0)</f>
        <v>cái</v>
      </c>
      <c r="D2424" s="437">
        <f>VLOOKUP(A2424,'Thống kê'!$C$3:$M$682,4,0)</f>
        <v>155000</v>
      </c>
      <c r="E2424" s="438">
        <v>1</v>
      </c>
      <c r="F2424" s="439">
        <f t="shared" si="10"/>
        <v>155000</v>
      </c>
      <c r="G2424" s="440"/>
      <c r="H2424" s="448">
        <v>114750</v>
      </c>
    </row>
    <row r="2425" spans="1:8" ht="13.2">
      <c r="A2425" s="454" t="s">
        <v>1338</v>
      </c>
      <c r="B2425" s="452" t="str">
        <f>VLOOKUP(A2425,'Thống kê'!$C$3:$D$669,2,0)</f>
        <v>Móc khóa chuối</v>
      </c>
      <c r="C2425" s="436" t="str">
        <f>VLOOKUP(A2425,'Thống kê'!$C$3:$E$682,3,0)</f>
        <v>cái</v>
      </c>
      <c r="D2425" s="437">
        <f>VLOOKUP(A2425,'Thống kê'!$C$3:$M$682,4,0)</f>
        <v>148000</v>
      </c>
      <c r="E2425" s="438">
        <v>1</v>
      </c>
      <c r="F2425" s="439">
        <f t="shared" si="10"/>
        <v>148000</v>
      </c>
      <c r="G2425" s="440"/>
      <c r="H2425" s="448">
        <v>80000</v>
      </c>
    </row>
    <row r="2426" spans="1:8" ht="13.2">
      <c r="A2426" s="454" t="s">
        <v>1716</v>
      </c>
      <c r="B2426" s="452" t="str">
        <f>VLOOKUP(A2426,'Thống kê'!$C$3:$D$669,2,0)</f>
        <v>Móc khóa đôi 2 quả lê có nam châm</v>
      </c>
      <c r="C2426" s="436" t="str">
        <f>VLOOKUP(A2426,'Thống kê'!$C$3:$E$682,3,0)</f>
        <v>cái</v>
      </c>
      <c r="D2426" s="437">
        <f>VLOOKUP(A2426,'Thống kê'!$C$3:$M$682,4,0)</f>
        <v>59000</v>
      </c>
      <c r="E2426" s="438">
        <v>1</v>
      </c>
      <c r="F2426" s="439">
        <f t="shared" si="10"/>
        <v>59000</v>
      </c>
      <c r="G2426" s="440"/>
      <c r="H2426" s="448">
        <v>44735</v>
      </c>
    </row>
    <row r="2427" spans="1:8" ht="13.2">
      <c r="A2427" s="454" t="s">
        <v>1606</v>
      </c>
      <c r="B2427" s="452" t="str">
        <f>VLOOKUP(A2427,'Thống kê'!$C$3:$D$669,2,0)</f>
        <v>Kẹp Snack hình khoai tay gọt</v>
      </c>
      <c r="C2427" s="436" t="str">
        <f>VLOOKUP(A2427,'Thống kê'!$C$3:$E$682,3,0)</f>
        <v>cái</v>
      </c>
      <c r="D2427" s="437">
        <f>VLOOKUP(A2427,'Thống kê'!$C$3:$M$682,4,0)</f>
        <v>12000</v>
      </c>
      <c r="E2427" s="438">
        <v>1</v>
      </c>
      <c r="F2427" s="439">
        <f t="shared" si="10"/>
        <v>12000</v>
      </c>
      <c r="G2427" s="440"/>
      <c r="H2427" s="447">
        <v>118150</v>
      </c>
    </row>
    <row r="2428" spans="1:8" ht="13.2">
      <c r="A2428" s="454" t="s">
        <v>1656</v>
      </c>
      <c r="B2428" s="452" t="str">
        <f>VLOOKUP(A2428,'Thống kê'!$C$3:$D$669,2,0)</f>
        <v>Móc khóa Popbean Dimoo</v>
      </c>
      <c r="C2428" s="436" t="str">
        <f>VLOOKUP(A2428,'Thống kê'!$C$3:$E$682,3,0)</f>
        <v>cái</v>
      </c>
      <c r="D2428" s="437">
        <f>VLOOKUP(A2428,'Thống kê'!$C$3:$M$682,4,0)</f>
        <v>155000</v>
      </c>
      <c r="E2428" s="438">
        <v>1</v>
      </c>
      <c r="F2428" s="439">
        <f t="shared" si="10"/>
        <v>155000</v>
      </c>
      <c r="G2428" s="440"/>
      <c r="H2428" s="446"/>
    </row>
    <row r="2429" spans="1:8" ht="13.2">
      <c r="A2429" s="454" t="s">
        <v>116</v>
      </c>
      <c r="B2429" s="452" t="str">
        <f>VLOOKUP(A2429,'Thống kê'!$C$3:$D$669,2,0)</f>
        <v>heo ú cầm hoa</v>
      </c>
      <c r="C2429" s="436" t="str">
        <f>VLOOKUP(A2429,'Thống kê'!$C$3:$E$682,3,0)</f>
        <v>cái</v>
      </c>
      <c r="D2429" s="437">
        <f>VLOOKUP(A2429,'Thống kê'!$C$3:$M$682,4,0)</f>
        <v>64500</v>
      </c>
      <c r="E2429" s="438">
        <v>1</v>
      </c>
      <c r="F2429" s="439">
        <f t="shared" si="10"/>
        <v>64500</v>
      </c>
      <c r="G2429" s="440"/>
      <c r="H2429" s="447">
        <v>90950</v>
      </c>
    </row>
    <row r="2430" spans="1:8" ht="13.2">
      <c r="A2430" s="454" t="s">
        <v>1210</v>
      </c>
      <c r="B2430" s="452" t="str">
        <f>VLOOKUP(A2430,'Thống kê'!$C$3:$D$669,2,0)</f>
        <v>Shiba ú cầm hoa</v>
      </c>
      <c r="C2430" s="436" t="str">
        <f>VLOOKUP(A2430,'Thống kê'!$C$3:$E$682,3,0)</f>
        <v>cái</v>
      </c>
      <c r="D2430" s="437">
        <f>VLOOKUP(A2430,'Thống kê'!$C$3:$M$682,4,0)</f>
        <v>64500</v>
      </c>
      <c r="E2430" s="438">
        <v>1</v>
      </c>
      <c r="F2430" s="439">
        <f t="shared" si="10"/>
        <v>64500</v>
      </c>
      <c r="G2430" s="440"/>
      <c r="H2430" s="446"/>
    </row>
    <row r="2431" spans="1:8" ht="13.2">
      <c r="A2431" s="454" t="s">
        <v>1632</v>
      </c>
      <c r="B2431" s="452" t="str">
        <f>VLOOKUP(A2431,'Thống kê'!$C$3:$D$669,2,0)</f>
        <v>Móc khóa đôi mèo trắng</v>
      </c>
      <c r="C2431" s="436" t="str">
        <f>VLOOKUP(A2431,'Thống kê'!$C$3:$E$682,3,0)</f>
        <v>cái</v>
      </c>
      <c r="D2431" s="437">
        <f>VLOOKUP(A2431,'Thống kê'!$C$3:$M$682,4,0)</f>
        <v>59000</v>
      </c>
      <c r="E2431" s="438">
        <v>1</v>
      </c>
      <c r="F2431" s="439">
        <f t="shared" si="10"/>
        <v>59000</v>
      </c>
      <c r="G2431" s="440"/>
      <c r="H2431" s="448">
        <v>45060</v>
      </c>
    </row>
    <row r="2432" spans="1:8" ht="13.2">
      <c r="A2432" s="454" t="s">
        <v>1954</v>
      </c>
      <c r="B2432" s="452" t="str">
        <f>VLOOKUP(A2432,'Thống kê'!$C$3:$D$669,2,0)</f>
        <v>Bạch tuyết treo gương</v>
      </c>
      <c r="C2432" s="436" t="str">
        <f>VLOOKUP(A2432,'Thống kê'!$C$3:$E$682,3,0)</f>
        <v>cái</v>
      </c>
      <c r="D2432" s="437">
        <f>VLOOKUP(A2432,'Thống kê'!$C$3:$M$682,4,0)</f>
        <v>155000</v>
      </c>
      <c r="E2432" s="438">
        <v>1</v>
      </c>
      <c r="F2432" s="439">
        <f t="shared" si="10"/>
        <v>155000</v>
      </c>
      <c r="G2432" s="440"/>
      <c r="H2432" s="448">
        <v>110075</v>
      </c>
    </row>
    <row r="2433" spans="1:8" ht="13.2">
      <c r="A2433" s="454" t="s">
        <v>128</v>
      </c>
      <c r="B2433" s="452" t="str">
        <f>VLOOKUP(A2433,'Thống kê'!$C$3:$D$669,2,0)</f>
        <v>Mèo ú bay</v>
      </c>
      <c r="C2433" s="436" t="str">
        <f>VLOOKUP(A2433,'Thống kê'!$C$3:$E$682,3,0)</f>
        <v>cái</v>
      </c>
      <c r="D2433" s="437">
        <f>VLOOKUP(A2433,'Thống kê'!$C$3:$M$682,4,0)</f>
        <v>64500</v>
      </c>
      <c r="E2433" s="438">
        <v>2</v>
      </c>
      <c r="F2433" s="439">
        <f t="shared" si="10"/>
        <v>129000</v>
      </c>
      <c r="G2433" s="440"/>
      <c r="H2433" s="448">
        <v>92650</v>
      </c>
    </row>
    <row r="2434" spans="1:8" ht="13.2">
      <c r="A2434" s="454" t="s">
        <v>2061</v>
      </c>
      <c r="B2434" s="452" t="str">
        <f>VLOOKUP(A2434,'Thống kê'!$C$3:$D$669,2,0)</f>
        <v>Kẹp tóc len hoa cam</v>
      </c>
      <c r="C2434" s="436" t="str">
        <f>VLOOKUP(A2434,'Thống kê'!$C$3:$E$682,3,0)</f>
        <v>cái</v>
      </c>
      <c r="D2434" s="437">
        <f>VLOOKUP(A2434,'Thống kê'!$C$3:$M$682,4,0)</f>
        <v>32500</v>
      </c>
      <c r="E2434" s="438">
        <v>1</v>
      </c>
      <c r="F2434" s="439">
        <f t="shared" si="10"/>
        <v>32500</v>
      </c>
      <c r="G2434" s="440"/>
      <c r="H2434" s="447">
        <v>132812</v>
      </c>
    </row>
    <row r="2435" spans="1:8" ht="13.2">
      <c r="A2435" s="454" t="s">
        <v>1662</v>
      </c>
      <c r="B2435" s="452" t="str">
        <f>VLOOKUP(A2435,'Thống kê'!$C$3:$D$669,2,0)</f>
        <v>Móc khóa Popbean Cry Baby</v>
      </c>
      <c r="C2435" s="436" t="str">
        <f>VLOOKUP(A2435,'Thống kê'!$C$3:$E$682,3,0)</f>
        <v>cái</v>
      </c>
      <c r="D2435" s="437">
        <f>VLOOKUP(A2435,'Thống kê'!$C$3:$M$682,4,0)</f>
        <v>148000</v>
      </c>
      <c r="E2435" s="438">
        <v>1</v>
      </c>
      <c r="F2435" s="439">
        <f t="shared" si="10"/>
        <v>148000</v>
      </c>
      <c r="G2435" s="440"/>
      <c r="H2435" s="446"/>
    </row>
    <row r="2436" spans="1:8" ht="13.2">
      <c r="A2436" s="454" t="s">
        <v>1588</v>
      </c>
      <c r="B2436" s="452" t="str">
        <f>VLOOKUP(A2436,'Thống kê'!$C$3:$D$669,2,0)</f>
        <v>Heo ú hoa</v>
      </c>
      <c r="C2436" s="436" t="str">
        <f>VLOOKUP(A2436,'Thống kê'!$C$3:$E$682,3,0)</f>
        <v>cái</v>
      </c>
      <c r="D2436" s="437">
        <f>VLOOKUP(A2436,'Thống kê'!$C$3:$M$682,4,0)</f>
        <v>64500</v>
      </c>
      <c r="E2436" s="438">
        <v>1</v>
      </c>
      <c r="F2436" s="439">
        <f t="shared" si="10"/>
        <v>64500</v>
      </c>
      <c r="G2436" s="440"/>
      <c r="H2436" s="448">
        <v>44352</v>
      </c>
    </row>
    <row r="2437" spans="1:8" ht="13.2">
      <c r="A2437" s="454" t="s">
        <v>1594</v>
      </c>
      <c r="B2437" s="452" t="str">
        <f>VLOOKUP(A2437,'Thống kê'!$C$3:$D$669,2,0)</f>
        <v>Móc khóa đôi heo</v>
      </c>
      <c r="C2437" s="436" t="str">
        <f>VLOOKUP(A2437,'Thống kê'!$C$3:$E$682,3,0)</f>
        <v>cái</v>
      </c>
      <c r="D2437" s="437">
        <f>VLOOKUP(A2437,'Thống kê'!$C$3:$M$682,4,0)</f>
        <v>56580</v>
      </c>
      <c r="E2437" s="438">
        <v>1</v>
      </c>
      <c r="F2437" s="439">
        <f t="shared" si="10"/>
        <v>56580</v>
      </c>
      <c r="G2437" s="440"/>
      <c r="H2437" s="448">
        <v>42934</v>
      </c>
    </row>
    <row r="2438" spans="1:8" ht="13.2">
      <c r="A2438" s="454" t="s">
        <v>1632</v>
      </c>
      <c r="B2438" s="452" t="str">
        <f>VLOOKUP(A2438,'Thống kê'!$C$3:$D$669,2,0)</f>
        <v>Móc khóa đôi mèo trắng</v>
      </c>
      <c r="C2438" s="436" t="str">
        <f>VLOOKUP(A2438,'Thống kê'!$C$3:$E$682,3,0)</f>
        <v>cái</v>
      </c>
      <c r="D2438" s="437">
        <f>VLOOKUP(A2438,'Thống kê'!$C$3:$M$682,4,0)</f>
        <v>59000</v>
      </c>
      <c r="E2438" s="438">
        <v>2</v>
      </c>
      <c r="F2438" s="439">
        <f t="shared" si="10"/>
        <v>118000</v>
      </c>
      <c r="G2438" s="440"/>
      <c r="H2438" s="448">
        <v>92350</v>
      </c>
    </row>
    <row r="2439" spans="1:8" ht="13.2">
      <c r="A2439" s="454" t="s">
        <v>1660</v>
      </c>
      <c r="B2439" s="452" t="str">
        <f>VLOOKUP(A2439,'Thống kê'!$C$3:$D$669,2,0)</f>
        <v>Móc khóa Popbean Skull Panda</v>
      </c>
      <c r="C2439" s="436" t="str">
        <f>VLOOKUP(A2439,'Thống kê'!$C$3:$E$682,3,0)</f>
        <v>cái</v>
      </c>
      <c r="D2439" s="437">
        <f>VLOOKUP(A2439,'Thống kê'!$C$3:$M$682,4,0)</f>
        <v>155000</v>
      </c>
      <c r="E2439" s="438">
        <v>1</v>
      </c>
      <c r="F2439" s="439">
        <f t="shared" si="10"/>
        <v>155000</v>
      </c>
      <c r="G2439" s="440"/>
      <c r="H2439" s="448">
        <v>116250</v>
      </c>
    </row>
    <row r="2440" spans="1:8" ht="13.2">
      <c r="A2440" s="454" t="s">
        <v>1210</v>
      </c>
      <c r="B2440" s="452" t="str">
        <f>VLOOKUP(A2440,'Thống kê'!$C$3:$D$669,2,0)</f>
        <v>Shiba ú cầm hoa</v>
      </c>
      <c r="C2440" s="436" t="str">
        <f>VLOOKUP(A2440,'Thống kê'!$C$3:$E$682,3,0)</f>
        <v>cái</v>
      </c>
      <c r="D2440" s="437">
        <f>VLOOKUP(A2440,'Thống kê'!$C$3:$M$682,4,0)</f>
        <v>64500</v>
      </c>
      <c r="E2440" s="438">
        <v>1</v>
      </c>
      <c r="F2440" s="439">
        <f t="shared" si="10"/>
        <v>64500</v>
      </c>
      <c r="G2440" s="440"/>
      <c r="H2440" s="448">
        <v>44677</v>
      </c>
    </row>
    <row r="2441" spans="1:8" ht="13.2">
      <c r="A2441" s="454" t="s">
        <v>1594</v>
      </c>
      <c r="B2441" s="452" t="str">
        <f>VLOOKUP(A2441,'Thống kê'!$C$3:$D$669,2,0)</f>
        <v>Móc khóa đôi heo</v>
      </c>
      <c r="C2441" s="436" t="str">
        <f>VLOOKUP(A2441,'Thống kê'!$C$3:$E$682,3,0)</f>
        <v>cái</v>
      </c>
      <c r="D2441" s="437">
        <f>VLOOKUP(A2441,'Thống kê'!$C$3:$M$682,4,0)</f>
        <v>56580</v>
      </c>
      <c r="E2441" s="438">
        <v>1</v>
      </c>
      <c r="F2441" s="439">
        <f t="shared" si="10"/>
        <v>56580</v>
      </c>
      <c r="G2441" s="440"/>
      <c r="H2441" s="448">
        <v>43084</v>
      </c>
    </row>
    <row r="2442" spans="1:8" ht="13.2">
      <c r="A2442" s="454" t="s">
        <v>116</v>
      </c>
      <c r="B2442" s="452" t="str">
        <f>VLOOKUP(A2442,'Thống kê'!$C$3:$D$669,2,0)</f>
        <v>heo ú cầm hoa</v>
      </c>
      <c r="C2442" s="436" t="str">
        <f>VLOOKUP(A2442,'Thống kê'!$C$3:$E$682,3,0)</f>
        <v>cái</v>
      </c>
      <c r="D2442" s="437">
        <f>VLOOKUP(A2442,'Thống kê'!$C$3:$M$682,4,0)</f>
        <v>64500</v>
      </c>
      <c r="E2442" s="438">
        <v>1</v>
      </c>
      <c r="F2442" s="439">
        <f t="shared" si="10"/>
        <v>64500</v>
      </c>
      <c r="G2442" s="440"/>
      <c r="H2442" s="448">
        <v>44752</v>
      </c>
    </row>
    <row r="2443" spans="1:8" ht="13.2">
      <c r="A2443" s="454" t="s">
        <v>1640</v>
      </c>
      <c r="B2443" s="452" t="str">
        <f>VLOOKUP(A2443,'Thống kê'!$C$3:$D$669,2,0)</f>
        <v>Móc khóa đôi Capypara</v>
      </c>
      <c r="C2443" s="436" t="str">
        <f>VLOOKUP(A2443,'Thống kê'!$C$3:$E$682,3,0)</f>
        <v>cái</v>
      </c>
      <c r="D2443" s="437">
        <f>VLOOKUP(A2443,'Thống kê'!$C$3:$M$682,4,0)</f>
        <v>59000</v>
      </c>
      <c r="E2443" s="438">
        <v>1</v>
      </c>
      <c r="F2443" s="439">
        <f t="shared" si="10"/>
        <v>59000</v>
      </c>
      <c r="G2443" s="440"/>
      <c r="H2443" s="448">
        <v>44735</v>
      </c>
    </row>
    <row r="2444" spans="1:8" ht="13.2">
      <c r="A2444" s="454" t="s">
        <v>1661</v>
      </c>
      <c r="B2444" s="452" t="str">
        <f>VLOOKUP(A2444,'Thống kê'!$C$3:$D$669,2,0)</f>
        <v>Móc khóa Popbean Kubo</v>
      </c>
      <c r="C2444" s="436" t="str">
        <f>VLOOKUP(A2444,'Thống kê'!$C$3:$E$682,3,0)</f>
        <v>cái</v>
      </c>
      <c r="D2444" s="437">
        <f>VLOOKUP(A2444,'Thống kê'!$C$3:$M$682,4,0)</f>
        <v>148000</v>
      </c>
      <c r="E2444" s="438">
        <v>1</v>
      </c>
      <c r="F2444" s="439">
        <f t="shared" si="10"/>
        <v>148000</v>
      </c>
      <c r="G2444" s="440"/>
      <c r="H2444" s="448">
        <v>131000</v>
      </c>
    </row>
    <row r="2445" spans="1:8" ht="13.2">
      <c r="A2445" s="454" t="s">
        <v>1716</v>
      </c>
      <c r="B2445" s="452" t="str">
        <f>VLOOKUP(A2445,'Thống kê'!$C$3:$D$669,2,0)</f>
        <v>Móc khóa đôi 2 quả lê có nam châm</v>
      </c>
      <c r="C2445" s="436" t="str">
        <f>VLOOKUP(A2445,'Thống kê'!$C$3:$E$682,3,0)</f>
        <v>cái</v>
      </c>
      <c r="D2445" s="437">
        <f>VLOOKUP(A2445,'Thống kê'!$C$3:$M$682,4,0)</f>
        <v>59000</v>
      </c>
      <c r="E2445" s="438">
        <v>1</v>
      </c>
      <c r="F2445" s="439">
        <f t="shared" si="10"/>
        <v>59000</v>
      </c>
      <c r="G2445" s="440"/>
      <c r="H2445" s="447">
        <v>173151</v>
      </c>
    </row>
    <row r="2446" spans="1:8" ht="13.2">
      <c r="A2446" s="454" t="s">
        <v>2032</v>
      </c>
      <c r="B2446" s="452" t="str">
        <f>VLOOKUP(A2446,'Thống kê'!$C$3:$D$669,2,0)</f>
        <v>Móc khóa capybara 2 - hồng balo tennis</v>
      </c>
      <c r="C2446" s="436" t="str">
        <f>VLOOKUP(A2446,'Thống kê'!$C$3:$E$682,3,0)</f>
        <v>cái</v>
      </c>
      <c r="D2446" s="437">
        <f>VLOOKUP(A2446,'Thống kê'!$C$3:$M$682,4,0)</f>
        <v>58800</v>
      </c>
      <c r="E2446" s="438">
        <v>1</v>
      </c>
      <c r="F2446" s="439">
        <f t="shared" si="10"/>
        <v>58800</v>
      </c>
      <c r="G2446" s="440"/>
      <c r="H2446" s="446"/>
    </row>
    <row r="2447" spans="1:8" ht="13.2">
      <c r="A2447" s="454" t="s">
        <v>2033</v>
      </c>
      <c r="B2447" s="452" t="str">
        <f>VLOOKUP(A2447,'Thống kê'!$C$3:$D$669,2,0)</f>
        <v>Móc khóa capybara 5 - balo tennis</v>
      </c>
      <c r="C2447" s="436" t="str">
        <f>VLOOKUP(A2447,'Thống kê'!$C$3:$E$682,3,0)</f>
        <v>cái</v>
      </c>
      <c r="D2447" s="437">
        <f>VLOOKUP(A2447,'Thống kê'!$C$3:$M$682,4,0)</f>
        <v>58800</v>
      </c>
      <c r="E2447" s="438">
        <v>1</v>
      </c>
      <c r="F2447" s="439">
        <f t="shared" si="10"/>
        <v>58800</v>
      </c>
      <c r="G2447" s="440"/>
      <c r="H2447" s="446"/>
    </row>
    <row r="2448" spans="1:8" ht="13.2">
      <c r="A2448" s="454" t="s">
        <v>1594</v>
      </c>
      <c r="B2448" s="452" t="str">
        <f>VLOOKUP(A2448,'Thống kê'!$C$3:$D$669,2,0)</f>
        <v>Móc khóa đôi heo</v>
      </c>
      <c r="C2448" s="436" t="str">
        <f>VLOOKUP(A2448,'Thống kê'!$C$3:$E$682,3,0)</f>
        <v>cái</v>
      </c>
      <c r="D2448" s="437">
        <f>VLOOKUP(A2448,'Thống kê'!$C$3:$M$682,4,0)</f>
        <v>56580</v>
      </c>
      <c r="E2448" s="438">
        <v>1</v>
      </c>
      <c r="F2448" s="439">
        <f t="shared" si="10"/>
        <v>56580</v>
      </c>
      <c r="G2448" s="440"/>
      <c r="H2448" s="446"/>
    </row>
    <row r="2449" spans="1:8" ht="13.2">
      <c r="A2449" s="454" t="s">
        <v>1329</v>
      </c>
      <c r="B2449" s="452" t="str">
        <f>VLOOKUP(A2449,'Thống kê'!$C$3:$D$669,2,0)</f>
        <v>Móc khóa Popbean</v>
      </c>
      <c r="C2449" s="436" t="str">
        <f>VLOOKUP(A2449,'Thống kê'!$C$3:$E$682,3,0)</f>
        <v>cái</v>
      </c>
      <c r="D2449" s="437">
        <f>VLOOKUP(A2449,'Thống kê'!$C$3:$M$682,4,0)</f>
        <v>148000</v>
      </c>
      <c r="E2449" s="438">
        <v>1</v>
      </c>
      <c r="F2449" s="439">
        <f t="shared" si="10"/>
        <v>148000</v>
      </c>
      <c r="G2449" s="440"/>
      <c r="H2449" s="448">
        <v>112200</v>
      </c>
    </row>
    <row r="2450" spans="1:8" ht="13.2">
      <c r="A2450" s="454" t="s">
        <v>1594</v>
      </c>
      <c r="B2450" s="452" t="str">
        <f>VLOOKUP(A2450,'Thống kê'!$C$3:$D$669,2,0)</f>
        <v>Móc khóa đôi heo</v>
      </c>
      <c r="C2450" s="436" t="str">
        <f>VLOOKUP(A2450,'Thống kê'!$C$3:$E$682,3,0)</f>
        <v>cái</v>
      </c>
      <c r="D2450" s="437">
        <f>VLOOKUP(A2450,'Thống kê'!$C$3:$M$682,4,0)</f>
        <v>56580</v>
      </c>
      <c r="E2450" s="438">
        <v>1</v>
      </c>
      <c r="F2450" s="439">
        <f t="shared" si="10"/>
        <v>56580</v>
      </c>
      <c r="G2450" s="440"/>
      <c r="H2450" s="448">
        <v>43284</v>
      </c>
    </row>
    <row r="2451" spans="1:8" ht="13.2">
      <c r="A2451" s="454" t="s">
        <v>1660</v>
      </c>
      <c r="B2451" s="452" t="str">
        <f>VLOOKUP(A2451,'Thống kê'!$C$3:$D$669,2,0)</f>
        <v>Móc khóa Popbean Skull Panda</v>
      </c>
      <c r="C2451" s="436" t="str">
        <f>VLOOKUP(A2451,'Thống kê'!$C$3:$E$682,3,0)</f>
        <v>cái</v>
      </c>
      <c r="D2451" s="437">
        <f>VLOOKUP(A2451,'Thống kê'!$C$3:$M$682,4,0)</f>
        <v>155000</v>
      </c>
      <c r="E2451" s="438">
        <v>1</v>
      </c>
      <c r="F2451" s="439">
        <f t="shared" si="10"/>
        <v>155000</v>
      </c>
      <c r="G2451" s="440"/>
      <c r="H2451" s="448">
        <v>116450</v>
      </c>
    </row>
    <row r="2452" spans="1:8" ht="13.2">
      <c r="A2452" s="454" t="s">
        <v>1594</v>
      </c>
      <c r="B2452" s="452" t="str">
        <f>VLOOKUP(A2452,'Thống kê'!$C$3:$D$669,2,0)</f>
        <v>Móc khóa đôi heo</v>
      </c>
      <c r="C2452" s="436" t="str">
        <f>VLOOKUP(A2452,'Thống kê'!$C$3:$E$682,3,0)</f>
        <v>cái</v>
      </c>
      <c r="D2452" s="437">
        <f>VLOOKUP(A2452,'Thống kê'!$C$3:$M$682,4,0)</f>
        <v>56580</v>
      </c>
      <c r="E2452" s="438">
        <v>1</v>
      </c>
      <c r="F2452" s="439">
        <f t="shared" si="10"/>
        <v>56580</v>
      </c>
      <c r="G2452" s="440"/>
      <c r="H2452" s="448">
        <v>42384</v>
      </c>
    </row>
    <row r="2453" spans="1:8" ht="13.2">
      <c r="A2453" s="454" t="s">
        <v>1660</v>
      </c>
      <c r="B2453" s="452" t="str">
        <f>VLOOKUP(A2453,'Thống kê'!$C$3:$D$669,2,0)</f>
        <v>Móc khóa Popbean Skull Panda</v>
      </c>
      <c r="C2453" s="436" t="str">
        <f>VLOOKUP(A2453,'Thống kê'!$C$3:$E$682,3,0)</f>
        <v>cái</v>
      </c>
      <c r="D2453" s="437">
        <f>VLOOKUP(A2453,'Thống kê'!$C$3:$M$682,4,0)</f>
        <v>155000</v>
      </c>
      <c r="E2453" s="438">
        <v>1</v>
      </c>
      <c r="F2453" s="439">
        <f t="shared" si="10"/>
        <v>155000</v>
      </c>
      <c r="G2453" s="440"/>
      <c r="H2453" s="448">
        <v>116450</v>
      </c>
    </row>
    <row r="2454" spans="1:8" ht="13.2">
      <c r="A2454" s="454" t="s">
        <v>1788</v>
      </c>
      <c r="B2454" s="452" t="str">
        <f>VLOOKUP(A2454,'Thống kê'!$C$3:$D$669,2,0)</f>
        <v>Túi chườm bụng thỏ hồng 500ml</v>
      </c>
      <c r="C2454" s="436" t="str">
        <f>VLOOKUP(A2454,'Thống kê'!$C$3:$E$682,3,0)</f>
        <v>túi</v>
      </c>
      <c r="D2454" s="437">
        <f>VLOOKUP(A2454,'Thống kê'!$C$3:$M$682,4,0)</f>
        <v>81000</v>
      </c>
      <c r="E2454" s="438">
        <v>1</v>
      </c>
      <c r="F2454" s="439">
        <f t="shared" si="10"/>
        <v>81000</v>
      </c>
      <c r="G2454" s="440"/>
      <c r="H2454" s="448">
        <v>61650</v>
      </c>
    </row>
    <row r="2455" spans="1:8" ht="13.2">
      <c r="A2455" s="454" t="s">
        <v>1624</v>
      </c>
      <c r="B2455" s="452" t="str">
        <f>VLOOKUP(A2455,'Thống kê'!$C$3:$D$669,2,0)</f>
        <v>Móc khóa mèo trái tim</v>
      </c>
      <c r="C2455" s="436" t="str">
        <f>VLOOKUP(A2455,'Thống kê'!$C$3:$E$682,3,0)</f>
        <v>cái</v>
      </c>
      <c r="D2455" s="437">
        <f>VLOOKUP(A2455,'Thống kê'!$C$3:$M$682,4,0)</f>
        <v>59000</v>
      </c>
      <c r="E2455" s="438">
        <v>1</v>
      </c>
      <c r="F2455" s="439">
        <f t="shared" si="10"/>
        <v>59000</v>
      </c>
      <c r="G2455" s="440"/>
      <c r="H2455" s="448">
        <v>44735</v>
      </c>
    </row>
    <row r="2456" spans="1:8" ht="13.2">
      <c r="A2456" s="454" t="s">
        <v>1633</v>
      </c>
      <c r="B2456" s="452" t="str">
        <f>VLOOKUP(A2456,'Thống kê'!$C$3:$D$669,2,0)</f>
        <v>Móc khóa đôi gà rán bia</v>
      </c>
      <c r="C2456" s="436" t="str">
        <f>VLOOKUP(A2456,'Thống kê'!$C$3:$E$682,3,0)</f>
        <v>cái</v>
      </c>
      <c r="D2456" s="437">
        <f>VLOOKUP(A2456,'Thống kê'!$C$3:$M$682,4,0)</f>
        <v>56580</v>
      </c>
      <c r="E2456" s="438">
        <v>1</v>
      </c>
      <c r="F2456" s="439">
        <f t="shared" si="10"/>
        <v>56580</v>
      </c>
      <c r="G2456" s="440"/>
      <c r="H2456" s="448">
        <v>43209</v>
      </c>
    </row>
    <row r="2457" spans="1:8" ht="13.2">
      <c r="A2457" s="454" t="s">
        <v>1329</v>
      </c>
      <c r="B2457" s="452" t="str">
        <f>VLOOKUP(A2457,'Thống kê'!$C$3:$D$669,2,0)</f>
        <v>Móc khóa Popbean</v>
      </c>
      <c r="C2457" s="436" t="str">
        <f>VLOOKUP(A2457,'Thống kê'!$C$3:$E$682,3,0)</f>
        <v>cái</v>
      </c>
      <c r="D2457" s="437">
        <f>VLOOKUP(A2457,'Thống kê'!$C$3:$M$682,4,0)</f>
        <v>148000</v>
      </c>
      <c r="E2457" s="438">
        <v>1</v>
      </c>
      <c r="F2457" s="439">
        <f t="shared" si="10"/>
        <v>148000</v>
      </c>
      <c r="G2457" s="440"/>
      <c r="H2457" s="447">
        <v>222870</v>
      </c>
    </row>
    <row r="2458" spans="1:8" ht="13.2">
      <c r="A2458" s="454" t="s">
        <v>1660</v>
      </c>
      <c r="B2458" s="452" t="str">
        <f>VLOOKUP(A2458,'Thống kê'!$C$3:$D$669,2,0)</f>
        <v>Móc khóa Popbean Skull Panda</v>
      </c>
      <c r="C2458" s="436" t="str">
        <f>VLOOKUP(A2458,'Thống kê'!$C$3:$E$682,3,0)</f>
        <v>cái</v>
      </c>
      <c r="D2458" s="437">
        <f>VLOOKUP(A2458,'Thống kê'!$C$3:$M$682,4,0)</f>
        <v>155000</v>
      </c>
      <c r="E2458" s="438">
        <v>1</v>
      </c>
      <c r="F2458" s="439">
        <f t="shared" si="10"/>
        <v>155000</v>
      </c>
      <c r="G2458" s="440"/>
      <c r="H2458" s="446"/>
    </row>
    <row r="2459" spans="1:8" ht="13.2">
      <c r="A2459" s="454" t="s">
        <v>1692</v>
      </c>
      <c r="B2459" s="452" t="str">
        <f>VLOOKUP(A2459,'Thống kê'!$C$3:$D$669,2,0)</f>
        <v>Móc khóa Popbean 06</v>
      </c>
      <c r="C2459" s="436" t="str">
        <f>VLOOKUP(A2459,'Thống kê'!$C$3:$E$682,3,0)</f>
        <v>cái</v>
      </c>
      <c r="D2459" s="437">
        <f>VLOOKUP(A2459,'Thống kê'!$C$3:$M$682,4,0)</f>
        <v>161850</v>
      </c>
      <c r="E2459" s="438">
        <v>1</v>
      </c>
      <c r="F2459" s="439">
        <f t="shared" si="10"/>
        <v>161850</v>
      </c>
      <c r="G2459" s="440"/>
      <c r="H2459" s="447">
        <v>218960</v>
      </c>
    </row>
    <row r="2460" spans="1:8" ht="13.2">
      <c r="A2460" s="454" t="s">
        <v>1660</v>
      </c>
      <c r="B2460" s="452" t="str">
        <f>VLOOKUP(A2460,'Thống kê'!$C$3:$D$669,2,0)</f>
        <v>Móc khóa Popbean Skull Panda</v>
      </c>
      <c r="C2460" s="436" t="str">
        <f>VLOOKUP(A2460,'Thống kê'!$C$3:$E$682,3,0)</f>
        <v>cái</v>
      </c>
      <c r="D2460" s="437">
        <f>VLOOKUP(A2460,'Thống kê'!$C$3:$M$682,4,0)</f>
        <v>155000</v>
      </c>
      <c r="E2460" s="438">
        <v>1</v>
      </c>
      <c r="F2460" s="439">
        <f t="shared" si="10"/>
        <v>155000</v>
      </c>
      <c r="G2460" s="440"/>
      <c r="H2460" s="446"/>
    </row>
    <row r="2461" spans="1:8" ht="13.2">
      <c r="A2461" s="454" t="s">
        <v>1632</v>
      </c>
      <c r="B2461" s="452" t="str">
        <f>VLOOKUP(A2461,'Thống kê'!$C$3:$D$669,2,0)</f>
        <v>Móc khóa đôi mèo trắng</v>
      </c>
      <c r="C2461" s="436" t="str">
        <f>VLOOKUP(A2461,'Thống kê'!$C$3:$E$682,3,0)</f>
        <v>cái</v>
      </c>
      <c r="D2461" s="437">
        <f>VLOOKUP(A2461,'Thống kê'!$C$3:$M$682,4,0)</f>
        <v>59000</v>
      </c>
      <c r="E2461" s="438">
        <v>1</v>
      </c>
      <c r="F2461" s="439">
        <f t="shared" si="10"/>
        <v>59000</v>
      </c>
      <c r="G2461" s="440"/>
      <c r="H2461" s="448">
        <v>45060</v>
      </c>
    </row>
    <row r="2462" spans="1:8" ht="13.2">
      <c r="A2462" s="454" t="s">
        <v>1657</v>
      </c>
      <c r="B2462" s="452" t="str">
        <f>VLOOKUP(A2462,'Thống kê'!$C$3:$D$669,2,0)</f>
        <v>Móc khóa Popbean Cry Baby</v>
      </c>
      <c r="C2462" s="436" t="str">
        <f>VLOOKUP(A2462,'Thống kê'!$C$3:$E$682,3,0)</f>
        <v>cái</v>
      </c>
      <c r="D2462" s="437">
        <f>VLOOKUP(A2462,'Thống kê'!$C$3:$M$682,4,0)</f>
        <v>155000</v>
      </c>
      <c r="E2462" s="438">
        <v>1</v>
      </c>
      <c r="F2462" s="439">
        <f t="shared" si="10"/>
        <v>155000</v>
      </c>
      <c r="G2462" s="440"/>
      <c r="H2462" s="447">
        <v>211140</v>
      </c>
    </row>
    <row r="2463" spans="1:8" ht="13.2">
      <c r="A2463" s="454" t="s">
        <v>1654</v>
      </c>
      <c r="B2463" s="452" t="str">
        <f>VLOOKUP(A2463,'Thống kê'!$C$3:$D$669,2,0)</f>
        <v>Móc khóa Popbean Hacipupu</v>
      </c>
      <c r="C2463" s="436" t="str">
        <f>VLOOKUP(A2463,'Thống kê'!$C$3:$E$682,3,0)</f>
        <v>cái</v>
      </c>
      <c r="D2463" s="437">
        <f>VLOOKUP(A2463,'Thống kê'!$C$3:$M$682,4,0)</f>
        <v>155000</v>
      </c>
      <c r="E2463" s="438">
        <v>1</v>
      </c>
      <c r="F2463" s="439">
        <f t="shared" si="10"/>
        <v>155000</v>
      </c>
      <c r="G2463" s="440"/>
      <c r="H2463" s="446"/>
    </row>
    <row r="2464" spans="1:8" ht="13.2">
      <c r="A2464" s="454" t="s">
        <v>1587</v>
      </c>
      <c r="B2464" s="452" t="str">
        <f>VLOOKUP(A2464,'Thống kê'!$C$3:$D$669,2,0)</f>
        <v>Vịt ú bay</v>
      </c>
      <c r="C2464" s="436" t="str">
        <f>VLOOKUP(A2464,'Thống kê'!$C$3:$E$682,3,0)</f>
        <v>cái</v>
      </c>
      <c r="D2464" s="437">
        <f>VLOOKUP(A2464,'Thống kê'!$C$3:$M$682,4,0)</f>
        <v>64500</v>
      </c>
      <c r="E2464" s="438">
        <v>1</v>
      </c>
      <c r="F2464" s="439">
        <f t="shared" si="10"/>
        <v>64500</v>
      </c>
      <c r="G2464" s="440"/>
      <c r="H2464" s="447">
        <v>272980</v>
      </c>
    </row>
    <row r="2465" spans="1:8" ht="13.2">
      <c r="A2465" s="454" t="s">
        <v>128</v>
      </c>
      <c r="B2465" s="452" t="str">
        <f>VLOOKUP(A2465,'Thống kê'!$C$3:$D$669,2,0)</f>
        <v>Mèo ú bay</v>
      </c>
      <c r="C2465" s="436" t="str">
        <f>VLOOKUP(A2465,'Thống kê'!$C$3:$E$682,3,0)</f>
        <v>cái</v>
      </c>
      <c r="D2465" s="437">
        <f>VLOOKUP(A2465,'Thống kê'!$C$3:$M$682,4,0)</f>
        <v>64500</v>
      </c>
      <c r="E2465" s="438">
        <v>1</v>
      </c>
      <c r="F2465" s="439">
        <f t="shared" si="10"/>
        <v>64500</v>
      </c>
      <c r="G2465" s="440"/>
      <c r="H2465" s="446"/>
    </row>
    <row r="2466" spans="1:8" ht="13.2">
      <c r="A2466" s="454" t="s">
        <v>186</v>
      </c>
      <c r="B2466" s="452" t="str">
        <f>VLOOKUP(A2466,'Thống kê'!$C$3:$D$669,2,0)</f>
        <v>Thỏ ú bay</v>
      </c>
      <c r="C2466" s="436" t="str">
        <f>VLOOKUP(A2466,'Thống kê'!$C$3:$E$682,3,0)</f>
        <v>cái</v>
      </c>
      <c r="D2466" s="437">
        <f>VLOOKUP(A2466,'Thống kê'!$C$3:$M$682,4,0)</f>
        <v>64500</v>
      </c>
      <c r="E2466" s="438">
        <v>1</v>
      </c>
      <c r="F2466" s="439">
        <f t="shared" si="10"/>
        <v>64500</v>
      </c>
      <c r="G2466" s="440"/>
      <c r="H2466" s="446"/>
    </row>
    <row r="2467" spans="1:8" ht="13.2">
      <c r="A2467" s="454" t="s">
        <v>1590</v>
      </c>
      <c r="B2467" s="452" t="str">
        <f>VLOOKUP(A2467,'Thống kê'!$C$3:$D$669,2,0)</f>
        <v>Cún ú hoa</v>
      </c>
      <c r="C2467" s="436" t="str">
        <f>VLOOKUP(A2467,'Thống kê'!$C$3:$E$682,3,0)</f>
        <v>cái</v>
      </c>
      <c r="D2467" s="437">
        <f>VLOOKUP(A2467,'Thống kê'!$C$3:$M$682,4,0)</f>
        <v>64500</v>
      </c>
      <c r="E2467" s="438">
        <v>1</v>
      </c>
      <c r="F2467" s="439">
        <f t="shared" si="10"/>
        <v>64500</v>
      </c>
      <c r="G2467" s="440"/>
      <c r="H2467" s="446"/>
    </row>
    <row r="2468" spans="1:8" ht="13.2">
      <c r="A2468" s="454" t="s">
        <v>116</v>
      </c>
      <c r="B2468" s="452" t="str">
        <f>VLOOKUP(A2468,'Thống kê'!$C$3:$D$669,2,0)</f>
        <v>heo ú cầm hoa</v>
      </c>
      <c r="C2468" s="436" t="str">
        <f>VLOOKUP(A2468,'Thống kê'!$C$3:$E$682,3,0)</f>
        <v>cái</v>
      </c>
      <c r="D2468" s="437">
        <f>VLOOKUP(A2468,'Thống kê'!$C$3:$M$682,4,0)</f>
        <v>64500</v>
      </c>
      <c r="E2468" s="438">
        <v>1</v>
      </c>
      <c r="F2468" s="439">
        <f t="shared" si="10"/>
        <v>64500</v>
      </c>
      <c r="G2468" s="440"/>
      <c r="H2468" s="446"/>
    </row>
    <row r="2469" spans="1:8" ht="13.2">
      <c r="A2469" s="454" t="s">
        <v>227</v>
      </c>
      <c r="B2469" s="452" t="str">
        <f>VLOOKUP(A2469,'Thống kê'!$C$3:$D$669,2,0)</f>
        <v>Móc khóa đôi corgy</v>
      </c>
      <c r="C2469" s="436" t="str">
        <f>VLOOKUP(A2469,'Thống kê'!$C$3:$E$682,3,0)</f>
        <v>cái</v>
      </c>
      <c r="D2469" s="437">
        <f>VLOOKUP(A2469,'Thống kê'!$C$3:$M$682,4,0)</f>
        <v>56580</v>
      </c>
      <c r="E2469" s="438">
        <v>1</v>
      </c>
      <c r="F2469" s="439">
        <f t="shared" si="10"/>
        <v>56580</v>
      </c>
      <c r="G2469" s="440"/>
      <c r="H2469" s="446"/>
    </row>
    <row r="2470" spans="1:8" ht="13.2">
      <c r="A2470" s="454" t="s">
        <v>1588</v>
      </c>
      <c r="B2470" s="452" t="str">
        <f>VLOOKUP(A2470,'Thống kê'!$C$3:$D$669,2,0)</f>
        <v>Heo ú hoa</v>
      </c>
      <c r="C2470" s="436" t="str">
        <f>VLOOKUP(A2470,'Thống kê'!$C$3:$E$682,3,0)</f>
        <v>cái</v>
      </c>
      <c r="D2470" s="437">
        <f>VLOOKUP(A2470,'Thống kê'!$C$3:$M$682,4,0)</f>
        <v>64500</v>
      </c>
      <c r="E2470" s="438">
        <v>1</v>
      </c>
      <c r="F2470" s="439">
        <f t="shared" si="10"/>
        <v>64500</v>
      </c>
      <c r="G2470" s="440"/>
      <c r="H2470" s="448">
        <v>44677</v>
      </c>
    </row>
    <row r="2471" spans="1:8" ht="13.2">
      <c r="A2471" s="454" t="s">
        <v>269</v>
      </c>
      <c r="B2471" s="452" t="str">
        <f>VLOOKUP(A2471,'Thống kê'!$C$3:$D$669,2,0)</f>
        <v>Dao rọc giấy 17</v>
      </c>
      <c r="C2471" s="436" t="str">
        <f>VLOOKUP(A2471,'Thống kê'!$C$3:$E$682,3,0)</f>
        <v>cái</v>
      </c>
      <c r="D2471" s="437">
        <f>VLOOKUP(A2471,'Thống kê'!$C$3:$M$682,4,0)</f>
        <v>12000</v>
      </c>
      <c r="E2471" s="438">
        <v>1</v>
      </c>
      <c r="F2471" s="439">
        <f t="shared" si="10"/>
        <v>12000</v>
      </c>
      <c r="G2471" s="440"/>
      <c r="H2471" s="447">
        <v>51145</v>
      </c>
    </row>
    <row r="2472" spans="1:8" ht="13.2">
      <c r="A2472" s="454" t="s">
        <v>1633</v>
      </c>
      <c r="B2472" s="452" t="str">
        <f>VLOOKUP(A2472,'Thống kê'!$C$3:$D$669,2,0)</f>
        <v>Móc khóa đôi gà rán bia</v>
      </c>
      <c r="C2472" s="436" t="str">
        <f>VLOOKUP(A2472,'Thống kê'!$C$3:$E$682,3,0)</f>
        <v>cái</v>
      </c>
      <c r="D2472" s="437">
        <f>VLOOKUP(A2472,'Thống kê'!$C$3:$M$682,4,0)</f>
        <v>56580</v>
      </c>
      <c r="E2472" s="438">
        <v>1</v>
      </c>
      <c r="F2472" s="439">
        <f t="shared" si="10"/>
        <v>56580</v>
      </c>
      <c r="G2472" s="440"/>
      <c r="H2472" s="446"/>
    </row>
    <row r="2473" spans="1:8" ht="13.2">
      <c r="A2473" s="454" t="s">
        <v>227</v>
      </c>
      <c r="B2473" s="452" t="str">
        <f>VLOOKUP(A2473,'Thống kê'!$C$3:$D$669,2,0)</f>
        <v>Móc khóa đôi corgy</v>
      </c>
      <c r="C2473" s="436" t="str">
        <f>VLOOKUP(A2473,'Thống kê'!$C$3:$E$682,3,0)</f>
        <v>cái</v>
      </c>
      <c r="D2473" s="437">
        <f>VLOOKUP(A2473,'Thống kê'!$C$3:$M$682,4,0)</f>
        <v>56580</v>
      </c>
      <c r="E2473" s="438">
        <v>1</v>
      </c>
      <c r="F2473" s="439">
        <f t="shared" si="10"/>
        <v>56580</v>
      </c>
      <c r="G2473" s="440"/>
      <c r="H2473" s="448">
        <v>42834</v>
      </c>
    </row>
    <row r="2474" spans="1:8" ht="13.2">
      <c r="A2474" s="454" t="s">
        <v>119</v>
      </c>
      <c r="B2474" s="452" t="str">
        <f>VLOOKUP(A2474,'Thống kê'!$C$3:$D$669,2,0)</f>
        <v>Thỏ chạy xe gắn xe</v>
      </c>
      <c r="C2474" s="436" t="str">
        <f>VLOOKUP(A2474,'Thống kê'!$C$3:$E$682,3,0)</f>
        <v>cái</v>
      </c>
      <c r="D2474" s="437">
        <f>VLOOKUP(A2474,'Thống kê'!$C$3:$M$682,4,0)</f>
        <v>45000</v>
      </c>
      <c r="E2474" s="438">
        <v>1</v>
      </c>
      <c r="F2474" s="439">
        <f t="shared" si="10"/>
        <v>45000</v>
      </c>
      <c r="G2474" s="440"/>
      <c r="H2474" s="448">
        <v>34875</v>
      </c>
    </row>
    <row r="2475" spans="1:8" ht="13.2">
      <c r="A2475" s="454" t="s">
        <v>1590</v>
      </c>
      <c r="B2475" s="452" t="str">
        <f>VLOOKUP(A2475,'Thống kê'!$C$3:$D$669,2,0)</f>
        <v>Cún ú hoa</v>
      </c>
      <c r="C2475" s="436" t="str">
        <f>VLOOKUP(A2475,'Thống kê'!$C$3:$E$682,3,0)</f>
        <v>cái</v>
      </c>
      <c r="D2475" s="437">
        <f>VLOOKUP(A2475,'Thống kê'!$C$3:$M$682,4,0)</f>
        <v>64500</v>
      </c>
      <c r="E2475" s="438">
        <v>1</v>
      </c>
      <c r="F2475" s="439">
        <f t="shared" si="10"/>
        <v>64500</v>
      </c>
      <c r="G2475" s="440"/>
      <c r="H2475" s="447">
        <v>81100</v>
      </c>
    </row>
    <row r="2476" spans="1:8" ht="13.2">
      <c r="A2476" s="454" t="s">
        <v>1593</v>
      </c>
      <c r="B2476" s="452" t="str">
        <f>VLOOKUP(A2476,'Thống kê'!$C$3:$D$669,2,0)</f>
        <v>Heo cưỡi kì lân gắn xe</v>
      </c>
      <c r="C2476" s="436" t="str">
        <f>VLOOKUP(A2476,'Thống kê'!$C$3:$E$682,3,0)</f>
        <v>cái</v>
      </c>
      <c r="D2476" s="437">
        <f>VLOOKUP(A2476,'Thống kê'!$C$3:$M$682,4,0)</f>
        <v>45000</v>
      </c>
      <c r="E2476" s="438">
        <v>1</v>
      </c>
      <c r="F2476" s="439">
        <f t="shared" si="10"/>
        <v>45000</v>
      </c>
      <c r="G2476" s="440"/>
      <c r="H2476" s="446"/>
    </row>
    <row r="2477" spans="1:8" ht="13.2">
      <c r="A2477" s="454" t="s">
        <v>1945</v>
      </c>
      <c r="B2477" s="452" t="str">
        <f>VLOOKUP(A2477,'Thống kê'!$C$3:$D$669,2,0)</f>
        <v>Móc khóa capybara 8 - sổ mũi cam</v>
      </c>
      <c r="C2477" s="436" t="str">
        <f>VLOOKUP(A2477,'Thống kê'!$C$3:$E$682,3,0)</f>
        <v>cái</v>
      </c>
      <c r="D2477" s="437">
        <f>VLOOKUP(A2477,'Thống kê'!$C$3:$M$682,4,0)</f>
        <v>58800</v>
      </c>
      <c r="E2477" s="438">
        <v>1</v>
      </c>
      <c r="F2477" s="439">
        <f t="shared" si="10"/>
        <v>58800</v>
      </c>
      <c r="G2477" s="440"/>
      <c r="H2477" s="448">
        <v>40409</v>
      </c>
    </row>
    <row r="2478" spans="1:8" ht="13.2">
      <c r="A2478" s="454" t="s">
        <v>1621</v>
      </c>
      <c r="B2478" s="452" t="str">
        <f>VLOOKUP(A2478,'Thống kê'!$C$3:$D$669,2,0)</f>
        <v>Mô hình mèo 2</v>
      </c>
      <c r="C2478" s="436" t="str">
        <f>VLOOKUP(A2478,'Thống kê'!$C$3:$E$682,3,0)</f>
        <v>cái</v>
      </c>
      <c r="D2478" s="437">
        <f>VLOOKUP(A2478,'Thống kê'!$C$3:$M$682,4,0)</f>
        <v>37800</v>
      </c>
      <c r="E2478" s="438">
        <v>1</v>
      </c>
      <c r="F2478" s="439">
        <f t="shared" si="10"/>
        <v>37800</v>
      </c>
      <c r="G2478" s="440"/>
      <c r="H2478" s="447">
        <v>91357</v>
      </c>
    </row>
    <row r="2479" spans="1:8" ht="13.2">
      <c r="A2479" s="454" t="s">
        <v>1635</v>
      </c>
      <c r="B2479" s="452" t="str">
        <f>VLOOKUP(A2479,'Thống kê'!$C$3:$D$669,2,0)</f>
        <v>Mô hình mèo 4</v>
      </c>
      <c r="C2479" s="436" t="str">
        <f>VLOOKUP(A2479,'Thống kê'!$C$3:$E$682,3,0)</f>
        <v>cái</v>
      </c>
      <c r="D2479" s="437">
        <f>VLOOKUP(A2479,'Thống kê'!$C$3:$M$682,4,0)</f>
        <v>37800</v>
      </c>
      <c r="E2479" s="438">
        <v>1</v>
      </c>
      <c r="F2479" s="439">
        <f t="shared" si="10"/>
        <v>37800</v>
      </c>
      <c r="G2479" s="440"/>
      <c r="H2479" s="446"/>
    </row>
    <row r="2480" spans="1:8" ht="13.2">
      <c r="A2480" s="454" t="s">
        <v>1623</v>
      </c>
      <c r="B2480" s="452" t="str">
        <f>VLOOKUP(A2480,'Thống kê'!$C$3:$D$669,2,0)</f>
        <v>Mô hình mèo 5</v>
      </c>
      <c r="C2480" s="436" t="str">
        <f>VLOOKUP(A2480,'Thống kê'!$C$3:$E$682,3,0)</f>
        <v>cái</v>
      </c>
      <c r="D2480" s="437">
        <f>VLOOKUP(A2480,'Thống kê'!$C$3:$M$682,4,0)</f>
        <v>37800</v>
      </c>
      <c r="E2480" s="438">
        <v>1</v>
      </c>
      <c r="F2480" s="439">
        <f t="shared" si="10"/>
        <v>37800</v>
      </c>
      <c r="G2480" s="440"/>
      <c r="H2480" s="446"/>
    </row>
    <row r="2481" spans="1:8" ht="13.2">
      <c r="A2481" s="454" t="s">
        <v>1660</v>
      </c>
      <c r="B2481" s="452" t="str">
        <f>VLOOKUP(A2481,'Thống kê'!$C$3:$D$669,2,0)</f>
        <v>Móc khóa Popbean Skull Panda</v>
      </c>
      <c r="C2481" s="436" t="str">
        <f>VLOOKUP(A2481,'Thống kê'!$C$3:$E$682,3,0)</f>
        <v>cái</v>
      </c>
      <c r="D2481" s="437">
        <f>VLOOKUP(A2481,'Thống kê'!$C$3:$M$682,4,0)</f>
        <v>155000</v>
      </c>
      <c r="E2481" s="438">
        <v>1</v>
      </c>
      <c r="F2481" s="439">
        <f t="shared" si="10"/>
        <v>155000</v>
      </c>
      <c r="G2481" s="440"/>
      <c r="H2481" s="447">
        <v>263000</v>
      </c>
    </row>
    <row r="2482" spans="1:8" ht="13.2">
      <c r="A2482" s="454" t="s">
        <v>1330</v>
      </c>
      <c r="B2482" s="452" t="str">
        <f>VLOOKUP(A2482,'Thống kê'!$C$3:$D$669,2,0)</f>
        <v>Móc khóa Popbean</v>
      </c>
      <c r="C2482" s="436" t="str">
        <f>VLOOKUP(A2482,'Thống kê'!$C$3:$E$682,3,0)</f>
        <v>cái</v>
      </c>
      <c r="D2482" s="437">
        <f>VLOOKUP(A2482,'Thống kê'!$C$3:$M$682,4,0)</f>
        <v>148000</v>
      </c>
      <c r="E2482" s="438">
        <v>1</v>
      </c>
      <c r="F2482" s="439">
        <f t="shared" si="10"/>
        <v>148000</v>
      </c>
      <c r="G2482" s="440"/>
      <c r="H2482" s="446"/>
    </row>
    <row r="2483" spans="1:8" ht="13.2">
      <c r="A2483" s="454" t="s">
        <v>1345</v>
      </c>
      <c r="B2483" s="452" t="str">
        <f>VLOOKUP(A2483,'Thống kê'!$C$3:$D$669,2,0)</f>
        <v>Móc khóa chuối</v>
      </c>
      <c r="C2483" s="436" t="str">
        <f>VLOOKUP(A2483,'Thống kê'!$C$3:$E$682,3,0)</f>
        <v>cái</v>
      </c>
      <c r="D2483" s="437">
        <f>VLOOKUP(A2483,'Thống kê'!$C$3:$M$682,4,0)</f>
        <v>148000</v>
      </c>
      <c r="E2483" s="438">
        <v>1</v>
      </c>
      <c r="F2483" s="439">
        <f t="shared" si="10"/>
        <v>148000</v>
      </c>
      <c r="G2483" s="440"/>
      <c r="H2483" s="448">
        <v>73525</v>
      </c>
    </row>
    <row r="2484" spans="1:8" ht="13.2">
      <c r="A2484" s="454" t="s">
        <v>1632</v>
      </c>
      <c r="B2484" s="452" t="str">
        <f>VLOOKUP(A2484,'Thống kê'!$C$3:$D$669,2,0)</f>
        <v>Móc khóa đôi mèo trắng</v>
      </c>
      <c r="C2484" s="436" t="str">
        <f>VLOOKUP(A2484,'Thống kê'!$C$3:$E$682,3,0)</f>
        <v>cái</v>
      </c>
      <c r="D2484" s="437">
        <f>VLOOKUP(A2484,'Thống kê'!$C$3:$M$682,4,0)</f>
        <v>59000</v>
      </c>
      <c r="E2484" s="438">
        <v>1</v>
      </c>
      <c r="F2484" s="439">
        <f t="shared" si="10"/>
        <v>59000</v>
      </c>
      <c r="G2484" s="440"/>
      <c r="H2484" s="448">
        <v>43434</v>
      </c>
    </row>
    <row r="2485" spans="1:8" ht="13.2">
      <c r="A2485" s="454" t="s">
        <v>1343</v>
      </c>
      <c r="B2485" s="452" t="str">
        <f>VLOOKUP(A2485,'Thống kê'!$C$3:$D$669,2,0)</f>
        <v>Móc khóa chuối</v>
      </c>
      <c r="C2485" s="436" t="str">
        <f>VLOOKUP(A2485,'Thống kê'!$C$3:$E$682,3,0)</f>
        <v>cái</v>
      </c>
      <c r="D2485" s="437">
        <f>VLOOKUP(A2485,'Thống kê'!$C$3:$M$682,4,0)</f>
        <v>148000</v>
      </c>
      <c r="E2485" s="438">
        <v>1</v>
      </c>
      <c r="F2485" s="439">
        <f t="shared" si="10"/>
        <v>148000</v>
      </c>
      <c r="G2485" s="440"/>
      <c r="H2485" s="448">
        <v>71392</v>
      </c>
    </row>
    <row r="2486" spans="1:8" ht="13.2">
      <c r="A2486" s="454" t="s">
        <v>1346</v>
      </c>
      <c r="B2486" s="452" t="str">
        <f>VLOOKUP(A2486,'Thống kê'!$C$3:$D$669,2,0)</f>
        <v>Móc khóa chuối</v>
      </c>
      <c r="C2486" s="436" t="str">
        <f>VLOOKUP(A2486,'Thống kê'!$C$3:$E$682,3,0)</f>
        <v>cái</v>
      </c>
      <c r="D2486" s="437">
        <f>VLOOKUP(A2486,'Thống kê'!$C$3:$M$682,4,0)</f>
        <v>148000</v>
      </c>
      <c r="E2486" s="438">
        <v>1</v>
      </c>
      <c r="F2486" s="439">
        <f t="shared" si="10"/>
        <v>148000</v>
      </c>
      <c r="G2486" s="440"/>
      <c r="H2486" s="447">
        <v>187289</v>
      </c>
    </row>
    <row r="2487" spans="1:8" ht="13.2">
      <c r="A2487" s="454" t="s">
        <v>1660</v>
      </c>
      <c r="B2487" s="452" t="str">
        <f>VLOOKUP(A2487,'Thống kê'!$C$3:$D$669,2,0)</f>
        <v>Móc khóa Popbean Skull Panda</v>
      </c>
      <c r="C2487" s="436" t="str">
        <f>VLOOKUP(A2487,'Thống kê'!$C$3:$E$682,3,0)</f>
        <v>cái</v>
      </c>
      <c r="D2487" s="437">
        <f>VLOOKUP(A2487,'Thống kê'!$C$3:$M$682,4,0)</f>
        <v>155000</v>
      </c>
      <c r="E2487" s="438">
        <v>1</v>
      </c>
      <c r="F2487" s="439">
        <f t="shared" si="10"/>
        <v>155000</v>
      </c>
      <c r="G2487" s="440"/>
      <c r="H2487" s="446"/>
    </row>
    <row r="2488" spans="1:8" ht="13.2">
      <c r="A2488" s="454" t="s">
        <v>1953</v>
      </c>
      <c r="B2488" s="452" t="str">
        <f>VLOOKUP(A2488,'Thống kê'!$C$3:$D$669,2,0)</f>
        <v>Móc khóa capybara 1 - hồng áo tennis</v>
      </c>
      <c r="C2488" s="436" t="str">
        <f>VLOOKUP(A2488,'Thống kê'!$C$3:$E$682,3,0)</f>
        <v>cái</v>
      </c>
      <c r="D2488" s="437">
        <f>VLOOKUP(A2488,'Thống kê'!$C$3:$M$682,4,0)</f>
        <v>58800</v>
      </c>
      <c r="E2488" s="438">
        <v>2</v>
      </c>
      <c r="F2488" s="439">
        <f t="shared" si="10"/>
        <v>117600</v>
      </c>
      <c r="G2488" s="440"/>
      <c r="H2488" s="447">
        <v>469302</v>
      </c>
    </row>
    <row r="2489" spans="1:8" ht="13.2">
      <c r="A2489" s="454" t="s">
        <v>2032</v>
      </c>
      <c r="B2489" s="452" t="str">
        <f>VLOOKUP(A2489,'Thống kê'!$C$3:$D$669,2,0)</f>
        <v>Móc khóa capybara 2 - hồng balo tennis</v>
      </c>
      <c r="C2489" s="436" t="str">
        <f>VLOOKUP(A2489,'Thống kê'!$C$3:$E$682,3,0)</f>
        <v>cái</v>
      </c>
      <c r="D2489" s="437">
        <f>VLOOKUP(A2489,'Thống kê'!$C$3:$M$682,4,0)</f>
        <v>58800</v>
      </c>
      <c r="E2489" s="438">
        <v>2</v>
      </c>
      <c r="F2489" s="439">
        <f t="shared" si="10"/>
        <v>117600</v>
      </c>
      <c r="G2489" s="440"/>
      <c r="H2489" s="446"/>
    </row>
    <row r="2490" spans="1:8" ht="13.2">
      <c r="A2490" s="454" t="s">
        <v>2033</v>
      </c>
      <c r="B2490" s="452" t="str">
        <f>VLOOKUP(A2490,'Thống kê'!$C$3:$D$669,2,0)</f>
        <v>Móc khóa capybara 5 - balo tennis</v>
      </c>
      <c r="C2490" s="436" t="str">
        <f>VLOOKUP(A2490,'Thống kê'!$C$3:$E$682,3,0)</f>
        <v>cái</v>
      </c>
      <c r="D2490" s="437">
        <f>VLOOKUP(A2490,'Thống kê'!$C$3:$M$682,4,0)</f>
        <v>58800</v>
      </c>
      <c r="E2490" s="438">
        <v>2</v>
      </c>
      <c r="F2490" s="439">
        <f t="shared" si="10"/>
        <v>117600</v>
      </c>
      <c r="G2490" s="440"/>
      <c r="H2490" s="446"/>
    </row>
    <row r="2491" spans="1:8" ht="13.2">
      <c r="A2491" s="454" t="s">
        <v>2034</v>
      </c>
      <c r="B2491" s="452" t="str">
        <f>VLOOKUP(A2491,'Thống kê'!$C$3:$D$669,2,0)</f>
        <v>Móc khóa capybara 6 - bóng tennis</v>
      </c>
      <c r="C2491" s="436" t="str">
        <f>VLOOKUP(A2491,'Thống kê'!$C$3:$E$682,3,0)</f>
        <v>cái</v>
      </c>
      <c r="D2491" s="437">
        <f>VLOOKUP(A2491,'Thống kê'!$C$3:$M$682,4,0)</f>
        <v>58800</v>
      </c>
      <c r="E2491" s="438">
        <v>2</v>
      </c>
      <c r="F2491" s="439">
        <f t="shared" si="10"/>
        <v>117600</v>
      </c>
      <c r="G2491" s="440"/>
      <c r="H2491" s="446"/>
    </row>
    <row r="2492" spans="1:8" ht="13.2">
      <c r="A2492" s="454" t="s">
        <v>1973</v>
      </c>
      <c r="B2492" s="452" t="str">
        <f>VLOOKUP(A2492,'Thống kê'!$C$3:$D$669,2,0)</f>
        <v>Móc khóa capybara 4 - áo tennis</v>
      </c>
      <c r="C2492" s="436" t="str">
        <f>VLOOKUP(A2492,'Thống kê'!$C$3:$E$682,3,0)</f>
        <v>cái</v>
      </c>
      <c r="D2492" s="437">
        <f>VLOOKUP(A2492,'Thống kê'!$C$3:$M$682,4,0)</f>
        <v>58800</v>
      </c>
      <c r="E2492" s="438">
        <v>3</v>
      </c>
      <c r="F2492" s="439">
        <f t="shared" si="10"/>
        <v>176400</v>
      </c>
      <c r="G2492" s="440"/>
      <c r="H2492" s="446"/>
    </row>
    <row r="2493" spans="1:8" ht="13.2">
      <c r="A2493" s="454" t="s">
        <v>266</v>
      </c>
      <c r="B2493" s="452" t="str">
        <f>VLOOKUP(A2493,'Thống kê'!$C$3:$D$669,2,0)</f>
        <v>Kẹp Snack hình tam giác</v>
      </c>
      <c r="C2493" s="436" t="str">
        <f>VLOOKUP(A2493,'Thống kê'!$C$3:$E$682,3,0)</f>
        <v>cái</v>
      </c>
      <c r="D2493" s="437">
        <f>VLOOKUP(A2493,'Thống kê'!$C$3:$M$682,4,0)</f>
        <v>12000</v>
      </c>
      <c r="E2493" s="438">
        <v>1</v>
      </c>
      <c r="F2493" s="439">
        <f t="shared" si="10"/>
        <v>12000</v>
      </c>
      <c r="G2493" s="440"/>
      <c r="H2493" s="448">
        <v>8825</v>
      </c>
    </row>
    <row r="2494" spans="1:8" ht="13.2">
      <c r="A2494" s="454" t="s">
        <v>1661</v>
      </c>
      <c r="B2494" s="452" t="str">
        <f>VLOOKUP(A2494,'Thống kê'!$C$3:$D$669,2,0)</f>
        <v>Móc khóa Popbean Kubo</v>
      </c>
      <c r="C2494" s="436" t="str">
        <f>VLOOKUP(A2494,'Thống kê'!$C$3:$E$682,3,0)</f>
        <v>cái</v>
      </c>
      <c r="D2494" s="437">
        <f>VLOOKUP(A2494,'Thống kê'!$C$3:$M$682,4,0)</f>
        <v>148000</v>
      </c>
      <c r="E2494" s="438">
        <v>1</v>
      </c>
      <c r="F2494" s="439">
        <f t="shared" si="10"/>
        <v>148000</v>
      </c>
      <c r="G2494" s="440"/>
      <c r="H2494" s="447">
        <v>218585</v>
      </c>
    </row>
    <row r="2495" spans="1:8" ht="13.2">
      <c r="A2495" s="454" t="s">
        <v>1660</v>
      </c>
      <c r="B2495" s="452" t="str">
        <f>VLOOKUP(A2495,'Thống kê'!$C$3:$D$669,2,0)</f>
        <v>Móc khóa Popbean Skull Panda</v>
      </c>
      <c r="C2495" s="436" t="str">
        <f>VLOOKUP(A2495,'Thống kê'!$C$3:$E$682,3,0)</f>
        <v>cái</v>
      </c>
      <c r="D2495" s="437">
        <f>VLOOKUP(A2495,'Thống kê'!$C$3:$M$682,4,0)</f>
        <v>155000</v>
      </c>
      <c r="E2495" s="438">
        <v>1</v>
      </c>
      <c r="F2495" s="439">
        <f t="shared" si="10"/>
        <v>155000</v>
      </c>
      <c r="G2495" s="440"/>
      <c r="H2495" s="446"/>
    </row>
    <row r="2496" spans="1:8" ht="13.2">
      <c r="A2496" s="454" t="s">
        <v>1624</v>
      </c>
      <c r="B2496" s="452" t="str">
        <f>VLOOKUP(A2496,'Thống kê'!$C$3:$D$669,2,0)</f>
        <v>Móc khóa mèo trái tim</v>
      </c>
      <c r="C2496" s="436" t="str">
        <f>VLOOKUP(A2496,'Thống kê'!$C$3:$E$682,3,0)</f>
        <v>cái</v>
      </c>
      <c r="D2496" s="437">
        <f>VLOOKUP(A2496,'Thống kê'!$C$3:$M$682,4,0)</f>
        <v>59000</v>
      </c>
      <c r="E2496" s="438">
        <v>1</v>
      </c>
      <c r="F2496" s="439">
        <f t="shared" si="10"/>
        <v>59000</v>
      </c>
      <c r="G2496" s="440"/>
      <c r="H2496" s="448">
        <v>44960</v>
      </c>
    </row>
    <row r="2497" spans="1:8" ht="13.2">
      <c r="A2497" s="454" t="s">
        <v>1642</v>
      </c>
      <c r="B2497" s="452" t="str">
        <f>VLOOKUP(A2497,'Thống kê'!$C$3:$D$669,2,0)</f>
        <v>Túi chườm bụng dứa (xanh đậm) 1000ml</v>
      </c>
      <c r="C2497" s="436" t="str">
        <f>VLOOKUP(A2497,'Thống kê'!$C$3:$E$682,3,0)</f>
        <v>túi</v>
      </c>
      <c r="D2497" s="437">
        <f>VLOOKUP(A2497,'Thống kê'!$C$3:$M$682,4,0)</f>
        <v>101150</v>
      </c>
      <c r="E2497" s="438">
        <v>1</v>
      </c>
      <c r="F2497" s="439">
        <f t="shared" si="10"/>
        <v>101150</v>
      </c>
      <c r="G2497" s="440"/>
      <c r="H2497" s="448">
        <v>94350</v>
      </c>
    </row>
    <row r="2498" spans="1:8" ht="13.2">
      <c r="A2498" s="454" t="s">
        <v>1662</v>
      </c>
      <c r="B2498" s="452" t="str">
        <f>VLOOKUP(A2498,'Thống kê'!$C$3:$D$669,2,0)</f>
        <v>Móc khóa Popbean Cry Baby</v>
      </c>
      <c r="C2498" s="436" t="str">
        <f>VLOOKUP(A2498,'Thống kê'!$C$3:$E$682,3,0)</f>
        <v>cái</v>
      </c>
      <c r="D2498" s="437">
        <f>VLOOKUP(A2498,'Thống kê'!$C$3:$M$682,4,0)</f>
        <v>148000</v>
      </c>
      <c r="E2498" s="438">
        <v>1</v>
      </c>
      <c r="F2498" s="439">
        <f t="shared" si="10"/>
        <v>148000</v>
      </c>
      <c r="G2498" s="440"/>
      <c r="H2498" s="448">
        <v>106250</v>
      </c>
    </row>
    <row r="2499" spans="1:8" ht="13.2">
      <c r="A2499" s="454" t="s">
        <v>1642</v>
      </c>
      <c r="B2499" s="452" t="str">
        <f>VLOOKUP(A2499,'Thống kê'!$C$3:$D$669,2,0)</f>
        <v>Túi chườm bụng dứa (xanh đậm) 1000ml</v>
      </c>
      <c r="C2499" s="436" t="str">
        <f>VLOOKUP(A2499,'Thống kê'!$C$3:$E$682,3,0)</f>
        <v>túi</v>
      </c>
      <c r="D2499" s="437">
        <f>VLOOKUP(A2499,'Thống kê'!$C$3:$M$682,4,0)</f>
        <v>101150</v>
      </c>
      <c r="E2499" s="438">
        <v>1</v>
      </c>
      <c r="F2499" s="439">
        <f t="shared" si="10"/>
        <v>101150</v>
      </c>
      <c r="G2499" s="440"/>
      <c r="H2499" s="448">
        <v>92650</v>
      </c>
    </row>
    <row r="2500" spans="1:8" ht="13.2">
      <c r="A2500" s="454" t="s">
        <v>1654</v>
      </c>
      <c r="B2500" s="452" t="str">
        <f>VLOOKUP(A2500,'Thống kê'!$C$3:$D$669,2,0)</f>
        <v>Móc khóa Popbean Hacipupu</v>
      </c>
      <c r="C2500" s="436" t="str">
        <f>VLOOKUP(A2500,'Thống kê'!$C$3:$E$682,3,0)</f>
        <v>cái</v>
      </c>
      <c r="D2500" s="437">
        <f>VLOOKUP(A2500,'Thống kê'!$C$3:$M$682,4,0)</f>
        <v>155000</v>
      </c>
      <c r="E2500" s="438">
        <v>1</v>
      </c>
      <c r="F2500" s="439">
        <f t="shared" si="10"/>
        <v>155000</v>
      </c>
      <c r="G2500" s="440"/>
      <c r="H2500" s="448">
        <v>107550</v>
      </c>
    </row>
    <row r="2501" spans="1:8" ht="13.2">
      <c r="A2501" s="454" t="s">
        <v>2032</v>
      </c>
      <c r="B2501" s="452" t="str">
        <f>VLOOKUP(A2501,'Thống kê'!$C$3:$D$669,2,0)</f>
        <v>Móc khóa capybara 2 - hồng balo tennis</v>
      </c>
      <c r="C2501" s="436" t="str">
        <f>VLOOKUP(A2501,'Thống kê'!$C$3:$E$682,3,0)</f>
        <v>cái</v>
      </c>
      <c r="D2501" s="437">
        <f>VLOOKUP(A2501,'Thống kê'!$C$3:$M$682,4,0)</f>
        <v>58800</v>
      </c>
      <c r="E2501" s="438">
        <v>1</v>
      </c>
      <c r="F2501" s="439">
        <f t="shared" si="10"/>
        <v>58800</v>
      </c>
      <c r="G2501" s="440"/>
      <c r="H2501" s="447">
        <v>237540</v>
      </c>
    </row>
    <row r="2502" spans="1:8" ht="13.2">
      <c r="A2502" s="454" t="s">
        <v>2034</v>
      </c>
      <c r="B2502" s="452" t="str">
        <f>VLOOKUP(A2502,'Thống kê'!$C$3:$D$669,2,0)</f>
        <v>Móc khóa capybara 6 - bóng tennis</v>
      </c>
      <c r="C2502" s="436" t="str">
        <f>VLOOKUP(A2502,'Thống kê'!$C$3:$E$682,3,0)</f>
        <v>cái</v>
      </c>
      <c r="D2502" s="437">
        <f>VLOOKUP(A2502,'Thống kê'!$C$3:$M$682,4,0)</f>
        <v>58800</v>
      </c>
      <c r="E2502" s="438">
        <v>2</v>
      </c>
      <c r="F2502" s="439">
        <f t="shared" si="10"/>
        <v>117600</v>
      </c>
      <c r="G2502" s="440"/>
      <c r="H2502" s="446"/>
    </row>
    <row r="2503" spans="1:8" ht="13.2">
      <c r="A2503" s="454" t="s">
        <v>1660</v>
      </c>
      <c r="B2503" s="452" t="str">
        <f>VLOOKUP(A2503,'Thống kê'!$C$3:$D$669,2,0)</f>
        <v>Móc khóa Popbean Skull Panda</v>
      </c>
      <c r="C2503" s="436" t="str">
        <f>VLOOKUP(A2503,'Thống kê'!$C$3:$E$682,3,0)</f>
        <v>cái</v>
      </c>
      <c r="D2503" s="437">
        <f>VLOOKUP(A2503,'Thống kê'!$C$3:$M$682,4,0)</f>
        <v>155000</v>
      </c>
      <c r="E2503" s="438">
        <v>1</v>
      </c>
      <c r="F2503" s="439">
        <f t="shared" si="10"/>
        <v>155000</v>
      </c>
      <c r="G2503" s="440"/>
      <c r="H2503" s="446"/>
    </row>
    <row r="2504" spans="1:8" ht="13.2">
      <c r="A2504" s="454" t="s">
        <v>1660</v>
      </c>
      <c r="B2504" s="452" t="str">
        <f>VLOOKUP(A2504,'Thống kê'!$C$3:$D$669,2,0)</f>
        <v>Móc khóa Popbean Skull Panda</v>
      </c>
      <c r="C2504" s="436" t="str">
        <f>VLOOKUP(A2504,'Thống kê'!$C$3:$E$682,3,0)</f>
        <v>cái</v>
      </c>
      <c r="D2504" s="437">
        <f>VLOOKUP(A2504,'Thống kê'!$C$3:$M$682,4,0)</f>
        <v>155000</v>
      </c>
      <c r="E2504" s="438">
        <v>1</v>
      </c>
      <c r="F2504" s="439">
        <f t="shared" si="10"/>
        <v>155000</v>
      </c>
      <c r="G2504" s="440"/>
      <c r="H2504" s="448">
        <v>116450</v>
      </c>
    </row>
    <row r="2505" spans="1:8" ht="13.2">
      <c r="A2505" s="454" t="s">
        <v>1993</v>
      </c>
      <c r="B2505" s="452" t="str">
        <f>VLOOKUP(A2505,'Thống kê'!$C$3:$D$669,2,0)</f>
        <v>Kẹp tóc rêu</v>
      </c>
      <c r="C2505" s="436" t="str">
        <f>VLOOKUP(A2505,'Thống kê'!$C$3:$E$682,3,0)</f>
        <v>cái</v>
      </c>
      <c r="D2505" s="437">
        <f>VLOOKUP(A2505,'Thống kê'!$C$3:$M$682,4,0)</f>
        <v>14000</v>
      </c>
      <c r="E2505" s="438">
        <v>1</v>
      </c>
      <c r="F2505" s="439">
        <f t="shared" si="10"/>
        <v>14000</v>
      </c>
      <c r="G2505" s="440"/>
      <c r="H2505" s="447">
        <v>341275</v>
      </c>
    </row>
    <row r="2506" spans="1:8" ht="13.2">
      <c r="A2506" s="454" t="s">
        <v>1954</v>
      </c>
      <c r="B2506" s="452" t="str">
        <f>VLOOKUP(A2506,'Thống kê'!$C$3:$D$669,2,0)</f>
        <v>Bạch tuyết treo gương</v>
      </c>
      <c r="C2506" s="436" t="str">
        <f>VLOOKUP(A2506,'Thống kê'!$C$3:$E$682,3,0)</f>
        <v>cái</v>
      </c>
      <c r="D2506" s="437">
        <f>VLOOKUP(A2506,'Thống kê'!$C$3:$M$682,4,0)</f>
        <v>155000</v>
      </c>
      <c r="E2506" s="438">
        <v>1</v>
      </c>
      <c r="F2506" s="439">
        <f t="shared" si="10"/>
        <v>155000</v>
      </c>
      <c r="G2506" s="440"/>
      <c r="H2506" s="446"/>
    </row>
    <row r="2507" spans="1:8" ht="13.2">
      <c r="A2507" s="454" t="s">
        <v>1661</v>
      </c>
      <c r="B2507" s="452" t="str">
        <f>VLOOKUP(A2507,'Thống kê'!$C$3:$D$669,2,0)</f>
        <v>Móc khóa Popbean Kubo</v>
      </c>
      <c r="C2507" s="436" t="str">
        <f>VLOOKUP(A2507,'Thống kê'!$C$3:$E$682,3,0)</f>
        <v>cái</v>
      </c>
      <c r="D2507" s="437">
        <f>VLOOKUP(A2507,'Thống kê'!$C$3:$M$682,4,0)</f>
        <v>148000</v>
      </c>
      <c r="E2507" s="438">
        <v>1</v>
      </c>
      <c r="F2507" s="439">
        <f t="shared" si="10"/>
        <v>148000</v>
      </c>
      <c r="G2507" s="440"/>
      <c r="H2507" s="446"/>
    </row>
    <row r="2508" spans="1:8" ht="13.2">
      <c r="A2508" s="454" t="s">
        <v>1660</v>
      </c>
      <c r="B2508" s="452" t="str">
        <f>VLOOKUP(A2508,'Thống kê'!$C$3:$D$669,2,0)</f>
        <v>Móc khóa Popbean Skull Panda</v>
      </c>
      <c r="C2508" s="436" t="str">
        <f>VLOOKUP(A2508,'Thống kê'!$C$3:$E$682,3,0)</f>
        <v>cái</v>
      </c>
      <c r="D2508" s="437">
        <f>VLOOKUP(A2508,'Thống kê'!$C$3:$M$682,4,0)</f>
        <v>155000</v>
      </c>
      <c r="E2508" s="438">
        <v>1</v>
      </c>
      <c r="F2508" s="439">
        <f t="shared" si="10"/>
        <v>155000</v>
      </c>
      <c r="G2508" s="440"/>
      <c r="H2508" s="446"/>
    </row>
    <row r="2509" spans="1:8" ht="13.2">
      <c r="A2509" s="454" t="s">
        <v>115</v>
      </c>
      <c r="B2509" s="452" t="str">
        <f>VLOOKUP(A2509,'Thống kê'!$C$3:$D$669,2,0)</f>
        <v>Heo ú</v>
      </c>
      <c r="C2509" s="436" t="str">
        <f>VLOOKUP(A2509,'Thống kê'!$C$3:$E$682,3,0)</f>
        <v>cái</v>
      </c>
      <c r="D2509" s="437">
        <f>VLOOKUP(A2509,'Thống kê'!$C$3:$M$682,4,0)</f>
        <v>59500</v>
      </c>
      <c r="E2509" s="438">
        <v>1</v>
      </c>
      <c r="F2509" s="439">
        <f t="shared" si="10"/>
        <v>59500</v>
      </c>
      <c r="G2509" s="440"/>
      <c r="H2509" s="447">
        <v>92650</v>
      </c>
    </row>
    <row r="2510" spans="1:8" ht="13.2">
      <c r="A2510" s="454" t="s">
        <v>1591</v>
      </c>
      <c r="B2510" s="452" t="str">
        <f>VLOOKUP(A2510,'Thống kê'!$C$3:$D$669,2,0)</f>
        <v>Thỏ ú</v>
      </c>
      <c r="C2510" s="436" t="str">
        <f>VLOOKUP(A2510,'Thống kê'!$C$3:$E$682,3,0)</f>
        <v>cái</v>
      </c>
      <c r="D2510" s="437">
        <f>VLOOKUP(A2510,'Thống kê'!$C$3:$M$682,4,0)</f>
        <v>59500</v>
      </c>
      <c r="E2510" s="438">
        <v>1</v>
      </c>
      <c r="F2510" s="439">
        <f t="shared" si="10"/>
        <v>59500</v>
      </c>
      <c r="G2510" s="440"/>
      <c r="H2510" s="446"/>
    </row>
    <row r="2511" spans="1:8" ht="13.2">
      <c r="A2511" s="454" t="s">
        <v>1329</v>
      </c>
      <c r="B2511" s="452" t="str">
        <f>VLOOKUP(A2511,'Thống kê'!$C$3:$D$669,2,0)</f>
        <v>Móc khóa Popbean</v>
      </c>
      <c r="C2511" s="436" t="str">
        <f>VLOOKUP(A2511,'Thống kê'!$C$3:$E$682,3,0)</f>
        <v>cái</v>
      </c>
      <c r="D2511" s="437">
        <f>VLOOKUP(A2511,'Thống kê'!$C$3:$M$682,4,0)</f>
        <v>148000</v>
      </c>
      <c r="E2511" s="438">
        <v>1</v>
      </c>
      <c r="F2511" s="439">
        <f t="shared" si="10"/>
        <v>148000</v>
      </c>
      <c r="G2511" s="440"/>
      <c r="H2511" s="447">
        <v>215050</v>
      </c>
    </row>
    <row r="2512" spans="1:8" ht="13.2">
      <c r="A2512" s="454" t="s">
        <v>1663</v>
      </c>
      <c r="B2512" s="452" t="str">
        <f>VLOOKUP(A2512,'Thống kê'!$C$3:$D$669,2,0)</f>
        <v>Móc khóa Popbean Zsiga</v>
      </c>
      <c r="C2512" s="436" t="str">
        <f>VLOOKUP(A2512,'Thống kê'!$C$3:$E$682,3,0)</f>
        <v>cái</v>
      </c>
      <c r="D2512" s="437">
        <f>VLOOKUP(A2512,'Thống kê'!$C$3:$M$682,4,0)</f>
        <v>148000</v>
      </c>
      <c r="E2512" s="438">
        <v>1</v>
      </c>
      <c r="F2512" s="439">
        <f t="shared" si="10"/>
        <v>148000</v>
      </c>
      <c r="G2512" s="440"/>
      <c r="H2512" s="446"/>
    </row>
    <row r="2513" spans="1:8" ht="13.2">
      <c r="A2513" s="454" t="s">
        <v>1662</v>
      </c>
      <c r="B2513" s="452" t="str">
        <f>VLOOKUP(A2513,'Thống kê'!$C$3:$D$669,2,0)</f>
        <v>Móc khóa Popbean Cry Baby</v>
      </c>
      <c r="C2513" s="436" t="str">
        <f>VLOOKUP(A2513,'Thống kê'!$C$3:$E$682,3,0)</f>
        <v>cái</v>
      </c>
      <c r="D2513" s="437">
        <f>VLOOKUP(A2513,'Thống kê'!$C$3:$M$682,4,0)</f>
        <v>148000</v>
      </c>
      <c r="E2513" s="438">
        <v>1</v>
      </c>
      <c r="F2513" s="439">
        <f t="shared" si="10"/>
        <v>148000</v>
      </c>
      <c r="G2513" s="440"/>
      <c r="H2513" s="448">
        <v>106250</v>
      </c>
    </row>
    <row r="2514" spans="1:8" ht="13.2">
      <c r="A2514" s="454" t="s">
        <v>181</v>
      </c>
      <c r="B2514" s="452" t="str">
        <f>VLOOKUP(A2514,'Thống kê'!$C$3:$D$669,2,0)</f>
        <v>Thỏ mặt trăng gắn xe</v>
      </c>
      <c r="C2514" s="436" t="str">
        <f>VLOOKUP(A2514,'Thống kê'!$C$3:$E$682,3,0)</f>
        <v>cái</v>
      </c>
      <c r="D2514" s="437">
        <f>VLOOKUP(A2514,'Thống kê'!$C$3:$M$682,4,0)</f>
        <v>45000</v>
      </c>
      <c r="E2514" s="438">
        <v>1</v>
      </c>
      <c r="F2514" s="439">
        <f t="shared" si="10"/>
        <v>45000</v>
      </c>
      <c r="G2514" s="440"/>
      <c r="H2514" s="447">
        <v>99400</v>
      </c>
    </row>
    <row r="2515" spans="1:8" ht="13.2">
      <c r="A2515" s="454" t="s">
        <v>1593</v>
      </c>
      <c r="B2515" s="452" t="str">
        <f>VLOOKUP(A2515,'Thống kê'!$C$3:$D$669,2,0)</f>
        <v>Heo cưỡi kì lân gắn xe</v>
      </c>
      <c r="C2515" s="436" t="str">
        <f>VLOOKUP(A2515,'Thống kê'!$C$3:$E$682,3,0)</f>
        <v>cái</v>
      </c>
      <c r="D2515" s="437">
        <f>VLOOKUP(A2515,'Thống kê'!$C$3:$M$682,4,0)</f>
        <v>45000</v>
      </c>
      <c r="E2515" s="438">
        <v>1</v>
      </c>
      <c r="F2515" s="439">
        <f t="shared" si="10"/>
        <v>45000</v>
      </c>
      <c r="G2515" s="440"/>
      <c r="H2515" s="446"/>
    </row>
    <row r="2516" spans="1:8" ht="13.2">
      <c r="A2516" s="454" t="s">
        <v>145</v>
      </c>
      <c r="B2516" s="452" t="str">
        <f>VLOOKUP(A2516,'Thống kê'!$C$3:$D$669,2,0)</f>
        <v>Thỏ đi vịt gắn xe</v>
      </c>
      <c r="C2516" s="436" t="str">
        <f>VLOOKUP(A2516,'Thống kê'!$C$3:$E$682,3,0)</f>
        <v>cái</v>
      </c>
      <c r="D2516" s="437">
        <f>VLOOKUP(A2516,'Thống kê'!$C$3:$M$682,4,0)</f>
        <v>45000</v>
      </c>
      <c r="E2516" s="438">
        <v>1</v>
      </c>
      <c r="F2516" s="439">
        <f t="shared" si="10"/>
        <v>45000</v>
      </c>
      <c r="G2516" s="440"/>
      <c r="H2516" s="446"/>
    </row>
    <row r="2517" spans="1:8" ht="13.2">
      <c r="A2517" s="454" t="s">
        <v>1716</v>
      </c>
      <c r="B2517" s="452" t="str">
        <f>VLOOKUP(A2517,'Thống kê'!$C$3:$D$669,2,0)</f>
        <v>Móc khóa đôi 2 quả lê có nam châm</v>
      </c>
      <c r="C2517" s="436" t="str">
        <f>VLOOKUP(A2517,'Thống kê'!$C$3:$E$682,3,0)</f>
        <v>cái</v>
      </c>
      <c r="D2517" s="437">
        <f>VLOOKUP(A2517,'Thống kê'!$C$3:$M$682,4,0)</f>
        <v>59000</v>
      </c>
      <c r="E2517" s="438">
        <v>1</v>
      </c>
      <c r="F2517" s="439">
        <f t="shared" si="10"/>
        <v>59000</v>
      </c>
      <c r="G2517" s="440"/>
      <c r="H2517" s="448">
        <v>52735</v>
      </c>
    </row>
    <row r="2518" spans="1:8" ht="13.2">
      <c r="A2518" s="454" t="s">
        <v>1625</v>
      </c>
      <c r="B2518" s="452" t="str">
        <f>VLOOKUP(A2518,'Thống kê'!$C$3:$D$669,2,0)</f>
        <v>Móc khóa đôi 2 mèo trắng nâu</v>
      </c>
      <c r="C2518" s="436" t="str">
        <f>VLOOKUP(A2518,'Thống kê'!$C$3:$E$682,3,0)</f>
        <v>cái</v>
      </c>
      <c r="D2518" s="437">
        <f>VLOOKUP(A2518,'Thống kê'!$C$3:$M$682,4,0)</f>
        <v>59000</v>
      </c>
      <c r="E2518" s="438">
        <v>1</v>
      </c>
      <c r="F2518" s="439">
        <f t="shared" si="10"/>
        <v>59000</v>
      </c>
      <c r="G2518" s="440"/>
      <c r="H2518" s="448">
        <v>44510</v>
      </c>
    </row>
    <row r="2519" spans="1:8" ht="13.2">
      <c r="A2519" s="454" t="s">
        <v>2048</v>
      </c>
      <c r="B2519" s="452" t="str">
        <f>VLOOKUP(A2519,'Thống kê'!$C$3:$D$669,2,0)</f>
        <v xml:space="preserve">Móc khóa capybara 11 - sổ mũ </v>
      </c>
      <c r="C2519" s="436" t="str">
        <f>VLOOKUP(A2519,'Thống kê'!$C$3:$E$682,3,0)</f>
        <v>cái</v>
      </c>
      <c r="D2519" s="437">
        <f>VLOOKUP(A2519,'Thống kê'!$C$3:$M$682,4,0)</f>
        <v>58800</v>
      </c>
      <c r="E2519" s="438">
        <v>3</v>
      </c>
      <c r="F2519" s="439">
        <f t="shared" si="10"/>
        <v>176400</v>
      </c>
      <c r="G2519" s="440"/>
      <c r="H2519" s="447">
        <v>363000</v>
      </c>
    </row>
    <row r="2520" spans="1:8" ht="13.2">
      <c r="A2520" s="454" t="s">
        <v>1971</v>
      </c>
      <c r="B2520" s="452" t="str">
        <f>VLOOKUP(A2520,'Thống kê'!$C$3:$D$669,2,0)</f>
        <v>Móc khóa capybara 13 - tóc nâu</v>
      </c>
      <c r="C2520" s="436" t="str">
        <f>VLOOKUP(A2520,'Thống kê'!$C$3:$E$682,3,0)</f>
        <v>cái</v>
      </c>
      <c r="D2520" s="437">
        <f>VLOOKUP(A2520,'Thống kê'!$C$3:$M$682,4,0)</f>
        <v>38000</v>
      </c>
      <c r="E2520" s="438">
        <v>1</v>
      </c>
      <c r="F2520" s="439">
        <f t="shared" si="10"/>
        <v>38000</v>
      </c>
      <c r="G2520" s="440"/>
      <c r="H2520" s="446"/>
    </row>
    <row r="2521" spans="1:8" ht="13.2">
      <c r="A2521" s="454" t="s">
        <v>1941</v>
      </c>
      <c r="B2521" s="452" t="str">
        <f>VLOOKUP(A2521,'Thống kê'!$C$3:$D$669,2,0)</f>
        <v>Móc khóa capybara 7 - táo</v>
      </c>
      <c r="C2521" s="436" t="str">
        <f>VLOOKUP(A2521,'Thống kê'!$C$3:$E$682,3,0)</f>
        <v>cái</v>
      </c>
      <c r="D2521" s="437">
        <f>VLOOKUP(A2521,'Thống kê'!$C$3:$M$682,4,0)</f>
        <v>58800</v>
      </c>
      <c r="E2521" s="438">
        <v>2</v>
      </c>
      <c r="F2521" s="439">
        <f t="shared" si="10"/>
        <v>117600</v>
      </c>
      <c r="G2521" s="440"/>
      <c r="H2521" s="446"/>
    </row>
    <row r="2522" spans="1:8" ht="13.2">
      <c r="A2522" s="454" t="s">
        <v>1627</v>
      </c>
      <c r="B2522" s="452" t="str">
        <f>VLOOKUP(A2522,'Thống kê'!$C$3:$D$669,2,0)</f>
        <v>Móc khóa capybara 15 - sổ mũi ko móc khóa</v>
      </c>
      <c r="C2522" s="436" t="str">
        <f>VLOOKUP(A2522,'Thống kê'!$C$3:$E$682,3,0)</f>
        <v>cái</v>
      </c>
      <c r="D2522" s="437">
        <f>VLOOKUP(A2522,'Thống kê'!$C$3:$M$682,4,0)</f>
        <v>56500</v>
      </c>
      <c r="E2522" s="438">
        <v>3</v>
      </c>
      <c r="F2522" s="439">
        <f t="shared" si="10"/>
        <v>169500</v>
      </c>
      <c r="G2522" s="440"/>
      <c r="H2522" s="446"/>
    </row>
    <row r="2523" spans="1:8" ht="13.2">
      <c r="A2523" s="454" t="s">
        <v>1660</v>
      </c>
      <c r="B2523" s="452" t="str">
        <f>VLOOKUP(A2523,'Thống kê'!$C$3:$D$669,2,0)</f>
        <v>Móc khóa Popbean Skull Panda</v>
      </c>
      <c r="C2523" s="436" t="str">
        <f>VLOOKUP(A2523,'Thống kê'!$C$3:$E$682,3,0)</f>
        <v>cái</v>
      </c>
      <c r="D2523" s="437">
        <f>VLOOKUP(A2523,'Thống kê'!$C$3:$M$682,4,0)</f>
        <v>155000</v>
      </c>
      <c r="E2523" s="438">
        <v>1</v>
      </c>
      <c r="F2523" s="439">
        <f t="shared" si="10"/>
        <v>155000</v>
      </c>
      <c r="G2523" s="440"/>
      <c r="H2523" s="448">
        <v>116450</v>
      </c>
    </row>
    <row r="2524" spans="1:8" ht="13.2">
      <c r="A2524" s="454" t="s">
        <v>1329</v>
      </c>
      <c r="B2524" s="452" t="str">
        <f>VLOOKUP(A2524,'Thống kê'!$C$3:$D$669,2,0)</f>
        <v>Móc khóa Popbean</v>
      </c>
      <c r="C2524" s="436" t="str">
        <f>VLOOKUP(A2524,'Thống kê'!$C$3:$E$682,3,0)</f>
        <v>cái</v>
      </c>
      <c r="D2524" s="437">
        <f>VLOOKUP(A2524,'Thống kê'!$C$3:$M$682,4,0)</f>
        <v>148000</v>
      </c>
      <c r="E2524" s="438">
        <v>1</v>
      </c>
      <c r="F2524" s="439">
        <f t="shared" si="10"/>
        <v>148000</v>
      </c>
      <c r="G2524" s="440"/>
      <c r="H2524" s="447">
        <v>222870</v>
      </c>
    </row>
    <row r="2525" spans="1:8" ht="13.2">
      <c r="A2525" s="454" t="s">
        <v>1660</v>
      </c>
      <c r="B2525" s="452" t="str">
        <f>VLOOKUP(A2525,'Thống kê'!$C$3:$D$669,2,0)</f>
        <v>Móc khóa Popbean Skull Panda</v>
      </c>
      <c r="C2525" s="436" t="str">
        <f>VLOOKUP(A2525,'Thống kê'!$C$3:$E$682,3,0)</f>
        <v>cái</v>
      </c>
      <c r="D2525" s="437">
        <f>VLOOKUP(A2525,'Thống kê'!$C$3:$M$682,4,0)</f>
        <v>155000</v>
      </c>
      <c r="E2525" s="438">
        <v>1</v>
      </c>
      <c r="F2525" s="439">
        <f t="shared" si="10"/>
        <v>155000</v>
      </c>
      <c r="G2525" s="440"/>
      <c r="H2525" s="446"/>
    </row>
    <row r="2526" spans="1:8" ht="13.2">
      <c r="A2526" s="454" t="s">
        <v>227</v>
      </c>
      <c r="B2526" s="452" t="str">
        <f>VLOOKUP(A2526,'Thống kê'!$C$3:$D$669,2,0)</f>
        <v>Móc khóa đôi corgy</v>
      </c>
      <c r="C2526" s="436" t="str">
        <f>VLOOKUP(A2526,'Thống kê'!$C$3:$E$682,3,0)</f>
        <v>cái</v>
      </c>
      <c r="D2526" s="437">
        <f>VLOOKUP(A2526,'Thống kê'!$C$3:$M$682,4,0)</f>
        <v>56580</v>
      </c>
      <c r="E2526" s="438">
        <v>1</v>
      </c>
      <c r="F2526" s="439">
        <f t="shared" si="10"/>
        <v>56580</v>
      </c>
      <c r="G2526" s="440"/>
      <c r="H2526" s="448">
        <v>43109</v>
      </c>
    </row>
    <row r="2527" spans="1:8" ht="13.2">
      <c r="A2527" s="454" t="s">
        <v>1660</v>
      </c>
      <c r="B2527" s="452" t="str">
        <f>VLOOKUP(A2527,'Thống kê'!$C$3:$D$669,2,0)</f>
        <v>Móc khóa Popbean Skull Panda</v>
      </c>
      <c r="C2527" s="436" t="str">
        <f>VLOOKUP(A2527,'Thống kê'!$C$3:$E$682,3,0)</f>
        <v>cái</v>
      </c>
      <c r="D2527" s="437">
        <f>VLOOKUP(A2527,'Thống kê'!$C$3:$M$682,4,0)</f>
        <v>155000</v>
      </c>
      <c r="E2527" s="438">
        <v>1</v>
      </c>
      <c r="F2527" s="439">
        <f t="shared" si="10"/>
        <v>155000</v>
      </c>
      <c r="G2527" s="440"/>
      <c r="H2527" s="448">
        <v>115625</v>
      </c>
    </row>
    <row r="2528" spans="1:8" ht="13.2">
      <c r="A2528" s="454" t="s">
        <v>1662</v>
      </c>
      <c r="B2528" s="452" t="str">
        <f>VLOOKUP(A2528,'Thống kê'!$C$3:$D$669,2,0)</f>
        <v>Móc khóa Popbean Cry Baby</v>
      </c>
      <c r="C2528" s="436" t="str">
        <f>VLOOKUP(A2528,'Thống kê'!$C$3:$E$682,3,0)</f>
        <v>cái</v>
      </c>
      <c r="D2528" s="437">
        <f>VLOOKUP(A2528,'Thống kê'!$C$3:$M$682,4,0)</f>
        <v>148000</v>
      </c>
      <c r="E2528" s="438">
        <v>1</v>
      </c>
      <c r="F2528" s="439">
        <f t="shared" si="10"/>
        <v>148000</v>
      </c>
      <c r="G2528" s="440"/>
      <c r="H2528" s="448">
        <v>107950</v>
      </c>
    </row>
    <row r="2529" spans="1:8" ht="13.2">
      <c r="A2529" s="454" t="s">
        <v>1692</v>
      </c>
      <c r="B2529" s="452" t="str">
        <f>VLOOKUP(A2529,'Thống kê'!$C$3:$D$669,2,0)</f>
        <v>Móc khóa Popbean 06</v>
      </c>
      <c r="C2529" s="436" t="str">
        <f>VLOOKUP(A2529,'Thống kê'!$C$3:$E$682,3,0)</f>
        <v>cái</v>
      </c>
      <c r="D2529" s="437">
        <f>VLOOKUP(A2529,'Thống kê'!$C$3:$M$682,4,0)</f>
        <v>161850</v>
      </c>
      <c r="E2529" s="438">
        <v>1</v>
      </c>
      <c r="F2529" s="439">
        <f t="shared" si="10"/>
        <v>161850</v>
      </c>
      <c r="G2529" s="440"/>
      <c r="H2529" s="448">
        <v>107050</v>
      </c>
    </row>
    <row r="2530" spans="1:8" ht="13.2">
      <c r="A2530" s="454" t="s">
        <v>1652</v>
      </c>
      <c r="B2530" s="452" t="str">
        <f>VLOOKUP(A2530,'Thống kê'!$C$3:$D$669,2,0)</f>
        <v>Móc khóa Popbean Hacipupu</v>
      </c>
      <c r="C2530" s="436" t="str">
        <f>VLOOKUP(A2530,'Thống kê'!$C$3:$E$682,3,0)</f>
        <v>cái</v>
      </c>
      <c r="D2530" s="437">
        <f>VLOOKUP(A2530,'Thống kê'!$C$3:$M$682,4,0)</f>
        <v>155000</v>
      </c>
      <c r="E2530" s="438">
        <v>1</v>
      </c>
      <c r="F2530" s="439">
        <f t="shared" si="10"/>
        <v>155000</v>
      </c>
      <c r="G2530" s="440"/>
      <c r="H2530" s="447">
        <v>211140</v>
      </c>
    </row>
    <row r="2531" spans="1:8" ht="13.2">
      <c r="A2531" s="454" t="s">
        <v>1653</v>
      </c>
      <c r="B2531" s="452" t="str">
        <f>VLOOKUP(A2531,'Thống kê'!$C$3:$D$669,2,0)</f>
        <v>Móc khóa Popbean Pucky</v>
      </c>
      <c r="C2531" s="436" t="str">
        <f>VLOOKUP(A2531,'Thống kê'!$C$3:$E$682,3,0)</f>
        <v>cái</v>
      </c>
      <c r="D2531" s="437">
        <f>VLOOKUP(A2531,'Thống kê'!$C$3:$M$682,4,0)</f>
        <v>155000</v>
      </c>
      <c r="E2531" s="438">
        <v>1</v>
      </c>
      <c r="F2531" s="439">
        <f t="shared" si="10"/>
        <v>155000</v>
      </c>
      <c r="G2531" s="440"/>
      <c r="H2531" s="446"/>
    </row>
    <row r="2532" spans="1:8" ht="13.2">
      <c r="A2532" s="454" t="s">
        <v>1658</v>
      </c>
      <c r="B2532" s="452" t="str">
        <f>VLOOKUP(A2532,'Thống kê'!$C$3:$D$669,2,0)</f>
        <v>Móc khóa Popbean Dimoo</v>
      </c>
      <c r="C2532" s="436" t="str">
        <f>VLOOKUP(A2532,'Thống kê'!$C$3:$E$682,3,0)</f>
        <v>cái</v>
      </c>
      <c r="D2532" s="437">
        <f>VLOOKUP(A2532,'Thống kê'!$C$3:$M$682,4,0)</f>
        <v>165000</v>
      </c>
      <c r="E2532" s="438">
        <v>1</v>
      </c>
      <c r="F2532" s="439">
        <f t="shared" si="10"/>
        <v>165000</v>
      </c>
      <c r="G2532" s="440"/>
      <c r="H2532" s="447">
        <v>218960</v>
      </c>
    </row>
    <row r="2533" spans="1:8" ht="13.2">
      <c r="A2533" s="454" t="s">
        <v>1660</v>
      </c>
      <c r="B2533" s="452" t="str">
        <f>VLOOKUP(A2533,'Thống kê'!$C$3:$D$669,2,0)</f>
        <v>Móc khóa Popbean Skull Panda</v>
      </c>
      <c r="C2533" s="436" t="str">
        <f>VLOOKUP(A2533,'Thống kê'!$C$3:$E$682,3,0)</f>
        <v>cái</v>
      </c>
      <c r="D2533" s="437">
        <f>VLOOKUP(A2533,'Thống kê'!$C$3:$M$682,4,0)</f>
        <v>155000</v>
      </c>
      <c r="E2533" s="438">
        <v>1</v>
      </c>
      <c r="F2533" s="439">
        <f t="shared" si="10"/>
        <v>155000</v>
      </c>
      <c r="G2533" s="440"/>
      <c r="H2533" s="446"/>
    </row>
    <row r="2534" spans="1:8" ht="13.2">
      <c r="A2534" s="454" t="s">
        <v>1662</v>
      </c>
      <c r="B2534" s="452" t="str">
        <f>VLOOKUP(A2534,'Thống kê'!$C$3:$D$669,2,0)</f>
        <v>Móc khóa Popbean Cry Baby</v>
      </c>
      <c r="C2534" s="436" t="str">
        <f>VLOOKUP(A2534,'Thống kê'!$C$3:$E$682,3,0)</f>
        <v>cái</v>
      </c>
      <c r="D2534" s="437">
        <f>VLOOKUP(A2534,'Thống kê'!$C$3:$M$682,4,0)</f>
        <v>148000</v>
      </c>
      <c r="E2534" s="438">
        <v>1</v>
      </c>
      <c r="F2534" s="439">
        <f t="shared" si="10"/>
        <v>148000</v>
      </c>
      <c r="G2534" s="440"/>
      <c r="H2534" s="448">
        <v>107950</v>
      </c>
    </row>
    <row r="2535" spans="1:8" ht="13.2">
      <c r="A2535" s="454" t="s">
        <v>115</v>
      </c>
      <c r="B2535" s="452" t="str">
        <f>VLOOKUP(A2535,'Thống kê'!$C$3:$D$669,2,0)</f>
        <v>Heo ú</v>
      </c>
      <c r="C2535" s="436" t="str">
        <f>VLOOKUP(A2535,'Thống kê'!$C$3:$E$682,3,0)</f>
        <v>cái</v>
      </c>
      <c r="D2535" s="437">
        <f>VLOOKUP(A2535,'Thống kê'!$C$3:$M$682,4,0)</f>
        <v>59500</v>
      </c>
      <c r="E2535" s="438">
        <v>1</v>
      </c>
      <c r="F2535" s="439">
        <f t="shared" si="10"/>
        <v>59500</v>
      </c>
      <c r="G2535" s="440"/>
      <c r="H2535" s="448">
        <v>44377</v>
      </c>
    </row>
    <row r="2536" spans="1:8" ht="13.2">
      <c r="A2536" s="454" t="s">
        <v>1614</v>
      </c>
      <c r="B2536" s="452" t="str">
        <f>VLOOKUP(A2536,'Thống kê'!$C$3:$D$669,2,0)</f>
        <v>Kẹp tóc bướm xanh ngọc</v>
      </c>
      <c r="C2536" s="436" t="str">
        <f>VLOOKUP(A2536,'Thống kê'!$C$3:$E$682,3,0)</f>
        <v>cái</v>
      </c>
      <c r="D2536" s="437">
        <f>VLOOKUP(A2536,'Thống kê'!$C$3:$M$682,4,0)</f>
        <v>38000</v>
      </c>
      <c r="E2536" s="438">
        <v>1</v>
      </c>
      <c r="F2536" s="439">
        <f t="shared" si="10"/>
        <v>38000</v>
      </c>
      <c r="G2536" s="440"/>
      <c r="H2536" s="447">
        <v>272136</v>
      </c>
    </row>
    <row r="2537" spans="1:8" ht="13.2">
      <c r="A2537" s="454" t="s">
        <v>1615</v>
      </c>
      <c r="B2537" s="452" t="str">
        <f>VLOOKUP(A2537,'Thống kê'!$C$3:$D$669,2,0)</f>
        <v>Kẹp tóc bướm tím</v>
      </c>
      <c r="C2537" s="436" t="str">
        <f>VLOOKUP(A2537,'Thống kê'!$C$3:$E$682,3,0)</f>
        <v>cái</v>
      </c>
      <c r="D2537" s="437">
        <f>VLOOKUP(A2537,'Thống kê'!$C$3:$M$682,4,0)</f>
        <v>40000</v>
      </c>
      <c r="E2537" s="438">
        <v>1</v>
      </c>
      <c r="F2537" s="439">
        <f t="shared" si="10"/>
        <v>40000</v>
      </c>
      <c r="G2537" s="440"/>
      <c r="H2537" s="446"/>
    </row>
    <row r="2538" spans="1:8" ht="13.2">
      <c r="A2538" s="454" t="s">
        <v>1661</v>
      </c>
      <c r="B2538" s="452" t="str">
        <f>VLOOKUP(A2538,'Thống kê'!$C$3:$D$669,2,0)</f>
        <v>Móc khóa Popbean Kubo</v>
      </c>
      <c r="C2538" s="436" t="str">
        <f>VLOOKUP(A2538,'Thống kê'!$C$3:$E$682,3,0)</f>
        <v>cái</v>
      </c>
      <c r="D2538" s="437">
        <f>VLOOKUP(A2538,'Thống kê'!$C$3:$M$682,4,0)</f>
        <v>148000</v>
      </c>
      <c r="E2538" s="438">
        <v>1</v>
      </c>
      <c r="F2538" s="439">
        <f t="shared" si="10"/>
        <v>148000</v>
      </c>
      <c r="G2538" s="440"/>
      <c r="H2538" s="446"/>
    </row>
    <row r="2539" spans="1:8" ht="13.2">
      <c r="A2539" s="454" t="s">
        <v>1660</v>
      </c>
      <c r="B2539" s="452" t="str">
        <f>VLOOKUP(A2539,'Thống kê'!$C$3:$D$669,2,0)</f>
        <v>Móc khóa Popbean Skull Panda</v>
      </c>
      <c r="C2539" s="436" t="str">
        <f>VLOOKUP(A2539,'Thống kê'!$C$3:$E$682,3,0)</f>
        <v>cái</v>
      </c>
      <c r="D2539" s="437">
        <f>VLOOKUP(A2539,'Thống kê'!$C$3:$M$682,4,0)</f>
        <v>155000</v>
      </c>
      <c r="E2539" s="438">
        <v>1</v>
      </c>
      <c r="F2539" s="439">
        <f t="shared" si="10"/>
        <v>155000</v>
      </c>
      <c r="G2539" s="440"/>
      <c r="H2539" s="446"/>
    </row>
    <row r="2540" spans="1:8" ht="13.2">
      <c r="A2540" s="454" t="s">
        <v>143</v>
      </c>
      <c r="B2540" s="452" t="str">
        <f>VLOOKUP(A2540,'Thống kê'!$C$3:$D$669,2,0)</f>
        <v>Mèo ú</v>
      </c>
      <c r="C2540" s="436" t="str">
        <f>VLOOKUP(A2540,'Thống kê'!$C$3:$E$682,3,0)</f>
        <v>cái</v>
      </c>
      <c r="D2540" s="437">
        <f>VLOOKUP(A2540,'Thống kê'!$C$3:$M$682,4,0)</f>
        <v>59500</v>
      </c>
      <c r="E2540" s="438">
        <v>1</v>
      </c>
      <c r="F2540" s="439">
        <f t="shared" si="10"/>
        <v>59500</v>
      </c>
      <c r="G2540" s="440"/>
      <c r="H2540" s="448">
        <v>44677</v>
      </c>
    </row>
    <row r="2541" spans="1:8" ht="13.2">
      <c r="A2541" s="454" t="s">
        <v>1624</v>
      </c>
      <c r="B2541" s="452" t="str">
        <f>VLOOKUP(A2541,'Thống kê'!$C$3:$D$669,2,0)</f>
        <v>Móc khóa mèo trái tim</v>
      </c>
      <c r="C2541" s="436" t="str">
        <f>VLOOKUP(A2541,'Thống kê'!$C$3:$E$682,3,0)</f>
        <v>cái</v>
      </c>
      <c r="D2541" s="437">
        <f>VLOOKUP(A2541,'Thống kê'!$C$3:$M$682,4,0)</f>
        <v>59000</v>
      </c>
      <c r="E2541" s="438">
        <v>1</v>
      </c>
      <c r="F2541" s="439">
        <f t="shared" si="10"/>
        <v>59000</v>
      </c>
      <c r="G2541" s="440"/>
      <c r="H2541" s="448">
        <v>45135</v>
      </c>
    </row>
    <row r="2542" spans="1:8" ht="13.2">
      <c r="A2542" s="454" t="s">
        <v>1587</v>
      </c>
      <c r="B2542" s="452" t="str">
        <f>VLOOKUP(A2542,'Thống kê'!$C$3:$D$669,2,0)</f>
        <v>Vịt ú bay</v>
      </c>
      <c r="C2542" s="436" t="str">
        <f>VLOOKUP(A2542,'Thống kê'!$C$3:$E$682,3,0)</f>
        <v>cái</v>
      </c>
      <c r="D2542" s="437">
        <f>VLOOKUP(A2542,'Thống kê'!$C$3:$M$682,4,0)</f>
        <v>64500</v>
      </c>
      <c r="E2542" s="438">
        <v>1</v>
      </c>
      <c r="F2542" s="439">
        <f t="shared" si="10"/>
        <v>64500</v>
      </c>
      <c r="G2542" s="440"/>
      <c r="H2542" s="447">
        <v>140675</v>
      </c>
    </row>
    <row r="2543" spans="1:8" ht="13.2">
      <c r="A2543" s="454" t="s">
        <v>325</v>
      </c>
      <c r="B2543" s="452" t="str">
        <f>VLOOKUP(A2543,'Thống kê'!$C$3:$D$669,2,0)</f>
        <v>Gấu ú</v>
      </c>
      <c r="C2543" s="436" t="str">
        <f>VLOOKUP(A2543,'Thống kê'!$C$3:$E$682,3,0)</f>
        <v>cái</v>
      </c>
      <c r="D2543" s="437">
        <f>VLOOKUP(A2543,'Thống kê'!$C$3:$M$682,4,0)</f>
        <v>59500</v>
      </c>
      <c r="E2543" s="438">
        <v>1</v>
      </c>
      <c r="F2543" s="439">
        <f t="shared" si="10"/>
        <v>59500</v>
      </c>
      <c r="G2543" s="440"/>
      <c r="H2543" s="446"/>
    </row>
    <row r="2544" spans="1:8" ht="13.2">
      <c r="A2544" s="454" t="s">
        <v>128</v>
      </c>
      <c r="B2544" s="452" t="str">
        <f>VLOOKUP(A2544,'Thống kê'!$C$3:$D$669,2,0)</f>
        <v>Mèo ú bay</v>
      </c>
      <c r="C2544" s="436" t="str">
        <f>VLOOKUP(A2544,'Thống kê'!$C$3:$E$682,3,0)</f>
        <v>cái</v>
      </c>
      <c r="D2544" s="437">
        <f>VLOOKUP(A2544,'Thống kê'!$C$3:$M$682,4,0)</f>
        <v>64500</v>
      </c>
      <c r="E2544" s="438">
        <v>1</v>
      </c>
      <c r="F2544" s="439">
        <f t="shared" si="10"/>
        <v>64500</v>
      </c>
      <c r="G2544" s="440"/>
      <c r="H2544" s="446"/>
    </row>
    <row r="2545" spans="1:8" ht="13.2">
      <c r="A2545" s="454" t="s">
        <v>1597</v>
      </c>
      <c r="B2545" s="452" t="str">
        <f>VLOOKUP(A2545,'Thống kê'!$C$3:$D$669,2,0)</f>
        <v>Dao rọc giấy 12</v>
      </c>
      <c r="C2545" s="436" t="str">
        <f>VLOOKUP(A2545,'Thống kê'!$C$3:$E$682,3,0)</f>
        <v>cái</v>
      </c>
      <c r="D2545" s="437">
        <f>VLOOKUP(A2545,'Thống kê'!$C$3:$M$682,4,0)</f>
        <v>12000</v>
      </c>
      <c r="E2545" s="438">
        <v>1</v>
      </c>
      <c r="F2545" s="439">
        <f t="shared" si="10"/>
        <v>12000</v>
      </c>
      <c r="G2545" s="440"/>
      <c r="H2545" s="447">
        <v>130390</v>
      </c>
    </row>
    <row r="2546" spans="1:8" ht="13.2">
      <c r="A2546" s="454" t="s">
        <v>1790</v>
      </c>
      <c r="B2546" s="452" t="str">
        <f>VLOOKUP(A2546,'Thống kê'!$C$3:$D$669,2,0)</f>
        <v>Hộp thuốc nơ hồng</v>
      </c>
      <c r="C2546" s="436" t="str">
        <f>VLOOKUP(A2546,'Thống kê'!$C$3:$E$682,3,0)</f>
        <v>hộp</v>
      </c>
      <c r="D2546" s="437">
        <f>VLOOKUP(A2546,'Thống kê'!$C$3:$M$682,4,0)</f>
        <v>11000</v>
      </c>
      <c r="E2546" s="438">
        <v>1</v>
      </c>
      <c r="F2546" s="439">
        <f t="shared" si="10"/>
        <v>11000</v>
      </c>
      <c r="G2546" s="440"/>
      <c r="H2546" s="446"/>
    </row>
    <row r="2547" spans="1:8" ht="13.2">
      <c r="A2547" s="454" t="s">
        <v>2062</v>
      </c>
      <c r="B2547" s="452" t="str">
        <f>VLOOKUP(A2547,'Thống kê'!$C$3:$D$669,2,0)</f>
        <v>Hộp thuốc gấu vàng</v>
      </c>
      <c r="C2547" s="436" t="str">
        <f>VLOOKUP(A2547,'Thống kê'!$C$3:$E$682,3,0)</f>
        <v>hộp</v>
      </c>
      <c r="D2547" s="437">
        <f>VLOOKUP(A2547,'Thống kê'!$C$3:$M$682,4,0)</f>
        <v>11000</v>
      </c>
      <c r="E2547" s="438">
        <v>1</v>
      </c>
      <c r="F2547" s="439">
        <f t="shared" si="10"/>
        <v>11000</v>
      </c>
      <c r="G2547" s="440"/>
      <c r="H2547" s="446"/>
    </row>
    <row r="2548" spans="1:8" ht="13.2">
      <c r="A2548" s="454" t="s">
        <v>1910</v>
      </c>
      <c r="B2548" s="452" t="str">
        <f>VLOOKUP(A2548,'Thống kê'!$C$3:$D$669,2,0)</f>
        <v>Vớ cổ cao full hồng</v>
      </c>
      <c r="C2548" s="436" t="str">
        <f>VLOOKUP(A2548,'Thống kê'!$C$3:$E$682,3,0)</f>
        <v>đôi</v>
      </c>
      <c r="D2548" s="437">
        <f>VLOOKUP(A2548,'Thống kê'!$C$3:$M$682,4,0)</f>
        <v>15900</v>
      </c>
      <c r="E2548" s="438">
        <v>1</v>
      </c>
      <c r="F2548" s="439">
        <f t="shared" si="10"/>
        <v>15900</v>
      </c>
      <c r="G2548" s="440"/>
      <c r="H2548" s="446"/>
    </row>
    <row r="2549" spans="1:8" ht="13.2">
      <c r="A2549" s="454" t="s">
        <v>1997</v>
      </c>
      <c r="B2549" s="452" t="str">
        <f>VLOOKUP(A2549,'Thống kê'!$C$3:$D$669,2,0)</f>
        <v>Vớ cổ cao trắng hoa hồng</v>
      </c>
      <c r="C2549" s="436" t="str">
        <f>VLOOKUP(A2549,'Thống kê'!$C$3:$E$682,3,0)</f>
        <v>đôi</v>
      </c>
      <c r="D2549" s="437">
        <f>VLOOKUP(A2549,'Thống kê'!$C$3:$M$682,4,0)</f>
        <v>15900</v>
      </c>
      <c r="E2549" s="438">
        <v>1</v>
      </c>
      <c r="F2549" s="439">
        <f t="shared" si="10"/>
        <v>15900</v>
      </c>
      <c r="G2549" s="440"/>
      <c r="H2549" s="446"/>
    </row>
    <row r="2550" spans="1:8" ht="13.2">
      <c r="A2550" s="454" t="s">
        <v>1624</v>
      </c>
      <c r="B2550" s="452" t="str">
        <f>VLOOKUP(A2550,'Thống kê'!$C$3:$D$669,2,0)</f>
        <v>Móc khóa mèo trái tim</v>
      </c>
      <c r="C2550" s="436" t="str">
        <f>VLOOKUP(A2550,'Thống kê'!$C$3:$E$682,3,0)</f>
        <v>cái</v>
      </c>
      <c r="D2550" s="437">
        <f>VLOOKUP(A2550,'Thống kê'!$C$3:$M$682,4,0)</f>
        <v>59000</v>
      </c>
      <c r="E2550" s="438">
        <v>1</v>
      </c>
      <c r="F2550" s="439">
        <f t="shared" si="10"/>
        <v>59000</v>
      </c>
      <c r="G2550" s="440"/>
      <c r="H2550" s="446"/>
    </row>
    <row r="2551" spans="1:8" ht="13.2">
      <c r="A2551" s="454" t="s">
        <v>2040</v>
      </c>
      <c r="B2551" s="452" t="str">
        <f>VLOOKUP(A2551,'Thống kê'!$C$3:$D$669,2,0)</f>
        <v>Vớ cổ ngắn họa tiết hoa thỏ kem</v>
      </c>
      <c r="C2551" s="436" t="str">
        <f>VLOOKUP(A2551,'Thống kê'!$C$3:$E$682,3,0)</f>
        <v>đôi</v>
      </c>
      <c r="D2551" s="437">
        <f>VLOOKUP(A2551,'Thống kê'!$C$3:$M$682,4,0)</f>
        <v>9400</v>
      </c>
      <c r="E2551" s="438">
        <v>1</v>
      </c>
      <c r="F2551" s="439">
        <f t="shared" si="10"/>
        <v>9400</v>
      </c>
      <c r="G2551" s="440"/>
      <c r="H2551" s="446"/>
    </row>
    <row r="2552" spans="1:8" ht="13.2">
      <c r="A2552" s="454" t="s">
        <v>2020</v>
      </c>
      <c r="B2552" s="452" t="str">
        <f>VLOOKUP(A2552,'Thống kê'!$C$3:$D$669,2,0)</f>
        <v>Vớ cổ ngắn họa tiết hoa thỏ be</v>
      </c>
      <c r="C2552" s="436" t="str">
        <f>VLOOKUP(A2552,'Thống kê'!$C$3:$E$682,3,0)</f>
        <v>đôi</v>
      </c>
      <c r="D2552" s="437">
        <f>VLOOKUP(A2552,'Thống kê'!$C$3:$M$682,4,0)</f>
        <v>9400</v>
      </c>
      <c r="E2552" s="438">
        <v>1</v>
      </c>
      <c r="F2552" s="439">
        <f t="shared" si="10"/>
        <v>9400</v>
      </c>
      <c r="G2552" s="440"/>
      <c r="H2552" s="446"/>
    </row>
    <row r="2553" spans="1:8" ht="13.2">
      <c r="A2553" s="454" t="s">
        <v>2041</v>
      </c>
      <c r="B2553" s="452" t="str">
        <f>VLOOKUP(A2553,'Thống kê'!$C$3:$D$669,2,0)</f>
        <v>Vớ cổ ngắn họa tiết hoa thỏ hồng</v>
      </c>
      <c r="C2553" s="436" t="str">
        <f>VLOOKUP(A2553,'Thống kê'!$C$3:$E$682,3,0)</f>
        <v>đôi</v>
      </c>
      <c r="D2553" s="437">
        <f>VLOOKUP(A2553,'Thống kê'!$C$3:$M$682,4,0)</f>
        <v>9400</v>
      </c>
      <c r="E2553" s="438">
        <v>1</v>
      </c>
      <c r="F2553" s="439">
        <f t="shared" si="10"/>
        <v>9400</v>
      </c>
      <c r="G2553" s="440"/>
      <c r="H2553" s="446"/>
    </row>
    <row r="2554" spans="1:8" ht="13.2">
      <c r="A2554" s="454" t="s">
        <v>1918</v>
      </c>
      <c r="B2554" s="452" t="str">
        <f>VLOOKUP(A2554,'Thống kê'!$C$3:$D$669,2,0)</f>
        <v>Vớ cổ cao trắng hoa vàng</v>
      </c>
      <c r="C2554" s="436" t="str">
        <f>VLOOKUP(A2554,'Thống kê'!$C$3:$E$682,3,0)</f>
        <v>đôi</v>
      </c>
      <c r="D2554" s="437">
        <f>VLOOKUP(A2554,'Thống kê'!$C$3:$M$682,4,0)</f>
        <v>19800</v>
      </c>
      <c r="E2554" s="438">
        <v>1</v>
      </c>
      <c r="F2554" s="439">
        <f t="shared" si="10"/>
        <v>19800</v>
      </c>
      <c r="G2554" s="440"/>
      <c r="H2554" s="446"/>
    </row>
    <row r="2555" spans="1:8" ht="13.2">
      <c r="A2555" s="454" t="s">
        <v>1624</v>
      </c>
      <c r="B2555" s="452" t="str">
        <f>VLOOKUP(A2555,'Thống kê'!$C$3:$D$669,2,0)</f>
        <v>Móc khóa mèo trái tim</v>
      </c>
      <c r="C2555" s="436" t="str">
        <f>VLOOKUP(A2555,'Thống kê'!$C$3:$E$682,3,0)</f>
        <v>cái</v>
      </c>
      <c r="D2555" s="437">
        <f>VLOOKUP(A2555,'Thống kê'!$C$3:$M$682,4,0)</f>
        <v>59000</v>
      </c>
      <c r="E2555" s="438">
        <v>1</v>
      </c>
      <c r="F2555" s="439">
        <f t="shared" si="10"/>
        <v>59000</v>
      </c>
      <c r="G2555" s="440"/>
      <c r="H2555" s="448">
        <v>45135</v>
      </c>
    </row>
    <row r="2556" spans="1:8" ht="13.2">
      <c r="A2556" s="454" t="s">
        <v>1716</v>
      </c>
      <c r="B2556" s="452" t="str">
        <f>VLOOKUP(A2556,'Thống kê'!$C$3:$D$669,2,0)</f>
        <v>Móc khóa đôi 2 quả lê có nam châm</v>
      </c>
      <c r="C2556" s="436" t="str">
        <f>VLOOKUP(A2556,'Thống kê'!$C$3:$E$682,3,0)</f>
        <v>cái</v>
      </c>
      <c r="D2556" s="437">
        <f>VLOOKUP(A2556,'Thống kê'!$C$3:$M$682,4,0)</f>
        <v>59000</v>
      </c>
      <c r="E2556" s="438">
        <v>1</v>
      </c>
      <c r="F2556" s="439">
        <f t="shared" si="10"/>
        <v>59000</v>
      </c>
      <c r="G2556" s="440"/>
      <c r="H2556" s="448">
        <v>44935</v>
      </c>
    </row>
    <row r="2557" spans="1:8" ht="13.2">
      <c r="A2557" s="454" t="s">
        <v>1210</v>
      </c>
      <c r="B2557" s="452" t="str">
        <f>VLOOKUP(A2557,'Thống kê'!$C$3:$D$669,2,0)</f>
        <v>Shiba ú cầm hoa</v>
      </c>
      <c r="C2557" s="436" t="str">
        <f>VLOOKUP(A2557,'Thống kê'!$C$3:$E$682,3,0)</f>
        <v>cái</v>
      </c>
      <c r="D2557" s="437">
        <f>VLOOKUP(A2557,'Thống kê'!$C$3:$M$682,4,0)</f>
        <v>64500</v>
      </c>
      <c r="E2557" s="438">
        <v>1</v>
      </c>
      <c r="F2557" s="439">
        <f t="shared" si="10"/>
        <v>64500</v>
      </c>
      <c r="G2557" s="440"/>
      <c r="H2557" s="447">
        <v>96016</v>
      </c>
    </row>
    <row r="2558" spans="1:8" ht="13.2">
      <c r="A2558" s="454" t="s">
        <v>2040</v>
      </c>
      <c r="B2558" s="452" t="str">
        <f>VLOOKUP(A2558,'Thống kê'!$C$3:$D$669,2,0)</f>
        <v>Vớ cổ ngắn họa tiết hoa thỏ kem</v>
      </c>
      <c r="C2558" s="436" t="str">
        <f>VLOOKUP(A2558,'Thống kê'!$C$3:$E$682,3,0)</f>
        <v>đôi</v>
      </c>
      <c r="D2558" s="437">
        <f>VLOOKUP(A2558,'Thống kê'!$C$3:$M$682,4,0)</f>
        <v>9400</v>
      </c>
      <c r="E2558" s="438">
        <v>1</v>
      </c>
      <c r="F2558" s="439">
        <f t="shared" si="10"/>
        <v>9400</v>
      </c>
      <c r="G2558" s="440"/>
      <c r="H2558" s="446"/>
    </row>
    <row r="2559" spans="1:8" ht="13.2">
      <c r="A2559" s="454" t="s">
        <v>1968</v>
      </c>
      <c r="B2559" s="452" t="str">
        <f>VLOOKUP(A2559,'Thống kê'!$C$3:$D$669,2,0)</f>
        <v>Kẹp nơ đen</v>
      </c>
      <c r="C2559" s="436" t="str">
        <f>VLOOKUP(A2559,'Thống kê'!$C$3:$E$682,3,0)</f>
        <v>cái</v>
      </c>
      <c r="D2559" s="437">
        <f>VLOOKUP(A2559,'Thống kê'!$C$3:$M$682,4,0)</f>
        <v>22000</v>
      </c>
      <c r="E2559" s="438">
        <v>1</v>
      </c>
      <c r="F2559" s="439">
        <f t="shared" si="10"/>
        <v>22000</v>
      </c>
      <c r="G2559" s="440"/>
      <c r="H2559" s="446"/>
    </row>
    <row r="2560" spans="1:8" ht="13.2">
      <c r="A2560" s="454" t="s">
        <v>310</v>
      </c>
      <c r="B2560" s="452" t="str">
        <f>VLOOKUP(A2560,'Thống kê'!$C$3:$D$669,2,0)</f>
        <v>Trang trí mô hình Heo</v>
      </c>
      <c r="C2560" s="436" t="str">
        <f>VLOOKUP(A2560,'Thống kê'!$C$3:$E$682,3,0)</f>
        <v>cái</v>
      </c>
      <c r="D2560" s="437">
        <f>VLOOKUP(A2560,'Thống kê'!$C$3:$M$682,4,0)</f>
        <v>39000</v>
      </c>
      <c r="E2560" s="438">
        <v>1</v>
      </c>
      <c r="F2560" s="439">
        <f t="shared" si="10"/>
        <v>39000</v>
      </c>
      <c r="G2560" s="440"/>
      <c r="H2560" s="446"/>
    </row>
    <row r="2561" spans="1:8" ht="13.2">
      <c r="A2561" s="454" t="s">
        <v>1363</v>
      </c>
      <c r="B2561" s="452" t="str">
        <f>VLOOKUP(A2561,'Thống kê'!$C$3:$D$669,2,0)</f>
        <v>Móc khóa Popbean</v>
      </c>
      <c r="C2561" s="436" t="str">
        <f>VLOOKUP(A2561,'Thống kê'!$C$3:$E$682,3,0)</f>
        <v>cái</v>
      </c>
      <c r="D2561" s="437">
        <f>VLOOKUP(A2561,'Thống kê'!$C$3:$M$682,4,0)</f>
        <v>148000</v>
      </c>
      <c r="E2561" s="438">
        <v>1</v>
      </c>
      <c r="F2561" s="439">
        <f t="shared" si="10"/>
        <v>148000</v>
      </c>
      <c r="G2561" s="440"/>
      <c r="H2561" s="448">
        <v>116450</v>
      </c>
    </row>
    <row r="2562" spans="1:8" ht="13.2">
      <c r="A2562" s="454" t="s">
        <v>2046</v>
      </c>
      <c r="B2562" s="452" t="str">
        <f>VLOOKUP(A2562,'Thống kê'!$C$3:$D$669,2,0)</f>
        <v>Kẹp khuếch tán tinh dầu thỏ hồng</v>
      </c>
      <c r="C2562" s="436" t="str">
        <f>VLOOKUP(A2562,'Thống kê'!$C$3:$E$682,3,0)</f>
        <v>cái</v>
      </c>
      <c r="D2562" s="437">
        <f>VLOOKUP(A2562,'Thống kê'!$C$3:$M$682,4,0)</f>
        <v>142400</v>
      </c>
      <c r="E2562" s="438">
        <v>1</v>
      </c>
      <c r="F2562" s="439">
        <f t="shared" si="10"/>
        <v>142400</v>
      </c>
      <c r="G2562" s="440"/>
      <c r="H2562" s="448">
        <v>108800</v>
      </c>
    </row>
    <row r="2563" spans="1:8" ht="13.2">
      <c r="A2563" s="454" t="s">
        <v>1660</v>
      </c>
      <c r="B2563" s="452" t="str">
        <f>VLOOKUP(A2563,'Thống kê'!$C$3:$D$669,2,0)</f>
        <v>Móc khóa Popbean Skull Panda</v>
      </c>
      <c r="C2563" s="436" t="str">
        <f>VLOOKUP(A2563,'Thống kê'!$C$3:$E$682,3,0)</f>
        <v>cái</v>
      </c>
      <c r="D2563" s="437">
        <f>VLOOKUP(A2563,'Thống kê'!$C$3:$M$682,4,0)</f>
        <v>155000</v>
      </c>
      <c r="E2563" s="438">
        <v>1</v>
      </c>
      <c r="F2563" s="439">
        <f t="shared" si="10"/>
        <v>155000</v>
      </c>
      <c r="G2563" s="440"/>
      <c r="H2563" s="448">
        <v>123250</v>
      </c>
    </row>
    <row r="2564" spans="1:8" ht="13.2">
      <c r="A2564" s="454" t="s">
        <v>1363</v>
      </c>
      <c r="B2564" s="452" t="str">
        <f>VLOOKUP(A2564,'Thống kê'!$C$3:$D$669,2,0)</f>
        <v>Móc khóa Popbean</v>
      </c>
      <c r="C2564" s="436" t="str">
        <f>VLOOKUP(A2564,'Thống kê'!$C$3:$E$682,3,0)</f>
        <v>cái</v>
      </c>
      <c r="D2564" s="437">
        <f>VLOOKUP(A2564,'Thống kê'!$C$3:$M$682,4,0)</f>
        <v>148000</v>
      </c>
      <c r="E2564" s="438">
        <v>1</v>
      </c>
      <c r="F2564" s="439">
        <f t="shared" si="10"/>
        <v>148000</v>
      </c>
      <c r="G2564" s="440"/>
      <c r="H2564" s="448">
        <v>116450</v>
      </c>
    </row>
    <row r="2565" spans="1:8" ht="13.2">
      <c r="A2565" s="454" t="s">
        <v>1594</v>
      </c>
      <c r="B2565" s="452" t="str">
        <f>VLOOKUP(A2565,'Thống kê'!$C$3:$D$669,2,0)</f>
        <v>Móc khóa đôi heo</v>
      </c>
      <c r="C2565" s="436" t="str">
        <f>VLOOKUP(A2565,'Thống kê'!$C$3:$E$682,3,0)</f>
        <v>cái</v>
      </c>
      <c r="D2565" s="437">
        <f>VLOOKUP(A2565,'Thống kê'!$C$3:$M$682,4,0)</f>
        <v>56580</v>
      </c>
      <c r="E2565" s="438">
        <v>1</v>
      </c>
      <c r="F2565" s="439">
        <f t="shared" si="10"/>
        <v>56580</v>
      </c>
      <c r="G2565" s="440"/>
      <c r="H2565" s="448">
        <v>43084</v>
      </c>
    </row>
    <row r="2566" spans="1:8" ht="13.2">
      <c r="A2566" s="454" t="s">
        <v>1594</v>
      </c>
      <c r="B2566" s="452" t="str">
        <f>VLOOKUP(A2566,'Thống kê'!$C$3:$D$669,2,0)</f>
        <v>Móc khóa đôi heo</v>
      </c>
      <c r="C2566" s="436" t="str">
        <f>VLOOKUP(A2566,'Thống kê'!$C$3:$E$682,3,0)</f>
        <v>cái</v>
      </c>
      <c r="D2566" s="437">
        <f>VLOOKUP(A2566,'Thống kê'!$C$3:$M$682,4,0)</f>
        <v>56580</v>
      </c>
      <c r="E2566" s="438">
        <v>1</v>
      </c>
      <c r="F2566" s="439">
        <f t="shared" si="10"/>
        <v>56580</v>
      </c>
      <c r="G2566" s="440"/>
      <c r="H2566" s="448">
        <v>43084</v>
      </c>
    </row>
    <row r="2567" spans="1:8" ht="13.2">
      <c r="A2567" s="454" t="s">
        <v>150</v>
      </c>
      <c r="B2567" s="452" t="str">
        <f>VLOOKUP(A2567,'Thống kê'!$C$3:$D$669,2,0)</f>
        <v>Móc khóa có chuông</v>
      </c>
      <c r="C2567" s="436" t="str">
        <f>VLOOKUP(A2567,'Thống kê'!$C$3:$E$682,3,0)</f>
        <v>cái</v>
      </c>
      <c r="D2567" s="437">
        <f>VLOOKUP(A2567,'Thống kê'!$C$3:$M$682,4,0)</f>
        <v>59000</v>
      </c>
      <c r="E2567" s="438">
        <v>1</v>
      </c>
      <c r="F2567" s="439">
        <f t="shared" si="10"/>
        <v>59000</v>
      </c>
      <c r="G2567" s="440"/>
      <c r="H2567" s="448">
        <v>44235</v>
      </c>
    </row>
    <row r="2568" spans="1:8" ht="13.2">
      <c r="A2568" s="454" t="s">
        <v>150</v>
      </c>
      <c r="B2568" s="452" t="str">
        <f>VLOOKUP(A2568,'Thống kê'!$C$3:$D$669,2,0)</f>
        <v>Móc khóa có chuông</v>
      </c>
      <c r="C2568" s="436" t="str">
        <f>VLOOKUP(A2568,'Thống kê'!$C$3:$E$682,3,0)</f>
        <v>cái</v>
      </c>
      <c r="D2568" s="437">
        <f>VLOOKUP(A2568,'Thống kê'!$C$3:$M$682,4,0)</f>
        <v>59000</v>
      </c>
      <c r="E2568" s="438">
        <v>1</v>
      </c>
      <c r="F2568" s="439">
        <f t="shared" si="10"/>
        <v>59000</v>
      </c>
      <c r="G2568" s="440"/>
      <c r="H2568" s="448">
        <v>44235</v>
      </c>
    </row>
    <row r="2569" spans="1:8" ht="13.2">
      <c r="A2569" s="454" t="s">
        <v>150</v>
      </c>
      <c r="B2569" s="452" t="str">
        <f>VLOOKUP(A2569,'Thống kê'!$C$3:$D$669,2,0)</f>
        <v>Móc khóa có chuông</v>
      </c>
      <c r="C2569" s="436" t="str">
        <f>VLOOKUP(A2569,'Thống kê'!$C$3:$E$682,3,0)</f>
        <v>cái</v>
      </c>
      <c r="D2569" s="437">
        <f>VLOOKUP(A2569,'Thống kê'!$C$3:$M$682,4,0)</f>
        <v>59000</v>
      </c>
      <c r="E2569" s="438">
        <v>1</v>
      </c>
      <c r="F2569" s="439">
        <f t="shared" si="10"/>
        <v>59000</v>
      </c>
      <c r="G2569" s="440"/>
      <c r="H2569" s="448">
        <v>44235</v>
      </c>
    </row>
    <row r="2570" spans="1:8" ht="13.2">
      <c r="A2570" s="454" t="s">
        <v>1343</v>
      </c>
      <c r="B2570" s="452" t="str">
        <f>VLOOKUP(A2570,'Thống kê'!$C$3:$D$669,2,0)</f>
        <v>Móc khóa chuối</v>
      </c>
      <c r="C2570" s="436" t="str">
        <f>VLOOKUP(A2570,'Thống kê'!$C$3:$E$682,3,0)</f>
        <v>cái</v>
      </c>
      <c r="D2570" s="437">
        <f>VLOOKUP(A2570,'Thống kê'!$C$3:$M$682,4,0)</f>
        <v>148000</v>
      </c>
      <c r="E2570" s="438">
        <v>1</v>
      </c>
      <c r="F2570" s="439">
        <f t="shared" si="10"/>
        <v>148000</v>
      </c>
      <c r="G2570" s="440"/>
      <c r="H2570" s="448">
        <v>73525</v>
      </c>
    </row>
    <row r="2571" spans="1:8" ht="13.2">
      <c r="A2571" s="454" t="s">
        <v>1624</v>
      </c>
      <c r="B2571" s="452" t="str">
        <f>VLOOKUP(A2571,'Thống kê'!$C$3:$D$669,2,0)</f>
        <v>Móc khóa mèo trái tim</v>
      </c>
      <c r="C2571" s="436" t="str">
        <f>VLOOKUP(A2571,'Thống kê'!$C$3:$E$682,3,0)</f>
        <v>cái</v>
      </c>
      <c r="D2571" s="437">
        <f>VLOOKUP(A2571,'Thống kê'!$C$3:$M$682,4,0)</f>
        <v>59000</v>
      </c>
      <c r="E2571" s="438">
        <v>1</v>
      </c>
      <c r="F2571" s="439">
        <f t="shared" si="10"/>
        <v>59000</v>
      </c>
      <c r="G2571" s="440"/>
      <c r="H2571" s="448">
        <v>44735</v>
      </c>
    </row>
    <row r="2572" spans="1:8" ht="13.2">
      <c r="A2572" s="454" t="s">
        <v>1594</v>
      </c>
      <c r="B2572" s="452" t="str">
        <f>VLOOKUP(A2572,'Thống kê'!$C$3:$D$669,2,0)</f>
        <v>Móc khóa đôi heo</v>
      </c>
      <c r="C2572" s="436" t="str">
        <f>VLOOKUP(A2572,'Thống kê'!$C$3:$E$682,3,0)</f>
        <v>cái</v>
      </c>
      <c r="D2572" s="437">
        <f>VLOOKUP(A2572,'Thống kê'!$C$3:$M$682,4,0)</f>
        <v>56580</v>
      </c>
      <c r="E2572" s="438">
        <v>1</v>
      </c>
      <c r="F2572" s="439">
        <f t="shared" si="10"/>
        <v>56580</v>
      </c>
      <c r="G2572" s="440"/>
      <c r="H2572" s="448">
        <v>43284</v>
      </c>
    </row>
    <row r="2573" spans="1:8" ht="13.2">
      <c r="A2573" s="454" t="s">
        <v>1343</v>
      </c>
      <c r="B2573" s="452" t="str">
        <f>VLOOKUP(A2573,'Thống kê'!$C$3:$D$669,2,0)</f>
        <v>Móc khóa chuối</v>
      </c>
      <c r="C2573" s="436" t="str">
        <f>VLOOKUP(A2573,'Thống kê'!$C$3:$E$682,3,0)</f>
        <v>cái</v>
      </c>
      <c r="D2573" s="437">
        <f>VLOOKUP(A2573,'Thống kê'!$C$3:$M$682,4,0)</f>
        <v>148000</v>
      </c>
      <c r="E2573" s="438">
        <v>1</v>
      </c>
      <c r="F2573" s="439">
        <f t="shared" si="10"/>
        <v>148000</v>
      </c>
      <c r="G2573" s="440"/>
      <c r="H2573" s="448">
        <v>73450</v>
      </c>
    </row>
    <row r="2574" spans="1:8" ht="13.2">
      <c r="A2574" s="454" t="s">
        <v>1589</v>
      </c>
      <c r="B2574" s="452" t="str">
        <f>VLOOKUP(A2574,'Thống kê'!$C$3:$D$669,2,0)</f>
        <v>Heo ú bay</v>
      </c>
      <c r="C2574" s="436" t="str">
        <f>VLOOKUP(A2574,'Thống kê'!$C$3:$E$682,3,0)</f>
        <v>cái</v>
      </c>
      <c r="D2574" s="437">
        <f>VLOOKUP(A2574,'Thống kê'!$C$3:$M$682,4,0)</f>
        <v>64500</v>
      </c>
      <c r="E2574" s="438">
        <v>1</v>
      </c>
      <c r="F2574" s="439">
        <f t="shared" si="10"/>
        <v>64500</v>
      </c>
      <c r="G2574" s="440"/>
      <c r="H2574" s="447">
        <v>90950</v>
      </c>
    </row>
    <row r="2575" spans="1:8" ht="13.2">
      <c r="A2575" s="454" t="s">
        <v>116</v>
      </c>
      <c r="B2575" s="452" t="str">
        <f>VLOOKUP(A2575,'Thống kê'!$C$3:$D$669,2,0)</f>
        <v>heo ú cầm hoa</v>
      </c>
      <c r="C2575" s="436" t="str">
        <f>VLOOKUP(A2575,'Thống kê'!$C$3:$E$682,3,0)</f>
        <v>cái</v>
      </c>
      <c r="D2575" s="437">
        <f>VLOOKUP(A2575,'Thống kê'!$C$3:$M$682,4,0)</f>
        <v>64500</v>
      </c>
      <c r="E2575" s="438">
        <v>1</v>
      </c>
      <c r="F2575" s="439">
        <f t="shared" si="10"/>
        <v>64500</v>
      </c>
      <c r="G2575" s="440"/>
      <c r="H2575" s="446"/>
    </row>
    <row r="2576" spans="1:8" ht="13.2">
      <c r="A2576" s="454" t="s">
        <v>145</v>
      </c>
      <c r="B2576" s="452" t="str">
        <f>VLOOKUP(A2576,'Thống kê'!$C$3:$D$669,2,0)</f>
        <v>Thỏ đi vịt gắn xe</v>
      </c>
      <c r="C2576" s="436" t="str">
        <f>VLOOKUP(A2576,'Thống kê'!$C$3:$E$682,3,0)</f>
        <v>cái</v>
      </c>
      <c r="D2576" s="437">
        <f>VLOOKUP(A2576,'Thống kê'!$C$3:$M$682,4,0)</f>
        <v>45000</v>
      </c>
      <c r="E2576" s="438">
        <v>1</v>
      </c>
      <c r="F2576" s="439">
        <f t="shared" si="10"/>
        <v>45000</v>
      </c>
      <c r="G2576" s="440"/>
      <c r="H2576" s="448">
        <v>63675</v>
      </c>
    </row>
    <row r="2577" spans="1:8" ht="13.2">
      <c r="A2577" s="454" t="s">
        <v>115</v>
      </c>
      <c r="B2577" s="452" t="str">
        <f>VLOOKUP(A2577,'Thống kê'!$C$3:$D$669,2,0)</f>
        <v>Heo ú</v>
      </c>
      <c r="C2577" s="436" t="str">
        <f>VLOOKUP(A2577,'Thống kê'!$C$3:$E$682,3,0)</f>
        <v>cái</v>
      </c>
      <c r="D2577" s="437">
        <f>VLOOKUP(A2577,'Thống kê'!$C$3:$M$682,4,0)</f>
        <v>59500</v>
      </c>
      <c r="E2577" s="438">
        <v>1</v>
      </c>
      <c r="F2577" s="439">
        <f t="shared" si="10"/>
        <v>59500</v>
      </c>
      <c r="G2577" s="440"/>
      <c r="H2577" s="447">
        <v>92650</v>
      </c>
    </row>
    <row r="2578" spans="1:8" ht="13.2">
      <c r="A2578" s="454" t="s">
        <v>1210</v>
      </c>
      <c r="B2578" s="452" t="str">
        <f>VLOOKUP(A2578,'Thống kê'!$C$3:$D$669,2,0)</f>
        <v>Shiba ú cầm hoa</v>
      </c>
      <c r="C2578" s="436" t="str">
        <f>VLOOKUP(A2578,'Thống kê'!$C$3:$E$682,3,0)</f>
        <v>cái</v>
      </c>
      <c r="D2578" s="437">
        <f>VLOOKUP(A2578,'Thống kê'!$C$3:$M$682,4,0)</f>
        <v>64500</v>
      </c>
      <c r="E2578" s="438">
        <v>1</v>
      </c>
      <c r="F2578" s="439">
        <f t="shared" si="10"/>
        <v>64500</v>
      </c>
      <c r="G2578" s="440"/>
      <c r="H2578" s="446"/>
    </row>
    <row r="2579" spans="1:8" ht="13.2">
      <c r="A2579" s="454" t="s">
        <v>1344</v>
      </c>
      <c r="B2579" s="452" t="str">
        <f>VLOOKUP(A2579,'Thống kê'!$C$3:$D$669,2,0)</f>
        <v>Móc khóa chuối</v>
      </c>
      <c r="C2579" s="436" t="str">
        <f>VLOOKUP(A2579,'Thống kê'!$C$3:$E$682,3,0)</f>
        <v>cái</v>
      </c>
      <c r="D2579" s="437">
        <f>VLOOKUP(A2579,'Thống kê'!$C$3:$M$682,4,0)</f>
        <v>148000</v>
      </c>
      <c r="E2579" s="438">
        <v>1</v>
      </c>
      <c r="F2579" s="439">
        <f t="shared" si="10"/>
        <v>148000</v>
      </c>
      <c r="G2579" s="440"/>
      <c r="H2579" s="447">
        <v>295800</v>
      </c>
    </row>
    <row r="2580" spans="1:8" ht="13.2">
      <c r="A2580" s="454" t="s">
        <v>1346</v>
      </c>
      <c r="B2580" s="452" t="str">
        <f>VLOOKUP(A2580,'Thống kê'!$C$3:$D$669,2,0)</f>
        <v>Móc khóa chuối</v>
      </c>
      <c r="C2580" s="436" t="str">
        <f>VLOOKUP(A2580,'Thống kê'!$C$3:$E$682,3,0)</f>
        <v>cái</v>
      </c>
      <c r="D2580" s="437">
        <f>VLOOKUP(A2580,'Thống kê'!$C$3:$M$682,4,0)</f>
        <v>148000</v>
      </c>
      <c r="E2580" s="438">
        <v>1</v>
      </c>
      <c r="F2580" s="439">
        <f t="shared" si="10"/>
        <v>148000</v>
      </c>
      <c r="G2580" s="440"/>
      <c r="H2580" s="446"/>
    </row>
    <row r="2581" spans="1:8" ht="13.2">
      <c r="A2581" s="454" t="s">
        <v>1337</v>
      </c>
      <c r="B2581" s="452" t="str">
        <f>VLOOKUP(A2581,'Thống kê'!$C$3:$D$669,2,0)</f>
        <v>Móc khóa chuối</v>
      </c>
      <c r="C2581" s="436" t="str">
        <f>VLOOKUP(A2581,'Thống kê'!$C$3:$E$682,3,0)</f>
        <v>cái</v>
      </c>
      <c r="D2581" s="437">
        <f>VLOOKUP(A2581,'Thống kê'!$C$3:$M$682,4,0)</f>
        <v>148000</v>
      </c>
      <c r="E2581" s="438">
        <v>1</v>
      </c>
      <c r="F2581" s="439">
        <f t="shared" si="10"/>
        <v>148000</v>
      </c>
      <c r="G2581" s="440"/>
      <c r="H2581" s="446"/>
    </row>
    <row r="2582" spans="1:8" ht="13.2">
      <c r="A2582" s="454" t="s">
        <v>170</v>
      </c>
      <c r="B2582" s="452" t="str">
        <f>VLOOKUP(A2582,'Thống kê'!$C$3:$D$669,2,0)</f>
        <v>Móc khóa chuối</v>
      </c>
      <c r="C2582" s="436" t="str">
        <f>VLOOKUP(A2582,'Thống kê'!$C$3:$E$682,3,0)</f>
        <v>cái</v>
      </c>
      <c r="D2582" s="437">
        <f>VLOOKUP(A2582,'Thống kê'!$C$3:$M$682,4,0)</f>
        <v>148000</v>
      </c>
      <c r="E2582" s="438">
        <v>1</v>
      </c>
      <c r="F2582" s="439">
        <f t="shared" si="10"/>
        <v>148000</v>
      </c>
      <c r="G2582" s="440"/>
      <c r="H2582" s="446"/>
    </row>
    <row r="2583" spans="1:8" ht="13.2">
      <c r="A2583" s="454" t="s">
        <v>1640</v>
      </c>
      <c r="B2583" s="452" t="str">
        <f>VLOOKUP(A2583,'Thống kê'!$C$3:$D$669,2,0)</f>
        <v>Móc khóa đôi Capypara</v>
      </c>
      <c r="C2583" s="436" t="str">
        <f>VLOOKUP(A2583,'Thống kê'!$C$3:$E$682,3,0)</f>
        <v>cái</v>
      </c>
      <c r="D2583" s="437">
        <f>VLOOKUP(A2583,'Thống kê'!$C$3:$M$682,4,0)</f>
        <v>59000</v>
      </c>
      <c r="E2583" s="438">
        <v>1</v>
      </c>
      <c r="F2583" s="439">
        <f t="shared" si="10"/>
        <v>59000</v>
      </c>
      <c r="G2583" s="440"/>
      <c r="H2583" s="448">
        <v>45060</v>
      </c>
    </row>
    <row r="2584" spans="1:8" ht="13.2">
      <c r="A2584" s="454" t="s">
        <v>186</v>
      </c>
      <c r="B2584" s="452" t="str">
        <f>VLOOKUP(A2584,'Thống kê'!$C$3:$D$669,2,0)</f>
        <v>Thỏ ú bay</v>
      </c>
      <c r="C2584" s="436" t="str">
        <f>VLOOKUP(A2584,'Thống kê'!$C$3:$E$682,3,0)</f>
        <v>cái</v>
      </c>
      <c r="D2584" s="437">
        <f>VLOOKUP(A2584,'Thống kê'!$C$3:$M$682,4,0)</f>
        <v>64500</v>
      </c>
      <c r="E2584" s="438">
        <v>1</v>
      </c>
      <c r="F2584" s="439">
        <f t="shared" si="10"/>
        <v>64500</v>
      </c>
      <c r="G2584" s="440"/>
      <c r="H2584" s="448">
        <v>44577</v>
      </c>
    </row>
    <row r="2585" spans="1:8" ht="13.2">
      <c r="A2585" s="454" t="s">
        <v>1639</v>
      </c>
      <c r="B2585" s="452" t="str">
        <f>VLOOKUP(A2585,'Thống kê'!$C$3:$D$669,2,0)</f>
        <v>Móc khóa đôi Puppy</v>
      </c>
      <c r="C2585" s="436" t="str">
        <f>VLOOKUP(A2585,'Thống kê'!$C$3:$E$682,3,0)</f>
        <v>cái</v>
      </c>
      <c r="D2585" s="437">
        <f>VLOOKUP(A2585,'Thống kê'!$C$3:$M$682,4,0)</f>
        <v>59000</v>
      </c>
      <c r="E2585" s="438">
        <v>1</v>
      </c>
      <c r="F2585" s="439">
        <f t="shared" si="10"/>
        <v>59000</v>
      </c>
      <c r="G2585" s="440"/>
      <c r="H2585" s="448">
        <v>45060</v>
      </c>
    </row>
    <row r="2586" spans="1:8" ht="13.2">
      <c r="A2586" s="454" t="s">
        <v>1660</v>
      </c>
      <c r="B2586" s="452" t="str">
        <f>VLOOKUP(A2586,'Thống kê'!$C$3:$D$669,2,0)</f>
        <v>Móc khóa Popbean Skull Panda</v>
      </c>
      <c r="C2586" s="436" t="str">
        <f>VLOOKUP(A2586,'Thống kê'!$C$3:$E$682,3,0)</f>
        <v>cái</v>
      </c>
      <c r="D2586" s="437">
        <f>VLOOKUP(A2586,'Thống kê'!$C$3:$M$682,4,0)</f>
        <v>155000</v>
      </c>
      <c r="E2586" s="438">
        <v>1</v>
      </c>
      <c r="F2586" s="439">
        <f t="shared" si="10"/>
        <v>155000</v>
      </c>
      <c r="G2586" s="440"/>
      <c r="H2586" s="448">
        <v>114750</v>
      </c>
    </row>
    <row r="2587" spans="1:8" ht="13.2">
      <c r="A2587" s="454" t="s">
        <v>115</v>
      </c>
      <c r="B2587" s="452" t="str">
        <f>VLOOKUP(A2587,'Thống kê'!$C$3:$D$669,2,0)</f>
        <v>Heo ú</v>
      </c>
      <c r="C2587" s="436" t="str">
        <f>VLOOKUP(A2587,'Thống kê'!$C$3:$E$682,3,0)</f>
        <v>cái</v>
      </c>
      <c r="D2587" s="437">
        <f>VLOOKUP(A2587,'Thống kê'!$C$3:$M$682,4,0)</f>
        <v>59500</v>
      </c>
      <c r="E2587" s="438">
        <v>1</v>
      </c>
      <c r="F2587" s="439">
        <f t="shared" si="10"/>
        <v>59500</v>
      </c>
      <c r="G2587" s="440"/>
      <c r="H2587" s="447">
        <v>92650</v>
      </c>
    </row>
    <row r="2588" spans="1:8" ht="13.2">
      <c r="A2588" s="454" t="s">
        <v>1589</v>
      </c>
      <c r="B2588" s="452" t="str">
        <f>VLOOKUP(A2588,'Thống kê'!$C$3:$D$669,2,0)</f>
        <v>Heo ú bay</v>
      </c>
      <c r="C2588" s="436" t="str">
        <f>VLOOKUP(A2588,'Thống kê'!$C$3:$E$682,3,0)</f>
        <v>cái</v>
      </c>
      <c r="D2588" s="437">
        <f>VLOOKUP(A2588,'Thống kê'!$C$3:$M$682,4,0)</f>
        <v>64500</v>
      </c>
      <c r="E2588" s="438">
        <v>1</v>
      </c>
      <c r="F2588" s="439">
        <f t="shared" si="10"/>
        <v>64500</v>
      </c>
      <c r="G2588" s="440"/>
      <c r="H2588" s="446"/>
    </row>
    <row r="2589" spans="1:8" ht="13.2">
      <c r="A2589" s="454" t="s">
        <v>1594</v>
      </c>
      <c r="B2589" s="452" t="str">
        <f>VLOOKUP(A2589,'Thống kê'!$C$3:$D$669,2,0)</f>
        <v>Móc khóa đôi heo</v>
      </c>
      <c r="C2589" s="436" t="str">
        <f>VLOOKUP(A2589,'Thống kê'!$C$3:$E$682,3,0)</f>
        <v>cái</v>
      </c>
      <c r="D2589" s="437">
        <f>VLOOKUP(A2589,'Thống kê'!$C$3:$M$682,4,0)</f>
        <v>56580</v>
      </c>
      <c r="E2589" s="438">
        <v>1</v>
      </c>
      <c r="F2589" s="439">
        <f t="shared" si="10"/>
        <v>56580</v>
      </c>
      <c r="G2589" s="440"/>
      <c r="H2589" s="448">
        <v>42884</v>
      </c>
    </row>
    <row r="2590" spans="1:8" ht="13.2">
      <c r="A2590" s="454" t="s">
        <v>1661</v>
      </c>
      <c r="B2590" s="452" t="str">
        <f>VLOOKUP(A2590,'Thống kê'!$C$3:$D$669,2,0)</f>
        <v>Móc khóa Popbean Kubo</v>
      </c>
      <c r="C2590" s="436" t="str">
        <f>VLOOKUP(A2590,'Thống kê'!$C$3:$E$682,3,0)</f>
        <v>cái</v>
      </c>
      <c r="D2590" s="437">
        <f>VLOOKUP(A2590,'Thống kê'!$C$3:$M$682,4,0)</f>
        <v>148000</v>
      </c>
      <c r="E2590" s="438">
        <v>1</v>
      </c>
      <c r="F2590" s="439">
        <f t="shared" si="10"/>
        <v>148000</v>
      </c>
      <c r="G2590" s="440"/>
      <c r="H2590" s="448">
        <v>107950</v>
      </c>
    </row>
    <row r="2591" spans="1:8" ht="13.2">
      <c r="A2591" s="454" t="s">
        <v>1594</v>
      </c>
      <c r="B2591" s="452" t="str">
        <f>VLOOKUP(A2591,'Thống kê'!$C$3:$D$669,2,0)</f>
        <v>Móc khóa đôi heo</v>
      </c>
      <c r="C2591" s="436" t="str">
        <f>VLOOKUP(A2591,'Thống kê'!$C$3:$E$682,3,0)</f>
        <v>cái</v>
      </c>
      <c r="D2591" s="437">
        <f>VLOOKUP(A2591,'Thống kê'!$C$3:$M$682,4,0)</f>
        <v>56580</v>
      </c>
      <c r="E2591" s="438">
        <v>1</v>
      </c>
      <c r="F2591" s="439">
        <f t="shared" si="10"/>
        <v>56580</v>
      </c>
      <c r="G2591" s="440"/>
      <c r="H2591" s="448">
        <v>43084</v>
      </c>
    </row>
    <row r="2592" spans="1:8" ht="13.2">
      <c r="A2592" s="454" t="s">
        <v>1341</v>
      </c>
      <c r="B2592" s="452" t="str">
        <f>VLOOKUP(A2592,'Thống kê'!$C$3:$D$669,2,0)</f>
        <v>Móc khóa chuối</v>
      </c>
      <c r="C2592" s="436" t="str">
        <f>VLOOKUP(A2592,'Thống kê'!$C$3:$E$682,3,0)</f>
        <v>cái</v>
      </c>
      <c r="D2592" s="437">
        <f>VLOOKUP(A2592,'Thống kê'!$C$3:$M$682,4,0)</f>
        <v>148000</v>
      </c>
      <c r="E2592" s="438">
        <v>1</v>
      </c>
      <c r="F2592" s="439">
        <f t="shared" si="10"/>
        <v>148000</v>
      </c>
      <c r="G2592" s="440"/>
      <c r="H2592" s="447">
        <v>221697</v>
      </c>
    </row>
    <row r="2593" spans="1:8" ht="13.2">
      <c r="A2593" s="454" t="s">
        <v>1345</v>
      </c>
      <c r="B2593" s="452" t="str">
        <f>VLOOKUP(A2593,'Thống kê'!$C$3:$D$669,2,0)</f>
        <v>Móc khóa chuối</v>
      </c>
      <c r="C2593" s="436" t="str">
        <f>VLOOKUP(A2593,'Thống kê'!$C$3:$E$682,3,0)</f>
        <v>cái</v>
      </c>
      <c r="D2593" s="437">
        <f>VLOOKUP(A2593,'Thống kê'!$C$3:$M$682,4,0)</f>
        <v>148000</v>
      </c>
      <c r="E2593" s="438">
        <v>1</v>
      </c>
      <c r="F2593" s="439">
        <f t="shared" si="10"/>
        <v>148000</v>
      </c>
      <c r="G2593" s="440"/>
      <c r="H2593" s="446"/>
    </row>
    <row r="2594" spans="1:8" ht="13.2">
      <c r="A2594" s="454" t="s">
        <v>1342</v>
      </c>
      <c r="B2594" s="452" t="str">
        <f>VLOOKUP(A2594,'Thống kê'!$C$3:$D$669,2,0)</f>
        <v>Móc khóa chuối</v>
      </c>
      <c r="C2594" s="436" t="str">
        <f>VLOOKUP(A2594,'Thống kê'!$C$3:$E$682,3,0)</f>
        <v>cái</v>
      </c>
      <c r="D2594" s="437">
        <f>VLOOKUP(A2594,'Thống kê'!$C$3:$M$682,4,0)</f>
        <v>148000</v>
      </c>
      <c r="E2594" s="438">
        <v>1</v>
      </c>
      <c r="F2594" s="439">
        <f t="shared" si="10"/>
        <v>148000</v>
      </c>
      <c r="G2594" s="440"/>
      <c r="H2594" s="446"/>
    </row>
    <row r="2595" spans="1:8" ht="13.2">
      <c r="A2595" s="454" t="s">
        <v>1331</v>
      </c>
      <c r="B2595" s="452" t="str">
        <f>VLOOKUP(A2595,'Thống kê'!$C$3:$D$669,2,0)</f>
        <v>Móc khóa Popbean</v>
      </c>
      <c r="C2595" s="436" t="str">
        <f>VLOOKUP(A2595,'Thống kê'!$C$3:$E$682,3,0)</f>
        <v>cái</v>
      </c>
      <c r="D2595" s="437">
        <f>VLOOKUP(A2595,'Thống kê'!$C$3:$M$682,4,0)</f>
        <v>148000</v>
      </c>
      <c r="E2595" s="438">
        <v>1</v>
      </c>
      <c r="F2595" s="439">
        <f t="shared" si="10"/>
        <v>148000</v>
      </c>
      <c r="G2595" s="440"/>
      <c r="H2595" s="447">
        <v>199410</v>
      </c>
    </row>
    <row r="2596" spans="1:8" ht="13.2">
      <c r="A2596" s="454" t="s">
        <v>1663</v>
      </c>
      <c r="B2596" s="452" t="str">
        <f>VLOOKUP(A2596,'Thống kê'!$C$3:$D$669,2,0)</f>
        <v>Móc khóa Popbean Zsiga</v>
      </c>
      <c r="C2596" s="436" t="str">
        <f>VLOOKUP(A2596,'Thống kê'!$C$3:$E$682,3,0)</f>
        <v>cái</v>
      </c>
      <c r="D2596" s="437">
        <f>VLOOKUP(A2596,'Thống kê'!$C$3:$M$682,4,0)</f>
        <v>148000</v>
      </c>
      <c r="E2596" s="438">
        <v>1</v>
      </c>
      <c r="F2596" s="439">
        <f t="shared" si="10"/>
        <v>148000</v>
      </c>
      <c r="G2596" s="440"/>
      <c r="H2596" s="446"/>
    </row>
    <row r="2597" spans="1:8" ht="13.2">
      <c r="A2597" s="454" t="s">
        <v>1342</v>
      </c>
      <c r="B2597" s="452" t="str">
        <f>VLOOKUP(A2597,'Thống kê'!$C$3:$D$669,2,0)</f>
        <v>Móc khóa chuối</v>
      </c>
      <c r="C2597" s="436" t="str">
        <f>VLOOKUP(A2597,'Thống kê'!$C$3:$E$682,3,0)</f>
        <v>cái</v>
      </c>
      <c r="D2597" s="437">
        <f>VLOOKUP(A2597,'Thống kê'!$C$3:$M$682,4,0)</f>
        <v>148000</v>
      </c>
      <c r="E2597" s="438">
        <v>1</v>
      </c>
      <c r="F2597" s="439">
        <f t="shared" si="10"/>
        <v>148000</v>
      </c>
      <c r="G2597" s="440"/>
      <c r="H2597" s="448">
        <v>73325</v>
      </c>
    </row>
    <row r="2598" spans="1:8" ht="13.2">
      <c r="A2598" s="454" t="s">
        <v>1210</v>
      </c>
      <c r="B2598" s="452" t="str">
        <f>VLOOKUP(A2598,'Thống kê'!$C$3:$D$669,2,0)</f>
        <v>Shiba ú cầm hoa</v>
      </c>
      <c r="C2598" s="436" t="str">
        <f>VLOOKUP(A2598,'Thống kê'!$C$3:$E$682,3,0)</f>
        <v>cái</v>
      </c>
      <c r="D2598" s="437">
        <f>VLOOKUP(A2598,'Thống kê'!$C$3:$M$682,4,0)</f>
        <v>64500</v>
      </c>
      <c r="E2598" s="438">
        <v>1</v>
      </c>
      <c r="F2598" s="439">
        <f t="shared" si="10"/>
        <v>64500</v>
      </c>
      <c r="G2598" s="440"/>
      <c r="H2598" s="448">
        <v>44677</v>
      </c>
    </row>
    <row r="2599" spans="1:8" ht="13.2">
      <c r="A2599" s="454" t="s">
        <v>1716</v>
      </c>
      <c r="B2599" s="452" t="str">
        <f>VLOOKUP(A2599,'Thống kê'!$C$3:$D$669,2,0)</f>
        <v>Móc khóa đôi 2 quả lê có nam châm</v>
      </c>
      <c r="C2599" s="436" t="str">
        <f>VLOOKUP(A2599,'Thống kê'!$C$3:$E$682,3,0)</f>
        <v>cái</v>
      </c>
      <c r="D2599" s="437">
        <f>VLOOKUP(A2599,'Thống kê'!$C$3:$M$682,4,0)</f>
        <v>59000</v>
      </c>
      <c r="E2599" s="438">
        <v>1</v>
      </c>
      <c r="F2599" s="439">
        <f t="shared" si="10"/>
        <v>59000</v>
      </c>
      <c r="G2599" s="440"/>
      <c r="H2599" s="448">
        <v>45060</v>
      </c>
    </row>
    <row r="2600" spans="1:8" ht="13.2">
      <c r="A2600" s="454" t="s">
        <v>1624</v>
      </c>
      <c r="B2600" s="452" t="str">
        <f>VLOOKUP(A2600,'Thống kê'!$C$3:$D$669,2,0)</f>
        <v>Móc khóa mèo trái tim</v>
      </c>
      <c r="C2600" s="436" t="str">
        <f>VLOOKUP(A2600,'Thống kê'!$C$3:$E$682,3,0)</f>
        <v>cái</v>
      </c>
      <c r="D2600" s="437">
        <f>VLOOKUP(A2600,'Thống kê'!$C$3:$M$682,4,0)</f>
        <v>59000</v>
      </c>
      <c r="E2600" s="438">
        <v>1</v>
      </c>
      <c r="F2600" s="439">
        <f t="shared" si="10"/>
        <v>59000</v>
      </c>
      <c r="G2600" s="440"/>
      <c r="H2600" s="448">
        <v>44685</v>
      </c>
    </row>
    <row r="2601" spans="1:8" ht="13.2">
      <c r="A2601" s="454" t="s">
        <v>150</v>
      </c>
      <c r="B2601" s="452" t="str">
        <f>VLOOKUP(A2601,'Thống kê'!$C$3:$D$669,2,0)</f>
        <v>Móc khóa có chuông</v>
      </c>
      <c r="C2601" s="436" t="str">
        <f>VLOOKUP(A2601,'Thống kê'!$C$3:$E$682,3,0)</f>
        <v>cái</v>
      </c>
      <c r="D2601" s="437">
        <f>VLOOKUP(A2601,'Thống kê'!$C$3:$M$682,4,0)</f>
        <v>59000</v>
      </c>
      <c r="E2601" s="438">
        <v>1</v>
      </c>
      <c r="F2601" s="439">
        <f t="shared" si="10"/>
        <v>59000</v>
      </c>
      <c r="G2601" s="440"/>
      <c r="H2601" s="448">
        <v>44735</v>
      </c>
    </row>
    <row r="2602" spans="1:8" ht="13.2">
      <c r="A2602" s="454" t="s">
        <v>244</v>
      </c>
      <c r="B2602" s="452" t="str">
        <f>VLOOKUP(A2602,'Thống kê'!$C$3:$D$669,2,0)</f>
        <v>Móc khóa chuối</v>
      </c>
      <c r="C2602" s="436" t="str">
        <f>VLOOKUP(A2602,'Thống kê'!$C$3:$E$682,3,0)</f>
        <v>cái</v>
      </c>
      <c r="D2602" s="437">
        <f>VLOOKUP(A2602,'Thống kê'!$C$3:$M$682,4,0)</f>
        <v>148000</v>
      </c>
      <c r="E2602" s="438">
        <v>1</v>
      </c>
      <c r="F2602" s="439">
        <f t="shared" si="10"/>
        <v>148000</v>
      </c>
      <c r="G2602" s="440"/>
      <c r="H2602" s="447">
        <v>173923</v>
      </c>
    </row>
    <row r="2603" spans="1:8" ht="13.2">
      <c r="A2603" s="454" t="s">
        <v>1337</v>
      </c>
      <c r="B2603" s="452" t="str">
        <f>VLOOKUP(A2603,'Thống kê'!$C$3:$D$669,2,0)</f>
        <v>Móc khóa chuối</v>
      </c>
      <c r="C2603" s="436" t="str">
        <f>VLOOKUP(A2603,'Thống kê'!$C$3:$E$682,3,0)</f>
        <v>cái</v>
      </c>
      <c r="D2603" s="437">
        <f>VLOOKUP(A2603,'Thống kê'!$C$3:$M$682,4,0)</f>
        <v>148000</v>
      </c>
      <c r="E2603" s="438">
        <v>1</v>
      </c>
      <c r="F2603" s="439">
        <f t="shared" si="10"/>
        <v>148000</v>
      </c>
      <c r="G2603" s="440"/>
      <c r="H2603" s="446"/>
    </row>
    <row r="2604" spans="1:8" ht="13.2">
      <c r="A2604" s="454" t="s">
        <v>1656</v>
      </c>
      <c r="B2604" s="452" t="str">
        <f>VLOOKUP(A2604,'Thống kê'!$C$3:$D$669,2,0)</f>
        <v>Móc khóa Popbean Dimoo</v>
      </c>
      <c r="C2604" s="436" t="str">
        <f>VLOOKUP(A2604,'Thống kê'!$C$3:$E$682,3,0)</f>
        <v>cái</v>
      </c>
      <c r="D2604" s="437">
        <f>VLOOKUP(A2604,'Thống kê'!$C$3:$M$682,4,0)</f>
        <v>155000</v>
      </c>
      <c r="E2604" s="438">
        <v>1</v>
      </c>
      <c r="F2604" s="439">
        <f t="shared" si="10"/>
        <v>155000</v>
      </c>
      <c r="G2604" s="440"/>
      <c r="H2604" s="447">
        <v>318750</v>
      </c>
    </row>
    <row r="2605" spans="1:8" ht="13.2">
      <c r="A2605" s="454" t="s">
        <v>1661</v>
      </c>
      <c r="B2605" s="452" t="str">
        <f>VLOOKUP(A2605,'Thống kê'!$C$3:$D$669,2,0)</f>
        <v>Móc khóa Popbean Kubo</v>
      </c>
      <c r="C2605" s="436" t="str">
        <f>VLOOKUP(A2605,'Thống kê'!$C$3:$E$682,3,0)</f>
        <v>cái</v>
      </c>
      <c r="D2605" s="437">
        <f>VLOOKUP(A2605,'Thống kê'!$C$3:$M$682,4,0)</f>
        <v>148000</v>
      </c>
      <c r="E2605" s="438">
        <v>2</v>
      </c>
      <c r="F2605" s="439">
        <f t="shared" ref="F2605:F2859" si="11">D2605*E2605</f>
        <v>296000</v>
      </c>
      <c r="G2605" s="440"/>
      <c r="H2605" s="446"/>
    </row>
    <row r="2606" spans="1:8" ht="13.2">
      <c r="A2606" s="454" t="s">
        <v>1660</v>
      </c>
      <c r="B2606" s="452" t="str">
        <f>VLOOKUP(A2606,'Thống kê'!$C$3:$D$669,2,0)</f>
        <v>Móc khóa Popbean Skull Panda</v>
      </c>
      <c r="C2606" s="436" t="str">
        <f>VLOOKUP(A2606,'Thống kê'!$C$3:$E$682,3,0)</f>
        <v>cái</v>
      </c>
      <c r="D2606" s="437">
        <f>VLOOKUP(A2606,'Thống kê'!$C$3:$M$682,4,0)</f>
        <v>155000</v>
      </c>
      <c r="E2606" s="438">
        <v>1</v>
      </c>
      <c r="F2606" s="439">
        <f t="shared" si="11"/>
        <v>155000</v>
      </c>
      <c r="G2606" s="440"/>
      <c r="H2606" s="448">
        <v>116450</v>
      </c>
    </row>
    <row r="2607" spans="1:8" ht="13.2">
      <c r="A2607" s="454" t="s">
        <v>150</v>
      </c>
      <c r="B2607" s="452" t="str">
        <f>VLOOKUP(A2607,'Thống kê'!$C$3:$D$669,2,0)</f>
        <v>Móc khóa có chuông</v>
      </c>
      <c r="C2607" s="436" t="str">
        <f>VLOOKUP(A2607,'Thống kê'!$C$3:$E$682,3,0)</f>
        <v>cái</v>
      </c>
      <c r="D2607" s="437">
        <f>VLOOKUP(A2607,'Thống kê'!$C$3:$M$682,4,0)</f>
        <v>59000</v>
      </c>
      <c r="E2607" s="438">
        <v>1</v>
      </c>
      <c r="F2607" s="439">
        <f t="shared" si="11"/>
        <v>59000</v>
      </c>
      <c r="G2607" s="440"/>
      <c r="H2607" s="448">
        <v>44235</v>
      </c>
    </row>
    <row r="2608" spans="1:8" ht="13.2">
      <c r="A2608" s="454" t="s">
        <v>1363</v>
      </c>
      <c r="B2608" s="452" t="str">
        <f>VLOOKUP(A2608,'Thống kê'!$C$3:$D$669,2,0)</f>
        <v>Móc khóa Popbean</v>
      </c>
      <c r="C2608" s="436" t="str">
        <f>VLOOKUP(A2608,'Thống kê'!$C$3:$E$682,3,0)</f>
        <v>cái</v>
      </c>
      <c r="D2608" s="437">
        <f>VLOOKUP(A2608,'Thống kê'!$C$3:$M$682,4,0)</f>
        <v>148000</v>
      </c>
      <c r="E2608" s="438">
        <v>1</v>
      </c>
      <c r="F2608" s="439">
        <f t="shared" si="11"/>
        <v>148000</v>
      </c>
      <c r="G2608" s="440"/>
      <c r="H2608" s="448">
        <v>116450</v>
      </c>
    </row>
    <row r="2609" spans="1:8" ht="13.2">
      <c r="A2609" s="454" t="s">
        <v>1639</v>
      </c>
      <c r="B2609" s="452" t="str">
        <f>VLOOKUP(A2609,'Thống kê'!$C$3:$D$669,2,0)</f>
        <v>Móc khóa đôi Puppy</v>
      </c>
      <c r="C2609" s="436" t="str">
        <f>VLOOKUP(A2609,'Thống kê'!$C$3:$E$682,3,0)</f>
        <v>cái</v>
      </c>
      <c r="D2609" s="437">
        <f>VLOOKUP(A2609,'Thống kê'!$C$3:$M$682,4,0)</f>
        <v>59000</v>
      </c>
      <c r="E2609" s="438">
        <v>1</v>
      </c>
      <c r="F2609" s="439">
        <f t="shared" si="11"/>
        <v>59000</v>
      </c>
      <c r="G2609" s="440"/>
      <c r="H2609" s="448">
        <v>45060</v>
      </c>
    </row>
    <row r="2610" spans="1:8" ht="13.2">
      <c r="A2610" s="454" t="s">
        <v>1660</v>
      </c>
      <c r="B2610" s="452" t="str">
        <f>VLOOKUP(A2610,'Thống kê'!$C$3:$D$669,2,0)</f>
        <v>Móc khóa Popbean Skull Panda</v>
      </c>
      <c r="C2610" s="436" t="str">
        <f>VLOOKUP(A2610,'Thống kê'!$C$3:$E$682,3,0)</f>
        <v>cái</v>
      </c>
      <c r="D2610" s="437">
        <f>VLOOKUP(A2610,'Thống kê'!$C$3:$M$682,4,0)</f>
        <v>155000</v>
      </c>
      <c r="E2610" s="438">
        <v>1</v>
      </c>
      <c r="F2610" s="439">
        <f t="shared" si="11"/>
        <v>155000</v>
      </c>
      <c r="G2610" s="440"/>
      <c r="H2610" s="448">
        <v>116450</v>
      </c>
    </row>
    <row r="2611" spans="1:8" ht="13.2">
      <c r="A2611" s="454" t="s">
        <v>1587</v>
      </c>
      <c r="B2611" s="452" t="str">
        <f>VLOOKUP(A2611,'Thống kê'!$C$3:$D$669,2,0)</f>
        <v>Vịt ú bay</v>
      </c>
      <c r="C2611" s="436" t="str">
        <f>VLOOKUP(A2611,'Thống kê'!$C$3:$E$682,3,0)</f>
        <v>cái</v>
      </c>
      <c r="D2611" s="437">
        <f>VLOOKUP(A2611,'Thống kê'!$C$3:$M$682,4,0)</f>
        <v>64500</v>
      </c>
      <c r="E2611" s="438">
        <v>1</v>
      </c>
      <c r="F2611" s="439">
        <f t="shared" si="11"/>
        <v>64500</v>
      </c>
      <c r="G2611" s="440"/>
      <c r="H2611" s="447">
        <v>71529</v>
      </c>
    </row>
    <row r="2612" spans="1:8" ht="13.2">
      <c r="A2612" s="454" t="s">
        <v>1353</v>
      </c>
      <c r="B2612" s="452" t="str">
        <f>VLOOKUP(A2612,'Thống kê'!$C$3:$D$669,2,0)</f>
        <v>Trang trí mô hình Vịt</v>
      </c>
      <c r="C2612" s="436" t="str">
        <f>VLOOKUP(A2612,'Thống kê'!$C$3:$E$682,3,0)</f>
        <v>cái</v>
      </c>
      <c r="D2612" s="437">
        <f>VLOOKUP(A2612,'Thống kê'!$C$3:$M$682,4,0)</f>
        <v>39000</v>
      </c>
      <c r="E2612" s="438">
        <v>1</v>
      </c>
      <c r="F2612" s="439">
        <f t="shared" si="11"/>
        <v>39000</v>
      </c>
      <c r="G2612" s="440"/>
      <c r="H2612" s="446"/>
    </row>
    <row r="2613" spans="1:8" ht="13.2">
      <c r="A2613" s="454" t="s">
        <v>1343</v>
      </c>
      <c r="B2613" s="452" t="str">
        <f>VLOOKUP(A2613,'Thống kê'!$C$3:$D$669,2,0)</f>
        <v>Móc khóa chuối</v>
      </c>
      <c r="C2613" s="436" t="str">
        <f>VLOOKUP(A2613,'Thống kê'!$C$3:$E$682,3,0)</f>
        <v>cái</v>
      </c>
      <c r="D2613" s="437">
        <f>VLOOKUP(A2613,'Thống kê'!$C$3:$M$682,4,0)</f>
        <v>148000</v>
      </c>
      <c r="E2613" s="438">
        <v>1</v>
      </c>
      <c r="F2613" s="439">
        <f t="shared" si="11"/>
        <v>148000</v>
      </c>
      <c r="G2613" s="440"/>
      <c r="H2613" s="447">
        <v>147798</v>
      </c>
    </row>
    <row r="2614" spans="1:8" ht="13.2">
      <c r="A2614" s="454" t="s">
        <v>1344</v>
      </c>
      <c r="B2614" s="452" t="str">
        <f>VLOOKUP(A2614,'Thống kê'!$C$3:$D$669,2,0)</f>
        <v>Móc khóa chuối</v>
      </c>
      <c r="C2614" s="436" t="str">
        <f>VLOOKUP(A2614,'Thống kê'!$C$3:$E$682,3,0)</f>
        <v>cái</v>
      </c>
      <c r="D2614" s="437">
        <f>VLOOKUP(A2614,'Thống kê'!$C$3:$M$682,4,0)</f>
        <v>148000</v>
      </c>
      <c r="E2614" s="438">
        <v>1</v>
      </c>
      <c r="F2614" s="439">
        <f t="shared" si="11"/>
        <v>148000</v>
      </c>
      <c r="G2614" s="440"/>
      <c r="H2614" s="446"/>
    </row>
    <row r="2615" spans="1:8" ht="13.2">
      <c r="A2615" s="454" t="s">
        <v>1660</v>
      </c>
      <c r="B2615" s="452" t="str">
        <f>VLOOKUP(A2615,'Thống kê'!$C$3:$D$669,2,0)</f>
        <v>Móc khóa Popbean Skull Panda</v>
      </c>
      <c r="C2615" s="436" t="str">
        <f>VLOOKUP(A2615,'Thống kê'!$C$3:$E$682,3,0)</f>
        <v>cái</v>
      </c>
      <c r="D2615" s="437">
        <f>VLOOKUP(A2615,'Thống kê'!$C$3:$M$682,4,0)</f>
        <v>155000</v>
      </c>
      <c r="E2615" s="438">
        <v>1</v>
      </c>
      <c r="F2615" s="439">
        <f t="shared" si="11"/>
        <v>155000</v>
      </c>
      <c r="G2615" s="440"/>
      <c r="H2615" s="448">
        <v>116450</v>
      </c>
    </row>
    <row r="2616" spans="1:8" ht="13.2">
      <c r="A2616" s="454" t="s">
        <v>116</v>
      </c>
      <c r="B2616" s="452" t="str">
        <f>VLOOKUP(A2616,'Thống kê'!$C$3:$D$669,2,0)</f>
        <v>heo ú cầm hoa</v>
      </c>
      <c r="C2616" s="436" t="str">
        <f>VLOOKUP(A2616,'Thống kê'!$C$3:$E$682,3,0)</f>
        <v>cái</v>
      </c>
      <c r="D2616" s="437">
        <f>VLOOKUP(A2616,'Thống kê'!$C$3:$M$682,4,0)</f>
        <v>64500</v>
      </c>
      <c r="E2616" s="438">
        <v>1</v>
      </c>
      <c r="F2616" s="439">
        <f t="shared" si="11"/>
        <v>64500</v>
      </c>
      <c r="G2616" s="440"/>
      <c r="H2616" s="448">
        <v>46360</v>
      </c>
    </row>
    <row r="2617" spans="1:8" ht="13.2">
      <c r="A2617" s="454" t="s">
        <v>1640</v>
      </c>
      <c r="B2617" s="452" t="str">
        <f>VLOOKUP(A2617,'Thống kê'!$C$3:$D$669,2,0)</f>
        <v>Móc khóa đôi Capypara</v>
      </c>
      <c r="C2617" s="436" t="str">
        <f>VLOOKUP(A2617,'Thống kê'!$C$3:$E$682,3,0)</f>
        <v>cái</v>
      </c>
      <c r="D2617" s="437">
        <f>VLOOKUP(A2617,'Thống kê'!$C$3:$M$682,4,0)</f>
        <v>59000</v>
      </c>
      <c r="E2617" s="438">
        <v>1</v>
      </c>
      <c r="F2617" s="439">
        <f t="shared" si="11"/>
        <v>59000</v>
      </c>
      <c r="G2617" s="440"/>
      <c r="H2617" s="448">
        <v>45060</v>
      </c>
    </row>
    <row r="2618" spans="1:8" ht="13.2">
      <c r="A2618" s="454" t="s">
        <v>1588</v>
      </c>
      <c r="B2618" s="452" t="str">
        <f>VLOOKUP(A2618,'Thống kê'!$C$3:$D$669,2,0)</f>
        <v>Heo ú hoa</v>
      </c>
      <c r="C2618" s="436" t="str">
        <f>VLOOKUP(A2618,'Thống kê'!$C$3:$E$682,3,0)</f>
        <v>cái</v>
      </c>
      <c r="D2618" s="437">
        <f>VLOOKUP(A2618,'Thống kê'!$C$3:$M$682,4,0)</f>
        <v>64500</v>
      </c>
      <c r="E2618" s="438">
        <v>1</v>
      </c>
      <c r="F2618" s="439">
        <f t="shared" si="11"/>
        <v>64500</v>
      </c>
      <c r="G2618" s="440"/>
      <c r="H2618" s="448">
        <v>46360</v>
      </c>
    </row>
    <row r="2619" spans="1:8" ht="13.2">
      <c r="A2619" s="454" t="s">
        <v>1342</v>
      </c>
      <c r="B2619" s="452" t="str">
        <f>VLOOKUP(A2619,'Thống kê'!$C$3:$D$669,2,0)</f>
        <v>Móc khóa chuối</v>
      </c>
      <c r="C2619" s="436" t="str">
        <f>VLOOKUP(A2619,'Thống kê'!$C$3:$E$682,3,0)</f>
        <v>cái</v>
      </c>
      <c r="D2619" s="437">
        <f>VLOOKUP(A2619,'Thống kê'!$C$3:$M$682,4,0)</f>
        <v>148000</v>
      </c>
      <c r="E2619" s="438">
        <v>1</v>
      </c>
      <c r="F2619" s="439">
        <f t="shared" si="11"/>
        <v>148000</v>
      </c>
      <c r="G2619" s="440"/>
      <c r="H2619" s="447">
        <v>102510</v>
      </c>
    </row>
    <row r="2620" spans="1:8" ht="13.2">
      <c r="A2620" s="454" t="s">
        <v>1805</v>
      </c>
      <c r="B2620" s="452" t="str">
        <f>VLOOKUP(A2620,'Thống kê'!$C$3:$D$669,2,0)</f>
        <v>Móc khoá cún Dưa hấu</v>
      </c>
      <c r="C2620" s="436" t="str">
        <f>VLOOKUP(A2620,'Thống kê'!$C$3:$E$682,3,0)</f>
        <v>cái</v>
      </c>
      <c r="D2620" s="437">
        <f>VLOOKUP(A2620,'Thống kê'!$C$3:$M$682,4,0)</f>
        <v>38000</v>
      </c>
      <c r="E2620" s="438">
        <v>1</v>
      </c>
      <c r="F2620" s="439">
        <f t="shared" si="11"/>
        <v>38000</v>
      </c>
      <c r="G2620" s="440"/>
      <c r="H2620" s="446"/>
    </row>
    <row r="2621" spans="1:8" ht="13.2">
      <c r="A2621" s="454" t="s">
        <v>1660</v>
      </c>
      <c r="B2621" s="452" t="str">
        <f>VLOOKUP(A2621,'Thống kê'!$C$3:$D$669,2,0)</f>
        <v>Móc khóa Popbean Skull Panda</v>
      </c>
      <c r="C2621" s="436" t="str">
        <f>VLOOKUP(A2621,'Thống kê'!$C$3:$E$682,3,0)</f>
        <v>cái</v>
      </c>
      <c r="D2621" s="437">
        <f>VLOOKUP(A2621,'Thống kê'!$C$3:$M$682,4,0)</f>
        <v>155000</v>
      </c>
      <c r="E2621" s="438">
        <v>1</v>
      </c>
      <c r="F2621" s="439">
        <f t="shared" si="11"/>
        <v>155000</v>
      </c>
      <c r="G2621" s="440"/>
      <c r="H2621" s="448">
        <v>116450</v>
      </c>
    </row>
    <row r="2622" spans="1:8" ht="13.2">
      <c r="A2622" s="454" t="s">
        <v>1624</v>
      </c>
      <c r="B2622" s="452" t="str">
        <f>VLOOKUP(A2622,'Thống kê'!$C$3:$D$669,2,0)</f>
        <v>Móc khóa mèo trái tim</v>
      </c>
      <c r="C2622" s="436" t="str">
        <f>VLOOKUP(A2622,'Thống kê'!$C$3:$E$682,3,0)</f>
        <v>cái</v>
      </c>
      <c r="D2622" s="437">
        <f>VLOOKUP(A2622,'Thống kê'!$C$3:$M$682,4,0)</f>
        <v>59000</v>
      </c>
      <c r="E2622" s="438">
        <v>1</v>
      </c>
      <c r="F2622" s="439">
        <f t="shared" si="11"/>
        <v>59000</v>
      </c>
      <c r="G2622" s="440"/>
      <c r="H2622" s="448">
        <v>45060</v>
      </c>
    </row>
    <row r="2623" spans="1:8" ht="13.2">
      <c r="A2623" s="454" t="s">
        <v>116</v>
      </c>
      <c r="B2623" s="452" t="str">
        <f>VLOOKUP(A2623,'Thống kê'!$C$3:$D$669,2,0)</f>
        <v>heo ú cầm hoa</v>
      </c>
      <c r="C2623" s="436" t="str">
        <f>VLOOKUP(A2623,'Thống kê'!$C$3:$E$682,3,0)</f>
        <v>cái</v>
      </c>
      <c r="D2623" s="437">
        <f>VLOOKUP(A2623,'Thống kê'!$C$3:$M$682,4,0)</f>
        <v>64500</v>
      </c>
      <c r="E2623" s="438">
        <v>1</v>
      </c>
      <c r="F2623" s="439">
        <f t="shared" si="11"/>
        <v>64500</v>
      </c>
      <c r="G2623" s="440"/>
      <c r="H2623" s="448">
        <v>46360</v>
      </c>
    </row>
    <row r="2624" spans="1:8" ht="13.2">
      <c r="A2624" s="454" t="s">
        <v>1660</v>
      </c>
      <c r="B2624" s="452" t="str">
        <f>VLOOKUP(A2624,'Thống kê'!$C$3:$D$669,2,0)</f>
        <v>Móc khóa Popbean Skull Panda</v>
      </c>
      <c r="C2624" s="436" t="str">
        <f>VLOOKUP(A2624,'Thống kê'!$C$3:$E$682,3,0)</f>
        <v>cái</v>
      </c>
      <c r="D2624" s="437">
        <f>VLOOKUP(A2624,'Thống kê'!$C$3:$M$682,4,0)</f>
        <v>155000</v>
      </c>
      <c r="E2624" s="438">
        <v>1</v>
      </c>
      <c r="F2624" s="439">
        <f t="shared" si="11"/>
        <v>155000</v>
      </c>
      <c r="G2624" s="440"/>
      <c r="H2624" s="448">
        <v>114750</v>
      </c>
    </row>
    <row r="2625" spans="1:8" ht="13.2">
      <c r="A2625" s="454" t="s">
        <v>143</v>
      </c>
      <c r="B2625" s="452" t="str">
        <f>VLOOKUP(A2625,'Thống kê'!$C$3:$D$669,2,0)</f>
        <v>Mèo ú</v>
      </c>
      <c r="C2625" s="436" t="str">
        <f>VLOOKUP(A2625,'Thống kê'!$C$3:$E$682,3,0)</f>
        <v>cái</v>
      </c>
      <c r="D2625" s="437">
        <f>VLOOKUP(A2625,'Thống kê'!$C$3:$M$682,4,0)</f>
        <v>59500</v>
      </c>
      <c r="E2625" s="438">
        <v>1</v>
      </c>
      <c r="F2625" s="439">
        <f t="shared" si="11"/>
        <v>59500</v>
      </c>
      <c r="G2625" s="440"/>
      <c r="H2625" s="448">
        <v>44552</v>
      </c>
    </row>
    <row r="2626" spans="1:8" ht="13.2">
      <c r="A2626" s="454" t="s">
        <v>1589</v>
      </c>
      <c r="B2626" s="452" t="str">
        <f>VLOOKUP(A2626,'Thống kê'!$C$3:$D$669,2,0)</f>
        <v>Heo ú bay</v>
      </c>
      <c r="C2626" s="436" t="str">
        <f>VLOOKUP(A2626,'Thống kê'!$C$3:$E$682,3,0)</f>
        <v>cái</v>
      </c>
      <c r="D2626" s="437">
        <f>VLOOKUP(A2626,'Thống kê'!$C$3:$M$682,4,0)</f>
        <v>64500</v>
      </c>
      <c r="E2626" s="438">
        <v>1</v>
      </c>
      <c r="F2626" s="439">
        <f t="shared" si="11"/>
        <v>64500</v>
      </c>
      <c r="G2626" s="440"/>
      <c r="H2626" s="448">
        <v>45670</v>
      </c>
    </row>
    <row r="2627" spans="1:8" ht="13.2">
      <c r="A2627" s="454" t="s">
        <v>161</v>
      </c>
      <c r="B2627" s="452" t="str">
        <f>VLOOKUP(A2627,'Thống kê'!$C$3:$D$669,2,0)</f>
        <v>Dao rọc giấy 07</v>
      </c>
      <c r="C2627" s="436" t="str">
        <f>VLOOKUP(A2627,'Thống kê'!$C$3:$E$682,3,0)</f>
        <v>cái</v>
      </c>
      <c r="D2627" s="437">
        <f>VLOOKUP(A2627,'Thống kê'!$C$3:$M$682,4,0)</f>
        <v>12000</v>
      </c>
      <c r="E2627" s="438">
        <v>1</v>
      </c>
      <c r="F2627" s="439">
        <f t="shared" si="11"/>
        <v>12000</v>
      </c>
      <c r="G2627" s="440"/>
      <c r="H2627" s="447">
        <v>96322</v>
      </c>
    </row>
    <row r="2628" spans="1:8" ht="13.2">
      <c r="A2628" s="454" t="s">
        <v>161</v>
      </c>
      <c r="B2628" s="452" t="str">
        <f>VLOOKUP(A2628,'Thống kê'!$C$3:$D$669,2,0)</f>
        <v>Dao rọc giấy 07</v>
      </c>
      <c r="C2628" s="436" t="str">
        <f>VLOOKUP(A2628,'Thống kê'!$C$3:$E$682,3,0)</f>
        <v>cái</v>
      </c>
      <c r="D2628" s="437">
        <f>VLOOKUP(A2628,'Thống kê'!$C$3:$M$682,4,0)</f>
        <v>12000</v>
      </c>
      <c r="E2628" s="438">
        <v>1</v>
      </c>
      <c r="F2628" s="439">
        <f t="shared" si="11"/>
        <v>12000</v>
      </c>
      <c r="G2628" s="440"/>
      <c r="H2628" s="446"/>
    </row>
    <row r="2629" spans="1:8" ht="13.2">
      <c r="A2629" s="454" t="s">
        <v>1597</v>
      </c>
      <c r="B2629" s="452" t="str">
        <f>VLOOKUP(A2629,'Thống kê'!$C$3:$D$669,2,0)</f>
        <v>Dao rọc giấy 12</v>
      </c>
      <c r="C2629" s="436" t="str">
        <f>VLOOKUP(A2629,'Thống kê'!$C$3:$E$682,3,0)</f>
        <v>cái</v>
      </c>
      <c r="D2629" s="437">
        <f>VLOOKUP(A2629,'Thống kê'!$C$3:$M$682,4,0)</f>
        <v>12000</v>
      </c>
      <c r="E2629" s="438">
        <v>1</v>
      </c>
      <c r="F2629" s="439">
        <f t="shared" si="11"/>
        <v>12000</v>
      </c>
      <c r="G2629" s="440"/>
      <c r="H2629" s="446"/>
    </row>
    <row r="2630" spans="1:8" ht="13.2">
      <c r="A2630" s="454" t="s">
        <v>1636</v>
      </c>
      <c r="B2630" s="452" t="str">
        <f>VLOOKUP(A2630,'Thống kê'!$C$3:$D$669,2,0)</f>
        <v>Mô hình mèo 3</v>
      </c>
      <c r="C2630" s="436" t="str">
        <f>VLOOKUP(A2630,'Thống kê'!$C$3:$E$682,3,0)</f>
        <v>cái</v>
      </c>
      <c r="D2630" s="437">
        <f>VLOOKUP(A2630,'Thống kê'!$C$3:$M$682,4,0)</f>
        <v>37800</v>
      </c>
      <c r="E2630" s="438">
        <v>1</v>
      </c>
      <c r="F2630" s="439">
        <f t="shared" si="11"/>
        <v>37800</v>
      </c>
      <c r="G2630" s="440"/>
      <c r="H2630" s="446"/>
    </row>
    <row r="2631" spans="1:8" ht="13.2">
      <c r="A2631" s="454" t="s">
        <v>1982</v>
      </c>
      <c r="B2631" s="452" t="str">
        <f>VLOOKUP(A2631,'Thống kê'!$C$3:$D$669,2,0)</f>
        <v>Vớ trắng mỏng nhiều gấu</v>
      </c>
      <c r="C2631" s="436" t="str">
        <f>VLOOKUP(A2631,'Thống kê'!$C$3:$E$682,3,0)</f>
        <v>đôi</v>
      </c>
      <c r="D2631" s="437">
        <f>VLOOKUP(A2631,'Thống kê'!$C$3:$M$682,4,0)</f>
        <v>9900</v>
      </c>
      <c r="E2631" s="438">
        <v>1</v>
      </c>
      <c r="F2631" s="439">
        <f t="shared" si="11"/>
        <v>9900</v>
      </c>
      <c r="G2631" s="440"/>
      <c r="H2631" s="446"/>
    </row>
    <row r="2632" spans="1:8" ht="13.2">
      <c r="A2632" s="454" t="s">
        <v>2063</v>
      </c>
      <c r="B2632" s="452" t="str">
        <f>VLOOKUP(A2632,'Thống kê'!$C$3:$D$669,2,0)</f>
        <v>Trâm cài 24</v>
      </c>
      <c r="C2632" s="436" t="str">
        <f>VLOOKUP(A2632,'Thống kê'!$C$3:$E$682,3,0)</f>
        <v>cây</v>
      </c>
      <c r="D2632" s="437">
        <f>VLOOKUP(A2632,'Thống kê'!$C$3:$M$682,4,0)</f>
        <v>33120</v>
      </c>
      <c r="E2632" s="438">
        <v>1</v>
      </c>
      <c r="F2632" s="439">
        <f t="shared" si="11"/>
        <v>33120</v>
      </c>
      <c r="G2632" s="440"/>
      <c r="H2632" s="446"/>
    </row>
    <row r="2633" spans="1:8" ht="13.2">
      <c r="A2633" s="454" t="s">
        <v>2042</v>
      </c>
      <c r="B2633" s="452" t="str">
        <f>VLOOKUP(A2633,'Thống kê'!$C$3:$D$669,2,0)</f>
        <v>Vớ cổ cao trắng cỏ ba lá xanh</v>
      </c>
      <c r="C2633" s="436" t="str">
        <f>VLOOKUP(A2633,'Thống kê'!$C$3:$E$682,3,0)</f>
        <v>đôi</v>
      </c>
      <c r="D2633" s="437">
        <f>VLOOKUP(A2633,'Thống kê'!$C$3:$M$682,4,0)</f>
        <v>19800</v>
      </c>
      <c r="E2633" s="438">
        <v>1</v>
      </c>
      <c r="F2633" s="439">
        <f t="shared" si="11"/>
        <v>19800</v>
      </c>
      <c r="G2633" s="440"/>
      <c r="H2633" s="446"/>
    </row>
    <row r="2634" spans="1:8" ht="13.2">
      <c r="A2634" s="454" t="s">
        <v>1632</v>
      </c>
      <c r="B2634" s="452" t="str">
        <f>VLOOKUP(A2634,'Thống kê'!$C$3:$D$669,2,0)</f>
        <v>Móc khóa đôi mèo trắng</v>
      </c>
      <c r="C2634" s="436" t="str">
        <f>VLOOKUP(A2634,'Thống kê'!$C$3:$E$682,3,0)</f>
        <v>cái</v>
      </c>
      <c r="D2634" s="437">
        <f>VLOOKUP(A2634,'Thống kê'!$C$3:$M$682,4,0)</f>
        <v>59000</v>
      </c>
      <c r="E2634" s="438">
        <v>1</v>
      </c>
      <c r="F2634" s="439">
        <f t="shared" si="11"/>
        <v>59000</v>
      </c>
      <c r="G2634" s="440"/>
      <c r="H2634" s="448">
        <v>42684</v>
      </c>
    </row>
    <row r="2635" spans="1:8" ht="13.2">
      <c r="A2635" s="454" t="s">
        <v>143</v>
      </c>
      <c r="B2635" s="452" t="str">
        <f>VLOOKUP(A2635,'Thống kê'!$C$3:$D$669,2,0)</f>
        <v>Mèo ú</v>
      </c>
      <c r="C2635" s="436" t="str">
        <f>VLOOKUP(A2635,'Thống kê'!$C$3:$E$682,3,0)</f>
        <v>cái</v>
      </c>
      <c r="D2635" s="437">
        <f>VLOOKUP(A2635,'Thống kê'!$C$3:$M$682,4,0)</f>
        <v>59500</v>
      </c>
      <c r="E2635" s="438">
        <v>1</v>
      </c>
      <c r="F2635" s="439">
        <f t="shared" si="11"/>
        <v>59500</v>
      </c>
      <c r="G2635" s="440"/>
      <c r="H2635" s="447">
        <v>185648</v>
      </c>
    </row>
    <row r="2636" spans="1:8" ht="13.2">
      <c r="A2636" s="454" t="s">
        <v>115</v>
      </c>
      <c r="B2636" s="452" t="str">
        <f>VLOOKUP(A2636,'Thống kê'!$C$3:$D$669,2,0)</f>
        <v>Heo ú</v>
      </c>
      <c r="C2636" s="436" t="str">
        <f>VLOOKUP(A2636,'Thống kê'!$C$3:$E$682,3,0)</f>
        <v>cái</v>
      </c>
      <c r="D2636" s="437">
        <f>VLOOKUP(A2636,'Thống kê'!$C$3:$M$682,4,0)</f>
        <v>59500</v>
      </c>
      <c r="E2636" s="438">
        <v>1</v>
      </c>
      <c r="F2636" s="439">
        <f t="shared" si="11"/>
        <v>59500</v>
      </c>
      <c r="G2636" s="440"/>
      <c r="H2636" s="446"/>
    </row>
    <row r="2637" spans="1:8" ht="13.2">
      <c r="A2637" s="454" t="s">
        <v>128</v>
      </c>
      <c r="B2637" s="452" t="str">
        <f>VLOOKUP(A2637,'Thống kê'!$C$3:$D$669,2,0)</f>
        <v>Mèo ú bay</v>
      </c>
      <c r="C2637" s="436" t="str">
        <f>VLOOKUP(A2637,'Thống kê'!$C$3:$E$682,3,0)</f>
        <v>cái</v>
      </c>
      <c r="D2637" s="437">
        <f>VLOOKUP(A2637,'Thống kê'!$C$3:$M$682,4,0)</f>
        <v>64500</v>
      </c>
      <c r="E2637" s="438">
        <v>1</v>
      </c>
      <c r="F2637" s="439">
        <f t="shared" si="11"/>
        <v>64500</v>
      </c>
      <c r="G2637" s="440"/>
      <c r="H2637" s="446"/>
    </row>
    <row r="2638" spans="1:8" ht="13.2">
      <c r="A2638" s="454" t="s">
        <v>1210</v>
      </c>
      <c r="B2638" s="452" t="str">
        <f>VLOOKUP(A2638,'Thống kê'!$C$3:$D$669,2,0)</f>
        <v>Shiba ú cầm hoa</v>
      </c>
      <c r="C2638" s="436" t="str">
        <f>VLOOKUP(A2638,'Thống kê'!$C$3:$E$682,3,0)</f>
        <v>cái</v>
      </c>
      <c r="D2638" s="437">
        <f>VLOOKUP(A2638,'Thống kê'!$C$3:$M$682,4,0)</f>
        <v>64500</v>
      </c>
      <c r="E2638" s="438">
        <v>1</v>
      </c>
      <c r="F2638" s="439">
        <f t="shared" si="11"/>
        <v>64500</v>
      </c>
      <c r="G2638" s="440"/>
      <c r="H2638" s="446"/>
    </row>
    <row r="2639" spans="1:8" ht="13.2">
      <c r="A2639" s="454" t="s">
        <v>1624</v>
      </c>
      <c r="B2639" s="452" t="str">
        <f>VLOOKUP(A2639,'Thống kê'!$C$3:$D$669,2,0)</f>
        <v>Móc khóa mèo trái tim</v>
      </c>
      <c r="C2639" s="436" t="str">
        <f>VLOOKUP(A2639,'Thống kê'!$C$3:$E$682,3,0)</f>
        <v>cái</v>
      </c>
      <c r="D2639" s="437">
        <f>VLOOKUP(A2639,'Thống kê'!$C$3:$M$682,4,0)</f>
        <v>59000</v>
      </c>
      <c r="E2639" s="438">
        <v>1</v>
      </c>
      <c r="F2639" s="439">
        <f t="shared" si="11"/>
        <v>59000</v>
      </c>
      <c r="G2639" s="440"/>
      <c r="H2639" s="448">
        <v>45135</v>
      </c>
    </row>
    <row r="2640" spans="1:8" ht="13.2">
      <c r="A2640" s="454" t="s">
        <v>150</v>
      </c>
      <c r="B2640" s="452" t="str">
        <f>VLOOKUP(A2640,'Thống kê'!$C$3:$D$669,2,0)</f>
        <v>Móc khóa có chuông</v>
      </c>
      <c r="C2640" s="436" t="str">
        <f>VLOOKUP(A2640,'Thống kê'!$C$3:$E$682,3,0)</f>
        <v>cái</v>
      </c>
      <c r="D2640" s="437">
        <f>VLOOKUP(A2640,'Thống kê'!$C$3:$M$682,4,0)</f>
        <v>59000</v>
      </c>
      <c r="E2640" s="438">
        <v>1</v>
      </c>
      <c r="F2640" s="439">
        <f t="shared" si="11"/>
        <v>59000</v>
      </c>
      <c r="G2640" s="440"/>
      <c r="H2640" s="448">
        <v>45135</v>
      </c>
    </row>
    <row r="2641" spans="1:8" ht="13.2">
      <c r="A2641" s="454" t="s">
        <v>150</v>
      </c>
      <c r="B2641" s="452" t="str">
        <f>VLOOKUP(A2641,'Thống kê'!$C$3:$D$669,2,0)</f>
        <v>Móc khóa có chuông</v>
      </c>
      <c r="C2641" s="436" t="str">
        <f>VLOOKUP(A2641,'Thống kê'!$C$3:$E$682,3,0)</f>
        <v>cái</v>
      </c>
      <c r="D2641" s="437">
        <f>VLOOKUP(A2641,'Thống kê'!$C$3:$M$682,4,0)</f>
        <v>59000</v>
      </c>
      <c r="E2641" s="438">
        <v>1</v>
      </c>
      <c r="F2641" s="439">
        <f t="shared" si="11"/>
        <v>59000</v>
      </c>
      <c r="G2641" s="440"/>
      <c r="H2641" s="448">
        <v>45135</v>
      </c>
    </row>
    <row r="2642" spans="1:8" ht="13.2">
      <c r="A2642" s="454" t="s">
        <v>1343</v>
      </c>
      <c r="B2642" s="452" t="str">
        <f>VLOOKUP(A2642,'Thống kê'!$C$3:$D$669,2,0)</f>
        <v>Móc khóa chuối</v>
      </c>
      <c r="C2642" s="436" t="str">
        <f>VLOOKUP(A2642,'Thống kê'!$C$3:$E$682,3,0)</f>
        <v>cái</v>
      </c>
      <c r="D2642" s="437">
        <f>VLOOKUP(A2642,'Thống kê'!$C$3:$M$682,4,0)</f>
        <v>148000</v>
      </c>
      <c r="E2642" s="438">
        <v>1</v>
      </c>
      <c r="F2642" s="439">
        <f t="shared" si="11"/>
        <v>148000</v>
      </c>
      <c r="G2642" s="440"/>
      <c r="H2642" s="448">
        <v>72625</v>
      </c>
    </row>
    <row r="2643" spans="1:8" ht="13.2">
      <c r="A2643" s="454" t="s">
        <v>1624</v>
      </c>
      <c r="B2643" s="452" t="str">
        <f>VLOOKUP(A2643,'Thống kê'!$C$3:$D$669,2,0)</f>
        <v>Móc khóa mèo trái tim</v>
      </c>
      <c r="C2643" s="436" t="str">
        <f>VLOOKUP(A2643,'Thống kê'!$C$3:$E$682,3,0)</f>
        <v>cái</v>
      </c>
      <c r="D2643" s="437">
        <f>VLOOKUP(A2643,'Thống kê'!$C$3:$M$682,4,0)</f>
        <v>59000</v>
      </c>
      <c r="E2643" s="438">
        <v>1</v>
      </c>
      <c r="F2643" s="439">
        <f t="shared" si="11"/>
        <v>59000</v>
      </c>
      <c r="G2643" s="440"/>
      <c r="H2643" s="448">
        <v>45060</v>
      </c>
    </row>
    <row r="2644" spans="1:8" ht="13.2">
      <c r="A2644" s="454" t="s">
        <v>128</v>
      </c>
      <c r="B2644" s="452" t="str">
        <f>VLOOKUP(A2644,'Thống kê'!$C$3:$D$669,2,0)</f>
        <v>Mèo ú bay</v>
      </c>
      <c r="C2644" s="436" t="str">
        <f>VLOOKUP(A2644,'Thống kê'!$C$3:$E$682,3,0)</f>
        <v>cái</v>
      </c>
      <c r="D2644" s="437">
        <f>VLOOKUP(A2644,'Thống kê'!$C$3:$M$682,4,0)</f>
        <v>64500</v>
      </c>
      <c r="E2644" s="438">
        <v>2</v>
      </c>
      <c r="F2644" s="439">
        <f t="shared" si="11"/>
        <v>129000</v>
      </c>
      <c r="G2644" s="440"/>
      <c r="H2644" s="448">
        <v>92915</v>
      </c>
    </row>
    <row r="2645" spans="1:8" ht="13.2">
      <c r="A2645" s="454" t="s">
        <v>1851</v>
      </c>
      <c r="B2645" s="452" t="str">
        <f>VLOOKUP(A2645,'Thống kê'!$C$3:$D$669,2,0)</f>
        <v>Hộp thuốc cô bé tóc nâu</v>
      </c>
      <c r="C2645" s="436" t="str">
        <f>VLOOKUP(A2645,'Thống kê'!$C$3:$E$682,3,0)</f>
        <v>hộp</v>
      </c>
      <c r="D2645" s="437">
        <f>VLOOKUP(A2645,'Thống kê'!$C$3:$M$682,4,0)</f>
        <v>11000</v>
      </c>
      <c r="E2645" s="438">
        <v>1</v>
      </c>
      <c r="F2645" s="439">
        <f t="shared" si="11"/>
        <v>11000</v>
      </c>
      <c r="G2645" s="440"/>
      <c r="H2645" s="447">
        <v>226703</v>
      </c>
    </row>
    <row r="2646" spans="1:8" ht="13.2">
      <c r="A2646" s="454" t="s">
        <v>1656</v>
      </c>
      <c r="B2646" s="452" t="str">
        <f>VLOOKUP(A2646,'Thống kê'!$C$3:$D$669,2,0)</f>
        <v>Móc khóa Popbean Dimoo</v>
      </c>
      <c r="C2646" s="436" t="str">
        <f>VLOOKUP(A2646,'Thống kê'!$C$3:$E$682,3,0)</f>
        <v>cái</v>
      </c>
      <c r="D2646" s="437">
        <f>VLOOKUP(A2646,'Thống kê'!$C$3:$M$682,4,0)</f>
        <v>155000</v>
      </c>
      <c r="E2646" s="438">
        <v>1</v>
      </c>
      <c r="F2646" s="439">
        <f t="shared" si="11"/>
        <v>155000</v>
      </c>
      <c r="G2646" s="440"/>
      <c r="H2646" s="446"/>
    </row>
    <row r="2647" spans="1:8" ht="13.2">
      <c r="A2647" s="454" t="s">
        <v>1660</v>
      </c>
      <c r="B2647" s="452" t="str">
        <f>VLOOKUP(A2647,'Thống kê'!$C$3:$D$669,2,0)</f>
        <v>Móc khóa Popbean Skull Panda</v>
      </c>
      <c r="C2647" s="436" t="str">
        <f>VLOOKUP(A2647,'Thống kê'!$C$3:$E$682,3,0)</f>
        <v>cái</v>
      </c>
      <c r="D2647" s="437">
        <f>VLOOKUP(A2647,'Thống kê'!$C$3:$M$682,4,0)</f>
        <v>155000</v>
      </c>
      <c r="E2647" s="438">
        <v>1</v>
      </c>
      <c r="F2647" s="439">
        <f t="shared" si="11"/>
        <v>155000</v>
      </c>
      <c r="G2647" s="440"/>
      <c r="H2647" s="446"/>
    </row>
    <row r="2648" spans="1:8" ht="13.2">
      <c r="A2648" s="454" t="s">
        <v>1343</v>
      </c>
      <c r="B2648" s="452" t="str">
        <f>VLOOKUP(A2648,'Thống kê'!$C$3:$D$669,2,0)</f>
        <v>Móc khóa chuối</v>
      </c>
      <c r="C2648" s="436" t="str">
        <f>VLOOKUP(A2648,'Thống kê'!$C$3:$E$682,3,0)</f>
        <v>cái</v>
      </c>
      <c r="D2648" s="437">
        <f>VLOOKUP(A2648,'Thống kê'!$C$3:$M$682,4,0)</f>
        <v>148000</v>
      </c>
      <c r="E2648" s="438">
        <v>1</v>
      </c>
      <c r="F2648" s="439">
        <f t="shared" si="11"/>
        <v>148000</v>
      </c>
      <c r="G2648" s="440"/>
      <c r="H2648" s="447">
        <v>147798</v>
      </c>
    </row>
    <row r="2649" spans="1:8" ht="13.2">
      <c r="A2649" s="454" t="s">
        <v>170</v>
      </c>
      <c r="B2649" s="452" t="str">
        <f>VLOOKUP(A2649,'Thống kê'!$C$3:$D$669,2,0)</f>
        <v>Móc khóa chuối</v>
      </c>
      <c r="C2649" s="436" t="str">
        <f>VLOOKUP(A2649,'Thống kê'!$C$3:$E$682,3,0)</f>
        <v>cái</v>
      </c>
      <c r="D2649" s="437">
        <f>VLOOKUP(A2649,'Thống kê'!$C$3:$M$682,4,0)</f>
        <v>148000</v>
      </c>
      <c r="E2649" s="438">
        <v>1</v>
      </c>
      <c r="F2649" s="439">
        <f t="shared" si="11"/>
        <v>148000</v>
      </c>
      <c r="G2649" s="440"/>
      <c r="H2649" s="446"/>
    </row>
    <row r="2650" spans="1:8" ht="13.2">
      <c r="A2650" s="454" t="s">
        <v>2055</v>
      </c>
      <c r="B2650" s="452" t="str">
        <f>VLOOKUP(A2650,'Thống kê'!$C$3:$D$669,2,0)</f>
        <v>Móc khoá cún Bánh mì</v>
      </c>
      <c r="C2650" s="436" t="str">
        <f>VLOOKUP(A2650,'Thống kê'!$C$3:$E$682,3,0)</f>
        <v>cái</v>
      </c>
      <c r="D2650" s="437">
        <f>VLOOKUP(A2650,'Thống kê'!$C$3:$M$682,4,0)</f>
        <v>38000</v>
      </c>
      <c r="E2650" s="438">
        <v>1</v>
      </c>
      <c r="F2650" s="439">
        <f t="shared" si="11"/>
        <v>38000</v>
      </c>
      <c r="G2650" s="440"/>
      <c r="H2650" s="448">
        <v>30610</v>
      </c>
    </row>
    <row r="2651" spans="1:8" ht="13.2">
      <c r="A2651" s="454" t="s">
        <v>1591</v>
      </c>
      <c r="B2651" s="452" t="str">
        <f>VLOOKUP(A2651,'Thống kê'!$C$3:$D$669,2,0)</f>
        <v>Thỏ ú</v>
      </c>
      <c r="C2651" s="436" t="str">
        <f>VLOOKUP(A2651,'Thống kê'!$C$3:$E$682,3,0)</f>
        <v>cái</v>
      </c>
      <c r="D2651" s="437">
        <f>VLOOKUP(A2651,'Thống kê'!$C$3:$M$682,4,0)</f>
        <v>59500</v>
      </c>
      <c r="E2651" s="438">
        <v>1</v>
      </c>
      <c r="F2651" s="439">
        <f t="shared" si="11"/>
        <v>59500</v>
      </c>
      <c r="G2651" s="440"/>
      <c r="H2651" s="448">
        <v>44752</v>
      </c>
    </row>
    <row r="2652" spans="1:8" ht="13.2">
      <c r="A2652" s="454" t="s">
        <v>1660</v>
      </c>
      <c r="B2652" s="452" t="str">
        <f>VLOOKUP(A2652,'Thống kê'!$C$3:$D$669,2,0)</f>
        <v>Móc khóa Popbean Skull Panda</v>
      </c>
      <c r="C2652" s="436" t="str">
        <f>VLOOKUP(A2652,'Thống kê'!$C$3:$E$682,3,0)</f>
        <v>cái</v>
      </c>
      <c r="D2652" s="437">
        <f>VLOOKUP(A2652,'Thống kê'!$C$3:$M$682,4,0)</f>
        <v>155000</v>
      </c>
      <c r="E2652" s="438">
        <v>1</v>
      </c>
      <c r="F2652" s="439">
        <f t="shared" si="11"/>
        <v>155000</v>
      </c>
      <c r="G2652" s="440"/>
      <c r="H2652" s="448">
        <v>116450</v>
      </c>
    </row>
    <row r="2653" spans="1:8" ht="13.2">
      <c r="A2653" s="454" t="s">
        <v>1343</v>
      </c>
      <c r="B2653" s="452" t="str">
        <f>VLOOKUP(A2653,'Thống kê'!$C$3:$D$669,2,0)</f>
        <v>Móc khóa chuối</v>
      </c>
      <c r="C2653" s="436" t="str">
        <f>VLOOKUP(A2653,'Thống kê'!$C$3:$E$682,3,0)</f>
        <v>cái</v>
      </c>
      <c r="D2653" s="437">
        <f>VLOOKUP(A2653,'Thống kê'!$C$3:$M$682,4,0)</f>
        <v>148000</v>
      </c>
      <c r="E2653" s="438">
        <v>1</v>
      </c>
      <c r="F2653" s="439">
        <f t="shared" si="11"/>
        <v>148000</v>
      </c>
      <c r="G2653" s="440"/>
      <c r="H2653" s="448">
        <v>72217</v>
      </c>
    </row>
    <row r="2654" spans="1:8" ht="13.2">
      <c r="A2654" s="454" t="s">
        <v>150</v>
      </c>
      <c r="B2654" s="452" t="str">
        <f>VLOOKUP(A2654,'Thống kê'!$C$3:$D$669,2,0)</f>
        <v>Móc khóa có chuông</v>
      </c>
      <c r="C2654" s="436" t="str">
        <f>VLOOKUP(A2654,'Thống kê'!$C$3:$E$682,3,0)</f>
        <v>cái</v>
      </c>
      <c r="D2654" s="437">
        <f>VLOOKUP(A2654,'Thống kê'!$C$3:$M$682,4,0)</f>
        <v>59000</v>
      </c>
      <c r="E2654" s="438">
        <v>1</v>
      </c>
      <c r="F2654" s="439">
        <f t="shared" si="11"/>
        <v>59000</v>
      </c>
      <c r="G2654" s="440"/>
      <c r="H2654" s="448">
        <v>45060</v>
      </c>
    </row>
    <row r="2655" spans="1:8" ht="13.2">
      <c r="A2655" s="454" t="s">
        <v>150</v>
      </c>
      <c r="B2655" s="452" t="str">
        <f>VLOOKUP(A2655,'Thống kê'!$C$3:$D$669,2,0)</f>
        <v>Móc khóa có chuông</v>
      </c>
      <c r="C2655" s="436" t="str">
        <f>VLOOKUP(A2655,'Thống kê'!$C$3:$E$682,3,0)</f>
        <v>cái</v>
      </c>
      <c r="D2655" s="437">
        <f>VLOOKUP(A2655,'Thống kê'!$C$3:$M$682,4,0)</f>
        <v>59000</v>
      </c>
      <c r="E2655" s="438">
        <v>1</v>
      </c>
      <c r="F2655" s="439">
        <f t="shared" si="11"/>
        <v>59000</v>
      </c>
      <c r="G2655" s="440"/>
      <c r="H2655" s="448">
        <v>45135</v>
      </c>
    </row>
    <row r="2656" spans="1:8" ht="13.2">
      <c r="A2656" s="454" t="s">
        <v>116</v>
      </c>
      <c r="B2656" s="452" t="str">
        <f>VLOOKUP(A2656,'Thống kê'!$C$3:$D$669,2,0)</f>
        <v>heo ú cầm hoa</v>
      </c>
      <c r="C2656" s="436" t="str">
        <f>VLOOKUP(A2656,'Thống kê'!$C$3:$E$682,3,0)</f>
        <v>cái</v>
      </c>
      <c r="D2656" s="437">
        <f>VLOOKUP(A2656,'Thống kê'!$C$3:$M$682,4,0)</f>
        <v>64500</v>
      </c>
      <c r="E2656" s="438">
        <v>1</v>
      </c>
      <c r="F2656" s="439">
        <f t="shared" si="11"/>
        <v>64500</v>
      </c>
      <c r="G2656" s="440"/>
      <c r="H2656" s="448">
        <v>46260</v>
      </c>
    </row>
    <row r="2657" spans="1:8" ht="13.2">
      <c r="A2657" s="454" t="s">
        <v>1591</v>
      </c>
      <c r="B2657" s="452" t="str">
        <f>VLOOKUP(A2657,'Thống kê'!$C$3:$D$669,2,0)</f>
        <v>Thỏ ú</v>
      </c>
      <c r="C2657" s="436" t="str">
        <f>VLOOKUP(A2657,'Thống kê'!$C$3:$E$682,3,0)</f>
        <v>cái</v>
      </c>
      <c r="D2657" s="437">
        <f>VLOOKUP(A2657,'Thống kê'!$C$3:$M$682,4,0)</f>
        <v>59500</v>
      </c>
      <c r="E2657" s="438">
        <v>1</v>
      </c>
      <c r="F2657" s="439">
        <f t="shared" si="11"/>
        <v>59500</v>
      </c>
      <c r="G2657" s="440"/>
      <c r="H2657" s="448">
        <v>44602</v>
      </c>
    </row>
    <row r="2658" spans="1:8" ht="13.2">
      <c r="A2658" s="454" t="s">
        <v>1625</v>
      </c>
      <c r="B2658" s="452" t="str">
        <f>VLOOKUP(A2658,'Thống kê'!$C$3:$D$669,2,0)</f>
        <v>Móc khóa đôi 2 mèo trắng nâu</v>
      </c>
      <c r="C2658" s="436" t="str">
        <f>VLOOKUP(A2658,'Thống kê'!$C$3:$E$682,3,0)</f>
        <v>cái</v>
      </c>
      <c r="D2658" s="437">
        <f>VLOOKUP(A2658,'Thống kê'!$C$3:$M$682,4,0)</f>
        <v>59000</v>
      </c>
      <c r="E2658" s="438">
        <v>1</v>
      </c>
      <c r="F2658" s="439">
        <f t="shared" si="11"/>
        <v>59000</v>
      </c>
      <c r="G2658" s="440"/>
      <c r="H2658" s="448">
        <v>45060</v>
      </c>
    </row>
    <row r="2659" spans="1:8" ht="13.2">
      <c r="A2659" s="454" t="s">
        <v>115</v>
      </c>
      <c r="B2659" s="452" t="str">
        <f>VLOOKUP(A2659,'Thống kê'!$C$3:$D$669,2,0)</f>
        <v>Heo ú</v>
      </c>
      <c r="C2659" s="436" t="str">
        <f>VLOOKUP(A2659,'Thống kê'!$C$3:$E$682,3,0)</f>
        <v>cái</v>
      </c>
      <c r="D2659" s="437">
        <f>VLOOKUP(A2659,'Thống kê'!$C$3:$M$682,4,0)</f>
        <v>59500</v>
      </c>
      <c r="E2659" s="438">
        <v>1</v>
      </c>
      <c r="F2659" s="439">
        <f t="shared" si="11"/>
        <v>59500</v>
      </c>
      <c r="G2659" s="440"/>
      <c r="H2659" s="448">
        <v>44752</v>
      </c>
    </row>
    <row r="2660" spans="1:8" ht="13.2">
      <c r="A2660" s="454" t="s">
        <v>150</v>
      </c>
      <c r="B2660" s="452" t="str">
        <f>VLOOKUP(A2660,'Thống kê'!$C$3:$D$669,2,0)</f>
        <v>Móc khóa có chuông</v>
      </c>
      <c r="C2660" s="436" t="str">
        <f>VLOOKUP(A2660,'Thống kê'!$C$3:$E$682,3,0)</f>
        <v>cái</v>
      </c>
      <c r="D2660" s="437">
        <f>VLOOKUP(A2660,'Thống kê'!$C$3:$M$682,4,0)</f>
        <v>59000</v>
      </c>
      <c r="E2660" s="438">
        <v>1</v>
      </c>
      <c r="F2660" s="439">
        <f t="shared" si="11"/>
        <v>59000</v>
      </c>
      <c r="G2660" s="440"/>
      <c r="H2660" s="448">
        <v>45135</v>
      </c>
    </row>
    <row r="2661" spans="1:8" ht="13.2">
      <c r="A2661" s="454" t="s">
        <v>1790</v>
      </c>
      <c r="B2661" s="452" t="str">
        <f>VLOOKUP(A2661,'Thống kê'!$C$3:$D$669,2,0)</f>
        <v>Hộp thuốc nơ hồng</v>
      </c>
      <c r="C2661" s="436" t="str">
        <f>VLOOKUP(A2661,'Thống kê'!$C$3:$E$682,3,0)</f>
        <v>hộp</v>
      </c>
      <c r="D2661" s="437">
        <f>VLOOKUP(A2661,'Thống kê'!$C$3:$M$682,4,0)</f>
        <v>11000</v>
      </c>
      <c r="E2661" s="438">
        <v>1</v>
      </c>
      <c r="F2661" s="439">
        <f t="shared" si="11"/>
        <v>11000</v>
      </c>
      <c r="G2661" s="440"/>
      <c r="H2661" s="447">
        <v>52058</v>
      </c>
    </row>
    <row r="2662" spans="1:8" ht="13.2">
      <c r="A2662" s="454" t="s">
        <v>1624</v>
      </c>
      <c r="B2662" s="452" t="str">
        <f>VLOOKUP(A2662,'Thống kê'!$C$3:$D$669,2,0)</f>
        <v>Móc khóa mèo trái tim</v>
      </c>
      <c r="C2662" s="436" t="str">
        <f>VLOOKUP(A2662,'Thống kê'!$C$3:$E$682,3,0)</f>
        <v>cái</v>
      </c>
      <c r="D2662" s="437">
        <f>VLOOKUP(A2662,'Thống kê'!$C$3:$M$682,4,0)</f>
        <v>59000</v>
      </c>
      <c r="E2662" s="438">
        <v>1</v>
      </c>
      <c r="F2662" s="439">
        <f t="shared" si="11"/>
        <v>59000</v>
      </c>
      <c r="G2662" s="440"/>
      <c r="H2662" s="446"/>
    </row>
    <row r="2663" spans="1:8" ht="13.2">
      <c r="A2663" s="454" t="s">
        <v>1342</v>
      </c>
      <c r="B2663" s="452" t="str">
        <f>VLOOKUP(A2663,'Thống kê'!$C$3:$D$669,2,0)</f>
        <v>Móc khóa chuối</v>
      </c>
      <c r="C2663" s="436" t="str">
        <f>VLOOKUP(A2663,'Thống kê'!$C$3:$E$682,3,0)</f>
        <v>cái</v>
      </c>
      <c r="D2663" s="437">
        <f>VLOOKUP(A2663,'Thống kê'!$C$3:$M$682,4,0)</f>
        <v>148000</v>
      </c>
      <c r="E2663" s="438">
        <v>1</v>
      </c>
      <c r="F2663" s="439">
        <f t="shared" si="11"/>
        <v>148000</v>
      </c>
      <c r="G2663" s="440"/>
      <c r="H2663" s="448">
        <v>73325</v>
      </c>
    </row>
    <row r="2664" spans="1:8" ht="13.2">
      <c r="A2664" s="454" t="s">
        <v>1624</v>
      </c>
      <c r="B2664" s="452" t="str">
        <f>VLOOKUP(A2664,'Thống kê'!$C$3:$D$669,2,0)</f>
        <v>Móc khóa mèo trái tim</v>
      </c>
      <c r="C2664" s="436" t="str">
        <f>VLOOKUP(A2664,'Thống kê'!$C$3:$E$682,3,0)</f>
        <v>cái</v>
      </c>
      <c r="D2664" s="437">
        <f>VLOOKUP(A2664,'Thống kê'!$C$3:$M$682,4,0)</f>
        <v>59000</v>
      </c>
      <c r="E2664" s="438">
        <v>1</v>
      </c>
      <c r="F2664" s="439">
        <f t="shared" si="11"/>
        <v>59000</v>
      </c>
      <c r="G2664" s="440"/>
      <c r="H2664" s="448">
        <v>44735</v>
      </c>
    </row>
    <row r="2665" spans="1:8" ht="13.2">
      <c r="A2665" s="454" t="s">
        <v>1330</v>
      </c>
      <c r="B2665" s="452" t="str">
        <f>VLOOKUP(A2665,'Thống kê'!$C$3:$D$669,2,0)</f>
        <v>Móc khóa Popbean</v>
      </c>
      <c r="C2665" s="436" t="str">
        <f>VLOOKUP(A2665,'Thống kê'!$C$3:$E$682,3,0)</f>
        <v>cái</v>
      </c>
      <c r="D2665" s="437">
        <f>VLOOKUP(A2665,'Thống kê'!$C$3:$M$682,4,0)</f>
        <v>148000</v>
      </c>
      <c r="E2665" s="438">
        <v>1</v>
      </c>
      <c r="F2665" s="439">
        <f t="shared" si="11"/>
        <v>148000</v>
      </c>
      <c r="G2665" s="440"/>
      <c r="H2665" s="448">
        <v>107950</v>
      </c>
    </row>
    <row r="2666" spans="1:8" ht="13.2">
      <c r="A2666" s="454" t="s">
        <v>115</v>
      </c>
      <c r="B2666" s="452" t="str">
        <f>VLOOKUP(A2666,'Thống kê'!$C$3:$D$669,2,0)</f>
        <v>Heo ú</v>
      </c>
      <c r="C2666" s="436" t="str">
        <f>VLOOKUP(A2666,'Thống kê'!$C$3:$E$682,3,0)</f>
        <v>cái</v>
      </c>
      <c r="D2666" s="437">
        <f>VLOOKUP(A2666,'Thống kê'!$C$3:$M$682,4,0)</f>
        <v>59500</v>
      </c>
      <c r="E2666" s="438">
        <v>1</v>
      </c>
      <c r="F2666" s="439">
        <f t="shared" si="11"/>
        <v>59500</v>
      </c>
      <c r="G2666" s="440"/>
      <c r="H2666" s="448">
        <v>44752</v>
      </c>
    </row>
    <row r="2667" spans="1:8" ht="13.2">
      <c r="A2667" s="454" t="s">
        <v>246</v>
      </c>
      <c r="B2667" s="452" t="str">
        <f>VLOOKUP(A2667,'Thống kê'!$C$3:$D$669,2,0)</f>
        <v>Móc khóa Popbean</v>
      </c>
      <c r="C2667" s="436" t="str">
        <f>VLOOKUP(A2667,'Thống kê'!$C$3:$E$682,3,0)</f>
        <v>cái</v>
      </c>
      <c r="D2667" s="437">
        <f>VLOOKUP(A2667,'Thống kê'!$C$3:$M$682,4,0)</f>
        <v>148000</v>
      </c>
      <c r="E2667" s="438">
        <v>1</v>
      </c>
      <c r="F2667" s="439">
        <f t="shared" si="11"/>
        <v>148000</v>
      </c>
      <c r="G2667" s="440"/>
      <c r="H2667" s="447">
        <v>318750</v>
      </c>
    </row>
    <row r="2668" spans="1:8" ht="13.2">
      <c r="A2668" s="454" t="s">
        <v>1652</v>
      </c>
      <c r="B2668" s="452" t="str">
        <f>VLOOKUP(A2668,'Thống kê'!$C$3:$D$669,2,0)</f>
        <v>Móc khóa Popbean Hacipupu</v>
      </c>
      <c r="C2668" s="436" t="str">
        <f>VLOOKUP(A2668,'Thống kê'!$C$3:$E$682,3,0)</f>
        <v>cái</v>
      </c>
      <c r="D2668" s="437">
        <f>VLOOKUP(A2668,'Thống kê'!$C$3:$M$682,4,0)</f>
        <v>155000</v>
      </c>
      <c r="E2668" s="438">
        <v>1</v>
      </c>
      <c r="F2668" s="439">
        <f t="shared" si="11"/>
        <v>155000</v>
      </c>
      <c r="G2668" s="440"/>
      <c r="H2668" s="450"/>
    </row>
    <row r="2669" spans="1:8" ht="13.2">
      <c r="A2669" s="454" t="s">
        <v>1662</v>
      </c>
      <c r="B2669" s="452" t="str">
        <f>VLOOKUP(A2669,'Thống kê'!$C$3:$D$669,2,0)</f>
        <v>Móc khóa Popbean Cry Baby</v>
      </c>
      <c r="C2669" s="436" t="str">
        <f>VLOOKUP(A2669,'Thống kê'!$C$3:$E$682,3,0)</f>
        <v>cái</v>
      </c>
      <c r="D2669" s="437">
        <f>VLOOKUP(A2669,'Thống kê'!$C$3:$M$682,4,0)</f>
        <v>148000</v>
      </c>
      <c r="E2669" s="438">
        <v>1</v>
      </c>
      <c r="F2669" s="439">
        <f t="shared" si="11"/>
        <v>148000</v>
      </c>
      <c r="G2669" s="440"/>
      <c r="H2669" s="450"/>
    </row>
    <row r="2670" spans="1:8" ht="13.2">
      <c r="A2670" s="454" t="s">
        <v>1624</v>
      </c>
      <c r="B2670" s="452" t="str">
        <f>VLOOKUP(A2670,'Thống kê'!$C$3:$D$669,2,0)</f>
        <v>Móc khóa mèo trái tim</v>
      </c>
      <c r="C2670" s="436" t="str">
        <f>VLOOKUP(A2670,'Thống kê'!$C$3:$E$682,3,0)</f>
        <v>cái</v>
      </c>
      <c r="D2670" s="437">
        <f>VLOOKUP(A2670,'Thống kê'!$C$3:$M$682,4,0)</f>
        <v>59000</v>
      </c>
      <c r="E2670" s="438">
        <v>1</v>
      </c>
      <c r="F2670" s="439">
        <f t="shared" si="11"/>
        <v>59000</v>
      </c>
      <c r="G2670" s="440"/>
      <c r="H2670" s="448">
        <v>45060</v>
      </c>
    </row>
    <row r="2671" spans="1:8" ht="13.2">
      <c r="A2671" s="454" t="s">
        <v>1649</v>
      </c>
      <c r="B2671" s="452" t="str">
        <f>VLOOKUP(A2671,'Thống kê'!$C$3:$D$669,2,0)</f>
        <v>Túi chườm bụng trái bơ 1000ml</v>
      </c>
      <c r="C2671" s="436" t="str">
        <f>VLOOKUP(A2671,'Thống kê'!$C$3:$E$682,3,0)</f>
        <v>túi</v>
      </c>
      <c r="D2671" s="437">
        <f>VLOOKUP(A2671,'Thống kê'!$C$3:$M$682,4,0)</f>
        <v>101150</v>
      </c>
      <c r="E2671" s="438">
        <v>1</v>
      </c>
      <c r="F2671" s="439">
        <f t="shared" si="11"/>
        <v>101150</v>
      </c>
      <c r="G2671" s="440"/>
      <c r="H2671" s="448">
        <v>100000</v>
      </c>
    </row>
    <row r="2672" spans="1:8" ht="13.2">
      <c r="A2672" s="454" t="s">
        <v>150</v>
      </c>
      <c r="B2672" s="452" t="str">
        <f>VLOOKUP(A2672,'Thống kê'!$C$3:$D$669,2,0)</f>
        <v>Móc khóa có chuông</v>
      </c>
      <c r="C2672" s="436" t="str">
        <f>VLOOKUP(A2672,'Thống kê'!$C$3:$E$682,3,0)</f>
        <v>cái</v>
      </c>
      <c r="D2672" s="437">
        <f>VLOOKUP(A2672,'Thống kê'!$C$3:$M$682,4,0)</f>
        <v>59000</v>
      </c>
      <c r="E2672" s="438">
        <v>1</v>
      </c>
      <c r="F2672" s="439">
        <f t="shared" si="11"/>
        <v>59000</v>
      </c>
      <c r="G2672" s="440"/>
      <c r="H2672" s="448">
        <v>45135</v>
      </c>
    </row>
    <row r="2673" spans="1:8" ht="13.2">
      <c r="A2673" s="454" t="s">
        <v>1591</v>
      </c>
      <c r="B2673" s="452" t="str">
        <f>VLOOKUP(A2673,'Thống kê'!$C$3:$D$669,2,0)</f>
        <v>Thỏ ú</v>
      </c>
      <c r="C2673" s="436" t="str">
        <f>VLOOKUP(A2673,'Thống kê'!$C$3:$E$682,3,0)</f>
        <v>cái</v>
      </c>
      <c r="D2673" s="437">
        <f>VLOOKUP(A2673,'Thống kê'!$C$3:$M$682,4,0)</f>
        <v>59500</v>
      </c>
      <c r="E2673" s="438">
        <v>1</v>
      </c>
      <c r="F2673" s="439">
        <f t="shared" si="11"/>
        <v>59500</v>
      </c>
      <c r="G2673" s="440"/>
      <c r="H2673" s="448">
        <v>44102</v>
      </c>
    </row>
    <row r="2674" spans="1:8" ht="13.2">
      <c r="A2674" s="454" t="s">
        <v>1848</v>
      </c>
      <c r="B2674" s="452" t="str">
        <f>VLOOKUP(A2674,'Thống kê'!$C$3:$D$669,2,0)</f>
        <v>Trâm cài 02</v>
      </c>
      <c r="C2674" s="436" t="str">
        <f>VLOOKUP(A2674,'Thống kê'!$C$3:$E$682,3,0)</f>
        <v>cây</v>
      </c>
      <c r="D2674" s="437">
        <f>VLOOKUP(A2674,'Thống kê'!$C$3:$M$682,4,0)</f>
        <v>30360</v>
      </c>
      <c r="E2674" s="438">
        <v>1</v>
      </c>
      <c r="F2674" s="439">
        <f t="shared" si="11"/>
        <v>30360</v>
      </c>
      <c r="G2674" s="440"/>
      <c r="H2674" s="448">
        <v>22878</v>
      </c>
    </row>
    <row r="2675" spans="1:8" ht="13.2">
      <c r="A2675" s="454" t="s">
        <v>1624</v>
      </c>
      <c r="B2675" s="452" t="str">
        <f>VLOOKUP(A2675,'Thống kê'!$C$3:$D$669,2,0)</f>
        <v>Móc khóa mèo trái tim</v>
      </c>
      <c r="C2675" s="436" t="str">
        <f>VLOOKUP(A2675,'Thống kê'!$C$3:$E$682,3,0)</f>
        <v>cái</v>
      </c>
      <c r="D2675" s="437">
        <f>VLOOKUP(A2675,'Thống kê'!$C$3:$M$682,4,0)</f>
        <v>59000</v>
      </c>
      <c r="E2675" s="438">
        <v>1</v>
      </c>
      <c r="F2675" s="439">
        <f t="shared" si="11"/>
        <v>59000</v>
      </c>
      <c r="G2675" s="440"/>
      <c r="H2675" s="448">
        <v>44735</v>
      </c>
    </row>
    <row r="2676" spans="1:8" ht="13.2">
      <c r="A2676" s="454" t="s">
        <v>150</v>
      </c>
      <c r="B2676" s="452" t="str">
        <f>VLOOKUP(A2676,'Thống kê'!$C$3:$D$669,2,0)</f>
        <v>Móc khóa có chuông</v>
      </c>
      <c r="C2676" s="436" t="str">
        <f>VLOOKUP(A2676,'Thống kê'!$C$3:$E$682,3,0)</f>
        <v>cái</v>
      </c>
      <c r="D2676" s="437">
        <f>VLOOKUP(A2676,'Thống kê'!$C$3:$M$682,4,0)</f>
        <v>59000</v>
      </c>
      <c r="E2676" s="438">
        <v>1</v>
      </c>
      <c r="F2676" s="439">
        <f t="shared" si="11"/>
        <v>59000</v>
      </c>
      <c r="G2676" s="440"/>
      <c r="H2676" s="448">
        <v>45135</v>
      </c>
    </row>
    <row r="2677" spans="1:8" ht="13.2">
      <c r="A2677" s="454" t="s">
        <v>150</v>
      </c>
      <c r="B2677" s="452" t="str">
        <f>VLOOKUP(A2677,'Thống kê'!$C$3:$D$669,2,0)</f>
        <v>Móc khóa có chuông</v>
      </c>
      <c r="C2677" s="436" t="str">
        <f>VLOOKUP(A2677,'Thống kê'!$C$3:$E$682,3,0)</f>
        <v>cái</v>
      </c>
      <c r="D2677" s="437">
        <f>VLOOKUP(A2677,'Thống kê'!$C$3:$M$682,4,0)</f>
        <v>59000</v>
      </c>
      <c r="E2677" s="438">
        <v>1</v>
      </c>
      <c r="F2677" s="439">
        <f t="shared" si="11"/>
        <v>59000</v>
      </c>
      <c r="G2677" s="440"/>
      <c r="H2677" s="448">
        <v>45135</v>
      </c>
    </row>
    <row r="2678" spans="1:8" ht="13.2">
      <c r="A2678" s="454" t="s">
        <v>1333</v>
      </c>
      <c r="B2678" s="452" t="str">
        <f>VLOOKUP(A2678,'Thống kê'!$C$3:$D$669,2,0)</f>
        <v>Móc khóa Popbean</v>
      </c>
      <c r="C2678" s="436" t="str">
        <f>VLOOKUP(A2678,'Thống kê'!$C$3:$E$682,3,0)</f>
        <v>cái</v>
      </c>
      <c r="D2678" s="437">
        <f>VLOOKUP(A2678,'Thống kê'!$C$3:$M$682,4,0)</f>
        <v>148000</v>
      </c>
      <c r="E2678" s="438">
        <v>1</v>
      </c>
      <c r="F2678" s="439">
        <f t="shared" si="11"/>
        <v>148000</v>
      </c>
      <c r="G2678" s="440"/>
      <c r="H2678" s="448">
        <v>101350</v>
      </c>
    </row>
    <row r="2679" spans="1:8" ht="13.2">
      <c r="A2679" s="454" t="s">
        <v>181</v>
      </c>
      <c r="B2679" s="452" t="str">
        <f>VLOOKUP(A2679,'Thống kê'!$C$3:$D$669,2,0)</f>
        <v>Thỏ mặt trăng gắn xe</v>
      </c>
      <c r="C2679" s="436" t="str">
        <f>VLOOKUP(A2679,'Thống kê'!$C$3:$E$682,3,0)</f>
        <v>cái</v>
      </c>
      <c r="D2679" s="437">
        <f>VLOOKUP(A2679,'Thống kê'!$C$3:$M$682,4,0)</f>
        <v>45000</v>
      </c>
      <c r="E2679" s="438">
        <v>1</v>
      </c>
      <c r="F2679" s="439">
        <f t="shared" si="11"/>
        <v>45000</v>
      </c>
      <c r="G2679" s="440"/>
      <c r="H2679" s="447">
        <v>63575</v>
      </c>
    </row>
    <row r="2680" spans="1:8" ht="13.2">
      <c r="A2680" s="454" t="s">
        <v>119</v>
      </c>
      <c r="B2680" s="452" t="str">
        <f>VLOOKUP(A2680,'Thống kê'!$C$3:$D$669,2,0)</f>
        <v>Thỏ chạy xe gắn xe</v>
      </c>
      <c r="C2680" s="436" t="str">
        <f>VLOOKUP(A2680,'Thống kê'!$C$3:$E$682,3,0)</f>
        <v>cái</v>
      </c>
      <c r="D2680" s="437">
        <f>VLOOKUP(A2680,'Thống kê'!$C$3:$M$682,4,0)</f>
        <v>45000</v>
      </c>
      <c r="E2680" s="438">
        <v>1</v>
      </c>
      <c r="F2680" s="439">
        <f t="shared" si="11"/>
        <v>45000</v>
      </c>
      <c r="G2680" s="440"/>
      <c r="H2680" s="446"/>
    </row>
    <row r="2681" spans="1:8" ht="13.2">
      <c r="A2681" s="454" t="s">
        <v>162</v>
      </c>
      <c r="B2681" s="452" t="str">
        <f>VLOOKUP(A2681,'Thống kê'!$C$3:$D$669,2,0)</f>
        <v>Móc khoá cún Donut</v>
      </c>
      <c r="C2681" s="436" t="str">
        <f>VLOOKUP(A2681,'Thống kê'!$C$3:$E$682,3,0)</f>
        <v>cái</v>
      </c>
      <c r="D2681" s="437">
        <f>VLOOKUP(A2681,'Thống kê'!$C$3:$M$682,4,0)</f>
        <v>38000</v>
      </c>
      <c r="E2681" s="438">
        <v>1</v>
      </c>
      <c r="F2681" s="439">
        <f t="shared" si="11"/>
        <v>38000</v>
      </c>
      <c r="G2681" s="440"/>
      <c r="H2681" s="447">
        <v>55033</v>
      </c>
    </row>
    <row r="2682" spans="1:8" ht="13.2">
      <c r="A2682" s="454" t="s">
        <v>1806</v>
      </c>
      <c r="B2682" s="452" t="str">
        <f>VLOOKUP(A2682,'Thống kê'!$C$3:$D$669,2,0)</f>
        <v>Móc khoá cún Đầu táo</v>
      </c>
      <c r="C2682" s="436" t="str">
        <f>VLOOKUP(A2682,'Thống kê'!$C$3:$E$682,3,0)</f>
        <v>cái</v>
      </c>
      <c r="D2682" s="437">
        <f>VLOOKUP(A2682,'Thống kê'!$C$3:$M$682,4,0)</f>
        <v>38000</v>
      </c>
      <c r="E2682" s="438">
        <v>1</v>
      </c>
      <c r="F2682" s="439">
        <f t="shared" si="11"/>
        <v>38000</v>
      </c>
      <c r="G2682" s="440"/>
      <c r="H2682" s="446"/>
    </row>
    <row r="2683" spans="1:8" ht="13.2">
      <c r="A2683" s="454" t="s">
        <v>1363</v>
      </c>
      <c r="B2683" s="452" t="str">
        <f>VLOOKUP(A2683,'Thống kê'!$C$3:$D$669,2,0)</f>
        <v>Móc khóa Popbean</v>
      </c>
      <c r="C2683" s="436" t="str">
        <f>VLOOKUP(A2683,'Thống kê'!$C$3:$E$682,3,0)</f>
        <v>cái</v>
      </c>
      <c r="D2683" s="437">
        <f>VLOOKUP(A2683,'Thống kê'!$C$3:$M$682,4,0)</f>
        <v>148000</v>
      </c>
      <c r="E2683" s="438">
        <v>1</v>
      </c>
      <c r="F2683" s="439">
        <f t="shared" si="11"/>
        <v>148000</v>
      </c>
      <c r="G2683" s="440"/>
      <c r="H2683" s="448">
        <v>130000</v>
      </c>
    </row>
    <row r="2684" spans="1:8" ht="13.2">
      <c r="A2684" s="454" t="s">
        <v>1337</v>
      </c>
      <c r="B2684" s="452" t="str">
        <f>VLOOKUP(A2684,'Thống kê'!$C$3:$D$669,2,0)</f>
        <v>Móc khóa chuối</v>
      </c>
      <c r="C2684" s="436" t="str">
        <f>VLOOKUP(A2684,'Thống kê'!$C$3:$E$682,3,0)</f>
        <v>cái</v>
      </c>
      <c r="D2684" s="437">
        <f>VLOOKUP(A2684,'Thống kê'!$C$3:$M$682,4,0)</f>
        <v>148000</v>
      </c>
      <c r="E2684" s="438">
        <v>1</v>
      </c>
      <c r="F2684" s="439">
        <f t="shared" si="11"/>
        <v>148000</v>
      </c>
      <c r="G2684" s="440"/>
      <c r="H2684" s="447">
        <v>325762</v>
      </c>
    </row>
    <row r="2685" spans="1:8" ht="13.2">
      <c r="A2685" s="454" t="s">
        <v>1340</v>
      </c>
      <c r="B2685" s="452" t="str">
        <f>VLOOKUP(A2685,'Thống kê'!$C$3:$D$669,2,0)</f>
        <v>Móc khóa chuối</v>
      </c>
      <c r="C2685" s="436" t="str">
        <f>VLOOKUP(A2685,'Thống kê'!$C$3:$E$682,3,0)</f>
        <v>cái</v>
      </c>
      <c r="D2685" s="437">
        <f>VLOOKUP(A2685,'Thống kê'!$C$3:$M$682,4,0)</f>
        <v>148000</v>
      </c>
      <c r="E2685" s="438">
        <v>1</v>
      </c>
      <c r="F2685" s="439">
        <f t="shared" si="11"/>
        <v>148000</v>
      </c>
      <c r="G2685" s="440"/>
      <c r="H2685" s="446"/>
    </row>
    <row r="2686" spans="1:8" ht="13.2">
      <c r="A2686" s="454" t="s">
        <v>1661</v>
      </c>
      <c r="B2686" s="452" t="str">
        <f>VLOOKUP(A2686,'Thống kê'!$C$3:$D$669,2,0)</f>
        <v>Móc khóa Popbean Kubo</v>
      </c>
      <c r="C2686" s="436" t="str">
        <f>VLOOKUP(A2686,'Thống kê'!$C$3:$E$682,3,0)</f>
        <v>cái</v>
      </c>
      <c r="D2686" s="437">
        <f>VLOOKUP(A2686,'Thống kê'!$C$3:$M$682,4,0)</f>
        <v>148000</v>
      </c>
      <c r="E2686" s="438">
        <v>1</v>
      </c>
      <c r="F2686" s="439">
        <f t="shared" si="11"/>
        <v>148000</v>
      </c>
      <c r="G2686" s="440"/>
      <c r="H2686" s="446"/>
    </row>
    <row r="2687" spans="1:8" ht="13.2">
      <c r="A2687" s="454" t="s">
        <v>1343</v>
      </c>
      <c r="B2687" s="452" t="str">
        <f>VLOOKUP(A2687,'Thống kê'!$C$3:$D$669,2,0)</f>
        <v>Móc khóa chuối</v>
      </c>
      <c r="C2687" s="436" t="str">
        <f>VLOOKUP(A2687,'Thống kê'!$C$3:$E$682,3,0)</f>
        <v>cái</v>
      </c>
      <c r="D2687" s="437">
        <f>VLOOKUP(A2687,'Thống kê'!$C$3:$M$682,4,0)</f>
        <v>148000</v>
      </c>
      <c r="E2687" s="438">
        <v>1</v>
      </c>
      <c r="F2687" s="439">
        <f t="shared" si="11"/>
        <v>148000</v>
      </c>
      <c r="G2687" s="440"/>
      <c r="H2687" s="446"/>
    </row>
    <row r="2688" spans="1:8" ht="13.2">
      <c r="A2688" s="454" t="s">
        <v>1624</v>
      </c>
      <c r="B2688" s="452" t="str">
        <f>VLOOKUP(A2688,'Thống kê'!$C$3:$D$669,2,0)</f>
        <v>Móc khóa mèo trái tim</v>
      </c>
      <c r="C2688" s="436" t="str">
        <f>VLOOKUP(A2688,'Thống kê'!$C$3:$E$682,3,0)</f>
        <v>cái</v>
      </c>
      <c r="D2688" s="437">
        <f>VLOOKUP(A2688,'Thống kê'!$C$3:$M$682,4,0)</f>
        <v>59000</v>
      </c>
      <c r="E2688" s="438">
        <v>1</v>
      </c>
      <c r="F2688" s="439">
        <f t="shared" si="11"/>
        <v>59000</v>
      </c>
      <c r="G2688" s="440"/>
      <c r="H2688" s="448">
        <v>45135</v>
      </c>
    </row>
    <row r="2689" spans="1:8" ht="13.2">
      <c r="A2689" s="454" t="s">
        <v>150</v>
      </c>
      <c r="B2689" s="452" t="str">
        <f>VLOOKUP(A2689,'Thống kê'!$C$3:$D$669,2,0)</f>
        <v>Móc khóa có chuông</v>
      </c>
      <c r="C2689" s="436" t="str">
        <f>VLOOKUP(A2689,'Thống kê'!$C$3:$E$682,3,0)</f>
        <v>cái</v>
      </c>
      <c r="D2689" s="437">
        <f>VLOOKUP(A2689,'Thống kê'!$C$3:$M$682,4,0)</f>
        <v>59000</v>
      </c>
      <c r="E2689" s="438">
        <v>1</v>
      </c>
      <c r="F2689" s="439">
        <f t="shared" si="11"/>
        <v>59000</v>
      </c>
      <c r="G2689" s="440"/>
      <c r="H2689" s="448">
        <v>44510</v>
      </c>
    </row>
    <row r="2690" spans="1:8" ht="13.2">
      <c r="A2690" s="454" t="s">
        <v>1591</v>
      </c>
      <c r="B2690" s="452" t="str">
        <f>VLOOKUP(A2690,'Thống kê'!$C$3:$D$669,2,0)</f>
        <v>Thỏ ú</v>
      </c>
      <c r="C2690" s="436" t="str">
        <f>VLOOKUP(A2690,'Thống kê'!$C$3:$E$682,3,0)</f>
        <v>cái</v>
      </c>
      <c r="D2690" s="437">
        <f>VLOOKUP(A2690,'Thống kê'!$C$3:$M$682,4,0)</f>
        <v>59500</v>
      </c>
      <c r="E2690" s="438">
        <v>2</v>
      </c>
      <c r="F2690" s="439">
        <f t="shared" si="11"/>
        <v>119000</v>
      </c>
      <c r="G2690" s="440"/>
      <c r="H2690" s="448">
        <v>90950</v>
      </c>
    </row>
    <row r="2691" spans="1:8" ht="13.2">
      <c r="A2691" s="454" t="s">
        <v>1650</v>
      </c>
      <c r="B2691" s="452" t="str">
        <f>VLOOKUP(A2691,'Thống kê'!$C$3:$D$669,2,0)</f>
        <v>Túi chườm bụng dâu (xanh) 1000ml</v>
      </c>
      <c r="C2691" s="436" t="str">
        <f>VLOOKUP(A2691,'Thống kê'!$C$3:$E$682,3,0)</f>
        <v>túi</v>
      </c>
      <c r="D2691" s="437">
        <f>VLOOKUP(A2691,'Thống kê'!$C$3:$M$682,4,0)</f>
        <v>101150</v>
      </c>
      <c r="E2691" s="438">
        <v>1</v>
      </c>
      <c r="F2691" s="439">
        <f t="shared" si="11"/>
        <v>101150</v>
      </c>
      <c r="G2691" s="440"/>
      <c r="H2691" s="447">
        <v>279174</v>
      </c>
    </row>
    <row r="2692" spans="1:8" ht="13.2">
      <c r="A2692" s="454" t="s">
        <v>1643</v>
      </c>
      <c r="B2692" s="452" t="str">
        <f>VLOOKUP(A2692,'Thống kê'!$C$3:$D$669,2,0)</f>
        <v>Túi chườm bụng dâu (hồng đất) 1000ml</v>
      </c>
      <c r="C2692" s="436" t="str">
        <f>VLOOKUP(A2692,'Thống kê'!$C$3:$E$682,3,0)</f>
        <v>túi</v>
      </c>
      <c r="D2692" s="437">
        <f>VLOOKUP(A2692,'Thống kê'!$C$3:$M$682,4,0)</f>
        <v>101150</v>
      </c>
      <c r="E2692" s="438">
        <v>2</v>
      </c>
      <c r="F2692" s="439">
        <f t="shared" si="11"/>
        <v>202300</v>
      </c>
      <c r="G2692" s="440"/>
      <c r="H2692" s="446"/>
    </row>
    <row r="2693" spans="1:8" ht="13.2">
      <c r="A2693" s="454" t="s">
        <v>186</v>
      </c>
      <c r="B2693" s="452" t="str">
        <f>VLOOKUP(A2693,'Thống kê'!$C$3:$D$669,2,0)</f>
        <v>Thỏ ú bay</v>
      </c>
      <c r="C2693" s="436" t="str">
        <f>VLOOKUP(A2693,'Thống kê'!$C$3:$E$682,3,0)</f>
        <v>cái</v>
      </c>
      <c r="D2693" s="437">
        <f>VLOOKUP(A2693,'Thống kê'!$C$3:$M$682,4,0)</f>
        <v>64500</v>
      </c>
      <c r="E2693" s="438">
        <v>1</v>
      </c>
      <c r="F2693" s="439">
        <f t="shared" si="11"/>
        <v>64500</v>
      </c>
      <c r="G2693" s="440"/>
      <c r="H2693" s="448">
        <v>44402</v>
      </c>
    </row>
    <row r="2694" spans="1:8" ht="13.2">
      <c r="A2694" s="454" t="s">
        <v>1782</v>
      </c>
      <c r="B2694" s="452" t="str">
        <f>VLOOKUP(A2694,'Thống kê'!$C$3:$D$669,2,0)</f>
        <v>Mèo xám treo gương</v>
      </c>
      <c r="C2694" s="436" t="str">
        <f>VLOOKUP(A2694,'Thống kê'!$C$3:$E$682,3,0)</f>
        <v>cái</v>
      </c>
      <c r="D2694" s="437">
        <f>VLOOKUP(A2694,'Thống kê'!$C$3:$M$682,4,0)</f>
        <v>71500</v>
      </c>
      <c r="E2694" s="438">
        <v>1</v>
      </c>
      <c r="F2694" s="439">
        <f t="shared" si="11"/>
        <v>71500</v>
      </c>
      <c r="G2694" s="440"/>
      <c r="H2694" s="447">
        <v>100895</v>
      </c>
    </row>
    <row r="2695" spans="1:8" ht="13.2">
      <c r="A2695" s="454" t="s">
        <v>1854</v>
      </c>
      <c r="B2695" s="452" t="str">
        <f>VLOOKUP(A2695,'Thống kê'!$C$3:$D$669,2,0)</f>
        <v>Mèo vàng treo gương</v>
      </c>
      <c r="C2695" s="436" t="str">
        <f>VLOOKUP(A2695,'Thống kê'!$C$3:$E$682,3,0)</f>
        <v>cái</v>
      </c>
      <c r="D2695" s="437">
        <f>VLOOKUP(A2695,'Thống kê'!$C$3:$M$682,4,0)</f>
        <v>71500</v>
      </c>
      <c r="E2695" s="438">
        <v>1</v>
      </c>
      <c r="F2695" s="439">
        <f t="shared" si="11"/>
        <v>71500</v>
      </c>
      <c r="G2695" s="440"/>
      <c r="H2695" s="446"/>
    </row>
    <row r="2696" spans="1:8" ht="13.2">
      <c r="A2696" s="454" t="s">
        <v>115</v>
      </c>
      <c r="B2696" s="452" t="str">
        <f>VLOOKUP(A2696,'Thống kê'!$C$3:$D$669,2,0)</f>
        <v>Heo ú</v>
      </c>
      <c r="C2696" s="436" t="str">
        <f>VLOOKUP(A2696,'Thống kê'!$C$3:$E$682,3,0)</f>
        <v>cái</v>
      </c>
      <c r="D2696" s="437">
        <f>VLOOKUP(A2696,'Thống kê'!$C$3:$M$682,4,0)</f>
        <v>59500</v>
      </c>
      <c r="E2696" s="438">
        <v>1</v>
      </c>
      <c r="F2696" s="439">
        <f t="shared" si="11"/>
        <v>59500</v>
      </c>
      <c r="G2696" s="440"/>
      <c r="H2696" s="447">
        <v>92475</v>
      </c>
    </row>
    <row r="2697" spans="1:8" ht="13.2">
      <c r="A2697" s="454" t="s">
        <v>1589</v>
      </c>
      <c r="B2697" s="452" t="str">
        <f>VLOOKUP(A2697,'Thống kê'!$C$3:$D$669,2,0)</f>
        <v>Heo ú bay</v>
      </c>
      <c r="C2697" s="436" t="str">
        <f>VLOOKUP(A2697,'Thống kê'!$C$3:$E$682,3,0)</f>
        <v>cái</v>
      </c>
      <c r="D2697" s="437">
        <f>VLOOKUP(A2697,'Thống kê'!$C$3:$M$682,4,0)</f>
        <v>64500</v>
      </c>
      <c r="E2697" s="438">
        <v>1</v>
      </c>
      <c r="F2697" s="439">
        <f t="shared" si="11"/>
        <v>64500</v>
      </c>
      <c r="G2697" s="440"/>
      <c r="H2697" s="446"/>
    </row>
    <row r="2698" spans="1:8" ht="13.2">
      <c r="A2698" s="454" t="s">
        <v>1363</v>
      </c>
      <c r="B2698" s="452" t="str">
        <f>VLOOKUP(A2698,'Thống kê'!$C$3:$D$669,2,0)</f>
        <v>Móc khóa Popbean</v>
      </c>
      <c r="C2698" s="436" t="str">
        <f>VLOOKUP(A2698,'Thống kê'!$C$3:$E$682,3,0)</f>
        <v>cái</v>
      </c>
      <c r="D2698" s="437">
        <f>VLOOKUP(A2698,'Thống kê'!$C$3:$M$682,4,0)</f>
        <v>148000</v>
      </c>
      <c r="E2698" s="438">
        <v>1</v>
      </c>
      <c r="F2698" s="439">
        <f t="shared" si="11"/>
        <v>148000</v>
      </c>
      <c r="G2698" s="440"/>
      <c r="H2698" s="448">
        <v>116450</v>
      </c>
    </row>
    <row r="2699" spans="1:8" ht="13.2">
      <c r="A2699" s="454" t="s">
        <v>143</v>
      </c>
      <c r="B2699" s="452" t="str">
        <f>VLOOKUP(A2699,'Thống kê'!$C$3:$D$669,2,0)</f>
        <v>Mèo ú</v>
      </c>
      <c r="C2699" s="436" t="str">
        <f>VLOOKUP(A2699,'Thống kê'!$C$3:$E$682,3,0)</f>
        <v>cái</v>
      </c>
      <c r="D2699" s="437">
        <f>VLOOKUP(A2699,'Thống kê'!$C$3:$M$682,4,0)</f>
        <v>59500</v>
      </c>
      <c r="E2699" s="438">
        <v>1</v>
      </c>
      <c r="F2699" s="439">
        <f t="shared" si="11"/>
        <v>59500</v>
      </c>
      <c r="G2699" s="440"/>
      <c r="H2699" s="447">
        <v>90950</v>
      </c>
    </row>
    <row r="2700" spans="1:8" ht="13.2">
      <c r="A2700" s="454" t="s">
        <v>115</v>
      </c>
      <c r="B2700" s="452" t="str">
        <f>VLOOKUP(A2700,'Thống kê'!$C$3:$D$669,2,0)</f>
        <v>Heo ú</v>
      </c>
      <c r="C2700" s="436" t="str">
        <f>VLOOKUP(A2700,'Thống kê'!$C$3:$E$682,3,0)</f>
        <v>cái</v>
      </c>
      <c r="D2700" s="437">
        <f>VLOOKUP(A2700,'Thống kê'!$C$3:$M$682,4,0)</f>
        <v>59500</v>
      </c>
      <c r="E2700" s="438">
        <v>1</v>
      </c>
      <c r="F2700" s="439">
        <f t="shared" si="11"/>
        <v>59500</v>
      </c>
      <c r="G2700" s="440"/>
      <c r="H2700" s="446"/>
    </row>
    <row r="2701" spans="1:8" ht="13.2">
      <c r="A2701" s="454" t="s">
        <v>1334</v>
      </c>
      <c r="B2701" s="452" t="str">
        <f>VLOOKUP(A2701,'Thống kê'!$C$3:$D$669,2,0)</f>
        <v>Móc khóa Popbean</v>
      </c>
      <c r="C2701" s="436" t="str">
        <f>VLOOKUP(A2701,'Thống kê'!$C$3:$E$682,3,0)</f>
        <v>cái</v>
      </c>
      <c r="D2701" s="437">
        <f>VLOOKUP(A2701,'Thống kê'!$C$3:$M$682,4,0)</f>
        <v>148000</v>
      </c>
      <c r="E2701" s="438">
        <v>1</v>
      </c>
      <c r="F2701" s="439">
        <f t="shared" si="11"/>
        <v>148000</v>
      </c>
      <c r="G2701" s="440"/>
      <c r="H2701" s="447">
        <v>211140</v>
      </c>
    </row>
    <row r="2702" spans="1:8" ht="13.2">
      <c r="A2702" s="454" t="s">
        <v>1656</v>
      </c>
      <c r="B2702" s="452" t="str">
        <f>VLOOKUP(A2702,'Thống kê'!$C$3:$D$669,2,0)</f>
        <v>Móc khóa Popbean Dimoo</v>
      </c>
      <c r="C2702" s="436" t="str">
        <f>VLOOKUP(A2702,'Thống kê'!$C$3:$E$682,3,0)</f>
        <v>cái</v>
      </c>
      <c r="D2702" s="437">
        <f>VLOOKUP(A2702,'Thống kê'!$C$3:$M$682,4,0)</f>
        <v>155000</v>
      </c>
      <c r="E2702" s="438">
        <v>1</v>
      </c>
      <c r="F2702" s="439">
        <f t="shared" si="11"/>
        <v>155000</v>
      </c>
      <c r="G2702" s="440"/>
      <c r="H2702" s="446"/>
    </row>
    <row r="2703" spans="1:8" ht="13.2">
      <c r="A2703" s="454" t="s">
        <v>1594</v>
      </c>
      <c r="B2703" s="452" t="str">
        <f>VLOOKUP(A2703,'Thống kê'!$C$3:$D$669,2,0)</f>
        <v>Móc khóa đôi heo</v>
      </c>
      <c r="C2703" s="436" t="str">
        <f>VLOOKUP(A2703,'Thống kê'!$C$3:$E$682,3,0)</f>
        <v>cái</v>
      </c>
      <c r="D2703" s="437">
        <f>VLOOKUP(A2703,'Thống kê'!$C$3:$M$682,4,0)</f>
        <v>56580</v>
      </c>
      <c r="E2703" s="438">
        <v>1</v>
      </c>
      <c r="F2703" s="439">
        <f t="shared" si="11"/>
        <v>56580</v>
      </c>
      <c r="G2703" s="440"/>
      <c r="H2703" s="448">
        <v>43209</v>
      </c>
    </row>
    <row r="2704" spans="1:8" ht="13.2">
      <c r="A2704" s="454" t="s">
        <v>1586</v>
      </c>
      <c r="B2704" s="452" t="str">
        <f>VLOOKUP(A2704,'Thống kê'!$C$3:$D$669,2,0)</f>
        <v>Thỏ ú hoa</v>
      </c>
      <c r="C2704" s="436" t="str">
        <f>VLOOKUP(A2704,'Thống kê'!$C$3:$E$682,3,0)</f>
        <v>cái</v>
      </c>
      <c r="D2704" s="437">
        <f>VLOOKUP(A2704,'Thống kê'!$C$3:$M$682,4,0)</f>
        <v>64500</v>
      </c>
      <c r="E2704" s="438">
        <v>1</v>
      </c>
      <c r="F2704" s="439">
        <f t="shared" si="11"/>
        <v>64500</v>
      </c>
      <c r="G2704" s="440"/>
      <c r="H2704" s="448">
        <v>44402</v>
      </c>
    </row>
    <row r="2705" spans="1:8" ht="13.2">
      <c r="A2705" s="454" t="s">
        <v>1363</v>
      </c>
      <c r="B2705" s="452" t="str">
        <f>VLOOKUP(A2705,'Thống kê'!$C$3:$D$669,2,0)</f>
        <v>Móc khóa Popbean</v>
      </c>
      <c r="C2705" s="436" t="str">
        <f>VLOOKUP(A2705,'Thống kê'!$C$3:$E$682,3,0)</f>
        <v>cái</v>
      </c>
      <c r="D2705" s="437">
        <f>VLOOKUP(A2705,'Thống kê'!$C$3:$M$682,4,0)</f>
        <v>148000</v>
      </c>
      <c r="E2705" s="438">
        <v>1</v>
      </c>
      <c r="F2705" s="439">
        <f t="shared" si="11"/>
        <v>148000</v>
      </c>
      <c r="G2705" s="440"/>
      <c r="H2705" s="448">
        <v>116450</v>
      </c>
    </row>
    <row r="2706" spans="1:8" ht="13.2">
      <c r="A2706" s="454" t="s">
        <v>143</v>
      </c>
      <c r="B2706" s="452" t="str">
        <f>VLOOKUP(A2706,'Thống kê'!$C$3:$D$669,2,0)</f>
        <v>Mèo ú</v>
      </c>
      <c r="C2706" s="436" t="str">
        <f>VLOOKUP(A2706,'Thống kê'!$C$3:$E$682,3,0)</f>
        <v>cái</v>
      </c>
      <c r="D2706" s="437">
        <f>VLOOKUP(A2706,'Thống kê'!$C$3:$M$682,4,0)</f>
        <v>59500</v>
      </c>
      <c r="E2706" s="438">
        <v>1</v>
      </c>
      <c r="F2706" s="439">
        <f t="shared" si="11"/>
        <v>59500</v>
      </c>
      <c r="G2706" s="440"/>
      <c r="H2706" s="447">
        <v>90950</v>
      </c>
    </row>
    <row r="2707" spans="1:8" ht="13.2">
      <c r="A2707" s="454" t="s">
        <v>115</v>
      </c>
      <c r="B2707" s="452" t="str">
        <f>VLOOKUP(A2707,'Thống kê'!$C$3:$D$669,2,0)</f>
        <v>Heo ú</v>
      </c>
      <c r="C2707" s="436" t="str">
        <f>VLOOKUP(A2707,'Thống kê'!$C$3:$E$682,3,0)</f>
        <v>cái</v>
      </c>
      <c r="D2707" s="437">
        <f>VLOOKUP(A2707,'Thống kê'!$C$3:$M$682,4,0)</f>
        <v>59500</v>
      </c>
      <c r="E2707" s="438">
        <v>1</v>
      </c>
      <c r="F2707" s="439">
        <f t="shared" si="11"/>
        <v>59500</v>
      </c>
      <c r="G2707" s="440"/>
      <c r="H2707" s="446"/>
    </row>
    <row r="2708" spans="1:8" ht="13.2">
      <c r="A2708" s="454" t="s">
        <v>1334</v>
      </c>
      <c r="B2708" s="452" t="str">
        <f>VLOOKUP(A2708,'Thống kê'!$C$3:$D$669,2,0)</f>
        <v>Móc khóa Popbean</v>
      </c>
      <c r="C2708" s="436" t="str">
        <f>VLOOKUP(A2708,'Thống kê'!$C$3:$E$682,3,0)</f>
        <v>cái</v>
      </c>
      <c r="D2708" s="437">
        <f>VLOOKUP(A2708,'Thống kê'!$C$3:$M$682,4,0)</f>
        <v>148000</v>
      </c>
      <c r="E2708" s="438">
        <v>1</v>
      </c>
      <c r="F2708" s="439">
        <f t="shared" si="11"/>
        <v>148000</v>
      </c>
      <c r="G2708" s="440"/>
      <c r="H2708" s="447">
        <v>211140</v>
      </c>
    </row>
    <row r="2709" spans="1:8" ht="13.2">
      <c r="A2709" s="454" t="s">
        <v>1656</v>
      </c>
      <c r="B2709" s="452" t="str">
        <f>VLOOKUP(A2709,'Thống kê'!$C$3:$D$669,2,0)</f>
        <v>Móc khóa Popbean Dimoo</v>
      </c>
      <c r="C2709" s="436" t="str">
        <f>VLOOKUP(A2709,'Thống kê'!$C$3:$E$682,3,0)</f>
        <v>cái</v>
      </c>
      <c r="D2709" s="437">
        <f>VLOOKUP(A2709,'Thống kê'!$C$3:$M$682,4,0)</f>
        <v>155000</v>
      </c>
      <c r="E2709" s="438">
        <v>1</v>
      </c>
      <c r="F2709" s="439">
        <f t="shared" si="11"/>
        <v>155000</v>
      </c>
      <c r="G2709" s="440"/>
      <c r="H2709" s="446"/>
    </row>
    <row r="2710" spans="1:8" ht="13.2">
      <c r="A2710" s="454" t="s">
        <v>1594</v>
      </c>
      <c r="B2710" s="452" t="str">
        <f>VLOOKUP(A2710,'Thống kê'!$C$3:$D$669,2,0)</f>
        <v>Móc khóa đôi heo</v>
      </c>
      <c r="C2710" s="436" t="str">
        <f>VLOOKUP(A2710,'Thống kê'!$C$3:$E$682,3,0)</f>
        <v>cái</v>
      </c>
      <c r="D2710" s="437">
        <f>VLOOKUP(A2710,'Thống kê'!$C$3:$M$682,4,0)</f>
        <v>56580</v>
      </c>
      <c r="E2710" s="438">
        <v>1</v>
      </c>
      <c r="F2710" s="439">
        <f t="shared" si="11"/>
        <v>56580</v>
      </c>
      <c r="G2710" s="440"/>
      <c r="H2710" s="448">
        <v>43209</v>
      </c>
    </row>
    <row r="2711" spans="1:8" ht="13.2">
      <c r="A2711" s="454" t="s">
        <v>1586</v>
      </c>
      <c r="B2711" s="452" t="str">
        <f>VLOOKUP(A2711,'Thống kê'!$C$3:$D$669,2,0)</f>
        <v>Thỏ ú hoa</v>
      </c>
      <c r="C2711" s="436" t="str">
        <f>VLOOKUP(A2711,'Thống kê'!$C$3:$E$682,3,0)</f>
        <v>cái</v>
      </c>
      <c r="D2711" s="437">
        <f>VLOOKUP(A2711,'Thống kê'!$C$3:$M$682,4,0)</f>
        <v>64500</v>
      </c>
      <c r="E2711" s="438">
        <v>1</v>
      </c>
      <c r="F2711" s="439">
        <f t="shared" si="11"/>
        <v>64500</v>
      </c>
      <c r="G2711" s="440"/>
      <c r="H2711" s="448">
        <v>44402</v>
      </c>
    </row>
    <row r="2712" spans="1:8" ht="13.2">
      <c r="A2712" s="454" t="s">
        <v>1588</v>
      </c>
      <c r="B2712" s="452" t="str">
        <f>VLOOKUP(A2712,'Thống kê'!$C$3:$D$669,2,0)</f>
        <v>Heo ú hoa</v>
      </c>
      <c r="C2712" s="436" t="str">
        <f>VLOOKUP(A2712,'Thống kê'!$C$3:$E$682,3,0)</f>
        <v>cái</v>
      </c>
      <c r="D2712" s="437">
        <f>VLOOKUP(A2712,'Thống kê'!$C$3:$M$682,4,0)</f>
        <v>64500</v>
      </c>
      <c r="E2712" s="438">
        <v>1</v>
      </c>
      <c r="F2712" s="439">
        <f t="shared" si="11"/>
        <v>64500</v>
      </c>
      <c r="G2712" s="440"/>
      <c r="H2712" s="447">
        <v>90950</v>
      </c>
    </row>
    <row r="2713" spans="1:8" ht="13.2">
      <c r="A2713" s="454" t="s">
        <v>116</v>
      </c>
      <c r="B2713" s="452" t="str">
        <f>VLOOKUP(A2713,'Thống kê'!$C$3:$D$669,2,0)</f>
        <v>heo ú cầm hoa</v>
      </c>
      <c r="C2713" s="436" t="str">
        <f>VLOOKUP(A2713,'Thống kê'!$C$3:$E$682,3,0)</f>
        <v>cái</v>
      </c>
      <c r="D2713" s="437">
        <f>VLOOKUP(A2713,'Thống kê'!$C$3:$M$682,4,0)</f>
        <v>64500</v>
      </c>
      <c r="E2713" s="438">
        <v>1</v>
      </c>
      <c r="F2713" s="439">
        <f t="shared" si="11"/>
        <v>64500</v>
      </c>
      <c r="G2713" s="440"/>
      <c r="H2713" s="446"/>
    </row>
    <row r="2714" spans="1:8" ht="13.2">
      <c r="A2714" s="454" t="s">
        <v>1590</v>
      </c>
      <c r="B2714" s="452" t="str">
        <f>VLOOKUP(A2714,'Thống kê'!$C$3:$D$669,2,0)</f>
        <v>Cún ú hoa</v>
      </c>
      <c r="C2714" s="436" t="str">
        <f>VLOOKUP(A2714,'Thống kê'!$C$3:$E$682,3,0)</f>
        <v>cái</v>
      </c>
      <c r="D2714" s="437">
        <f>VLOOKUP(A2714,'Thống kê'!$C$3:$M$682,4,0)</f>
        <v>64500</v>
      </c>
      <c r="E2714" s="438">
        <v>1</v>
      </c>
      <c r="F2714" s="439">
        <f t="shared" si="11"/>
        <v>64500</v>
      </c>
      <c r="G2714" s="440"/>
      <c r="H2714" s="447">
        <v>92650</v>
      </c>
    </row>
    <row r="2715" spans="1:8" ht="13.2">
      <c r="A2715" s="454" t="s">
        <v>116</v>
      </c>
      <c r="B2715" s="452" t="str">
        <f>VLOOKUP(A2715,'Thống kê'!$C$3:$D$669,2,0)</f>
        <v>heo ú cầm hoa</v>
      </c>
      <c r="C2715" s="436" t="str">
        <f>VLOOKUP(A2715,'Thống kê'!$C$3:$E$682,3,0)</f>
        <v>cái</v>
      </c>
      <c r="D2715" s="437">
        <f>VLOOKUP(A2715,'Thống kê'!$C$3:$M$682,4,0)</f>
        <v>64500</v>
      </c>
      <c r="E2715" s="438">
        <v>1</v>
      </c>
      <c r="F2715" s="439">
        <f t="shared" si="11"/>
        <v>64500</v>
      </c>
      <c r="G2715" s="440"/>
      <c r="H2715" s="446"/>
    </row>
    <row r="2716" spans="1:8" ht="13.2">
      <c r="A2716" s="454" t="s">
        <v>1624</v>
      </c>
      <c r="B2716" s="452" t="str">
        <f>VLOOKUP(A2716,'Thống kê'!$C$3:$D$669,2,0)</f>
        <v>Móc khóa mèo trái tim</v>
      </c>
      <c r="C2716" s="436" t="str">
        <f>VLOOKUP(A2716,'Thống kê'!$C$3:$E$682,3,0)</f>
        <v>cái</v>
      </c>
      <c r="D2716" s="437">
        <f>VLOOKUP(A2716,'Thống kê'!$C$3:$M$682,4,0)</f>
        <v>59000</v>
      </c>
      <c r="E2716" s="438">
        <v>1</v>
      </c>
      <c r="F2716" s="439">
        <f t="shared" si="11"/>
        <v>59000</v>
      </c>
      <c r="G2716" s="440"/>
      <c r="H2716" s="448">
        <v>45060</v>
      </c>
    </row>
    <row r="2717" spans="1:8" ht="13.2">
      <c r="A2717" s="454" t="s">
        <v>1656</v>
      </c>
      <c r="B2717" s="452" t="str">
        <f>VLOOKUP(A2717,'Thống kê'!$C$3:$D$669,2,0)</f>
        <v>Móc khóa Popbean Dimoo</v>
      </c>
      <c r="C2717" s="436" t="str">
        <f>VLOOKUP(A2717,'Thống kê'!$C$3:$E$682,3,0)</f>
        <v>cái</v>
      </c>
      <c r="D2717" s="437">
        <f>VLOOKUP(A2717,'Thống kê'!$C$3:$M$682,4,0)</f>
        <v>155000</v>
      </c>
      <c r="E2717" s="438">
        <v>1</v>
      </c>
      <c r="F2717" s="439">
        <f t="shared" si="11"/>
        <v>155000</v>
      </c>
      <c r="G2717" s="440"/>
      <c r="H2717" s="448">
        <v>107950</v>
      </c>
    </row>
    <row r="2718" spans="1:8" ht="13.2">
      <c r="A2718" s="454" t="s">
        <v>1594</v>
      </c>
      <c r="B2718" s="452" t="str">
        <f>VLOOKUP(A2718,'Thống kê'!$C$3:$D$669,2,0)</f>
        <v>Móc khóa đôi heo</v>
      </c>
      <c r="C2718" s="436" t="str">
        <f>VLOOKUP(A2718,'Thống kê'!$C$3:$E$682,3,0)</f>
        <v>cái</v>
      </c>
      <c r="D2718" s="437">
        <f>VLOOKUP(A2718,'Thống kê'!$C$3:$M$682,4,0)</f>
        <v>56580</v>
      </c>
      <c r="E2718" s="438">
        <v>1</v>
      </c>
      <c r="F2718" s="439">
        <f t="shared" si="11"/>
        <v>56580</v>
      </c>
      <c r="G2718" s="440"/>
      <c r="H2718" s="447">
        <v>157635</v>
      </c>
    </row>
    <row r="2719" spans="1:8" ht="13.2">
      <c r="A2719" s="454" t="s">
        <v>1363</v>
      </c>
      <c r="B2719" s="452" t="str">
        <f>VLOOKUP(A2719,'Thống kê'!$C$3:$D$669,2,0)</f>
        <v>Móc khóa Popbean</v>
      </c>
      <c r="C2719" s="436" t="str">
        <f>VLOOKUP(A2719,'Thống kê'!$C$3:$E$682,3,0)</f>
        <v>cái</v>
      </c>
      <c r="D2719" s="437">
        <f>VLOOKUP(A2719,'Thống kê'!$C$3:$M$682,4,0)</f>
        <v>148000</v>
      </c>
      <c r="E2719" s="438">
        <v>1</v>
      </c>
      <c r="F2719" s="439">
        <f t="shared" si="11"/>
        <v>148000</v>
      </c>
      <c r="G2719" s="440"/>
      <c r="H2719" s="446"/>
    </row>
    <row r="2720" spans="1:8" ht="13.2">
      <c r="A2720" s="454" t="s">
        <v>1624</v>
      </c>
      <c r="B2720" s="452" t="str">
        <f>VLOOKUP(A2720,'Thống kê'!$C$3:$D$669,2,0)</f>
        <v>Móc khóa mèo trái tim</v>
      </c>
      <c r="C2720" s="436" t="str">
        <f>VLOOKUP(A2720,'Thống kê'!$C$3:$E$682,3,0)</f>
        <v>cái</v>
      </c>
      <c r="D2720" s="437">
        <f>VLOOKUP(A2720,'Thống kê'!$C$3:$M$682,4,0)</f>
        <v>59000</v>
      </c>
      <c r="E2720" s="438">
        <v>1</v>
      </c>
      <c r="F2720" s="439">
        <f t="shared" si="11"/>
        <v>59000</v>
      </c>
      <c r="G2720" s="440"/>
      <c r="H2720" s="448">
        <v>44735</v>
      </c>
    </row>
    <row r="2721" spans="1:8" ht="13.2">
      <c r="A2721" s="454" t="s">
        <v>1644</v>
      </c>
      <c r="B2721" s="452" t="str">
        <f>VLOOKUP(A2721,'Thống kê'!$C$3:$D$669,2,0)</f>
        <v>Túi chườm bụng dâu (xanh) 500ml</v>
      </c>
      <c r="C2721" s="436" t="str">
        <f>VLOOKUP(A2721,'Thống kê'!$C$3:$E$682,3,0)</f>
        <v>túi</v>
      </c>
      <c r="D2721" s="437">
        <f>VLOOKUP(A2721,'Thống kê'!$C$3:$M$682,4,0)</f>
        <v>78200</v>
      </c>
      <c r="E2721" s="438">
        <v>1</v>
      </c>
      <c r="F2721" s="439">
        <f t="shared" si="11"/>
        <v>78200</v>
      </c>
      <c r="G2721" s="440"/>
      <c r="H2721" s="447">
        <v>141780</v>
      </c>
    </row>
    <row r="2722" spans="1:8" ht="13.2">
      <c r="A2722" s="454" t="s">
        <v>1645</v>
      </c>
      <c r="B2722" s="452" t="str">
        <f>VLOOKUP(A2722,'Thống kê'!$C$3:$D$669,2,0)</f>
        <v>Túi chườm bụng trái bơ 500ml</v>
      </c>
      <c r="C2722" s="436" t="str">
        <f>VLOOKUP(A2722,'Thống kê'!$C$3:$E$682,3,0)</f>
        <v>túi</v>
      </c>
      <c r="D2722" s="437">
        <f>VLOOKUP(A2722,'Thống kê'!$C$3:$M$682,4,0)</f>
        <v>78200</v>
      </c>
      <c r="E2722" s="438">
        <v>1</v>
      </c>
      <c r="F2722" s="439">
        <f t="shared" si="11"/>
        <v>78200</v>
      </c>
      <c r="G2722" s="440"/>
      <c r="H2722" s="446"/>
    </row>
    <row r="2723" spans="1:8" ht="13.2">
      <c r="A2723" s="454" t="s">
        <v>325</v>
      </c>
      <c r="B2723" s="452" t="str">
        <f>VLOOKUP(A2723,'Thống kê'!$C$3:$D$669,2,0)</f>
        <v>Gấu ú</v>
      </c>
      <c r="C2723" s="436" t="str">
        <f>VLOOKUP(A2723,'Thống kê'!$C$3:$E$682,3,0)</f>
        <v>cái</v>
      </c>
      <c r="D2723" s="437">
        <f>VLOOKUP(A2723,'Thống kê'!$C$3:$M$682,4,0)</f>
        <v>59500</v>
      </c>
      <c r="E2723" s="438">
        <v>1</v>
      </c>
      <c r="F2723" s="439">
        <f t="shared" si="11"/>
        <v>59500</v>
      </c>
      <c r="G2723" s="440"/>
      <c r="H2723" s="448">
        <v>44552</v>
      </c>
    </row>
    <row r="2724" spans="1:8" ht="13.2">
      <c r="A2724" s="454" t="s">
        <v>1364</v>
      </c>
      <c r="B2724" s="452" t="str">
        <f>VLOOKUP(A2724,'Thống kê'!$C$3:$D$669,2,0)</f>
        <v>Móc khóa Popbean</v>
      </c>
      <c r="C2724" s="436" t="str">
        <f>VLOOKUP(A2724,'Thống kê'!$C$3:$E$682,3,0)</f>
        <v>cái</v>
      </c>
      <c r="D2724" s="437">
        <f>VLOOKUP(A2724,'Thống kê'!$C$3:$M$682,4,0)</f>
        <v>148000</v>
      </c>
      <c r="E2724" s="438">
        <v>1</v>
      </c>
      <c r="F2724" s="439">
        <f t="shared" si="11"/>
        <v>148000</v>
      </c>
      <c r="G2724" s="440"/>
      <c r="H2724" s="448">
        <v>144670</v>
      </c>
    </row>
    <row r="2725" spans="1:8" ht="13.2">
      <c r="A2725" s="454" t="s">
        <v>1339</v>
      </c>
      <c r="B2725" s="452" t="str">
        <f>VLOOKUP(A2725,'Thống kê'!$C$3:$D$669,2,0)</f>
        <v>Móc khóa chuối</v>
      </c>
      <c r="C2725" s="436" t="str">
        <f>VLOOKUP(A2725,'Thống kê'!$C$3:$E$682,3,0)</f>
        <v>cái</v>
      </c>
      <c r="D2725" s="437">
        <f>VLOOKUP(A2725,'Thống kê'!$C$3:$M$682,4,0)</f>
        <v>148000</v>
      </c>
      <c r="E2725" s="438">
        <v>1</v>
      </c>
      <c r="F2725" s="439">
        <f t="shared" si="11"/>
        <v>148000</v>
      </c>
      <c r="G2725" s="440"/>
      <c r="H2725" s="447">
        <v>156087</v>
      </c>
    </row>
    <row r="2726" spans="1:8" ht="13.2">
      <c r="A2726" s="454" t="s">
        <v>1346</v>
      </c>
      <c r="B2726" s="452" t="str">
        <f>VLOOKUP(A2726,'Thống kê'!$C$3:$D$669,2,0)</f>
        <v>Móc khóa chuối</v>
      </c>
      <c r="C2726" s="436" t="str">
        <f>VLOOKUP(A2726,'Thống kê'!$C$3:$E$682,3,0)</f>
        <v>cái</v>
      </c>
      <c r="D2726" s="437">
        <f>VLOOKUP(A2726,'Thống kê'!$C$3:$M$682,4,0)</f>
        <v>148000</v>
      </c>
      <c r="E2726" s="438">
        <v>1</v>
      </c>
      <c r="F2726" s="439">
        <f t="shared" si="11"/>
        <v>148000</v>
      </c>
      <c r="G2726" s="440"/>
      <c r="H2726" s="446"/>
    </row>
    <row r="2727" spans="1:8" ht="13.2">
      <c r="A2727" s="454" t="s">
        <v>1658</v>
      </c>
      <c r="B2727" s="452" t="str">
        <f>VLOOKUP(A2727,'Thống kê'!$C$3:$D$669,2,0)</f>
        <v>Móc khóa Popbean Dimoo</v>
      </c>
      <c r="C2727" s="436" t="str">
        <f>VLOOKUP(A2727,'Thống kê'!$C$3:$E$682,3,0)</f>
        <v>cái</v>
      </c>
      <c r="D2727" s="437">
        <f>VLOOKUP(A2727,'Thống kê'!$C$3:$M$682,4,0)</f>
        <v>165000</v>
      </c>
      <c r="E2727" s="438">
        <v>1</v>
      </c>
      <c r="F2727" s="439">
        <f t="shared" si="11"/>
        <v>165000</v>
      </c>
      <c r="G2727" s="440"/>
      <c r="H2727" s="448">
        <v>107950</v>
      </c>
    </row>
    <row r="2728" spans="1:8" ht="13.2">
      <c r="A2728" s="454" t="s">
        <v>1589</v>
      </c>
      <c r="B2728" s="452" t="str">
        <f>VLOOKUP(A2728,'Thống kê'!$C$3:$D$669,2,0)</f>
        <v>Heo ú bay</v>
      </c>
      <c r="C2728" s="436" t="str">
        <f>VLOOKUP(A2728,'Thống kê'!$C$3:$E$682,3,0)</f>
        <v>cái</v>
      </c>
      <c r="D2728" s="437">
        <f>VLOOKUP(A2728,'Thống kê'!$C$3:$M$682,4,0)</f>
        <v>64500</v>
      </c>
      <c r="E2728" s="438">
        <v>1</v>
      </c>
      <c r="F2728" s="439">
        <f t="shared" si="11"/>
        <v>64500</v>
      </c>
      <c r="G2728" s="440"/>
      <c r="H2728" s="448">
        <v>44552</v>
      </c>
    </row>
    <row r="2729" spans="1:8" ht="13.2">
      <c r="A2729" s="454" t="s">
        <v>1338</v>
      </c>
      <c r="B2729" s="452" t="str">
        <f>VLOOKUP(A2729,'Thống kê'!$C$3:$D$669,2,0)</f>
        <v>Móc khóa chuối</v>
      </c>
      <c r="C2729" s="436" t="str">
        <f>VLOOKUP(A2729,'Thống kê'!$C$3:$E$682,3,0)</f>
        <v>cái</v>
      </c>
      <c r="D2729" s="437">
        <f>VLOOKUP(A2729,'Thống kê'!$C$3:$M$682,4,0)</f>
        <v>148000</v>
      </c>
      <c r="E2729" s="438">
        <v>1</v>
      </c>
      <c r="F2729" s="439">
        <f t="shared" si="11"/>
        <v>148000</v>
      </c>
      <c r="G2729" s="440"/>
      <c r="H2729" s="448">
        <v>74410</v>
      </c>
    </row>
    <row r="2730" spans="1:8" ht="13.2">
      <c r="A2730" s="454" t="s">
        <v>1639</v>
      </c>
      <c r="B2730" s="452" t="str">
        <f>VLOOKUP(A2730,'Thống kê'!$C$3:$D$669,2,0)</f>
        <v>Móc khóa đôi Puppy</v>
      </c>
      <c r="C2730" s="436" t="str">
        <f>VLOOKUP(A2730,'Thống kê'!$C$3:$E$682,3,0)</f>
        <v>cái</v>
      </c>
      <c r="D2730" s="437">
        <f>VLOOKUP(A2730,'Thống kê'!$C$3:$M$682,4,0)</f>
        <v>59000</v>
      </c>
      <c r="E2730" s="438">
        <v>1</v>
      </c>
      <c r="F2730" s="439">
        <f t="shared" si="11"/>
        <v>59000</v>
      </c>
      <c r="G2730" s="440"/>
      <c r="H2730" s="447">
        <v>91443</v>
      </c>
    </row>
    <row r="2731" spans="1:8" ht="13.2">
      <c r="A2731" s="454" t="s">
        <v>1594</v>
      </c>
      <c r="B2731" s="452" t="str">
        <f>VLOOKUP(A2731,'Thống kê'!$C$3:$D$669,2,0)</f>
        <v>Móc khóa đôi heo</v>
      </c>
      <c r="C2731" s="436" t="str">
        <f>VLOOKUP(A2731,'Thống kê'!$C$3:$E$682,3,0)</f>
        <v>cái</v>
      </c>
      <c r="D2731" s="437">
        <f>VLOOKUP(A2731,'Thống kê'!$C$3:$M$682,4,0)</f>
        <v>56580</v>
      </c>
      <c r="E2731" s="438">
        <v>1</v>
      </c>
      <c r="F2731" s="439">
        <f t="shared" si="11"/>
        <v>56580</v>
      </c>
      <c r="G2731" s="440"/>
      <c r="H2731" s="446"/>
    </row>
    <row r="2732" spans="1:8" ht="13.2">
      <c r="A2732" s="454" t="s">
        <v>115</v>
      </c>
      <c r="B2732" s="452" t="str">
        <f>VLOOKUP(A2732,'Thống kê'!$C$3:$D$669,2,0)</f>
        <v>Heo ú</v>
      </c>
      <c r="C2732" s="436" t="str">
        <f>VLOOKUP(A2732,'Thống kê'!$C$3:$E$682,3,0)</f>
        <v>cái</v>
      </c>
      <c r="D2732" s="437">
        <f>VLOOKUP(A2732,'Thống kê'!$C$3:$M$682,4,0)</f>
        <v>59500</v>
      </c>
      <c r="E2732" s="438">
        <v>1</v>
      </c>
      <c r="F2732" s="439">
        <f t="shared" si="11"/>
        <v>59500</v>
      </c>
      <c r="G2732" s="440"/>
      <c r="H2732" s="448">
        <v>44752</v>
      </c>
    </row>
    <row r="2733" spans="1:8" ht="13.2">
      <c r="A2733" s="454" t="s">
        <v>1624</v>
      </c>
      <c r="B2733" s="452" t="str">
        <f>VLOOKUP(A2733,'Thống kê'!$C$3:$D$669,2,0)</f>
        <v>Móc khóa mèo trái tim</v>
      </c>
      <c r="C2733" s="436" t="str">
        <f>VLOOKUP(A2733,'Thống kê'!$C$3:$E$682,3,0)</f>
        <v>cái</v>
      </c>
      <c r="D2733" s="437">
        <f>VLOOKUP(A2733,'Thống kê'!$C$3:$M$682,4,0)</f>
        <v>59000</v>
      </c>
      <c r="E2733" s="438">
        <v>1</v>
      </c>
      <c r="F2733" s="439">
        <f t="shared" si="11"/>
        <v>59000</v>
      </c>
      <c r="G2733" s="440"/>
      <c r="H2733" s="448">
        <v>44760</v>
      </c>
    </row>
    <row r="2734" spans="1:8" ht="13.2">
      <c r="A2734" s="454" t="s">
        <v>1330</v>
      </c>
      <c r="B2734" s="452" t="str">
        <f>VLOOKUP(A2734,'Thống kê'!$C$3:$D$669,2,0)</f>
        <v>Móc khóa Popbean</v>
      </c>
      <c r="C2734" s="436" t="str">
        <f>VLOOKUP(A2734,'Thống kê'!$C$3:$E$682,3,0)</f>
        <v>cái</v>
      </c>
      <c r="D2734" s="437">
        <f>VLOOKUP(A2734,'Thống kê'!$C$3:$M$682,4,0)</f>
        <v>148000</v>
      </c>
      <c r="E2734" s="438">
        <v>1</v>
      </c>
      <c r="F2734" s="439">
        <f t="shared" si="11"/>
        <v>148000</v>
      </c>
      <c r="G2734" s="440"/>
      <c r="H2734" s="448">
        <v>107875</v>
      </c>
    </row>
    <row r="2735" spans="1:8" ht="13.2">
      <c r="A2735" s="454" t="s">
        <v>1594</v>
      </c>
      <c r="B2735" s="452" t="str">
        <f>VLOOKUP(A2735,'Thống kê'!$C$3:$D$669,2,0)</f>
        <v>Móc khóa đôi heo</v>
      </c>
      <c r="C2735" s="436" t="str">
        <f>VLOOKUP(A2735,'Thống kê'!$C$3:$E$682,3,0)</f>
        <v>cái</v>
      </c>
      <c r="D2735" s="437">
        <f>VLOOKUP(A2735,'Thống kê'!$C$3:$M$682,4,0)</f>
        <v>56580</v>
      </c>
      <c r="E2735" s="438">
        <v>1</v>
      </c>
      <c r="F2735" s="439">
        <f t="shared" si="11"/>
        <v>56580</v>
      </c>
      <c r="G2735" s="440"/>
      <c r="H2735" s="448">
        <v>42634</v>
      </c>
    </row>
    <row r="2736" spans="1:8" ht="13.2">
      <c r="A2736" s="454" t="s">
        <v>116</v>
      </c>
      <c r="B2736" s="452" t="str">
        <f>VLOOKUP(A2736,'Thống kê'!$C$3:$D$669,2,0)</f>
        <v>heo ú cầm hoa</v>
      </c>
      <c r="C2736" s="436" t="str">
        <f>VLOOKUP(A2736,'Thống kê'!$C$3:$E$682,3,0)</f>
        <v>cái</v>
      </c>
      <c r="D2736" s="437">
        <f>VLOOKUP(A2736,'Thống kê'!$C$3:$M$682,4,0)</f>
        <v>64500</v>
      </c>
      <c r="E2736" s="438">
        <v>1</v>
      </c>
      <c r="F2736" s="439">
        <f t="shared" si="11"/>
        <v>64500</v>
      </c>
      <c r="G2736" s="440"/>
      <c r="H2736" s="447">
        <v>104465</v>
      </c>
    </row>
    <row r="2737" spans="1:8" ht="13.2">
      <c r="A2737" s="454" t="s">
        <v>1357</v>
      </c>
      <c r="B2737" s="452" t="str">
        <f>VLOOKUP(A2737,'Thống kê'!$C$3:$D$669,2,0)</f>
        <v>Trang trí mô hình Thỏ</v>
      </c>
      <c r="C2737" s="436" t="str">
        <f>VLOOKUP(A2737,'Thống kê'!$C$3:$E$682,3,0)</f>
        <v>cái</v>
      </c>
      <c r="D2737" s="437">
        <f>VLOOKUP(A2737,'Thống kê'!$C$3:$M$682,4,0)</f>
        <v>39000</v>
      </c>
      <c r="E2737" s="438">
        <v>1</v>
      </c>
      <c r="F2737" s="439">
        <f t="shared" si="11"/>
        <v>39000</v>
      </c>
      <c r="G2737" s="440"/>
      <c r="H2737" s="446"/>
    </row>
    <row r="2738" spans="1:8" ht="13.2">
      <c r="A2738" s="454" t="s">
        <v>1359</v>
      </c>
      <c r="B2738" s="452" t="str">
        <f>VLOOKUP(A2738,'Thống kê'!$C$3:$D$669,2,0)</f>
        <v>Trang trí mô hình Cún</v>
      </c>
      <c r="C2738" s="436" t="str">
        <f>VLOOKUP(A2738,'Thống kê'!$C$3:$E$682,3,0)</f>
        <v>cái</v>
      </c>
      <c r="D2738" s="437">
        <f>VLOOKUP(A2738,'Thống kê'!$C$3:$M$682,4,0)</f>
        <v>39000</v>
      </c>
      <c r="E2738" s="438">
        <v>1</v>
      </c>
      <c r="F2738" s="439">
        <f t="shared" si="11"/>
        <v>39000</v>
      </c>
      <c r="G2738" s="440"/>
      <c r="H2738" s="446"/>
    </row>
    <row r="2739" spans="1:8" ht="13.2">
      <c r="A2739" s="454" t="s">
        <v>115</v>
      </c>
      <c r="B2739" s="452" t="str">
        <f>VLOOKUP(A2739,'Thống kê'!$C$3:$D$669,2,0)</f>
        <v>Heo ú</v>
      </c>
      <c r="C2739" s="436" t="str">
        <f>VLOOKUP(A2739,'Thống kê'!$C$3:$E$682,3,0)</f>
        <v>cái</v>
      </c>
      <c r="D2739" s="437">
        <f>VLOOKUP(A2739,'Thống kê'!$C$3:$M$682,4,0)</f>
        <v>59500</v>
      </c>
      <c r="E2739" s="438">
        <v>1</v>
      </c>
      <c r="F2739" s="439">
        <f t="shared" si="11"/>
        <v>59500</v>
      </c>
      <c r="G2739" s="440"/>
      <c r="H2739" s="447">
        <v>93670</v>
      </c>
    </row>
    <row r="2740" spans="1:8" ht="13.2">
      <c r="A2740" s="454" t="s">
        <v>128</v>
      </c>
      <c r="B2740" s="452" t="str">
        <f>VLOOKUP(A2740,'Thống kê'!$C$3:$D$669,2,0)</f>
        <v>Mèo ú bay</v>
      </c>
      <c r="C2740" s="436" t="str">
        <f>VLOOKUP(A2740,'Thống kê'!$C$3:$E$682,3,0)</f>
        <v>cái</v>
      </c>
      <c r="D2740" s="437">
        <f>VLOOKUP(A2740,'Thống kê'!$C$3:$M$682,4,0)</f>
        <v>64500</v>
      </c>
      <c r="E2740" s="438">
        <v>1</v>
      </c>
      <c r="F2740" s="439">
        <f t="shared" si="11"/>
        <v>64500</v>
      </c>
      <c r="G2740" s="440"/>
      <c r="H2740" s="446"/>
    </row>
    <row r="2741" spans="1:8" ht="13.2">
      <c r="A2741" s="454" t="s">
        <v>1591</v>
      </c>
      <c r="B2741" s="452" t="str">
        <f>VLOOKUP(A2741,'Thống kê'!$C$3:$D$669,2,0)</f>
        <v>Thỏ ú</v>
      </c>
      <c r="C2741" s="436" t="str">
        <f>VLOOKUP(A2741,'Thống kê'!$C$3:$E$682,3,0)</f>
        <v>cái</v>
      </c>
      <c r="D2741" s="437">
        <f>VLOOKUP(A2741,'Thống kê'!$C$3:$M$682,4,0)</f>
        <v>59500</v>
      </c>
      <c r="E2741" s="438">
        <v>1</v>
      </c>
      <c r="F2741" s="439">
        <f t="shared" si="11"/>
        <v>59500</v>
      </c>
      <c r="G2741" s="440"/>
      <c r="H2741" s="447">
        <v>94520</v>
      </c>
    </row>
    <row r="2742" spans="1:8" ht="13.2">
      <c r="A2742" s="454" t="s">
        <v>1588</v>
      </c>
      <c r="B2742" s="452" t="str">
        <f>VLOOKUP(A2742,'Thống kê'!$C$3:$D$669,2,0)</f>
        <v>Heo ú hoa</v>
      </c>
      <c r="C2742" s="436" t="str">
        <f>VLOOKUP(A2742,'Thống kê'!$C$3:$E$682,3,0)</f>
        <v>cái</v>
      </c>
      <c r="D2742" s="437">
        <f>VLOOKUP(A2742,'Thống kê'!$C$3:$M$682,4,0)</f>
        <v>64500</v>
      </c>
      <c r="E2742" s="438">
        <v>1</v>
      </c>
      <c r="F2742" s="439">
        <f t="shared" si="11"/>
        <v>64500</v>
      </c>
      <c r="G2742" s="440"/>
      <c r="H2742" s="446"/>
    </row>
    <row r="2743" spans="1:8" ht="13.2">
      <c r="A2743" s="454" t="s">
        <v>231</v>
      </c>
      <c r="B2743" s="452" t="str">
        <f>VLOOKUP(A2743,'Thống kê'!$C$3:$D$669,2,0)</f>
        <v>Móc khóa đôi gấu trúc</v>
      </c>
      <c r="C2743" s="436" t="str">
        <f>VLOOKUP(A2743,'Thống kê'!$C$3:$E$682,3,0)</f>
        <v>cái</v>
      </c>
      <c r="D2743" s="437">
        <f>VLOOKUP(A2743,'Thống kê'!$C$3:$M$682,4,0)</f>
        <v>56580</v>
      </c>
      <c r="E2743" s="438">
        <v>1</v>
      </c>
      <c r="F2743" s="439">
        <f t="shared" si="11"/>
        <v>56580</v>
      </c>
      <c r="G2743" s="440"/>
      <c r="H2743" s="448">
        <v>41923</v>
      </c>
    </row>
    <row r="2744" spans="1:8" ht="13.2">
      <c r="A2744" s="454" t="s">
        <v>150</v>
      </c>
      <c r="B2744" s="452" t="str">
        <f>VLOOKUP(A2744,'Thống kê'!$C$3:$D$669,2,0)</f>
        <v>Móc khóa có chuông</v>
      </c>
      <c r="C2744" s="436" t="str">
        <f>VLOOKUP(A2744,'Thống kê'!$C$3:$E$682,3,0)</f>
        <v>cái</v>
      </c>
      <c r="D2744" s="437">
        <f>VLOOKUP(A2744,'Thống kê'!$C$3:$M$682,4,0)</f>
        <v>59000</v>
      </c>
      <c r="E2744" s="438">
        <v>1</v>
      </c>
      <c r="F2744" s="439">
        <f t="shared" si="11"/>
        <v>59000</v>
      </c>
      <c r="G2744" s="440"/>
      <c r="H2744" s="448">
        <v>43759</v>
      </c>
    </row>
    <row r="2745" spans="1:8" ht="13.2">
      <c r="A2745" s="454" t="s">
        <v>1923</v>
      </c>
      <c r="B2745" s="452" t="str">
        <f>VLOOKUP(A2745,'Thống kê'!$C$3:$D$669,2,0)</f>
        <v>Trâm cài 04</v>
      </c>
      <c r="C2745" s="436" t="str">
        <f>VLOOKUP(A2745,'Thống kê'!$C$3:$E$682,3,0)</f>
        <v>cây</v>
      </c>
      <c r="D2745" s="437">
        <f>VLOOKUP(A2745,'Thống kê'!$C$3:$M$682,4,0)</f>
        <v>11040</v>
      </c>
      <c r="E2745" s="438">
        <v>1</v>
      </c>
      <c r="F2745" s="439">
        <f t="shared" si="11"/>
        <v>11040</v>
      </c>
      <c r="G2745" s="440"/>
      <c r="H2745" s="447">
        <v>36054</v>
      </c>
    </row>
    <row r="2746" spans="1:8" ht="13.2">
      <c r="A2746" s="454" t="s">
        <v>2049</v>
      </c>
      <c r="B2746" s="452" t="str">
        <f>VLOOKUP(A2746,'Thống kê'!$C$3:$D$669,2,0)</f>
        <v>Trâm cài 11</v>
      </c>
      <c r="C2746" s="436" t="str">
        <f>VLOOKUP(A2746,'Thống kê'!$C$3:$E$682,3,0)</f>
        <v>cây</v>
      </c>
      <c r="D2746" s="437">
        <f>VLOOKUP(A2746,'Thống kê'!$C$3:$M$682,4,0)</f>
        <v>32200</v>
      </c>
      <c r="E2746" s="438">
        <v>1</v>
      </c>
      <c r="F2746" s="439">
        <f t="shared" si="11"/>
        <v>32200</v>
      </c>
      <c r="G2746" s="440"/>
      <c r="H2746" s="446"/>
    </row>
    <row r="2747" spans="1:8" ht="13.2">
      <c r="A2747" s="454" t="s">
        <v>115</v>
      </c>
      <c r="B2747" s="452" t="str">
        <f>VLOOKUP(A2747,'Thống kê'!$C$3:$D$669,2,0)</f>
        <v>Heo ú</v>
      </c>
      <c r="C2747" s="436" t="str">
        <f>VLOOKUP(A2747,'Thống kê'!$C$3:$E$682,3,0)</f>
        <v>cái</v>
      </c>
      <c r="D2747" s="437">
        <f>VLOOKUP(A2747,'Thống kê'!$C$3:$M$682,4,0)</f>
        <v>59500</v>
      </c>
      <c r="E2747" s="438">
        <v>1</v>
      </c>
      <c r="F2747" s="439">
        <f t="shared" si="11"/>
        <v>59500</v>
      </c>
      <c r="G2747" s="440"/>
      <c r="H2747" s="447">
        <v>94520</v>
      </c>
    </row>
    <row r="2748" spans="1:8" ht="13.2">
      <c r="A2748" s="454" t="s">
        <v>1210</v>
      </c>
      <c r="B2748" s="452" t="str">
        <f>VLOOKUP(A2748,'Thống kê'!$C$3:$D$669,2,0)</f>
        <v>Shiba ú cầm hoa</v>
      </c>
      <c r="C2748" s="436" t="str">
        <f>VLOOKUP(A2748,'Thống kê'!$C$3:$E$682,3,0)</f>
        <v>cái</v>
      </c>
      <c r="D2748" s="437">
        <f>VLOOKUP(A2748,'Thống kê'!$C$3:$M$682,4,0)</f>
        <v>64500</v>
      </c>
      <c r="E2748" s="438">
        <v>1</v>
      </c>
      <c r="F2748" s="439">
        <f t="shared" si="11"/>
        <v>64500</v>
      </c>
      <c r="G2748" s="440"/>
      <c r="H2748" s="446"/>
    </row>
    <row r="2749" spans="1:8" ht="13.2">
      <c r="A2749" s="454" t="s">
        <v>2037</v>
      </c>
      <c r="B2749" s="452" t="str">
        <f>VLOOKUP(A2749,'Thống kê'!$C$3:$D$669,2,0)</f>
        <v>Vịt áo xanh treo gương</v>
      </c>
      <c r="C2749" s="436" t="str">
        <f>VLOOKUP(A2749,'Thống kê'!$C$3:$E$682,3,0)</f>
        <v>cái</v>
      </c>
      <c r="D2749" s="437">
        <f>VLOOKUP(A2749,'Thống kê'!$C$3:$M$682,4,0)</f>
        <v>155000</v>
      </c>
      <c r="E2749" s="438">
        <v>1</v>
      </c>
      <c r="F2749" s="439">
        <f t="shared" si="11"/>
        <v>155000</v>
      </c>
      <c r="G2749" s="440"/>
      <c r="H2749" s="447">
        <v>166374</v>
      </c>
    </row>
    <row r="2750" spans="1:8" ht="13.2">
      <c r="A2750" s="454" t="s">
        <v>1782</v>
      </c>
      <c r="B2750" s="452" t="str">
        <f>VLOOKUP(A2750,'Thống kê'!$C$3:$D$669,2,0)</f>
        <v>Mèo xám treo gương</v>
      </c>
      <c r="C2750" s="436" t="str">
        <f>VLOOKUP(A2750,'Thống kê'!$C$3:$E$682,3,0)</f>
        <v>cái</v>
      </c>
      <c r="D2750" s="437">
        <f>VLOOKUP(A2750,'Thống kê'!$C$3:$M$682,4,0)</f>
        <v>71500</v>
      </c>
      <c r="E2750" s="438">
        <v>1</v>
      </c>
      <c r="F2750" s="439">
        <f t="shared" si="11"/>
        <v>71500</v>
      </c>
      <c r="G2750" s="440"/>
      <c r="H2750" s="446"/>
    </row>
    <row r="2751" spans="1:8" ht="13.2">
      <c r="A2751" s="454" t="s">
        <v>1602</v>
      </c>
      <c r="B2751" s="452" t="str">
        <f>VLOOKUP(A2751,'Thống kê'!$C$3:$D$669,2,0)</f>
        <v>Thước dây hồng đất</v>
      </c>
      <c r="C2751" s="436" t="str">
        <f>VLOOKUP(A2751,'Thống kê'!$C$3:$E$682,3,0)</f>
        <v>cái</v>
      </c>
      <c r="D2751" s="437">
        <f>VLOOKUP(A2751,'Thống kê'!$C$3:$M$682,4,0)</f>
        <v>9000</v>
      </c>
      <c r="E2751" s="438">
        <v>1</v>
      </c>
      <c r="F2751" s="439">
        <f t="shared" si="11"/>
        <v>9000</v>
      </c>
      <c r="G2751" s="440"/>
      <c r="H2751" s="446"/>
    </row>
    <row r="2752" spans="1:8" ht="13.2">
      <c r="A2752" s="454" t="s">
        <v>115</v>
      </c>
      <c r="B2752" s="452" t="str">
        <f>VLOOKUP(A2752,'Thống kê'!$C$3:$D$669,2,0)</f>
        <v>Heo ú</v>
      </c>
      <c r="C2752" s="436" t="str">
        <f>VLOOKUP(A2752,'Thống kê'!$C$3:$E$682,3,0)</f>
        <v>cái</v>
      </c>
      <c r="D2752" s="437">
        <f>VLOOKUP(A2752,'Thống kê'!$C$3:$M$682,4,0)</f>
        <v>59500</v>
      </c>
      <c r="E2752" s="438">
        <v>1</v>
      </c>
      <c r="F2752" s="439">
        <f t="shared" si="11"/>
        <v>59500</v>
      </c>
      <c r="G2752" s="440"/>
      <c r="H2752" s="448">
        <v>44602</v>
      </c>
    </row>
    <row r="2753" spans="1:8" ht="13.2">
      <c r="A2753" s="454" t="s">
        <v>2061</v>
      </c>
      <c r="B2753" s="452" t="str">
        <f>VLOOKUP(A2753,'Thống kê'!$C$3:$D$669,2,0)</f>
        <v>Kẹp tóc len hoa cam</v>
      </c>
      <c r="C2753" s="436" t="str">
        <f>VLOOKUP(A2753,'Thống kê'!$C$3:$E$682,3,0)</f>
        <v>cái</v>
      </c>
      <c r="D2753" s="437">
        <f>VLOOKUP(A2753,'Thống kê'!$C$3:$M$682,4,0)</f>
        <v>32500</v>
      </c>
      <c r="E2753" s="438">
        <v>1</v>
      </c>
      <c r="F2753" s="439">
        <f t="shared" si="11"/>
        <v>32500</v>
      </c>
      <c r="G2753" s="440"/>
      <c r="H2753" s="448">
        <v>24787</v>
      </c>
    </row>
    <row r="2754" spans="1:8" ht="13.2">
      <c r="A2754" s="454" t="s">
        <v>1624</v>
      </c>
      <c r="B2754" s="452" t="str">
        <f>VLOOKUP(A2754,'Thống kê'!$C$3:$D$669,2,0)</f>
        <v>Móc khóa mèo trái tim</v>
      </c>
      <c r="C2754" s="436" t="str">
        <f>VLOOKUP(A2754,'Thống kê'!$C$3:$E$682,3,0)</f>
        <v>cái</v>
      </c>
      <c r="D2754" s="437">
        <f>VLOOKUP(A2754,'Thống kê'!$C$3:$M$682,4,0)</f>
        <v>59000</v>
      </c>
      <c r="E2754" s="438">
        <v>1</v>
      </c>
      <c r="F2754" s="439">
        <f t="shared" si="11"/>
        <v>59000</v>
      </c>
      <c r="G2754" s="440"/>
      <c r="H2754" s="448">
        <v>45135</v>
      </c>
    </row>
    <row r="2755" spans="1:8" ht="13.2">
      <c r="A2755" s="454" t="s">
        <v>1640</v>
      </c>
      <c r="B2755" s="452" t="str">
        <f>VLOOKUP(A2755,'Thống kê'!$C$3:$D$669,2,0)</f>
        <v>Móc khóa đôi Capypara</v>
      </c>
      <c r="C2755" s="436" t="str">
        <f>VLOOKUP(A2755,'Thống kê'!$C$3:$E$682,3,0)</f>
        <v>cái</v>
      </c>
      <c r="D2755" s="437">
        <f>VLOOKUP(A2755,'Thống kê'!$C$3:$M$682,4,0)</f>
        <v>59000</v>
      </c>
      <c r="E2755" s="438">
        <v>1</v>
      </c>
      <c r="F2755" s="439">
        <f t="shared" si="11"/>
        <v>59000</v>
      </c>
      <c r="G2755" s="440"/>
      <c r="H2755" s="448">
        <v>43985</v>
      </c>
    </row>
    <row r="2756" spans="1:8" ht="13.2">
      <c r="A2756" s="454" t="s">
        <v>1586</v>
      </c>
      <c r="B2756" s="452" t="str">
        <f>VLOOKUP(A2756,'Thống kê'!$C$3:$D$669,2,0)</f>
        <v>Thỏ ú hoa</v>
      </c>
      <c r="C2756" s="436" t="str">
        <f>VLOOKUP(A2756,'Thống kê'!$C$3:$E$682,3,0)</f>
        <v>cái</v>
      </c>
      <c r="D2756" s="437">
        <f>VLOOKUP(A2756,'Thống kê'!$C$3:$M$682,4,0)</f>
        <v>64500</v>
      </c>
      <c r="E2756" s="438">
        <v>1</v>
      </c>
      <c r="F2756" s="439">
        <f t="shared" si="11"/>
        <v>64500</v>
      </c>
      <c r="G2756" s="440"/>
      <c r="H2756" s="448">
        <v>44752</v>
      </c>
    </row>
    <row r="2757" spans="1:8" ht="13.2">
      <c r="A2757" s="454" t="s">
        <v>1364</v>
      </c>
      <c r="B2757" s="452" t="str">
        <f>VLOOKUP(A2757,'Thống kê'!$C$3:$D$669,2,0)</f>
        <v>Móc khóa Popbean</v>
      </c>
      <c r="C2757" s="436" t="str">
        <f>VLOOKUP(A2757,'Thống kê'!$C$3:$E$682,3,0)</f>
        <v>cái</v>
      </c>
      <c r="D2757" s="437">
        <f>VLOOKUP(A2757,'Thống kê'!$C$3:$M$682,4,0)</f>
        <v>148000</v>
      </c>
      <c r="E2757" s="438">
        <v>1</v>
      </c>
      <c r="F2757" s="439">
        <f t="shared" si="11"/>
        <v>148000</v>
      </c>
      <c r="G2757" s="440"/>
      <c r="H2757" s="447">
        <v>403750</v>
      </c>
    </row>
    <row r="2758" spans="1:8" ht="13.2">
      <c r="A2758" s="454" t="s">
        <v>245</v>
      </c>
      <c r="B2758" s="452" t="str">
        <f>VLOOKUP(A2758,'Thống kê'!$C$3:$D$669,2,0)</f>
        <v>Móc khóa Popbean</v>
      </c>
      <c r="C2758" s="436" t="str">
        <f>VLOOKUP(A2758,'Thống kê'!$C$3:$E$682,3,0)</f>
        <v>cái</v>
      </c>
      <c r="D2758" s="437">
        <f>VLOOKUP(A2758,'Thống kê'!$C$3:$M$682,4,0)</f>
        <v>148000</v>
      </c>
      <c r="E2758" s="438">
        <v>1</v>
      </c>
      <c r="F2758" s="439">
        <f t="shared" si="11"/>
        <v>148000</v>
      </c>
      <c r="G2758" s="440"/>
      <c r="H2758" s="450"/>
    </row>
    <row r="2759" spans="1:8" ht="13.2">
      <c r="A2759" s="454" t="s">
        <v>1664</v>
      </c>
      <c r="B2759" s="452" t="str">
        <f>VLOOKUP(A2759,'Thống kê'!$C$3:$D$669,2,0)</f>
        <v>Móc khóa Popbean Lilios</v>
      </c>
      <c r="C2759" s="436" t="str">
        <f>VLOOKUP(A2759,'Thống kê'!$C$3:$E$682,3,0)</f>
        <v>cái</v>
      </c>
      <c r="D2759" s="437">
        <f>VLOOKUP(A2759,'Thống kê'!$C$3:$M$682,4,0)</f>
        <v>148000</v>
      </c>
      <c r="E2759" s="438">
        <v>1</v>
      </c>
      <c r="F2759" s="439">
        <f t="shared" si="11"/>
        <v>148000</v>
      </c>
      <c r="G2759" s="440"/>
      <c r="H2759" s="450"/>
    </row>
    <row r="2760" spans="1:8" ht="13.2">
      <c r="A2760" s="454" t="s">
        <v>1624</v>
      </c>
      <c r="B2760" s="452" t="str">
        <f>VLOOKUP(A2760,'Thống kê'!$C$3:$D$669,2,0)</f>
        <v>Móc khóa mèo trái tim</v>
      </c>
      <c r="C2760" s="436" t="str">
        <f>VLOOKUP(A2760,'Thống kê'!$C$3:$E$682,3,0)</f>
        <v>cái</v>
      </c>
      <c r="D2760" s="437">
        <f>VLOOKUP(A2760,'Thống kê'!$C$3:$M$682,4,0)</f>
        <v>59000</v>
      </c>
      <c r="E2760" s="438">
        <v>1</v>
      </c>
      <c r="F2760" s="439">
        <f t="shared" si="11"/>
        <v>59000</v>
      </c>
      <c r="G2760" s="440"/>
      <c r="H2760" s="447">
        <v>78004</v>
      </c>
    </row>
    <row r="2761" spans="1:8" ht="13.2">
      <c r="A2761" s="454" t="s">
        <v>1848</v>
      </c>
      <c r="B2761" s="452" t="str">
        <f>VLOOKUP(A2761,'Thống kê'!$C$3:$D$669,2,0)</f>
        <v>Trâm cài 02</v>
      </c>
      <c r="C2761" s="436" t="str">
        <f>VLOOKUP(A2761,'Thống kê'!$C$3:$E$682,3,0)</f>
        <v>cây</v>
      </c>
      <c r="D2761" s="437">
        <f>VLOOKUP(A2761,'Thống kê'!$C$3:$M$682,4,0)</f>
        <v>30360</v>
      </c>
      <c r="E2761" s="438">
        <v>1</v>
      </c>
      <c r="F2761" s="439">
        <f t="shared" si="11"/>
        <v>30360</v>
      </c>
      <c r="G2761" s="440"/>
      <c r="H2761" s="450"/>
    </row>
    <row r="2762" spans="1:8" ht="13.2">
      <c r="A2762" s="454" t="s">
        <v>1924</v>
      </c>
      <c r="B2762" s="452" t="str">
        <f>VLOOKUP(A2762,'Thống kê'!$C$3:$D$669,2,0)</f>
        <v>Trâm cài 06</v>
      </c>
      <c r="C2762" s="436" t="str">
        <f>VLOOKUP(A2762,'Thống kê'!$C$3:$E$682,3,0)</f>
        <v>cây</v>
      </c>
      <c r="D2762" s="437">
        <f>VLOOKUP(A2762,'Thống kê'!$C$3:$M$682,4,0)</f>
        <v>12880</v>
      </c>
      <c r="E2762" s="438">
        <v>1</v>
      </c>
      <c r="F2762" s="439">
        <f t="shared" si="11"/>
        <v>12880</v>
      </c>
      <c r="G2762" s="440"/>
      <c r="H2762" s="450"/>
    </row>
    <row r="2763" spans="1:8" ht="13.2">
      <c r="A2763" s="454" t="s">
        <v>1625</v>
      </c>
      <c r="B2763" s="452" t="str">
        <f>VLOOKUP(A2763,'Thống kê'!$C$3:$D$669,2,0)</f>
        <v>Móc khóa đôi 2 mèo trắng nâu</v>
      </c>
      <c r="C2763" s="436" t="str">
        <f>VLOOKUP(A2763,'Thống kê'!$C$3:$E$682,3,0)</f>
        <v>cái</v>
      </c>
      <c r="D2763" s="437">
        <f>VLOOKUP(A2763,'Thống kê'!$C$3:$M$682,4,0)</f>
        <v>59000</v>
      </c>
      <c r="E2763" s="438">
        <v>1</v>
      </c>
      <c r="F2763" s="439">
        <f t="shared" si="11"/>
        <v>59000</v>
      </c>
      <c r="G2763" s="440"/>
      <c r="H2763" s="448">
        <v>45135</v>
      </c>
    </row>
    <row r="2764" spans="1:8" ht="13.2">
      <c r="A2764" s="454" t="s">
        <v>1345</v>
      </c>
      <c r="B2764" s="452" t="str">
        <f>VLOOKUP(A2764,'Thống kê'!$C$3:$D$669,2,0)</f>
        <v>Móc khóa chuối</v>
      </c>
      <c r="C2764" s="436" t="str">
        <f>VLOOKUP(A2764,'Thống kê'!$C$3:$E$682,3,0)</f>
        <v>cái</v>
      </c>
      <c r="D2764" s="437">
        <f>VLOOKUP(A2764,'Thống kê'!$C$3:$M$682,4,0)</f>
        <v>148000</v>
      </c>
      <c r="E2764" s="438">
        <v>1</v>
      </c>
      <c r="F2764" s="439">
        <f t="shared" si="11"/>
        <v>148000</v>
      </c>
      <c r="G2764" s="440"/>
      <c r="H2764" s="448">
        <v>75310</v>
      </c>
    </row>
    <row r="2765" spans="1:8" ht="13.2">
      <c r="A2765" s="454" t="s">
        <v>1342</v>
      </c>
      <c r="B2765" s="452" t="str">
        <f>VLOOKUP(A2765,'Thống kê'!$C$3:$D$669,2,0)</f>
        <v>Móc khóa chuối</v>
      </c>
      <c r="C2765" s="436" t="str">
        <f>VLOOKUP(A2765,'Thống kê'!$C$3:$E$682,3,0)</f>
        <v>cái</v>
      </c>
      <c r="D2765" s="437">
        <f>VLOOKUP(A2765,'Thống kê'!$C$3:$M$682,4,0)</f>
        <v>148000</v>
      </c>
      <c r="E2765" s="438">
        <v>1</v>
      </c>
      <c r="F2765" s="439">
        <f t="shared" si="11"/>
        <v>148000</v>
      </c>
      <c r="G2765" s="440"/>
      <c r="H2765" s="448">
        <v>74910</v>
      </c>
    </row>
    <row r="2766" spans="1:8" ht="13.2">
      <c r="A2766" s="454" t="s">
        <v>115</v>
      </c>
      <c r="B2766" s="452" t="str">
        <f>VLOOKUP(A2766,'Thống kê'!$C$3:$D$669,2,0)</f>
        <v>Heo ú</v>
      </c>
      <c r="C2766" s="436" t="str">
        <f>VLOOKUP(A2766,'Thống kê'!$C$3:$E$682,3,0)</f>
        <v>cái</v>
      </c>
      <c r="D2766" s="437">
        <f>VLOOKUP(A2766,'Thống kê'!$C$3:$M$682,4,0)</f>
        <v>59500</v>
      </c>
      <c r="E2766" s="438">
        <v>1</v>
      </c>
      <c r="F2766" s="439">
        <f t="shared" si="11"/>
        <v>59500</v>
      </c>
      <c r="G2766" s="440"/>
      <c r="H2766" s="447">
        <v>92650</v>
      </c>
    </row>
    <row r="2767" spans="1:8" ht="13.2">
      <c r="A2767" s="454" t="s">
        <v>1591</v>
      </c>
      <c r="B2767" s="452" t="str">
        <f>VLOOKUP(A2767,'Thống kê'!$C$3:$D$669,2,0)</f>
        <v>Thỏ ú</v>
      </c>
      <c r="C2767" s="436" t="str">
        <f>VLOOKUP(A2767,'Thống kê'!$C$3:$E$682,3,0)</f>
        <v>cái</v>
      </c>
      <c r="D2767" s="437">
        <f>VLOOKUP(A2767,'Thống kê'!$C$3:$M$682,4,0)</f>
        <v>59500</v>
      </c>
      <c r="E2767" s="438">
        <v>1</v>
      </c>
      <c r="F2767" s="439">
        <f t="shared" si="11"/>
        <v>59500</v>
      </c>
      <c r="G2767" s="440"/>
      <c r="H2767" s="450"/>
    </row>
    <row r="2768" spans="1:8" ht="13.2">
      <c r="A2768" s="454" t="s">
        <v>1931</v>
      </c>
      <c r="B2768" s="452" t="str">
        <f>VLOOKUP(A2768,'Thống kê'!$C$3:$D$669,2,0)</f>
        <v>Cài áo hoa hồng xanh có ngọc trai</v>
      </c>
      <c r="C2768" s="436" t="str">
        <f>VLOOKUP(A2768,'Thống kê'!$C$3:$E$682,3,0)</f>
        <v>cái</v>
      </c>
      <c r="D2768" s="437">
        <f>VLOOKUP(A2768,'Thống kê'!$C$3:$M$682,4,0)</f>
        <v>24900</v>
      </c>
      <c r="E2768" s="438">
        <v>1</v>
      </c>
      <c r="F2768" s="439">
        <f t="shared" si="11"/>
        <v>24900</v>
      </c>
      <c r="G2768" s="440"/>
      <c r="H2768" s="447">
        <v>61877</v>
      </c>
    </row>
    <row r="2769" spans="1:8" ht="13.2">
      <c r="A2769" s="454" t="s">
        <v>186</v>
      </c>
      <c r="B2769" s="452" t="str">
        <f>VLOOKUP(A2769,'Thống kê'!$C$3:$D$669,2,0)</f>
        <v>Thỏ ú bay</v>
      </c>
      <c r="C2769" s="436" t="str">
        <f>VLOOKUP(A2769,'Thống kê'!$C$3:$E$682,3,0)</f>
        <v>cái</v>
      </c>
      <c r="D2769" s="437">
        <f>VLOOKUP(A2769,'Thống kê'!$C$3:$M$682,4,0)</f>
        <v>64500</v>
      </c>
      <c r="E2769" s="438">
        <v>1</v>
      </c>
      <c r="F2769" s="439">
        <f t="shared" si="11"/>
        <v>64500</v>
      </c>
      <c r="G2769" s="440"/>
      <c r="H2769" s="450"/>
    </row>
    <row r="2770" spans="1:8" ht="13.2">
      <c r="A2770" s="454" t="s">
        <v>1818</v>
      </c>
      <c r="B2770" s="452" t="str">
        <f>VLOOKUP(A2770,'Thống kê'!$C$3:$D$669,2,0)</f>
        <v>Mèo trắng treo gương</v>
      </c>
      <c r="C2770" s="436" t="str">
        <f>VLOOKUP(A2770,'Thống kê'!$C$3:$E$682,3,0)</f>
        <v>cái</v>
      </c>
      <c r="D2770" s="437">
        <f>VLOOKUP(A2770,'Thống kê'!$C$3:$M$682,4,0)</f>
        <v>71500</v>
      </c>
      <c r="E2770" s="438">
        <v>1</v>
      </c>
      <c r="F2770" s="439">
        <f t="shared" si="11"/>
        <v>71500</v>
      </c>
      <c r="G2770" s="440"/>
      <c r="H2770" s="448">
        <v>48927</v>
      </c>
    </row>
    <row r="2771" spans="1:8" ht="13.2">
      <c r="A2771" s="454" t="s">
        <v>1364</v>
      </c>
      <c r="B2771" s="452" t="str">
        <f>VLOOKUP(A2771,'Thống kê'!$C$3:$D$669,2,0)</f>
        <v>Móc khóa Popbean</v>
      </c>
      <c r="C2771" s="436" t="str">
        <f>VLOOKUP(A2771,'Thống kê'!$C$3:$E$682,3,0)</f>
        <v>cái</v>
      </c>
      <c r="D2771" s="437">
        <f>VLOOKUP(A2771,'Thống kê'!$C$3:$M$682,4,0)</f>
        <v>148000</v>
      </c>
      <c r="E2771" s="438">
        <v>1</v>
      </c>
      <c r="F2771" s="439">
        <f t="shared" si="11"/>
        <v>148000</v>
      </c>
      <c r="G2771" s="440"/>
      <c r="H2771" s="447">
        <v>211179</v>
      </c>
    </row>
    <row r="2772" spans="1:8" ht="13.2">
      <c r="A2772" s="454" t="s">
        <v>1344</v>
      </c>
      <c r="B2772" s="452" t="str">
        <f>VLOOKUP(A2772,'Thống kê'!$C$3:$D$669,2,0)</f>
        <v>Móc khóa chuối</v>
      </c>
      <c r="C2772" s="436" t="str">
        <f>VLOOKUP(A2772,'Thống kê'!$C$3:$E$682,3,0)</f>
        <v>cái</v>
      </c>
      <c r="D2772" s="437">
        <f>VLOOKUP(A2772,'Thống kê'!$C$3:$M$682,4,0)</f>
        <v>148000</v>
      </c>
      <c r="E2772" s="438">
        <v>1</v>
      </c>
      <c r="F2772" s="439">
        <f t="shared" si="11"/>
        <v>148000</v>
      </c>
      <c r="G2772" s="440"/>
      <c r="H2772" s="450"/>
    </row>
    <row r="2773" spans="1:8" ht="13.2">
      <c r="A2773" s="454" t="s">
        <v>1663</v>
      </c>
      <c r="B2773" s="452" t="str">
        <f>VLOOKUP(A2773,'Thống kê'!$C$3:$D$669,2,0)</f>
        <v>Móc khóa Popbean Zsiga</v>
      </c>
      <c r="C2773" s="436" t="str">
        <f>VLOOKUP(A2773,'Thống kê'!$C$3:$E$682,3,0)</f>
        <v>cái</v>
      </c>
      <c r="D2773" s="437">
        <f>VLOOKUP(A2773,'Thống kê'!$C$3:$M$682,4,0)</f>
        <v>148000</v>
      </c>
      <c r="E2773" s="438">
        <v>1</v>
      </c>
      <c r="F2773" s="439">
        <f t="shared" si="11"/>
        <v>148000</v>
      </c>
      <c r="G2773" s="440"/>
      <c r="H2773" s="448">
        <v>107950</v>
      </c>
    </row>
    <row r="2774" spans="1:8" ht="13.2">
      <c r="A2774" s="454" t="s">
        <v>1594</v>
      </c>
      <c r="B2774" s="452" t="str">
        <f>VLOOKUP(A2774,'Thống kê'!$C$3:$D$669,2,0)</f>
        <v>Móc khóa đôi heo</v>
      </c>
      <c r="C2774" s="436" t="str">
        <f>VLOOKUP(A2774,'Thống kê'!$C$3:$E$682,3,0)</f>
        <v>cái</v>
      </c>
      <c r="D2774" s="437">
        <f>VLOOKUP(A2774,'Thống kê'!$C$3:$M$682,4,0)</f>
        <v>56580</v>
      </c>
      <c r="E2774" s="438">
        <v>1</v>
      </c>
      <c r="F2774" s="439">
        <f t="shared" si="11"/>
        <v>56580</v>
      </c>
      <c r="G2774" s="440"/>
      <c r="H2774" s="448">
        <v>43209</v>
      </c>
    </row>
    <row r="2775" spans="1:8" ht="13.2">
      <c r="A2775" s="454" t="s">
        <v>1632</v>
      </c>
      <c r="B2775" s="452" t="str">
        <f>VLOOKUP(A2775,'Thống kê'!$C$3:$D$669,2,0)</f>
        <v>Móc khóa đôi mèo trắng</v>
      </c>
      <c r="C2775" s="436" t="str">
        <f>VLOOKUP(A2775,'Thống kê'!$C$3:$E$682,3,0)</f>
        <v>cái</v>
      </c>
      <c r="D2775" s="437">
        <f>VLOOKUP(A2775,'Thống kê'!$C$3:$M$682,4,0)</f>
        <v>59000</v>
      </c>
      <c r="E2775" s="438">
        <v>1</v>
      </c>
      <c r="F2775" s="439">
        <f t="shared" si="11"/>
        <v>59000</v>
      </c>
      <c r="G2775" s="440"/>
      <c r="H2775" s="448">
        <v>44935</v>
      </c>
    </row>
    <row r="2776" spans="1:8" ht="13.2">
      <c r="A2776" s="454" t="s">
        <v>115</v>
      </c>
      <c r="B2776" s="452" t="str">
        <f>VLOOKUP(A2776,'Thống kê'!$C$3:$D$669,2,0)</f>
        <v>Heo ú</v>
      </c>
      <c r="C2776" s="436" t="str">
        <f>VLOOKUP(A2776,'Thống kê'!$C$3:$E$682,3,0)</f>
        <v>cái</v>
      </c>
      <c r="D2776" s="437">
        <f>VLOOKUP(A2776,'Thống kê'!$C$3:$M$682,4,0)</f>
        <v>59500</v>
      </c>
      <c r="E2776" s="438">
        <v>1</v>
      </c>
      <c r="F2776" s="439">
        <f t="shared" si="11"/>
        <v>59500</v>
      </c>
      <c r="G2776" s="440"/>
      <c r="H2776" s="447">
        <v>156225</v>
      </c>
    </row>
    <row r="2777" spans="1:8" ht="13.2">
      <c r="A2777" s="454" t="s">
        <v>186</v>
      </c>
      <c r="B2777" s="452" t="str">
        <f>VLOOKUP(A2777,'Thống kê'!$C$3:$D$669,2,0)</f>
        <v>Thỏ ú bay</v>
      </c>
      <c r="C2777" s="436" t="str">
        <f>VLOOKUP(A2777,'Thống kê'!$C$3:$E$682,3,0)</f>
        <v>cái</v>
      </c>
      <c r="D2777" s="437">
        <f>VLOOKUP(A2777,'Thống kê'!$C$3:$M$682,4,0)</f>
        <v>64500</v>
      </c>
      <c r="E2777" s="438">
        <v>1</v>
      </c>
      <c r="F2777" s="439">
        <f t="shared" si="11"/>
        <v>64500</v>
      </c>
      <c r="G2777" s="440"/>
      <c r="H2777" s="450"/>
    </row>
    <row r="2778" spans="1:8" ht="13.2">
      <c r="A2778" s="454" t="s">
        <v>181</v>
      </c>
      <c r="B2778" s="452" t="str">
        <f>VLOOKUP(A2778,'Thống kê'!$C$3:$D$669,2,0)</f>
        <v>Thỏ mặt trăng gắn xe</v>
      </c>
      <c r="C2778" s="436" t="str">
        <f>VLOOKUP(A2778,'Thống kê'!$C$3:$E$682,3,0)</f>
        <v>cái</v>
      </c>
      <c r="D2778" s="437">
        <f>VLOOKUP(A2778,'Thống kê'!$C$3:$M$682,4,0)</f>
        <v>45000</v>
      </c>
      <c r="E2778" s="438">
        <v>1</v>
      </c>
      <c r="F2778" s="439">
        <f t="shared" si="11"/>
        <v>45000</v>
      </c>
      <c r="G2778" s="440"/>
      <c r="H2778" s="450"/>
    </row>
    <row r="2779" spans="1:8" ht="13.2">
      <c r="A2779" s="454" t="s">
        <v>183</v>
      </c>
      <c r="B2779" s="452" t="str">
        <f>VLOOKUP(A2779,'Thống kê'!$C$3:$D$669,2,0)</f>
        <v>Thỏ máy bay gắn xe</v>
      </c>
      <c r="C2779" s="436" t="str">
        <f>VLOOKUP(A2779,'Thống kê'!$C$3:$E$682,3,0)</f>
        <v>cái</v>
      </c>
      <c r="D2779" s="437">
        <f>VLOOKUP(A2779,'Thống kê'!$C$3:$M$682,4,0)</f>
        <v>45000</v>
      </c>
      <c r="E2779" s="438">
        <v>1</v>
      </c>
      <c r="F2779" s="439">
        <f t="shared" si="11"/>
        <v>45000</v>
      </c>
      <c r="G2779" s="440"/>
      <c r="H2779" s="450"/>
    </row>
    <row r="2780" spans="1:8" ht="13.2">
      <c r="A2780" s="454" t="s">
        <v>1210</v>
      </c>
      <c r="B2780" s="452" t="str">
        <f>VLOOKUP(A2780,'Thống kê'!$C$3:$D$669,2,0)</f>
        <v>Shiba ú cầm hoa</v>
      </c>
      <c r="C2780" s="436" t="str">
        <f>VLOOKUP(A2780,'Thống kê'!$C$3:$E$682,3,0)</f>
        <v>cái</v>
      </c>
      <c r="D2780" s="437">
        <f>VLOOKUP(A2780,'Thống kê'!$C$3:$M$682,4,0)</f>
        <v>64500</v>
      </c>
      <c r="E2780" s="438">
        <v>1</v>
      </c>
      <c r="F2780" s="439">
        <f t="shared" si="11"/>
        <v>64500</v>
      </c>
      <c r="G2780" s="440"/>
      <c r="H2780" s="448">
        <v>44402</v>
      </c>
    </row>
    <row r="2781" spans="1:8" ht="13.2">
      <c r="A2781" s="454" t="s">
        <v>1364</v>
      </c>
      <c r="B2781" s="452" t="str">
        <f>VLOOKUP(A2781,'Thống kê'!$C$3:$D$669,2,0)</f>
        <v>Móc khóa Popbean</v>
      </c>
      <c r="C2781" s="436" t="str">
        <f>VLOOKUP(A2781,'Thống kê'!$C$3:$E$682,3,0)</f>
        <v>cái</v>
      </c>
      <c r="D2781" s="437">
        <f>VLOOKUP(A2781,'Thống kê'!$C$3:$M$682,4,0)</f>
        <v>148000</v>
      </c>
      <c r="E2781" s="438">
        <v>1</v>
      </c>
      <c r="F2781" s="439">
        <f t="shared" si="11"/>
        <v>148000</v>
      </c>
      <c r="G2781" s="440"/>
      <c r="H2781" s="448">
        <v>144495</v>
      </c>
    </row>
    <row r="2782" spans="1:8" ht="13.2">
      <c r="A2782" s="454" t="s">
        <v>115</v>
      </c>
      <c r="B2782" s="452" t="str">
        <f>VLOOKUP(A2782,'Thống kê'!$C$3:$D$669,2,0)</f>
        <v>Heo ú</v>
      </c>
      <c r="C2782" s="436" t="str">
        <f>VLOOKUP(A2782,'Thống kê'!$C$3:$E$682,3,0)</f>
        <v>cái</v>
      </c>
      <c r="D2782" s="437">
        <f>VLOOKUP(A2782,'Thống kê'!$C$3:$M$682,4,0)</f>
        <v>59500</v>
      </c>
      <c r="E2782" s="438">
        <v>1</v>
      </c>
      <c r="F2782" s="439">
        <f t="shared" si="11"/>
        <v>59500</v>
      </c>
      <c r="G2782" s="440"/>
      <c r="H2782" s="448">
        <v>44677</v>
      </c>
    </row>
    <row r="2783" spans="1:8" ht="13.2">
      <c r="A2783" s="454" t="s">
        <v>1639</v>
      </c>
      <c r="B2783" s="452" t="str">
        <f>VLOOKUP(A2783,'Thống kê'!$C$3:$D$669,2,0)</f>
        <v>Móc khóa đôi Puppy</v>
      </c>
      <c r="C2783" s="436" t="str">
        <f>VLOOKUP(A2783,'Thống kê'!$C$3:$E$682,3,0)</f>
        <v>cái</v>
      </c>
      <c r="D2783" s="437">
        <f>VLOOKUP(A2783,'Thống kê'!$C$3:$M$682,4,0)</f>
        <v>59000</v>
      </c>
      <c r="E2783" s="438">
        <v>1</v>
      </c>
      <c r="F2783" s="439">
        <f t="shared" si="11"/>
        <v>59000</v>
      </c>
      <c r="G2783" s="440"/>
      <c r="H2783" s="448">
        <v>66510</v>
      </c>
    </row>
    <row r="2784" spans="1:8" ht="13.2">
      <c r="A2784" s="454" t="s">
        <v>115</v>
      </c>
      <c r="B2784" s="452" t="str">
        <f>VLOOKUP(A2784,'Thống kê'!$C$3:$D$669,2,0)</f>
        <v>Heo ú</v>
      </c>
      <c r="C2784" s="436" t="str">
        <f>VLOOKUP(A2784,'Thống kê'!$C$3:$E$682,3,0)</f>
        <v>cái</v>
      </c>
      <c r="D2784" s="437">
        <f>VLOOKUP(A2784,'Thống kê'!$C$3:$M$682,4,0)</f>
        <v>59500</v>
      </c>
      <c r="E2784" s="438">
        <v>1</v>
      </c>
      <c r="F2784" s="439">
        <f t="shared" si="11"/>
        <v>59500</v>
      </c>
      <c r="G2784" s="440"/>
      <c r="H2784" s="448">
        <v>44352</v>
      </c>
    </row>
    <row r="2785" spans="1:8" ht="13.2">
      <c r="A2785" s="454" t="s">
        <v>1632</v>
      </c>
      <c r="B2785" s="452" t="str">
        <f>VLOOKUP(A2785,'Thống kê'!$C$3:$D$669,2,0)</f>
        <v>Móc khóa đôi mèo trắng</v>
      </c>
      <c r="C2785" s="436" t="str">
        <f>VLOOKUP(A2785,'Thống kê'!$C$3:$E$682,3,0)</f>
        <v>cái</v>
      </c>
      <c r="D2785" s="437">
        <f>VLOOKUP(A2785,'Thống kê'!$C$3:$M$682,4,0)</f>
        <v>59000</v>
      </c>
      <c r="E2785" s="438">
        <v>1</v>
      </c>
      <c r="F2785" s="439">
        <f t="shared" si="11"/>
        <v>59000</v>
      </c>
      <c r="G2785" s="440"/>
      <c r="H2785" s="448">
        <v>45135</v>
      </c>
    </row>
    <row r="2786" spans="1:8" ht="13.2">
      <c r="A2786" s="454" t="s">
        <v>150</v>
      </c>
      <c r="B2786" s="452" t="str">
        <f>VLOOKUP(A2786,'Thống kê'!$C$3:$D$669,2,0)</f>
        <v>Móc khóa có chuông</v>
      </c>
      <c r="C2786" s="436" t="str">
        <f>VLOOKUP(A2786,'Thống kê'!$C$3:$E$682,3,0)</f>
        <v>cái</v>
      </c>
      <c r="D2786" s="437">
        <f>VLOOKUP(A2786,'Thống kê'!$C$3:$M$682,4,0)</f>
        <v>59000</v>
      </c>
      <c r="E2786" s="438">
        <v>1</v>
      </c>
      <c r="F2786" s="439">
        <f t="shared" si="11"/>
        <v>59000</v>
      </c>
      <c r="G2786" s="440"/>
      <c r="H2786" s="448">
        <v>45060</v>
      </c>
    </row>
    <row r="2787" spans="1:8" ht="13.2">
      <c r="A2787" s="454" t="s">
        <v>1625</v>
      </c>
      <c r="B2787" s="452" t="str">
        <f>VLOOKUP(A2787,'Thống kê'!$C$3:$D$669,2,0)</f>
        <v>Móc khóa đôi 2 mèo trắng nâu</v>
      </c>
      <c r="C2787" s="436" t="str">
        <f>VLOOKUP(A2787,'Thống kê'!$C$3:$E$682,3,0)</f>
        <v>cái</v>
      </c>
      <c r="D2787" s="437">
        <f>VLOOKUP(A2787,'Thống kê'!$C$3:$M$682,4,0)</f>
        <v>59000</v>
      </c>
      <c r="E2787" s="438">
        <v>1</v>
      </c>
      <c r="F2787" s="439">
        <f t="shared" si="11"/>
        <v>59000</v>
      </c>
      <c r="G2787" s="440"/>
      <c r="H2787" s="448">
        <v>45135</v>
      </c>
    </row>
    <row r="2788" spans="1:8" ht="13.2">
      <c r="A2788" s="454" t="s">
        <v>1337</v>
      </c>
      <c r="B2788" s="452" t="str">
        <f>VLOOKUP(A2788,'Thống kê'!$C$3:$D$669,2,0)</f>
        <v>Móc khóa chuối</v>
      </c>
      <c r="C2788" s="436" t="str">
        <f>VLOOKUP(A2788,'Thống kê'!$C$3:$E$682,3,0)</f>
        <v>cái</v>
      </c>
      <c r="D2788" s="437">
        <f>VLOOKUP(A2788,'Thống kê'!$C$3:$M$682,4,0)</f>
        <v>148000</v>
      </c>
      <c r="E2788" s="438">
        <v>1</v>
      </c>
      <c r="F2788" s="439">
        <f t="shared" si="11"/>
        <v>148000</v>
      </c>
      <c r="G2788" s="440"/>
      <c r="H2788" s="447">
        <v>150182</v>
      </c>
    </row>
    <row r="2789" spans="1:8" ht="13.2">
      <c r="A2789" s="454" t="s">
        <v>170</v>
      </c>
      <c r="B2789" s="452" t="str">
        <f>VLOOKUP(A2789,'Thống kê'!$C$3:$D$669,2,0)</f>
        <v>Móc khóa chuối</v>
      </c>
      <c r="C2789" s="436" t="str">
        <f>VLOOKUP(A2789,'Thống kê'!$C$3:$E$682,3,0)</f>
        <v>cái</v>
      </c>
      <c r="D2789" s="437">
        <f>VLOOKUP(A2789,'Thống kê'!$C$3:$M$682,4,0)</f>
        <v>148000</v>
      </c>
      <c r="E2789" s="438">
        <v>1</v>
      </c>
      <c r="F2789" s="439">
        <f t="shared" si="11"/>
        <v>148000</v>
      </c>
      <c r="G2789" s="440"/>
      <c r="H2789" s="450"/>
    </row>
    <row r="2790" spans="1:8" ht="13.2">
      <c r="A2790" s="454" t="s">
        <v>1716</v>
      </c>
      <c r="B2790" s="452" t="str">
        <f>VLOOKUP(A2790,'Thống kê'!$C$3:$D$669,2,0)</f>
        <v>Móc khóa đôi 2 quả lê có nam châm</v>
      </c>
      <c r="C2790" s="436" t="str">
        <f>VLOOKUP(A2790,'Thống kê'!$C$3:$E$682,3,0)</f>
        <v>cái</v>
      </c>
      <c r="D2790" s="437">
        <f>VLOOKUP(A2790,'Thống kê'!$C$3:$M$682,4,0)</f>
        <v>59000</v>
      </c>
      <c r="E2790" s="438">
        <v>1</v>
      </c>
      <c r="F2790" s="439">
        <f t="shared" si="11"/>
        <v>59000</v>
      </c>
      <c r="G2790" s="440"/>
      <c r="H2790" s="447">
        <v>91800</v>
      </c>
    </row>
    <row r="2791" spans="1:8" ht="13.2">
      <c r="A2791" s="454" t="s">
        <v>150</v>
      </c>
      <c r="B2791" s="452" t="str">
        <f>VLOOKUP(A2791,'Thống kê'!$C$3:$D$669,2,0)</f>
        <v>Móc khóa có chuông</v>
      </c>
      <c r="C2791" s="436" t="str">
        <f>VLOOKUP(A2791,'Thống kê'!$C$3:$E$682,3,0)</f>
        <v>cái</v>
      </c>
      <c r="D2791" s="437">
        <f>VLOOKUP(A2791,'Thống kê'!$C$3:$M$682,4,0)</f>
        <v>59000</v>
      </c>
      <c r="E2791" s="438">
        <v>1</v>
      </c>
      <c r="F2791" s="439">
        <f t="shared" si="11"/>
        <v>59000</v>
      </c>
      <c r="G2791" s="440"/>
      <c r="H2791" s="450"/>
    </row>
    <row r="2792" spans="1:8" ht="13.2">
      <c r="A2792" s="454" t="s">
        <v>1345</v>
      </c>
      <c r="B2792" s="452" t="str">
        <f>VLOOKUP(A2792,'Thống kê'!$C$3:$D$669,2,0)</f>
        <v>Móc khóa chuối</v>
      </c>
      <c r="C2792" s="436" t="str">
        <f>VLOOKUP(A2792,'Thống kê'!$C$3:$E$682,3,0)</f>
        <v>cái</v>
      </c>
      <c r="D2792" s="437">
        <f>VLOOKUP(A2792,'Thống kê'!$C$3:$M$682,4,0)</f>
        <v>148000</v>
      </c>
      <c r="E2792" s="438">
        <v>1</v>
      </c>
      <c r="F2792" s="439">
        <f t="shared" si="11"/>
        <v>148000</v>
      </c>
      <c r="G2792" s="440"/>
      <c r="H2792" s="447">
        <v>328610</v>
      </c>
    </row>
    <row r="2793" spans="1:8" ht="13.2">
      <c r="A2793" s="454" t="s">
        <v>1660</v>
      </c>
      <c r="B2793" s="452" t="str">
        <f>VLOOKUP(A2793,'Thống kê'!$C$3:$D$669,2,0)</f>
        <v>Móc khóa Popbean Skull Panda</v>
      </c>
      <c r="C2793" s="436" t="str">
        <f>VLOOKUP(A2793,'Thống kê'!$C$3:$E$682,3,0)</f>
        <v>cái</v>
      </c>
      <c r="D2793" s="437">
        <f>VLOOKUP(A2793,'Thống kê'!$C$3:$M$682,4,0)</f>
        <v>155000</v>
      </c>
      <c r="E2793" s="438">
        <v>1</v>
      </c>
      <c r="F2793" s="439">
        <f t="shared" si="11"/>
        <v>155000</v>
      </c>
      <c r="G2793" s="440"/>
      <c r="H2793" s="450"/>
    </row>
    <row r="2794" spans="1:8" ht="13.2">
      <c r="A2794" s="454" t="s">
        <v>1663</v>
      </c>
      <c r="B2794" s="452" t="str">
        <f>VLOOKUP(A2794,'Thống kê'!$C$3:$D$669,2,0)</f>
        <v>Móc khóa Popbean Zsiga</v>
      </c>
      <c r="C2794" s="436" t="str">
        <f>VLOOKUP(A2794,'Thống kê'!$C$3:$E$682,3,0)</f>
        <v>cái</v>
      </c>
      <c r="D2794" s="437">
        <f>VLOOKUP(A2794,'Thống kê'!$C$3:$M$682,4,0)</f>
        <v>148000</v>
      </c>
      <c r="E2794" s="438">
        <v>1</v>
      </c>
      <c r="F2794" s="439">
        <f t="shared" si="11"/>
        <v>148000</v>
      </c>
      <c r="G2794" s="440"/>
      <c r="H2794" s="450"/>
    </row>
    <row r="2795" spans="1:8" ht="13.2">
      <c r="A2795" s="454" t="s">
        <v>1591</v>
      </c>
      <c r="B2795" s="452" t="str">
        <f>VLOOKUP(A2795,'Thống kê'!$C$3:$D$669,2,0)</f>
        <v>Thỏ ú</v>
      </c>
      <c r="C2795" s="436" t="str">
        <f>VLOOKUP(A2795,'Thống kê'!$C$3:$E$682,3,0)</f>
        <v>cái</v>
      </c>
      <c r="D2795" s="437">
        <f>VLOOKUP(A2795,'Thống kê'!$C$3:$M$682,4,0)</f>
        <v>59500</v>
      </c>
      <c r="E2795" s="438">
        <v>1</v>
      </c>
      <c r="F2795" s="439">
        <f t="shared" si="11"/>
        <v>59500</v>
      </c>
      <c r="G2795" s="440"/>
      <c r="H2795" s="447">
        <v>111775</v>
      </c>
    </row>
    <row r="2796" spans="1:8" ht="13.2">
      <c r="A2796" s="454" t="s">
        <v>183</v>
      </c>
      <c r="B2796" s="452" t="str">
        <f>VLOOKUP(A2796,'Thống kê'!$C$3:$D$669,2,0)</f>
        <v>Thỏ máy bay gắn xe</v>
      </c>
      <c r="C2796" s="436" t="str">
        <f>VLOOKUP(A2796,'Thống kê'!$C$3:$E$682,3,0)</f>
        <v>cái</v>
      </c>
      <c r="D2796" s="437">
        <f>VLOOKUP(A2796,'Thống kê'!$C$3:$M$682,4,0)</f>
        <v>45000</v>
      </c>
      <c r="E2796" s="438">
        <v>2</v>
      </c>
      <c r="F2796" s="439">
        <f t="shared" si="11"/>
        <v>90000</v>
      </c>
      <c r="G2796" s="440"/>
      <c r="H2796" s="450"/>
    </row>
    <row r="2797" spans="1:8" ht="13.2">
      <c r="A2797" s="454" t="s">
        <v>1589</v>
      </c>
      <c r="B2797" s="452" t="str">
        <f>VLOOKUP(A2797,'Thống kê'!$C$3:$D$669,2,0)</f>
        <v>Heo ú bay</v>
      </c>
      <c r="C2797" s="436" t="str">
        <f>VLOOKUP(A2797,'Thống kê'!$C$3:$E$682,3,0)</f>
        <v>cái</v>
      </c>
      <c r="D2797" s="437">
        <f>VLOOKUP(A2797,'Thống kê'!$C$3:$M$682,4,0)</f>
        <v>64500</v>
      </c>
      <c r="E2797" s="438">
        <v>1</v>
      </c>
      <c r="F2797" s="439">
        <f t="shared" si="11"/>
        <v>64500</v>
      </c>
      <c r="G2797" s="440"/>
      <c r="H2797" s="447">
        <v>151504</v>
      </c>
    </row>
    <row r="2798" spans="1:8" ht="13.2">
      <c r="A2798" s="454" t="s">
        <v>1338</v>
      </c>
      <c r="B2798" s="452" t="str">
        <f>VLOOKUP(A2798,'Thống kê'!$C$3:$D$669,2,0)</f>
        <v>Móc khóa chuối</v>
      </c>
      <c r="C2798" s="436" t="str">
        <f>VLOOKUP(A2798,'Thống kê'!$C$3:$E$682,3,0)</f>
        <v>cái</v>
      </c>
      <c r="D2798" s="437">
        <f>VLOOKUP(A2798,'Thống kê'!$C$3:$M$682,4,0)</f>
        <v>148000</v>
      </c>
      <c r="E2798" s="438">
        <v>1</v>
      </c>
      <c r="F2798" s="439">
        <f t="shared" si="11"/>
        <v>148000</v>
      </c>
      <c r="G2798" s="440"/>
      <c r="H2798" s="450"/>
    </row>
    <row r="2799" spans="1:8" ht="13.2">
      <c r="A2799" s="454" t="s">
        <v>1622</v>
      </c>
      <c r="B2799" s="452" t="str">
        <f>VLOOKUP(A2799,'Thống kê'!$C$3:$D$669,2,0)</f>
        <v>Mô hình mèo 1</v>
      </c>
      <c r="C2799" s="436" t="str">
        <f>VLOOKUP(A2799,'Thống kê'!$C$3:$E$682,3,0)</f>
        <v>cái</v>
      </c>
      <c r="D2799" s="437">
        <f>VLOOKUP(A2799,'Thống kê'!$C$3:$M$682,4,0)</f>
        <v>37800</v>
      </c>
      <c r="E2799" s="438">
        <v>1</v>
      </c>
      <c r="F2799" s="439">
        <f t="shared" si="11"/>
        <v>37800</v>
      </c>
      <c r="G2799" s="440"/>
      <c r="H2799" s="450"/>
    </row>
    <row r="2800" spans="1:8" ht="13.2">
      <c r="A2800" s="454" t="s">
        <v>245</v>
      </c>
      <c r="B2800" s="452" t="str">
        <f>VLOOKUP(A2800,'Thống kê'!$C$3:$D$669,2,0)</f>
        <v>Móc khóa Popbean</v>
      </c>
      <c r="C2800" s="436" t="str">
        <f>VLOOKUP(A2800,'Thống kê'!$C$3:$E$682,3,0)</f>
        <v>cái</v>
      </c>
      <c r="D2800" s="437">
        <f>VLOOKUP(A2800,'Thống kê'!$C$3:$M$682,4,0)</f>
        <v>148000</v>
      </c>
      <c r="E2800" s="438">
        <v>1</v>
      </c>
      <c r="F2800" s="439">
        <f t="shared" si="11"/>
        <v>148000</v>
      </c>
      <c r="G2800" s="440"/>
      <c r="H2800" s="448">
        <v>144670</v>
      </c>
    </row>
    <row r="2801" spans="1:8" ht="13.2">
      <c r="A2801" s="454" t="s">
        <v>1365</v>
      </c>
      <c r="B2801" s="452" t="str">
        <f>VLOOKUP(A2801,'Thống kê'!$C$3:$D$669,2,0)</f>
        <v>Móc khóa Popbean</v>
      </c>
      <c r="C2801" s="436" t="str">
        <f>VLOOKUP(A2801,'Thống kê'!$C$3:$E$682,3,0)</f>
        <v>cái</v>
      </c>
      <c r="D2801" s="437">
        <f>VLOOKUP(A2801,'Thống kê'!$C$3:$M$682,4,0)</f>
        <v>148000</v>
      </c>
      <c r="E2801" s="438">
        <v>1</v>
      </c>
      <c r="F2801" s="439">
        <f t="shared" si="11"/>
        <v>148000</v>
      </c>
      <c r="G2801" s="440"/>
      <c r="H2801" s="447">
        <v>386750</v>
      </c>
    </row>
    <row r="2802" spans="1:8" ht="13.2">
      <c r="A2802" s="454" t="s">
        <v>1364</v>
      </c>
      <c r="B2802" s="452" t="str">
        <f>VLOOKUP(A2802,'Thống kê'!$C$3:$D$669,2,0)</f>
        <v>Móc khóa Popbean</v>
      </c>
      <c r="C2802" s="436" t="str">
        <f>VLOOKUP(A2802,'Thống kê'!$C$3:$E$682,3,0)</f>
        <v>cái</v>
      </c>
      <c r="D2802" s="437">
        <f>VLOOKUP(A2802,'Thống kê'!$C$3:$M$682,4,0)</f>
        <v>148000</v>
      </c>
      <c r="E2802" s="438">
        <v>1</v>
      </c>
      <c r="F2802" s="439">
        <f t="shared" si="11"/>
        <v>148000</v>
      </c>
      <c r="G2802" s="440"/>
      <c r="H2802" s="450"/>
    </row>
    <row r="2803" spans="1:8" ht="13.2">
      <c r="A2803" s="454" t="s">
        <v>1661</v>
      </c>
      <c r="B2803" s="452" t="str">
        <f>VLOOKUP(A2803,'Thống kê'!$C$3:$D$669,2,0)</f>
        <v>Móc khóa Popbean Kubo</v>
      </c>
      <c r="C2803" s="436" t="str">
        <f>VLOOKUP(A2803,'Thống kê'!$C$3:$E$682,3,0)</f>
        <v>cái</v>
      </c>
      <c r="D2803" s="437">
        <f>VLOOKUP(A2803,'Thống kê'!$C$3:$M$682,4,0)</f>
        <v>148000</v>
      </c>
      <c r="E2803" s="438">
        <v>1</v>
      </c>
      <c r="F2803" s="439">
        <f t="shared" si="11"/>
        <v>148000</v>
      </c>
      <c r="G2803" s="440"/>
      <c r="H2803" s="450"/>
    </row>
    <row r="2804" spans="1:8" ht="13.2">
      <c r="A2804" s="454" t="s">
        <v>1625</v>
      </c>
      <c r="B2804" s="452" t="str">
        <f>VLOOKUP(A2804,'Thống kê'!$C$3:$D$669,2,0)</f>
        <v>Móc khóa đôi 2 mèo trắng nâu</v>
      </c>
      <c r="C2804" s="436" t="str">
        <f>VLOOKUP(A2804,'Thống kê'!$C$3:$E$682,3,0)</f>
        <v>cái</v>
      </c>
      <c r="D2804" s="437">
        <f>VLOOKUP(A2804,'Thống kê'!$C$3:$M$682,4,0)</f>
        <v>59000</v>
      </c>
      <c r="E2804" s="438">
        <v>1</v>
      </c>
      <c r="F2804" s="439">
        <f t="shared" si="11"/>
        <v>59000</v>
      </c>
      <c r="G2804" s="440"/>
      <c r="H2804" s="448">
        <v>52735</v>
      </c>
    </row>
    <row r="2805" spans="1:8" ht="13.2">
      <c r="A2805" s="454" t="s">
        <v>1639</v>
      </c>
      <c r="B2805" s="452" t="str">
        <f>VLOOKUP(A2805,'Thống kê'!$C$3:$D$669,2,0)</f>
        <v>Móc khóa đôi Puppy</v>
      </c>
      <c r="C2805" s="436" t="str">
        <f>VLOOKUP(A2805,'Thống kê'!$C$3:$E$682,3,0)</f>
        <v>cái</v>
      </c>
      <c r="D2805" s="437">
        <f>VLOOKUP(A2805,'Thống kê'!$C$3:$M$682,4,0)</f>
        <v>59000</v>
      </c>
      <c r="E2805" s="438">
        <v>1</v>
      </c>
      <c r="F2805" s="439">
        <f t="shared" si="11"/>
        <v>59000</v>
      </c>
      <c r="G2805" s="440"/>
      <c r="H2805" s="448">
        <v>66510</v>
      </c>
    </row>
    <row r="2806" spans="1:8" ht="13.2">
      <c r="A2806" s="454" t="s">
        <v>150</v>
      </c>
      <c r="B2806" s="452" t="str">
        <f>VLOOKUP(A2806,'Thống kê'!$C$3:$D$669,2,0)</f>
        <v>Móc khóa có chuông</v>
      </c>
      <c r="C2806" s="436" t="str">
        <f>VLOOKUP(A2806,'Thống kê'!$C$3:$E$682,3,0)</f>
        <v>cái</v>
      </c>
      <c r="D2806" s="437">
        <f>VLOOKUP(A2806,'Thống kê'!$C$3:$M$682,4,0)</f>
        <v>59000</v>
      </c>
      <c r="E2806" s="438">
        <v>1</v>
      </c>
      <c r="F2806" s="439">
        <f t="shared" si="11"/>
        <v>59000</v>
      </c>
      <c r="G2806" s="440"/>
      <c r="H2806" s="448">
        <v>45135</v>
      </c>
    </row>
    <row r="2807" spans="1:8" ht="13.2">
      <c r="A2807" s="454" t="s">
        <v>1594</v>
      </c>
      <c r="B2807" s="452" t="str">
        <f>VLOOKUP(A2807,'Thống kê'!$C$3:$D$669,2,0)</f>
        <v>Móc khóa đôi heo</v>
      </c>
      <c r="C2807" s="436" t="str">
        <f>VLOOKUP(A2807,'Thống kê'!$C$3:$E$682,3,0)</f>
        <v>cái</v>
      </c>
      <c r="D2807" s="437">
        <f>VLOOKUP(A2807,'Thống kê'!$C$3:$M$682,4,0)</f>
        <v>56580</v>
      </c>
      <c r="E2807" s="438">
        <v>1</v>
      </c>
      <c r="F2807" s="439">
        <f t="shared" si="11"/>
        <v>56580</v>
      </c>
      <c r="G2807" s="440"/>
      <c r="H2807" s="448">
        <v>43284</v>
      </c>
    </row>
    <row r="2808" spans="1:8" ht="13.2">
      <c r="A2808" s="454" t="s">
        <v>150</v>
      </c>
      <c r="B2808" s="452" t="str">
        <f>VLOOKUP(A2808,'Thống kê'!$C$3:$D$669,2,0)</f>
        <v>Móc khóa có chuông</v>
      </c>
      <c r="C2808" s="436" t="str">
        <f>VLOOKUP(A2808,'Thống kê'!$C$3:$E$682,3,0)</f>
        <v>cái</v>
      </c>
      <c r="D2808" s="437">
        <f>VLOOKUP(A2808,'Thống kê'!$C$3:$M$682,4,0)</f>
        <v>59000</v>
      </c>
      <c r="E2808" s="438">
        <v>1</v>
      </c>
      <c r="F2808" s="439">
        <f t="shared" si="11"/>
        <v>59000</v>
      </c>
      <c r="G2808" s="440"/>
      <c r="H2808" s="448">
        <v>44010</v>
      </c>
    </row>
    <row r="2809" spans="1:8" ht="13.2">
      <c r="A2809" s="454" t="s">
        <v>325</v>
      </c>
      <c r="B2809" s="452" t="str">
        <f>VLOOKUP(A2809,'Thống kê'!$C$3:$D$669,2,0)</f>
        <v>Gấu ú</v>
      </c>
      <c r="C2809" s="436" t="str">
        <f>VLOOKUP(A2809,'Thống kê'!$C$3:$E$682,3,0)</f>
        <v>cái</v>
      </c>
      <c r="D2809" s="437">
        <f>VLOOKUP(A2809,'Thống kê'!$C$3:$M$682,4,0)</f>
        <v>59500</v>
      </c>
      <c r="E2809" s="438">
        <v>1</v>
      </c>
      <c r="F2809" s="439">
        <f t="shared" si="11"/>
        <v>59500</v>
      </c>
      <c r="G2809" s="440"/>
      <c r="H2809" s="448">
        <v>44677</v>
      </c>
    </row>
    <row r="2810" spans="1:8" ht="13.2">
      <c r="A2810" s="454" t="s">
        <v>1590</v>
      </c>
      <c r="B2810" s="452" t="str">
        <f>VLOOKUP(A2810,'Thống kê'!$C$3:$D$669,2,0)</f>
        <v>Cún ú hoa</v>
      </c>
      <c r="C2810" s="436" t="str">
        <f>VLOOKUP(A2810,'Thống kê'!$C$3:$E$682,3,0)</f>
        <v>cái</v>
      </c>
      <c r="D2810" s="437">
        <f>VLOOKUP(A2810,'Thống kê'!$C$3:$M$682,4,0)</f>
        <v>64500</v>
      </c>
      <c r="E2810" s="438">
        <v>1</v>
      </c>
      <c r="F2810" s="439">
        <f t="shared" si="11"/>
        <v>64500</v>
      </c>
      <c r="G2810" s="440"/>
      <c r="H2810" s="447">
        <v>92650</v>
      </c>
    </row>
    <row r="2811" spans="1:8" ht="13.2">
      <c r="A2811" s="454" t="s">
        <v>1210</v>
      </c>
      <c r="B2811" s="452" t="str">
        <f>VLOOKUP(A2811,'Thống kê'!$C$3:$D$669,2,0)</f>
        <v>Shiba ú cầm hoa</v>
      </c>
      <c r="C2811" s="436" t="str">
        <f>VLOOKUP(A2811,'Thống kê'!$C$3:$E$682,3,0)</f>
        <v>cái</v>
      </c>
      <c r="D2811" s="437">
        <f>VLOOKUP(A2811,'Thống kê'!$C$3:$M$682,4,0)</f>
        <v>64500</v>
      </c>
      <c r="E2811" s="438">
        <v>1</v>
      </c>
      <c r="F2811" s="439">
        <f t="shared" si="11"/>
        <v>64500</v>
      </c>
      <c r="G2811" s="440"/>
      <c r="H2811" s="450"/>
    </row>
    <row r="2812" spans="1:8" ht="13.2">
      <c r="A2812" s="454" t="s">
        <v>1364</v>
      </c>
      <c r="B2812" s="452" t="str">
        <f>VLOOKUP(A2812,'Thống kê'!$C$3:$D$669,2,0)</f>
        <v>Móc khóa Popbean</v>
      </c>
      <c r="C2812" s="436" t="str">
        <f>VLOOKUP(A2812,'Thống kê'!$C$3:$E$682,3,0)</f>
        <v>cái</v>
      </c>
      <c r="D2812" s="437">
        <f>VLOOKUP(A2812,'Thống kê'!$C$3:$M$682,4,0)</f>
        <v>148000</v>
      </c>
      <c r="E2812" s="438">
        <v>1</v>
      </c>
      <c r="F2812" s="439">
        <f t="shared" si="11"/>
        <v>148000</v>
      </c>
      <c r="G2812" s="440"/>
      <c r="H2812" s="448">
        <v>144670</v>
      </c>
    </row>
    <row r="2813" spans="1:8" ht="13.2">
      <c r="A2813" s="454" t="s">
        <v>1644</v>
      </c>
      <c r="B2813" s="452" t="str">
        <f>VLOOKUP(A2813,'Thống kê'!$C$3:$D$669,2,0)</f>
        <v>Túi chườm bụng dâu (xanh) 500ml</v>
      </c>
      <c r="C2813" s="436" t="str">
        <f>VLOOKUP(A2813,'Thống kê'!$C$3:$E$682,3,0)</f>
        <v>túi</v>
      </c>
      <c r="D2813" s="437">
        <f>VLOOKUP(A2813,'Thống kê'!$C$3:$M$682,4,0)</f>
        <v>78200</v>
      </c>
      <c r="E2813" s="438">
        <v>1</v>
      </c>
      <c r="F2813" s="439">
        <f t="shared" si="11"/>
        <v>78200</v>
      </c>
      <c r="G2813" s="440"/>
      <c r="H2813" s="448">
        <v>67090</v>
      </c>
    </row>
    <row r="2814" spans="1:8" ht="13.2">
      <c r="A2814" s="454" t="s">
        <v>1623</v>
      </c>
      <c r="B2814" s="452" t="str">
        <f>VLOOKUP(A2814,'Thống kê'!$C$3:$D$669,2,0)</f>
        <v>Mô hình mèo 5</v>
      </c>
      <c r="C2814" s="436" t="str">
        <f>VLOOKUP(A2814,'Thống kê'!$C$3:$E$682,3,0)</f>
        <v>cái</v>
      </c>
      <c r="D2814" s="437">
        <f>VLOOKUP(A2814,'Thống kê'!$C$3:$M$682,4,0)</f>
        <v>37800</v>
      </c>
      <c r="E2814" s="438">
        <v>1</v>
      </c>
      <c r="F2814" s="439">
        <f t="shared" si="11"/>
        <v>37800</v>
      </c>
      <c r="G2814" s="440"/>
      <c r="H2814" s="448">
        <v>32769</v>
      </c>
    </row>
    <row r="2815" spans="1:8" ht="13.2">
      <c r="A2815" s="454" t="s">
        <v>1625</v>
      </c>
      <c r="B2815" s="452" t="str">
        <f>VLOOKUP(A2815,'Thống kê'!$C$3:$D$669,2,0)</f>
        <v>Móc khóa đôi 2 mèo trắng nâu</v>
      </c>
      <c r="C2815" s="436" t="str">
        <f>VLOOKUP(A2815,'Thống kê'!$C$3:$E$682,3,0)</f>
        <v>cái</v>
      </c>
      <c r="D2815" s="437">
        <f>VLOOKUP(A2815,'Thống kê'!$C$3:$M$682,4,0)</f>
        <v>59000</v>
      </c>
      <c r="E2815" s="438">
        <v>1</v>
      </c>
      <c r="F2815" s="439">
        <f t="shared" si="11"/>
        <v>59000</v>
      </c>
      <c r="G2815" s="440"/>
      <c r="H2815" s="448">
        <v>44960</v>
      </c>
    </row>
    <row r="2816" spans="1:8" ht="13.2">
      <c r="A2816" s="454" t="s">
        <v>245</v>
      </c>
      <c r="B2816" s="452" t="str">
        <f>VLOOKUP(A2816,'Thống kê'!$C$3:$D$669,2,0)</f>
        <v>Móc khóa Popbean</v>
      </c>
      <c r="C2816" s="436" t="str">
        <f>VLOOKUP(A2816,'Thống kê'!$C$3:$E$682,3,0)</f>
        <v>cái</v>
      </c>
      <c r="D2816" s="437">
        <f>VLOOKUP(A2816,'Thống kê'!$C$3:$M$682,4,0)</f>
        <v>148000</v>
      </c>
      <c r="E2816" s="438">
        <v>1</v>
      </c>
      <c r="F2816" s="439">
        <f t="shared" si="11"/>
        <v>148000</v>
      </c>
      <c r="G2816" s="440"/>
      <c r="H2816" s="448">
        <v>143545</v>
      </c>
    </row>
    <row r="2817" spans="1:8" ht="13.2">
      <c r="A2817" s="454" t="s">
        <v>1345</v>
      </c>
      <c r="B2817" s="452" t="str">
        <f>VLOOKUP(A2817,'Thống kê'!$C$3:$D$669,2,0)</f>
        <v>Móc khóa chuối</v>
      </c>
      <c r="C2817" s="436" t="str">
        <f>VLOOKUP(A2817,'Thống kê'!$C$3:$E$682,3,0)</f>
        <v>cái</v>
      </c>
      <c r="D2817" s="437">
        <f>VLOOKUP(A2817,'Thống kê'!$C$3:$M$682,4,0)</f>
        <v>148000</v>
      </c>
      <c r="E2817" s="438">
        <v>1</v>
      </c>
      <c r="F2817" s="439">
        <f t="shared" si="11"/>
        <v>148000</v>
      </c>
      <c r="G2817" s="440"/>
      <c r="H2817" s="447">
        <v>156087</v>
      </c>
    </row>
    <row r="2818" spans="1:8" ht="13.2">
      <c r="A2818" s="454" t="s">
        <v>1346</v>
      </c>
      <c r="B2818" s="452" t="str">
        <f>VLOOKUP(A2818,'Thống kê'!$C$3:$D$669,2,0)</f>
        <v>Móc khóa chuối</v>
      </c>
      <c r="C2818" s="436" t="str">
        <f>VLOOKUP(A2818,'Thống kê'!$C$3:$E$682,3,0)</f>
        <v>cái</v>
      </c>
      <c r="D2818" s="437">
        <f>VLOOKUP(A2818,'Thống kê'!$C$3:$M$682,4,0)</f>
        <v>148000</v>
      </c>
      <c r="E2818" s="438">
        <v>1</v>
      </c>
      <c r="F2818" s="439">
        <f t="shared" si="11"/>
        <v>148000</v>
      </c>
      <c r="G2818" s="440"/>
      <c r="H2818" s="450"/>
    </row>
    <row r="2819" spans="1:8" ht="13.2">
      <c r="A2819" s="454" t="s">
        <v>2064</v>
      </c>
      <c r="B2819" s="452" t="str">
        <f>VLOOKUP(A2819,'Thống kê'!$C$3:$D$669,2,0)</f>
        <v>Kẹp tóc nâu đậm</v>
      </c>
      <c r="C2819" s="436" t="str">
        <f>VLOOKUP(A2819,'Thống kê'!$C$3:$E$682,3,0)</f>
        <v>cái</v>
      </c>
      <c r="D2819" s="437">
        <f>VLOOKUP(A2819,'Thống kê'!$C$3:$M$682,4,0)</f>
        <v>14000</v>
      </c>
      <c r="E2819" s="438">
        <v>1</v>
      </c>
      <c r="F2819" s="439">
        <f t="shared" si="11"/>
        <v>14000</v>
      </c>
      <c r="G2819" s="440"/>
      <c r="H2819" s="447">
        <v>44720</v>
      </c>
    </row>
    <row r="2820" spans="1:8" ht="13.2">
      <c r="A2820" s="454" t="s">
        <v>1995</v>
      </c>
      <c r="B2820" s="452" t="str">
        <f>VLOOKUP(A2820,'Thống kê'!$C$3:$D$669,2,0)</f>
        <v>Kẹp tóc be</v>
      </c>
      <c r="C2820" s="436" t="str">
        <f>VLOOKUP(A2820,'Thống kê'!$C$3:$E$682,3,0)</f>
        <v>cái</v>
      </c>
      <c r="D2820" s="437">
        <f>VLOOKUP(A2820,'Thống kê'!$C$3:$M$682,4,0)</f>
        <v>14000</v>
      </c>
      <c r="E2820" s="438">
        <v>1</v>
      </c>
      <c r="F2820" s="439">
        <f t="shared" si="11"/>
        <v>14000</v>
      </c>
      <c r="G2820" s="440"/>
      <c r="H2820" s="450"/>
    </row>
    <row r="2821" spans="1:8" ht="13.2">
      <c r="A2821" s="454" t="s">
        <v>2065</v>
      </c>
      <c r="B2821" s="452" t="str">
        <f>VLOOKUP(A2821,'Thống kê'!$C$3:$D$669,2,0)</f>
        <v>Ống 100 dây cột tóc đen nâu be</v>
      </c>
      <c r="C2821" s="436" t="str">
        <f>VLOOKUP(A2821,'Thống kê'!$C$3:$E$682,3,0)</f>
        <v>ống</v>
      </c>
      <c r="D2821" s="437">
        <f>VLOOKUP(A2821,'Thống kê'!$C$3:$M$682,4,0)</f>
        <v>30000</v>
      </c>
      <c r="E2821" s="438">
        <v>1</v>
      </c>
      <c r="F2821" s="439">
        <f t="shared" si="11"/>
        <v>30000</v>
      </c>
      <c r="G2821" s="440"/>
      <c r="H2821" s="450"/>
    </row>
    <row r="2822" spans="1:8" ht="13.2">
      <c r="A2822" s="454" t="s">
        <v>947</v>
      </c>
      <c r="B2822" s="452" t="str">
        <f>VLOOKUP(A2822,'Thống kê'!$C$3:$D$669,2,0)</f>
        <v>Viên khuếch tán tinh dầu 04 ( sea salt )</v>
      </c>
      <c r="C2822" s="436" t="str">
        <f>VLOOKUP(A2822,'Thống kê'!$C$3:$E$682,3,0)</f>
        <v>cái</v>
      </c>
      <c r="D2822" s="437">
        <f>VLOOKUP(A2822,'Thống kê'!$C$3:$M$682,4,0)</f>
        <v>8000</v>
      </c>
      <c r="E2822" s="438">
        <v>1</v>
      </c>
      <c r="F2822" s="439">
        <f t="shared" si="11"/>
        <v>8000</v>
      </c>
      <c r="G2822" s="440"/>
      <c r="H2822" s="450"/>
    </row>
    <row r="2823" spans="1:8" ht="13.2">
      <c r="A2823" s="454" t="s">
        <v>115</v>
      </c>
      <c r="B2823" s="452" t="str">
        <f>VLOOKUP(A2823,'Thống kê'!$C$3:$D$669,2,0)</f>
        <v>Heo ú</v>
      </c>
      <c r="C2823" s="436" t="str">
        <f>VLOOKUP(A2823,'Thống kê'!$C$3:$E$682,3,0)</f>
        <v>cái</v>
      </c>
      <c r="D2823" s="437">
        <f>VLOOKUP(A2823,'Thống kê'!$C$3:$M$682,4,0)</f>
        <v>59500</v>
      </c>
      <c r="E2823" s="438">
        <v>1</v>
      </c>
      <c r="F2823" s="439">
        <f t="shared" si="11"/>
        <v>59500</v>
      </c>
      <c r="G2823" s="440"/>
      <c r="H2823" s="448">
        <v>44752</v>
      </c>
    </row>
    <row r="2824" spans="1:8" ht="13.2">
      <c r="A2824" s="454" t="s">
        <v>150</v>
      </c>
      <c r="B2824" s="452" t="str">
        <f>VLOOKUP(A2824,'Thống kê'!$C$3:$D$669,2,0)</f>
        <v>Móc khóa có chuông</v>
      </c>
      <c r="C2824" s="436" t="str">
        <f>VLOOKUP(A2824,'Thống kê'!$C$3:$E$682,3,0)</f>
        <v>cái</v>
      </c>
      <c r="D2824" s="437">
        <f>VLOOKUP(A2824,'Thống kê'!$C$3:$M$682,4,0)</f>
        <v>59000</v>
      </c>
      <c r="E2824" s="438">
        <v>1</v>
      </c>
      <c r="F2824" s="439">
        <f t="shared" si="11"/>
        <v>59000</v>
      </c>
      <c r="G2824" s="440"/>
      <c r="H2824" s="448">
        <v>44735</v>
      </c>
    </row>
    <row r="2825" spans="1:8" ht="13.2">
      <c r="A2825" s="454" t="s">
        <v>150</v>
      </c>
      <c r="B2825" s="452" t="str">
        <f>VLOOKUP(A2825,'Thống kê'!$C$3:$D$669,2,0)</f>
        <v>Móc khóa có chuông</v>
      </c>
      <c r="C2825" s="436" t="str">
        <f>VLOOKUP(A2825,'Thống kê'!$C$3:$E$682,3,0)</f>
        <v>cái</v>
      </c>
      <c r="D2825" s="437">
        <f>VLOOKUP(A2825,'Thống kê'!$C$3:$M$682,4,0)</f>
        <v>59000</v>
      </c>
      <c r="E2825" s="438">
        <v>1</v>
      </c>
      <c r="F2825" s="439">
        <f t="shared" si="11"/>
        <v>59000</v>
      </c>
      <c r="G2825" s="440"/>
      <c r="H2825" s="448">
        <v>45060</v>
      </c>
    </row>
    <row r="2826" spans="1:8" ht="13.2">
      <c r="A2826" s="454" t="s">
        <v>1658</v>
      </c>
      <c r="B2826" s="452" t="str">
        <f>VLOOKUP(A2826,'Thống kê'!$C$3:$D$669,2,0)</f>
        <v>Móc khóa Popbean Dimoo</v>
      </c>
      <c r="C2826" s="436" t="str">
        <f>VLOOKUP(A2826,'Thống kê'!$C$3:$E$682,3,0)</f>
        <v>cái</v>
      </c>
      <c r="D2826" s="437">
        <f>VLOOKUP(A2826,'Thống kê'!$C$3:$M$682,4,0)</f>
        <v>165000</v>
      </c>
      <c r="E2826" s="438">
        <v>1</v>
      </c>
      <c r="F2826" s="439">
        <f t="shared" si="11"/>
        <v>165000</v>
      </c>
      <c r="G2826" s="440"/>
      <c r="H2826" s="447">
        <v>211140</v>
      </c>
    </row>
    <row r="2827" spans="1:8" ht="13.2">
      <c r="A2827" s="454" t="s">
        <v>1327</v>
      </c>
      <c r="B2827" s="452" t="str">
        <f>VLOOKUP(A2827,'Thống kê'!$C$3:$D$669,2,0)</f>
        <v>Móc khóa Popbean</v>
      </c>
      <c r="C2827" s="436" t="str">
        <f>VLOOKUP(A2827,'Thống kê'!$C$3:$E$682,3,0)</f>
        <v>cái</v>
      </c>
      <c r="D2827" s="437">
        <f>VLOOKUP(A2827,'Thống kê'!$C$3:$M$682,4,0)</f>
        <v>148000</v>
      </c>
      <c r="E2827" s="438">
        <v>1</v>
      </c>
      <c r="F2827" s="439">
        <f t="shared" si="11"/>
        <v>148000</v>
      </c>
      <c r="G2827" s="440"/>
      <c r="H2827" s="450"/>
    </row>
    <row r="2828" spans="1:8" ht="13.2">
      <c r="A2828" s="454" t="s">
        <v>1370</v>
      </c>
      <c r="B2828" s="452" t="str">
        <f>VLOOKUP(A2828,'Thống kê'!$C$3:$D$669,2,0)</f>
        <v>Móc khóa Popbean</v>
      </c>
      <c r="C2828" s="436" t="str">
        <f>VLOOKUP(A2828,'Thống kê'!$C$3:$E$682,3,0)</f>
        <v>cái</v>
      </c>
      <c r="D2828" s="437">
        <f>VLOOKUP(A2828,'Thống kê'!$C$3:$M$682,4,0)</f>
        <v>148000</v>
      </c>
      <c r="E2828" s="438">
        <v>1</v>
      </c>
      <c r="F2828" s="439">
        <f t="shared" si="11"/>
        <v>148000</v>
      </c>
      <c r="G2828" s="440"/>
      <c r="H2828" s="448">
        <v>131750</v>
      </c>
    </row>
    <row r="2829" spans="1:8" ht="13.2">
      <c r="A2829" s="454" t="s">
        <v>1342</v>
      </c>
      <c r="B2829" s="452" t="str">
        <f>VLOOKUP(A2829,'Thống kê'!$C$3:$D$669,2,0)</f>
        <v>Móc khóa chuối</v>
      </c>
      <c r="C2829" s="436" t="str">
        <f>VLOOKUP(A2829,'Thống kê'!$C$3:$E$682,3,0)</f>
        <v>cái</v>
      </c>
      <c r="D2829" s="437">
        <f>VLOOKUP(A2829,'Thống kê'!$C$3:$M$682,4,0)</f>
        <v>148000</v>
      </c>
      <c r="E2829" s="438">
        <v>1</v>
      </c>
      <c r="F2829" s="439">
        <f t="shared" si="11"/>
        <v>148000</v>
      </c>
      <c r="G2829" s="440"/>
      <c r="H2829" s="448">
        <v>75310</v>
      </c>
    </row>
    <row r="2830" spans="1:8" ht="13.2">
      <c r="A2830" s="454" t="s">
        <v>150</v>
      </c>
      <c r="B2830" s="452" t="str">
        <f>VLOOKUP(A2830,'Thống kê'!$C$3:$D$669,2,0)</f>
        <v>Móc khóa có chuông</v>
      </c>
      <c r="C2830" s="436" t="str">
        <f>VLOOKUP(A2830,'Thống kê'!$C$3:$E$682,3,0)</f>
        <v>cái</v>
      </c>
      <c r="D2830" s="437">
        <f>VLOOKUP(A2830,'Thống kê'!$C$3:$M$682,4,0)</f>
        <v>59000</v>
      </c>
      <c r="E2830" s="438">
        <v>1</v>
      </c>
      <c r="F2830" s="439">
        <f t="shared" si="11"/>
        <v>59000</v>
      </c>
      <c r="G2830" s="440"/>
      <c r="H2830" s="448">
        <v>45060</v>
      </c>
    </row>
    <row r="2831" spans="1:8" ht="13.2">
      <c r="A2831" s="454" t="s">
        <v>1662</v>
      </c>
      <c r="B2831" s="452" t="str">
        <f>VLOOKUP(A2831,'Thống kê'!$C$3:$D$669,2,0)</f>
        <v>Móc khóa Popbean Cry Baby</v>
      </c>
      <c r="C2831" s="436" t="str">
        <f>VLOOKUP(A2831,'Thống kê'!$C$3:$E$682,3,0)</f>
        <v>cái</v>
      </c>
      <c r="D2831" s="437">
        <f>VLOOKUP(A2831,'Thống kê'!$C$3:$M$682,4,0)</f>
        <v>148000</v>
      </c>
      <c r="E2831" s="438">
        <v>1</v>
      </c>
      <c r="F2831" s="439">
        <f t="shared" si="11"/>
        <v>148000</v>
      </c>
      <c r="G2831" s="440"/>
      <c r="H2831" s="448">
        <v>148000</v>
      </c>
    </row>
    <row r="2832" spans="1:8" ht="13.2">
      <c r="A2832" s="454" t="s">
        <v>1591</v>
      </c>
      <c r="B2832" s="452" t="str">
        <f>VLOOKUP(A2832,'Thống kê'!$C$3:$D$669,2,0)</f>
        <v>Thỏ ú</v>
      </c>
      <c r="C2832" s="436" t="str">
        <f>VLOOKUP(A2832,'Thống kê'!$C$3:$E$682,3,0)</f>
        <v>cái</v>
      </c>
      <c r="D2832" s="437">
        <f>VLOOKUP(A2832,'Thống kê'!$C$3:$M$682,4,0)</f>
        <v>59500</v>
      </c>
      <c r="E2832" s="438">
        <v>1</v>
      </c>
      <c r="F2832" s="439">
        <f t="shared" si="11"/>
        <v>59500</v>
      </c>
      <c r="G2832" s="440"/>
      <c r="H2832" s="447">
        <v>92650</v>
      </c>
    </row>
    <row r="2833" spans="1:8" ht="13.2">
      <c r="A2833" s="454" t="s">
        <v>128</v>
      </c>
      <c r="B2833" s="452" t="str">
        <f>VLOOKUP(A2833,'Thống kê'!$C$3:$D$669,2,0)</f>
        <v>Mèo ú bay</v>
      </c>
      <c r="C2833" s="436" t="str">
        <f>VLOOKUP(A2833,'Thống kê'!$C$3:$E$682,3,0)</f>
        <v>cái</v>
      </c>
      <c r="D2833" s="437">
        <f>VLOOKUP(A2833,'Thống kê'!$C$3:$M$682,4,0)</f>
        <v>64500</v>
      </c>
      <c r="E2833" s="438">
        <v>1</v>
      </c>
      <c r="F2833" s="439">
        <f t="shared" si="11"/>
        <v>64500</v>
      </c>
      <c r="G2833" s="440"/>
      <c r="H2833" s="450"/>
    </row>
    <row r="2834" spans="1:8" ht="13.2">
      <c r="A2834" s="454" t="s">
        <v>1591</v>
      </c>
      <c r="B2834" s="452" t="str">
        <f>VLOOKUP(A2834,'Thống kê'!$C$3:$D$669,2,0)</f>
        <v>Thỏ ú</v>
      </c>
      <c r="C2834" s="436" t="str">
        <f>VLOOKUP(A2834,'Thống kê'!$C$3:$E$682,3,0)</f>
        <v>cái</v>
      </c>
      <c r="D2834" s="437">
        <f>VLOOKUP(A2834,'Thống kê'!$C$3:$M$682,4,0)</f>
        <v>59500</v>
      </c>
      <c r="E2834" s="438">
        <v>1</v>
      </c>
      <c r="F2834" s="439">
        <f t="shared" si="11"/>
        <v>59500</v>
      </c>
      <c r="G2834" s="440"/>
      <c r="H2834" s="448">
        <v>44562</v>
      </c>
    </row>
    <row r="2835" spans="1:8" ht="13.2">
      <c r="A2835" s="454" t="s">
        <v>1640</v>
      </c>
      <c r="B2835" s="452" t="str">
        <f>VLOOKUP(A2835,'Thống kê'!$C$3:$D$669,2,0)</f>
        <v>Móc khóa đôi Capypara</v>
      </c>
      <c r="C2835" s="436" t="str">
        <f>VLOOKUP(A2835,'Thống kê'!$C$3:$E$682,3,0)</f>
        <v>cái</v>
      </c>
      <c r="D2835" s="437">
        <f>VLOOKUP(A2835,'Thống kê'!$C$3:$M$682,4,0)</f>
        <v>59000</v>
      </c>
      <c r="E2835" s="438">
        <v>1</v>
      </c>
      <c r="F2835" s="439">
        <f t="shared" si="11"/>
        <v>59000</v>
      </c>
      <c r="G2835" s="440"/>
      <c r="H2835" s="448">
        <v>43700</v>
      </c>
    </row>
    <row r="2836" spans="1:8" ht="13.2">
      <c r="A2836" s="454" t="s">
        <v>1642</v>
      </c>
      <c r="B2836" s="452" t="str">
        <f>VLOOKUP(A2836,'Thống kê'!$C$3:$D$669,2,0)</f>
        <v>Túi chườm bụng dứa (xanh đậm) 1000ml</v>
      </c>
      <c r="C2836" s="436" t="str">
        <f>VLOOKUP(A2836,'Thống kê'!$C$3:$E$682,3,0)</f>
        <v>túi</v>
      </c>
      <c r="D2836" s="437">
        <f>VLOOKUP(A2836,'Thống kê'!$C$3:$M$682,4,0)</f>
        <v>101150</v>
      </c>
      <c r="E2836" s="438">
        <v>1</v>
      </c>
      <c r="F2836" s="439">
        <f t="shared" si="11"/>
        <v>101150</v>
      </c>
      <c r="G2836" s="440"/>
      <c r="H2836" s="448">
        <v>94725</v>
      </c>
    </row>
    <row r="2837" spans="1:8" ht="13.2">
      <c r="A2837" s="454" t="s">
        <v>116</v>
      </c>
      <c r="B2837" s="452" t="str">
        <f>VLOOKUP(A2837,'Thống kê'!$C$3:$D$669,2,0)</f>
        <v>heo ú cầm hoa</v>
      </c>
      <c r="C2837" s="436" t="str">
        <f>VLOOKUP(A2837,'Thống kê'!$C$3:$E$682,3,0)</f>
        <v>cái</v>
      </c>
      <c r="D2837" s="437">
        <f>VLOOKUP(A2837,'Thống kê'!$C$3:$M$682,4,0)</f>
        <v>64500</v>
      </c>
      <c r="E2837" s="438">
        <v>1</v>
      </c>
      <c r="F2837" s="439">
        <f t="shared" si="11"/>
        <v>64500</v>
      </c>
      <c r="G2837" s="440"/>
      <c r="H2837" s="448">
        <v>52352</v>
      </c>
    </row>
    <row r="2838" spans="1:8" ht="13.2">
      <c r="A2838" s="454" t="s">
        <v>1625</v>
      </c>
      <c r="B2838" s="452" t="str">
        <f>VLOOKUP(A2838,'Thống kê'!$C$3:$D$669,2,0)</f>
        <v>Móc khóa đôi 2 mèo trắng nâu</v>
      </c>
      <c r="C2838" s="436" t="str">
        <f>VLOOKUP(A2838,'Thống kê'!$C$3:$E$682,3,0)</f>
        <v>cái</v>
      </c>
      <c r="D2838" s="437">
        <f>VLOOKUP(A2838,'Thống kê'!$C$3:$M$682,4,0)</f>
        <v>59000</v>
      </c>
      <c r="E2838" s="438">
        <v>1</v>
      </c>
      <c r="F2838" s="439">
        <f t="shared" si="11"/>
        <v>59000</v>
      </c>
      <c r="G2838" s="440"/>
      <c r="H2838" s="447">
        <v>93500</v>
      </c>
    </row>
    <row r="2839" spans="1:8" ht="13.2">
      <c r="A2839" s="454" t="s">
        <v>150</v>
      </c>
      <c r="B2839" s="452" t="str">
        <f>VLOOKUP(A2839,'Thống kê'!$C$3:$D$669,2,0)</f>
        <v>Móc khóa có chuông</v>
      </c>
      <c r="C2839" s="436" t="str">
        <f>VLOOKUP(A2839,'Thống kê'!$C$3:$E$682,3,0)</f>
        <v>cái</v>
      </c>
      <c r="D2839" s="437">
        <f>VLOOKUP(A2839,'Thống kê'!$C$3:$M$682,4,0)</f>
        <v>59000</v>
      </c>
      <c r="E2839" s="438">
        <v>1</v>
      </c>
      <c r="F2839" s="439">
        <f t="shared" si="11"/>
        <v>59000</v>
      </c>
      <c r="G2839" s="440"/>
      <c r="H2839" s="450"/>
    </row>
    <row r="2840" spans="1:8" ht="13.2">
      <c r="A2840" s="454" t="s">
        <v>165</v>
      </c>
      <c r="B2840" s="452" t="str">
        <f>VLOOKUP(A2840,'Thống kê'!$C$3:$D$669,2,0)</f>
        <v>Móc khóa Popbean</v>
      </c>
      <c r="C2840" s="436" t="str">
        <f>VLOOKUP(A2840,'Thống kê'!$C$3:$E$682,3,0)</f>
        <v>cái</v>
      </c>
      <c r="D2840" s="437">
        <f>VLOOKUP(A2840,'Thống kê'!$C$3:$M$682,4,0)</f>
        <v>148000</v>
      </c>
      <c r="E2840" s="438">
        <v>1</v>
      </c>
      <c r="F2840" s="439">
        <f t="shared" si="11"/>
        <v>148000</v>
      </c>
      <c r="G2840" s="440"/>
      <c r="H2840" s="447">
        <v>258060</v>
      </c>
    </row>
    <row r="2841" spans="1:8" ht="13.2">
      <c r="A2841" s="454" t="s">
        <v>1365</v>
      </c>
      <c r="B2841" s="452" t="str">
        <f>VLOOKUP(A2841,'Thống kê'!$C$3:$D$669,2,0)</f>
        <v>Móc khóa Popbean</v>
      </c>
      <c r="C2841" s="436" t="str">
        <f>VLOOKUP(A2841,'Thống kê'!$C$3:$E$682,3,0)</f>
        <v>cái</v>
      </c>
      <c r="D2841" s="437">
        <f>VLOOKUP(A2841,'Thống kê'!$C$3:$M$682,4,0)</f>
        <v>148000</v>
      </c>
      <c r="E2841" s="438">
        <v>1</v>
      </c>
      <c r="F2841" s="439">
        <f t="shared" si="11"/>
        <v>148000</v>
      </c>
      <c r="G2841" s="440"/>
      <c r="H2841" s="450"/>
    </row>
    <row r="2842" spans="1:8" ht="13.2">
      <c r="A2842" s="454" t="s">
        <v>1625</v>
      </c>
      <c r="B2842" s="452" t="str">
        <f>VLOOKUP(A2842,'Thống kê'!$C$3:$D$669,2,0)</f>
        <v>Móc khóa đôi 2 mèo trắng nâu</v>
      </c>
      <c r="C2842" s="436" t="str">
        <f>VLOOKUP(A2842,'Thống kê'!$C$3:$E$682,3,0)</f>
        <v>cái</v>
      </c>
      <c r="D2842" s="437">
        <f>VLOOKUP(A2842,'Thống kê'!$C$3:$M$682,4,0)</f>
        <v>59000</v>
      </c>
      <c r="E2842" s="438">
        <v>1</v>
      </c>
      <c r="F2842" s="439">
        <f t="shared" si="11"/>
        <v>59000</v>
      </c>
      <c r="G2842" s="440"/>
      <c r="H2842" s="448">
        <v>44935</v>
      </c>
    </row>
    <row r="2843" spans="1:8" ht="13.2">
      <c r="A2843" s="454" t="s">
        <v>1587</v>
      </c>
      <c r="B2843" s="452" t="str">
        <f>VLOOKUP(A2843,'Thống kê'!$C$3:$D$669,2,0)</f>
        <v>Vịt ú bay</v>
      </c>
      <c r="C2843" s="436" t="str">
        <f>VLOOKUP(A2843,'Thống kê'!$C$3:$E$682,3,0)</f>
        <v>cái</v>
      </c>
      <c r="D2843" s="437">
        <f>VLOOKUP(A2843,'Thống kê'!$C$3:$M$682,4,0)</f>
        <v>64500</v>
      </c>
      <c r="E2843" s="438">
        <v>1</v>
      </c>
      <c r="F2843" s="439">
        <f t="shared" si="11"/>
        <v>64500</v>
      </c>
      <c r="G2843" s="440"/>
      <c r="H2843" s="447">
        <v>92650</v>
      </c>
    </row>
    <row r="2844" spans="1:8" ht="13.2">
      <c r="A2844" s="454" t="s">
        <v>115</v>
      </c>
      <c r="B2844" s="452" t="str">
        <f>VLOOKUP(A2844,'Thống kê'!$C$3:$D$669,2,0)</f>
        <v>Heo ú</v>
      </c>
      <c r="C2844" s="436" t="str">
        <f>VLOOKUP(A2844,'Thống kê'!$C$3:$E$682,3,0)</f>
        <v>cái</v>
      </c>
      <c r="D2844" s="437">
        <f>VLOOKUP(A2844,'Thống kê'!$C$3:$M$682,4,0)</f>
        <v>59500</v>
      </c>
      <c r="E2844" s="438">
        <v>1</v>
      </c>
      <c r="F2844" s="439">
        <f t="shared" si="11"/>
        <v>59500</v>
      </c>
      <c r="G2844" s="440"/>
      <c r="H2844" s="450"/>
    </row>
    <row r="2845" spans="1:8" ht="13.2">
      <c r="A2845" s="454" t="s">
        <v>1642</v>
      </c>
      <c r="B2845" s="452" t="str">
        <f>VLOOKUP(A2845,'Thống kê'!$C$3:$D$669,2,0)</f>
        <v>Túi chườm bụng dứa (xanh đậm) 1000ml</v>
      </c>
      <c r="C2845" s="436" t="str">
        <f>VLOOKUP(A2845,'Thống kê'!$C$3:$E$682,3,0)</f>
        <v>túi</v>
      </c>
      <c r="D2845" s="437">
        <f>VLOOKUP(A2845,'Thống kê'!$C$3:$M$682,4,0)</f>
        <v>101150</v>
      </c>
      <c r="E2845" s="438">
        <v>1</v>
      </c>
      <c r="F2845" s="439">
        <f t="shared" si="11"/>
        <v>101150</v>
      </c>
      <c r="G2845" s="440"/>
      <c r="H2845" s="448">
        <v>92650</v>
      </c>
    </row>
    <row r="2846" spans="1:8" ht="13.2">
      <c r="A2846" s="454" t="s">
        <v>1342</v>
      </c>
      <c r="B2846" s="452" t="str">
        <f>VLOOKUP(A2846,'Thống kê'!$C$3:$D$669,2,0)</f>
        <v>Móc khóa chuối</v>
      </c>
      <c r="C2846" s="436" t="str">
        <f>VLOOKUP(A2846,'Thống kê'!$C$3:$E$682,3,0)</f>
        <v>cái</v>
      </c>
      <c r="D2846" s="437">
        <f>VLOOKUP(A2846,'Thống kê'!$C$3:$M$682,4,0)</f>
        <v>148000</v>
      </c>
      <c r="E2846" s="438">
        <v>1</v>
      </c>
      <c r="F2846" s="439">
        <f t="shared" si="11"/>
        <v>148000</v>
      </c>
      <c r="G2846" s="440"/>
      <c r="H2846" s="447">
        <v>151082</v>
      </c>
    </row>
    <row r="2847" spans="1:8" ht="13.2">
      <c r="A2847" s="454" t="s">
        <v>170</v>
      </c>
      <c r="B2847" s="452" t="str">
        <f>VLOOKUP(A2847,'Thống kê'!$C$3:$D$669,2,0)</f>
        <v>Móc khóa chuối</v>
      </c>
      <c r="C2847" s="436" t="str">
        <f>VLOOKUP(A2847,'Thống kê'!$C$3:$E$682,3,0)</f>
        <v>cái</v>
      </c>
      <c r="D2847" s="437">
        <f>VLOOKUP(A2847,'Thống kê'!$C$3:$M$682,4,0)</f>
        <v>148000</v>
      </c>
      <c r="E2847" s="438">
        <v>1</v>
      </c>
      <c r="F2847" s="439">
        <f t="shared" si="11"/>
        <v>148000</v>
      </c>
      <c r="G2847" s="440"/>
      <c r="H2847" s="450"/>
    </row>
    <row r="2848" spans="1:8" ht="13.2">
      <c r="A2848" s="454" t="s">
        <v>115</v>
      </c>
      <c r="B2848" s="452" t="str">
        <f>VLOOKUP(A2848,'Thống kê'!$C$3:$D$669,2,0)</f>
        <v>Heo ú</v>
      </c>
      <c r="C2848" s="436" t="str">
        <f>VLOOKUP(A2848,'Thống kê'!$C$3:$E$682,3,0)</f>
        <v>cái</v>
      </c>
      <c r="D2848" s="437">
        <f>VLOOKUP(A2848,'Thống kê'!$C$3:$M$682,4,0)</f>
        <v>59500</v>
      </c>
      <c r="E2848" s="438">
        <v>1</v>
      </c>
      <c r="F2848" s="439">
        <f t="shared" si="11"/>
        <v>59500</v>
      </c>
      <c r="G2848" s="440"/>
      <c r="H2848" s="447">
        <v>90950</v>
      </c>
    </row>
    <row r="2849" spans="1:8" ht="13.2">
      <c r="A2849" s="454" t="s">
        <v>1590</v>
      </c>
      <c r="B2849" s="452" t="str">
        <f>VLOOKUP(A2849,'Thống kê'!$C$3:$D$669,2,0)</f>
        <v>Cún ú hoa</v>
      </c>
      <c r="C2849" s="436" t="str">
        <f>VLOOKUP(A2849,'Thống kê'!$C$3:$E$682,3,0)</f>
        <v>cái</v>
      </c>
      <c r="D2849" s="437">
        <f>VLOOKUP(A2849,'Thống kê'!$C$3:$M$682,4,0)</f>
        <v>64500</v>
      </c>
      <c r="E2849" s="438">
        <v>1</v>
      </c>
      <c r="F2849" s="439">
        <f t="shared" si="11"/>
        <v>64500</v>
      </c>
      <c r="G2849" s="440"/>
      <c r="H2849" s="450"/>
    </row>
    <row r="2850" spans="1:8" ht="13.2">
      <c r="A2850" s="454" t="s">
        <v>165</v>
      </c>
      <c r="B2850" s="452" t="str">
        <f>VLOOKUP(A2850,'Thống kê'!$C$3:$D$669,2,0)</f>
        <v>Móc khóa Popbean</v>
      </c>
      <c r="C2850" s="436" t="str">
        <f>VLOOKUP(A2850,'Thống kê'!$C$3:$E$682,3,0)</f>
        <v>cái</v>
      </c>
      <c r="D2850" s="437">
        <f>VLOOKUP(A2850,'Thống kê'!$C$3:$M$682,4,0)</f>
        <v>148000</v>
      </c>
      <c r="E2850" s="438">
        <v>1</v>
      </c>
      <c r="F2850" s="439">
        <f t="shared" si="11"/>
        <v>148000</v>
      </c>
      <c r="G2850" s="440"/>
      <c r="H2850" s="447">
        <v>684250</v>
      </c>
    </row>
    <row r="2851" spans="1:8" ht="13.2">
      <c r="A2851" s="454" t="s">
        <v>1364</v>
      </c>
      <c r="B2851" s="452" t="str">
        <f>VLOOKUP(A2851,'Thống kê'!$C$3:$D$669,2,0)</f>
        <v>Móc khóa Popbean</v>
      </c>
      <c r="C2851" s="436" t="str">
        <f>VLOOKUP(A2851,'Thống kê'!$C$3:$E$682,3,0)</f>
        <v>cái</v>
      </c>
      <c r="D2851" s="437">
        <f>VLOOKUP(A2851,'Thống kê'!$C$3:$M$682,4,0)</f>
        <v>148000</v>
      </c>
      <c r="E2851" s="438">
        <v>1</v>
      </c>
      <c r="F2851" s="439">
        <f t="shared" si="11"/>
        <v>148000</v>
      </c>
      <c r="G2851" s="440"/>
      <c r="H2851" s="450"/>
    </row>
    <row r="2852" spans="1:8" ht="13.2">
      <c r="A2852" s="454" t="s">
        <v>245</v>
      </c>
      <c r="B2852" s="452" t="str">
        <f>VLOOKUP(A2852,'Thống kê'!$C$3:$D$669,2,0)</f>
        <v>Móc khóa Popbean</v>
      </c>
      <c r="C2852" s="436" t="str">
        <f>VLOOKUP(A2852,'Thống kê'!$C$3:$E$682,3,0)</f>
        <v>cái</v>
      </c>
      <c r="D2852" s="437">
        <f>VLOOKUP(A2852,'Thống kê'!$C$3:$M$682,4,0)</f>
        <v>148000</v>
      </c>
      <c r="E2852" s="438">
        <v>1</v>
      </c>
      <c r="F2852" s="439">
        <f t="shared" si="11"/>
        <v>148000</v>
      </c>
      <c r="G2852" s="440"/>
      <c r="H2852" s="450"/>
    </row>
    <row r="2853" spans="1:8" ht="13.2">
      <c r="A2853" s="454" t="s">
        <v>1663</v>
      </c>
      <c r="B2853" s="452" t="str">
        <f>VLOOKUP(A2853,'Thống kê'!$C$3:$D$669,2,0)</f>
        <v>Móc khóa Popbean Zsiga</v>
      </c>
      <c r="C2853" s="436" t="str">
        <f>VLOOKUP(A2853,'Thống kê'!$C$3:$E$682,3,0)</f>
        <v>cái</v>
      </c>
      <c r="D2853" s="437">
        <f>VLOOKUP(A2853,'Thống kê'!$C$3:$M$682,4,0)</f>
        <v>148000</v>
      </c>
      <c r="E2853" s="438">
        <v>1</v>
      </c>
      <c r="F2853" s="439">
        <f t="shared" si="11"/>
        <v>148000</v>
      </c>
      <c r="G2853" s="440"/>
      <c r="H2853" s="450"/>
    </row>
    <row r="2854" spans="1:8" ht="13.2">
      <c r="A2854" s="454" t="s">
        <v>1372</v>
      </c>
      <c r="B2854" s="452" t="str">
        <f>VLOOKUP(A2854,'Thống kê'!$C$3:$D$669,2,0)</f>
        <v>Móc khóa Popbean</v>
      </c>
      <c r="C2854" s="436" t="str">
        <f>VLOOKUP(A2854,'Thống kê'!$C$3:$E$682,3,0)</f>
        <v>cái</v>
      </c>
      <c r="D2854" s="437">
        <f>VLOOKUP(A2854,'Thống kê'!$C$3:$M$682,4,0)</f>
        <v>148000</v>
      </c>
      <c r="E2854" s="438">
        <v>1</v>
      </c>
      <c r="F2854" s="439">
        <f t="shared" si="11"/>
        <v>148000</v>
      </c>
      <c r="G2854" s="440"/>
      <c r="H2854" s="450"/>
    </row>
    <row r="2855" spans="1:8" ht="13.2">
      <c r="A2855" s="454" t="s">
        <v>1591</v>
      </c>
      <c r="B2855" s="452" t="str">
        <f>VLOOKUP(A2855,'Thống kê'!$C$3:$D$669,2,0)</f>
        <v>Thỏ ú</v>
      </c>
      <c r="C2855" s="436" t="str">
        <f>VLOOKUP(A2855,'Thống kê'!$C$3:$E$682,3,0)</f>
        <v>cái</v>
      </c>
      <c r="D2855" s="437">
        <f>VLOOKUP(A2855,'Thống kê'!$C$3:$M$682,4,0)</f>
        <v>59500</v>
      </c>
      <c r="E2855" s="438">
        <v>1</v>
      </c>
      <c r="F2855" s="439">
        <f t="shared" si="11"/>
        <v>59500</v>
      </c>
      <c r="G2855" s="440"/>
      <c r="H2855" s="448">
        <v>43927</v>
      </c>
    </row>
    <row r="2856" spans="1:8" ht="13.2">
      <c r="A2856" s="454" t="s">
        <v>1591</v>
      </c>
      <c r="B2856" s="452" t="str">
        <f>VLOOKUP(A2856,'Thống kê'!$C$3:$D$669,2,0)</f>
        <v>Thỏ ú</v>
      </c>
      <c r="C2856" s="436" t="str">
        <f>VLOOKUP(A2856,'Thống kê'!$C$3:$E$682,3,0)</f>
        <v>cái</v>
      </c>
      <c r="D2856" s="437">
        <f>VLOOKUP(A2856,'Thống kê'!$C$3:$M$682,4,0)</f>
        <v>59500</v>
      </c>
      <c r="E2856" s="438">
        <v>1</v>
      </c>
      <c r="F2856" s="439">
        <f t="shared" si="11"/>
        <v>59500</v>
      </c>
      <c r="G2856" s="440"/>
      <c r="H2856" s="447">
        <v>90950</v>
      </c>
    </row>
    <row r="2857" spans="1:8" ht="13.2">
      <c r="A2857" s="454" t="s">
        <v>1210</v>
      </c>
      <c r="B2857" s="452" t="str">
        <f>VLOOKUP(A2857,'Thống kê'!$C$3:$D$669,2,0)</f>
        <v>Shiba ú cầm hoa</v>
      </c>
      <c r="C2857" s="436" t="str">
        <f>VLOOKUP(A2857,'Thống kê'!$C$3:$E$682,3,0)</f>
        <v>cái</v>
      </c>
      <c r="D2857" s="437">
        <f>VLOOKUP(A2857,'Thống kê'!$C$3:$M$682,4,0)</f>
        <v>64500</v>
      </c>
      <c r="E2857" s="438">
        <v>1</v>
      </c>
      <c r="F2857" s="439">
        <f t="shared" si="11"/>
        <v>64500</v>
      </c>
      <c r="G2857" s="440"/>
      <c r="H2857" s="450"/>
    </row>
    <row r="2858" spans="1:8" ht="13.2">
      <c r="A2858" s="454" t="s">
        <v>245</v>
      </c>
      <c r="B2858" s="452" t="str">
        <f>VLOOKUP(A2858,'Thống kê'!$C$3:$D$669,2,0)</f>
        <v>Móc khóa Popbean</v>
      </c>
      <c r="C2858" s="436" t="str">
        <f>VLOOKUP(A2858,'Thống kê'!$C$3:$E$682,3,0)</f>
        <v>cái</v>
      </c>
      <c r="D2858" s="437">
        <f>VLOOKUP(A2858,'Thống kê'!$C$3:$M$682,4,0)</f>
        <v>148000</v>
      </c>
      <c r="E2858" s="438">
        <v>1</v>
      </c>
      <c r="F2858" s="439">
        <f t="shared" si="11"/>
        <v>148000</v>
      </c>
      <c r="G2858" s="440"/>
      <c r="H2858" s="448">
        <v>144670</v>
      </c>
    </row>
    <row r="2859" spans="1:8" ht="13.2">
      <c r="A2859" s="454" t="s">
        <v>1588</v>
      </c>
      <c r="B2859" s="452" t="str">
        <f>VLOOKUP(A2859,'Thống kê'!$C$3:$D$669,2,0)</f>
        <v>Heo ú hoa</v>
      </c>
      <c r="C2859" s="436" t="str">
        <f>VLOOKUP(A2859,'Thống kê'!$C$3:$E$682,3,0)</f>
        <v>cái</v>
      </c>
      <c r="D2859" s="437">
        <f>VLOOKUP(A2859,'Thống kê'!$C$3:$M$682,4,0)</f>
        <v>64500</v>
      </c>
      <c r="E2859" s="438">
        <v>1</v>
      </c>
      <c r="F2859" s="439">
        <f t="shared" si="11"/>
        <v>64500</v>
      </c>
      <c r="G2859" s="440"/>
      <c r="H2859" s="448">
        <v>44352</v>
      </c>
    </row>
    <row r="2860" spans="1:8" ht="13.2">
      <c r="A2860" s="454" t="s">
        <v>116</v>
      </c>
      <c r="B2860" s="452" t="str">
        <f>VLOOKUP(A2860,'Thống kê'!$C$3:$D$669,2,0)</f>
        <v>heo ú cầm hoa</v>
      </c>
      <c r="C2860" s="436" t="str">
        <f>VLOOKUP(A2860,'Thống kê'!$C$3:$E$682,3,0)</f>
        <v>cái</v>
      </c>
      <c r="D2860" s="437">
        <f>VLOOKUP(A2860,'Thống kê'!$C$3:$M$682,4,0)</f>
        <v>64500</v>
      </c>
      <c r="E2860" s="438">
        <v>1</v>
      </c>
      <c r="F2860" s="439">
        <f t="shared" ref="F2860:F3114" si="12">D2860*E2860</f>
        <v>64500</v>
      </c>
      <c r="G2860" s="440"/>
      <c r="H2860" s="448">
        <v>44762</v>
      </c>
    </row>
    <row r="2861" spans="1:8" ht="13.2">
      <c r="A2861" s="454" t="s">
        <v>116</v>
      </c>
      <c r="B2861" s="452" t="str">
        <f>VLOOKUP(A2861,'Thống kê'!$C$3:$D$669,2,0)</f>
        <v>heo ú cầm hoa</v>
      </c>
      <c r="C2861" s="436" t="str">
        <f>VLOOKUP(A2861,'Thống kê'!$C$3:$E$682,3,0)</f>
        <v>cái</v>
      </c>
      <c r="D2861" s="437">
        <f>VLOOKUP(A2861,'Thống kê'!$C$3:$M$682,4,0)</f>
        <v>64500</v>
      </c>
      <c r="E2861" s="438">
        <v>1</v>
      </c>
      <c r="F2861" s="439">
        <f t="shared" si="12"/>
        <v>64500</v>
      </c>
      <c r="G2861" s="440"/>
      <c r="H2861" s="448">
        <v>44352</v>
      </c>
    </row>
    <row r="2862" spans="1:8" ht="13.2">
      <c r="A2862" s="454" t="s">
        <v>1625</v>
      </c>
      <c r="B2862" s="452" t="str">
        <f>VLOOKUP(A2862,'Thống kê'!$C$3:$D$669,2,0)</f>
        <v>Móc khóa đôi 2 mèo trắng nâu</v>
      </c>
      <c r="C2862" s="436" t="str">
        <f>VLOOKUP(A2862,'Thống kê'!$C$3:$E$682,3,0)</f>
        <v>cái</v>
      </c>
      <c r="D2862" s="437">
        <f>VLOOKUP(A2862,'Thống kê'!$C$3:$M$682,4,0)</f>
        <v>59000</v>
      </c>
      <c r="E2862" s="438">
        <v>1</v>
      </c>
      <c r="F2862" s="439">
        <f t="shared" si="12"/>
        <v>59000</v>
      </c>
      <c r="G2862" s="440"/>
      <c r="H2862" s="448">
        <v>45060</v>
      </c>
    </row>
    <row r="2863" spans="1:8" ht="13.2">
      <c r="A2863" s="454" t="s">
        <v>150</v>
      </c>
      <c r="B2863" s="452" t="str">
        <f>VLOOKUP(A2863,'Thống kê'!$C$3:$D$669,2,0)</f>
        <v>Móc khóa có chuông</v>
      </c>
      <c r="C2863" s="436" t="str">
        <f>VLOOKUP(A2863,'Thống kê'!$C$3:$E$682,3,0)</f>
        <v>cái</v>
      </c>
      <c r="D2863" s="437">
        <f>VLOOKUP(A2863,'Thống kê'!$C$3:$M$682,4,0)</f>
        <v>59000</v>
      </c>
      <c r="E2863" s="438">
        <v>1</v>
      </c>
      <c r="F2863" s="439">
        <f t="shared" si="12"/>
        <v>59000</v>
      </c>
      <c r="G2863" s="440"/>
      <c r="H2863" s="448">
        <v>45060</v>
      </c>
    </row>
    <row r="2864" spans="1:8" ht="13.2">
      <c r="A2864" s="454" t="s">
        <v>1594</v>
      </c>
      <c r="B2864" s="452" t="str">
        <f>VLOOKUP(A2864,'Thống kê'!$C$3:$D$669,2,0)</f>
        <v>Móc khóa đôi heo</v>
      </c>
      <c r="C2864" s="436" t="str">
        <f>VLOOKUP(A2864,'Thống kê'!$C$3:$E$682,3,0)</f>
        <v>cái</v>
      </c>
      <c r="D2864" s="437">
        <f>VLOOKUP(A2864,'Thống kê'!$C$3:$M$682,4,0)</f>
        <v>56580</v>
      </c>
      <c r="E2864" s="438">
        <v>1</v>
      </c>
      <c r="F2864" s="439">
        <f t="shared" si="12"/>
        <v>56580</v>
      </c>
      <c r="G2864" s="440"/>
      <c r="H2864" s="448">
        <v>43209</v>
      </c>
    </row>
    <row r="2865" spans="1:8" ht="13.2">
      <c r="A2865" s="454" t="s">
        <v>1594</v>
      </c>
      <c r="B2865" s="452" t="str">
        <f>VLOOKUP(A2865,'Thống kê'!$C$3:$D$669,2,0)</f>
        <v>Móc khóa đôi heo</v>
      </c>
      <c r="C2865" s="436" t="str">
        <f>VLOOKUP(A2865,'Thống kê'!$C$3:$E$682,3,0)</f>
        <v>cái</v>
      </c>
      <c r="D2865" s="437">
        <f>VLOOKUP(A2865,'Thống kê'!$C$3:$M$682,4,0)</f>
        <v>56580</v>
      </c>
      <c r="E2865" s="438">
        <v>1</v>
      </c>
      <c r="F2865" s="439">
        <f t="shared" si="12"/>
        <v>56580</v>
      </c>
      <c r="G2865" s="440"/>
      <c r="H2865" s="448">
        <v>43209</v>
      </c>
    </row>
    <row r="2866" spans="1:8" ht="13.2">
      <c r="A2866" s="454" t="s">
        <v>1642</v>
      </c>
      <c r="B2866" s="452" t="str">
        <f>VLOOKUP(A2866,'Thống kê'!$C$3:$D$669,2,0)</f>
        <v>Túi chườm bụng dứa (xanh đậm) 1000ml</v>
      </c>
      <c r="C2866" s="436" t="str">
        <f>VLOOKUP(A2866,'Thống kê'!$C$3:$E$682,3,0)</f>
        <v>túi</v>
      </c>
      <c r="D2866" s="437">
        <f>VLOOKUP(A2866,'Thống kê'!$C$3:$M$682,4,0)</f>
        <v>101150</v>
      </c>
      <c r="E2866" s="438">
        <v>1</v>
      </c>
      <c r="F2866" s="439">
        <f t="shared" si="12"/>
        <v>101150</v>
      </c>
      <c r="G2866" s="440"/>
      <c r="H2866" s="448">
        <v>66461</v>
      </c>
    </row>
    <row r="2867" spans="1:8" ht="13.2">
      <c r="A2867" s="454" t="s">
        <v>150</v>
      </c>
      <c r="B2867" s="452" t="str">
        <f>VLOOKUP(A2867,'Thống kê'!$C$3:$D$669,2,0)</f>
        <v>Móc khóa có chuông</v>
      </c>
      <c r="C2867" s="436" t="str">
        <f>VLOOKUP(A2867,'Thống kê'!$C$3:$E$682,3,0)</f>
        <v>cái</v>
      </c>
      <c r="D2867" s="437">
        <f>VLOOKUP(A2867,'Thống kê'!$C$3:$M$682,4,0)</f>
        <v>59000</v>
      </c>
      <c r="E2867" s="438">
        <v>1</v>
      </c>
      <c r="F2867" s="439">
        <f t="shared" si="12"/>
        <v>59000</v>
      </c>
      <c r="G2867" s="440"/>
      <c r="H2867" s="448">
        <v>45135</v>
      </c>
    </row>
    <row r="2868" spans="1:8" ht="13.2">
      <c r="A2868" s="454" t="s">
        <v>245</v>
      </c>
      <c r="B2868" s="452" t="str">
        <f>VLOOKUP(A2868,'Thống kê'!$C$3:$D$669,2,0)</f>
        <v>Móc khóa Popbean</v>
      </c>
      <c r="C2868" s="436" t="str">
        <f>VLOOKUP(A2868,'Thống kê'!$C$3:$E$682,3,0)</f>
        <v>cái</v>
      </c>
      <c r="D2868" s="437">
        <f>VLOOKUP(A2868,'Thống kê'!$C$3:$M$682,4,0)</f>
        <v>148000</v>
      </c>
      <c r="E2868" s="438">
        <v>1</v>
      </c>
      <c r="F2868" s="439">
        <f t="shared" si="12"/>
        <v>148000</v>
      </c>
      <c r="G2868" s="440"/>
      <c r="H2868" s="447">
        <v>273700</v>
      </c>
    </row>
    <row r="2869" spans="1:8" ht="13.2">
      <c r="A2869" s="454" t="s">
        <v>1371</v>
      </c>
      <c r="B2869" s="452" t="str">
        <f>VLOOKUP(A2869,'Thống kê'!$C$3:$D$669,2,0)</f>
        <v>Móc khóa Popbean</v>
      </c>
      <c r="C2869" s="436" t="str">
        <f>VLOOKUP(A2869,'Thống kê'!$C$3:$E$682,3,0)</f>
        <v>cái</v>
      </c>
      <c r="D2869" s="437">
        <f>VLOOKUP(A2869,'Thống kê'!$C$3:$M$682,4,0)</f>
        <v>148000</v>
      </c>
      <c r="E2869" s="438">
        <v>1</v>
      </c>
      <c r="F2869" s="439">
        <f t="shared" si="12"/>
        <v>148000</v>
      </c>
      <c r="G2869" s="440"/>
      <c r="H2869" s="450"/>
    </row>
    <row r="2870" spans="1:8" ht="13.2">
      <c r="A2870" s="454" t="s">
        <v>1625</v>
      </c>
      <c r="B2870" s="452" t="str">
        <f>VLOOKUP(A2870,'Thống kê'!$C$3:$D$669,2,0)</f>
        <v>Móc khóa đôi 2 mèo trắng nâu</v>
      </c>
      <c r="C2870" s="436" t="str">
        <f>VLOOKUP(A2870,'Thống kê'!$C$3:$E$682,3,0)</f>
        <v>cái</v>
      </c>
      <c r="D2870" s="437">
        <f>VLOOKUP(A2870,'Thống kê'!$C$3:$M$682,4,0)</f>
        <v>59000</v>
      </c>
      <c r="E2870" s="438">
        <v>1</v>
      </c>
      <c r="F2870" s="439">
        <f t="shared" si="12"/>
        <v>59000</v>
      </c>
      <c r="G2870" s="440"/>
      <c r="H2870" s="448">
        <v>45060</v>
      </c>
    </row>
    <row r="2871" spans="1:8" ht="13.2">
      <c r="A2871" s="454" t="s">
        <v>245</v>
      </c>
      <c r="B2871" s="452" t="str">
        <f>VLOOKUP(A2871,'Thống kê'!$C$3:$D$669,2,0)</f>
        <v>Móc khóa Popbean</v>
      </c>
      <c r="C2871" s="436" t="str">
        <f>VLOOKUP(A2871,'Thống kê'!$C$3:$E$682,3,0)</f>
        <v>cái</v>
      </c>
      <c r="D2871" s="437">
        <f>VLOOKUP(A2871,'Thống kê'!$C$3:$M$682,4,0)</f>
        <v>148000</v>
      </c>
      <c r="E2871" s="438">
        <v>1</v>
      </c>
      <c r="F2871" s="439">
        <f t="shared" si="12"/>
        <v>148000</v>
      </c>
      <c r="G2871" s="440"/>
      <c r="H2871" s="448">
        <v>143035</v>
      </c>
    </row>
    <row r="2872" spans="1:8" ht="13.2">
      <c r="A2872" s="454" t="s">
        <v>1639</v>
      </c>
      <c r="B2872" s="452" t="str">
        <f>VLOOKUP(A2872,'Thống kê'!$C$3:$D$669,2,0)</f>
        <v>Móc khóa đôi Puppy</v>
      </c>
      <c r="C2872" s="436" t="str">
        <f>VLOOKUP(A2872,'Thống kê'!$C$3:$E$682,3,0)</f>
        <v>cái</v>
      </c>
      <c r="D2872" s="437">
        <f>VLOOKUP(A2872,'Thống kê'!$C$3:$M$682,4,0)</f>
        <v>59000</v>
      </c>
      <c r="E2872" s="438">
        <v>1</v>
      </c>
      <c r="F2872" s="439">
        <f t="shared" si="12"/>
        <v>59000</v>
      </c>
      <c r="G2872" s="440"/>
      <c r="H2872" s="448">
        <v>44485</v>
      </c>
    </row>
    <row r="2873" spans="1:8" ht="13.2">
      <c r="A2873" s="454" t="s">
        <v>1600</v>
      </c>
      <c r="B2873" s="452" t="str">
        <f>VLOOKUP(A2873,'Thống kê'!$C$3:$D$669,2,0)</f>
        <v>Dao rọc giấy 18</v>
      </c>
      <c r="C2873" s="436" t="str">
        <f>VLOOKUP(A2873,'Thống kê'!$C$3:$E$682,3,0)</f>
        <v>cái</v>
      </c>
      <c r="D2873" s="437">
        <f>VLOOKUP(A2873,'Thống kê'!$C$3:$M$682,4,0)</f>
        <v>12000</v>
      </c>
      <c r="E2873" s="438">
        <v>1</v>
      </c>
      <c r="F2873" s="439">
        <f t="shared" si="12"/>
        <v>12000</v>
      </c>
      <c r="G2873" s="440"/>
      <c r="H2873" s="447">
        <v>75123</v>
      </c>
    </row>
    <row r="2874" spans="1:8" ht="13.2">
      <c r="A2874" s="454" t="s">
        <v>1644</v>
      </c>
      <c r="B2874" s="452" t="str">
        <f>VLOOKUP(A2874,'Thống kê'!$C$3:$D$669,2,0)</f>
        <v>Túi chườm bụng dâu (xanh) 500ml</v>
      </c>
      <c r="C2874" s="436" t="str">
        <f>VLOOKUP(A2874,'Thống kê'!$C$3:$E$682,3,0)</f>
        <v>túi</v>
      </c>
      <c r="D2874" s="437">
        <f>VLOOKUP(A2874,'Thống kê'!$C$3:$M$682,4,0)</f>
        <v>78200</v>
      </c>
      <c r="E2874" s="438">
        <v>1</v>
      </c>
      <c r="F2874" s="439">
        <f t="shared" si="12"/>
        <v>78200</v>
      </c>
      <c r="G2874" s="440"/>
      <c r="H2874" s="450"/>
    </row>
    <row r="2875" spans="1:8" ht="13.2">
      <c r="A2875" s="454" t="s">
        <v>143</v>
      </c>
      <c r="B2875" s="452" t="str">
        <f>VLOOKUP(A2875,'Thống kê'!$C$3:$D$669,2,0)</f>
        <v>Mèo ú</v>
      </c>
      <c r="C2875" s="436" t="str">
        <f>VLOOKUP(A2875,'Thống kê'!$C$3:$E$682,3,0)</f>
        <v>cái</v>
      </c>
      <c r="D2875" s="437">
        <f>VLOOKUP(A2875,'Thống kê'!$C$3:$M$682,4,0)</f>
        <v>59500</v>
      </c>
      <c r="E2875" s="438">
        <v>1</v>
      </c>
      <c r="F2875" s="439">
        <f t="shared" si="12"/>
        <v>59500</v>
      </c>
      <c r="G2875" s="440"/>
      <c r="H2875" s="448">
        <v>45142</v>
      </c>
    </row>
    <row r="2876" spans="1:8" ht="13.2">
      <c r="A2876" s="454" t="s">
        <v>115</v>
      </c>
      <c r="B2876" s="452" t="str">
        <f>VLOOKUP(A2876,'Thống kê'!$C$3:$D$669,2,0)</f>
        <v>Heo ú</v>
      </c>
      <c r="C2876" s="436" t="str">
        <f>VLOOKUP(A2876,'Thống kê'!$C$3:$E$682,3,0)</f>
        <v>cái</v>
      </c>
      <c r="D2876" s="437">
        <f>VLOOKUP(A2876,'Thống kê'!$C$3:$M$682,4,0)</f>
        <v>59500</v>
      </c>
      <c r="E2876" s="438">
        <v>1</v>
      </c>
      <c r="F2876" s="439">
        <f t="shared" si="12"/>
        <v>59500</v>
      </c>
      <c r="G2876" s="440"/>
      <c r="H2876" s="448">
        <v>45117</v>
      </c>
    </row>
    <row r="2877" spans="1:8" ht="13.2">
      <c r="A2877" s="454" t="s">
        <v>1591</v>
      </c>
      <c r="B2877" s="452" t="str">
        <f>VLOOKUP(A2877,'Thống kê'!$C$3:$D$669,2,0)</f>
        <v>Thỏ ú</v>
      </c>
      <c r="C2877" s="436" t="str">
        <f>VLOOKUP(A2877,'Thống kê'!$C$3:$E$682,3,0)</f>
        <v>cái</v>
      </c>
      <c r="D2877" s="437">
        <f>VLOOKUP(A2877,'Thống kê'!$C$3:$M$682,4,0)</f>
        <v>59500</v>
      </c>
      <c r="E2877" s="438">
        <v>1</v>
      </c>
      <c r="F2877" s="439">
        <f t="shared" si="12"/>
        <v>59500</v>
      </c>
      <c r="G2877" s="440"/>
      <c r="H2877" s="448">
        <v>45517</v>
      </c>
    </row>
    <row r="2878" spans="1:8" ht="13.2">
      <c r="A2878" s="454" t="s">
        <v>1716</v>
      </c>
      <c r="B2878" s="452" t="str">
        <f>VLOOKUP(A2878,'Thống kê'!$C$3:$D$669,2,0)</f>
        <v>Móc khóa đôi 2 quả lê có nam châm</v>
      </c>
      <c r="C2878" s="436" t="str">
        <f>VLOOKUP(A2878,'Thống kê'!$C$3:$E$682,3,0)</f>
        <v>cái</v>
      </c>
      <c r="D2878" s="437">
        <f>VLOOKUP(A2878,'Thống kê'!$C$3:$M$682,4,0)</f>
        <v>59000</v>
      </c>
      <c r="E2878" s="438">
        <v>1</v>
      </c>
      <c r="F2878" s="439">
        <f t="shared" si="12"/>
        <v>59000</v>
      </c>
      <c r="G2878" s="440"/>
      <c r="H2878" s="448">
        <v>44835</v>
      </c>
    </row>
    <row r="2879" spans="1:8" ht="13.2">
      <c r="A2879" s="454" t="s">
        <v>231</v>
      </c>
      <c r="B2879" s="452" t="str">
        <f>VLOOKUP(A2879,'Thống kê'!$C$3:$D$669,2,0)</f>
        <v>Móc khóa đôi gấu trúc</v>
      </c>
      <c r="C2879" s="436" t="str">
        <f>VLOOKUP(A2879,'Thống kê'!$C$3:$E$682,3,0)</f>
        <v>cái</v>
      </c>
      <c r="D2879" s="437">
        <f>VLOOKUP(A2879,'Thống kê'!$C$3:$M$682,4,0)</f>
        <v>56580</v>
      </c>
      <c r="E2879" s="438">
        <v>1</v>
      </c>
      <c r="F2879" s="439">
        <f t="shared" si="12"/>
        <v>56580</v>
      </c>
      <c r="G2879" s="440"/>
      <c r="H2879" s="448">
        <v>43209</v>
      </c>
    </row>
    <row r="2880" spans="1:8" ht="13.2">
      <c r="A2880" s="454" t="s">
        <v>150</v>
      </c>
      <c r="B2880" s="452" t="str">
        <f>VLOOKUP(A2880,'Thống kê'!$C$3:$D$669,2,0)</f>
        <v>Móc khóa có chuông</v>
      </c>
      <c r="C2880" s="436" t="str">
        <f>VLOOKUP(A2880,'Thống kê'!$C$3:$E$682,3,0)</f>
        <v>cái</v>
      </c>
      <c r="D2880" s="437">
        <f>VLOOKUP(A2880,'Thống kê'!$C$3:$M$682,4,0)</f>
        <v>59000</v>
      </c>
      <c r="E2880" s="438">
        <v>1</v>
      </c>
      <c r="F2880" s="439">
        <f t="shared" si="12"/>
        <v>59000</v>
      </c>
      <c r="G2880" s="440"/>
      <c r="H2880" s="448">
        <v>45060</v>
      </c>
    </row>
    <row r="2881" spans="1:8" ht="13.2">
      <c r="A2881" s="454" t="s">
        <v>115</v>
      </c>
      <c r="B2881" s="452" t="str">
        <f>VLOOKUP(A2881,'Thống kê'!$C$3:$D$669,2,0)</f>
        <v>Heo ú</v>
      </c>
      <c r="C2881" s="436" t="str">
        <f>VLOOKUP(A2881,'Thống kê'!$C$3:$E$682,3,0)</f>
        <v>cái</v>
      </c>
      <c r="D2881" s="437">
        <f>VLOOKUP(A2881,'Thống kê'!$C$3:$M$682,4,0)</f>
        <v>59500</v>
      </c>
      <c r="E2881" s="438">
        <v>1</v>
      </c>
      <c r="F2881" s="439">
        <f t="shared" si="12"/>
        <v>59500</v>
      </c>
      <c r="G2881" s="440"/>
      <c r="H2881" s="447">
        <v>98600</v>
      </c>
    </row>
    <row r="2882" spans="1:8" ht="13.2">
      <c r="A2882" s="454" t="s">
        <v>1588</v>
      </c>
      <c r="B2882" s="452" t="str">
        <f>VLOOKUP(A2882,'Thống kê'!$C$3:$D$669,2,0)</f>
        <v>Heo ú hoa</v>
      </c>
      <c r="C2882" s="436" t="str">
        <f>VLOOKUP(A2882,'Thống kê'!$C$3:$E$682,3,0)</f>
        <v>cái</v>
      </c>
      <c r="D2882" s="437">
        <f>VLOOKUP(A2882,'Thống kê'!$C$3:$M$682,4,0)</f>
        <v>64500</v>
      </c>
      <c r="E2882" s="438">
        <v>1</v>
      </c>
      <c r="F2882" s="439">
        <f t="shared" si="12"/>
        <v>64500</v>
      </c>
      <c r="G2882" s="440"/>
      <c r="H2882" s="450"/>
    </row>
    <row r="2883" spans="1:8" ht="13.2">
      <c r="A2883" s="454" t="s">
        <v>1342</v>
      </c>
      <c r="B2883" s="452" t="str">
        <f>VLOOKUP(A2883,'Thống kê'!$C$3:$D$669,2,0)</f>
        <v>Móc khóa chuối</v>
      </c>
      <c r="C2883" s="436" t="str">
        <f>VLOOKUP(A2883,'Thống kê'!$C$3:$E$682,3,0)</f>
        <v>cái</v>
      </c>
      <c r="D2883" s="437">
        <f>VLOOKUP(A2883,'Thống kê'!$C$3:$M$682,4,0)</f>
        <v>148000</v>
      </c>
      <c r="E2883" s="438">
        <v>1</v>
      </c>
      <c r="F2883" s="439">
        <f t="shared" si="12"/>
        <v>148000</v>
      </c>
      <c r="G2883" s="440"/>
      <c r="H2883" s="448">
        <v>75235</v>
      </c>
    </row>
    <row r="2884" spans="1:8" ht="13.2">
      <c r="A2884" s="454" t="s">
        <v>1625</v>
      </c>
      <c r="B2884" s="452" t="str">
        <f>VLOOKUP(A2884,'Thống kê'!$C$3:$D$669,2,0)</f>
        <v>Móc khóa đôi 2 mèo trắng nâu</v>
      </c>
      <c r="C2884" s="436" t="str">
        <f>VLOOKUP(A2884,'Thống kê'!$C$3:$E$682,3,0)</f>
        <v>cái</v>
      </c>
      <c r="D2884" s="437">
        <f>VLOOKUP(A2884,'Thống kê'!$C$3:$M$682,4,0)</f>
        <v>59000</v>
      </c>
      <c r="E2884" s="438">
        <v>2</v>
      </c>
      <c r="F2884" s="439">
        <f t="shared" si="12"/>
        <v>118000</v>
      </c>
      <c r="G2884" s="440"/>
      <c r="H2884" s="448">
        <v>91800</v>
      </c>
    </row>
    <row r="2885" spans="1:8" ht="13.2">
      <c r="A2885" s="454" t="s">
        <v>1716</v>
      </c>
      <c r="B2885" s="452" t="str">
        <f>VLOOKUP(A2885,'Thống kê'!$C$3:$D$669,2,0)</f>
        <v>Móc khóa đôi 2 quả lê có nam châm</v>
      </c>
      <c r="C2885" s="436" t="str">
        <f>VLOOKUP(A2885,'Thống kê'!$C$3:$E$682,3,0)</f>
        <v>cái</v>
      </c>
      <c r="D2885" s="437">
        <f>VLOOKUP(A2885,'Thống kê'!$C$3:$M$682,4,0)</f>
        <v>59000</v>
      </c>
      <c r="E2885" s="438">
        <v>1</v>
      </c>
      <c r="F2885" s="439">
        <f t="shared" si="12"/>
        <v>59000</v>
      </c>
      <c r="G2885" s="440"/>
      <c r="H2885" s="448">
        <v>44785</v>
      </c>
    </row>
    <row r="2886" spans="1:8" ht="13.2">
      <c r="A2886" s="454" t="s">
        <v>1344</v>
      </c>
      <c r="B2886" s="452" t="str">
        <f>VLOOKUP(A2886,'Thống kê'!$C$3:$D$669,2,0)</f>
        <v>Móc khóa chuối</v>
      </c>
      <c r="C2886" s="436" t="str">
        <f>VLOOKUP(A2886,'Thống kê'!$C$3:$E$682,3,0)</f>
        <v>cái</v>
      </c>
      <c r="D2886" s="437">
        <f>VLOOKUP(A2886,'Thống kê'!$C$3:$M$682,4,0)</f>
        <v>148000</v>
      </c>
      <c r="E2886" s="438">
        <v>1</v>
      </c>
      <c r="F2886" s="439">
        <f t="shared" si="12"/>
        <v>148000</v>
      </c>
      <c r="G2886" s="440"/>
      <c r="H2886" s="448">
        <v>78850</v>
      </c>
    </row>
    <row r="2887" spans="1:8" ht="13.2">
      <c r="A2887" s="454" t="s">
        <v>1594</v>
      </c>
      <c r="B2887" s="452" t="str">
        <f>VLOOKUP(A2887,'Thống kê'!$C$3:$D$669,2,0)</f>
        <v>Móc khóa đôi heo</v>
      </c>
      <c r="C2887" s="436" t="str">
        <f>VLOOKUP(A2887,'Thống kê'!$C$3:$E$682,3,0)</f>
        <v>cái</v>
      </c>
      <c r="D2887" s="437">
        <f>VLOOKUP(A2887,'Thống kê'!$C$3:$M$682,4,0)</f>
        <v>56580</v>
      </c>
      <c r="E2887" s="438">
        <v>1</v>
      </c>
      <c r="F2887" s="439">
        <f t="shared" si="12"/>
        <v>56580</v>
      </c>
      <c r="G2887" s="440"/>
      <c r="H2887" s="448">
        <v>43109</v>
      </c>
    </row>
    <row r="2888" spans="1:8" ht="13.2">
      <c r="A2888" s="454" t="s">
        <v>245</v>
      </c>
      <c r="B2888" s="452" t="str">
        <f>VLOOKUP(A2888,'Thống kê'!$C$3:$D$669,2,0)</f>
        <v>Móc khóa Popbean</v>
      </c>
      <c r="C2888" s="436" t="str">
        <f>VLOOKUP(A2888,'Thống kê'!$C$3:$E$682,3,0)</f>
        <v>cái</v>
      </c>
      <c r="D2888" s="437">
        <f>VLOOKUP(A2888,'Thống kê'!$C$3:$M$682,4,0)</f>
        <v>148000</v>
      </c>
      <c r="E2888" s="438">
        <v>1</v>
      </c>
      <c r="F2888" s="439">
        <f t="shared" si="12"/>
        <v>148000</v>
      </c>
      <c r="G2888" s="440"/>
      <c r="H2888" s="447">
        <v>273325</v>
      </c>
    </row>
    <row r="2889" spans="1:8" ht="13.2">
      <c r="A2889" s="454" t="s">
        <v>1371</v>
      </c>
      <c r="B2889" s="452" t="str">
        <f>VLOOKUP(A2889,'Thống kê'!$C$3:$D$669,2,0)</f>
        <v>Móc khóa Popbean</v>
      </c>
      <c r="C2889" s="436" t="str">
        <f>VLOOKUP(A2889,'Thống kê'!$C$3:$E$682,3,0)</f>
        <v>cái</v>
      </c>
      <c r="D2889" s="437">
        <f>VLOOKUP(A2889,'Thống kê'!$C$3:$M$682,4,0)</f>
        <v>148000</v>
      </c>
      <c r="E2889" s="438">
        <v>1</v>
      </c>
      <c r="F2889" s="439">
        <f t="shared" si="12"/>
        <v>148000</v>
      </c>
      <c r="G2889" s="440"/>
      <c r="H2889" s="450"/>
    </row>
    <row r="2890" spans="1:8" ht="13.2">
      <c r="A2890" s="454" t="s">
        <v>1625</v>
      </c>
      <c r="B2890" s="452" t="str">
        <f>VLOOKUP(A2890,'Thống kê'!$C$3:$D$669,2,0)</f>
        <v>Móc khóa đôi 2 mèo trắng nâu</v>
      </c>
      <c r="C2890" s="436" t="str">
        <f>VLOOKUP(A2890,'Thống kê'!$C$3:$E$682,3,0)</f>
        <v>cái</v>
      </c>
      <c r="D2890" s="437">
        <f>VLOOKUP(A2890,'Thống kê'!$C$3:$M$682,4,0)</f>
        <v>59000</v>
      </c>
      <c r="E2890" s="438">
        <v>1</v>
      </c>
      <c r="F2890" s="439">
        <f t="shared" si="12"/>
        <v>59000</v>
      </c>
      <c r="G2890" s="440"/>
      <c r="H2890" s="448">
        <v>44485</v>
      </c>
    </row>
    <row r="2891" spans="1:8" ht="13.2">
      <c r="A2891" s="454" t="s">
        <v>183</v>
      </c>
      <c r="B2891" s="452" t="str">
        <f>VLOOKUP(A2891,'Thống kê'!$C$3:$D$669,2,0)</f>
        <v>Thỏ máy bay gắn xe</v>
      </c>
      <c r="C2891" s="436" t="str">
        <f>VLOOKUP(A2891,'Thống kê'!$C$3:$E$682,3,0)</f>
        <v>cái</v>
      </c>
      <c r="D2891" s="437">
        <f>VLOOKUP(A2891,'Thống kê'!$C$3:$M$682,4,0)</f>
        <v>45000</v>
      </c>
      <c r="E2891" s="438">
        <v>1</v>
      </c>
      <c r="F2891" s="439">
        <f t="shared" si="12"/>
        <v>45000</v>
      </c>
      <c r="G2891" s="440"/>
      <c r="H2891" s="448">
        <v>35275</v>
      </c>
    </row>
    <row r="2892" spans="1:8" ht="13.2">
      <c r="A2892" s="454" t="s">
        <v>2055</v>
      </c>
      <c r="B2892" s="452" t="str">
        <f>VLOOKUP(A2892,'Thống kê'!$C$3:$D$669,2,0)</f>
        <v>Móc khoá cún Bánh mì</v>
      </c>
      <c r="C2892" s="436" t="str">
        <f>VLOOKUP(A2892,'Thống kê'!$C$3:$E$682,3,0)</f>
        <v>cái</v>
      </c>
      <c r="D2892" s="437">
        <f>VLOOKUP(A2892,'Thống kê'!$C$3:$M$682,4,0)</f>
        <v>38000</v>
      </c>
      <c r="E2892" s="438">
        <v>1</v>
      </c>
      <c r="F2892" s="439">
        <f t="shared" si="12"/>
        <v>38000</v>
      </c>
      <c r="G2892" s="440"/>
      <c r="H2892" s="448">
        <v>30685</v>
      </c>
    </row>
    <row r="2893" spans="1:8" ht="13.2">
      <c r="A2893" s="454" t="s">
        <v>1835</v>
      </c>
      <c r="B2893" s="452" t="str">
        <f>VLOOKUP(A2893,'Thống kê'!$C$3:$D$669,2,0)</f>
        <v>Móc khoá cún Chanh vàng</v>
      </c>
      <c r="C2893" s="436" t="str">
        <f>VLOOKUP(A2893,'Thống kê'!$C$3:$E$682,3,0)</f>
        <v>cái</v>
      </c>
      <c r="D2893" s="437">
        <f>VLOOKUP(A2893,'Thống kê'!$C$3:$M$682,4,0)</f>
        <v>38000</v>
      </c>
      <c r="E2893" s="438">
        <v>1</v>
      </c>
      <c r="F2893" s="439">
        <f t="shared" si="12"/>
        <v>38000</v>
      </c>
      <c r="G2893" s="440"/>
      <c r="H2893" s="447">
        <v>54468</v>
      </c>
    </row>
    <row r="2894" spans="1:8" ht="13.2">
      <c r="A2894" s="454" t="s">
        <v>162</v>
      </c>
      <c r="B2894" s="452" t="str">
        <f>VLOOKUP(A2894,'Thống kê'!$C$3:$D$669,2,0)</f>
        <v>Móc khoá cún Donut</v>
      </c>
      <c r="C2894" s="436" t="str">
        <f>VLOOKUP(A2894,'Thống kê'!$C$3:$E$682,3,0)</f>
        <v>cái</v>
      </c>
      <c r="D2894" s="437">
        <f>VLOOKUP(A2894,'Thống kê'!$C$3:$M$682,4,0)</f>
        <v>38000</v>
      </c>
      <c r="E2894" s="438">
        <v>1</v>
      </c>
      <c r="F2894" s="439">
        <f t="shared" si="12"/>
        <v>38000</v>
      </c>
      <c r="G2894" s="440"/>
      <c r="H2894" s="450"/>
    </row>
    <row r="2895" spans="1:8" ht="13.2">
      <c r="A2895" s="454" t="s">
        <v>245</v>
      </c>
      <c r="B2895" s="452" t="str">
        <f>VLOOKUP(A2895,'Thống kê'!$C$3:$D$669,2,0)</f>
        <v>Móc khóa Popbean</v>
      </c>
      <c r="C2895" s="436" t="str">
        <f>VLOOKUP(A2895,'Thống kê'!$C$3:$E$682,3,0)</f>
        <v>cái</v>
      </c>
      <c r="D2895" s="437">
        <f>VLOOKUP(A2895,'Thống kê'!$C$3:$M$682,4,0)</f>
        <v>148000</v>
      </c>
      <c r="E2895" s="438">
        <v>1</v>
      </c>
      <c r="F2895" s="439">
        <f t="shared" si="12"/>
        <v>148000</v>
      </c>
      <c r="G2895" s="440"/>
      <c r="H2895" s="448">
        <v>144595</v>
      </c>
    </row>
    <row r="2896" spans="1:8" ht="13.2">
      <c r="A2896" s="454" t="s">
        <v>1589</v>
      </c>
      <c r="B2896" s="452" t="str">
        <f>VLOOKUP(A2896,'Thống kê'!$C$3:$D$669,2,0)</f>
        <v>Heo ú bay</v>
      </c>
      <c r="C2896" s="436" t="str">
        <f>VLOOKUP(A2896,'Thống kê'!$C$3:$E$682,3,0)</f>
        <v>cái</v>
      </c>
      <c r="D2896" s="437">
        <f>VLOOKUP(A2896,'Thống kê'!$C$3:$M$682,4,0)</f>
        <v>64500</v>
      </c>
      <c r="E2896" s="438">
        <v>1</v>
      </c>
      <c r="F2896" s="439">
        <f t="shared" si="12"/>
        <v>64500</v>
      </c>
      <c r="G2896" s="440"/>
      <c r="H2896" s="448">
        <v>48942</v>
      </c>
    </row>
    <row r="2897" spans="1:8" ht="13.2">
      <c r="A2897" s="454" t="s">
        <v>1949</v>
      </c>
      <c r="B2897" s="452" t="str">
        <f>VLOOKUP(A2897,'Thống kê'!$C$3:$D$669,2,0)</f>
        <v>Mô hình cún 02</v>
      </c>
      <c r="C2897" s="436" t="str">
        <f>VLOOKUP(A2897,'Thống kê'!$C$3:$E$682,3,0)</f>
        <v>cái</v>
      </c>
      <c r="D2897" s="437">
        <f>VLOOKUP(A2897,'Thống kê'!$C$3:$M$682,4,0)</f>
        <v>39000</v>
      </c>
      <c r="E2897" s="438">
        <v>1</v>
      </c>
      <c r="F2897" s="439">
        <f t="shared" si="12"/>
        <v>39000</v>
      </c>
      <c r="G2897" s="440"/>
      <c r="H2897" s="447">
        <v>295188</v>
      </c>
    </row>
    <row r="2898" spans="1:8" ht="13.2">
      <c r="A2898" s="454" t="s">
        <v>1950</v>
      </c>
      <c r="B2898" s="452" t="str">
        <f>VLOOKUP(A2898,'Thống kê'!$C$3:$D$669,2,0)</f>
        <v>Mô hình cún 03</v>
      </c>
      <c r="C2898" s="436" t="str">
        <f>VLOOKUP(A2898,'Thống kê'!$C$3:$E$682,3,0)</f>
        <v>cái</v>
      </c>
      <c r="D2898" s="437">
        <f>VLOOKUP(A2898,'Thống kê'!$C$3:$M$682,4,0)</f>
        <v>39000</v>
      </c>
      <c r="E2898" s="438">
        <v>1</v>
      </c>
      <c r="F2898" s="439">
        <f t="shared" si="12"/>
        <v>39000</v>
      </c>
      <c r="G2898" s="440"/>
      <c r="H2898" s="450"/>
    </row>
    <row r="2899" spans="1:8" ht="13.2">
      <c r="A2899" s="454" t="s">
        <v>1951</v>
      </c>
      <c r="B2899" s="452" t="str">
        <f>VLOOKUP(A2899,'Thống kê'!$C$3:$D$669,2,0)</f>
        <v>Mô hình cún 04</v>
      </c>
      <c r="C2899" s="436" t="str">
        <f>VLOOKUP(A2899,'Thống kê'!$C$3:$E$682,3,0)</f>
        <v>cái</v>
      </c>
      <c r="D2899" s="437">
        <f>VLOOKUP(A2899,'Thống kê'!$C$3:$M$682,4,0)</f>
        <v>39000</v>
      </c>
      <c r="E2899" s="438">
        <v>1</v>
      </c>
      <c r="F2899" s="439">
        <f t="shared" si="12"/>
        <v>39000</v>
      </c>
      <c r="G2899" s="440"/>
      <c r="H2899" s="450"/>
    </row>
    <row r="2900" spans="1:8" ht="13.2">
      <c r="A2900" s="454" t="s">
        <v>1974</v>
      </c>
      <c r="B2900" s="452" t="str">
        <f>VLOOKUP(A2900,'Thống kê'!$C$3:$D$669,2,0)</f>
        <v>Mô hình cún 01</v>
      </c>
      <c r="C2900" s="436" t="str">
        <f>VLOOKUP(A2900,'Thống kê'!$C$3:$E$682,3,0)</f>
        <v>cái</v>
      </c>
      <c r="D2900" s="437">
        <f>VLOOKUP(A2900,'Thống kê'!$C$3:$M$682,4,0)</f>
        <v>39000</v>
      </c>
      <c r="E2900" s="438">
        <v>1</v>
      </c>
      <c r="F2900" s="439">
        <f t="shared" si="12"/>
        <v>39000</v>
      </c>
      <c r="G2900" s="440"/>
      <c r="H2900" s="450"/>
    </row>
    <row r="2901" spans="1:8" ht="13.2">
      <c r="A2901" s="454" t="s">
        <v>1636</v>
      </c>
      <c r="B2901" s="452" t="str">
        <f>VLOOKUP(A2901,'Thống kê'!$C$3:$D$669,2,0)</f>
        <v>Mô hình mèo 3</v>
      </c>
      <c r="C2901" s="436" t="str">
        <f>VLOOKUP(A2901,'Thống kê'!$C$3:$E$682,3,0)</f>
        <v>cái</v>
      </c>
      <c r="D2901" s="437">
        <f>VLOOKUP(A2901,'Thống kê'!$C$3:$M$682,4,0)</f>
        <v>37800</v>
      </c>
      <c r="E2901" s="438">
        <v>2</v>
      </c>
      <c r="F2901" s="439">
        <f t="shared" si="12"/>
        <v>75600</v>
      </c>
      <c r="G2901" s="440"/>
      <c r="H2901" s="450"/>
    </row>
    <row r="2902" spans="1:8" ht="13.2">
      <c r="A2902" s="454" t="s">
        <v>1635</v>
      </c>
      <c r="B2902" s="452" t="str">
        <f>VLOOKUP(A2902,'Thống kê'!$C$3:$D$669,2,0)</f>
        <v>Mô hình mèo 4</v>
      </c>
      <c r="C2902" s="436" t="str">
        <f>VLOOKUP(A2902,'Thống kê'!$C$3:$E$682,3,0)</f>
        <v>cái</v>
      </c>
      <c r="D2902" s="437">
        <f>VLOOKUP(A2902,'Thống kê'!$C$3:$M$682,4,0)</f>
        <v>37800</v>
      </c>
      <c r="E2902" s="438">
        <v>2</v>
      </c>
      <c r="F2902" s="439">
        <f t="shared" si="12"/>
        <v>75600</v>
      </c>
      <c r="G2902" s="440"/>
      <c r="H2902" s="450"/>
    </row>
    <row r="2903" spans="1:8" ht="13.2">
      <c r="A2903" s="454" t="s">
        <v>1623</v>
      </c>
      <c r="B2903" s="452" t="str">
        <f>VLOOKUP(A2903,'Thống kê'!$C$3:$D$669,2,0)</f>
        <v>Mô hình mèo 5</v>
      </c>
      <c r="C2903" s="436" t="str">
        <f>VLOOKUP(A2903,'Thống kê'!$C$3:$E$682,3,0)</f>
        <v>cái</v>
      </c>
      <c r="D2903" s="437">
        <f>VLOOKUP(A2903,'Thống kê'!$C$3:$M$682,4,0)</f>
        <v>37800</v>
      </c>
      <c r="E2903" s="438">
        <v>2</v>
      </c>
      <c r="F2903" s="439">
        <f t="shared" si="12"/>
        <v>75600</v>
      </c>
      <c r="G2903" s="440"/>
      <c r="H2903" s="450"/>
    </row>
    <row r="2904" spans="1:8" ht="13.2">
      <c r="A2904" s="454" t="s">
        <v>1369</v>
      </c>
      <c r="B2904" s="452" t="str">
        <f>VLOOKUP(A2904,'Thống kê'!$C$3:$D$669,2,0)</f>
        <v>Móc khóa Popbean</v>
      </c>
      <c r="C2904" s="436" t="str">
        <f>VLOOKUP(A2904,'Thống kê'!$C$3:$E$682,3,0)</f>
        <v>cái</v>
      </c>
      <c r="D2904" s="437">
        <f>VLOOKUP(A2904,'Thống kê'!$C$3:$M$682,4,0)</f>
        <v>148000</v>
      </c>
      <c r="E2904" s="438">
        <v>1</v>
      </c>
      <c r="F2904" s="439">
        <f t="shared" si="12"/>
        <v>148000</v>
      </c>
      <c r="G2904" s="440"/>
      <c r="H2904" s="448">
        <v>131750</v>
      </c>
    </row>
    <row r="2905" spans="1:8" ht="13.2">
      <c r="A2905" s="454" t="s">
        <v>115</v>
      </c>
      <c r="B2905" s="452" t="str">
        <f>VLOOKUP(A2905,'Thống kê'!$C$3:$D$669,2,0)</f>
        <v>Heo ú</v>
      </c>
      <c r="C2905" s="436" t="str">
        <f>VLOOKUP(A2905,'Thống kê'!$C$3:$E$682,3,0)</f>
        <v>cái</v>
      </c>
      <c r="D2905" s="437">
        <f>VLOOKUP(A2905,'Thống kê'!$C$3:$M$682,4,0)</f>
        <v>59500</v>
      </c>
      <c r="E2905" s="438">
        <v>1</v>
      </c>
      <c r="F2905" s="439">
        <f t="shared" si="12"/>
        <v>59500</v>
      </c>
      <c r="G2905" s="440"/>
      <c r="H2905" s="447">
        <v>98600</v>
      </c>
    </row>
    <row r="2906" spans="1:8" ht="13.2">
      <c r="A2906" s="454" t="s">
        <v>1589</v>
      </c>
      <c r="B2906" s="452" t="str">
        <f>VLOOKUP(A2906,'Thống kê'!$C$3:$D$669,2,0)</f>
        <v>Heo ú bay</v>
      </c>
      <c r="C2906" s="436" t="str">
        <f>VLOOKUP(A2906,'Thống kê'!$C$3:$E$682,3,0)</f>
        <v>cái</v>
      </c>
      <c r="D2906" s="437">
        <f>VLOOKUP(A2906,'Thống kê'!$C$3:$M$682,4,0)</f>
        <v>64500</v>
      </c>
      <c r="E2906" s="438">
        <v>1</v>
      </c>
      <c r="F2906" s="439">
        <f t="shared" si="12"/>
        <v>64500</v>
      </c>
      <c r="G2906" s="440"/>
      <c r="H2906" s="450"/>
    </row>
    <row r="2907" spans="1:8" ht="13.2">
      <c r="A2907" s="454" t="s">
        <v>1805</v>
      </c>
      <c r="B2907" s="452" t="str">
        <f>VLOOKUP(A2907,'Thống kê'!$C$3:$D$669,2,0)</f>
        <v>Móc khoá cún Dưa hấu</v>
      </c>
      <c r="C2907" s="436" t="str">
        <f>VLOOKUP(A2907,'Thống kê'!$C$3:$E$682,3,0)</f>
        <v>cái</v>
      </c>
      <c r="D2907" s="437">
        <f>VLOOKUP(A2907,'Thống kê'!$C$3:$M$682,4,0)</f>
        <v>38000</v>
      </c>
      <c r="E2907" s="438">
        <v>1</v>
      </c>
      <c r="F2907" s="439">
        <f t="shared" si="12"/>
        <v>38000</v>
      </c>
      <c r="G2907" s="440"/>
      <c r="H2907" s="448">
        <v>30610</v>
      </c>
    </row>
    <row r="2908" spans="1:8" ht="13.2">
      <c r="A2908" s="454" t="s">
        <v>2055</v>
      </c>
      <c r="B2908" s="452" t="str">
        <f>VLOOKUP(A2908,'Thống kê'!$C$3:$D$669,2,0)</f>
        <v>Móc khoá cún Bánh mì</v>
      </c>
      <c r="C2908" s="436" t="str">
        <f>VLOOKUP(A2908,'Thống kê'!$C$3:$E$682,3,0)</f>
        <v>cái</v>
      </c>
      <c r="D2908" s="437">
        <f>VLOOKUP(A2908,'Thống kê'!$C$3:$M$682,4,0)</f>
        <v>38000</v>
      </c>
      <c r="E2908" s="438">
        <v>1</v>
      </c>
      <c r="F2908" s="439">
        <f t="shared" si="12"/>
        <v>38000</v>
      </c>
      <c r="G2908" s="440"/>
      <c r="H2908" s="448">
        <v>30610</v>
      </c>
    </row>
    <row r="2909" spans="1:8" ht="13.2">
      <c r="A2909" s="454" t="s">
        <v>1594</v>
      </c>
      <c r="B2909" s="452" t="str">
        <f>VLOOKUP(A2909,'Thống kê'!$C$3:$D$669,2,0)</f>
        <v>Móc khóa đôi heo</v>
      </c>
      <c r="C2909" s="436" t="str">
        <f>VLOOKUP(A2909,'Thống kê'!$C$3:$E$682,3,0)</f>
        <v>cái</v>
      </c>
      <c r="D2909" s="437">
        <f>VLOOKUP(A2909,'Thống kê'!$C$3:$M$682,4,0)</f>
        <v>56580</v>
      </c>
      <c r="E2909" s="438">
        <v>1</v>
      </c>
      <c r="F2909" s="439">
        <f t="shared" si="12"/>
        <v>56580</v>
      </c>
      <c r="G2909" s="440"/>
      <c r="H2909" s="448">
        <v>42584</v>
      </c>
    </row>
    <row r="2910" spans="1:8" ht="13.2">
      <c r="A2910" s="454" t="s">
        <v>1367</v>
      </c>
      <c r="B2910" s="452" t="str">
        <f>VLOOKUP(A2910,'Thống kê'!$C$3:$D$669,2,0)</f>
        <v>Móc khóa Popbean</v>
      </c>
      <c r="C2910" s="436" t="str">
        <f>VLOOKUP(A2910,'Thống kê'!$C$3:$E$682,3,0)</f>
        <v>cái</v>
      </c>
      <c r="D2910" s="437">
        <f>VLOOKUP(A2910,'Thống kê'!$C$3:$M$682,4,0)</f>
        <v>148000</v>
      </c>
      <c r="E2910" s="438">
        <v>1</v>
      </c>
      <c r="F2910" s="439">
        <f t="shared" si="12"/>
        <v>148000</v>
      </c>
      <c r="G2910" s="440"/>
      <c r="H2910" s="447">
        <v>990250</v>
      </c>
    </row>
    <row r="2911" spans="1:8" ht="13.2">
      <c r="A2911" s="454" t="s">
        <v>165</v>
      </c>
      <c r="B2911" s="452" t="str">
        <f>VLOOKUP(A2911,'Thống kê'!$C$3:$D$669,2,0)</f>
        <v>Móc khóa Popbean</v>
      </c>
      <c r="C2911" s="436" t="str">
        <f>VLOOKUP(A2911,'Thống kê'!$C$3:$E$682,3,0)</f>
        <v>cái</v>
      </c>
      <c r="D2911" s="437">
        <f>VLOOKUP(A2911,'Thống kê'!$C$3:$M$682,4,0)</f>
        <v>148000</v>
      </c>
      <c r="E2911" s="438">
        <v>2</v>
      </c>
      <c r="F2911" s="439">
        <f t="shared" si="12"/>
        <v>296000</v>
      </c>
      <c r="G2911" s="440"/>
      <c r="H2911" s="450"/>
    </row>
    <row r="2912" spans="1:8" ht="13.2">
      <c r="A2912" s="454" t="s">
        <v>245</v>
      </c>
      <c r="B2912" s="452" t="str">
        <f>VLOOKUP(A2912,'Thống kê'!$C$3:$D$669,2,0)</f>
        <v>Móc khóa Popbean</v>
      </c>
      <c r="C2912" s="436" t="str">
        <f>VLOOKUP(A2912,'Thống kê'!$C$3:$E$682,3,0)</f>
        <v>cái</v>
      </c>
      <c r="D2912" s="437">
        <f>VLOOKUP(A2912,'Thống kê'!$C$3:$M$682,4,0)</f>
        <v>148000</v>
      </c>
      <c r="E2912" s="438">
        <v>2</v>
      </c>
      <c r="F2912" s="439">
        <f t="shared" si="12"/>
        <v>296000</v>
      </c>
      <c r="G2912" s="440"/>
      <c r="H2912" s="450"/>
    </row>
    <row r="2913" spans="1:8" ht="13.2">
      <c r="A2913" s="454" t="s">
        <v>1368</v>
      </c>
      <c r="B2913" s="452" t="str">
        <f>VLOOKUP(A2913,'Thống kê'!$C$3:$D$669,2,0)</f>
        <v>Móc khóa Popbean</v>
      </c>
      <c r="C2913" s="436" t="str">
        <f>VLOOKUP(A2913,'Thống kê'!$C$3:$E$682,3,0)</f>
        <v>cái</v>
      </c>
      <c r="D2913" s="437">
        <f>VLOOKUP(A2913,'Thống kê'!$C$3:$M$682,4,0)</f>
        <v>148000</v>
      </c>
      <c r="E2913" s="438">
        <v>2</v>
      </c>
      <c r="F2913" s="439">
        <f t="shared" si="12"/>
        <v>296000</v>
      </c>
      <c r="G2913" s="440"/>
      <c r="H2913" s="450"/>
    </row>
    <row r="2914" spans="1:8" ht="13.2">
      <c r="A2914" s="454" t="s">
        <v>1591</v>
      </c>
      <c r="B2914" s="452" t="str">
        <f>VLOOKUP(A2914,'Thống kê'!$C$3:$D$669,2,0)</f>
        <v>Thỏ ú</v>
      </c>
      <c r="C2914" s="436" t="str">
        <f>VLOOKUP(A2914,'Thống kê'!$C$3:$E$682,3,0)</f>
        <v>cái</v>
      </c>
      <c r="D2914" s="437">
        <f>VLOOKUP(A2914,'Thống kê'!$C$3:$M$682,4,0)</f>
        <v>59500</v>
      </c>
      <c r="E2914" s="438">
        <v>1</v>
      </c>
      <c r="F2914" s="439">
        <f t="shared" si="12"/>
        <v>59500</v>
      </c>
      <c r="G2914" s="440"/>
      <c r="H2914" s="448">
        <v>62617</v>
      </c>
    </row>
    <row r="2915" spans="1:8" ht="13.2">
      <c r="A2915" s="454" t="s">
        <v>119</v>
      </c>
      <c r="B2915" s="452" t="str">
        <f>VLOOKUP(A2915,'Thống kê'!$C$3:$D$669,2,0)</f>
        <v>Thỏ chạy xe gắn xe</v>
      </c>
      <c r="C2915" s="436" t="str">
        <f>VLOOKUP(A2915,'Thống kê'!$C$3:$E$682,3,0)</f>
        <v>cái</v>
      </c>
      <c r="D2915" s="437">
        <f>VLOOKUP(A2915,'Thống kê'!$C$3:$M$682,4,0)</f>
        <v>45000</v>
      </c>
      <c r="E2915" s="438">
        <v>1</v>
      </c>
      <c r="F2915" s="439">
        <f t="shared" si="12"/>
        <v>45000</v>
      </c>
      <c r="G2915" s="440"/>
      <c r="H2915" s="448">
        <v>34180</v>
      </c>
    </row>
    <row r="2916" spans="1:8" ht="13.2">
      <c r="A2916" s="454" t="s">
        <v>1625</v>
      </c>
      <c r="B2916" s="452" t="str">
        <f>VLOOKUP(A2916,'Thống kê'!$C$3:$D$669,2,0)</f>
        <v>Móc khóa đôi 2 mèo trắng nâu</v>
      </c>
      <c r="C2916" s="436" t="str">
        <f>VLOOKUP(A2916,'Thống kê'!$C$3:$E$682,3,0)</f>
        <v>cái</v>
      </c>
      <c r="D2916" s="437">
        <f>VLOOKUP(A2916,'Thống kê'!$C$3:$M$682,4,0)</f>
        <v>59000</v>
      </c>
      <c r="E2916" s="438">
        <v>1</v>
      </c>
      <c r="F2916" s="439">
        <f t="shared" si="12"/>
        <v>59000</v>
      </c>
      <c r="G2916" s="440"/>
      <c r="H2916" s="448">
        <v>45010</v>
      </c>
    </row>
    <row r="2917" spans="1:8" ht="13.2">
      <c r="A2917" s="454" t="s">
        <v>1591</v>
      </c>
      <c r="B2917" s="452" t="str">
        <f>VLOOKUP(A2917,'Thống kê'!$C$3:$D$669,2,0)</f>
        <v>Thỏ ú</v>
      </c>
      <c r="C2917" s="436" t="str">
        <f>VLOOKUP(A2917,'Thống kê'!$C$3:$E$682,3,0)</f>
        <v>cái</v>
      </c>
      <c r="D2917" s="437">
        <f>VLOOKUP(A2917,'Thống kê'!$C$3:$M$682,4,0)</f>
        <v>59500</v>
      </c>
      <c r="E2917" s="438">
        <v>1</v>
      </c>
      <c r="F2917" s="439">
        <f t="shared" si="12"/>
        <v>59500</v>
      </c>
      <c r="G2917" s="440"/>
      <c r="H2917" s="448">
        <v>44817</v>
      </c>
    </row>
    <row r="2918" spans="1:8" ht="13.2">
      <c r="A2918" s="454" t="s">
        <v>245</v>
      </c>
      <c r="B2918" s="452" t="str">
        <f>VLOOKUP(A2918,'Thống kê'!$C$3:$D$669,2,0)</f>
        <v>Móc khóa Popbean</v>
      </c>
      <c r="C2918" s="436" t="str">
        <f>VLOOKUP(A2918,'Thống kê'!$C$3:$E$682,3,0)</f>
        <v>cái</v>
      </c>
      <c r="D2918" s="437">
        <f>VLOOKUP(A2918,'Thống kê'!$C$3:$M$682,4,0)</f>
        <v>148000</v>
      </c>
      <c r="E2918" s="438">
        <v>1</v>
      </c>
      <c r="F2918" s="439">
        <f t="shared" si="12"/>
        <v>148000</v>
      </c>
      <c r="G2918" s="440"/>
      <c r="H2918" s="448">
        <v>144670</v>
      </c>
    </row>
    <row r="2919" spans="1:8" ht="13.2">
      <c r="A2919" s="454" t="s">
        <v>1620</v>
      </c>
      <c r="B2919" s="452" t="str">
        <f>VLOOKUP(A2919,'Thống kê'!$C$3:$D$669,2,0)</f>
        <v>Gấu ú hoa</v>
      </c>
      <c r="C2919" s="436" t="str">
        <f>VLOOKUP(A2919,'Thống kê'!$C$3:$E$682,3,0)</f>
        <v>cái</v>
      </c>
      <c r="D2919" s="437">
        <f>VLOOKUP(A2919,'Thống kê'!$C$3:$M$682,4,0)</f>
        <v>64500</v>
      </c>
      <c r="E2919" s="438">
        <v>1</v>
      </c>
      <c r="F2919" s="439">
        <f t="shared" si="12"/>
        <v>64500</v>
      </c>
      <c r="G2919" s="440"/>
      <c r="H2919" s="448">
        <v>49267</v>
      </c>
    </row>
    <row r="2920" spans="1:8" ht="13.2">
      <c r="A2920" s="454" t="s">
        <v>2059</v>
      </c>
      <c r="B2920" s="452" t="str">
        <f>VLOOKUP(A2920,'Thống kê'!$C$3:$D$669,2,0)</f>
        <v>Vịt áo vàng treo gương</v>
      </c>
      <c r="C2920" s="436" t="str">
        <f>VLOOKUP(A2920,'Thống kê'!$C$3:$E$682,3,0)</f>
        <v>cái</v>
      </c>
      <c r="D2920" s="437">
        <f>VLOOKUP(A2920,'Thống kê'!$C$3:$M$682,4,0)</f>
        <v>155000</v>
      </c>
      <c r="E2920" s="438">
        <v>1</v>
      </c>
      <c r="F2920" s="439">
        <f t="shared" si="12"/>
        <v>155000</v>
      </c>
      <c r="G2920" s="440"/>
      <c r="H2920" s="448">
        <v>111775</v>
      </c>
    </row>
    <row r="2921" spans="1:8" ht="13.2">
      <c r="A2921" s="454" t="s">
        <v>1591</v>
      </c>
      <c r="B2921" s="452" t="str">
        <f>VLOOKUP(A2921,'Thống kê'!$C$3:$D$669,2,0)</f>
        <v>Thỏ ú</v>
      </c>
      <c r="C2921" s="436" t="str">
        <f>VLOOKUP(A2921,'Thống kê'!$C$3:$E$682,3,0)</f>
        <v>cái</v>
      </c>
      <c r="D2921" s="437">
        <f>VLOOKUP(A2921,'Thống kê'!$C$3:$M$682,4,0)</f>
        <v>59500</v>
      </c>
      <c r="E2921" s="438">
        <v>1</v>
      </c>
      <c r="F2921" s="439">
        <f t="shared" si="12"/>
        <v>59500</v>
      </c>
      <c r="G2921" s="440"/>
      <c r="H2921" s="448">
        <v>45117</v>
      </c>
    </row>
    <row r="2922" spans="1:8" ht="13.2">
      <c r="A2922" s="454" t="s">
        <v>2037</v>
      </c>
      <c r="B2922" s="452" t="str">
        <f>VLOOKUP(A2922,'Thống kê'!$C$3:$D$669,2,0)</f>
        <v>Vịt áo xanh treo gương</v>
      </c>
      <c r="C2922" s="436" t="str">
        <f>VLOOKUP(A2922,'Thống kê'!$C$3:$E$682,3,0)</f>
        <v>cái</v>
      </c>
      <c r="D2922" s="437">
        <f>VLOOKUP(A2922,'Thống kê'!$C$3:$M$682,4,0)</f>
        <v>155000</v>
      </c>
      <c r="E2922" s="438">
        <v>1</v>
      </c>
      <c r="F2922" s="439">
        <f t="shared" si="12"/>
        <v>155000</v>
      </c>
      <c r="G2922" s="440"/>
      <c r="H2922" s="448">
        <v>111775</v>
      </c>
    </row>
    <row r="2923" spans="1:8" ht="13.2">
      <c r="A2923" s="454" t="s">
        <v>183</v>
      </c>
      <c r="B2923" s="452" t="str">
        <f>VLOOKUP(A2923,'Thống kê'!$C$3:$D$669,2,0)</f>
        <v>Thỏ máy bay gắn xe</v>
      </c>
      <c r="C2923" s="436" t="str">
        <f>VLOOKUP(A2923,'Thống kê'!$C$3:$E$682,3,0)</f>
        <v>cái</v>
      </c>
      <c r="D2923" s="437">
        <f>VLOOKUP(A2923,'Thống kê'!$C$3:$M$682,4,0)</f>
        <v>45000</v>
      </c>
      <c r="E2923" s="438">
        <v>1</v>
      </c>
      <c r="F2923" s="439">
        <f t="shared" si="12"/>
        <v>45000</v>
      </c>
      <c r="G2923" s="440"/>
      <c r="H2923" s="447">
        <v>99025</v>
      </c>
    </row>
    <row r="2924" spans="1:8" ht="13.2">
      <c r="A2924" s="454" t="s">
        <v>145</v>
      </c>
      <c r="B2924" s="452" t="str">
        <f>VLOOKUP(A2924,'Thống kê'!$C$3:$D$669,2,0)</f>
        <v>Thỏ đi vịt gắn xe</v>
      </c>
      <c r="C2924" s="436" t="str">
        <f>VLOOKUP(A2924,'Thống kê'!$C$3:$E$682,3,0)</f>
        <v>cái</v>
      </c>
      <c r="D2924" s="437">
        <f>VLOOKUP(A2924,'Thống kê'!$C$3:$M$682,4,0)</f>
        <v>45000</v>
      </c>
      <c r="E2924" s="438">
        <v>1</v>
      </c>
      <c r="F2924" s="439">
        <f t="shared" si="12"/>
        <v>45000</v>
      </c>
      <c r="G2924" s="440"/>
      <c r="H2924" s="450"/>
    </row>
    <row r="2925" spans="1:8" ht="13.2">
      <c r="A2925" s="454" t="s">
        <v>119</v>
      </c>
      <c r="B2925" s="452" t="str">
        <f>VLOOKUP(A2925,'Thống kê'!$C$3:$D$669,2,0)</f>
        <v>Thỏ chạy xe gắn xe</v>
      </c>
      <c r="C2925" s="436" t="str">
        <f>VLOOKUP(A2925,'Thống kê'!$C$3:$E$682,3,0)</f>
        <v>cái</v>
      </c>
      <c r="D2925" s="437">
        <f>VLOOKUP(A2925,'Thống kê'!$C$3:$M$682,4,0)</f>
        <v>45000</v>
      </c>
      <c r="E2925" s="438">
        <v>1</v>
      </c>
      <c r="F2925" s="439">
        <f t="shared" si="12"/>
        <v>45000</v>
      </c>
      <c r="G2925" s="440"/>
      <c r="H2925" s="450"/>
    </row>
    <row r="2926" spans="1:8" ht="13.2">
      <c r="A2926" s="454" t="s">
        <v>1642</v>
      </c>
      <c r="B2926" s="452" t="str">
        <f>VLOOKUP(A2926,'Thống kê'!$C$3:$D$669,2,0)</f>
        <v>Túi chườm bụng dứa (xanh đậm) 1000ml</v>
      </c>
      <c r="C2926" s="436" t="str">
        <f>VLOOKUP(A2926,'Thống kê'!$C$3:$E$682,3,0)</f>
        <v>túi</v>
      </c>
      <c r="D2926" s="437">
        <f>VLOOKUP(A2926,'Thống kê'!$C$3:$M$682,4,0)</f>
        <v>101150</v>
      </c>
      <c r="E2926" s="438">
        <v>1</v>
      </c>
      <c r="F2926" s="439">
        <f t="shared" si="12"/>
        <v>101150</v>
      </c>
      <c r="G2926" s="440"/>
      <c r="H2926" s="448">
        <v>67415</v>
      </c>
    </row>
    <row r="2927" spans="1:8" ht="13.2">
      <c r="A2927" s="454" t="s">
        <v>2031</v>
      </c>
      <c r="B2927" s="452" t="str">
        <f>VLOOKUP(A2927,'Thống kê'!$C$3:$D$669,2,0)</f>
        <v>Vịt áo hồng treo gương</v>
      </c>
      <c r="C2927" s="436" t="str">
        <f>VLOOKUP(A2927,'Thống kê'!$C$3:$E$682,3,0)</f>
        <v>cái</v>
      </c>
      <c r="D2927" s="437">
        <f>VLOOKUP(A2927,'Thống kê'!$C$3:$M$682,4,0)</f>
        <v>155000</v>
      </c>
      <c r="E2927" s="438">
        <v>1</v>
      </c>
      <c r="F2927" s="439">
        <f t="shared" si="12"/>
        <v>155000</v>
      </c>
      <c r="G2927" s="440"/>
      <c r="H2927" s="448">
        <v>111775</v>
      </c>
    </row>
    <row r="2928" spans="1:8" ht="13.2">
      <c r="A2928" s="454" t="s">
        <v>1591</v>
      </c>
      <c r="B2928" s="452" t="str">
        <f>VLOOKUP(A2928,'Thống kê'!$C$3:$D$669,2,0)</f>
        <v>Thỏ ú</v>
      </c>
      <c r="C2928" s="436" t="str">
        <f>VLOOKUP(A2928,'Thống kê'!$C$3:$E$682,3,0)</f>
        <v>cái</v>
      </c>
      <c r="D2928" s="437">
        <f>VLOOKUP(A2928,'Thống kê'!$C$3:$M$682,4,0)</f>
        <v>59500</v>
      </c>
      <c r="E2928" s="438">
        <v>1</v>
      </c>
      <c r="F2928" s="439">
        <f t="shared" si="12"/>
        <v>59500</v>
      </c>
      <c r="G2928" s="440"/>
      <c r="H2928" s="448">
        <v>45442</v>
      </c>
    </row>
    <row r="2929" spans="1:8" ht="13.2">
      <c r="A2929" s="454" t="s">
        <v>1656</v>
      </c>
      <c r="B2929" s="452" t="str">
        <f>VLOOKUP(A2929,'Thống kê'!$C$3:$D$669,2,0)</f>
        <v>Móc khóa Popbean Dimoo</v>
      </c>
      <c r="C2929" s="436" t="str">
        <f>VLOOKUP(A2929,'Thống kê'!$C$3:$E$682,3,0)</f>
        <v>cái</v>
      </c>
      <c r="D2929" s="437">
        <f>VLOOKUP(A2929,'Thống kê'!$C$3:$M$682,4,0)</f>
        <v>155000</v>
      </c>
      <c r="E2929" s="438">
        <v>1</v>
      </c>
      <c r="F2929" s="439">
        <f t="shared" si="12"/>
        <v>155000</v>
      </c>
      <c r="G2929" s="440"/>
      <c r="H2929" s="447">
        <v>544000</v>
      </c>
    </row>
    <row r="2930" spans="1:8" ht="13.2">
      <c r="A2930" s="454" t="s">
        <v>1366</v>
      </c>
      <c r="B2930" s="452" t="str">
        <f>VLOOKUP(A2930,'Thống kê'!$C$3:$D$669,2,0)</f>
        <v>Móc khóa Popbean</v>
      </c>
      <c r="C2930" s="436" t="str">
        <f>VLOOKUP(A2930,'Thống kê'!$C$3:$E$682,3,0)</f>
        <v>cái</v>
      </c>
      <c r="D2930" s="437">
        <f>VLOOKUP(A2930,'Thống kê'!$C$3:$M$682,4,0)</f>
        <v>148000</v>
      </c>
      <c r="E2930" s="438">
        <v>1</v>
      </c>
      <c r="F2930" s="439">
        <f t="shared" si="12"/>
        <v>148000</v>
      </c>
      <c r="G2930" s="440"/>
      <c r="H2930" s="450"/>
    </row>
    <row r="2931" spans="1:8" ht="13.2">
      <c r="A2931" s="454" t="s">
        <v>1364</v>
      </c>
      <c r="B2931" s="452" t="str">
        <f>VLOOKUP(A2931,'Thống kê'!$C$3:$D$669,2,0)</f>
        <v>Móc khóa Popbean</v>
      </c>
      <c r="C2931" s="436" t="str">
        <f>VLOOKUP(A2931,'Thống kê'!$C$3:$E$682,3,0)</f>
        <v>cái</v>
      </c>
      <c r="D2931" s="437">
        <f>VLOOKUP(A2931,'Thống kê'!$C$3:$M$682,4,0)</f>
        <v>148000</v>
      </c>
      <c r="E2931" s="438">
        <v>1</v>
      </c>
      <c r="F2931" s="439">
        <f t="shared" si="12"/>
        <v>148000</v>
      </c>
      <c r="G2931" s="440"/>
      <c r="H2931" s="450"/>
    </row>
    <row r="2932" spans="1:8" ht="13.2">
      <c r="A2932" s="454" t="s">
        <v>245</v>
      </c>
      <c r="B2932" s="452" t="str">
        <f>VLOOKUP(A2932,'Thống kê'!$C$3:$D$669,2,0)</f>
        <v>Móc khóa Popbean</v>
      </c>
      <c r="C2932" s="436" t="str">
        <f>VLOOKUP(A2932,'Thống kê'!$C$3:$E$682,3,0)</f>
        <v>cái</v>
      </c>
      <c r="D2932" s="437">
        <f>VLOOKUP(A2932,'Thống kê'!$C$3:$M$682,4,0)</f>
        <v>148000</v>
      </c>
      <c r="E2932" s="438">
        <v>1</v>
      </c>
      <c r="F2932" s="439">
        <f t="shared" si="12"/>
        <v>148000</v>
      </c>
      <c r="G2932" s="440"/>
      <c r="H2932" s="450"/>
    </row>
    <row r="2933" spans="1:8" ht="13.2">
      <c r="A2933" s="454" t="s">
        <v>1590</v>
      </c>
      <c r="B2933" s="452" t="str">
        <f>VLOOKUP(A2933,'Thống kê'!$C$3:$D$669,2,0)</f>
        <v>Cún ú hoa</v>
      </c>
      <c r="C2933" s="436" t="str">
        <f>VLOOKUP(A2933,'Thống kê'!$C$3:$E$682,3,0)</f>
        <v>cái</v>
      </c>
      <c r="D2933" s="437">
        <f>VLOOKUP(A2933,'Thống kê'!$C$3:$M$682,4,0)</f>
        <v>64500</v>
      </c>
      <c r="E2933" s="438">
        <v>1</v>
      </c>
      <c r="F2933" s="439">
        <f t="shared" si="12"/>
        <v>64500</v>
      </c>
      <c r="G2933" s="440"/>
      <c r="H2933" s="447">
        <v>61790</v>
      </c>
    </row>
    <row r="2934" spans="1:8" ht="13.2">
      <c r="A2934" s="454" t="s">
        <v>2066</v>
      </c>
      <c r="B2934" s="452" t="str">
        <f>VLOOKUP(A2934,'Thống kê'!$C$3:$D$669,2,0)</f>
        <v>Kẹp tóc bướm hồng đỏ</v>
      </c>
      <c r="C2934" s="436" t="str">
        <f>VLOOKUP(A2934,'Thống kê'!$C$3:$E$682,3,0)</f>
        <v>cái</v>
      </c>
      <c r="D2934" s="437">
        <f>VLOOKUP(A2934,'Thống kê'!$C$3:$M$682,4,0)</f>
        <v>19000</v>
      </c>
      <c r="E2934" s="438">
        <v>1</v>
      </c>
      <c r="F2934" s="439">
        <f t="shared" si="12"/>
        <v>19000</v>
      </c>
      <c r="G2934" s="440"/>
      <c r="H2934" s="450"/>
    </row>
    <row r="2935" spans="1:8" ht="13.2">
      <c r="A2935" s="454" t="s">
        <v>1339</v>
      </c>
      <c r="B2935" s="452" t="str">
        <f>VLOOKUP(A2935,'Thống kê'!$C$3:$D$669,2,0)</f>
        <v>Móc khóa chuối</v>
      </c>
      <c r="C2935" s="436" t="str">
        <f>VLOOKUP(A2935,'Thống kê'!$C$3:$E$682,3,0)</f>
        <v>cái</v>
      </c>
      <c r="D2935" s="437">
        <f>VLOOKUP(A2935,'Thống kê'!$C$3:$M$682,4,0)</f>
        <v>148000</v>
      </c>
      <c r="E2935" s="438">
        <v>1</v>
      </c>
      <c r="F2935" s="439">
        <f t="shared" si="12"/>
        <v>148000</v>
      </c>
      <c r="G2935" s="440"/>
      <c r="H2935" s="447">
        <v>279287</v>
      </c>
    </row>
    <row r="2936" spans="1:8" ht="13.2">
      <c r="A2936" s="454" t="s">
        <v>1345</v>
      </c>
      <c r="B2936" s="452" t="str">
        <f>VLOOKUP(A2936,'Thống kê'!$C$3:$D$669,2,0)</f>
        <v>Móc khóa chuối</v>
      </c>
      <c r="C2936" s="436" t="str">
        <f>VLOOKUP(A2936,'Thống kê'!$C$3:$E$682,3,0)</f>
        <v>cái</v>
      </c>
      <c r="D2936" s="437">
        <f>VLOOKUP(A2936,'Thống kê'!$C$3:$M$682,4,0)</f>
        <v>148000</v>
      </c>
      <c r="E2936" s="438">
        <v>1</v>
      </c>
      <c r="F2936" s="439">
        <f t="shared" si="12"/>
        <v>148000</v>
      </c>
      <c r="G2936" s="440"/>
      <c r="H2936" s="450"/>
    </row>
    <row r="2937" spans="1:8" ht="13.2">
      <c r="A2937" s="454" t="s">
        <v>1369</v>
      </c>
      <c r="B2937" s="452" t="str">
        <f>VLOOKUP(A2937,'Thống kê'!$C$3:$D$669,2,0)</f>
        <v>Móc khóa Popbean</v>
      </c>
      <c r="C2937" s="436" t="str">
        <f>VLOOKUP(A2937,'Thống kê'!$C$3:$E$682,3,0)</f>
        <v>cái</v>
      </c>
      <c r="D2937" s="437">
        <f>VLOOKUP(A2937,'Thống kê'!$C$3:$M$682,4,0)</f>
        <v>148000</v>
      </c>
      <c r="E2937" s="438">
        <v>1</v>
      </c>
      <c r="F2937" s="439">
        <f t="shared" si="12"/>
        <v>148000</v>
      </c>
      <c r="G2937" s="440"/>
      <c r="H2937" s="450"/>
    </row>
    <row r="2938" spans="1:8" ht="13.2">
      <c r="A2938" s="454" t="s">
        <v>1661</v>
      </c>
      <c r="B2938" s="452" t="str">
        <f>VLOOKUP(A2938,'Thống kê'!$C$3:$D$669,2,0)</f>
        <v>Móc khóa Popbean Kubo</v>
      </c>
      <c r="C2938" s="436" t="str">
        <f>VLOOKUP(A2938,'Thống kê'!$C$3:$E$682,3,0)</f>
        <v>cái</v>
      </c>
      <c r="D2938" s="437">
        <f>VLOOKUP(A2938,'Thống kê'!$C$3:$M$682,4,0)</f>
        <v>148000</v>
      </c>
      <c r="E2938" s="438">
        <v>1</v>
      </c>
      <c r="F2938" s="439">
        <f t="shared" si="12"/>
        <v>148000</v>
      </c>
      <c r="G2938" s="440"/>
      <c r="H2938" s="448">
        <v>107950</v>
      </c>
    </row>
    <row r="2939" spans="1:8" ht="13.2">
      <c r="A2939" s="454" t="s">
        <v>115</v>
      </c>
      <c r="B2939" s="452" t="str">
        <f>VLOOKUP(A2939,'Thống kê'!$C$3:$D$669,2,0)</f>
        <v>Heo ú</v>
      </c>
      <c r="C2939" s="436" t="str">
        <f>VLOOKUP(A2939,'Thống kê'!$C$3:$E$682,3,0)</f>
        <v>cái</v>
      </c>
      <c r="D2939" s="437">
        <f>VLOOKUP(A2939,'Thống kê'!$C$3:$M$682,4,0)</f>
        <v>59500</v>
      </c>
      <c r="E2939" s="438">
        <v>1</v>
      </c>
      <c r="F2939" s="439">
        <f t="shared" si="12"/>
        <v>59500</v>
      </c>
      <c r="G2939" s="440"/>
      <c r="H2939" s="448">
        <v>45317</v>
      </c>
    </row>
    <row r="2940" spans="1:8" ht="13.2">
      <c r="A2940" s="454" t="s">
        <v>2067</v>
      </c>
      <c r="B2940" s="452" t="str">
        <f>VLOOKUP(A2940,'Thống kê'!$C$3:$D$669,2,0)</f>
        <v>Cài áo kính bạc</v>
      </c>
      <c r="C2940" s="436" t="str">
        <f>VLOOKUP(A2940,'Thống kê'!$C$3:$E$682,3,0)</f>
        <v>cái</v>
      </c>
      <c r="D2940" s="437">
        <f>VLOOKUP(A2940,'Thống kê'!$C$3:$M$682,4,0)</f>
        <v>12500</v>
      </c>
      <c r="E2940" s="438">
        <v>1</v>
      </c>
      <c r="F2940" s="439">
        <f t="shared" si="12"/>
        <v>12500</v>
      </c>
      <c r="G2940" s="440"/>
      <c r="H2940" s="447">
        <v>88816</v>
      </c>
    </row>
    <row r="2941" spans="1:8" ht="13.2">
      <c r="A2941" s="454" t="s">
        <v>1782</v>
      </c>
      <c r="B2941" s="452" t="str">
        <f>VLOOKUP(A2941,'Thống kê'!$C$3:$D$669,2,0)</f>
        <v>Mèo xám treo gương</v>
      </c>
      <c r="C2941" s="436" t="str">
        <f>VLOOKUP(A2941,'Thống kê'!$C$3:$E$682,3,0)</f>
        <v>cái</v>
      </c>
      <c r="D2941" s="437">
        <f>VLOOKUP(A2941,'Thống kê'!$C$3:$M$682,4,0)</f>
        <v>71500</v>
      </c>
      <c r="E2941" s="438">
        <v>1</v>
      </c>
      <c r="F2941" s="439">
        <f t="shared" si="12"/>
        <v>71500</v>
      </c>
      <c r="G2941" s="440"/>
      <c r="H2941" s="450"/>
    </row>
    <row r="2942" spans="1:8" ht="13.2">
      <c r="A2942" s="454" t="s">
        <v>1622</v>
      </c>
      <c r="B2942" s="452" t="str">
        <f>VLOOKUP(A2942,'Thống kê'!$C$3:$D$669,2,0)</f>
        <v>Mô hình mèo 1</v>
      </c>
      <c r="C2942" s="436" t="str">
        <f>VLOOKUP(A2942,'Thống kê'!$C$3:$E$682,3,0)</f>
        <v>cái</v>
      </c>
      <c r="D2942" s="437">
        <f>VLOOKUP(A2942,'Thống kê'!$C$3:$M$682,4,0)</f>
        <v>37800</v>
      </c>
      <c r="E2942" s="438">
        <v>1</v>
      </c>
      <c r="F2942" s="439">
        <f t="shared" si="12"/>
        <v>37800</v>
      </c>
      <c r="G2942" s="440"/>
      <c r="H2942" s="450"/>
    </row>
    <row r="2943" spans="1:8" ht="13.2">
      <c r="A2943" s="454" t="s">
        <v>150</v>
      </c>
      <c r="B2943" s="452" t="str">
        <f>VLOOKUP(A2943,'Thống kê'!$C$3:$D$669,2,0)</f>
        <v>Móc khóa có chuông</v>
      </c>
      <c r="C2943" s="436" t="str">
        <f>VLOOKUP(A2943,'Thống kê'!$C$3:$E$682,3,0)</f>
        <v>cái</v>
      </c>
      <c r="D2943" s="437">
        <f>VLOOKUP(A2943,'Thống kê'!$C$3:$M$682,4,0)</f>
        <v>59000</v>
      </c>
      <c r="E2943" s="438">
        <v>1</v>
      </c>
      <c r="F2943" s="439">
        <f t="shared" si="12"/>
        <v>59000</v>
      </c>
      <c r="G2943" s="440"/>
      <c r="H2943" s="448">
        <v>45060</v>
      </c>
    </row>
    <row r="2944" spans="1:8" ht="13.2">
      <c r="A2944" s="454" t="s">
        <v>1947</v>
      </c>
      <c r="B2944" s="452" t="str">
        <f>VLOOKUP(A2944,'Thống kê'!$C$3:$D$669,2,0)</f>
        <v>Kẹp nơ trắng</v>
      </c>
      <c r="C2944" s="436" t="str">
        <f>VLOOKUP(A2944,'Thống kê'!$C$3:$E$682,3,0)</f>
        <v>cái</v>
      </c>
      <c r="D2944" s="437">
        <f>VLOOKUP(A2944,'Thống kê'!$C$3:$M$682,4,0)</f>
        <v>22000</v>
      </c>
      <c r="E2944" s="438">
        <v>1</v>
      </c>
      <c r="F2944" s="439">
        <f t="shared" si="12"/>
        <v>22000</v>
      </c>
      <c r="G2944" s="440"/>
      <c r="H2944" s="448">
        <v>12675</v>
      </c>
    </row>
    <row r="2945" spans="1:8" ht="13.2">
      <c r="A2945" s="454" t="s">
        <v>150</v>
      </c>
      <c r="B2945" s="452" t="str">
        <f>VLOOKUP(A2945,'Thống kê'!$C$3:$D$669,2,0)</f>
        <v>Móc khóa có chuông</v>
      </c>
      <c r="C2945" s="436" t="str">
        <f>VLOOKUP(A2945,'Thống kê'!$C$3:$E$682,3,0)</f>
        <v>cái</v>
      </c>
      <c r="D2945" s="437">
        <f>VLOOKUP(A2945,'Thống kê'!$C$3:$M$682,4,0)</f>
        <v>59000</v>
      </c>
      <c r="E2945" s="438">
        <v>1</v>
      </c>
      <c r="F2945" s="439">
        <f t="shared" si="12"/>
        <v>59000</v>
      </c>
      <c r="G2945" s="440"/>
      <c r="H2945" s="448">
        <v>45135</v>
      </c>
    </row>
    <row r="2946" spans="1:8" ht="13.2">
      <c r="A2946" s="454" t="s">
        <v>1632</v>
      </c>
      <c r="B2946" s="452" t="str">
        <f>VLOOKUP(A2946,'Thống kê'!$C$3:$D$669,2,0)</f>
        <v>Móc khóa đôi mèo trắng</v>
      </c>
      <c r="C2946" s="436" t="str">
        <f>VLOOKUP(A2946,'Thống kê'!$C$3:$E$682,3,0)</f>
        <v>cái</v>
      </c>
      <c r="D2946" s="437">
        <f>VLOOKUP(A2946,'Thống kê'!$C$3:$M$682,4,0)</f>
        <v>59000</v>
      </c>
      <c r="E2946" s="438">
        <v>1</v>
      </c>
      <c r="F2946" s="439">
        <f t="shared" si="12"/>
        <v>59000</v>
      </c>
      <c r="G2946" s="440"/>
      <c r="H2946" s="448">
        <v>45135</v>
      </c>
    </row>
    <row r="2947" spans="1:8" ht="13.2">
      <c r="A2947" s="454" t="s">
        <v>115</v>
      </c>
      <c r="B2947" s="452" t="str">
        <f>VLOOKUP(A2947,'Thống kê'!$C$3:$D$669,2,0)</f>
        <v>Heo ú</v>
      </c>
      <c r="C2947" s="436" t="str">
        <f>VLOOKUP(A2947,'Thống kê'!$C$3:$E$682,3,0)</f>
        <v>cái</v>
      </c>
      <c r="D2947" s="437">
        <f>VLOOKUP(A2947,'Thống kê'!$C$3:$M$682,4,0)</f>
        <v>59500</v>
      </c>
      <c r="E2947" s="438">
        <v>1</v>
      </c>
      <c r="F2947" s="439">
        <f t="shared" si="12"/>
        <v>59500</v>
      </c>
      <c r="G2947" s="440"/>
      <c r="H2947" s="447">
        <v>96900</v>
      </c>
    </row>
    <row r="2948" spans="1:8" ht="13.2">
      <c r="A2948" s="454" t="s">
        <v>1589</v>
      </c>
      <c r="B2948" s="452" t="str">
        <f>VLOOKUP(A2948,'Thống kê'!$C$3:$D$669,2,0)</f>
        <v>Heo ú bay</v>
      </c>
      <c r="C2948" s="436" t="str">
        <f>VLOOKUP(A2948,'Thống kê'!$C$3:$E$682,3,0)</f>
        <v>cái</v>
      </c>
      <c r="D2948" s="437">
        <f>VLOOKUP(A2948,'Thống kê'!$C$3:$M$682,4,0)</f>
        <v>64500</v>
      </c>
      <c r="E2948" s="438">
        <v>1</v>
      </c>
      <c r="F2948" s="439">
        <f t="shared" si="12"/>
        <v>64500</v>
      </c>
      <c r="G2948" s="440"/>
      <c r="H2948" s="450"/>
    </row>
    <row r="2949" spans="1:8" ht="13.2">
      <c r="A2949" s="454" t="s">
        <v>1632</v>
      </c>
      <c r="B2949" s="452" t="str">
        <f>VLOOKUP(A2949,'Thống kê'!$C$3:$D$669,2,0)</f>
        <v>Móc khóa đôi mèo trắng</v>
      </c>
      <c r="C2949" s="436" t="str">
        <f>VLOOKUP(A2949,'Thống kê'!$C$3:$E$682,3,0)</f>
        <v>cái</v>
      </c>
      <c r="D2949" s="437">
        <f>VLOOKUP(A2949,'Thống kê'!$C$3:$M$682,4,0)</f>
        <v>59000</v>
      </c>
      <c r="E2949" s="438">
        <v>1</v>
      </c>
      <c r="F2949" s="439">
        <f t="shared" si="12"/>
        <v>59000</v>
      </c>
      <c r="G2949" s="440"/>
      <c r="H2949" s="448">
        <v>44485</v>
      </c>
    </row>
    <row r="2950" spans="1:8" ht="13.2">
      <c r="A2950" s="454" t="s">
        <v>1591</v>
      </c>
      <c r="B2950" s="452" t="str">
        <f>VLOOKUP(A2950,'Thống kê'!$C$3:$D$669,2,0)</f>
        <v>Thỏ ú</v>
      </c>
      <c r="C2950" s="436" t="str">
        <f>VLOOKUP(A2950,'Thống kê'!$C$3:$E$682,3,0)</f>
        <v>cái</v>
      </c>
      <c r="D2950" s="437">
        <f>VLOOKUP(A2950,'Thống kê'!$C$3:$M$682,4,0)</f>
        <v>59500</v>
      </c>
      <c r="E2950" s="438">
        <v>1</v>
      </c>
      <c r="F2950" s="439">
        <f t="shared" si="12"/>
        <v>59500</v>
      </c>
      <c r="G2950" s="440"/>
      <c r="H2950" s="447">
        <v>142800</v>
      </c>
    </row>
    <row r="2951" spans="1:8" ht="13.2">
      <c r="A2951" s="454" t="s">
        <v>325</v>
      </c>
      <c r="B2951" s="452" t="str">
        <f>VLOOKUP(A2951,'Thống kê'!$C$3:$D$669,2,0)</f>
        <v>Gấu ú</v>
      </c>
      <c r="C2951" s="436" t="str">
        <f>VLOOKUP(A2951,'Thống kê'!$C$3:$E$682,3,0)</f>
        <v>cái</v>
      </c>
      <c r="D2951" s="437">
        <f>VLOOKUP(A2951,'Thống kê'!$C$3:$M$682,4,0)</f>
        <v>59500</v>
      </c>
      <c r="E2951" s="438">
        <v>1</v>
      </c>
      <c r="F2951" s="439">
        <f t="shared" si="12"/>
        <v>59500</v>
      </c>
      <c r="G2951" s="440"/>
      <c r="H2951" s="450"/>
    </row>
    <row r="2952" spans="1:8" ht="13.2">
      <c r="A2952" s="454" t="s">
        <v>1625</v>
      </c>
      <c r="B2952" s="452" t="str">
        <f>VLOOKUP(A2952,'Thống kê'!$C$3:$D$669,2,0)</f>
        <v>Móc khóa đôi 2 mèo trắng nâu</v>
      </c>
      <c r="C2952" s="436" t="str">
        <f>VLOOKUP(A2952,'Thống kê'!$C$3:$E$682,3,0)</f>
        <v>cái</v>
      </c>
      <c r="D2952" s="437">
        <f>VLOOKUP(A2952,'Thống kê'!$C$3:$M$682,4,0)</f>
        <v>59000</v>
      </c>
      <c r="E2952" s="438">
        <v>1</v>
      </c>
      <c r="F2952" s="439">
        <f t="shared" si="12"/>
        <v>59000</v>
      </c>
      <c r="G2952" s="440"/>
      <c r="H2952" s="450"/>
    </row>
    <row r="2953" spans="1:8" ht="13.2">
      <c r="A2953" s="454" t="s">
        <v>245</v>
      </c>
      <c r="B2953" s="452" t="str">
        <f>VLOOKUP(A2953,'Thống kê'!$C$3:$D$669,2,0)</f>
        <v>Móc khóa Popbean</v>
      </c>
      <c r="C2953" s="436" t="str">
        <f>VLOOKUP(A2953,'Thống kê'!$C$3:$E$682,3,0)</f>
        <v>cái</v>
      </c>
      <c r="D2953" s="437">
        <f>VLOOKUP(A2953,'Thống kê'!$C$3:$M$682,4,0)</f>
        <v>148000</v>
      </c>
      <c r="E2953" s="438">
        <v>1</v>
      </c>
      <c r="F2953" s="439">
        <f t="shared" si="12"/>
        <v>148000</v>
      </c>
      <c r="G2953" s="440"/>
      <c r="H2953" s="447">
        <v>273700</v>
      </c>
    </row>
    <row r="2954" spans="1:8" ht="13.2">
      <c r="A2954" s="454" t="s">
        <v>1371</v>
      </c>
      <c r="B2954" s="452" t="str">
        <f>VLOOKUP(A2954,'Thống kê'!$C$3:$D$669,2,0)</f>
        <v>Móc khóa Popbean</v>
      </c>
      <c r="C2954" s="436" t="str">
        <f>VLOOKUP(A2954,'Thống kê'!$C$3:$E$682,3,0)</f>
        <v>cái</v>
      </c>
      <c r="D2954" s="437">
        <f>VLOOKUP(A2954,'Thống kê'!$C$3:$M$682,4,0)</f>
        <v>148000</v>
      </c>
      <c r="E2954" s="438">
        <v>1</v>
      </c>
      <c r="F2954" s="439">
        <f t="shared" si="12"/>
        <v>148000</v>
      </c>
      <c r="G2954" s="440"/>
      <c r="H2954" s="450"/>
    </row>
    <row r="2955" spans="1:8" ht="13.2">
      <c r="A2955" s="454" t="s">
        <v>1639</v>
      </c>
      <c r="B2955" s="452" t="str">
        <f>VLOOKUP(A2955,'Thống kê'!$C$3:$D$669,2,0)</f>
        <v>Móc khóa đôi Puppy</v>
      </c>
      <c r="C2955" s="436" t="str">
        <f>VLOOKUP(A2955,'Thống kê'!$C$3:$E$682,3,0)</f>
        <v>cái</v>
      </c>
      <c r="D2955" s="437">
        <f>VLOOKUP(A2955,'Thống kê'!$C$3:$M$682,4,0)</f>
        <v>59000</v>
      </c>
      <c r="E2955" s="438">
        <v>1</v>
      </c>
      <c r="F2955" s="439">
        <f t="shared" si="12"/>
        <v>59000</v>
      </c>
      <c r="G2955" s="440"/>
      <c r="H2955" s="448">
        <v>45135</v>
      </c>
    </row>
    <row r="2956" spans="1:8" ht="13.2">
      <c r="A2956" s="454" t="s">
        <v>1594</v>
      </c>
      <c r="B2956" s="452" t="str">
        <f>VLOOKUP(A2956,'Thống kê'!$C$3:$D$669,2,0)</f>
        <v>Móc khóa đôi heo</v>
      </c>
      <c r="C2956" s="436" t="str">
        <f>VLOOKUP(A2956,'Thống kê'!$C$3:$E$682,3,0)</f>
        <v>cái</v>
      </c>
      <c r="D2956" s="437">
        <f>VLOOKUP(A2956,'Thống kê'!$C$3:$M$682,4,0)</f>
        <v>56580</v>
      </c>
      <c r="E2956" s="438">
        <v>1</v>
      </c>
      <c r="F2956" s="439">
        <f t="shared" si="12"/>
        <v>56580</v>
      </c>
      <c r="G2956" s="440"/>
      <c r="H2956" s="448">
        <v>43284</v>
      </c>
    </row>
    <row r="2957" spans="1:8" ht="13.2">
      <c r="A2957" s="454" t="s">
        <v>1949</v>
      </c>
      <c r="B2957" s="452" t="str">
        <f>VLOOKUP(A2957,'Thống kê'!$C$3:$D$669,2,0)</f>
        <v>Mô hình cún 02</v>
      </c>
      <c r="C2957" s="436" t="str">
        <f>VLOOKUP(A2957,'Thống kê'!$C$3:$E$682,3,0)</f>
        <v>cái</v>
      </c>
      <c r="D2957" s="437">
        <f>VLOOKUP(A2957,'Thống kê'!$C$3:$M$682,4,0)</f>
        <v>39000</v>
      </c>
      <c r="E2957" s="438">
        <v>1</v>
      </c>
      <c r="F2957" s="439">
        <f t="shared" si="12"/>
        <v>39000</v>
      </c>
      <c r="G2957" s="440"/>
      <c r="H2957" s="447">
        <v>211796</v>
      </c>
    </row>
    <row r="2958" spans="1:8" ht="13.2">
      <c r="A2958" s="454" t="s">
        <v>1950</v>
      </c>
      <c r="B2958" s="452" t="str">
        <f>VLOOKUP(A2958,'Thống kê'!$C$3:$D$669,2,0)</f>
        <v>Mô hình cún 03</v>
      </c>
      <c r="C2958" s="436" t="str">
        <f>VLOOKUP(A2958,'Thống kê'!$C$3:$E$682,3,0)</f>
        <v>cái</v>
      </c>
      <c r="D2958" s="437">
        <f>VLOOKUP(A2958,'Thống kê'!$C$3:$M$682,4,0)</f>
        <v>39000</v>
      </c>
      <c r="E2958" s="438">
        <v>1</v>
      </c>
      <c r="F2958" s="439">
        <f t="shared" si="12"/>
        <v>39000</v>
      </c>
      <c r="G2958" s="440"/>
      <c r="H2958" s="450"/>
    </row>
    <row r="2959" spans="1:8" ht="13.2">
      <c r="A2959" s="454" t="s">
        <v>1951</v>
      </c>
      <c r="B2959" s="452" t="str">
        <f>VLOOKUP(A2959,'Thống kê'!$C$3:$D$669,2,0)</f>
        <v>Mô hình cún 04</v>
      </c>
      <c r="C2959" s="436" t="str">
        <f>VLOOKUP(A2959,'Thống kê'!$C$3:$E$682,3,0)</f>
        <v>cái</v>
      </c>
      <c r="D2959" s="437">
        <f>VLOOKUP(A2959,'Thống kê'!$C$3:$M$682,4,0)</f>
        <v>39000</v>
      </c>
      <c r="E2959" s="438">
        <v>1</v>
      </c>
      <c r="F2959" s="439">
        <f t="shared" si="12"/>
        <v>39000</v>
      </c>
      <c r="G2959" s="440"/>
      <c r="H2959" s="450"/>
    </row>
    <row r="2960" spans="1:8" ht="13.2">
      <c r="A2960" s="454" t="s">
        <v>1974</v>
      </c>
      <c r="B2960" s="452" t="str">
        <f>VLOOKUP(A2960,'Thống kê'!$C$3:$D$669,2,0)</f>
        <v>Mô hình cún 01</v>
      </c>
      <c r="C2960" s="436" t="str">
        <f>VLOOKUP(A2960,'Thống kê'!$C$3:$E$682,3,0)</f>
        <v>cái</v>
      </c>
      <c r="D2960" s="437">
        <f>VLOOKUP(A2960,'Thống kê'!$C$3:$M$682,4,0)</f>
        <v>39000</v>
      </c>
      <c r="E2960" s="438">
        <v>1</v>
      </c>
      <c r="F2960" s="439">
        <f t="shared" si="12"/>
        <v>39000</v>
      </c>
      <c r="G2960" s="440"/>
      <c r="H2960" s="450"/>
    </row>
    <row r="2961" spans="1:8" ht="13.2">
      <c r="A2961" s="454" t="s">
        <v>1622</v>
      </c>
      <c r="B2961" s="452" t="str">
        <f>VLOOKUP(A2961,'Thống kê'!$C$3:$D$669,2,0)</f>
        <v>Mô hình mèo 1</v>
      </c>
      <c r="C2961" s="436" t="str">
        <f>VLOOKUP(A2961,'Thống kê'!$C$3:$E$682,3,0)</f>
        <v>cái</v>
      </c>
      <c r="D2961" s="437">
        <f>VLOOKUP(A2961,'Thống kê'!$C$3:$M$682,4,0)</f>
        <v>37800</v>
      </c>
      <c r="E2961" s="438">
        <v>1</v>
      </c>
      <c r="F2961" s="439">
        <f t="shared" si="12"/>
        <v>37800</v>
      </c>
      <c r="G2961" s="440"/>
      <c r="H2961" s="450"/>
    </row>
    <row r="2962" spans="1:8" ht="13.2">
      <c r="A2962" s="454" t="s">
        <v>1636</v>
      </c>
      <c r="B2962" s="452" t="str">
        <f>VLOOKUP(A2962,'Thống kê'!$C$3:$D$669,2,0)</f>
        <v>Mô hình mèo 3</v>
      </c>
      <c r="C2962" s="436" t="str">
        <f>VLOOKUP(A2962,'Thống kê'!$C$3:$E$682,3,0)</f>
        <v>cái</v>
      </c>
      <c r="D2962" s="437">
        <f>VLOOKUP(A2962,'Thống kê'!$C$3:$M$682,4,0)</f>
        <v>37800</v>
      </c>
      <c r="E2962" s="438">
        <v>1</v>
      </c>
      <c r="F2962" s="439">
        <f t="shared" si="12"/>
        <v>37800</v>
      </c>
      <c r="G2962" s="440"/>
      <c r="H2962" s="450"/>
    </row>
    <row r="2963" spans="1:8" ht="13.2">
      <c r="A2963" s="454" t="s">
        <v>1357</v>
      </c>
      <c r="B2963" s="452" t="str">
        <f>VLOOKUP(A2963,'Thống kê'!$C$3:$D$669,2,0)</f>
        <v>Trang trí mô hình Thỏ</v>
      </c>
      <c r="C2963" s="436" t="str">
        <f>VLOOKUP(A2963,'Thống kê'!$C$3:$E$682,3,0)</f>
        <v>cái</v>
      </c>
      <c r="D2963" s="437">
        <f>VLOOKUP(A2963,'Thống kê'!$C$3:$M$682,4,0)</f>
        <v>39000</v>
      </c>
      <c r="E2963" s="438">
        <v>1</v>
      </c>
      <c r="F2963" s="439">
        <f t="shared" si="12"/>
        <v>39000</v>
      </c>
      <c r="G2963" s="440"/>
      <c r="H2963" s="450"/>
    </row>
    <row r="2964" spans="1:8" ht="13.2">
      <c r="A2964" s="454" t="s">
        <v>1617</v>
      </c>
      <c r="B2964" s="452" t="str">
        <f>VLOOKUP(A2964,'Thống kê'!$C$3:$D$669,2,0)</f>
        <v xml:space="preserve">Kẹp tóc bướm hồng </v>
      </c>
      <c r="C2964" s="436" t="str">
        <f>VLOOKUP(A2964,'Thống kê'!$C$3:$E$682,3,0)</f>
        <v>cái</v>
      </c>
      <c r="D2964" s="437">
        <f>VLOOKUP(A2964,'Thống kê'!$C$3:$M$682,4,0)</f>
        <v>40000</v>
      </c>
      <c r="E2964" s="438">
        <v>1</v>
      </c>
      <c r="F2964" s="439">
        <f t="shared" si="12"/>
        <v>40000</v>
      </c>
      <c r="G2964" s="440"/>
      <c r="H2964" s="447">
        <v>51945</v>
      </c>
    </row>
    <row r="2965" spans="1:8" ht="13.2">
      <c r="A2965" s="454" t="s">
        <v>1614</v>
      </c>
      <c r="B2965" s="452" t="str">
        <f>VLOOKUP(A2965,'Thống kê'!$C$3:$D$669,2,0)</f>
        <v>Kẹp tóc bướm xanh ngọc</v>
      </c>
      <c r="C2965" s="436" t="str">
        <f>VLOOKUP(A2965,'Thống kê'!$C$3:$E$682,3,0)</f>
        <v>cái</v>
      </c>
      <c r="D2965" s="437">
        <f>VLOOKUP(A2965,'Thống kê'!$C$3:$M$682,4,0)</f>
        <v>38000</v>
      </c>
      <c r="E2965" s="438">
        <v>1</v>
      </c>
      <c r="F2965" s="439">
        <f t="shared" si="12"/>
        <v>38000</v>
      </c>
      <c r="G2965" s="440"/>
      <c r="H2965" s="450"/>
    </row>
    <row r="2966" spans="1:8" ht="13.2">
      <c r="A2966" s="454" t="s">
        <v>1653</v>
      </c>
      <c r="B2966" s="452" t="str">
        <f>VLOOKUP(A2966,'Thống kê'!$C$3:$D$669,2,0)</f>
        <v>Móc khóa Popbean Pucky</v>
      </c>
      <c r="C2966" s="436" t="str">
        <f>VLOOKUP(A2966,'Thống kê'!$C$3:$E$682,3,0)</f>
        <v>cái</v>
      </c>
      <c r="D2966" s="437">
        <f>VLOOKUP(A2966,'Thống kê'!$C$3:$M$682,4,0)</f>
        <v>155000</v>
      </c>
      <c r="E2966" s="438">
        <v>1</v>
      </c>
      <c r="F2966" s="439">
        <f t="shared" si="12"/>
        <v>155000</v>
      </c>
      <c r="G2966" s="440"/>
      <c r="H2966" s="447">
        <v>234600</v>
      </c>
    </row>
    <row r="2967" spans="1:8" ht="13.2">
      <c r="A2967" s="454" t="s">
        <v>1365</v>
      </c>
      <c r="B2967" s="452" t="str">
        <f>VLOOKUP(A2967,'Thống kê'!$C$3:$D$669,2,0)</f>
        <v>Móc khóa Popbean</v>
      </c>
      <c r="C2967" s="436" t="str">
        <f>VLOOKUP(A2967,'Thống kê'!$C$3:$E$682,3,0)</f>
        <v>cái</v>
      </c>
      <c r="D2967" s="437">
        <f>VLOOKUP(A2967,'Thống kê'!$C$3:$M$682,4,0)</f>
        <v>148000</v>
      </c>
      <c r="E2967" s="438">
        <v>1</v>
      </c>
      <c r="F2967" s="439">
        <f t="shared" si="12"/>
        <v>148000</v>
      </c>
      <c r="G2967" s="440"/>
      <c r="H2967" s="450"/>
    </row>
    <row r="2968" spans="1:8" ht="13.2">
      <c r="A2968" s="454" t="s">
        <v>1647</v>
      </c>
      <c r="B2968" s="452" t="str">
        <f>VLOOKUP(A2968,'Thống kê'!$C$3:$D$669,2,0)</f>
        <v>Túi chườm bụng dứa (xanh đậm) 500ml</v>
      </c>
      <c r="C2968" s="436" t="str">
        <f>VLOOKUP(A2968,'Thống kê'!$C$3:$E$682,3,0)</f>
        <v>túi</v>
      </c>
      <c r="D2968" s="437">
        <f>VLOOKUP(A2968,'Thống kê'!$C$3:$M$682,4,0)</f>
        <v>78200</v>
      </c>
      <c r="E2968" s="438">
        <v>-1</v>
      </c>
      <c r="F2968" s="439">
        <f t="shared" si="12"/>
        <v>-78200</v>
      </c>
      <c r="G2968" s="440"/>
      <c r="H2968" s="448">
        <v>-79400</v>
      </c>
    </row>
    <row r="2969" spans="1:8" ht="13.2">
      <c r="A2969" s="454" t="s">
        <v>1625</v>
      </c>
      <c r="B2969" s="452" t="str">
        <f>VLOOKUP(A2969,'Thống kê'!$C$3:$D$669,2,0)</f>
        <v>Móc khóa đôi 2 mèo trắng nâu</v>
      </c>
      <c r="C2969" s="436" t="str">
        <f>VLOOKUP(A2969,'Thống kê'!$C$3:$E$682,3,0)</f>
        <v>cái</v>
      </c>
      <c r="D2969" s="437">
        <f>VLOOKUP(A2969,'Thống kê'!$C$3:$M$682,4,0)</f>
        <v>59000</v>
      </c>
      <c r="E2969" s="438">
        <v>-1</v>
      </c>
      <c r="F2969" s="439">
        <f t="shared" si="12"/>
        <v>-59000</v>
      </c>
      <c r="G2969" s="440"/>
      <c r="H2969" s="448">
        <v>-49383</v>
      </c>
    </row>
    <row r="2970" spans="1:8" ht="13.2">
      <c r="A2970" s="454" t="s">
        <v>1625</v>
      </c>
      <c r="B2970" s="452" t="str">
        <f>VLOOKUP(A2970,'Thống kê'!$C$3:$D$669,2,0)</f>
        <v>Móc khóa đôi 2 mèo trắng nâu</v>
      </c>
      <c r="C2970" s="436" t="str">
        <f>VLOOKUP(A2970,'Thống kê'!$C$3:$E$682,3,0)</f>
        <v>cái</v>
      </c>
      <c r="D2970" s="437">
        <f>VLOOKUP(A2970,'Thống kê'!$C$3:$M$682,4,0)</f>
        <v>59000</v>
      </c>
      <c r="E2970" s="438">
        <v>-1</v>
      </c>
      <c r="F2970" s="439">
        <f t="shared" si="12"/>
        <v>-59000</v>
      </c>
      <c r="G2970" s="440"/>
      <c r="H2970" s="448">
        <v>-53100</v>
      </c>
    </row>
    <row r="2971" spans="1:8" ht="13.2">
      <c r="A2971" s="454" t="s">
        <v>245</v>
      </c>
      <c r="B2971" s="452" t="str">
        <f>VLOOKUP(A2971,'Thống kê'!$C$3:$D$669,2,0)</f>
        <v>Móc khóa Popbean</v>
      </c>
      <c r="C2971" s="436" t="str">
        <f>VLOOKUP(A2971,'Thống kê'!$C$3:$E$682,3,0)</f>
        <v>cái</v>
      </c>
      <c r="D2971" s="437">
        <f>VLOOKUP(A2971,'Thống kê'!$C$3:$M$682,4,0)</f>
        <v>148000</v>
      </c>
      <c r="E2971" s="438">
        <v>-1</v>
      </c>
      <c r="F2971" s="439">
        <f t="shared" si="12"/>
        <v>-148000</v>
      </c>
      <c r="G2971" s="440"/>
      <c r="H2971" s="448">
        <v>-160200</v>
      </c>
    </row>
    <row r="2972" spans="1:8" ht="13.2">
      <c r="A2972" s="454" t="s">
        <v>1658</v>
      </c>
      <c r="B2972" s="452" t="str">
        <f>VLOOKUP(A2972,'Thống kê'!$C$3:$D$669,2,0)</f>
        <v>Móc khóa Popbean Dimoo</v>
      </c>
      <c r="C2972" s="436" t="str">
        <f>VLOOKUP(A2972,'Thống kê'!$C$3:$E$682,3,0)</f>
        <v>cái</v>
      </c>
      <c r="D2972" s="437">
        <f>VLOOKUP(A2972,'Thống kê'!$C$3:$M$682,4,0)</f>
        <v>165000</v>
      </c>
      <c r="E2972" s="438">
        <v>-1</v>
      </c>
      <c r="F2972" s="439">
        <f t="shared" si="12"/>
        <v>-165000</v>
      </c>
      <c r="G2972" s="440"/>
      <c r="H2972" s="448">
        <v>-127000</v>
      </c>
    </row>
    <row r="2973" spans="1:8" ht="13.2">
      <c r="A2973" s="454" t="s">
        <v>1346</v>
      </c>
      <c r="B2973" s="452" t="str">
        <f>VLOOKUP(A2973,'Thống kê'!$C$3:$D$669,2,0)</f>
        <v>Móc khóa chuối</v>
      </c>
      <c r="C2973" s="436" t="str">
        <f>VLOOKUP(A2973,'Thống kê'!$C$3:$E$682,3,0)</f>
        <v>cái</v>
      </c>
      <c r="D2973" s="437">
        <f>VLOOKUP(A2973,'Thống kê'!$C$3:$M$682,4,0)</f>
        <v>148000</v>
      </c>
      <c r="E2973" s="438">
        <v>1</v>
      </c>
      <c r="F2973" s="439">
        <f t="shared" si="12"/>
        <v>148000</v>
      </c>
      <c r="G2973" s="440"/>
      <c r="H2973" s="448">
        <v>71025</v>
      </c>
    </row>
    <row r="2974" spans="1:8" ht="13.2">
      <c r="A2974" s="454" t="s">
        <v>1586</v>
      </c>
      <c r="B2974" s="452" t="str">
        <f>VLOOKUP(A2974,'Thống kê'!$C$3:$D$669,2,0)</f>
        <v>Thỏ ú hoa</v>
      </c>
      <c r="C2974" s="436" t="str">
        <f>VLOOKUP(A2974,'Thống kê'!$C$3:$E$682,3,0)</f>
        <v>cái</v>
      </c>
      <c r="D2974" s="437">
        <f>VLOOKUP(A2974,'Thống kê'!$C$3:$M$682,4,0)</f>
        <v>64500</v>
      </c>
      <c r="E2974" s="438">
        <v>1</v>
      </c>
      <c r="F2974" s="439">
        <f t="shared" si="12"/>
        <v>64500</v>
      </c>
      <c r="G2974" s="440"/>
      <c r="H2974" s="447">
        <v>72843</v>
      </c>
    </row>
    <row r="2975" spans="1:8" ht="13.2">
      <c r="A2975" s="454" t="s">
        <v>1359</v>
      </c>
      <c r="B2975" s="452" t="str">
        <f>VLOOKUP(A2975,'Thống kê'!$C$3:$D$669,2,0)</f>
        <v>Trang trí mô hình Cún</v>
      </c>
      <c r="C2975" s="436" t="str">
        <f>VLOOKUP(A2975,'Thống kê'!$C$3:$E$682,3,0)</f>
        <v>cái</v>
      </c>
      <c r="D2975" s="437">
        <f>VLOOKUP(A2975,'Thống kê'!$C$3:$M$682,4,0)</f>
        <v>39000</v>
      </c>
      <c r="E2975" s="438">
        <v>1</v>
      </c>
      <c r="F2975" s="439">
        <f t="shared" si="12"/>
        <v>39000</v>
      </c>
      <c r="G2975" s="440"/>
      <c r="H2975" s="450"/>
    </row>
    <row r="2976" spans="1:8" ht="13.2">
      <c r="A2976" s="454" t="s">
        <v>1346</v>
      </c>
      <c r="B2976" s="452" t="str">
        <f>VLOOKUP(A2976,'Thống kê'!$C$3:$D$669,2,0)</f>
        <v>Móc khóa chuối</v>
      </c>
      <c r="C2976" s="436" t="str">
        <f>VLOOKUP(A2976,'Thống kê'!$C$3:$E$682,3,0)</f>
        <v>cái</v>
      </c>
      <c r="D2976" s="437">
        <f>VLOOKUP(A2976,'Thống kê'!$C$3:$M$682,4,0)</f>
        <v>148000</v>
      </c>
      <c r="E2976" s="438">
        <v>1</v>
      </c>
      <c r="F2976" s="439">
        <f t="shared" si="12"/>
        <v>148000</v>
      </c>
      <c r="G2976" s="440"/>
      <c r="H2976" s="448">
        <v>71325</v>
      </c>
    </row>
    <row r="2977" spans="1:8" ht="13.2">
      <c r="A2977" s="454" t="s">
        <v>1369</v>
      </c>
      <c r="B2977" s="452" t="str">
        <f>VLOOKUP(A2977,'Thống kê'!$C$3:$D$669,2,0)</f>
        <v>Móc khóa Popbean</v>
      </c>
      <c r="C2977" s="436" t="str">
        <f>VLOOKUP(A2977,'Thống kê'!$C$3:$E$682,3,0)</f>
        <v>cái</v>
      </c>
      <c r="D2977" s="437">
        <f>VLOOKUP(A2977,'Thống kê'!$C$3:$M$682,4,0)</f>
        <v>148000</v>
      </c>
      <c r="E2977" s="438">
        <v>1</v>
      </c>
      <c r="F2977" s="439">
        <f t="shared" si="12"/>
        <v>148000</v>
      </c>
      <c r="G2977" s="440"/>
      <c r="H2977" s="448">
        <v>133450</v>
      </c>
    </row>
    <row r="2978" spans="1:8" ht="13.2">
      <c r="A2978" s="454" t="s">
        <v>1369</v>
      </c>
      <c r="B2978" s="452" t="str">
        <f>VLOOKUP(A2978,'Thống kê'!$C$3:$D$669,2,0)</f>
        <v>Móc khóa Popbean</v>
      </c>
      <c r="C2978" s="436" t="str">
        <f>VLOOKUP(A2978,'Thống kê'!$C$3:$E$682,3,0)</f>
        <v>cái</v>
      </c>
      <c r="D2978" s="437">
        <f>VLOOKUP(A2978,'Thống kê'!$C$3:$M$682,4,0)</f>
        <v>148000</v>
      </c>
      <c r="E2978" s="438">
        <v>1</v>
      </c>
      <c r="F2978" s="439">
        <f t="shared" si="12"/>
        <v>148000</v>
      </c>
      <c r="G2978" s="440"/>
      <c r="H2978" s="448">
        <v>133450</v>
      </c>
    </row>
    <row r="2979" spans="1:8" ht="13.2">
      <c r="A2979" s="454" t="s">
        <v>1346</v>
      </c>
      <c r="B2979" s="452" t="str">
        <f>VLOOKUP(A2979,'Thống kê'!$C$3:$D$669,2,0)</f>
        <v>Móc khóa chuối</v>
      </c>
      <c r="C2979" s="436" t="str">
        <f>VLOOKUP(A2979,'Thống kê'!$C$3:$E$682,3,0)</f>
        <v>cái</v>
      </c>
      <c r="D2979" s="437">
        <f>VLOOKUP(A2979,'Thống kê'!$C$3:$M$682,4,0)</f>
        <v>148000</v>
      </c>
      <c r="E2979" s="438">
        <v>1</v>
      </c>
      <c r="F2979" s="439">
        <f t="shared" si="12"/>
        <v>148000</v>
      </c>
      <c r="G2979" s="440"/>
      <c r="H2979" s="447">
        <v>147900</v>
      </c>
    </row>
    <row r="2980" spans="1:8" ht="13.2">
      <c r="A2980" s="454" t="s">
        <v>1342</v>
      </c>
      <c r="B2980" s="452" t="str">
        <f>VLOOKUP(A2980,'Thống kê'!$C$3:$D$669,2,0)</f>
        <v>Móc khóa chuối</v>
      </c>
      <c r="C2980" s="436" t="str">
        <f>VLOOKUP(A2980,'Thống kê'!$C$3:$E$682,3,0)</f>
        <v>cái</v>
      </c>
      <c r="D2980" s="437">
        <f>VLOOKUP(A2980,'Thống kê'!$C$3:$M$682,4,0)</f>
        <v>148000</v>
      </c>
      <c r="E2980" s="438">
        <v>1</v>
      </c>
      <c r="F2980" s="439">
        <f t="shared" si="12"/>
        <v>148000</v>
      </c>
      <c r="G2980" s="440"/>
      <c r="H2980" s="450"/>
    </row>
    <row r="2981" spans="1:8" ht="13.2">
      <c r="A2981" s="454" t="s">
        <v>1341</v>
      </c>
      <c r="B2981" s="452" t="str">
        <f>VLOOKUP(A2981,'Thống kê'!$C$3:$D$669,2,0)</f>
        <v>Móc khóa chuối</v>
      </c>
      <c r="C2981" s="436" t="str">
        <f>VLOOKUP(A2981,'Thống kê'!$C$3:$E$682,3,0)</f>
        <v>cái</v>
      </c>
      <c r="D2981" s="437">
        <f>VLOOKUP(A2981,'Thống kê'!$C$3:$M$682,4,0)</f>
        <v>148000</v>
      </c>
      <c r="E2981" s="438">
        <v>1</v>
      </c>
      <c r="F2981" s="439">
        <f t="shared" si="12"/>
        <v>148000</v>
      </c>
      <c r="G2981" s="440"/>
      <c r="H2981" s="448">
        <v>71400</v>
      </c>
    </row>
    <row r="2982" spans="1:8" ht="13.2">
      <c r="A2982" s="454" t="s">
        <v>115</v>
      </c>
      <c r="B2982" s="452" t="str">
        <f>VLOOKUP(A2982,'Thống kê'!$C$3:$D$669,2,0)</f>
        <v>Heo ú</v>
      </c>
      <c r="C2982" s="436" t="str">
        <f>VLOOKUP(A2982,'Thống kê'!$C$3:$E$682,3,0)</f>
        <v>cái</v>
      </c>
      <c r="D2982" s="437">
        <f>VLOOKUP(A2982,'Thống kê'!$C$3:$M$682,4,0)</f>
        <v>59500</v>
      </c>
      <c r="E2982" s="438">
        <v>1</v>
      </c>
      <c r="F2982" s="439">
        <f t="shared" si="12"/>
        <v>59500</v>
      </c>
      <c r="G2982" s="440"/>
      <c r="H2982" s="448">
        <v>41801</v>
      </c>
    </row>
    <row r="2983" spans="1:8" ht="13.2">
      <c r="A2983" s="454" t="s">
        <v>1586</v>
      </c>
      <c r="B2983" s="452" t="str">
        <f>VLOOKUP(A2983,'Thống kê'!$C$3:$D$669,2,0)</f>
        <v>Thỏ ú hoa</v>
      </c>
      <c r="C2983" s="436" t="str">
        <f>VLOOKUP(A2983,'Thống kê'!$C$3:$E$682,3,0)</f>
        <v>cái</v>
      </c>
      <c r="D2983" s="437">
        <f>VLOOKUP(A2983,'Thống kê'!$C$3:$M$682,4,0)</f>
        <v>64500</v>
      </c>
      <c r="E2983" s="438">
        <v>1</v>
      </c>
      <c r="F2983" s="439">
        <f t="shared" si="12"/>
        <v>64500</v>
      </c>
      <c r="G2983" s="440"/>
      <c r="H2983" s="447">
        <v>94078</v>
      </c>
    </row>
    <row r="2984" spans="1:8" ht="13.2">
      <c r="A2984" s="454" t="s">
        <v>1588</v>
      </c>
      <c r="B2984" s="452" t="str">
        <f>VLOOKUP(A2984,'Thống kê'!$C$3:$D$669,2,0)</f>
        <v>Heo ú hoa</v>
      </c>
      <c r="C2984" s="436" t="str">
        <f>VLOOKUP(A2984,'Thống kê'!$C$3:$E$682,3,0)</f>
        <v>cái</v>
      </c>
      <c r="D2984" s="437">
        <f>VLOOKUP(A2984,'Thống kê'!$C$3:$M$682,4,0)</f>
        <v>64500</v>
      </c>
      <c r="E2984" s="438">
        <v>1</v>
      </c>
      <c r="F2984" s="439">
        <f t="shared" si="12"/>
        <v>64500</v>
      </c>
      <c r="G2984" s="440"/>
      <c r="H2984" s="450"/>
    </row>
    <row r="2985" spans="1:8" ht="13.2">
      <c r="A2985" s="454" t="s">
        <v>1594</v>
      </c>
      <c r="B2985" s="452" t="str">
        <f>VLOOKUP(A2985,'Thống kê'!$C$3:$D$669,2,0)</f>
        <v>Móc khóa đôi heo</v>
      </c>
      <c r="C2985" s="436" t="str">
        <f>VLOOKUP(A2985,'Thống kê'!$C$3:$E$682,3,0)</f>
        <v>cái</v>
      </c>
      <c r="D2985" s="437">
        <f>VLOOKUP(A2985,'Thống kê'!$C$3:$M$682,4,0)</f>
        <v>56580</v>
      </c>
      <c r="E2985" s="438">
        <v>1</v>
      </c>
      <c r="F2985" s="439">
        <f t="shared" si="12"/>
        <v>56580</v>
      </c>
      <c r="G2985" s="440"/>
      <c r="H2985" s="448">
        <v>43284</v>
      </c>
    </row>
    <row r="2986" spans="1:8" ht="13.2">
      <c r="A2986" s="454" t="s">
        <v>1365</v>
      </c>
      <c r="B2986" s="452" t="str">
        <f>VLOOKUP(A2986,'Thống kê'!$C$3:$D$669,2,0)</f>
        <v>Móc khóa Popbean</v>
      </c>
      <c r="C2986" s="436" t="str">
        <f>VLOOKUP(A2986,'Thống kê'!$C$3:$E$682,3,0)</f>
        <v>cái</v>
      </c>
      <c r="D2986" s="437">
        <f>VLOOKUP(A2986,'Thống kê'!$C$3:$M$682,4,0)</f>
        <v>148000</v>
      </c>
      <c r="E2986" s="438">
        <v>1</v>
      </c>
      <c r="F2986" s="439">
        <f t="shared" si="12"/>
        <v>148000</v>
      </c>
      <c r="G2986" s="440"/>
      <c r="H2986" s="447">
        <v>552500</v>
      </c>
    </row>
    <row r="2987" spans="1:8" ht="13.2">
      <c r="A2987" s="454" t="s">
        <v>1366</v>
      </c>
      <c r="B2987" s="452" t="str">
        <f>VLOOKUP(A2987,'Thống kê'!$C$3:$D$669,2,0)</f>
        <v>Móc khóa Popbean</v>
      </c>
      <c r="C2987" s="436" t="str">
        <f>VLOOKUP(A2987,'Thống kê'!$C$3:$E$682,3,0)</f>
        <v>cái</v>
      </c>
      <c r="D2987" s="437">
        <f>VLOOKUP(A2987,'Thống kê'!$C$3:$M$682,4,0)</f>
        <v>148000</v>
      </c>
      <c r="E2987" s="438">
        <v>1</v>
      </c>
      <c r="F2987" s="439">
        <f t="shared" si="12"/>
        <v>148000</v>
      </c>
      <c r="G2987" s="440"/>
      <c r="H2987" s="450"/>
    </row>
    <row r="2988" spans="1:8" ht="13.2">
      <c r="A2988" s="454" t="s">
        <v>245</v>
      </c>
      <c r="B2988" s="452" t="str">
        <f>VLOOKUP(A2988,'Thống kê'!$C$3:$D$669,2,0)</f>
        <v>Móc khóa Popbean</v>
      </c>
      <c r="C2988" s="436" t="str">
        <f>VLOOKUP(A2988,'Thống kê'!$C$3:$E$682,3,0)</f>
        <v>cái</v>
      </c>
      <c r="D2988" s="437">
        <f>VLOOKUP(A2988,'Thống kê'!$C$3:$M$682,4,0)</f>
        <v>148000</v>
      </c>
      <c r="E2988" s="438">
        <v>1</v>
      </c>
      <c r="F2988" s="439">
        <f t="shared" si="12"/>
        <v>148000</v>
      </c>
      <c r="G2988" s="440"/>
      <c r="H2988" s="450"/>
    </row>
    <row r="2989" spans="1:8" ht="13.2">
      <c r="A2989" s="454" t="s">
        <v>1369</v>
      </c>
      <c r="B2989" s="452" t="str">
        <f>VLOOKUP(A2989,'Thống kê'!$C$3:$D$669,2,0)</f>
        <v>Móc khóa Popbean</v>
      </c>
      <c r="C2989" s="436" t="str">
        <f>VLOOKUP(A2989,'Thống kê'!$C$3:$E$682,3,0)</f>
        <v>cái</v>
      </c>
      <c r="D2989" s="437">
        <f>VLOOKUP(A2989,'Thống kê'!$C$3:$M$682,4,0)</f>
        <v>148000</v>
      </c>
      <c r="E2989" s="438">
        <v>1</v>
      </c>
      <c r="F2989" s="439">
        <f t="shared" si="12"/>
        <v>148000</v>
      </c>
      <c r="G2989" s="440"/>
      <c r="H2989" s="450"/>
    </row>
    <row r="2990" spans="1:8" ht="13.2">
      <c r="A2990" s="454" t="s">
        <v>1624</v>
      </c>
      <c r="B2990" s="452" t="str">
        <f>VLOOKUP(A2990,'Thống kê'!$C$3:$D$669,2,0)</f>
        <v>Móc khóa mèo trái tim</v>
      </c>
      <c r="C2990" s="436" t="str">
        <f>VLOOKUP(A2990,'Thống kê'!$C$3:$E$682,3,0)</f>
        <v>cái</v>
      </c>
      <c r="D2990" s="437">
        <f>VLOOKUP(A2990,'Thống kê'!$C$3:$M$682,4,0)</f>
        <v>59000</v>
      </c>
      <c r="E2990" s="438">
        <v>1</v>
      </c>
      <c r="F2990" s="439">
        <f t="shared" si="12"/>
        <v>59000</v>
      </c>
      <c r="G2990" s="440"/>
      <c r="H2990" s="448">
        <v>44935</v>
      </c>
    </row>
    <row r="2991" spans="1:8" ht="13.2">
      <c r="A2991" s="454" t="s">
        <v>245</v>
      </c>
      <c r="B2991" s="452" t="str">
        <f>VLOOKUP(A2991,'Thống kê'!$C$3:$D$669,2,0)</f>
        <v>Móc khóa Popbean</v>
      </c>
      <c r="C2991" s="436" t="str">
        <f>VLOOKUP(A2991,'Thống kê'!$C$3:$E$682,3,0)</f>
        <v>cái</v>
      </c>
      <c r="D2991" s="437">
        <f>VLOOKUP(A2991,'Thống kê'!$C$3:$M$682,4,0)</f>
        <v>148000</v>
      </c>
      <c r="E2991" s="438">
        <v>1</v>
      </c>
      <c r="F2991" s="439">
        <f t="shared" si="12"/>
        <v>148000</v>
      </c>
      <c r="G2991" s="440"/>
      <c r="H2991" s="448">
        <v>150450</v>
      </c>
    </row>
    <row r="2992" spans="1:8" ht="13.2">
      <c r="A2992" s="454" t="s">
        <v>1587</v>
      </c>
      <c r="B2992" s="452" t="str">
        <f>VLOOKUP(A2992,'Thống kê'!$C$3:$D$669,2,0)</f>
        <v>Vịt ú bay</v>
      </c>
      <c r="C2992" s="436" t="str">
        <f>VLOOKUP(A2992,'Thống kê'!$C$3:$E$682,3,0)</f>
        <v>cái</v>
      </c>
      <c r="D2992" s="437">
        <f>VLOOKUP(A2992,'Thống kê'!$C$3:$M$682,4,0)</f>
        <v>64500</v>
      </c>
      <c r="E2992" s="438">
        <v>1</v>
      </c>
      <c r="F2992" s="439">
        <f t="shared" si="12"/>
        <v>64500</v>
      </c>
      <c r="G2992" s="440"/>
      <c r="H2992" s="447">
        <v>90168</v>
      </c>
    </row>
    <row r="2993" spans="1:8" ht="13.2">
      <c r="A2993" s="454" t="s">
        <v>115</v>
      </c>
      <c r="B2993" s="452" t="str">
        <f>VLOOKUP(A2993,'Thống kê'!$C$3:$D$669,2,0)</f>
        <v>Heo ú</v>
      </c>
      <c r="C2993" s="436" t="str">
        <f>VLOOKUP(A2993,'Thống kê'!$C$3:$E$682,3,0)</f>
        <v>cái</v>
      </c>
      <c r="D2993" s="437">
        <f>VLOOKUP(A2993,'Thống kê'!$C$3:$M$682,4,0)</f>
        <v>59500</v>
      </c>
      <c r="E2993" s="438">
        <v>1</v>
      </c>
      <c r="F2993" s="439">
        <f t="shared" si="12"/>
        <v>59500</v>
      </c>
      <c r="G2993" s="440"/>
      <c r="H2993" s="450"/>
    </row>
    <row r="2994" spans="1:8" ht="13.2">
      <c r="A2994" s="454" t="s">
        <v>1930</v>
      </c>
      <c r="B2994" s="452" t="str">
        <f>VLOOKUP(A2994,'Thống kê'!$C$3:$D$669,2,0)</f>
        <v>Kẹp nơ hồng</v>
      </c>
      <c r="C2994" s="436" t="str">
        <f>VLOOKUP(A2994,'Thống kê'!$C$3:$E$682,3,0)</f>
        <v>cái</v>
      </c>
      <c r="D2994" s="437">
        <f>VLOOKUP(A2994,'Thống kê'!$C$3:$M$682,4,0)</f>
        <v>22000</v>
      </c>
      <c r="E2994" s="438">
        <v>1</v>
      </c>
      <c r="F2994" s="439">
        <f t="shared" si="12"/>
        <v>22000</v>
      </c>
      <c r="G2994" s="440"/>
      <c r="H2994" s="448">
        <v>17129</v>
      </c>
    </row>
    <row r="2995" spans="1:8" ht="13.2">
      <c r="A2995" s="454" t="s">
        <v>2068</v>
      </c>
      <c r="B2995" s="452" t="str">
        <f>VLOOKUP(A2995,'Thống kê'!$C$3:$D$669,2,0)</f>
        <v>Kẹp tóc xám nhạt</v>
      </c>
      <c r="C2995" s="436" t="str">
        <f>VLOOKUP(A2995,'Thống kê'!$C$3:$E$682,3,0)</f>
        <v>cái</v>
      </c>
      <c r="D2995" s="437">
        <f>VLOOKUP(A2995,'Thống kê'!$C$3:$M$682,4,0)</f>
        <v>15000</v>
      </c>
      <c r="E2995" s="438">
        <v>1</v>
      </c>
      <c r="F2995" s="439">
        <f t="shared" si="12"/>
        <v>15000</v>
      </c>
      <c r="G2995" s="440"/>
      <c r="H2995" s="447">
        <v>90916</v>
      </c>
    </row>
    <row r="2996" spans="1:8" ht="13.2">
      <c r="A2996" s="454" t="s">
        <v>1993</v>
      </c>
      <c r="B2996" s="452" t="str">
        <f>VLOOKUP(A2996,'Thống kê'!$C$3:$D$669,2,0)</f>
        <v>Kẹp tóc rêu</v>
      </c>
      <c r="C2996" s="436" t="str">
        <f>VLOOKUP(A2996,'Thống kê'!$C$3:$E$682,3,0)</f>
        <v>cái</v>
      </c>
      <c r="D2996" s="437">
        <f>VLOOKUP(A2996,'Thống kê'!$C$3:$M$682,4,0)</f>
        <v>14000</v>
      </c>
      <c r="E2996" s="438">
        <v>1</v>
      </c>
      <c r="F2996" s="439">
        <f t="shared" si="12"/>
        <v>14000</v>
      </c>
      <c r="G2996" s="440"/>
      <c r="H2996" s="450"/>
    </row>
    <row r="2997" spans="1:8" ht="13.2">
      <c r="A2997" s="454" t="s">
        <v>1922</v>
      </c>
      <c r="B2997" s="452" t="str">
        <f>VLOOKUP(A2997,'Thống kê'!$C$3:$D$669,2,0)</f>
        <v>Kẹp tóc trắng sữa</v>
      </c>
      <c r="C2997" s="436" t="str">
        <f>VLOOKUP(A2997,'Thống kê'!$C$3:$E$682,3,0)</f>
        <v>cái</v>
      </c>
      <c r="D2997" s="437">
        <f>VLOOKUP(A2997,'Thống kê'!$C$3:$M$682,4,0)</f>
        <v>14000</v>
      </c>
      <c r="E2997" s="438">
        <v>1</v>
      </c>
      <c r="F2997" s="439">
        <f t="shared" si="12"/>
        <v>14000</v>
      </c>
      <c r="G2997" s="440"/>
      <c r="H2997" s="450"/>
    </row>
    <row r="2998" spans="1:8" ht="13.2">
      <c r="A2998" s="454" t="s">
        <v>150</v>
      </c>
      <c r="B2998" s="452" t="str">
        <f>VLOOKUP(A2998,'Thống kê'!$C$3:$D$669,2,0)</f>
        <v>Móc khóa có chuông</v>
      </c>
      <c r="C2998" s="436" t="str">
        <f>VLOOKUP(A2998,'Thống kê'!$C$3:$E$682,3,0)</f>
        <v>cái</v>
      </c>
      <c r="D2998" s="437">
        <f>VLOOKUP(A2998,'Thống kê'!$C$3:$M$682,4,0)</f>
        <v>59000</v>
      </c>
      <c r="E2998" s="438">
        <v>1</v>
      </c>
      <c r="F2998" s="439">
        <f t="shared" si="12"/>
        <v>59000</v>
      </c>
      <c r="G2998" s="440"/>
      <c r="H2998" s="450"/>
    </row>
    <row r="2999" spans="1:8" ht="13.2">
      <c r="A2999" s="454" t="s">
        <v>1789</v>
      </c>
      <c r="B2999" s="452" t="str">
        <f>VLOOKUP(A2999,'Thống kê'!$C$3:$D$669,2,0)</f>
        <v>Ống 50 dây cột tóc đen</v>
      </c>
      <c r="C2999" s="436" t="str">
        <f>VLOOKUP(A2999,'Thống kê'!$C$3:$E$682,3,0)</f>
        <v>ống</v>
      </c>
      <c r="D2999" s="437">
        <f>VLOOKUP(A2999,'Thống kê'!$C$3:$M$682,4,0)</f>
        <v>20000</v>
      </c>
      <c r="E2999" s="438">
        <v>1</v>
      </c>
      <c r="F2999" s="439">
        <f t="shared" si="12"/>
        <v>20000</v>
      </c>
      <c r="G2999" s="440"/>
      <c r="H2999" s="450"/>
    </row>
    <row r="3000" spans="1:8" ht="13.2">
      <c r="A3000" s="454" t="s">
        <v>1588</v>
      </c>
      <c r="B3000" s="452" t="str">
        <f>VLOOKUP(A3000,'Thống kê'!$C$3:$D$669,2,0)</f>
        <v>Heo ú hoa</v>
      </c>
      <c r="C3000" s="436" t="str">
        <f>VLOOKUP(A3000,'Thống kê'!$C$3:$E$682,3,0)</f>
        <v>cái</v>
      </c>
      <c r="D3000" s="437">
        <f>VLOOKUP(A3000,'Thống kê'!$C$3:$M$682,4,0)</f>
        <v>64500</v>
      </c>
      <c r="E3000" s="438">
        <v>1</v>
      </c>
      <c r="F3000" s="439">
        <f t="shared" si="12"/>
        <v>64500</v>
      </c>
      <c r="G3000" s="440"/>
      <c r="H3000" s="448">
        <v>45321</v>
      </c>
    </row>
    <row r="3001" spans="1:8" ht="13.2">
      <c r="A3001" s="454" t="s">
        <v>1624</v>
      </c>
      <c r="B3001" s="452" t="str">
        <f>VLOOKUP(A3001,'Thống kê'!$C$3:$D$669,2,0)</f>
        <v>Móc khóa mèo trái tim</v>
      </c>
      <c r="C3001" s="436" t="str">
        <f>VLOOKUP(A3001,'Thống kê'!$C$3:$E$682,3,0)</f>
        <v>cái</v>
      </c>
      <c r="D3001" s="437">
        <f>VLOOKUP(A3001,'Thống kê'!$C$3:$M$682,4,0)</f>
        <v>59000</v>
      </c>
      <c r="E3001" s="438">
        <v>1</v>
      </c>
      <c r="F3001" s="439">
        <f t="shared" si="12"/>
        <v>59000</v>
      </c>
      <c r="G3001" s="440"/>
      <c r="H3001" s="448">
        <v>44835</v>
      </c>
    </row>
    <row r="3002" spans="1:8" ht="13.2">
      <c r="A3002" s="454" t="s">
        <v>2069</v>
      </c>
      <c r="B3002" s="452" t="str">
        <f>VLOOKUP(A3002,'Thống kê'!$C$3:$D$669,2,0)</f>
        <v>Cánh cụt nơ xanh treo gương</v>
      </c>
      <c r="C3002" s="436" t="str">
        <f>VLOOKUP(A3002,'Thống kê'!$C$3:$E$682,3,0)</f>
        <v>cái</v>
      </c>
      <c r="D3002" s="437">
        <f>VLOOKUP(A3002,'Thống kê'!$C$3:$M$682,4,0)</f>
        <v>155000</v>
      </c>
      <c r="E3002" s="438">
        <v>1</v>
      </c>
      <c r="F3002" s="439">
        <f t="shared" si="12"/>
        <v>155000</v>
      </c>
      <c r="G3002" s="440"/>
      <c r="H3002" s="447">
        <v>403427</v>
      </c>
    </row>
    <row r="3003" spans="1:8" ht="13.2">
      <c r="A3003" s="454" t="s">
        <v>1339</v>
      </c>
      <c r="B3003" s="452" t="str">
        <f>VLOOKUP(A3003,'Thống kê'!$C$3:$D$669,2,0)</f>
        <v>Móc khóa chuối</v>
      </c>
      <c r="C3003" s="436" t="str">
        <f>VLOOKUP(A3003,'Thống kê'!$C$3:$E$682,3,0)</f>
        <v>cái</v>
      </c>
      <c r="D3003" s="437">
        <f>VLOOKUP(A3003,'Thống kê'!$C$3:$M$682,4,0)</f>
        <v>148000</v>
      </c>
      <c r="E3003" s="438">
        <v>1</v>
      </c>
      <c r="F3003" s="439">
        <f t="shared" si="12"/>
        <v>148000</v>
      </c>
      <c r="G3003" s="440"/>
      <c r="H3003" s="450"/>
    </row>
    <row r="3004" spans="1:8" ht="13.2">
      <c r="A3004" s="454" t="s">
        <v>1337</v>
      </c>
      <c r="B3004" s="452" t="str">
        <f>VLOOKUP(A3004,'Thống kê'!$C$3:$D$669,2,0)</f>
        <v>Móc khóa chuối</v>
      </c>
      <c r="C3004" s="436" t="str">
        <f>VLOOKUP(A3004,'Thống kê'!$C$3:$E$682,3,0)</f>
        <v>cái</v>
      </c>
      <c r="D3004" s="437">
        <f>VLOOKUP(A3004,'Thống kê'!$C$3:$M$682,4,0)</f>
        <v>148000</v>
      </c>
      <c r="E3004" s="438">
        <v>1</v>
      </c>
      <c r="F3004" s="439">
        <f t="shared" si="12"/>
        <v>148000</v>
      </c>
      <c r="G3004" s="440"/>
      <c r="H3004" s="450"/>
    </row>
    <row r="3005" spans="1:8" ht="13.2">
      <c r="A3005" s="454" t="s">
        <v>227</v>
      </c>
      <c r="B3005" s="452" t="str">
        <f>VLOOKUP(A3005,'Thống kê'!$C$3:$D$669,2,0)</f>
        <v>Móc khóa đôi corgy</v>
      </c>
      <c r="C3005" s="436" t="str">
        <f>VLOOKUP(A3005,'Thống kê'!$C$3:$E$682,3,0)</f>
        <v>cái</v>
      </c>
      <c r="D3005" s="437">
        <f>VLOOKUP(A3005,'Thống kê'!$C$3:$M$682,4,0)</f>
        <v>56580</v>
      </c>
      <c r="E3005" s="438">
        <v>1</v>
      </c>
      <c r="F3005" s="439">
        <f t="shared" si="12"/>
        <v>56580</v>
      </c>
      <c r="G3005" s="440"/>
      <c r="H3005" s="450"/>
    </row>
    <row r="3006" spans="1:8" ht="13.2">
      <c r="A3006" s="454" t="s">
        <v>1633</v>
      </c>
      <c r="B3006" s="452" t="str">
        <f>VLOOKUP(A3006,'Thống kê'!$C$3:$D$669,2,0)</f>
        <v>Móc khóa đôi gà rán bia</v>
      </c>
      <c r="C3006" s="436" t="str">
        <f>VLOOKUP(A3006,'Thống kê'!$C$3:$E$682,3,0)</f>
        <v>cái</v>
      </c>
      <c r="D3006" s="437">
        <f>VLOOKUP(A3006,'Thống kê'!$C$3:$M$682,4,0)</f>
        <v>56580</v>
      </c>
      <c r="E3006" s="438">
        <v>1</v>
      </c>
      <c r="F3006" s="439">
        <f t="shared" si="12"/>
        <v>56580</v>
      </c>
      <c r="G3006" s="440"/>
      <c r="H3006" s="450"/>
    </row>
    <row r="3007" spans="1:8" ht="13.2">
      <c r="A3007" s="454" t="s">
        <v>1634</v>
      </c>
      <c r="B3007" s="452" t="str">
        <f>VLOOKUP(A3007,'Thống kê'!$C$3:$D$669,2,0)</f>
        <v>Móc khóa mèo đen cá</v>
      </c>
      <c r="C3007" s="436" t="str">
        <f>VLOOKUP(A3007,'Thống kê'!$C$3:$E$682,3,0)</f>
        <v>cái</v>
      </c>
      <c r="D3007" s="437">
        <f>VLOOKUP(A3007,'Thống kê'!$C$3:$M$682,4,0)</f>
        <v>59000</v>
      </c>
      <c r="E3007" s="438">
        <v>1</v>
      </c>
      <c r="F3007" s="439">
        <f t="shared" si="12"/>
        <v>59000</v>
      </c>
      <c r="G3007" s="440"/>
      <c r="H3007" s="450"/>
    </row>
    <row r="3008" spans="1:8" ht="13.2">
      <c r="A3008" s="454" t="s">
        <v>270</v>
      </c>
      <c r="B3008" s="452" t="str">
        <f>VLOOKUP(A3008,'Thống kê'!$C$3:$D$669,2,0)</f>
        <v>Thước dây vàng</v>
      </c>
      <c r="C3008" s="436" t="str">
        <f>VLOOKUP(A3008,'Thống kê'!$C$3:$E$682,3,0)</f>
        <v>cái</v>
      </c>
      <c r="D3008" s="437">
        <f>VLOOKUP(A3008,'Thống kê'!$C$3:$M$682,4,0)</f>
        <v>9000</v>
      </c>
      <c r="E3008" s="438">
        <v>1</v>
      </c>
      <c r="F3008" s="439">
        <f t="shared" si="12"/>
        <v>9000</v>
      </c>
      <c r="G3008" s="440"/>
      <c r="H3008" s="450"/>
    </row>
    <row r="3009" spans="1:8" ht="13.2">
      <c r="A3009" s="454" t="s">
        <v>1342</v>
      </c>
      <c r="B3009" s="452" t="str">
        <f>VLOOKUP(A3009,'Thống kê'!$C$3:$D$669,2,0)</f>
        <v>Móc khóa chuối</v>
      </c>
      <c r="C3009" s="436" t="str">
        <f>VLOOKUP(A3009,'Thống kê'!$C$3:$E$682,3,0)</f>
        <v>cái</v>
      </c>
      <c r="D3009" s="437">
        <f>VLOOKUP(A3009,'Thống kê'!$C$3:$M$682,4,0)</f>
        <v>148000</v>
      </c>
      <c r="E3009" s="438">
        <v>1</v>
      </c>
      <c r="F3009" s="439">
        <f t="shared" si="12"/>
        <v>148000</v>
      </c>
      <c r="G3009" s="440"/>
      <c r="H3009" s="447">
        <v>154938</v>
      </c>
    </row>
    <row r="3010" spans="1:8" ht="13.2">
      <c r="A3010" s="454" t="s">
        <v>170</v>
      </c>
      <c r="B3010" s="452" t="str">
        <f>VLOOKUP(A3010,'Thống kê'!$C$3:$D$669,2,0)</f>
        <v>Móc khóa chuối</v>
      </c>
      <c r="C3010" s="436" t="str">
        <f>VLOOKUP(A3010,'Thống kê'!$C$3:$E$682,3,0)</f>
        <v>cái</v>
      </c>
      <c r="D3010" s="437">
        <f>VLOOKUP(A3010,'Thống kê'!$C$3:$M$682,4,0)</f>
        <v>148000</v>
      </c>
      <c r="E3010" s="438">
        <v>1</v>
      </c>
      <c r="F3010" s="439">
        <f t="shared" si="12"/>
        <v>148000</v>
      </c>
      <c r="G3010" s="440"/>
      <c r="H3010" s="450"/>
    </row>
    <row r="3011" spans="1:8" ht="13.2">
      <c r="A3011" s="454" t="s">
        <v>164</v>
      </c>
      <c r="B3011" s="452" t="str">
        <f>VLOOKUP(A3011,'Thống kê'!$C$3:$D$669,2,0)</f>
        <v>Thước dây trắng</v>
      </c>
      <c r="C3011" s="436" t="str">
        <f>VLOOKUP(A3011,'Thống kê'!$C$3:$E$682,3,0)</f>
        <v>cái</v>
      </c>
      <c r="D3011" s="437">
        <f>VLOOKUP(A3011,'Thống kê'!$C$3:$M$682,4,0)</f>
        <v>9000</v>
      </c>
      <c r="E3011" s="438">
        <v>1</v>
      </c>
      <c r="F3011" s="439">
        <f t="shared" si="12"/>
        <v>9000</v>
      </c>
      <c r="G3011" s="440"/>
      <c r="H3011" s="450"/>
    </row>
    <row r="3012" spans="1:8" ht="13.2">
      <c r="A3012" s="454" t="s">
        <v>115</v>
      </c>
      <c r="B3012" s="452" t="str">
        <f>VLOOKUP(A3012,'Thống kê'!$C$3:$D$669,2,0)</f>
        <v>Heo ú</v>
      </c>
      <c r="C3012" s="436" t="str">
        <f>VLOOKUP(A3012,'Thống kê'!$C$3:$E$682,3,0)</f>
        <v>cái</v>
      </c>
      <c r="D3012" s="437">
        <f>VLOOKUP(A3012,'Thống kê'!$C$3:$M$682,4,0)</f>
        <v>59500</v>
      </c>
      <c r="E3012" s="438">
        <v>1</v>
      </c>
      <c r="F3012" s="439">
        <f t="shared" si="12"/>
        <v>59500</v>
      </c>
      <c r="G3012" s="440"/>
      <c r="H3012" s="448">
        <v>41876</v>
      </c>
    </row>
    <row r="3013" spans="1:8" ht="13.2">
      <c r="A3013" s="454" t="s">
        <v>1594</v>
      </c>
      <c r="B3013" s="452" t="str">
        <f>VLOOKUP(A3013,'Thống kê'!$C$3:$D$669,2,0)</f>
        <v>Móc khóa đôi heo</v>
      </c>
      <c r="C3013" s="436" t="str">
        <f>VLOOKUP(A3013,'Thống kê'!$C$3:$E$682,3,0)</f>
        <v>cái</v>
      </c>
      <c r="D3013" s="437">
        <f>VLOOKUP(A3013,'Thống kê'!$C$3:$M$682,4,0)</f>
        <v>56580</v>
      </c>
      <c r="E3013" s="438">
        <v>1</v>
      </c>
      <c r="F3013" s="439">
        <f t="shared" si="12"/>
        <v>56580</v>
      </c>
      <c r="G3013" s="440"/>
      <c r="H3013" s="448">
        <v>43284</v>
      </c>
    </row>
    <row r="3014" spans="1:8" ht="13.2">
      <c r="A3014" s="454" t="s">
        <v>244</v>
      </c>
      <c r="B3014" s="452" t="str">
        <f>VLOOKUP(A3014,'Thống kê'!$C$3:$D$669,2,0)</f>
        <v>Móc khóa chuối</v>
      </c>
      <c r="C3014" s="436" t="str">
        <f>VLOOKUP(A3014,'Thống kê'!$C$3:$E$682,3,0)</f>
        <v>cái</v>
      </c>
      <c r="D3014" s="437">
        <f>VLOOKUP(A3014,'Thống kê'!$C$3:$M$682,4,0)</f>
        <v>148000</v>
      </c>
      <c r="E3014" s="438">
        <v>1</v>
      </c>
      <c r="F3014" s="439">
        <f t="shared" si="12"/>
        <v>148000</v>
      </c>
      <c r="G3014" s="440"/>
      <c r="H3014" s="448">
        <v>71325</v>
      </c>
    </row>
    <row r="3015" spans="1:8" ht="13.2">
      <c r="A3015" s="454" t="s">
        <v>150</v>
      </c>
      <c r="B3015" s="452" t="str">
        <f>VLOOKUP(A3015,'Thống kê'!$C$3:$D$669,2,0)</f>
        <v>Móc khóa có chuông</v>
      </c>
      <c r="C3015" s="436" t="str">
        <f>VLOOKUP(A3015,'Thống kê'!$C$3:$E$682,3,0)</f>
        <v>cái</v>
      </c>
      <c r="D3015" s="437">
        <f>VLOOKUP(A3015,'Thống kê'!$C$3:$M$682,4,0)</f>
        <v>59000</v>
      </c>
      <c r="E3015" s="438">
        <v>1</v>
      </c>
      <c r="F3015" s="439">
        <f t="shared" si="12"/>
        <v>59000</v>
      </c>
      <c r="G3015" s="440"/>
      <c r="H3015" s="448">
        <v>45135</v>
      </c>
    </row>
    <row r="3016" spans="1:8" ht="13.2">
      <c r="A3016" s="454" t="s">
        <v>115</v>
      </c>
      <c r="B3016" s="452" t="str">
        <f>VLOOKUP(A3016,'Thống kê'!$C$3:$D$669,2,0)</f>
        <v>Heo ú</v>
      </c>
      <c r="C3016" s="436" t="str">
        <f>VLOOKUP(A3016,'Thống kê'!$C$3:$E$682,3,0)</f>
        <v>cái</v>
      </c>
      <c r="D3016" s="437">
        <f>VLOOKUP(A3016,'Thống kê'!$C$3:$M$682,4,0)</f>
        <v>59500</v>
      </c>
      <c r="E3016" s="438">
        <v>1</v>
      </c>
      <c r="F3016" s="439">
        <f t="shared" si="12"/>
        <v>59500</v>
      </c>
      <c r="G3016" s="440"/>
      <c r="H3016" s="447">
        <v>90168</v>
      </c>
    </row>
    <row r="3017" spans="1:8" ht="13.2">
      <c r="A3017" s="454" t="s">
        <v>1588</v>
      </c>
      <c r="B3017" s="452" t="str">
        <f>VLOOKUP(A3017,'Thống kê'!$C$3:$D$669,2,0)</f>
        <v>Heo ú hoa</v>
      </c>
      <c r="C3017" s="436" t="str">
        <f>VLOOKUP(A3017,'Thống kê'!$C$3:$E$682,3,0)</f>
        <v>cái</v>
      </c>
      <c r="D3017" s="437">
        <f>VLOOKUP(A3017,'Thống kê'!$C$3:$M$682,4,0)</f>
        <v>64500</v>
      </c>
      <c r="E3017" s="438">
        <v>1</v>
      </c>
      <c r="F3017" s="439">
        <f t="shared" si="12"/>
        <v>64500</v>
      </c>
      <c r="G3017" s="440"/>
      <c r="H3017" s="450"/>
    </row>
    <row r="3018" spans="1:8" ht="13.2">
      <c r="A3018" s="454" t="s">
        <v>1351</v>
      </c>
      <c r="B3018" s="452" t="str">
        <f>VLOOKUP(A3018,'Thống kê'!$C$3:$D$669,2,0)</f>
        <v>Trang trí mô hình Heo</v>
      </c>
      <c r="C3018" s="436" t="str">
        <f>VLOOKUP(A3018,'Thống kê'!$C$3:$E$682,3,0)</f>
        <v>cái</v>
      </c>
      <c r="D3018" s="437">
        <f>VLOOKUP(A3018,'Thống kê'!$C$3:$M$682,4,0)</f>
        <v>39000</v>
      </c>
      <c r="E3018" s="438">
        <v>1</v>
      </c>
      <c r="F3018" s="439">
        <f t="shared" si="12"/>
        <v>39000</v>
      </c>
      <c r="G3018" s="440"/>
      <c r="H3018" s="447">
        <v>54697</v>
      </c>
    </row>
    <row r="3019" spans="1:8" ht="13.2">
      <c r="A3019" s="454" t="s">
        <v>1359</v>
      </c>
      <c r="B3019" s="452" t="str">
        <f>VLOOKUP(A3019,'Thống kê'!$C$3:$D$669,2,0)</f>
        <v>Trang trí mô hình Cún</v>
      </c>
      <c r="C3019" s="436" t="str">
        <f>VLOOKUP(A3019,'Thống kê'!$C$3:$E$682,3,0)</f>
        <v>cái</v>
      </c>
      <c r="D3019" s="437">
        <f>VLOOKUP(A3019,'Thống kê'!$C$3:$M$682,4,0)</f>
        <v>39000</v>
      </c>
      <c r="E3019" s="438">
        <v>1</v>
      </c>
      <c r="F3019" s="439">
        <f t="shared" si="12"/>
        <v>39000</v>
      </c>
      <c r="G3019" s="440"/>
      <c r="H3019" s="450"/>
    </row>
    <row r="3020" spans="1:8" ht="13.2">
      <c r="A3020" s="454" t="s">
        <v>1594</v>
      </c>
      <c r="B3020" s="452" t="str">
        <f>VLOOKUP(A3020,'Thống kê'!$C$3:$D$669,2,0)</f>
        <v>Móc khóa đôi heo</v>
      </c>
      <c r="C3020" s="436" t="str">
        <f>VLOOKUP(A3020,'Thống kê'!$C$3:$E$682,3,0)</f>
        <v>cái</v>
      </c>
      <c r="D3020" s="437">
        <f>VLOOKUP(A3020,'Thống kê'!$C$3:$M$682,4,0)</f>
        <v>56580</v>
      </c>
      <c r="E3020" s="438">
        <v>1</v>
      </c>
      <c r="F3020" s="439">
        <f t="shared" si="12"/>
        <v>56580</v>
      </c>
      <c r="G3020" s="440"/>
      <c r="H3020" s="448">
        <v>43284</v>
      </c>
    </row>
    <row r="3021" spans="1:8" ht="13.2">
      <c r="A3021" s="454" t="s">
        <v>1632</v>
      </c>
      <c r="B3021" s="452" t="str">
        <f>VLOOKUP(A3021,'Thống kê'!$C$3:$D$669,2,0)</f>
        <v>Móc khóa đôi mèo trắng</v>
      </c>
      <c r="C3021" s="436" t="str">
        <f>VLOOKUP(A3021,'Thống kê'!$C$3:$E$682,3,0)</f>
        <v>cái</v>
      </c>
      <c r="D3021" s="437">
        <f>VLOOKUP(A3021,'Thống kê'!$C$3:$M$682,4,0)</f>
        <v>59000</v>
      </c>
      <c r="E3021" s="438">
        <v>1</v>
      </c>
      <c r="F3021" s="439">
        <f t="shared" si="12"/>
        <v>59000</v>
      </c>
      <c r="G3021" s="440"/>
      <c r="H3021" s="447">
        <v>113594</v>
      </c>
    </row>
    <row r="3022" spans="1:8" ht="13.2">
      <c r="A3022" s="454" t="s">
        <v>1647</v>
      </c>
      <c r="B3022" s="452" t="str">
        <f>VLOOKUP(A3022,'Thống kê'!$C$3:$D$669,2,0)</f>
        <v>Túi chườm bụng dứa (xanh đậm) 500ml</v>
      </c>
      <c r="C3022" s="436" t="str">
        <f>VLOOKUP(A3022,'Thống kê'!$C$3:$E$682,3,0)</f>
        <v>túi</v>
      </c>
      <c r="D3022" s="437">
        <f>VLOOKUP(A3022,'Thống kê'!$C$3:$M$682,4,0)</f>
        <v>78200</v>
      </c>
      <c r="E3022" s="438">
        <v>1</v>
      </c>
      <c r="F3022" s="439">
        <f t="shared" si="12"/>
        <v>78200</v>
      </c>
      <c r="G3022" s="440"/>
      <c r="H3022" s="450"/>
    </row>
    <row r="3023" spans="1:8" ht="13.2">
      <c r="A3023" s="454" t="s">
        <v>186</v>
      </c>
      <c r="B3023" s="452" t="str">
        <f>VLOOKUP(A3023,'Thống kê'!$C$3:$D$669,2,0)</f>
        <v>Thỏ ú bay</v>
      </c>
      <c r="C3023" s="436" t="str">
        <f>VLOOKUP(A3023,'Thống kê'!$C$3:$E$682,3,0)</f>
        <v>cái</v>
      </c>
      <c r="D3023" s="437">
        <f>VLOOKUP(A3023,'Thống kê'!$C$3:$M$682,4,0)</f>
        <v>64500</v>
      </c>
      <c r="E3023" s="438">
        <v>1</v>
      </c>
      <c r="F3023" s="439">
        <f t="shared" si="12"/>
        <v>64500</v>
      </c>
      <c r="G3023" s="440"/>
      <c r="H3023" s="448">
        <v>44996</v>
      </c>
    </row>
    <row r="3024" spans="1:8" ht="13.2">
      <c r="A3024" s="454" t="s">
        <v>1952</v>
      </c>
      <c r="B3024" s="452" t="str">
        <f>VLOOKUP(A3024,'Thống kê'!$C$3:$D$669,2,0)</f>
        <v>Túi chườm bụng vịt vàng 500ml</v>
      </c>
      <c r="C3024" s="436" t="str">
        <f>VLOOKUP(A3024,'Thống kê'!$C$3:$E$682,3,0)</f>
        <v>túi</v>
      </c>
      <c r="D3024" s="437">
        <f>VLOOKUP(A3024,'Thống kê'!$C$3:$M$682,4,0)</f>
        <v>81000</v>
      </c>
      <c r="E3024" s="438">
        <v>1</v>
      </c>
      <c r="F3024" s="439">
        <f t="shared" si="12"/>
        <v>81000</v>
      </c>
      <c r="G3024" s="440"/>
      <c r="H3024" s="448">
        <v>62050</v>
      </c>
    </row>
    <row r="3025" spans="1:8" ht="13.2">
      <c r="A3025" s="454" t="s">
        <v>1589</v>
      </c>
      <c r="B3025" s="452" t="str">
        <f>VLOOKUP(A3025,'Thống kê'!$C$3:$D$669,2,0)</f>
        <v>Heo ú bay</v>
      </c>
      <c r="C3025" s="436" t="str">
        <f>VLOOKUP(A3025,'Thống kê'!$C$3:$E$682,3,0)</f>
        <v>cái</v>
      </c>
      <c r="D3025" s="437">
        <f>VLOOKUP(A3025,'Thống kê'!$C$3:$M$682,4,0)</f>
        <v>64500</v>
      </c>
      <c r="E3025" s="438">
        <v>1</v>
      </c>
      <c r="F3025" s="439">
        <f t="shared" si="12"/>
        <v>64500</v>
      </c>
      <c r="G3025" s="440"/>
      <c r="H3025" s="448">
        <v>44996</v>
      </c>
    </row>
    <row r="3026" spans="1:8" ht="13.2">
      <c r="A3026" s="454" t="s">
        <v>1344</v>
      </c>
      <c r="B3026" s="452" t="str">
        <f>VLOOKUP(A3026,'Thống kê'!$C$3:$D$669,2,0)</f>
        <v>Móc khóa chuối</v>
      </c>
      <c r="C3026" s="436" t="str">
        <f>VLOOKUP(A3026,'Thống kê'!$C$3:$E$682,3,0)</f>
        <v>cái</v>
      </c>
      <c r="D3026" s="437">
        <f>VLOOKUP(A3026,'Thống kê'!$C$3:$M$682,4,0)</f>
        <v>148000</v>
      </c>
      <c r="E3026" s="438">
        <v>1</v>
      </c>
      <c r="F3026" s="439">
        <f t="shared" si="12"/>
        <v>148000</v>
      </c>
      <c r="G3026" s="440"/>
      <c r="H3026" s="447">
        <v>211922</v>
      </c>
    </row>
    <row r="3027" spans="1:8" ht="13.2">
      <c r="A3027" s="454" t="s">
        <v>1364</v>
      </c>
      <c r="B3027" s="452" t="str">
        <f>VLOOKUP(A3027,'Thống kê'!$C$3:$D$669,2,0)</f>
        <v>Móc khóa Popbean</v>
      </c>
      <c r="C3027" s="436" t="str">
        <f>VLOOKUP(A3027,'Thống kê'!$C$3:$E$682,3,0)</f>
        <v>cái</v>
      </c>
      <c r="D3027" s="437">
        <f>VLOOKUP(A3027,'Thống kê'!$C$3:$M$682,4,0)</f>
        <v>148000</v>
      </c>
      <c r="E3027" s="438">
        <v>1</v>
      </c>
      <c r="F3027" s="439">
        <f t="shared" si="12"/>
        <v>148000</v>
      </c>
      <c r="G3027" s="440"/>
      <c r="H3027" s="450"/>
    </row>
    <row r="3028" spans="1:8" ht="13.2">
      <c r="A3028" s="454" t="s">
        <v>115</v>
      </c>
      <c r="B3028" s="452" t="str">
        <f>VLOOKUP(A3028,'Thống kê'!$C$3:$D$669,2,0)</f>
        <v>Heo ú</v>
      </c>
      <c r="C3028" s="436" t="str">
        <f>VLOOKUP(A3028,'Thống kê'!$C$3:$E$682,3,0)</f>
        <v>cái</v>
      </c>
      <c r="D3028" s="437">
        <f>VLOOKUP(A3028,'Thống kê'!$C$3:$M$682,4,0)</f>
        <v>59500</v>
      </c>
      <c r="E3028" s="438">
        <v>1</v>
      </c>
      <c r="F3028" s="439">
        <f t="shared" si="12"/>
        <v>59500</v>
      </c>
      <c r="G3028" s="440"/>
      <c r="H3028" s="447">
        <v>84383</v>
      </c>
    </row>
    <row r="3029" spans="1:8" ht="13.2">
      <c r="A3029" s="454" t="s">
        <v>1591</v>
      </c>
      <c r="B3029" s="452" t="str">
        <f>VLOOKUP(A3029,'Thống kê'!$C$3:$D$669,2,0)</f>
        <v>Thỏ ú</v>
      </c>
      <c r="C3029" s="436" t="str">
        <f>VLOOKUP(A3029,'Thống kê'!$C$3:$E$682,3,0)</f>
        <v>cái</v>
      </c>
      <c r="D3029" s="437">
        <f>VLOOKUP(A3029,'Thống kê'!$C$3:$M$682,4,0)</f>
        <v>59500</v>
      </c>
      <c r="E3029" s="438">
        <v>1</v>
      </c>
      <c r="F3029" s="439">
        <f t="shared" si="12"/>
        <v>59500</v>
      </c>
      <c r="G3029" s="440"/>
      <c r="H3029" s="450"/>
    </row>
    <row r="3030" spans="1:8" ht="13.2">
      <c r="A3030" s="454" t="s">
        <v>1355</v>
      </c>
      <c r="B3030" s="452" t="str">
        <f>VLOOKUP(A3030,'Thống kê'!$C$3:$D$669,2,0)</f>
        <v>Trang trí mô hình Gấu</v>
      </c>
      <c r="C3030" s="436" t="str">
        <f>VLOOKUP(A3030,'Thống kê'!$C$3:$E$682,3,0)</f>
        <v>cái</v>
      </c>
      <c r="D3030" s="437">
        <f>VLOOKUP(A3030,'Thống kê'!$C$3:$M$682,4,0)</f>
        <v>39000</v>
      </c>
      <c r="E3030" s="438">
        <v>1</v>
      </c>
      <c r="F3030" s="439">
        <f t="shared" si="12"/>
        <v>39000</v>
      </c>
      <c r="G3030" s="440"/>
      <c r="H3030" s="447">
        <v>54697</v>
      </c>
    </row>
    <row r="3031" spans="1:8" ht="13.2">
      <c r="A3031" s="454" t="s">
        <v>1357</v>
      </c>
      <c r="B3031" s="452" t="str">
        <f>VLOOKUP(A3031,'Thống kê'!$C$3:$D$669,2,0)</f>
        <v>Trang trí mô hình Thỏ</v>
      </c>
      <c r="C3031" s="436" t="str">
        <f>VLOOKUP(A3031,'Thống kê'!$C$3:$E$682,3,0)</f>
        <v>cái</v>
      </c>
      <c r="D3031" s="437">
        <f>VLOOKUP(A3031,'Thống kê'!$C$3:$M$682,4,0)</f>
        <v>39000</v>
      </c>
      <c r="E3031" s="438">
        <v>1</v>
      </c>
      <c r="F3031" s="439">
        <f t="shared" si="12"/>
        <v>39000</v>
      </c>
      <c r="G3031" s="440"/>
      <c r="H3031" s="450"/>
    </row>
    <row r="3032" spans="1:8" ht="13.2">
      <c r="A3032" s="454" t="s">
        <v>1621</v>
      </c>
      <c r="B3032" s="452" t="str">
        <f>VLOOKUP(A3032,'Thống kê'!$C$3:$D$669,2,0)</f>
        <v>Mô hình mèo 2</v>
      </c>
      <c r="C3032" s="436" t="str">
        <f>VLOOKUP(A3032,'Thống kê'!$C$3:$E$682,3,0)</f>
        <v>cái</v>
      </c>
      <c r="D3032" s="437">
        <f>VLOOKUP(A3032,'Thống kê'!$C$3:$M$682,4,0)</f>
        <v>37800</v>
      </c>
      <c r="E3032" s="438">
        <v>1</v>
      </c>
      <c r="F3032" s="439">
        <f t="shared" si="12"/>
        <v>37800</v>
      </c>
      <c r="G3032" s="440"/>
      <c r="H3032" s="447">
        <v>94945</v>
      </c>
    </row>
    <row r="3033" spans="1:8" ht="13.2">
      <c r="A3033" s="454" t="s">
        <v>1635</v>
      </c>
      <c r="B3033" s="452" t="str">
        <f>VLOOKUP(A3033,'Thống kê'!$C$3:$D$669,2,0)</f>
        <v>Mô hình mèo 4</v>
      </c>
      <c r="C3033" s="436" t="str">
        <f>VLOOKUP(A3033,'Thống kê'!$C$3:$E$682,3,0)</f>
        <v>cái</v>
      </c>
      <c r="D3033" s="437">
        <f>VLOOKUP(A3033,'Thống kê'!$C$3:$M$682,4,0)</f>
        <v>37800</v>
      </c>
      <c r="E3033" s="438">
        <v>1</v>
      </c>
      <c r="F3033" s="439">
        <f t="shared" si="12"/>
        <v>37800</v>
      </c>
      <c r="G3033" s="440"/>
      <c r="H3033" s="450"/>
    </row>
    <row r="3034" spans="1:8" ht="13.2">
      <c r="A3034" s="454" t="s">
        <v>1623</v>
      </c>
      <c r="B3034" s="452" t="str">
        <f>VLOOKUP(A3034,'Thống kê'!$C$3:$D$669,2,0)</f>
        <v>Mô hình mèo 5</v>
      </c>
      <c r="C3034" s="436" t="str">
        <f>VLOOKUP(A3034,'Thống kê'!$C$3:$E$682,3,0)</f>
        <v>cái</v>
      </c>
      <c r="D3034" s="437">
        <f>VLOOKUP(A3034,'Thống kê'!$C$3:$M$682,4,0)</f>
        <v>37800</v>
      </c>
      <c r="E3034" s="438">
        <v>1</v>
      </c>
      <c r="F3034" s="439">
        <f t="shared" si="12"/>
        <v>37800</v>
      </c>
      <c r="G3034" s="440"/>
      <c r="H3034" s="450"/>
    </row>
    <row r="3035" spans="1:8" ht="13.2">
      <c r="A3035" s="454" t="s">
        <v>1591</v>
      </c>
      <c r="B3035" s="452" t="str">
        <f>VLOOKUP(A3035,'Thống kê'!$C$3:$D$669,2,0)</f>
        <v>Thỏ ú</v>
      </c>
      <c r="C3035" s="436" t="str">
        <f>VLOOKUP(A3035,'Thống kê'!$C$3:$E$682,3,0)</f>
        <v>cái</v>
      </c>
      <c r="D3035" s="437">
        <f>VLOOKUP(A3035,'Thống kê'!$C$3:$M$682,4,0)</f>
        <v>59500</v>
      </c>
      <c r="E3035" s="438">
        <v>1</v>
      </c>
      <c r="F3035" s="439">
        <f t="shared" si="12"/>
        <v>59500</v>
      </c>
      <c r="G3035" s="440"/>
      <c r="H3035" s="448">
        <v>40976</v>
      </c>
    </row>
    <row r="3036" spans="1:8" ht="13.2">
      <c r="A3036" s="454" t="s">
        <v>1591</v>
      </c>
      <c r="B3036" s="452" t="str">
        <f>VLOOKUP(A3036,'Thống kê'!$C$3:$D$669,2,0)</f>
        <v>Thỏ ú</v>
      </c>
      <c r="C3036" s="436" t="str">
        <f>VLOOKUP(A3036,'Thống kê'!$C$3:$E$682,3,0)</f>
        <v>cái</v>
      </c>
      <c r="D3036" s="437">
        <f>VLOOKUP(A3036,'Thống kê'!$C$3:$M$682,4,0)</f>
        <v>59500</v>
      </c>
      <c r="E3036" s="438">
        <v>1</v>
      </c>
      <c r="F3036" s="439">
        <f t="shared" si="12"/>
        <v>59500</v>
      </c>
      <c r="G3036" s="440"/>
      <c r="H3036" s="447">
        <v>88468</v>
      </c>
    </row>
    <row r="3037" spans="1:8" ht="13.2">
      <c r="A3037" s="454" t="s">
        <v>1586</v>
      </c>
      <c r="B3037" s="452" t="str">
        <f>VLOOKUP(A3037,'Thống kê'!$C$3:$D$669,2,0)</f>
        <v>Thỏ ú hoa</v>
      </c>
      <c r="C3037" s="436" t="str">
        <f>VLOOKUP(A3037,'Thống kê'!$C$3:$E$682,3,0)</f>
        <v>cái</v>
      </c>
      <c r="D3037" s="437">
        <f>VLOOKUP(A3037,'Thống kê'!$C$3:$M$682,4,0)</f>
        <v>64500</v>
      </c>
      <c r="E3037" s="438">
        <v>1</v>
      </c>
      <c r="F3037" s="439">
        <f t="shared" si="12"/>
        <v>64500</v>
      </c>
      <c r="G3037" s="440"/>
      <c r="H3037" s="450"/>
    </row>
    <row r="3038" spans="1:8" ht="13.2">
      <c r="A3038" s="454" t="s">
        <v>2010</v>
      </c>
      <c r="B3038" s="452" t="str">
        <f>VLOOKUP(A3038,'Thống kê'!$C$3:$D$669,2,0)</f>
        <v>Kẹp khuếch tán tinh dầu bat man</v>
      </c>
      <c r="C3038" s="436" t="str">
        <f>VLOOKUP(A3038,'Thống kê'!$C$3:$E$682,3,0)</f>
        <v>cái</v>
      </c>
      <c r="D3038" s="437">
        <f>VLOOKUP(A3038,'Thống kê'!$C$3:$M$682,4,0)</f>
        <v>204700</v>
      </c>
      <c r="E3038" s="438">
        <v>1</v>
      </c>
      <c r="F3038" s="439">
        <f t="shared" si="12"/>
        <v>204700</v>
      </c>
      <c r="G3038" s="440"/>
      <c r="H3038" s="448">
        <v>136000</v>
      </c>
    </row>
    <row r="3039" spans="1:8" ht="13.2">
      <c r="A3039" s="454" t="s">
        <v>1330</v>
      </c>
      <c r="B3039" s="452" t="str">
        <f>VLOOKUP(A3039,'Thống kê'!$C$3:$D$669,2,0)</f>
        <v>Móc khóa Popbean</v>
      </c>
      <c r="C3039" s="436" t="str">
        <f>VLOOKUP(A3039,'Thống kê'!$C$3:$E$682,3,0)</f>
        <v>cái</v>
      </c>
      <c r="D3039" s="437">
        <f>VLOOKUP(A3039,'Thống kê'!$C$3:$M$682,4,0)</f>
        <v>148000</v>
      </c>
      <c r="E3039" s="438">
        <v>1</v>
      </c>
      <c r="F3039" s="439">
        <f t="shared" si="12"/>
        <v>148000</v>
      </c>
      <c r="G3039" s="440"/>
      <c r="H3039" s="447">
        <v>251491</v>
      </c>
    </row>
    <row r="3040" spans="1:8" ht="13.2">
      <c r="A3040" s="454" t="s">
        <v>1364</v>
      </c>
      <c r="B3040" s="452" t="str">
        <f>VLOOKUP(A3040,'Thống kê'!$C$3:$D$669,2,0)</f>
        <v>Móc khóa Popbean</v>
      </c>
      <c r="C3040" s="436" t="str">
        <f>VLOOKUP(A3040,'Thống kê'!$C$3:$E$682,3,0)</f>
        <v>cái</v>
      </c>
      <c r="D3040" s="437">
        <f>VLOOKUP(A3040,'Thống kê'!$C$3:$M$682,4,0)</f>
        <v>148000</v>
      </c>
      <c r="E3040" s="438">
        <v>1</v>
      </c>
      <c r="F3040" s="439">
        <f t="shared" si="12"/>
        <v>148000</v>
      </c>
      <c r="G3040" s="440"/>
      <c r="H3040" s="450"/>
    </row>
    <row r="3041" spans="1:8" ht="13.2">
      <c r="A3041" s="454" t="s">
        <v>119</v>
      </c>
      <c r="B3041" s="452" t="str">
        <f>VLOOKUP(A3041,'Thống kê'!$C$3:$D$669,2,0)</f>
        <v>Thỏ chạy xe gắn xe</v>
      </c>
      <c r="C3041" s="436" t="str">
        <f>VLOOKUP(A3041,'Thống kê'!$C$3:$E$682,3,0)</f>
        <v>cái</v>
      </c>
      <c r="D3041" s="437">
        <f>VLOOKUP(A3041,'Thống kê'!$C$3:$M$682,4,0)</f>
        <v>45000</v>
      </c>
      <c r="E3041" s="438">
        <v>1</v>
      </c>
      <c r="F3041" s="439">
        <f t="shared" si="12"/>
        <v>45000</v>
      </c>
      <c r="G3041" s="440"/>
      <c r="H3041" s="448">
        <v>33000</v>
      </c>
    </row>
    <row r="3042" spans="1:8" ht="13.2">
      <c r="A3042" s="454" t="s">
        <v>2037</v>
      </c>
      <c r="B3042" s="452" t="str">
        <f>VLOOKUP(A3042,'Thống kê'!$C$3:$D$669,2,0)</f>
        <v>Vịt áo xanh treo gương</v>
      </c>
      <c r="C3042" s="436" t="str">
        <f>VLOOKUP(A3042,'Thống kê'!$C$3:$E$682,3,0)</f>
        <v>cái</v>
      </c>
      <c r="D3042" s="437">
        <f>VLOOKUP(A3042,'Thống kê'!$C$3:$M$682,4,0)</f>
        <v>155000</v>
      </c>
      <c r="E3042" s="438">
        <v>1</v>
      </c>
      <c r="F3042" s="439">
        <f t="shared" si="12"/>
        <v>155000</v>
      </c>
      <c r="G3042" s="440"/>
      <c r="H3042" s="447">
        <v>223027</v>
      </c>
    </row>
    <row r="3043" spans="1:8" ht="13.2">
      <c r="A3043" s="454" t="s">
        <v>1780</v>
      </c>
      <c r="B3043" s="452" t="str">
        <f>VLOOKUP(A3043,'Thống kê'!$C$3:$D$669,2,0)</f>
        <v>Cánh cụt nơ vàng treo gương</v>
      </c>
      <c r="C3043" s="436" t="str">
        <f>VLOOKUP(A3043,'Thống kê'!$C$3:$E$682,3,0)</f>
        <v>cái</v>
      </c>
      <c r="D3043" s="437">
        <f>VLOOKUP(A3043,'Thống kê'!$C$3:$M$682,4,0)</f>
        <v>155000</v>
      </c>
      <c r="E3043" s="438">
        <v>1</v>
      </c>
      <c r="F3043" s="439">
        <f t="shared" si="12"/>
        <v>155000</v>
      </c>
      <c r="G3043" s="440"/>
      <c r="H3043" s="450"/>
    </row>
    <row r="3044" spans="1:8" ht="13.2">
      <c r="A3044" s="454" t="s">
        <v>1624</v>
      </c>
      <c r="B3044" s="452" t="str">
        <f>VLOOKUP(A3044,'Thống kê'!$C$3:$D$669,2,0)</f>
        <v>Móc khóa mèo trái tim</v>
      </c>
      <c r="C3044" s="436" t="str">
        <f>VLOOKUP(A3044,'Thống kê'!$C$3:$E$682,3,0)</f>
        <v>cái</v>
      </c>
      <c r="D3044" s="437">
        <f>VLOOKUP(A3044,'Thống kê'!$C$3:$M$682,4,0)</f>
        <v>59000</v>
      </c>
      <c r="E3044" s="438">
        <v>1</v>
      </c>
      <c r="F3044" s="439">
        <f t="shared" si="12"/>
        <v>59000</v>
      </c>
      <c r="G3044" s="440"/>
      <c r="H3044" s="448">
        <v>43760</v>
      </c>
    </row>
    <row r="3045" spans="1:8" ht="13.2">
      <c r="A3045" s="454" t="s">
        <v>115</v>
      </c>
      <c r="B3045" s="452" t="str">
        <f>VLOOKUP(A3045,'Thống kê'!$C$3:$D$669,2,0)</f>
        <v>Heo ú</v>
      </c>
      <c r="C3045" s="436" t="str">
        <f>VLOOKUP(A3045,'Thống kê'!$C$3:$E$682,3,0)</f>
        <v>cái</v>
      </c>
      <c r="D3045" s="437">
        <f>VLOOKUP(A3045,'Thống kê'!$C$3:$M$682,4,0)</f>
        <v>59500</v>
      </c>
      <c r="E3045" s="438">
        <v>1</v>
      </c>
      <c r="F3045" s="439">
        <f t="shared" si="12"/>
        <v>59500</v>
      </c>
      <c r="G3045" s="440"/>
      <c r="H3045" s="448">
        <v>45117</v>
      </c>
    </row>
    <row r="3046" spans="1:8" ht="13.2">
      <c r="A3046" s="454" t="s">
        <v>1624</v>
      </c>
      <c r="B3046" s="452" t="str">
        <f>VLOOKUP(A3046,'Thống kê'!$C$3:$D$669,2,0)</f>
        <v>Móc khóa mèo trái tim</v>
      </c>
      <c r="C3046" s="436" t="str">
        <f>VLOOKUP(A3046,'Thống kê'!$C$3:$E$682,3,0)</f>
        <v>cái</v>
      </c>
      <c r="D3046" s="437">
        <f>VLOOKUP(A3046,'Thống kê'!$C$3:$M$682,4,0)</f>
        <v>59000</v>
      </c>
      <c r="E3046" s="438">
        <v>1</v>
      </c>
      <c r="F3046" s="439">
        <f t="shared" si="12"/>
        <v>59000</v>
      </c>
      <c r="G3046" s="440"/>
      <c r="H3046" s="448">
        <v>43500</v>
      </c>
    </row>
    <row r="3047" spans="1:8" ht="13.2">
      <c r="A3047" s="454" t="s">
        <v>1624</v>
      </c>
      <c r="B3047" s="452" t="str">
        <f>VLOOKUP(A3047,'Thống kê'!$C$3:$D$669,2,0)</f>
        <v>Móc khóa mèo trái tim</v>
      </c>
      <c r="C3047" s="436" t="str">
        <f>VLOOKUP(A3047,'Thống kê'!$C$3:$E$682,3,0)</f>
        <v>cái</v>
      </c>
      <c r="D3047" s="437">
        <f>VLOOKUP(A3047,'Thống kê'!$C$3:$M$682,4,0)</f>
        <v>59000</v>
      </c>
      <c r="E3047" s="438">
        <v>1</v>
      </c>
      <c r="F3047" s="439">
        <f t="shared" si="12"/>
        <v>59000</v>
      </c>
      <c r="G3047" s="440"/>
      <c r="H3047" s="448">
        <v>44010</v>
      </c>
    </row>
    <row r="3048" spans="1:8" ht="13.2">
      <c r="A3048" s="454" t="s">
        <v>1346</v>
      </c>
      <c r="B3048" s="452" t="str">
        <f>VLOOKUP(A3048,'Thống kê'!$C$3:$D$669,2,0)</f>
        <v>Móc khóa chuối</v>
      </c>
      <c r="C3048" s="436" t="str">
        <f>VLOOKUP(A3048,'Thống kê'!$C$3:$E$682,3,0)</f>
        <v>cái</v>
      </c>
      <c r="D3048" s="437">
        <f>VLOOKUP(A3048,'Thống kê'!$C$3:$M$682,4,0)</f>
        <v>148000</v>
      </c>
      <c r="E3048" s="438">
        <v>1</v>
      </c>
      <c r="F3048" s="439">
        <f t="shared" si="12"/>
        <v>148000</v>
      </c>
      <c r="G3048" s="440"/>
      <c r="H3048" s="447">
        <v>147900</v>
      </c>
    </row>
    <row r="3049" spans="1:8" ht="13.2">
      <c r="A3049" s="454" t="s">
        <v>1342</v>
      </c>
      <c r="B3049" s="452" t="str">
        <f>VLOOKUP(A3049,'Thống kê'!$C$3:$D$669,2,0)</f>
        <v>Móc khóa chuối</v>
      </c>
      <c r="C3049" s="436" t="str">
        <f>VLOOKUP(A3049,'Thống kê'!$C$3:$E$682,3,0)</f>
        <v>cái</v>
      </c>
      <c r="D3049" s="437">
        <f>VLOOKUP(A3049,'Thống kê'!$C$3:$M$682,4,0)</f>
        <v>148000</v>
      </c>
      <c r="E3049" s="438">
        <v>1</v>
      </c>
      <c r="F3049" s="439">
        <f t="shared" si="12"/>
        <v>148000</v>
      </c>
      <c r="G3049" s="440"/>
      <c r="H3049" s="450"/>
    </row>
    <row r="3050" spans="1:8" ht="13.2">
      <c r="A3050" s="454" t="s">
        <v>1594</v>
      </c>
      <c r="B3050" s="452" t="str">
        <f>VLOOKUP(A3050,'Thống kê'!$C$3:$D$669,2,0)</f>
        <v>Móc khóa đôi heo</v>
      </c>
      <c r="C3050" s="436" t="str">
        <f>VLOOKUP(A3050,'Thống kê'!$C$3:$E$682,3,0)</f>
        <v>cái</v>
      </c>
      <c r="D3050" s="437">
        <f>VLOOKUP(A3050,'Thống kê'!$C$3:$M$682,4,0)</f>
        <v>56580</v>
      </c>
      <c r="E3050" s="438">
        <v>1</v>
      </c>
      <c r="F3050" s="439">
        <f t="shared" si="12"/>
        <v>56580</v>
      </c>
      <c r="G3050" s="440"/>
      <c r="H3050" s="448">
        <v>43284</v>
      </c>
    </row>
    <row r="3051" spans="1:8" ht="13.2">
      <c r="A3051" s="454" t="s">
        <v>245</v>
      </c>
      <c r="B3051" s="452" t="str">
        <f>VLOOKUP(A3051,'Thống kê'!$C$3:$D$669,2,0)</f>
        <v>Móc khóa Popbean</v>
      </c>
      <c r="C3051" s="436" t="str">
        <f>VLOOKUP(A3051,'Thống kê'!$C$3:$E$682,3,0)</f>
        <v>cái</v>
      </c>
      <c r="D3051" s="437">
        <f>VLOOKUP(A3051,'Thống kê'!$C$3:$M$682,4,0)</f>
        <v>148000</v>
      </c>
      <c r="E3051" s="438">
        <v>3</v>
      </c>
      <c r="F3051" s="439">
        <f t="shared" si="12"/>
        <v>444000</v>
      </c>
      <c r="G3051" s="440"/>
      <c r="H3051" s="447">
        <v>662422</v>
      </c>
    </row>
    <row r="3052" spans="1:8" ht="13.2">
      <c r="A3052" s="454" t="s">
        <v>1663</v>
      </c>
      <c r="B3052" s="452" t="str">
        <f>VLOOKUP(A3052,'Thống kê'!$C$3:$D$669,2,0)</f>
        <v>Móc khóa Popbean Zsiga</v>
      </c>
      <c r="C3052" s="436" t="str">
        <f>VLOOKUP(A3052,'Thống kê'!$C$3:$E$682,3,0)</f>
        <v>cái</v>
      </c>
      <c r="D3052" s="437">
        <f>VLOOKUP(A3052,'Thống kê'!$C$3:$M$682,4,0)</f>
        <v>148000</v>
      </c>
      <c r="E3052" s="438">
        <v>2</v>
      </c>
      <c r="F3052" s="439">
        <f t="shared" si="12"/>
        <v>296000</v>
      </c>
      <c r="G3052" s="440"/>
      <c r="H3052" s="450"/>
    </row>
    <row r="3053" spans="1:8" ht="13.2">
      <c r="A3053" s="454" t="s">
        <v>1589</v>
      </c>
      <c r="B3053" s="452" t="str">
        <f>VLOOKUP(A3053,'Thống kê'!$C$3:$D$669,2,0)</f>
        <v>Heo ú bay</v>
      </c>
      <c r="C3053" s="436" t="str">
        <f>VLOOKUP(A3053,'Thống kê'!$C$3:$E$682,3,0)</f>
        <v>cái</v>
      </c>
      <c r="D3053" s="437">
        <f>VLOOKUP(A3053,'Thống kê'!$C$3:$M$682,4,0)</f>
        <v>64500</v>
      </c>
      <c r="E3053" s="438">
        <v>1</v>
      </c>
      <c r="F3053" s="439">
        <f t="shared" si="12"/>
        <v>64500</v>
      </c>
      <c r="G3053" s="440"/>
      <c r="H3053" s="448">
        <v>49342</v>
      </c>
    </row>
    <row r="3054" spans="1:8" ht="13.2">
      <c r="A3054" s="454" t="s">
        <v>1369</v>
      </c>
      <c r="B3054" s="452" t="str">
        <f>VLOOKUP(A3054,'Thống kê'!$C$3:$D$669,2,0)</f>
        <v>Móc khóa Popbean</v>
      </c>
      <c r="C3054" s="436" t="str">
        <f>VLOOKUP(A3054,'Thống kê'!$C$3:$E$682,3,0)</f>
        <v>cái</v>
      </c>
      <c r="D3054" s="437">
        <f>VLOOKUP(A3054,'Thống kê'!$C$3:$M$682,4,0)</f>
        <v>148000</v>
      </c>
      <c r="E3054" s="438">
        <v>1</v>
      </c>
      <c r="F3054" s="439">
        <f t="shared" si="12"/>
        <v>148000</v>
      </c>
      <c r="G3054" s="440"/>
      <c r="H3054" s="448">
        <v>128350</v>
      </c>
    </row>
    <row r="3055" spans="1:8" ht="13.2">
      <c r="A3055" s="454" t="s">
        <v>1624</v>
      </c>
      <c r="B3055" s="452" t="str">
        <f>VLOOKUP(A3055,'Thống kê'!$C$3:$D$669,2,0)</f>
        <v>Móc khóa mèo trái tim</v>
      </c>
      <c r="C3055" s="436" t="str">
        <f>VLOOKUP(A3055,'Thống kê'!$C$3:$E$682,3,0)</f>
        <v>cái</v>
      </c>
      <c r="D3055" s="437">
        <f>VLOOKUP(A3055,'Thống kê'!$C$3:$M$682,4,0)</f>
        <v>59000</v>
      </c>
      <c r="E3055" s="438">
        <v>1</v>
      </c>
      <c r="F3055" s="439">
        <f t="shared" si="12"/>
        <v>59000</v>
      </c>
      <c r="G3055" s="440"/>
      <c r="H3055" s="447">
        <v>93500</v>
      </c>
    </row>
    <row r="3056" spans="1:8" ht="13.2">
      <c r="A3056" s="454" t="s">
        <v>150</v>
      </c>
      <c r="B3056" s="452" t="str">
        <f>VLOOKUP(A3056,'Thống kê'!$C$3:$D$669,2,0)</f>
        <v>Móc khóa có chuông</v>
      </c>
      <c r="C3056" s="436" t="str">
        <f>VLOOKUP(A3056,'Thống kê'!$C$3:$E$682,3,0)</f>
        <v>cái</v>
      </c>
      <c r="D3056" s="437">
        <f>VLOOKUP(A3056,'Thống kê'!$C$3:$M$682,4,0)</f>
        <v>59000</v>
      </c>
      <c r="E3056" s="438">
        <v>1</v>
      </c>
      <c r="F3056" s="439">
        <f t="shared" si="12"/>
        <v>59000</v>
      </c>
      <c r="G3056" s="440"/>
      <c r="H3056" s="450"/>
    </row>
    <row r="3057" spans="1:8" ht="13.2">
      <c r="A3057" s="454" t="s">
        <v>1369</v>
      </c>
      <c r="B3057" s="452" t="str">
        <f>VLOOKUP(A3057,'Thống kê'!$C$3:$D$669,2,0)</f>
        <v>Móc khóa Popbean</v>
      </c>
      <c r="C3057" s="436" t="str">
        <f>VLOOKUP(A3057,'Thống kê'!$C$3:$E$682,3,0)</f>
        <v>cái</v>
      </c>
      <c r="D3057" s="437">
        <f>VLOOKUP(A3057,'Thống kê'!$C$3:$M$682,4,0)</f>
        <v>148000</v>
      </c>
      <c r="E3057" s="438">
        <v>2</v>
      </c>
      <c r="F3057" s="439">
        <f t="shared" si="12"/>
        <v>296000</v>
      </c>
      <c r="G3057" s="440"/>
      <c r="H3057" s="448">
        <v>248676</v>
      </c>
    </row>
    <row r="3058" spans="1:8" ht="13.2">
      <c r="A3058" s="454" t="s">
        <v>1663</v>
      </c>
      <c r="B3058" s="452" t="str">
        <f>VLOOKUP(A3058,'Thống kê'!$C$3:$D$669,2,0)</f>
        <v>Móc khóa Popbean Zsiga</v>
      </c>
      <c r="C3058" s="436" t="str">
        <f>VLOOKUP(A3058,'Thống kê'!$C$3:$E$682,3,0)</f>
        <v>cái</v>
      </c>
      <c r="D3058" s="437">
        <f>VLOOKUP(A3058,'Thống kê'!$C$3:$M$682,4,0)</f>
        <v>148000</v>
      </c>
      <c r="E3058" s="438">
        <v>2</v>
      </c>
      <c r="F3058" s="439">
        <f t="shared" si="12"/>
        <v>296000</v>
      </c>
      <c r="G3058" s="440"/>
      <c r="H3058" s="448">
        <v>212954</v>
      </c>
    </row>
    <row r="3059" spans="1:8" ht="13.2">
      <c r="A3059" s="454" t="s">
        <v>1624</v>
      </c>
      <c r="B3059" s="452" t="str">
        <f>VLOOKUP(A3059,'Thống kê'!$C$3:$D$669,2,0)</f>
        <v>Móc khóa mèo trái tim</v>
      </c>
      <c r="C3059" s="436" t="str">
        <f>VLOOKUP(A3059,'Thống kê'!$C$3:$E$682,3,0)</f>
        <v>cái</v>
      </c>
      <c r="D3059" s="437">
        <f>VLOOKUP(A3059,'Thống kê'!$C$3:$M$682,4,0)</f>
        <v>59000</v>
      </c>
      <c r="E3059" s="438">
        <v>1</v>
      </c>
      <c r="F3059" s="439">
        <f t="shared" si="12"/>
        <v>59000</v>
      </c>
      <c r="G3059" s="440"/>
      <c r="H3059" s="448">
        <v>45135</v>
      </c>
    </row>
    <row r="3060" spans="1:8" ht="13.2">
      <c r="A3060" s="454" t="s">
        <v>1662</v>
      </c>
      <c r="B3060" s="452" t="str">
        <f>VLOOKUP(A3060,'Thống kê'!$C$3:$D$669,2,0)</f>
        <v>Móc khóa Popbean Cry Baby</v>
      </c>
      <c r="C3060" s="436" t="str">
        <f>VLOOKUP(A3060,'Thống kê'!$C$3:$E$682,3,0)</f>
        <v>cái</v>
      </c>
      <c r="D3060" s="437">
        <f>VLOOKUP(A3060,'Thống kê'!$C$3:$M$682,4,0)</f>
        <v>148000</v>
      </c>
      <c r="E3060" s="438">
        <v>2</v>
      </c>
      <c r="F3060" s="439">
        <f t="shared" si="12"/>
        <v>296000</v>
      </c>
      <c r="G3060" s="440"/>
      <c r="H3060" s="448">
        <v>212954</v>
      </c>
    </row>
    <row r="3061" spans="1:8" ht="13.2">
      <c r="A3061" s="454" t="s">
        <v>1660</v>
      </c>
      <c r="B3061" s="452" t="str">
        <f>VLOOKUP(A3061,'Thống kê'!$C$3:$D$669,2,0)</f>
        <v>Móc khóa Popbean Skull Panda</v>
      </c>
      <c r="C3061" s="436" t="str">
        <f>VLOOKUP(A3061,'Thống kê'!$C$3:$E$682,3,0)</f>
        <v>cái</v>
      </c>
      <c r="D3061" s="437">
        <f>VLOOKUP(A3061,'Thống kê'!$C$3:$M$682,4,0)</f>
        <v>155000</v>
      </c>
      <c r="E3061" s="438">
        <v>2</v>
      </c>
      <c r="F3061" s="439">
        <f t="shared" si="12"/>
        <v>310000</v>
      </c>
      <c r="G3061" s="440"/>
      <c r="H3061" s="448">
        <v>217646</v>
      </c>
    </row>
    <row r="3062" spans="1:8" ht="13.2">
      <c r="A3062" s="454" t="s">
        <v>1716</v>
      </c>
      <c r="B3062" s="452" t="str">
        <f>VLOOKUP(A3062,'Thống kê'!$C$3:$D$669,2,0)</f>
        <v>Móc khóa đôi 2 quả lê có nam châm</v>
      </c>
      <c r="C3062" s="436" t="str">
        <f>VLOOKUP(A3062,'Thống kê'!$C$3:$E$682,3,0)</f>
        <v>cái</v>
      </c>
      <c r="D3062" s="437">
        <f>VLOOKUP(A3062,'Thống kê'!$C$3:$M$682,4,0)</f>
        <v>59000</v>
      </c>
      <c r="E3062" s="438">
        <v>1</v>
      </c>
      <c r="F3062" s="439">
        <f t="shared" si="12"/>
        <v>59000</v>
      </c>
      <c r="G3062" s="440"/>
      <c r="H3062" s="448">
        <v>44785</v>
      </c>
    </row>
    <row r="3063" spans="1:8" ht="13.2">
      <c r="A3063" s="454" t="s">
        <v>1624</v>
      </c>
      <c r="B3063" s="452" t="str">
        <f>VLOOKUP(A3063,'Thống kê'!$C$3:$D$669,2,0)</f>
        <v>Móc khóa mèo trái tim</v>
      </c>
      <c r="C3063" s="436" t="str">
        <f>VLOOKUP(A3063,'Thống kê'!$C$3:$E$682,3,0)</f>
        <v>cái</v>
      </c>
      <c r="D3063" s="437">
        <f>VLOOKUP(A3063,'Thống kê'!$C$3:$M$682,4,0)</f>
        <v>59000</v>
      </c>
      <c r="E3063" s="438">
        <v>1</v>
      </c>
      <c r="F3063" s="439">
        <f t="shared" si="12"/>
        <v>59000</v>
      </c>
      <c r="G3063" s="440"/>
      <c r="H3063" s="448">
        <v>45135</v>
      </c>
    </row>
    <row r="3064" spans="1:8" ht="13.2">
      <c r="A3064" s="454" t="s">
        <v>1624</v>
      </c>
      <c r="B3064" s="452" t="str">
        <f>VLOOKUP(A3064,'Thống kê'!$C$3:$D$669,2,0)</f>
        <v>Móc khóa mèo trái tim</v>
      </c>
      <c r="C3064" s="436" t="str">
        <f>VLOOKUP(A3064,'Thống kê'!$C$3:$E$682,3,0)</f>
        <v>cái</v>
      </c>
      <c r="D3064" s="437">
        <f>VLOOKUP(A3064,'Thống kê'!$C$3:$M$682,4,0)</f>
        <v>59000</v>
      </c>
      <c r="E3064" s="438">
        <v>1</v>
      </c>
      <c r="F3064" s="439">
        <f t="shared" si="12"/>
        <v>59000</v>
      </c>
      <c r="G3064" s="440"/>
      <c r="H3064" s="448">
        <v>45060</v>
      </c>
    </row>
    <row r="3065" spans="1:8" ht="13.2">
      <c r="A3065" s="454" t="s">
        <v>1640</v>
      </c>
      <c r="B3065" s="452" t="str">
        <f>VLOOKUP(A3065,'Thống kê'!$C$3:$D$669,2,0)</f>
        <v>Móc khóa đôi Capypara</v>
      </c>
      <c r="C3065" s="436" t="str">
        <f>VLOOKUP(A3065,'Thống kê'!$C$3:$E$682,3,0)</f>
        <v>cái</v>
      </c>
      <c r="D3065" s="437">
        <f>VLOOKUP(A3065,'Thống kê'!$C$3:$M$682,4,0)</f>
        <v>59000</v>
      </c>
      <c r="E3065" s="438">
        <v>1</v>
      </c>
      <c r="F3065" s="439">
        <f t="shared" si="12"/>
        <v>59000</v>
      </c>
      <c r="G3065" s="440"/>
      <c r="H3065" s="448">
        <v>45135</v>
      </c>
    </row>
    <row r="3066" spans="1:8" ht="13.2">
      <c r="A3066" s="454" t="s">
        <v>1801</v>
      </c>
      <c r="B3066" s="452" t="str">
        <f>VLOOKUP(A3066,'Thống kê'!$C$3:$D$669,2,0)</f>
        <v>Móc khoá cún Hoa xinh</v>
      </c>
      <c r="C3066" s="436" t="str">
        <f>VLOOKUP(A3066,'Thống kê'!$C$3:$E$682,3,0)</f>
        <v>cái</v>
      </c>
      <c r="D3066" s="437">
        <f>VLOOKUP(A3066,'Thống kê'!$C$3:$M$682,4,0)</f>
        <v>38000</v>
      </c>
      <c r="E3066" s="438">
        <v>1</v>
      </c>
      <c r="F3066" s="439">
        <f t="shared" si="12"/>
        <v>38000</v>
      </c>
      <c r="G3066" s="440"/>
      <c r="H3066" s="447">
        <v>263190</v>
      </c>
    </row>
    <row r="3067" spans="1:8" ht="13.2">
      <c r="A3067" s="454" t="s">
        <v>1651</v>
      </c>
      <c r="B3067" s="452" t="str">
        <f>VLOOKUP(A3067,'Thống kê'!$C$3:$D$669,2,0)</f>
        <v>Móc khóa Popbean Sweet Bean</v>
      </c>
      <c r="C3067" s="436" t="str">
        <f>VLOOKUP(A3067,'Thống kê'!$C$3:$E$682,3,0)</f>
        <v>cái</v>
      </c>
      <c r="D3067" s="437">
        <f>VLOOKUP(A3067,'Thống kê'!$C$3:$M$682,4,0)</f>
        <v>155000</v>
      </c>
      <c r="E3067" s="438">
        <v>1</v>
      </c>
      <c r="F3067" s="439">
        <f t="shared" si="12"/>
        <v>155000</v>
      </c>
      <c r="G3067" s="440"/>
      <c r="H3067" s="450"/>
    </row>
    <row r="3068" spans="1:8" ht="13.2">
      <c r="A3068" s="454" t="s">
        <v>1369</v>
      </c>
      <c r="B3068" s="452" t="str">
        <f>VLOOKUP(A3068,'Thống kê'!$C$3:$D$669,2,0)</f>
        <v>Móc khóa Popbean</v>
      </c>
      <c r="C3068" s="436" t="str">
        <f>VLOOKUP(A3068,'Thống kê'!$C$3:$E$682,3,0)</f>
        <v>cái</v>
      </c>
      <c r="D3068" s="437">
        <f>VLOOKUP(A3068,'Thống kê'!$C$3:$M$682,4,0)</f>
        <v>148000</v>
      </c>
      <c r="E3068" s="438">
        <v>1</v>
      </c>
      <c r="F3068" s="439">
        <f t="shared" si="12"/>
        <v>148000</v>
      </c>
      <c r="G3068" s="440"/>
      <c r="H3068" s="450"/>
    </row>
    <row r="3069" spans="1:8" ht="13.2">
      <c r="A3069" s="454" t="s">
        <v>1341</v>
      </c>
      <c r="B3069" s="452" t="str">
        <f>VLOOKUP(A3069,'Thống kê'!$C$3:$D$669,2,0)</f>
        <v>Móc khóa chuối</v>
      </c>
      <c r="C3069" s="436" t="str">
        <f>VLOOKUP(A3069,'Thống kê'!$C$3:$E$682,3,0)</f>
        <v>cái</v>
      </c>
      <c r="D3069" s="437">
        <f>VLOOKUP(A3069,'Thống kê'!$C$3:$M$682,4,0)</f>
        <v>148000</v>
      </c>
      <c r="E3069" s="438">
        <v>1</v>
      </c>
      <c r="F3069" s="439">
        <f t="shared" si="12"/>
        <v>148000</v>
      </c>
      <c r="G3069" s="440"/>
      <c r="H3069" s="448">
        <v>71225</v>
      </c>
    </row>
    <row r="3070" spans="1:8" ht="13.2">
      <c r="A3070" s="454" t="s">
        <v>1624</v>
      </c>
      <c r="B3070" s="452" t="str">
        <f>VLOOKUP(A3070,'Thống kê'!$C$3:$D$669,2,0)</f>
        <v>Móc khóa mèo trái tim</v>
      </c>
      <c r="C3070" s="436" t="str">
        <f>VLOOKUP(A3070,'Thống kê'!$C$3:$E$682,3,0)</f>
        <v>cái</v>
      </c>
      <c r="D3070" s="437">
        <f>VLOOKUP(A3070,'Thống kê'!$C$3:$M$682,4,0)</f>
        <v>59000</v>
      </c>
      <c r="E3070" s="438">
        <v>1</v>
      </c>
      <c r="F3070" s="439">
        <f t="shared" si="12"/>
        <v>59000</v>
      </c>
      <c r="G3070" s="440"/>
      <c r="H3070" s="448">
        <v>45060</v>
      </c>
    </row>
    <row r="3071" spans="1:8" ht="13.2">
      <c r="A3071" s="454" t="s">
        <v>1625</v>
      </c>
      <c r="B3071" s="452" t="str">
        <f>VLOOKUP(A3071,'Thống kê'!$C$3:$D$669,2,0)</f>
        <v>Móc khóa đôi 2 mèo trắng nâu</v>
      </c>
      <c r="C3071" s="436" t="str">
        <f>VLOOKUP(A3071,'Thống kê'!$C$3:$E$682,3,0)</f>
        <v>cái</v>
      </c>
      <c r="D3071" s="437">
        <f>VLOOKUP(A3071,'Thống kê'!$C$3:$M$682,4,0)</f>
        <v>59000</v>
      </c>
      <c r="E3071" s="438">
        <v>1</v>
      </c>
      <c r="F3071" s="439">
        <f t="shared" si="12"/>
        <v>59000</v>
      </c>
      <c r="G3071" s="440"/>
      <c r="H3071" s="448">
        <v>44735</v>
      </c>
    </row>
    <row r="3072" spans="1:8" ht="13.2">
      <c r="A3072" s="454" t="s">
        <v>1634</v>
      </c>
      <c r="B3072" s="452" t="str">
        <f>VLOOKUP(A3072,'Thống kê'!$C$3:$D$669,2,0)</f>
        <v>Móc khóa mèo đen cá</v>
      </c>
      <c r="C3072" s="436" t="str">
        <f>VLOOKUP(A3072,'Thống kê'!$C$3:$E$682,3,0)</f>
        <v>cái</v>
      </c>
      <c r="D3072" s="437">
        <f>VLOOKUP(A3072,'Thống kê'!$C$3:$M$682,4,0)</f>
        <v>59000</v>
      </c>
      <c r="E3072" s="438">
        <v>1</v>
      </c>
      <c r="F3072" s="439">
        <f t="shared" si="12"/>
        <v>59000</v>
      </c>
      <c r="G3072" s="440"/>
      <c r="H3072" s="448">
        <v>42409</v>
      </c>
    </row>
    <row r="3073" spans="1:8" ht="13.2">
      <c r="A3073" s="454" t="s">
        <v>1957</v>
      </c>
      <c r="B3073" s="452" t="str">
        <f>VLOOKUP(A3073,'Thống kê'!$C$3:$D$669,2,0)</f>
        <v>Móc khóa capybara 14 - tóc hồng</v>
      </c>
      <c r="C3073" s="436" t="str">
        <f>VLOOKUP(A3073,'Thống kê'!$C$3:$E$682,3,0)</f>
        <v>cái</v>
      </c>
      <c r="D3073" s="437">
        <f>VLOOKUP(A3073,'Thống kê'!$C$3:$M$682,4,0)</f>
        <v>38000</v>
      </c>
      <c r="E3073" s="438">
        <v>1</v>
      </c>
      <c r="F3073" s="439">
        <f t="shared" si="12"/>
        <v>38000</v>
      </c>
      <c r="G3073" s="440"/>
      <c r="H3073" s="448">
        <v>28816</v>
      </c>
    </row>
    <row r="3074" spans="1:8" ht="13.2">
      <c r="A3074" s="454" t="s">
        <v>1625</v>
      </c>
      <c r="B3074" s="452" t="str">
        <f>VLOOKUP(A3074,'Thống kê'!$C$3:$D$669,2,0)</f>
        <v>Móc khóa đôi 2 mèo trắng nâu</v>
      </c>
      <c r="C3074" s="436" t="str">
        <f>VLOOKUP(A3074,'Thống kê'!$C$3:$E$682,3,0)</f>
        <v>cái</v>
      </c>
      <c r="D3074" s="437">
        <f>VLOOKUP(A3074,'Thống kê'!$C$3:$M$682,4,0)</f>
        <v>59000</v>
      </c>
      <c r="E3074" s="438">
        <v>1</v>
      </c>
      <c r="F3074" s="439">
        <f t="shared" si="12"/>
        <v>59000</v>
      </c>
      <c r="G3074" s="440"/>
      <c r="H3074" s="448">
        <v>44235</v>
      </c>
    </row>
    <row r="3075" spans="1:8" ht="13.2">
      <c r="A3075" s="454" t="s">
        <v>150</v>
      </c>
      <c r="B3075" s="452" t="str">
        <f>VLOOKUP(A3075,'Thống kê'!$C$3:$D$669,2,0)</f>
        <v>Móc khóa có chuông</v>
      </c>
      <c r="C3075" s="436" t="str">
        <f>VLOOKUP(A3075,'Thống kê'!$C$3:$E$682,3,0)</f>
        <v>cái</v>
      </c>
      <c r="D3075" s="437">
        <f>VLOOKUP(A3075,'Thống kê'!$C$3:$M$682,4,0)</f>
        <v>59000</v>
      </c>
      <c r="E3075" s="438">
        <v>1</v>
      </c>
      <c r="F3075" s="439">
        <f t="shared" si="12"/>
        <v>59000</v>
      </c>
      <c r="G3075" s="440"/>
      <c r="H3075" s="447">
        <v>98600</v>
      </c>
    </row>
    <row r="3076" spans="1:8" ht="13.2">
      <c r="A3076" s="454" t="s">
        <v>1375</v>
      </c>
      <c r="B3076" s="452" t="str">
        <f>VLOOKUP(A3076,'Thống kê'!$C$3:$D$669,2,0)</f>
        <v>Mô hình thần tài</v>
      </c>
      <c r="C3076" s="436" t="str">
        <f>VLOOKUP(A3076,'Thống kê'!$C$3:$E$682,3,0)</f>
        <v>cái</v>
      </c>
      <c r="D3076" s="437">
        <f>VLOOKUP(A3076,'Thống kê'!$C$3:$M$682,4,0)</f>
        <v>59800</v>
      </c>
      <c r="E3076" s="438">
        <v>1</v>
      </c>
      <c r="F3076" s="439">
        <f t="shared" si="12"/>
        <v>59800</v>
      </c>
      <c r="G3076" s="440"/>
      <c r="H3076" s="450"/>
    </row>
    <row r="3077" spans="1:8" ht="13.2">
      <c r="A3077" s="454" t="s">
        <v>1343</v>
      </c>
      <c r="B3077" s="452" t="str">
        <f>VLOOKUP(A3077,'Thống kê'!$C$3:$D$669,2,0)</f>
        <v>Móc khóa chuối</v>
      </c>
      <c r="C3077" s="436" t="str">
        <f>VLOOKUP(A3077,'Thống kê'!$C$3:$E$682,3,0)</f>
        <v>cái</v>
      </c>
      <c r="D3077" s="437">
        <f>VLOOKUP(A3077,'Thống kê'!$C$3:$M$682,4,0)</f>
        <v>148000</v>
      </c>
      <c r="E3077" s="438">
        <v>1</v>
      </c>
      <c r="F3077" s="439">
        <f t="shared" si="12"/>
        <v>148000</v>
      </c>
      <c r="G3077" s="440"/>
      <c r="H3077" s="448">
        <v>79850</v>
      </c>
    </row>
    <row r="3078" spans="1:8" ht="13.2">
      <c r="A3078" s="454" t="s">
        <v>1594</v>
      </c>
      <c r="B3078" s="452" t="str">
        <f>VLOOKUP(A3078,'Thống kê'!$C$3:$D$669,2,0)</f>
        <v>Móc khóa đôi heo</v>
      </c>
      <c r="C3078" s="436" t="str">
        <f>VLOOKUP(A3078,'Thống kê'!$C$3:$E$682,3,0)</f>
        <v>cái</v>
      </c>
      <c r="D3078" s="437">
        <f>VLOOKUP(A3078,'Thống kê'!$C$3:$M$682,4,0)</f>
        <v>56580</v>
      </c>
      <c r="E3078" s="438">
        <v>1</v>
      </c>
      <c r="F3078" s="439">
        <f t="shared" si="12"/>
        <v>56580</v>
      </c>
      <c r="G3078" s="440"/>
      <c r="H3078" s="448">
        <v>48093</v>
      </c>
    </row>
    <row r="3079" spans="1:8" ht="13.2">
      <c r="A3079" s="454" t="s">
        <v>1349</v>
      </c>
      <c r="B3079" s="452" t="str">
        <f>VLOOKUP(A3079,'Thống kê'!$C$3:$D$669,2,0)</f>
        <v>Túi chườm bụng 1000ml</v>
      </c>
      <c r="C3079" s="436" t="str">
        <f>VLOOKUP(A3079,'Thống kê'!$C$3:$E$682,3,0)</f>
        <v>túi</v>
      </c>
      <c r="D3079" s="437">
        <f>VLOOKUP(A3079,'Thống kê'!$C$3:$M$682,4,0)</f>
        <v>119000</v>
      </c>
      <c r="E3079" s="438">
        <v>1</v>
      </c>
      <c r="F3079" s="439">
        <f t="shared" si="12"/>
        <v>119000</v>
      </c>
      <c r="G3079" s="440"/>
      <c r="H3079" s="448">
        <v>86258</v>
      </c>
    </row>
    <row r="3080" spans="1:8" ht="13.2">
      <c r="A3080" s="454" t="s">
        <v>1625</v>
      </c>
      <c r="B3080" s="452" t="str">
        <f>VLOOKUP(A3080,'Thống kê'!$C$3:$D$669,2,0)</f>
        <v>Móc khóa đôi 2 mèo trắng nâu</v>
      </c>
      <c r="C3080" s="436" t="str">
        <f>VLOOKUP(A3080,'Thống kê'!$C$3:$E$682,3,0)</f>
        <v>cái</v>
      </c>
      <c r="D3080" s="437">
        <f>VLOOKUP(A3080,'Thống kê'!$C$3:$M$682,4,0)</f>
        <v>59000</v>
      </c>
      <c r="E3080" s="438">
        <v>1</v>
      </c>
      <c r="F3080" s="439">
        <f t="shared" si="12"/>
        <v>59000</v>
      </c>
      <c r="G3080" s="440"/>
      <c r="H3080" s="448">
        <v>45135</v>
      </c>
    </row>
    <row r="3081" spans="1:8" ht="13.2">
      <c r="A3081" s="454" t="s">
        <v>1782</v>
      </c>
      <c r="B3081" s="452" t="str">
        <f>VLOOKUP(A3081,'Thống kê'!$C$3:$D$669,2,0)</f>
        <v>Mèo xám treo gương</v>
      </c>
      <c r="C3081" s="436" t="str">
        <f>VLOOKUP(A3081,'Thống kê'!$C$3:$E$682,3,0)</f>
        <v>cái</v>
      </c>
      <c r="D3081" s="437">
        <f>VLOOKUP(A3081,'Thống kê'!$C$3:$M$682,4,0)</f>
        <v>71500</v>
      </c>
      <c r="E3081" s="438">
        <v>1</v>
      </c>
      <c r="F3081" s="439">
        <f t="shared" si="12"/>
        <v>71500</v>
      </c>
      <c r="G3081" s="440"/>
      <c r="H3081" s="448">
        <v>50247</v>
      </c>
    </row>
    <row r="3082" spans="1:8" ht="13.2">
      <c r="A3082" s="454" t="s">
        <v>115</v>
      </c>
      <c r="B3082" s="452" t="str">
        <f>VLOOKUP(A3082,'Thống kê'!$C$3:$D$669,2,0)</f>
        <v>Heo ú</v>
      </c>
      <c r="C3082" s="436" t="str">
        <f>VLOOKUP(A3082,'Thống kê'!$C$3:$E$682,3,0)</f>
        <v>cái</v>
      </c>
      <c r="D3082" s="437">
        <f>VLOOKUP(A3082,'Thống kê'!$C$3:$M$682,4,0)</f>
        <v>59500</v>
      </c>
      <c r="E3082" s="438">
        <v>1</v>
      </c>
      <c r="F3082" s="439">
        <f t="shared" si="12"/>
        <v>59500</v>
      </c>
      <c r="G3082" s="440"/>
      <c r="H3082" s="448">
        <v>49317</v>
      </c>
    </row>
    <row r="3083" spans="1:8" ht="13.2">
      <c r="A3083" s="454" t="s">
        <v>2059</v>
      </c>
      <c r="B3083" s="452" t="str">
        <f>VLOOKUP(A3083,'Thống kê'!$C$3:$D$669,2,0)</f>
        <v>Vịt áo vàng treo gương</v>
      </c>
      <c r="C3083" s="436" t="str">
        <f>VLOOKUP(A3083,'Thống kê'!$C$3:$E$682,3,0)</f>
        <v>cái</v>
      </c>
      <c r="D3083" s="437">
        <f>VLOOKUP(A3083,'Thống kê'!$C$3:$M$682,4,0)</f>
        <v>155000</v>
      </c>
      <c r="E3083" s="438">
        <v>1</v>
      </c>
      <c r="F3083" s="439">
        <f t="shared" si="12"/>
        <v>155000</v>
      </c>
      <c r="G3083" s="440"/>
      <c r="H3083" s="448">
        <v>110372</v>
      </c>
    </row>
    <row r="3084" spans="1:8" ht="13.2">
      <c r="A3084" s="454" t="s">
        <v>1364</v>
      </c>
      <c r="B3084" s="452" t="str">
        <f>VLOOKUP(A3084,'Thống kê'!$C$3:$D$669,2,0)</f>
        <v>Móc khóa Popbean</v>
      </c>
      <c r="C3084" s="436" t="str">
        <f>VLOOKUP(A3084,'Thống kê'!$C$3:$E$682,3,0)</f>
        <v>cái</v>
      </c>
      <c r="D3084" s="437">
        <f>VLOOKUP(A3084,'Thống kê'!$C$3:$M$682,4,0)</f>
        <v>148000</v>
      </c>
      <c r="E3084" s="438">
        <v>1</v>
      </c>
      <c r="F3084" s="439">
        <f t="shared" si="12"/>
        <v>148000</v>
      </c>
      <c r="G3084" s="440"/>
      <c r="H3084" s="447">
        <v>254988</v>
      </c>
    </row>
    <row r="3085" spans="1:8" ht="13.2">
      <c r="A3085" s="454" t="s">
        <v>1369</v>
      </c>
      <c r="B3085" s="452" t="str">
        <f>VLOOKUP(A3085,'Thống kê'!$C$3:$D$669,2,0)</f>
        <v>Móc khóa Popbean</v>
      </c>
      <c r="C3085" s="436" t="str">
        <f>VLOOKUP(A3085,'Thống kê'!$C$3:$E$682,3,0)</f>
        <v>cái</v>
      </c>
      <c r="D3085" s="437">
        <f>VLOOKUP(A3085,'Thống kê'!$C$3:$M$682,4,0)</f>
        <v>148000</v>
      </c>
      <c r="E3085" s="438">
        <v>1</v>
      </c>
      <c r="F3085" s="439">
        <f t="shared" si="12"/>
        <v>148000</v>
      </c>
      <c r="G3085" s="440"/>
      <c r="H3085" s="450"/>
    </row>
    <row r="3086" spans="1:8" ht="13.2">
      <c r="A3086" s="454" t="s">
        <v>115</v>
      </c>
      <c r="B3086" s="452" t="str">
        <f>VLOOKUP(A3086,'Thống kê'!$C$3:$D$669,2,0)</f>
        <v>Heo ú</v>
      </c>
      <c r="C3086" s="436" t="str">
        <f>VLOOKUP(A3086,'Thống kê'!$C$3:$E$682,3,0)</f>
        <v>cái</v>
      </c>
      <c r="D3086" s="437">
        <f>VLOOKUP(A3086,'Thống kê'!$C$3:$M$682,4,0)</f>
        <v>59500</v>
      </c>
      <c r="E3086" s="438">
        <v>1</v>
      </c>
      <c r="F3086" s="439">
        <f t="shared" si="12"/>
        <v>59500</v>
      </c>
      <c r="G3086" s="440"/>
      <c r="H3086" s="448">
        <v>43510</v>
      </c>
    </row>
    <row r="3087" spans="1:8" ht="13.2">
      <c r="A3087" s="454" t="s">
        <v>1594</v>
      </c>
      <c r="B3087" s="452" t="str">
        <f>VLOOKUP(A3087,'Thống kê'!$C$3:$D$669,2,0)</f>
        <v>Móc khóa đôi heo</v>
      </c>
      <c r="C3087" s="436" t="str">
        <f>VLOOKUP(A3087,'Thống kê'!$C$3:$E$682,3,0)</f>
        <v>cái</v>
      </c>
      <c r="D3087" s="437">
        <f>VLOOKUP(A3087,'Thống kê'!$C$3:$M$682,4,0)</f>
        <v>56580</v>
      </c>
      <c r="E3087" s="438">
        <v>1</v>
      </c>
      <c r="F3087" s="439">
        <f t="shared" si="12"/>
        <v>56580</v>
      </c>
      <c r="G3087" s="440"/>
      <c r="H3087" s="448">
        <v>41356</v>
      </c>
    </row>
    <row r="3088" spans="1:8" ht="13.2">
      <c r="A3088" s="454" t="s">
        <v>1716</v>
      </c>
      <c r="B3088" s="452" t="str">
        <f>VLOOKUP(A3088,'Thống kê'!$C$3:$D$669,2,0)</f>
        <v>Móc khóa đôi 2 quả lê có nam châm</v>
      </c>
      <c r="C3088" s="436" t="str">
        <f>VLOOKUP(A3088,'Thống kê'!$C$3:$E$682,3,0)</f>
        <v>cái</v>
      </c>
      <c r="D3088" s="437">
        <f>VLOOKUP(A3088,'Thống kê'!$C$3:$M$682,4,0)</f>
        <v>59000</v>
      </c>
      <c r="E3088" s="438">
        <v>1</v>
      </c>
      <c r="F3088" s="439">
        <f t="shared" si="12"/>
        <v>59000</v>
      </c>
      <c r="G3088" s="440"/>
      <c r="H3088" s="448">
        <v>42917</v>
      </c>
    </row>
    <row r="3089" spans="1:8" ht="13.2">
      <c r="A3089" s="454" t="s">
        <v>1625</v>
      </c>
      <c r="B3089" s="452" t="str">
        <f>VLOOKUP(A3089,'Thống kê'!$C$3:$D$669,2,0)</f>
        <v>Móc khóa đôi 2 mèo trắng nâu</v>
      </c>
      <c r="C3089" s="436" t="str">
        <f>VLOOKUP(A3089,'Thống kê'!$C$3:$E$682,3,0)</f>
        <v>cái</v>
      </c>
      <c r="D3089" s="437">
        <f>VLOOKUP(A3089,'Thống kê'!$C$3:$M$682,4,0)</f>
        <v>59000</v>
      </c>
      <c r="E3089" s="438">
        <v>1</v>
      </c>
      <c r="F3089" s="439">
        <f t="shared" si="12"/>
        <v>59000</v>
      </c>
      <c r="G3089" s="440"/>
      <c r="H3089" s="448">
        <v>43542</v>
      </c>
    </row>
    <row r="3090" spans="1:8" ht="13.2">
      <c r="A3090" s="454" t="s">
        <v>162</v>
      </c>
      <c r="B3090" s="452" t="str">
        <f>VLOOKUP(A3090,'Thống kê'!$C$3:$D$669,2,0)</f>
        <v>Móc khoá cún Donut</v>
      </c>
      <c r="C3090" s="436" t="str">
        <f>VLOOKUP(A3090,'Thống kê'!$C$3:$E$682,3,0)</f>
        <v>cái</v>
      </c>
      <c r="D3090" s="437">
        <f>VLOOKUP(A3090,'Thống kê'!$C$3:$M$682,4,0)</f>
        <v>38000</v>
      </c>
      <c r="E3090" s="438">
        <v>1</v>
      </c>
      <c r="F3090" s="439">
        <f t="shared" si="12"/>
        <v>38000</v>
      </c>
      <c r="G3090" s="440"/>
      <c r="H3090" s="447">
        <v>150448</v>
      </c>
    </row>
    <row r="3091" spans="1:8" ht="13.2">
      <c r="A3091" s="454" t="s">
        <v>1366</v>
      </c>
      <c r="B3091" s="452" t="str">
        <f>VLOOKUP(A3091,'Thống kê'!$C$3:$D$669,2,0)</f>
        <v>Móc khóa Popbean</v>
      </c>
      <c r="C3091" s="436" t="str">
        <f>VLOOKUP(A3091,'Thống kê'!$C$3:$E$682,3,0)</f>
        <v>cái</v>
      </c>
      <c r="D3091" s="437">
        <f>VLOOKUP(A3091,'Thống kê'!$C$3:$M$682,4,0)</f>
        <v>148000</v>
      </c>
      <c r="E3091" s="438">
        <v>1</v>
      </c>
      <c r="F3091" s="439">
        <f t="shared" si="12"/>
        <v>148000</v>
      </c>
      <c r="G3091" s="440"/>
      <c r="H3091" s="450"/>
    </row>
    <row r="3092" spans="1:8" ht="13.2">
      <c r="A3092" s="454" t="s">
        <v>1590</v>
      </c>
      <c r="B3092" s="452" t="str">
        <f>VLOOKUP(A3092,'Thống kê'!$C$3:$D$669,2,0)</f>
        <v>Cún ú hoa</v>
      </c>
      <c r="C3092" s="436" t="str">
        <f>VLOOKUP(A3092,'Thống kê'!$C$3:$E$682,3,0)</f>
        <v>cái</v>
      </c>
      <c r="D3092" s="437">
        <f>VLOOKUP(A3092,'Thống kê'!$C$3:$M$682,4,0)</f>
        <v>64500</v>
      </c>
      <c r="E3092" s="438">
        <v>1</v>
      </c>
      <c r="F3092" s="439">
        <f t="shared" si="12"/>
        <v>64500</v>
      </c>
      <c r="G3092" s="440"/>
      <c r="H3092" s="447">
        <v>105705</v>
      </c>
    </row>
    <row r="3093" spans="1:8" ht="13.2">
      <c r="A3093" s="454" t="s">
        <v>1588</v>
      </c>
      <c r="B3093" s="452" t="str">
        <f>VLOOKUP(A3093,'Thống kê'!$C$3:$D$669,2,0)</f>
        <v>Heo ú hoa</v>
      </c>
      <c r="C3093" s="436" t="str">
        <f>VLOOKUP(A3093,'Thống kê'!$C$3:$E$682,3,0)</f>
        <v>cái</v>
      </c>
      <c r="D3093" s="437">
        <f>VLOOKUP(A3093,'Thống kê'!$C$3:$M$682,4,0)</f>
        <v>64500</v>
      </c>
      <c r="E3093" s="438">
        <v>1</v>
      </c>
      <c r="F3093" s="439">
        <f t="shared" si="12"/>
        <v>64500</v>
      </c>
      <c r="G3093" s="440"/>
      <c r="H3093" s="450"/>
    </row>
    <row r="3094" spans="1:8" ht="13.2">
      <c r="A3094" s="454" t="s">
        <v>1593</v>
      </c>
      <c r="B3094" s="452" t="str">
        <f>VLOOKUP(A3094,'Thống kê'!$C$3:$D$669,2,0)</f>
        <v>Heo cưỡi kì lân gắn xe</v>
      </c>
      <c r="C3094" s="436" t="str">
        <f>VLOOKUP(A3094,'Thống kê'!$C$3:$E$682,3,0)</f>
        <v>cái</v>
      </c>
      <c r="D3094" s="437">
        <f>VLOOKUP(A3094,'Thống kê'!$C$3:$M$682,4,0)</f>
        <v>45000</v>
      </c>
      <c r="E3094" s="438">
        <v>1</v>
      </c>
      <c r="F3094" s="439">
        <f t="shared" si="12"/>
        <v>45000</v>
      </c>
      <c r="G3094" s="440"/>
      <c r="H3094" s="447">
        <v>86513</v>
      </c>
    </row>
    <row r="3095" spans="1:8" ht="13.2">
      <c r="A3095" s="454" t="s">
        <v>183</v>
      </c>
      <c r="B3095" s="452" t="str">
        <f>VLOOKUP(A3095,'Thống kê'!$C$3:$D$669,2,0)</f>
        <v>Thỏ máy bay gắn xe</v>
      </c>
      <c r="C3095" s="436" t="str">
        <f>VLOOKUP(A3095,'Thống kê'!$C$3:$E$682,3,0)</f>
        <v>cái</v>
      </c>
      <c r="D3095" s="437">
        <f>VLOOKUP(A3095,'Thống kê'!$C$3:$M$682,4,0)</f>
        <v>45000</v>
      </c>
      <c r="E3095" s="438">
        <v>1</v>
      </c>
      <c r="F3095" s="439">
        <f t="shared" si="12"/>
        <v>45000</v>
      </c>
      <c r="G3095" s="440"/>
      <c r="H3095" s="450"/>
    </row>
    <row r="3096" spans="1:8" ht="13.2">
      <c r="A3096" s="454" t="s">
        <v>1806</v>
      </c>
      <c r="B3096" s="452" t="str">
        <f>VLOOKUP(A3096,'Thống kê'!$C$3:$D$669,2,0)</f>
        <v>Móc khoá cún Đầu táo</v>
      </c>
      <c r="C3096" s="436" t="str">
        <f>VLOOKUP(A3096,'Thống kê'!$C$3:$E$682,3,0)</f>
        <v>cái</v>
      </c>
      <c r="D3096" s="437">
        <f>VLOOKUP(A3096,'Thống kê'!$C$3:$M$682,4,0)</f>
        <v>38000</v>
      </c>
      <c r="E3096" s="438">
        <v>1</v>
      </c>
      <c r="F3096" s="439">
        <f t="shared" si="12"/>
        <v>38000</v>
      </c>
      <c r="G3096" s="440"/>
      <c r="H3096" s="450"/>
    </row>
    <row r="3097" spans="1:8" ht="13.2">
      <c r="A3097" s="454" t="s">
        <v>1587</v>
      </c>
      <c r="B3097" s="452" t="str">
        <f>VLOOKUP(A3097,'Thống kê'!$C$3:$D$669,2,0)</f>
        <v>Vịt ú bay</v>
      </c>
      <c r="C3097" s="436" t="str">
        <f>VLOOKUP(A3097,'Thống kê'!$C$3:$E$682,3,0)</f>
        <v>cái</v>
      </c>
      <c r="D3097" s="437">
        <f>VLOOKUP(A3097,'Thống kê'!$C$3:$M$682,4,0)</f>
        <v>64500</v>
      </c>
      <c r="E3097" s="438">
        <v>1</v>
      </c>
      <c r="F3097" s="439">
        <f t="shared" si="12"/>
        <v>64500</v>
      </c>
      <c r="G3097" s="440"/>
      <c r="H3097" s="447">
        <v>247066</v>
      </c>
    </row>
    <row r="3098" spans="1:8" ht="13.2">
      <c r="A3098" s="454" t="s">
        <v>143</v>
      </c>
      <c r="B3098" s="452" t="str">
        <f>VLOOKUP(A3098,'Thống kê'!$C$3:$D$669,2,0)</f>
        <v>Mèo ú</v>
      </c>
      <c r="C3098" s="436" t="str">
        <f>VLOOKUP(A3098,'Thống kê'!$C$3:$E$682,3,0)</f>
        <v>cái</v>
      </c>
      <c r="D3098" s="437">
        <f>VLOOKUP(A3098,'Thống kê'!$C$3:$M$682,4,0)</f>
        <v>59500</v>
      </c>
      <c r="E3098" s="438">
        <v>1</v>
      </c>
      <c r="F3098" s="439">
        <f t="shared" si="12"/>
        <v>59500</v>
      </c>
      <c r="G3098" s="440"/>
      <c r="H3098" s="450"/>
    </row>
    <row r="3099" spans="1:8" ht="13.2">
      <c r="A3099" s="454" t="s">
        <v>115</v>
      </c>
      <c r="B3099" s="452" t="str">
        <f>VLOOKUP(A3099,'Thống kê'!$C$3:$D$669,2,0)</f>
        <v>Heo ú</v>
      </c>
      <c r="C3099" s="436" t="str">
        <f>VLOOKUP(A3099,'Thống kê'!$C$3:$E$682,3,0)</f>
        <v>cái</v>
      </c>
      <c r="D3099" s="437">
        <f>VLOOKUP(A3099,'Thống kê'!$C$3:$M$682,4,0)</f>
        <v>59500</v>
      </c>
      <c r="E3099" s="438">
        <v>1</v>
      </c>
      <c r="F3099" s="439">
        <f t="shared" si="12"/>
        <v>59500</v>
      </c>
      <c r="G3099" s="440"/>
      <c r="H3099" s="450"/>
    </row>
    <row r="3100" spans="1:8" ht="13.2">
      <c r="A3100" s="454" t="s">
        <v>181</v>
      </c>
      <c r="B3100" s="452" t="str">
        <f>VLOOKUP(A3100,'Thống kê'!$C$3:$D$669,2,0)</f>
        <v>Thỏ mặt trăng gắn xe</v>
      </c>
      <c r="C3100" s="436" t="str">
        <f>VLOOKUP(A3100,'Thống kê'!$C$3:$E$682,3,0)</f>
        <v>cái</v>
      </c>
      <c r="D3100" s="437">
        <f>VLOOKUP(A3100,'Thống kê'!$C$3:$M$682,4,0)</f>
        <v>45000</v>
      </c>
      <c r="E3100" s="438">
        <v>1</v>
      </c>
      <c r="F3100" s="439">
        <f t="shared" si="12"/>
        <v>45000</v>
      </c>
      <c r="G3100" s="440"/>
      <c r="H3100" s="450"/>
    </row>
    <row r="3101" spans="1:8" ht="13.2">
      <c r="A3101" s="454" t="s">
        <v>145</v>
      </c>
      <c r="B3101" s="452" t="str">
        <f>VLOOKUP(A3101,'Thống kê'!$C$3:$D$669,2,0)</f>
        <v>Thỏ đi vịt gắn xe</v>
      </c>
      <c r="C3101" s="436" t="str">
        <f>VLOOKUP(A3101,'Thống kê'!$C$3:$E$682,3,0)</f>
        <v>cái</v>
      </c>
      <c r="D3101" s="437">
        <f>VLOOKUP(A3101,'Thống kê'!$C$3:$M$682,4,0)</f>
        <v>45000</v>
      </c>
      <c r="E3101" s="438">
        <v>1</v>
      </c>
      <c r="F3101" s="439">
        <f t="shared" si="12"/>
        <v>45000</v>
      </c>
      <c r="G3101" s="440"/>
      <c r="H3101" s="450"/>
    </row>
    <row r="3102" spans="1:8" ht="13.2">
      <c r="A3102" s="454" t="s">
        <v>1375</v>
      </c>
      <c r="B3102" s="452" t="str">
        <f>VLOOKUP(A3102,'Thống kê'!$C$3:$D$669,2,0)</f>
        <v>Mô hình thần tài</v>
      </c>
      <c r="C3102" s="436" t="str">
        <f>VLOOKUP(A3102,'Thống kê'!$C$3:$E$682,3,0)</f>
        <v>cái</v>
      </c>
      <c r="D3102" s="437">
        <f>VLOOKUP(A3102,'Thống kê'!$C$3:$M$682,4,0)</f>
        <v>59800</v>
      </c>
      <c r="E3102" s="438">
        <v>1</v>
      </c>
      <c r="F3102" s="439">
        <f t="shared" si="12"/>
        <v>59800</v>
      </c>
      <c r="G3102" s="440"/>
      <c r="H3102" s="450"/>
    </row>
    <row r="3103" spans="1:8" ht="13.2">
      <c r="A3103" s="454" t="s">
        <v>1640</v>
      </c>
      <c r="B3103" s="452" t="str">
        <f>VLOOKUP(A3103,'Thống kê'!$C$3:$D$669,2,0)</f>
        <v>Móc khóa đôi Capypara</v>
      </c>
      <c r="C3103" s="436" t="str">
        <f>VLOOKUP(A3103,'Thống kê'!$C$3:$E$682,3,0)</f>
        <v>cái</v>
      </c>
      <c r="D3103" s="437">
        <f>VLOOKUP(A3103,'Thống kê'!$C$3:$M$682,4,0)</f>
        <v>59000</v>
      </c>
      <c r="E3103" s="438">
        <v>1</v>
      </c>
      <c r="F3103" s="439">
        <f t="shared" si="12"/>
        <v>59000</v>
      </c>
      <c r="G3103" s="440"/>
      <c r="H3103" s="448">
        <v>42892</v>
      </c>
    </row>
    <row r="3104" spans="1:8" ht="13.2">
      <c r="A3104" s="454" t="s">
        <v>1599</v>
      </c>
      <c r="B3104" s="452" t="str">
        <f>VLOOKUP(A3104,'Thống kê'!$C$3:$D$669,2,0)</f>
        <v>Dao rọc giấy 14</v>
      </c>
      <c r="C3104" s="436" t="str">
        <f>VLOOKUP(A3104,'Thống kê'!$C$3:$E$682,3,0)</f>
        <v>cái</v>
      </c>
      <c r="D3104" s="437">
        <f>VLOOKUP(A3104,'Thống kê'!$C$3:$M$682,4,0)</f>
        <v>12000</v>
      </c>
      <c r="E3104" s="438">
        <v>1</v>
      </c>
      <c r="F3104" s="439">
        <f t="shared" si="12"/>
        <v>12000</v>
      </c>
      <c r="G3104" s="440"/>
      <c r="H3104" s="447">
        <v>51659</v>
      </c>
    </row>
    <row r="3105" spans="1:8" ht="13.2">
      <c r="A3105" s="454" t="s">
        <v>143</v>
      </c>
      <c r="B3105" s="452" t="str">
        <f>VLOOKUP(A3105,'Thống kê'!$C$3:$D$669,2,0)</f>
        <v>Mèo ú</v>
      </c>
      <c r="C3105" s="436" t="str">
        <f>VLOOKUP(A3105,'Thống kê'!$C$3:$E$682,3,0)</f>
        <v>cái</v>
      </c>
      <c r="D3105" s="437">
        <f>VLOOKUP(A3105,'Thống kê'!$C$3:$M$682,4,0)</f>
        <v>59500</v>
      </c>
      <c r="E3105" s="438">
        <v>1</v>
      </c>
      <c r="F3105" s="439">
        <f t="shared" si="12"/>
        <v>59500</v>
      </c>
      <c r="G3105" s="440"/>
      <c r="H3105" s="450"/>
    </row>
    <row r="3106" spans="1:8" ht="13.2">
      <c r="A3106" s="454" t="s">
        <v>1622</v>
      </c>
      <c r="B3106" s="452" t="str">
        <f>VLOOKUP(A3106,'Thống kê'!$C$3:$D$669,2,0)</f>
        <v>Mô hình mèo 1</v>
      </c>
      <c r="C3106" s="436" t="str">
        <f>VLOOKUP(A3106,'Thống kê'!$C$3:$E$682,3,0)</f>
        <v>cái</v>
      </c>
      <c r="D3106" s="437">
        <f>VLOOKUP(A3106,'Thống kê'!$C$3:$M$682,4,0)</f>
        <v>37800</v>
      </c>
      <c r="E3106" s="438">
        <v>1</v>
      </c>
      <c r="F3106" s="439">
        <f t="shared" si="12"/>
        <v>37800</v>
      </c>
      <c r="G3106" s="440"/>
      <c r="H3106" s="447">
        <v>88970</v>
      </c>
    </row>
    <row r="3107" spans="1:8" ht="13.2">
      <c r="A3107" s="454" t="s">
        <v>1621</v>
      </c>
      <c r="B3107" s="452" t="str">
        <f>VLOOKUP(A3107,'Thống kê'!$C$3:$D$669,2,0)</f>
        <v>Mô hình mèo 2</v>
      </c>
      <c r="C3107" s="436" t="str">
        <f>VLOOKUP(A3107,'Thống kê'!$C$3:$E$682,3,0)</f>
        <v>cái</v>
      </c>
      <c r="D3107" s="437">
        <f>VLOOKUP(A3107,'Thống kê'!$C$3:$M$682,4,0)</f>
        <v>37800</v>
      </c>
      <c r="E3107" s="438">
        <v>1</v>
      </c>
      <c r="F3107" s="439">
        <f t="shared" si="12"/>
        <v>37800</v>
      </c>
      <c r="G3107" s="440"/>
      <c r="H3107" s="450"/>
    </row>
    <row r="3108" spans="1:8" ht="13.2">
      <c r="A3108" s="454" t="s">
        <v>1636</v>
      </c>
      <c r="B3108" s="452" t="str">
        <f>VLOOKUP(A3108,'Thống kê'!$C$3:$D$669,2,0)</f>
        <v>Mô hình mèo 3</v>
      </c>
      <c r="C3108" s="436" t="str">
        <f>VLOOKUP(A3108,'Thống kê'!$C$3:$E$682,3,0)</f>
        <v>cái</v>
      </c>
      <c r="D3108" s="437">
        <f>VLOOKUP(A3108,'Thống kê'!$C$3:$M$682,4,0)</f>
        <v>37800</v>
      </c>
      <c r="E3108" s="438">
        <v>1</v>
      </c>
      <c r="F3108" s="439">
        <f t="shared" si="12"/>
        <v>37800</v>
      </c>
      <c r="G3108" s="440"/>
      <c r="H3108" s="450"/>
    </row>
    <row r="3109" spans="1:8" ht="13.2">
      <c r="A3109" s="454" t="s">
        <v>150</v>
      </c>
      <c r="B3109" s="452" t="str">
        <f>VLOOKUP(A3109,'Thống kê'!$C$3:$D$669,2,0)</f>
        <v>Móc khóa có chuông</v>
      </c>
      <c r="C3109" s="436" t="str">
        <f>VLOOKUP(A3109,'Thống kê'!$C$3:$E$682,3,0)</f>
        <v>cái</v>
      </c>
      <c r="D3109" s="437">
        <f>VLOOKUP(A3109,'Thống kê'!$C$3:$M$682,4,0)</f>
        <v>59000</v>
      </c>
      <c r="E3109" s="438">
        <v>1</v>
      </c>
      <c r="F3109" s="439">
        <f t="shared" si="12"/>
        <v>59000</v>
      </c>
      <c r="G3109" s="440"/>
      <c r="H3109" s="448">
        <v>43542</v>
      </c>
    </row>
    <row r="3110" spans="1:8" ht="13.2">
      <c r="A3110" s="454" t="s">
        <v>150</v>
      </c>
      <c r="B3110" s="452" t="str">
        <f>VLOOKUP(A3110,'Thống kê'!$C$3:$D$669,2,0)</f>
        <v>Móc khóa có chuông</v>
      </c>
      <c r="C3110" s="436" t="str">
        <f>VLOOKUP(A3110,'Thống kê'!$C$3:$E$682,3,0)</f>
        <v>cái</v>
      </c>
      <c r="D3110" s="437">
        <f>VLOOKUP(A3110,'Thống kê'!$C$3:$M$682,4,0)</f>
        <v>59000</v>
      </c>
      <c r="E3110" s="438">
        <v>1</v>
      </c>
      <c r="F3110" s="439">
        <f t="shared" si="12"/>
        <v>59000</v>
      </c>
      <c r="G3110" s="440"/>
      <c r="H3110" s="448">
        <v>43542</v>
      </c>
    </row>
    <row r="3111" spans="1:8" ht="13.2">
      <c r="A3111" s="454" t="s">
        <v>145</v>
      </c>
      <c r="B3111" s="452" t="str">
        <f>VLOOKUP(A3111,'Thống kê'!$C$3:$D$669,2,0)</f>
        <v>Thỏ đi vịt gắn xe</v>
      </c>
      <c r="C3111" s="436" t="str">
        <f>VLOOKUP(A3111,'Thống kê'!$C$3:$E$682,3,0)</f>
        <v>cái</v>
      </c>
      <c r="D3111" s="437">
        <f>VLOOKUP(A3111,'Thống kê'!$C$3:$M$682,4,0)</f>
        <v>45000</v>
      </c>
      <c r="E3111" s="438">
        <v>1</v>
      </c>
      <c r="F3111" s="439">
        <f t="shared" si="12"/>
        <v>45000</v>
      </c>
      <c r="G3111" s="440"/>
      <c r="H3111" s="447">
        <v>58302</v>
      </c>
    </row>
    <row r="3112" spans="1:8" ht="13.2">
      <c r="A3112" s="454" t="s">
        <v>119</v>
      </c>
      <c r="B3112" s="452" t="str">
        <f>VLOOKUP(A3112,'Thống kê'!$C$3:$D$669,2,0)</f>
        <v>Thỏ chạy xe gắn xe</v>
      </c>
      <c r="C3112" s="436" t="str">
        <f>VLOOKUP(A3112,'Thống kê'!$C$3:$E$682,3,0)</f>
        <v>cái</v>
      </c>
      <c r="D3112" s="437">
        <f>VLOOKUP(A3112,'Thống kê'!$C$3:$M$682,4,0)</f>
        <v>45000</v>
      </c>
      <c r="E3112" s="438">
        <v>1</v>
      </c>
      <c r="F3112" s="439">
        <f t="shared" si="12"/>
        <v>45000</v>
      </c>
      <c r="G3112" s="440"/>
      <c r="H3112" s="450"/>
    </row>
    <row r="3113" spans="1:8" ht="13.2">
      <c r="A3113" s="454" t="s">
        <v>1632</v>
      </c>
      <c r="B3113" s="452" t="str">
        <f>VLOOKUP(A3113,'Thống kê'!$C$3:$D$669,2,0)</f>
        <v>Móc khóa đôi mèo trắng</v>
      </c>
      <c r="C3113" s="436" t="str">
        <f>VLOOKUP(A3113,'Thống kê'!$C$3:$E$682,3,0)</f>
        <v>cái</v>
      </c>
      <c r="D3113" s="437">
        <f>VLOOKUP(A3113,'Thống kê'!$C$3:$M$682,4,0)</f>
        <v>59000</v>
      </c>
      <c r="E3113" s="438">
        <v>1</v>
      </c>
      <c r="F3113" s="439">
        <f t="shared" si="12"/>
        <v>59000</v>
      </c>
      <c r="G3113" s="440"/>
      <c r="H3113" s="448">
        <v>43142</v>
      </c>
    </row>
    <row r="3114" spans="1:8" ht="13.2">
      <c r="A3114" s="454" t="s">
        <v>1588</v>
      </c>
      <c r="B3114" s="452" t="str">
        <f>VLOOKUP(A3114,'Thống kê'!$C$3:$D$669,2,0)</f>
        <v>Heo ú hoa</v>
      </c>
      <c r="C3114" s="436" t="str">
        <f>VLOOKUP(A3114,'Thống kê'!$C$3:$E$682,3,0)</f>
        <v>cái</v>
      </c>
      <c r="D3114" s="437">
        <f>VLOOKUP(A3114,'Thống kê'!$C$3:$M$682,4,0)</f>
        <v>64500</v>
      </c>
      <c r="E3114" s="438">
        <v>1</v>
      </c>
      <c r="F3114" s="439">
        <f t="shared" si="12"/>
        <v>64500</v>
      </c>
      <c r="G3114" s="440"/>
      <c r="H3114" s="448">
        <v>46775</v>
      </c>
    </row>
    <row r="3115" spans="1:8" ht="13.2">
      <c r="A3115" s="454" t="s">
        <v>2023</v>
      </c>
      <c r="B3115" s="452" t="str">
        <f>VLOOKUP(A3115,'Thống kê'!$C$3:$D$669,2,0)</f>
        <v>Túi chườm bụng gấu nâu 500ml</v>
      </c>
      <c r="C3115" s="436" t="str">
        <f>VLOOKUP(A3115,'Thống kê'!$C$3:$E$682,3,0)</f>
        <v>túi</v>
      </c>
      <c r="D3115" s="437">
        <f>VLOOKUP(A3115,'Thống kê'!$C$3:$M$682,4,0)</f>
        <v>81000</v>
      </c>
      <c r="E3115" s="438">
        <v>1</v>
      </c>
      <c r="F3115" s="439">
        <f t="shared" ref="F3115:F3369" si="13">D3115*E3115</f>
        <v>81000</v>
      </c>
      <c r="G3115" s="440"/>
      <c r="H3115" s="448">
        <v>59860</v>
      </c>
    </row>
    <row r="3116" spans="1:8" ht="13.2">
      <c r="A3116" s="454" t="s">
        <v>150</v>
      </c>
      <c r="B3116" s="452" t="str">
        <f>VLOOKUP(A3116,'Thống kê'!$C$3:$D$669,2,0)</f>
        <v>Móc khóa có chuông</v>
      </c>
      <c r="C3116" s="436" t="str">
        <f>VLOOKUP(A3116,'Thống kê'!$C$3:$E$682,3,0)</f>
        <v>cái</v>
      </c>
      <c r="D3116" s="437">
        <f>VLOOKUP(A3116,'Thống kê'!$C$3:$M$682,4,0)</f>
        <v>59000</v>
      </c>
      <c r="E3116" s="438">
        <v>1</v>
      </c>
      <c r="F3116" s="439">
        <f t="shared" si="13"/>
        <v>59000</v>
      </c>
      <c r="G3116" s="440"/>
      <c r="H3116" s="448">
        <v>43542</v>
      </c>
    </row>
    <row r="3117" spans="1:8" ht="13.2">
      <c r="A3117" s="454" t="s">
        <v>1624</v>
      </c>
      <c r="B3117" s="452" t="str">
        <f>VLOOKUP(A3117,'Thống kê'!$C$3:$D$669,2,0)</f>
        <v>Móc khóa mèo trái tim</v>
      </c>
      <c r="C3117" s="436" t="str">
        <f>VLOOKUP(A3117,'Thống kê'!$C$3:$E$682,3,0)</f>
        <v>cái</v>
      </c>
      <c r="D3117" s="437">
        <f>VLOOKUP(A3117,'Thống kê'!$C$3:$M$682,4,0)</f>
        <v>59000</v>
      </c>
      <c r="E3117" s="438">
        <v>1</v>
      </c>
      <c r="F3117" s="439">
        <f t="shared" si="13"/>
        <v>59000</v>
      </c>
      <c r="G3117" s="440"/>
      <c r="H3117" s="448">
        <v>43542</v>
      </c>
    </row>
    <row r="3118" spans="1:8" ht="13.2">
      <c r="A3118" s="454" t="s">
        <v>150</v>
      </c>
      <c r="B3118" s="452" t="str">
        <f>VLOOKUP(A3118,'Thống kê'!$C$3:$D$669,2,0)</f>
        <v>Móc khóa có chuông</v>
      </c>
      <c r="C3118" s="436" t="str">
        <f>VLOOKUP(A3118,'Thống kê'!$C$3:$E$682,3,0)</f>
        <v>cái</v>
      </c>
      <c r="D3118" s="437">
        <f>VLOOKUP(A3118,'Thống kê'!$C$3:$M$682,4,0)</f>
        <v>59000</v>
      </c>
      <c r="E3118" s="438">
        <v>1</v>
      </c>
      <c r="F3118" s="439">
        <f t="shared" si="13"/>
        <v>59000</v>
      </c>
      <c r="G3118" s="440"/>
      <c r="H3118" s="448">
        <v>43542</v>
      </c>
    </row>
    <row r="3119" spans="1:8" ht="13.2">
      <c r="A3119" s="454" t="s">
        <v>1624</v>
      </c>
      <c r="B3119" s="452" t="str">
        <f>VLOOKUP(A3119,'Thống kê'!$C$3:$D$669,2,0)</f>
        <v>Móc khóa mèo trái tim</v>
      </c>
      <c r="C3119" s="436" t="str">
        <f>VLOOKUP(A3119,'Thống kê'!$C$3:$E$682,3,0)</f>
        <v>cái</v>
      </c>
      <c r="D3119" s="437">
        <f>VLOOKUP(A3119,'Thống kê'!$C$3:$M$682,4,0)</f>
        <v>59000</v>
      </c>
      <c r="E3119" s="438">
        <v>1</v>
      </c>
      <c r="F3119" s="439">
        <f t="shared" si="13"/>
        <v>59000</v>
      </c>
      <c r="G3119" s="440"/>
      <c r="H3119" s="448">
        <v>43542</v>
      </c>
    </row>
    <row r="3120" spans="1:8" ht="13.2">
      <c r="A3120" s="454" t="s">
        <v>150</v>
      </c>
      <c r="B3120" s="452" t="str">
        <f>VLOOKUP(A3120,'Thống kê'!$C$3:$D$669,2,0)</f>
        <v>Móc khóa có chuông</v>
      </c>
      <c r="C3120" s="436" t="str">
        <f>VLOOKUP(A3120,'Thống kê'!$C$3:$E$682,3,0)</f>
        <v>cái</v>
      </c>
      <c r="D3120" s="437">
        <f>VLOOKUP(A3120,'Thống kê'!$C$3:$M$682,4,0)</f>
        <v>59000</v>
      </c>
      <c r="E3120" s="438">
        <v>1</v>
      </c>
      <c r="F3120" s="439">
        <f t="shared" si="13"/>
        <v>59000</v>
      </c>
      <c r="G3120" s="440"/>
      <c r="H3120" s="448">
        <v>43542</v>
      </c>
    </row>
    <row r="3121" spans="1:8" ht="13.2">
      <c r="A3121" s="454" t="s">
        <v>1640</v>
      </c>
      <c r="B3121" s="452" t="str">
        <f>VLOOKUP(A3121,'Thống kê'!$C$3:$D$669,2,0)</f>
        <v>Móc khóa đôi Capypara</v>
      </c>
      <c r="C3121" s="436" t="str">
        <f>VLOOKUP(A3121,'Thống kê'!$C$3:$E$682,3,0)</f>
        <v>cái</v>
      </c>
      <c r="D3121" s="437">
        <f>VLOOKUP(A3121,'Thống kê'!$C$3:$M$682,4,0)</f>
        <v>59000</v>
      </c>
      <c r="E3121" s="438">
        <v>1</v>
      </c>
      <c r="F3121" s="439">
        <f t="shared" si="13"/>
        <v>59000</v>
      </c>
      <c r="G3121" s="440"/>
      <c r="H3121" s="448">
        <v>42892</v>
      </c>
    </row>
    <row r="3122" spans="1:8" ht="13.2">
      <c r="A3122" s="454" t="s">
        <v>325</v>
      </c>
      <c r="B3122" s="452" t="str">
        <f>VLOOKUP(A3122,'Thống kê'!$C$3:$D$669,2,0)</f>
        <v>Gấu ú</v>
      </c>
      <c r="C3122" s="436" t="str">
        <f>VLOOKUP(A3122,'Thống kê'!$C$3:$E$682,3,0)</f>
        <v>cái</v>
      </c>
      <c r="D3122" s="437">
        <f>VLOOKUP(A3122,'Thống kê'!$C$3:$M$682,4,0)</f>
        <v>59500</v>
      </c>
      <c r="E3122" s="438">
        <v>1</v>
      </c>
      <c r="F3122" s="439">
        <f t="shared" si="13"/>
        <v>59500</v>
      </c>
      <c r="G3122" s="440"/>
      <c r="H3122" s="448">
        <v>43910</v>
      </c>
    </row>
    <row r="3123" spans="1:8" ht="13.2">
      <c r="A3123" s="454" t="s">
        <v>115</v>
      </c>
      <c r="B3123" s="452" t="str">
        <f>VLOOKUP(A3123,'Thống kê'!$C$3:$D$669,2,0)</f>
        <v>Heo ú</v>
      </c>
      <c r="C3123" s="436" t="str">
        <f>VLOOKUP(A3123,'Thống kê'!$C$3:$E$682,3,0)</f>
        <v>cái</v>
      </c>
      <c r="D3123" s="437">
        <f>VLOOKUP(A3123,'Thống kê'!$C$3:$M$682,4,0)</f>
        <v>59500</v>
      </c>
      <c r="E3123" s="438">
        <v>1</v>
      </c>
      <c r="F3123" s="439">
        <f t="shared" si="13"/>
        <v>59500</v>
      </c>
      <c r="G3123" s="440"/>
      <c r="H3123" s="448">
        <v>56260</v>
      </c>
    </row>
    <row r="3124" spans="1:8" ht="13.2">
      <c r="A3124" s="454" t="s">
        <v>115</v>
      </c>
      <c r="B3124" s="452" t="str">
        <f>VLOOKUP(A3124,'Thống kê'!$C$3:$D$669,2,0)</f>
        <v>Heo ú</v>
      </c>
      <c r="C3124" s="436" t="str">
        <f>VLOOKUP(A3124,'Thống kê'!$C$3:$E$682,3,0)</f>
        <v>cái</v>
      </c>
      <c r="D3124" s="437">
        <f>VLOOKUP(A3124,'Thống kê'!$C$3:$M$682,4,0)</f>
        <v>59500</v>
      </c>
      <c r="E3124" s="438">
        <v>1</v>
      </c>
      <c r="F3124" s="439">
        <f t="shared" si="13"/>
        <v>59500</v>
      </c>
      <c r="G3124" s="440"/>
      <c r="H3124" s="447">
        <v>91020</v>
      </c>
    </row>
    <row r="3125" spans="1:8" ht="13.2">
      <c r="A3125" s="454" t="s">
        <v>1591</v>
      </c>
      <c r="B3125" s="452" t="str">
        <f>VLOOKUP(A3125,'Thống kê'!$C$3:$D$669,2,0)</f>
        <v>Thỏ ú</v>
      </c>
      <c r="C3125" s="436" t="str">
        <f>VLOOKUP(A3125,'Thống kê'!$C$3:$E$682,3,0)</f>
        <v>cái</v>
      </c>
      <c r="D3125" s="437">
        <f>VLOOKUP(A3125,'Thống kê'!$C$3:$M$682,4,0)</f>
        <v>59500</v>
      </c>
      <c r="E3125" s="438">
        <v>1</v>
      </c>
      <c r="F3125" s="439">
        <f t="shared" si="13"/>
        <v>59500</v>
      </c>
      <c r="G3125" s="440"/>
      <c r="H3125" s="450"/>
    </row>
    <row r="3126" spans="1:8" ht="13.2">
      <c r="A3126" s="454" t="s">
        <v>1340</v>
      </c>
      <c r="B3126" s="452" t="str">
        <f>VLOOKUP(A3126,'Thống kê'!$C$3:$D$669,2,0)</f>
        <v>Móc khóa chuối</v>
      </c>
      <c r="C3126" s="436" t="str">
        <f>VLOOKUP(A3126,'Thống kê'!$C$3:$E$682,3,0)</f>
        <v>cái</v>
      </c>
      <c r="D3126" s="437">
        <f>VLOOKUP(A3126,'Thống kê'!$C$3:$M$682,4,0)</f>
        <v>148000</v>
      </c>
      <c r="E3126" s="438">
        <v>1</v>
      </c>
      <c r="F3126" s="439">
        <f t="shared" si="13"/>
        <v>148000</v>
      </c>
      <c r="G3126" s="440"/>
      <c r="H3126" s="448">
        <v>68880</v>
      </c>
    </row>
    <row r="3127" spans="1:8" ht="13.2">
      <c r="A3127" s="454" t="s">
        <v>145</v>
      </c>
      <c r="B3127" s="452" t="str">
        <f>VLOOKUP(A3127,'Thống kê'!$C$3:$D$669,2,0)</f>
        <v>Thỏ đi vịt gắn xe</v>
      </c>
      <c r="C3127" s="436" t="str">
        <f>VLOOKUP(A3127,'Thống kê'!$C$3:$E$682,3,0)</f>
        <v>cái</v>
      </c>
      <c r="D3127" s="437">
        <f>VLOOKUP(A3127,'Thống kê'!$C$3:$M$682,4,0)</f>
        <v>45000</v>
      </c>
      <c r="E3127" s="438">
        <v>1</v>
      </c>
      <c r="F3127" s="439">
        <f t="shared" si="13"/>
        <v>45000</v>
      </c>
      <c r="G3127" s="440"/>
      <c r="H3127" s="447">
        <v>58302</v>
      </c>
    </row>
    <row r="3128" spans="1:8" ht="13.2">
      <c r="A3128" s="454" t="s">
        <v>119</v>
      </c>
      <c r="B3128" s="452" t="str">
        <f>VLOOKUP(A3128,'Thống kê'!$C$3:$D$669,2,0)</f>
        <v>Thỏ chạy xe gắn xe</v>
      </c>
      <c r="C3128" s="436" t="str">
        <f>VLOOKUP(A3128,'Thống kê'!$C$3:$E$682,3,0)</f>
        <v>cái</v>
      </c>
      <c r="D3128" s="437">
        <f>VLOOKUP(A3128,'Thống kê'!$C$3:$M$682,4,0)</f>
        <v>45000</v>
      </c>
      <c r="E3128" s="438">
        <v>1</v>
      </c>
      <c r="F3128" s="439">
        <f t="shared" si="13"/>
        <v>45000</v>
      </c>
      <c r="G3128" s="440"/>
      <c r="H3128" s="450"/>
    </row>
    <row r="3129" spans="1:8" ht="13.2">
      <c r="A3129" s="454" t="s">
        <v>2070</v>
      </c>
      <c r="B3129" s="452" t="str">
        <f>VLOOKUP(A3129,'Thống kê'!$C$3:$D$669,2,0)</f>
        <v>Kẹp tóc nhựa kem</v>
      </c>
      <c r="C3129" s="436" t="str">
        <f>VLOOKUP(A3129,'Thống kê'!$C$3:$E$682,3,0)</f>
        <v>cái</v>
      </c>
      <c r="D3129" s="437">
        <f>VLOOKUP(A3129,'Thống kê'!$C$3:$M$682,4,0)</f>
        <v>13000</v>
      </c>
      <c r="E3129" s="438">
        <v>1</v>
      </c>
      <c r="F3129" s="439">
        <f t="shared" si="13"/>
        <v>13000</v>
      </c>
      <c r="G3129" s="440"/>
      <c r="H3129" s="447">
        <v>107354</v>
      </c>
    </row>
    <row r="3130" spans="1:8" ht="13.2">
      <c r="A3130" s="454" t="s">
        <v>236</v>
      </c>
      <c r="B3130" s="452" t="str">
        <f>VLOOKUP(A3130,'Thống kê'!$C$3:$D$669,2,0)</f>
        <v>Cài tóc nâu</v>
      </c>
      <c r="C3130" s="436" t="str">
        <f>VLOOKUP(A3130,'Thống kê'!$C$3:$E$682,3,0)</f>
        <v>cái</v>
      </c>
      <c r="D3130" s="437">
        <f>VLOOKUP(A3130,'Thống kê'!$C$3:$M$682,4,0)</f>
        <v>21000</v>
      </c>
      <c r="E3130" s="438">
        <v>1</v>
      </c>
      <c r="F3130" s="439">
        <f t="shared" si="13"/>
        <v>21000</v>
      </c>
      <c r="G3130" s="440"/>
      <c r="H3130" s="450"/>
    </row>
    <row r="3131" spans="1:8" ht="13.2">
      <c r="A3131" s="454" t="s">
        <v>1351</v>
      </c>
      <c r="B3131" s="452" t="str">
        <f>VLOOKUP(A3131,'Thống kê'!$C$3:$D$669,2,0)</f>
        <v>Trang trí mô hình Heo</v>
      </c>
      <c r="C3131" s="436" t="str">
        <f>VLOOKUP(A3131,'Thống kê'!$C$3:$E$682,3,0)</f>
        <v>cái</v>
      </c>
      <c r="D3131" s="437">
        <f>VLOOKUP(A3131,'Thống kê'!$C$3:$M$682,4,0)</f>
        <v>39000</v>
      </c>
      <c r="E3131" s="438">
        <v>1</v>
      </c>
      <c r="F3131" s="439">
        <f t="shared" si="13"/>
        <v>39000</v>
      </c>
      <c r="G3131" s="440"/>
      <c r="H3131" s="450"/>
    </row>
    <row r="3132" spans="1:8" ht="13.2">
      <c r="A3132" s="454" t="s">
        <v>1353</v>
      </c>
      <c r="B3132" s="452" t="str">
        <f>VLOOKUP(A3132,'Thống kê'!$C$3:$D$669,2,0)</f>
        <v>Trang trí mô hình Vịt</v>
      </c>
      <c r="C3132" s="436" t="str">
        <f>VLOOKUP(A3132,'Thống kê'!$C$3:$E$682,3,0)</f>
        <v>cái</v>
      </c>
      <c r="D3132" s="437">
        <f>VLOOKUP(A3132,'Thống kê'!$C$3:$M$682,4,0)</f>
        <v>39000</v>
      </c>
      <c r="E3132" s="438">
        <v>1</v>
      </c>
      <c r="F3132" s="439">
        <f t="shared" si="13"/>
        <v>39000</v>
      </c>
      <c r="G3132" s="440"/>
      <c r="H3132" s="450"/>
    </row>
    <row r="3133" spans="1:8" ht="13.2">
      <c r="A3133" s="454" t="s">
        <v>1359</v>
      </c>
      <c r="B3133" s="452" t="str">
        <f>VLOOKUP(A3133,'Thống kê'!$C$3:$D$669,2,0)</f>
        <v>Trang trí mô hình Cún</v>
      </c>
      <c r="C3133" s="436" t="str">
        <f>VLOOKUP(A3133,'Thống kê'!$C$3:$E$682,3,0)</f>
        <v>cái</v>
      </c>
      <c r="D3133" s="437">
        <f>VLOOKUP(A3133,'Thống kê'!$C$3:$M$682,4,0)</f>
        <v>39000</v>
      </c>
      <c r="E3133" s="438">
        <v>1</v>
      </c>
      <c r="F3133" s="439">
        <f t="shared" si="13"/>
        <v>39000</v>
      </c>
      <c r="G3133" s="440"/>
      <c r="H3133" s="450"/>
    </row>
    <row r="3134" spans="1:8" ht="13.2">
      <c r="A3134" s="454" t="s">
        <v>1351</v>
      </c>
      <c r="B3134" s="452" t="str">
        <f>VLOOKUP(A3134,'Thống kê'!$C$3:$D$669,2,0)</f>
        <v>Trang trí mô hình Heo</v>
      </c>
      <c r="C3134" s="436" t="str">
        <f>VLOOKUP(A3134,'Thống kê'!$C$3:$E$682,3,0)</f>
        <v>cái</v>
      </c>
      <c r="D3134" s="437">
        <f>VLOOKUP(A3134,'Thống kê'!$C$3:$M$682,4,0)</f>
        <v>39000</v>
      </c>
      <c r="E3134" s="438">
        <v>1</v>
      </c>
      <c r="F3134" s="439">
        <f t="shared" si="13"/>
        <v>39000</v>
      </c>
      <c r="G3134" s="440"/>
      <c r="H3134" s="447">
        <v>1136750</v>
      </c>
    </row>
    <row r="3135" spans="1:8" ht="13.2">
      <c r="A3135" s="454" t="s">
        <v>310</v>
      </c>
      <c r="B3135" s="452" t="str">
        <f>VLOOKUP(A3135,'Thống kê'!$C$3:$D$669,2,0)</f>
        <v>Trang trí mô hình Heo</v>
      </c>
      <c r="C3135" s="436" t="str">
        <f>VLOOKUP(A3135,'Thống kê'!$C$3:$E$682,3,0)</f>
        <v>cái</v>
      </c>
      <c r="D3135" s="437">
        <f>VLOOKUP(A3135,'Thống kê'!$C$3:$M$682,4,0)</f>
        <v>39000</v>
      </c>
      <c r="E3135" s="438">
        <v>1</v>
      </c>
      <c r="F3135" s="439">
        <f t="shared" si="13"/>
        <v>39000</v>
      </c>
      <c r="G3135" s="440"/>
      <c r="H3135" s="450"/>
    </row>
    <row r="3136" spans="1:8" ht="13.2">
      <c r="A3136" s="454" t="s">
        <v>1355</v>
      </c>
      <c r="B3136" s="452" t="str">
        <f>VLOOKUP(A3136,'Thống kê'!$C$3:$D$669,2,0)</f>
        <v>Trang trí mô hình Gấu</v>
      </c>
      <c r="C3136" s="436" t="str">
        <f>VLOOKUP(A3136,'Thống kê'!$C$3:$E$682,3,0)</f>
        <v>cái</v>
      </c>
      <c r="D3136" s="437">
        <f>VLOOKUP(A3136,'Thống kê'!$C$3:$M$682,4,0)</f>
        <v>39000</v>
      </c>
      <c r="E3136" s="438">
        <v>1</v>
      </c>
      <c r="F3136" s="439">
        <f t="shared" si="13"/>
        <v>39000</v>
      </c>
      <c r="G3136" s="440"/>
      <c r="H3136" s="450"/>
    </row>
    <row r="3137" spans="1:8" ht="13.2">
      <c r="A3137" s="454" t="s">
        <v>1359</v>
      </c>
      <c r="B3137" s="452" t="str">
        <f>VLOOKUP(A3137,'Thống kê'!$C$3:$D$669,2,0)</f>
        <v>Trang trí mô hình Cún</v>
      </c>
      <c r="C3137" s="436" t="str">
        <f>VLOOKUP(A3137,'Thống kê'!$C$3:$E$682,3,0)</f>
        <v>cái</v>
      </c>
      <c r="D3137" s="437">
        <f>VLOOKUP(A3137,'Thống kê'!$C$3:$M$682,4,0)</f>
        <v>39000</v>
      </c>
      <c r="E3137" s="438">
        <v>1</v>
      </c>
      <c r="F3137" s="439">
        <f t="shared" si="13"/>
        <v>39000</v>
      </c>
      <c r="G3137" s="440"/>
      <c r="H3137" s="450"/>
    </row>
    <row r="3138" spans="1:8" ht="13.2">
      <c r="A3138" s="454" t="s">
        <v>1335</v>
      </c>
      <c r="B3138" s="452" t="str">
        <f>VLOOKUP(A3138,'Thống kê'!$C$3:$D$669,2,0)</f>
        <v>Móc khóa Popbean</v>
      </c>
      <c r="C3138" s="436" t="str">
        <f>VLOOKUP(A3138,'Thống kê'!$C$3:$E$682,3,0)</f>
        <v>cái</v>
      </c>
      <c r="D3138" s="437">
        <f>VLOOKUP(A3138,'Thống kê'!$C$3:$M$682,4,0)</f>
        <v>148000</v>
      </c>
      <c r="E3138" s="438">
        <v>1</v>
      </c>
      <c r="F3138" s="439">
        <f t="shared" si="13"/>
        <v>148000</v>
      </c>
      <c r="G3138" s="440"/>
      <c r="H3138" s="450"/>
    </row>
    <row r="3139" spans="1:8" ht="13.2">
      <c r="A3139" s="454" t="s">
        <v>1367</v>
      </c>
      <c r="B3139" s="452" t="str">
        <f>VLOOKUP(A3139,'Thống kê'!$C$3:$D$669,2,0)</f>
        <v>Móc khóa Popbean</v>
      </c>
      <c r="C3139" s="436" t="str">
        <f>VLOOKUP(A3139,'Thống kê'!$C$3:$E$682,3,0)</f>
        <v>cái</v>
      </c>
      <c r="D3139" s="437">
        <f>VLOOKUP(A3139,'Thống kê'!$C$3:$M$682,4,0)</f>
        <v>148000</v>
      </c>
      <c r="E3139" s="438">
        <v>1</v>
      </c>
      <c r="F3139" s="439">
        <f t="shared" si="13"/>
        <v>148000</v>
      </c>
      <c r="G3139" s="440"/>
      <c r="H3139" s="450"/>
    </row>
    <row r="3140" spans="1:8" ht="13.2">
      <c r="A3140" s="454" t="s">
        <v>1365</v>
      </c>
      <c r="B3140" s="452" t="str">
        <f>VLOOKUP(A3140,'Thống kê'!$C$3:$D$669,2,0)</f>
        <v>Móc khóa Popbean</v>
      </c>
      <c r="C3140" s="436" t="str">
        <f>VLOOKUP(A3140,'Thống kê'!$C$3:$E$682,3,0)</f>
        <v>cái</v>
      </c>
      <c r="D3140" s="437">
        <f>VLOOKUP(A3140,'Thống kê'!$C$3:$M$682,4,0)</f>
        <v>148000</v>
      </c>
      <c r="E3140" s="438">
        <v>1</v>
      </c>
      <c r="F3140" s="439">
        <f t="shared" si="13"/>
        <v>148000</v>
      </c>
      <c r="G3140" s="440"/>
      <c r="H3140" s="450"/>
    </row>
    <row r="3141" spans="1:8" ht="13.2">
      <c r="A3141" s="454" t="s">
        <v>1366</v>
      </c>
      <c r="B3141" s="452" t="str">
        <f>VLOOKUP(A3141,'Thống kê'!$C$3:$D$669,2,0)</f>
        <v>Móc khóa Popbean</v>
      </c>
      <c r="C3141" s="436" t="str">
        <f>VLOOKUP(A3141,'Thống kê'!$C$3:$E$682,3,0)</f>
        <v>cái</v>
      </c>
      <c r="D3141" s="437">
        <f>VLOOKUP(A3141,'Thống kê'!$C$3:$M$682,4,0)</f>
        <v>148000</v>
      </c>
      <c r="E3141" s="438">
        <v>1</v>
      </c>
      <c r="F3141" s="439">
        <f t="shared" si="13"/>
        <v>148000</v>
      </c>
      <c r="G3141" s="440"/>
      <c r="H3141" s="450"/>
    </row>
    <row r="3142" spans="1:8" ht="13.2">
      <c r="A3142" s="454" t="s">
        <v>1364</v>
      </c>
      <c r="B3142" s="452" t="str">
        <f>VLOOKUP(A3142,'Thống kê'!$C$3:$D$669,2,0)</f>
        <v>Móc khóa Popbean</v>
      </c>
      <c r="C3142" s="436" t="str">
        <f>VLOOKUP(A3142,'Thống kê'!$C$3:$E$682,3,0)</f>
        <v>cái</v>
      </c>
      <c r="D3142" s="437">
        <f>VLOOKUP(A3142,'Thống kê'!$C$3:$M$682,4,0)</f>
        <v>148000</v>
      </c>
      <c r="E3142" s="438">
        <v>1</v>
      </c>
      <c r="F3142" s="439">
        <f t="shared" si="13"/>
        <v>148000</v>
      </c>
      <c r="G3142" s="440"/>
      <c r="H3142" s="450"/>
    </row>
    <row r="3143" spans="1:8" ht="13.2">
      <c r="A3143" s="454" t="s">
        <v>245</v>
      </c>
      <c r="B3143" s="452" t="str">
        <f>VLOOKUP(A3143,'Thống kê'!$C$3:$D$669,2,0)</f>
        <v>Móc khóa Popbean</v>
      </c>
      <c r="C3143" s="436" t="str">
        <f>VLOOKUP(A3143,'Thống kê'!$C$3:$E$682,3,0)</f>
        <v>cái</v>
      </c>
      <c r="D3143" s="437">
        <f>VLOOKUP(A3143,'Thống kê'!$C$3:$M$682,4,0)</f>
        <v>148000</v>
      </c>
      <c r="E3143" s="438">
        <v>1</v>
      </c>
      <c r="F3143" s="439">
        <f t="shared" si="13"/>
        <v>148000</v>
      </c>
      <c r="G3143" s="440"/>
      <c r="H3143" s="450"/>
    </row>
    <row r="3144" spans="1:8" ht="13.2">
      <c r="A3144" s="454" t="s">
        <v>1664</v>
      </c>
      <c r="B3144" s="452" t="str">
        <f>VLOOKUP(A3144,'Thống kê'!$C$3:$D$669,2,0)</f>
        <v>Móc khóa Popbean Lilios</v>
      </c>
      <c r="C3144" s="436" t="str">
        <f>VLOOKUP(A3144,'Thống kê'!$C$3:$E$682,3,0)</f>
        <v>cái</v>
      </c>
      <c r="D3144" s="437">
        <f>VLOOKUP(A3144,'Thống kê'!$C$3:$M$682,4,0)</f>
        <v>148000</v>
      </c>
      <c r="E3144" s="438">
        <v>1</v>
      </c>
      <c r="F3144" s="439">
        <f t="shared" si="13"/>
        <v>148000</v>
      </c>
      <c r="G3144" s="440"/>
      <c r="H3144" s="450"/>
    </row>
    <row r="3145" spans="1:8" ht="13.2">
      <c r="A3145" s="454" t="s">
        <v>1368</v>
      </c>
      <c r="B3145" s="452" t="str">
        <f>VLOOKUP(A3145,'Thống kê'!$C$3:$D$669,2,0)</f>
        <v>Móc khóa Popbean</v>
      </c>
      <c r="C3145" s="436" t="str">
        <f>VLOOKUP(A3145,'Thống kê'!$C$3:$E$682,3,0)</f>
        <v>cái</v>
      </c>
      <c r="D3145" s="437">
        <f>VLOOKUP(A3145,'Thống kê'!$C$3:$M$682,4,0)</f>
        <v>148000</v>
      </c>
      <c r="E3145" s="438">
        <v>1</v>
      </c>
      <c r="F3145" s="439">
        <f t="shared" si="13"/>
        <v>148000</v>
      </c>
      <c r="G3145" s="440"/>
      <c r="H3145" s="450"/>
    </row>
    <row r="3146" spans="1:8" ht="13.2">
      <c r="A3146" s="454" t="s">
        <v>1624</v>
      </c>
      <c r="B3146" s="452" t="str">
        <f>VLOOKUP(A3146,'Thống kê'!$C$3:$D$669,2,0)</f>
        <v>Móc khóa mèo trái tim</v>
      </c>
      <c r="C3146" s="436" t="str">
        <f>VLOOKUP(A3146,'Thống kê'!$C$3:$E$682,3,0)</f>
        <v>cái</v>
      </c>
      <c r="D3146" s="437">
        <f>VLOOKUP(A3146,'Thống kê'!$C$3:$M$682,4,0)</f>
        <v>59000</v>
      </c>
      <c r="E3146" s="438">
        <v>-1</v>
      </c>
      <c r="F3146" s="439">
        <f t="shared" si="13"/>
        <v>-59000</v>
      </c>
      <c r="G3146" s="440"/>
      <c r="H3146" s="448">
        <v>-59000</v>
      </c>
    </row>
    <row r="3147" spans="1:8" ht="13.2">
      <c r="A3147" s="454" t="s">
        <v>1587</v>
      </c>
      <c r="B3147" s="452" t="str">
        <f>VLOOKUP(A3147,'Thống kê'!$C$3:$D$669,2,0)</f>
        <v>Vịt ú bay</v>
      </c>
      <c r="C3147" s="436" t="str">
        <f>VLOOKUP(A3147,'Thống kê'!$C$3:$E$682,3,0)</f>
        <v>cái</v>
      </c>
      <c r="D3147" s="437">
        <f>VLOOKUP(A3147,'Thống kê'!$C$3:$M$682,4,0)</f>
        <v>64500</v>
      </c>
      <c r="E3147" s="438">
        <v>-1</v>
      </c>
      <c r="F3147" s="439">
        <f t="shared" si="13"/>
        <v>-64500</v>
      </c>
      <c r="G3147" s="440"/>
      <c r="H3147" s="447">
        <v>-97080</v>
      </c>
    </row>
    <row r="3148" spans="1:8" ht="13.2">
      <c r="A3148" s="454" t="s">
        <v>115</v>
      </c>
      <c r="B3148" s="452" t="str">
        <f>VLOOKUP(A3148,'Thống kê'!$C$3:$D$669,2,0)</f>
        <v>Heo ú</v>
      </c>
      <c r="C3148" s="436" t="str">
        <f>VLOOKUP(A3148,'Thống kê'!$C$3:$E$682,3,0)</f>
        <v>cái</v>
      </c>
      <c r="D3148" s="437">
        <f>VLOOKUP(A3148,'Thống kê'!$C$3:$M$682,4,0)</f>
        <v>59500</v>
      </c>
      <c r="E3148" s="438">
        <v>-1</v>
      </c>
      <c r="F3148" s="439">
        <f t="shared" si="13"/>
        <v>-59500</v>
      </c>
      <c r="G3148" s="440"/>
      <c r="H3148" s="450"/>
    </row>
    <row r="3149" spans="1:8" ht="13.2">
      <c r="A3149" s="454" t="s">
        <v>1624</v>
      </c>
      <c r="B3149" s="452" t="str">
        <f>VLOOKUP(A3149,'Thống kê'!$C$3:$D$669,2,0)</f>
        <v>Móc khóa mèo trái tim</v>
      </c>
      <c r="C3149" s="436" t="str">
        <f>VLOOKUP(A3149,'Thống kê'!$C$3:$E$682,3,0)</f>
        <v>cái</v>
      </c>
      <c r="D3149" s="437">
        <f>VLOOKUP(A3149,'Thống kê'!$C$3:$M$682,4,0)</f>
        <v>59000</v>
      </c>
      <c r="E3149" s="438">
        <v>-1</v>
      </c>
      <c r="F3149" s="439">
        <f t="shared" si="13"/>
        <v>-59000</v>
      </c>
      <c r="G3149" s="440"/>
      <c r="H3149" s="448">
        <v>-59000</v>
      </c>
    </row>
    <row r="3150" spans="1:8" ht="13.2">
      <c r="A3150" s="454" t="s">
        <v>1594</v>
      </c>
      <c r="B3150" s="452" t="str">
        <f>VLOOKUP(A3150,'Thống kê'!$C$3:$D$669,2,0)</f>
        <v>Móc khóa đôi heo</v>
      </c>
      <c r="C3150" s="436" t="str">
        <f>VLOOKUP(A3150,'Thống kê'!$C$3:$E$682,3,0)</f>
        <v>cái</v>
      </c>
      <c r="D3150" s="437">
        <f>VLOOKUP(A3150,'Thống kê'!$C$3:$M$682,4,0)</f>
        <v>56580</v>
      </c>
      <c r="E3150" s="438">
        <v>-1</v>
      </c>
      <c r="F3150" s="439">
        <f t="shared" si="13"/>
        <v>-56580</v>
      </c>
      <c r="G3150" s="440"/>
      <c r="H3150" s="448">
        <v>-56580</v>
      </c>
    </row>
    <row r="3151" spans="1:8" ht="13.2">
      <c r="A3151" s="454" t="s">
        <v>143</v>
      </c>
      <c r="B3151" s="452" t="str">
        <f>VLOOKUP(A3151,'Thống kê'!$C$3:$D$669,2,0)</f>
        <v>Mèo ú</v>
      </c>
      <c r="C3151" s="436" t="str">
        <f>VLOOKUP(A3151,'Thống kê'!$C$3:$E$682,3,0)</f>
        <v>cái</v>
      </c>
      <c r="D3151" s="437">
        <f>VLOOKUP(A3151,'Thống kê'!$C$3:$M$682,4,0)</f>
        <v>59500</v>
      </c>
      <c r="E3151" s="438">
        <v>1</v>
      </c>
      <c r="F3151" s="439">
        <f t="shared" si="13"/>
        <v>59500</v>
      </c>
      <c r="G3151" s="440"/>
      <c r="H3151" s="447">
        <v>188795</v>
      </c>
    </row>
    <row r="3152" spans="1:8" ht="13.2">
      <c r="A3152" s="454" t="s">
        <v>115</v>
      </c>
      <c r="B3152" s="452" t="str">
        <f>VLOOKUP(A3152,'Thống kê'!$C$3:$D$669,2,0)</f>
        <v>Heo ú</v>
      </c>
      <c r="C3152" s="436" t="str">
        <f>VLOOKUP(A3152,'Thống kê'!$C$3:$E$682,3,0)</f>
        <v>cái</v>
      </c>
      <c r="D3152" s="437">
        <f>VLOOKUP(A3152,'Thống kê'!$C$3:$M$682,4,0)</f>
        <v>59500</v>
      </c>
      <c r="E3152" s="438">
        <v>1</v>
      </c>
      <c r="F3152" s="439">
        <f t="shared" si="13"/>
        <v>59500</v>
      </c>
      <c r="G3152" s="440"/>
      <c r="H3152" s="450"/>
    </row>
    <row r="3153" spans="1:8" ht="13.2">
      <c r="A3153" s="454" t="s">
        <v>1351</v>
      </c>
      <c r="B3153" s="452" t="str">
        <f>VLOOKUP(A3153,'Thống kê'!$C$3:$D$669,2,0)</f>
        <v>Trang trí mô hình Heo</v>
      </c>
      <c r="C3153" s="436" t="str">
        <f>VLOOKUP(A3153,'Thống kê'!$C$3:$E$682,3,0)</f>
        <v>cái</v>
      </c>
      <c r="D3153" s="437">
        <f>VLOOKUP(A3153,'Thống kê'!$C$3:$M$682,4,0)</f>
        <v>39000</v>
      </c>
      <c r="E3153" s="438">
        <v>1</v>
      </c>
      <c r="F3153" s="439">
        <f t="shared" si="13"/>
        <v>39000</v>
      </c>
      <c r="G3153" s="440"/>
      <c r="H3153" s="450"/>
    </row>
    <row r="3154" spans="1:8" ht="13.2">
      <c r="A3154" s="454" t="s">
        <v>310</v>
      </c>
      <c r="B3154" s="452" t="str">
        <f>VLOOKUP(A3154,'Thống kê'!$C$3:$D$669,2,0)</f>
        <v>Trang trí mô hình Heo</v>
      </c>
      <c r="C3154" s="436" t="str">
        <f>VLOOKUP(A3154,'Thống kê'!$C$3:$E$682,3,0)</f>
        <v>cái</v>
      </c>
      <c r="D3154" s="437">
        <f>VLOOKUP(A3154,'Thống kê'!$C$3:$M$682,4,0)</f>
        <v>39000</v>
      </c>
      <c r="E3154" s="438">
        <v>1</v>
      </c>
      <c r="F3154" s="439">
        <f t="shared" si="13"/>
        <v>39000</v>
      </c>
      <c r="G3154" s="440"/>
      <c r="H3154" s="450"/>
    </row>
    <row r="3155" spans="1:8" ht="13.2">
      <c r="A3155" s="454" t="s">
        <v>119</v>
      </c>
      <c r="B3155" s="452" t="str">
        <f>VLOOKUP(A3155,'Thống kê'!$C$3:$D$669,2,0)</f>
        <v>Thỏ chạy xe gắn xe</v>
      </c>
      <c r="C3155" s="436" t="str">
        <f>VLOOKUP(A3155,'Thống kê'!$C$3:$E$682,3,0)</f>
        <v>cái</v>
      </c>
      <c r="D3155" s="437">
        <f>VLOOKUP(A3155,'Thống kê'!$C$3:$M$682,4,0)</f>
        <v>45000</v>
      </c>
      <c r="E3155" s="438">
        <v>1</v>
      </c>
      <c r="F3155" s="439">
        <f t="shared" si="13"/>
        <v>45000</v>
      </c>
      <c r="G3155" s="440"/>
      <c r="H3155" s="448">
        <v>31440</v>
      </c>
    </row>
    <row r="3156" spans="1:8" ht="13.2">
      <c r="A3156" s="454" t="s">
        <v>1624</v>
      </c>
      <c r="B3156" s="452" t="str">
        <f>VLOOKUP(A3156,'Thống kê'!$C$3:$D$669,2,0)</f>
        <v>Móc khóa mèo trái tim</v>
      </c>
      <c r="C3156" s="436" t="str">
        <f>VLOOKUP(A3156,'Thống kê'!$C$3:$E$682,3,0)</f>
        <v>cái</v>
      </c>
      <c r="D3156" s="437">
        <f>VLOOKUP(A3156,'Thống kê'!$C$3:$M$682,4,0)</f>
        <v>59000</v>
      </c>
      <c r="E3156" s="438">
        <v>1</v>
      </c>
      <c r="F3156" s="439">
        <f t="shared" si="13"/>
        <v>59000</v>
      </c>
      <c r="G3156" s="440"/>
      <c r="H3156" s="448">
        <v>43542</v>
      </c>
    </row>
    <row r="3157" spans="1:8" ht="13.2">
      <c r="A3157" s="454" t="s">
        <v>143</v>
      </c>
      <c r="B3157" s="452" t="str">
        <f>VLOOKUP(A3157,'Thống kê'!$C$3:$D$669,2,0)</f>
        <v>Mèo ú</v>
      </c>
      <c r="C3157" s="436" t="str">
        <f>VLOOKUP(A3157,'Thống kê'!$C$3:$E$682,3,0)</f>
        <v>cái</v>
      </c>
      <c r="D3157" s="437">
        <f>VLOOKUP(A3157,'Thống kê'!$C$3:$M$682,4,0)</f>
        <v>59500</v>
      </c>
      <c r="E3157" s="438">
        <v>1</v>
      </c>
      <c r="F3157" s="439">
        <f t="shared" si="13"/>
        <v>59500</v>
      </c>
      <c r="G3157" s="440"/>
      <c r="H3157" s="447">
        <v>91020</v>
      </c>
    </row>
    <row r="3158" spans="1:8" ht="13.2">
      <c r="A3158" s="454" t="s">
        <v>1591</v>
      </c>
      <c r="B3158" s="452" t="str">
        <f>VLOOKUP(A3158,'Thống kê'!$C$3:$D$669,2,0)</f>
        <v>Thỏ ú</v>
      </c>
      <c r="C3158" s="436" t="str">
        <f>VLOOKUP(A3158,'Thống kê'!$C$3:$E$682,3,0)</f>
        <v>cái</v>
      </c>
      <c r="D3158" s="437">
        <f>VLOOKUP(A3158,'Thống kê'!$C$3:$M$682,4,0)</f>
        <v>59500</v>
      </c>
      <c r="E3158" s="438">
        <v>1</v>
      </c>
      <c r="F3158" s="439">
        <f t="shared" si="13"/>
        <v>59500</v>
      </c>
      <c r="G3158" s="440"/>
      <c r="H3158" s="450"/>
    </row>
    <row r="3159" spans="1:8" ht="13.2">
      <c r="A3159" s="454" t="s">
        <v>1591</v>
      </c>
      <c r="B3159" s="452" t="str">
        <f>VLOOKUP(A3159,'Thống kê'!$C$3:$D$669,2,0)</f>
        <v>Thỏ ú</v>
      </c>
      <c r="C3159" s="436" t="str">
        <f>VLOOKUP(A3159,'Thống kê'!$C$3:$E$682,3,0)</f>
        <v>cái</v>
      </c>
      <c r="D3159" s="437">
        <f>VLOOKUP(A3159,'Thống kê'!$C$3:$M$682,4,0)</f>
        <v>59500</v>
      </c>
      <c r="E3159" s="438">
        <v>1</v>
      </c>
      <c r="F3159" s="439">
        <f t="shared" si="13"/>
        <v>59500</v>
      </c>
      <c r="G3159" s="440"/>
      <c r="H3159" s="448">
        <v>43835</v>
      </c>
    </row>
    <row r="3160" spans="1:8" ht="13.2">
      <c r="A3160" s="454" t="s">
        <v>1632</v>
      </c>
      <c r="B3160" s="452" t="str">
        <f>VLOOKUP(A3160,'Thống kê'!$C$3:$D$669,2,0)</f>
        <v>Móc khóa đôi mèo trắng</v>
      </c>
      <c r="C3160" s="436" t="str">
        <f>VLOOKUP(A3160,'Thống kê'!$C$3:$E$682,3,0)</f>
        <v>cái</v>
      </c>
      <c r="D3160" s="437">
        <f>VLOOKUP(A3160,'Thống kê'!$C$3:$M$682,4,0)</f>
        <v>59000</v>
      </c>
      <c r="E3160" s="438">
        <v>1</v>
      </c>
      <c r="F3160" s="439">
        <f t="shared" si="13"/>
        <v>59000</v>
      </c>
      <c r="G3160" s="440"/>
      <c r="H3160" s="448">
        <v>43242</v>
      </c>
    </row>
    <row r="3161" spans="1:8" ht="13.2">
      <c r="A3161" s="454" t="s">
        <v>1594</v>
      </c>
      <c r="B3161" s="452" t="str">
        <f>VLOOKUP(A3161,'Thống kê'!$C$3:$D$669,2,0)</f>
        <v>Móc khóa đôi heo</v>
      </c>
      <c r="C3161" s="436" t="str">
        <f>VLOOKUP(A3161,'Thống kê'!$C$3:$E$682,3,0)</f>
        <v>cái</v>
      </c>
      <c r="D3161" s="437">
        <f>VLOOKUP(A3161,'Thống kê'!$C$3:$M$682,4,0)</f>
        <v>56580</v>
      </c>
      <c r="E3161" s="438">
        <v>1</v>
      </c>
      <c r="F3161" s="439">
        <f t="shared" si="13"/>
        <v>56580</v>
      </c>
      <c r="G3161" s="440"/>
      <c r="H3161" s="448">
        <v>41356</v>
      </c>
    </row>
    <row r="3162" spans="1:8" ht="13.2">
      <c r="A3162" s="454" t="s">
        <v>1640</v>
      </c>
      <c r="B3162" s="452" t="str">
        <f>VLOOKUP(A3162,'Thống kê'!$C$3:$D$669,2,0)</f>
        <v>Móc khóa đôi Capypara</v>
      </c>
      <c r="C3162" s="436" t="str">
        <f>VLOOKUP(A3162,'Thống kê'!$C$3:$E$682,3,0)</f>
        <v>cái</v>
      </c>
      <c r="D3162" s="437">
        <f>VLOOKUP(A3162,'Thống kê'!$C$3:$M$682,4,0)</f>
        <v>59000</v>
      </c>
      <c r="E3162" s="438">
        <v>1</v>
      </c>
      <c r="F3162" s="439">
        <f t="shared" si="13"/>
        <v>59000</v>
      </c>
      <c r="G3162" s="440"/>
      <c r="H3162" s="448">
        <v>42892</v>
      </c>
    </row>
    <row r="3163" spans="1:8" ht="13.2">
      <c r="A3163" s="454" t="s">
        <v>1341</v>
      </c>
      <c r="B3163" s="452" t="str">
        <f>VLOOKUP(A3163,'Thống kê'!$C$3:$D$669,2,0)</f>
        <v>Móc khóa chuối</v>
      </c>
      <c r="C3163" s="436" t="str">
        <f>VLOOKUP(A3163,'Thống kê'!$C$3:$E$682,3,0)</f>
        <v>cái</v>
      </c>
      <c r="D3163" s="437">
        <f>VLOOKUP(A3163,'Thống kê'!$C$3:$M$682,4,0)</f>
        <v>148000</v>
      </c>
      <c r="E3163" s="438">
        <v>1</v>
      </c>
      <c r="F3163" s="439">
        <f t="shared" si="13"/>
        <v>148000</v>
      </c>
      <c r="G3163" s="440"/>
      <c r="H3163" s="447">
        <v>144320</v>
      </c>
    </row>
    <row r="3164" spans="1:8" ht="13.2">
      <c r="A3164" s="454" t="s">
        <v>1342</v>
      </c>
      <c r="B3164" s="452" t="str">
        <f>VLOOKUP(A3164,'Thống kê'!$C$3:$D$669,2,0)</f>
        <v>Móc khóa chuối</v>
      </c>
      <c r="C3164" s="436" t="str">
        <f>VLOOKUP(A3164,'Thống kê'!$C$3:$E$682,3,0)</f>
        <v>cái</v>
      </c>
      <c r="D3164" s="437">
        <f>VLOOKUP(A3164,'Thống kê'!$C$3:$M$682,4,0)</f>
        <v>148000</v>
      </c>
      <c r="E3164" s="438">
        <v>1</v>
      </c>
      <c r="F3164" s="439">
        <f t="shared" si="13"/>
        <v>148000</v>
      </c>
      <c r="G3164" s="440"/>
      <c r="H3164" s="450"/>
    </row>
    <row r="3165" spans="1:8" ht="13.2">
      <c r="A3165" s="454" t="s">
        <v>1370</v>
      </c>
      <c r="B3165" s="452" t="str">
        <f>VLOOKUP(A3165,'Thống kê'!$C$3:$D$669,2,0)</f>
        <v>Móc khóa Popbean</v>
      </c>
      <c r="C3165" s="436" t="str">
        <f>VLOOKUP(A3165,'Thống kê'!$C$3:$E$682,3,0)</f>
        <v>cái</v>
      </c>
      <c r="D3165" s="437">
        <f>VLOOKUP(A3165,'Thống kê'!$C$3:$M$682,4,0)</f>
        <v>148000</v>
      </c>
      <c r="E3165" s="438">
        <v>1</v>
      </c>
      <c r="F3165" s="439">
        <f t="shared" si="13"/>
        <v>148000</v>
      </c>
      <c r="G3165" s="440"/>
      <c r="H3165" s="448">
        <v>123820</v>
      </c>
    </row>
    <row r="3166" spans="1:8" ht="13.2">
      <c r="A3166" s="454" t="s">
        <v>150</v>
      </c>
      <c r="B3166" s="452" t="str">
        <f>VLOOKUP(A3166,'Thống kê'!$C$3:$D$669,2,0)</f>
        <v>Móc khóa có chuông</v>
      </c>
      <c r="C3166" s="436" t="str">
        <f>VLOOKUP(A3166,'Thống kê'!$C$3:$E$682,3,0)</f>
        <v>cái</v>
      </c>
      <c r="D3166" s="437">
        <f>VLOOKUP(A3166,'Thống kê'!$C$3:$M$682,4,0)</f>
        <v>59000</v>
      </c>
      <c r="E3166" s="438">
        <v>1</v>
      </c>
      <c r="F3166" s="439">
        <f t="shared" si="13"/>
        <v>59000</v>
      </c>
      <c r="G3166" s="440"/>
      <c r="H3166" s="448">
        <v>43242</v>
      </c>
    </row>
    <row r="3167" spans="1:8" ht="13.2">
      <c r="A3167" s="454" t="s">
        <v>1636</v>
      </c>
      <c r="B3167" s="452" t="str">
        <f>VLOOKUP(A3167,'Thống kê'!$C$3:$D$669,2,0)</f>
        <v>Mô hình mèo 3</v>
      </c>
      <c r="C3167" s="436" t="str">
        <f>VLOOKUP(A3167,'Thống kê'!$C$3:$E$682,3,0)</f>
        <v>cái</v>
      </c>
      <c r="D3167" s="437">
        <f>VLOOKUP(A3167,'Thống kê'!$C$3:$M$682,4,0)</f>
        <v>37800</v>
      </c>
      <c r="E3167" s="438">
        <v>1</v>
      </c>
      <c r="F3167" s="439">
        <f t="shared" si="13"/>
        <v>37800</v>
      </c>
      <c r="G3167" s="440"/>
      <c r="H3167" s="447">
        <v>58302</v>
      </c>
    </row>
    <row r="3168" spans="1:8" ht="13.2">
      <c r="A3168" s="454" t="s">
        <v>1635</v>
      </c>
      <c r="B3168" s="452" t="str">
        <f>VLOOKUP(A3168,'Thống kê'!$C$3:$D$669,2,0)</f>
        <v>Mô hình mèo 4</v>
      </c>
      <c r="C3168" s="436" t="str">
        <f>VLOOKUP(A3168,'Thống kê'!$C$3:$E$682,3,0)</f>
        <v>cái</v>
      </c>
      <c r="D3168" s="437">
        <f>VLOOKUP(A3168,'Thống kê'!$C$3:$M$682,4,0)</f>
        <v>37800</v>
      </c>
      <c r="E3168" s="438">
        <v>1</v>
      </c>
      <c r="F3168" s="439">
        <f t="shared" si="13"/>
        <v>37800</v>
      </c>
      <c r="G3168" s="440"/>
      <c r="H3168" s="450"/>
    </row>
    <row r="3169" spans="1:8" ht="13.2">
      <c r="A3169" s="454" t="s">
        <v>1639</v>
      </c>
      <c r="B3169" s="452" t="str">
        <f>VLOOKUP(A3169,'Thống kê'!$C$3:$D$669,2,0)</f>
        <v>Móc khóa đôi Puppy</v>
      </c>
      <c r="C3169" s="436" t="str">
        <f>VLOOKUP(A3169,'Thống kê'!$C$3:$E$682,3,0)</f>
        <v>cái</v>
      </c>
      <c r="D3169" s="437">
        <f>VLOOKUP(A3169,'Thống kê'!$C$3:$M$682,4,0)</f>
        <v>59000</v>
      </c>
      <c r="E3169" s="438">
        <v>1</v>
      </c>
      <c r="F3169" s="439">
        <f t="shared" si="13"/>
        <v>59000</v>
      </c>
      <c r="G3169" s="440"/>
      <c r="H3169" s="448">
        <v>42917</v>
      </c>
    </row>
    <row r="3170" spans="1:8" ht="13.2">
      <c r="A3170" s="454" t="s">
        <v>150</v>
      </c>
      <c r="B3170" s="452" t="str">
        <f>VLOOKUP(A3170,'Thống kê'!$C$3:$D$669,2,0)</f>
        <v>Móc khóa có chuông</v>
      </c>
      <c r="C3170" s="436" t="str">
        <f>VLOOKUP(A3170,'Thống kê'!$C$3:$E$682,3,0)</f>
        <v>cái</v>
      </c>
      <c r="D3170" s="437">
        <f>VLOOKUP(A3170,'Thống kê'!$C$3:$M$682,4,0)</f>
        <v>59000</v>
      </c>
      <c r="E3170" s="438">
        <v>1</v>
      </c>
      <c r="F3170" s="439">
        <f t="shared" si="13"/>
        <v>59000</v>
      </c>
      <c r="G3170" s="440"/>
      <c r="H3170" s="448">
        <v>43367</v>
      </c>
    </row>
    <row r="3171" spans="1:8" ht="13.2">
      <c r="A3171" s="454" t="s">
        <v>1591</v>
      </c>
      <c r="B3171" s="452" t="str">
        <f>VLOOKUP(A3171,'Thống kê'!$C$3:$D$669,2,0)</f>
        <v>Thỏ ú</v>
      </c>
      <c r="C3171" s="436" t="str">
        <f>VLOOKUP(A3171,'Thống kê'!$C$3:$E$682,3,0)</f>
        <v>cái</v>
      </c>
      <c r="D3171" s="437">
        <f>VLOOKUP(A3171,'Thống kê'!$C$3:$M$682,4,0)</f>
        <v>59500</v>
      </c>
      <c r="E3171" s="438">
        <v>1</v>
      </c>
      <c r="F3171" s="439">
        <f t="shared" si="13"/>
        <v>59500</v>
      </c>
      <c r="G3171" s="440"/>
      <c r="H3171" s="448">
        <v>43685</v>
      </c>
    </row>
    <row r="3172" spans="1:8" ht="13.2">
      <c r="A3172" s="454" t="s">
        <v>1624</v>
      </c>
      <c r="B3172" s="452" t="str">
        <f>VLOOKUP(A3172,'Thống kê'!$C$3:$D$669,2,0)</f>
        <v>Móc khóa mèo trái tim</v>
      </c>
      <c r="C3172" s="436" t="str">
        <f>VLOOKUP(A3172,'Thống kê'!$C$3:$E$682,3,0)</f>
        <v>cái</v>
      </c>
      <c r="D3172" s="437">
        <f>VLOOKUP(A3172,'Thống kê'!$C$3:$M$682,4,0)</f>
        <v>59000</v>
      </c>
      <c r="E3172" s="438">
        <v>1</v>
      </c>
      <c r="F3172" s="439">
        <f t="shared" si="13"/>
        <v>59000</v>
      </c>
      <c r="G3172" s="440"/>
      <c r="H3172" s="448">
        <v>43367</v>
      </c>
    </row>
    <row r="3173" spans="1:8" ht="13.2">
      <c r="A3173" s="454" t="s">
        <v>1640</v>
      </c>
      <c r="B3173" s="452" t="str">
        <f>VLOOKUP(A3173,'Thống kê'!$C$3:$D$669,2,0)</f>
        <v>Móc khóa đôi Capypara</v>
      </c>
      <c r="C3173" s="436" t="str">
        <f>VLOOKUP(A3173,'Thống kê'!$C$3:$E$682,3,0)</f>
        <v>cái</v>
      </c>
      <c r="D3173" s="437">
        <f>VLOOKUP(A3173,'Thống kê'!$C$3:$M$682,4,0)</f>
        <v>59000</v>
      </c>
      <c r="E3173" s="438">
        <v>1</v>
      </c>
      <c r="F3173" s="439">
        <f t="shared" si="13"/>
        <v>59000</v>
      </c>
      <c r="G3173" s="440"/>
      <c r="H3173" s="447">
        <v>128897</v>
      </c>
    </row>
    <row r="3174" spans="1:8" ht="13.2">
      <c r="A3174" s="454" t="s">
        <v>1975</v>
      </c>
      <c r="B3174" s="452" t="str">
        <f>VLOOKUP(A3174,'Thống kê'!$C$3:$D$669,2,0)</f>
        <v>Móc khóa capybara 16 - hồng thơm</v>
      </c>
      <c r="C3174" s="436" t="str">
        <f>VLOOKUP(A3174,'Thống kê'!$C$3:$E$682,3,0)</f>
        <v>cái</v>
      </c>
      <c r="D3174" s="437">
        <f>VLOOKUP(A3174,'Thống kê'!$C$3:$M$682,4,0)</f>
        <v>58800</v>
      </c>
      <c r="E3174" s="438">
        <v>1</v>
      </c>
      <c r="F3174" s="439">
        <f t="shared" si="13"/>
        <v>58800</v>
      </c>
      <c r="G3174" s="440"/>
      <c r="H3174" s="450"/>
    </row>
    <row r="3175" spans="1:8" ht="13.2">
      <c r="A3175" s="454" t="s">
        <v>1933</v>
      </c>
      <c r="B3175" s="452" t="str">
        <f>VLOOKUP(A3175,'Thống kê'!$C$3:$D$669,2,0)</f>
        <v>Móc khóa capybara 3 - bóng tennis</v>
      </c>
      <c r="C3175" s="436" t="str">
        <f>VLOOKUP(A3175,'Thống kê'!$C$3:$E$682,3,0)</f>
        <v>cái</v>
      </c>
      <c r="D3175" s="437">
        <f>VLOOKUP(A3175,'Thống kê'!$C$3:$M$682,4,0)</f>
        <v>58800</v>
      </c>
      <c r="E3175" s="438">
        <v>1</v>
      </c>
      <c r="F3175" s="439">
        <f t="shared" si="13"/>
        <v>58800</v>
      </c>
      <c r="G3175" s="440"/>
      <c r="H3175" s="450"/>
    </row>
    <row r="3176" spans="1:8" ht="13.2">
      <c r="A3176" s="454" t="s">
        <v>1208</v>
      </c>
      <c r="B3176" s="452" t="str">
        <f>VLOOKUP(A3176,'Thống kê'!$C$3:$D$669,2,0)</f>
        <v>Móc khóa mèo trái tim</v>
      </c>
      <c r="C3176" s="436" t="str">
        <f>VLOOKUP(A3176,'Thống kê'!$C$3:$E$682,3,0)</f>
        <v>cái</v>
      </c>
      <c r="D3176" s="437">
        <f>VLOOKUP(A3176,'Thống kê'!$C$3:$M$682,4,0)</f>
        <v>59000</v>
      </c>
      <c r="E3176" s="438">
        <v>1</v>
      </c>
      <c r="F3176" s="439">
        <f t="shared" si="13"/>
        <v>59000</v>
      </c>
      <c r="G3176" s="440"/>
      <c r="H3176" s="447">
        <v>98000</v>
      </c>
    </row>
    <row r="3177" spans="1:8" ht="13.2">
      <c r="A3177" s="454" t="s">
        <v>993</v>
      </c>
      <c r="B3177" s="452" t="str">
        <f>VLOOKUP(A3177,'Thống kê'!$C$3:$D$669,2,0)</f>
        <v>Móc khóa đôi mèo trắng</v>
      </c>
      <c r="C3177" s="436" t="str">
        <f>VLOOKUP(A3177,'Thống kê'!$C$3:$E$682,3,0)</f>
        <v>cái</v>
      </c>
      <c r="D3177" s="437">
        <f>VLOOKUP(A3177,'Thống kê'!$C$3:$M$682,4,0)</f>
        <v>59000</v>
      </c>
      <c r="E3177" s="438">
        <v>1</v>
      </c>
      <c r="F3177" s="439">
        <f t="shared" si="13"/>
        <v>59000</v>
      </c>
      <c r="G3177" s="440"/>
      <c r="H3177" s="450"/>
    </row>
    <row r="3178" spans="1:8" ht="13.2">
      <c r="A3178" s="454" t="s">
        <v>1206</v>
      </c>
      <c r="B3178" s="452" t="str">
        <f>VLOOKUP(A3178,'Thống kê'!$C$3:$D$669,2,0)</f>
        <v>Móc khóa có chuông</v>
      </c>
      <c r="C3178" s="436" t="str">
        <f>VLOOKUP(A3178,'Thống kê'!$C$3:$E$682,3,0)</f>
        <v>cái</v>
      </c>
      <c r="D3178" s="437">
        <f>VLOOKUP(A3178,'Thống kê'!$C$3:$M$682,4,0)</f>
        <v>59000</v>
      </c>
      <c r="E3178" s="438">
        <v>1</v>
      </c>
      <c r="F3178" s="439">
        <f t="shared" si="13"/>
        <v>59000</v>
      </c>
      <c r="G3178" s="440"/>
      <c r="H3178" s="448">
        <v>53100</v>
      </c>
    </row>
    <row r="3179" spans="1:8" ht="13.2">
      <c r="A3179" s="454" t="s">
        <v>1677</v>
      </c>
      <c r="B3179" s="452" t="str">
        <f>VLOOKUP(A3179,'Thống kê'!$C$3:$D$669,2,0)</f>
        <v>Móc khóa Popbean</v>
      </c>
      <c r="C3179" s="436" t="str">
        <f>VLOOKUP(A3179,'Thống kê'!$C$3:$E$682,3,0)</f>
        <v>cái</v>
      </c>
      <c r="D3179" s="437">
        <f>VLOOKUP(A3179,'Thống kê'!$C$3:$M$682,4,0)</f>
        <v>148000</v>
      </c>
      <c r="E3179" s="438">
        <v>1</v>
      </c>
      <c r="F3179" s="439">
        <f t="shared" si="13"/>
        <v>148000</v>
      </c>
      <c r="G3179" s="440"/>
      <c r="H3179" s="447">
        <v>548152</v>
      </c>
    </row>
    <row r="3180" spans="1:8" ht="13.2">
      <c r="A3180" s="454" t="s">
        <v>2071</v>
      </c>
      <c r="B3180" s="452" t="str">
        <f>VLOOKUP(A3180,'Thống kê'!$C$3:$D$669,2,0)</f>
        <v>Móc khóa Popbean</v>
      </c>
      <c r="C3180" s="436" t="str">
        <f>VLOOKUP(A3180,'Thống kê'!$C$3:$E$682,3,0)</f>
        <v>cái</v>
      </c>
      <c r="D3180" s="437">
        <f>VLOOKUP(A3180,'Thống kê'!$C$3:$M$682,4,0)</f>
        <v>148000</v>
      </c>
      <c r="E3180" s="438">
        <v>1</v>
      </c>
      <c r="F3180" s="439">
        <f t="shared" si="13"/>
        <v>148000</v>
      </c>
      <c r="G3180" s="440"/>
      <c r="H3180" s="450"/>
    </row>
    <row r="3181" spans="1:8" ht="13.2">
      <c r="A3181" s="454" t="s">
        <v>1323</v>
      </c>
      <c r="B3181" s="452" t="str">
        <f>VLOOKUP(A3181,'Thống kê'!$C$3:$D$669,2,0)</f>
        <v>Móc khóa Popbean Zsiga</v>
      </c>
      <c r="C3181" s="436" t="str">
        <f>VLOOKUP(A3181,'Thống kê'!$C$3:$E$682,3,0)</f>
        <v>cái</v>
      </c>
      <c r="D3181" s="437">
        <f>VLOOKUP(A3181,'Thống kê'!$C$3:$M$682,4,0)</f>
        <v>148000</v>
      </c>
      <c r="E3181" s="438">
        <v>1</v>
      </c>
      <c r="F3181" s="439">
        <f t="shared" si="13"/>
        <v>148000</v>
      </c>
      <c r="G3181" s="440"/>
      <c r="H3181" s="450"/>
    </row>
    <row r="3182" spans="1:8" ht="13.2">
      <c r="A3182" s="454" t="s">
        <v>1320</v>
      </c>
      <c r="B3182" s="452" t="str">
        <f>VLOOKUP(A3182,'Thống kê'!$C$3:$D$669,2,0)</f>
        <v>Móc khóa Popbean Kubo</v>
      </c>
      <c r="C3182" s="436" t="str">
        <f>VLOOKUP(A3182,'Thống kê'!$C$3:$E$682,3,0)</f>
        <v>cái</v>
      </c>
      <c r="D3182" s="437">
        <f>VLOOKUP(A3182,'Thống kê'!$C$3:$M$682,4,0)</f>
        <v>148000</v>
      </c>
      <c r="E3182" s="438">
        <v>1</v>
      </c>
      <c r="F3182" s="439">
        <f t="shared" si="13"/>
        <v>148000</v>
      </c>
      <c r="G3182" s="440"/>
      <c r="H3182" s="450"/>
    </row>
    <row r="3183" spans="1:8" ht="13.2">
      <c r="A3183" s="454" t="s">
        <v>891</v>
      </c>
      <c r="B3183" s="452" t="str">
        <f>VLOOKUP(A3183,'Thống kê'!$C$3:$D$669,2,0)</f>
        <v>Heo ú</v>
      </c>
      <c r="C3183" s="436" t="str">
        <f>VLOOKUP(A3183,'Thống kê'!$C$3:$E$682,3,0)</f>
        <v>cái</v>
      </c>
      <c r="D3183" s="437">
        <f>VLOOKUP(A3183,'Thống kê'!$C$3:$M$682,4,0)</f>
        <v>59500</v>
      </c>
      <c r="E3183" s="438">
        <v>1</v>
      </c>
      <c r="F3183" s="439">
        <f t="shared" si="13"/>
        <v>59500</v>
      </c>
      <c r="G3183" s="440"/>
      <c r="H3183" s="450"/>
    </row>
    <row r="3184" spans="1:8" ht="13.2">
      <c r="A3184" s="454" t="s">
        <v>1964</v>
      </c>
      <c r="B3184" s="452" t="str">
        <f>VLOOKUP(A3184,'Thống kê'!$C$3:$D$669,2,0)</f>
        <v>Túi chườm bụng gấu trúc 500ml</v>
      </c>
      <c r="C3184" s="436" t="str">
        <f>VLOOKUP(A3184,'Thống kê'!$C$3:$E$682,3,0)</f>
        <v>túi</v>
      </c>
      <c r="D3184" s="437">
        <f>VLOOKUP(A3184,'Thống kê'!$C$3:$M$682,4,0)</f>
        <v>81000</v>
      </c>
      <c r="E3184" s="438">
        <v>1</v>
      </c>
      <c r="F3184" s="439">
        <f t="shared" si="13"/>
        <v>81000</v>
      </c>
      <c r="G3184" s="440"/>
      <c r="H3184" s="448">
        <v>70000</v>
      </c>
    </row>
    <row r="3185" spans="1:8" ht="13.2">
      <c r="A3185" s="454" t="s">
        <v>1650</v>
      </c>
      <c r="B3185" s="452" t="str">
        <f>VLOOKUP(A3185,'Thống kê'!$C$3:$D$669,2,0)</f>
        <v>Túi chườm bụng dâu (xanh) 1000ml</v>
      </c>
      <c r="C3185" s="436" t="str">
        <f>VLOOKUP(A3185,'Thống kê'!$C$3:$E$682,3,0)</f>
        <v>túi</v>
      </c>
      <c r="D3185" s="437">
        <f>VLOOKUP(A3185,'Thống kê'!$C$3:$M$682,4,0)</f>
        <v>101150</v>
      </c>
      <c r="E3185" s="438">
        <v>1</v>
      </c>
      <c r="F3185" s="439">
        <f t="shared" si="13"/>
        <v>101150</v>
      </c>
      <c r="G3185" s="440"/>
      <c r="H3185" s="447">
        <v>185000</v>
      </c>
    </row>
    <row r="3186" spans="1:8" ht="13.2">
      <c r="A3186" s="454" t="s">
        <v>1649</v>
      </c>
      <c r="B3186" s="452" t="str">
        <f>VLOOKUP(A3186,'Thống kê'!$C$3:$D$669,2,0)</f>
        <v>Túi chườm bụng trái bơ 1000ml</v>
      </c>
      <c r="C3186" s="436" t="str">
        <f>VLOOKUP(A3186,'Thống kê'!$C$3:$E$682,3,0)</f>
        <v>túi</v>
      </c>
      <c r="D3186" s="437">
        <f>VLOOKUP(A3186,'Thống kê'!$C$3:$M$682,4,0)</f>
        <v>101150</v>
      </c>
      <c r="E3186" s="438">
        <v>1</v>
      </c>
      <c r="F3186" s="439">
        <f t="shared" si="13"/>
        <v>101150</v>
      </c>
      <c r="G3186" s="440"/>
      <c r="H3186" s="450"/>
    </row>
    <row r="3187" spans="1:8" ht="13.2">
      <c r="A3187" s="454" t="s">
        <v>1624</v>
      </c>
      <c r="B3187" s="452" t="str">
        <f>VLOOKUP(A3187,'Thống kê'!$C$3:$D$669,2,0)</f>
        <v>Móc khóa mèo trái tim</v>
      </c>
      <c r="C3187" s="436" t="str">
        <f>VLOOKUP(A3187,'Thống kê'!$C$3:$E$682,3,0)</f>
        <v>cái</v>
      </c>
      <c r="D3187" s="437">
        <f>VLOOKUP(A3187,'Thống kê'!$C$3:$M$682,4,0)</f>
        <v>59000</v>
      </c>
      <c r="E3187" s="438">
        <v>1</v>
      </c>
      <c r="F3187" s="439">
        <f t="shared" si="13"/>
        <v>59000</v>
      </c>
      <c r="G3187" s="440"/>
      <c r="H3187" s="448">
        <v>61100</v>
      </c>
    </row>
    <row r="3188" spans="1:8" ht="13.2">
      <c r="A3188" s="454" t="s">
        <v>1370</v>
      </c>
      <c r="B3188" s="452" t="str">
        <f>VLOOKUP(A3188,'Thống kê'!$C$3:$D$669,2,0)</f>
        <v>Móc khóa Popbean</v>
      </c>
      <c r="C3188" s="436" t="str">
        <f>VLOOKUP(A3188,'Thống kê'!$C$3:$E$682,3,0)</f>
        <v>cái</v>
      </c>
      <c r="D3188" s="437">
        <f>VLOOKUP(A3188,'Thống kê'!$C$3:$M$682,4,0)</f>
        <v>148000</v>
      </c>
      <c r="E3188" s="438">
        <v>1</v>
      </c>
      <c r="F3188" s="439">
        <f t="shared" si="13"/>
        <v>148000</v>
      </c>
      <c r="G3188" s="440"/>
      <c r="H3188" s="448">
        <v>131180</v>
      </c>
    </row>
    <row r="3189" spans="1:8" ht="13.2">
      <c r="A3189" s="454" t="s">
        <v>1624</v>
      </c>
      <c r="B3189" s="452" t="str">
        <f>VLOOKUP(A3189,'Thống kê'!$C$3:$D$669,2,0)</f>
        <v>Móc khóa mèo trái tim</v>
      </c>
      <c r="C3189" s="436" t="str">
        <f>VLOOKUP(A3189,'Thống kê'!$C$3:$E$682,3,0)</f>
        <v>cái</v>
      </c>
      <c r="D3189" s="437">
        <f>VLOOKUP(A3189,'Thống kê'!$C$3:$M$682,4,0)</f>
        <v>59000</v>
      </c>
      <c r="E3189" s="438">
        <v>1</v>
      </c>
      <c r="F3189" s="439">
        <f t="shared" si="13"/>
        <v>59000</v>
      </c>
      <c r="G3189" s="440"/>
      <c r="H3189" s="447">
        <v>47455</v>
      </c>
    </row>
    <row r="3190" spans="1:8" ht="13.2">
      <c r="A3190" s="454" t="s">
        <v>1937</v>
      </c>
      <c r="B3190" s="452" t="str">
        <f>VLOOKUP(A3190,'Thống kê'!$C$3:$D$669,2,0)</f>
        <v>Kẹp tóc hoa sứ cam</v>
      </c>
      <c r="C3190" s="436" t="str">
        <f>VLOOKUP(A3190,'Thống kê'!$C$3:$E$682,3,0)</f>
        <v>cái</v>
      </c>
      <c r="D3190" s="437">
        <f>VLOOKUP(A3190,'Thống kê'!$C$3:$M$682,4,0)</f>
        <v>18500</v>
      </c>
      <c r="E3190" s="438">
        <v>1</v>
      </c>
      <c r="F3190" s="439">
        <f t="shared" si="13"/>
        <v>18500</v>
      </c>
      <c r="G3190" s="440"/>
      <c r="H3190" s="450"/>
    </row>
    <row r="3191" spans="1:8" ht="13.2">
      <c r="A3191" s="454" t="s">
        <v>1624</v>
      </c>
      <c r="B3191" s="452" t="str">
        <f>VLOOKUP(A3191,'Thống kê'!$C$3:$D$669,2,0)</f>
        <v>Móc khóa mèo trái tim</v>
      </c>
      <c r="C3191" s="436" t="str">
        <f>VLOOKUP(A3191,'Thống kê'!$C$3:$E$682,3,0)</f>
        <v>cái</v>
      </c>
      <c r="D3191" s="437">
        <f>VLOOKUP(A3191,'Thống kê'!$C$3:$M$682,4,0)</f>
        <v>59000</v>
      </c>
      <c r="E3191" s="438">
        <v>-1</v>
      </c>
      <c r="F3191" s="439">
        <f t="shared" si="13"/>
        <v>-59000</v>
      </c>
      <c r="G3191" s="440"/>
      <c r="H3191" s="448">
        <v>-53100</v>
      </c>
    </row>
    <row r="3192" spans="1:8" ht="13.2">
      <c r="A3192" s="454" t="s">
        <v>1624</v>
      </c>
      <c r="B3192" s="452" t="str">
        <f>VLOOKUP(A3192,'Thống kê'!$C$3:$D$669,2,0)</f>
        <v>Móc khóa mèo trái tim</v>
      </c>
      <c r="C3192" s="436" t="str">
        <f>VLOOKUP(A3192,'Thống kê'!$C$3:$E$682,3,0)</f>
        <v>cái</v>
      </c>
      <c r="D3192" s="437">
        <f>VLOOKUP(A3192,'Thống kê'!$C$3:$M$682,4,0)</f>
        <v>59000</v>
      </c>
      <c r="E3192" s="438">
        <v>-1</v>
      </c>
      <c r="F3192" s="439">
        <f t="shared" si="13"/>
        <v>-59000</v>
      </c>
      <c r="G3192" s="440"/>
      <c r="H3192" s="448">
        <v>-53100</v>
      </c>
    </row>
    <row r="3193" spans="1:8" ht="13.2">
      <c r="A3193" s="454" t="s">
        <v>1624</v>
      </c>
      <c r="B3193" s="452" t="str">
        <f>VLOOKUP(A3193,'Thống kê'!$C$3:$D$669,2,0)</f>
        <v>Móc khóa mèo trái tim</v>
      </c>
      <c r="C3193" s="436" t="str">
        <f>VLOOKUP(A3193,'Thống kê'!$C$3:$E$682,3,0)</f>
        <v>cái</v>
      </c>
      <c r="D3193" s="437">
        <f>VLOOKUP(A3193,'Thống kê'!$C$3:$M$682,4,0)</f>
        <v>59000</v>
      </c>
      <c r="E3193" s="438">
        <v>-1</v>
      </c>
      <c r="F3193" s="439">
        <f t="shared" si="13"/>
        <v>-59000</v>
      </c>
      <c r="G3193" s="440"/>
      <c r="H3193" s="448">
        <v>-59000</v>
      </c>
    </row>
    <row r="3194" spans="1:8" ht="13.2">
      <c r="A3194" s="454" t="s">
        <v>150</v>
      </c>
      <c r="B3194" s="452" t="str">
        <f>VLOOKUP(A3194,'Thống kê'!$C$3:$D$669,2,0)</f>
        <v>Móc khóa có chuông</v>
      </c>
      <c r="C3194" s="436" t="str">
        <f>VLOOKUP(A3194,'Thống kê'!$C$3:$E$682,3,0)</f>
        <v>cái</v>
      </c>
      <c r="D3194" s="437">
        <f>VLOOKUP(A3194,'Thống kê'!$C$3:$M$682,4,0)</f>
        <v>59000</v>
      </c>
      <c r="E3194" s="438">
        <v>1</v>
      </c>
      <c r="F3194" s="439">
        <f t="shared" si="13"/>
        <v>59000</v>
      </c>
      <c r="G3194" s="440"/>
      <c r="H3194" s="448">
        <v>43542</v>
      </c>
    </row>
    <row r="3195" spans="1:8" ht="13.2">
      <c r="A3195" s="454" t="s">
        <v>115</v>
      </c>
      <c r="B3195" s="452" t="str">
        <f>VLOOKUP(A3195,'Thống kê'!$C$3:$D$669,2,0)</f>
        <v>Heo ú</v>
      </c>
      <c r="C3195" s="436" t="str">
        <f>VLOOKUP(A3195,'Thống kê'!$C$3:$E$682,3,0)</f>
        <v>cái</v>
      </c>
      <c r="D3195" s="437">
        <f>VLOOKUP(A3195,'Thống kê'!$C$3:$M$682,4,0)</f>
        <v>59500</v>
      </c>
      <c r="E3195" s="438">
        <v>1</v>
      </c>
      <c r="F3195" s="439">
        <f t="shared" si="13"/>
        <v>59500</v>
      </c>
      <c r="G3195" s="440"/>
      <c r="H3195" s="447">
        <v>95120</v>
      </c>
    </row>
    <row r="3196" spans="1:8" ht="13.2">
      <c r="A3196" s="454" t="s">
        <v>186</v>
      </c>
      <c r="B3196" s="452" t="str">
        <f>VLOOKUP(A3196,'Thống kê'!$C$3:$D$669,2,0)</f>
        <v>Thỏ ú bay</v>
      </c>
      <c r="C3196" s="436" t="str">
        <f>VLOOKUP(A3196,'Thống kê'!$C$3:$E$682,3,0)</f>
        <v>cái</v>
      </c>
      <c r="D3196" s="437">
        <f>VLOOKUP(A3196,'Thống kê'!$C$3:$M$682,4,0)</f>
        <v>64500</v>
      </c>
      <c r="E3196" s="438">
        <v>1</v>
      </c>
      <c r="F3196" s="439">
        <f t="shared" si="13"/>
        <v>64500</v>
      </c>
      <c r="G3196" s="440"/>
      <c r="H3196" s="450"/>
    </row>
    <row r="3197" spans="1:8" ht="13.2">
      <c r="A3197" s="454" t="s">
        <v>1661</v>
      </c>
      <c r="B3197" s="452" t="str">
        <f>VLOOKUP(A3197,'Thống kê'!$C$3:$D$669,2,0)</f>
        <v>Móc khóa Popbean Kubo</v>
      </c>
      <c r="C3197" s="436" t="str">
        <f>VLOOKUP(A3197,'Thống kê'!$C$3:$E$682,3,0)</f>
        <v>cái</v>
      </c>
      <c r="D3197" s="437">
        <f>VLOOKUP(A3197,'Thống kê'!$C$3:$M$682,4,0)</f>
        <v>148000</v>
      </c>
      <c r="E3197" s="438">
        <v>1</v>
      </c>
      <c r="F3197" s="439">
        <f t="shared" si="13"/>
        <v>148000</v>
      </c>
      <c r="G3197" s="440"/>
      <c r="H3197" s="448">
        <v>105092</v>
      </c>
    </row>
    <row r="3198" spans="1:8" ht="13.2">
      <c r="A3198" s="454" t="s">
        <v>1640</v>
      </c>
      <c r="B3198" s="452" t="str">
        <f>VLOOKUP(A3198,'Thống kê'!$C$3:$D$669,2,0)</f>
        <v>Móc khóa đôi Capypara</v>
      </c>
      <c r="C3198" s="436" t="str">
        <f>VLOOKUP(A3198,'Thống kê'!$C$3:$E$682,3,0)</f>
        <v>cái</v>
      </c>
      <c r="D3198" s="437">
        <f>VLOOKUP(A3198,'Thống kê'!$C$3:$M$682,4,0)</f>
        <v>59000</v>
      </c>
      <c r="E3198" s="438">
        <v>1</v>
      </c>
      <c r="F3198" s="439">
        <f t="shared" si="13"/>
        <v>59000</v>
      </c>
      <c r="G3198" s="440"/>
      <c r="H3198" s="448">
        <v>43142</v>
      </c>
    </row>
    <row r="3199" spans="1:8" ht="13.2">
      <c r="A3199" s="454" t="s">
        <v>1347</v>
      </c>
      <c r="B3199" s="452" t="str">
        <f>VLOOKUP(A3199,'Thống kê'!$C$3:$D$669,2,0)</f>
        <v>Túi chườm bụng 500ml</v>
      </c>
      <c r="C3199" s="436" t="str">
        <f>VLOOKUP(A3199,'Thống kê'!$C$3:$E$682,3,0)</f>
        <v>túi</v>
      </c>
      <c r="D3199" s="437">
        <f>VLOOKUP(A3199,'Thống kê'!$C$3:$M$682,4,0)</f>
        <v>87400</v>
      </c>
      <c r="E3199" s="438">
        <v>1</v>
      </c>
      <c r="F3199" s="439">
        <f t="shared" si="13"/>
        <v>87400</v>
      </c>
      <c r="G3199" s="440"/>
      <c r="H3199" s="448">
        <v>59375</v>
      </c>
    </row>
    <row r="3200" spans="1:8" ht="13.2">
      <c r="A3200" s="454" t="s">
        <v>1782</v>
      </c>
      <c r="B3200" s="452" t="str">
        <f>VLOOKUP(A3200,'Thống kê'!$C$3:$D$669,2,0)</f>
        <v>Mèo xám treo gương</v>
      </c>
      <c r="C3200" s="436" t="str">
        <f>VLOOKUP(A3200,'Thống kê'!$C$3:$E$682,3,0)</f>
        <v>cái</v>
      </c>
      <c r="D3200" s="437">
        <f>VLOOKUP(A3200,'Thống kê'!$C$3:$M$682,4,0)</f>
        <v>71500</v>
      </c>
      <c r="E3200" s="438">
        <v>1</v>
      </c>
      <c r="F3200" s="439">
        <f t="shared" si="13"/>
        <v>71500</v>
      </c>
      <c r="G3200" s="440"/>
      <c r="H3200" s="448">
        <v>48496</v>
      </c>
    </row>
    <row r="3201" spans="1:8" ht="13.2">
      <c r="A3201" s="454" t="s">
        <v>150</v>
      </c>
      <c r="B3201" s="452" t="str">
        <f>VLOOKUP(A3201,'Thống kê'!$C$3:$D$669,2,0)</f>
        <v>Móc khóa có chuông</v>
      </c>
      <c r="C3201" s="436" t="str">
        <f>VLOOKUP(A3201,'Thống kê'!$C$3:$E$682,3,0)</f>
        <v>cái</v>
      </c>
      <c r="D3201" s="437">
        <f>VLOOKUP(A3201,'Thống kê'!$C$3:$M$682,4,0)</f>
        <v>59000</v>
      </c>
      <c r="E3201" s="438">
        <v>1</v>
      </c>
      <c r="F3201" s="439">
        <f t="shared" si="13"/>
        <v>59000</v>
      </c>
      <c r="G3201" s="440"/>
      <c r="H3201" s="448">
        <v>44735</v>
      </c>
    </row>
    <row r="3202" spans="1:8" ht="13.2">
      <c r="A3202" s="454" t="s">
        <v>1624</v>
      </c>
      <c r="B3202" s="452" t="str">
        <f>VLOOKUP(A3202,'Thống kê'!$C$3:$D$669,2,0)</f>
        <v>Móc khóa mèo trái tim</v>
      </c>
      <c r="C3202" s="436" t="str">
        <f>VLOOKUP(A3202,'Thống kê'!$C$3:$E$682,3,0)</f>
        <v>cái</v>
      </c>
      <c r="D3202" s="437">
        <f>VLOOKUP(A3202,'Thống kê'!$C$3:$M$682,4,0)</f>
        <v>59000</v>
      </c>
      <c r="E3202" s="438">
        <v>1</v>
      </c>
      <c r="F3202" s="439">
        <f t="shared" si="13"/>
        <v>59000</v>
      </c>
      <c r="G3202" s="440"/>
      <c r="H3202" s="448">
        <v>43242</v>
      </c>
    </row>
    <row r="3203" spans="1:8" ht="13.2">
      <c r="A3203" s="454" t="s">
        <v>115</v>
      </c>
      <c r="B3203" s="452" t="str">
        <f>VLOOKUP(A3203,'Thống kê'!$C$3:$D$669,2,0)</f>
        <v>Heo ú</v>
      </c>
      <c r="C3203" s="436" t="str">
        <f>VLOOKUP(A3203,'Thống kê'!$C$3:$E$682,3,0)</f>
        <v>cái</v>
      </c>
      <c r="D3203" s="437">
        <f>VLOOKUP(A3203,'Thống kê'!$C$3:$M$682,4,0)</f>
        <v>59500</v>
      </c>
      <c r="E3203" s="438">
        <v>1</v>
      </c>
      <c r="F3203" s="439">
        <f t="shared" si="13"/>
        <v>59500</v>
      </c>
      <c r="G3203" s="440"/>
      <c r="H3203" s="448">
        <v>43735</v>
      </c>
    </row>
    <row r="3204" spans="1:8" ht="13.2">
      <c r="A3204" s="454" t="s">
        <v>1335</v>
      </c>
      <c r="B3204" s="452" t="str">
        <f>VLOOKUP(A3204,'Thống kê'!$C$3:$D$669,2,0)</f>
        <v>Móc khóa Popbean</v>
      </c>
      <c r="C3204" s="436" t="str">
        <f>VLOOKUP(A3204,'Thống kê'!$C$3:$E$682,3,0)</f>
        <v>cái</v>
      </c>
      <c r="D3204" s="437">
        <f>VLOOKUP(A3204,'Thống kê'!$C$3:$M$682,4,0)</f>
        <v>148000</v>
      </c>
      <c r="E3204" s="438">
        <v>1</v>
      </c>
      <c r="F3204" s="439">
        <f t="shared" si="13"/>
        <v>148000</v>
      </c>
      <c r="G3204" s="440"/>
      <c r="H3204" s="448">
        <v>110372</v>
      </c>
    </row>
    <row r="3205" spans="1:8" ht="13.2">
      <c r="A3205" s="454" t="s">
        <v>1624</v>
      </c>
      <c r="B3205" s="452" t="str">
        <f>VLOOKUP(A3205,'Thống kê'!$C$3:$D$669,2,0)</f>
        <v>Móc khóa mèo trái tim</v>
      </c>
      <c r="C3205" s="436" t="str">
        <f>VLOOKUP(A3205,'Thống kê'!$C$3:$E$682,3,0)</f>
        <v>cái</v>
      </c>
      <c r="D3205" s="437">
        <f>VLOOKUP(A3205,'Thống kê'!$C$3:$M$682,4,0)</f>
        <v>59000</v>
      </c>
      <c r="E3205" s="438">
        <v>1</v>
      </c>
      <c r="F3205" s="439">
        <f t="shared" si="13"/>
        <v>59000</v>
      </c>
      <c r="G3205" s="440"/>
      <c r="H3205" s="448">
        <v>43542</v>
      </c>
    </row>
    <row r="3206" spans="1:8" ht="13.2">
      <c r="A3206" s="454" t="s">
        <v>119</v>
      </c>
      <c r="B3206" s="452" t="str">
        <f>VLOOKUP(A3206,'Thống kê'!$C$3:$D$669,2,0)</f>
        <v>Thỏ chạy xe gắn xe</v>
      </c>
      <c r="C3206" s="436" t="str">
        <f>VLOOKUP(A3206,'Thống kê'!$C$3:$E$682,3,0)</f>
        <v>cái</v>
      </c>
      <c r="D3206" s="437">
        <f>VLOOKUP(A3206,'Thống kê'!$C$3:$M$682,4,0)</f>
        <v>45000</v>
      </c>
      <c r="E3206" s="438">
        <v>1</v>
      </c>
      <c r="F3206" s="439">
        <f t="shared" si="13"/>
        <v>45000</v>
      </c>
      <c r="G3206" s="440"/>
      <c r="H3206" s="448">
        <v>32390</v>
      </c>
    </row>
    <row r="3207" spans="1:8" ht="13.2">
      <c r="A3207" s="454" t="s">
        <v>1369</v>
      </c>
      <c r="B3207" s="452" t="str">
        <f>VLOOKUP(A3207,'Thống kê'!$C$3:$D$669,2,0)</f>
        <v>Móc khóa Popbean</v>
      </c>
      <c r="C3207" s="436" t="str">
        <f>VLOOKUP(A3207,'Thống kê'!$C$3:$E$682,3,0)</f>
        <v>cái</v>
      </c>
      <c r="D3207" s="437">
        <f>VLOOKUP(A3207,'Thống kê'!$C$3:$M$682,4,0)</f>
        <v>148000</v>
      </c>
      <c r="E3207" s="438">
        <v>1</v>
      </c>
      <c r="F3207" s="439">
        <f t="shared" si="13"/>
        <v>148000</v>
      </c>
      <c r="G3207" s="440"/>
      <c r="H3207" s="447">
        <v>180000</v>
      </c>
    </row>
    <row r="3208" spans="1:8" ht="13.2">
      <c r="A3208" s="454" t="s">
        <v>1341</v>
      </c>
      <c r="B3208" s="452" t="str">
        <f>VLOOKUP(A3208,'Thống kê'!$C$3:$D$669,2,0)</f>
        <v>Móc khóa chuối</v>
      </c>
      <c r="C3208" s="436" t="str">
        <f>VLOOKUP(A3208,'Thống kê'!$C$3:$E$682,3,0)</f>
        <v>cái</v>
      </c>
      <c r="D3208" s="437">
        <f>VLOOKUP(A3208,'Thống kê'!$C$3:$M$682,4,0)</f>
        <v>148000</v>
      </c>
      <c r="E3208" s="438">
        <v>1</v>
      </c>
      <c r="F3208" s="439">
        <f t="shared" si="13"/>
        <v>148000</v>
      </c>
      <c r="G3208" s="440"/>
      <c r="H3208" s="450"/>
    </row>
    <row r="3209" spans="1:8" ht="13.2">
      <c r="A3209" s="454" t="s">
        <v>115</v>
      </c>
      <c r="B3209" s="452" t="str">
        <f>VLOOKUP(A3209,'Thống kê'!$C$3:$D$669,2,0)</f>
        <v>Heo ú</v>
      </c>
      <c r="C3209" s="436" t="str">
        <f>VLOOKUP(A3209,'Thống kê'!$C$3:$E$682,3,0)</f>
        <v>cái</v>
      </c>
      <c r="D3209" s="437">
        <f>VLOOKUP(A3209,'Thống kê'!$C$3:$M$682,4,0)</f>
        <v>59500</v>
      </c>
      <c r="E3209" s="438">
        <v>1</v>
      </c>
      <c r="F3209" s="439">
        <f t="shared" si="13"/>
        <v>59500</v>
      </c>
      <c r="G3209" s="440"/>
      <c r="H3209" s="448">
        <v>43710</v>
      </c>
    </row>
    <row r="3210" spans="1:8" ht="13.2">
      <c r="A3210" s="454" t="s">
        <v>1621</v>
      </c>
      <c r="B3210" s="452" t="str">
        <f>VLOOKUP(A3210,'Thống kê'!$C$3:$D$669,2,0)</f>
        <v>Mô hình mèo 2</v>
      </c>
      <c r="C3210" s="436" t="str">
        <f>VLOOKUP(A3210,'Thống kê'!$C$3:$E$682,3,0)</f>
        <v>cái</v>
      </c>
      <c r="D3210" s="437">
        <f>VLOOKUP(A3210,'Thống kê'!$C$3:$M$682,4,0)</f>
        <v>37800</v>
      </c>
      <c r="E3210" s="438">
        <v>1</v>
      </c>
      <c r="F3210" s="439">
        <f t="shared" si="13"/>
        <v>37800</v>
      </c>
      <c r="G3210" s="440"/>
      <c r="H3210" s="447">
        <v>105698</v>
      </c>
    </row>
    <row r="3211" spans="1:8" ht="13.2">
      <c r="A3211" s="454" t="s">
        <v>1623</v>
      </c>
      <c r="B3211" s="452" t="str">
        <f>VLOOKUP(A3211,'Thống kê'!$C$3:$D$669,2,0)</f>
        <v>Mô hình mèo 5</v>
      </c>
      <c r="C3211" s="436" t="str">
        <f>VLOOKUP(A3211,'Thống kê'!$C$3:$E$682,3,0)</f>
        <v>cái</v>
      </c>
      <c r="D3211" s="437">
        <f>VLOOKUP(A3211,'Thống kê'!$C$3:$M$682,4,0)</f>
        <v>37800</v>
      </c>
      <c r="E3211" s="438">
        <v>1</v>
      </c>
      <c r="F3211" s="439">
        <f t="shared" si="13"/>
        <v>37800</v>
      </c>
      <c r="G3211" s="440"/>
      <c r="H3211" s="450"/>
    </row>
    <row r="3212" spans="1:8" ht="13.2">
      <c r="A3212" s="454" t="s">
        <v>1948</v>
      </c>
      <c r="B3212" s="452" t="str">
        <f>VLOOKUP(A3212,'Thống kê'!$C$3:$D$669,2,0)</f>
        <v>Ống 6 dây cột tóc be nâu</v>
      </c>
      <c r="C3212" s="436" t="str">
        <f>VLOOKUP(A3212,'Thống kê'!$C$3:$E$682,3,0)</f>
        <v>ống</v>
      </c>
      <c r="D3212" s="437">
        <f>VLOOKUP(A3212,'Thống kê'!$C$3:$M$682,4,0)</f>
        <v>20000</v>
      </c>
      <c r="E3212" s="438">
        <v>1</v>
      </c>
      <c r="F3212" s="439">
        <f t="shared" si="13"/>
        <v>20000</v>
      </c>
      <c r="G3212" s="440"/>
      <c r="H3212" s="450"/>
    </row>
    <row r="3213" spans="1:8" ht="13.2">
      <c r="A3213" s="454" t="s">
        <v>1952</v>
      </c>
      <c r="B3213" s="452" t="str">
        <f>VLOOKUP(A3213,'Thống kê'!$C$3:$D$669,2,0)</f>
        <v>Túi chườm bụng vịt vàng 500ml</v>
      </c>
      <c r="C3213" s="436" t="str">
        <f>VLOOKUP(A3213,'Thống kê'!$C$3:$E$682,3,0)</f>
        <v>túi</v>
      </c>
      <c r="D3213" s="437">
        <f>VLOOKUP(A3213,'Thống kê'!$C$3:$M$682,4,0)</f>
        <v>81000</v>
      </c>
      <c r="E3213" s="438">
        <v>1</v>
      </c>
      <c r="F3213" s="439">
        <f t="shared" si="13"/>
        <v>81000</v>
      </c>
      <c r="G3213" s="440"/>
      <c r="H3213" s="448">
        <v>59860</v>
      </c>
    </row>
    <row r="3214" spans="1:8" ht="13.2">
      <c r="A3214" s="454" t="s">
        <v>1624</v>
      </c>
      <c r="B3214" s="452" t="str">
        <f>VLOOKUP(A3214,'Thống kê'!$C$3:$D$669,2,0)</f>
        <v>Móc khóa mèo trái tim</v>
      </c>
      <c r="C3214" s="436" t="str">
        <f>VLOOKUP(A3214,'Thống kê'!$C$3:$E$682,3,0)</f>
        <v>cái</v>
      </c>
      <c r="D3214" s="437">
        <f>VLOOKUP(A3214,'Thống kê'!$C$3:$M$682,4,0)</f>
        <v>59000</v>
      </c>
      <c r="E3214" s="438">
        <v>1</v>
      </c>
      <c r="F3214" s="439">
        <f t="shared" si="13"/>
        <v>59000</v>
      </c>
      <c r="G3214" s="440"/>
      <c r="H3214" s="448">
        <v>44685</v>
      </c>
    </row>
    <row r="3215" spans="1:8" ht="13.2">
      <c r="A3215" s="454" t="s">
        <v>150</v>
      </c>
      <c r="B3215" s="452" t="str">
        <f>VLOOKUP(A3215,'Thống kê'!$C$3:$D$669,2,0)</f>
        <v>Móc khóa có chuông</v>
      </c>
      <c r="C3215" s="436" t="str">
        <f>VLOOKUP(A3215,'Thống kê'!$C$3:$E$682,3,0)</f>
        <v>cái</v>
      </c>
      <c r="D3215" s="437">
        <f>VLOOKUP(A3215,'Thống kê'!$C$3:$M$682,4,0)</f>
        <v>59000</v>
      </c>
      <c r="E3215" s="438">
        <v>1</v>
      </c>
      <c r="F3215" s="439">
        <f t="shared" si="13"/>
        <v>59000</v>
      </c>
      <c r="G3215" s="440"/>
      <c r="H3215" s="448">
        <v>43542</v>
      </c>
    </row>
    <row r="3216" spans="1:8" ht="13.2">
      <c r="A3216" s="454" t="s">
        <v>246</v>
      </c>
      <c r="B3216" s="452" t="str">
        <f>VLOOKUP(A3216,'Thống kê'!$C$3:$D$669,2,0)</f>
        <v>Móc khóa Popbean</v>
      </c>
      <c r="C3216" s="436" t="str">
        <f>VLOOKUP(A3216,'Thống kê'!$C$3:$E$682,3,0)</f>
        <v>cái</v>
      </c>
      <c r="D3216" s="437">
        <f>VLOOKUP(A3216,'Thống kê'!$C$3:$M$682,4,0)</f>
        <v>148000</v>
      </c>
      <c r="E3216" s="438">
        <v>1</v>
      </c>
      <c r="F3216" s="439">
        <f t="shared" si="13"/>
        <v>148000</v>
      </c>
      <c r="G3216" s="440"/>
      <c r="H3216" s="447">
        <v>210297</v>
      </c>
    </row>
    <row r="3217" spans="1:8" ht="13.2">
      <c r="A3217" s="454" t="s">
        <v>1663</v>
      </c>
      <c r="B3217" s="452" t="str">
        <f>VLOOKUP(A3217,'Thống kê'!$C$3:$D$669,2,0)</f>
        <v>Móc khóa Popbean Zsiga</v>
      </c>
      <c r="C3217" s="436" t="str">
        <f>VLOOKUP(A3217,'Thống kê'!$C$3:$E$682,3,0)</f>
        <v>cái</v>
      </c>
      <c r="D3217" s="437">
        <f>VLOOKUP(A3217,'Thống kê'!$C$3:$M$682,4,0)</f>
        <v>148000</v>
      </c>
      <c r="E3217" s="438">
        <v>1</v>
      </c>
      <c r="F3217" s="439">
        <f t="shared" si="13"/>
        <v>148000</v>
      </c>
      <c r="G3217" s="440"/>
      <c r="H3217" s="450"/>
    </row>
    <row r="3218" spans="1:8" ht="13.2">
      <c r="A3218" s="454" t="s">
        <v>1663</v>
      </c>
      <c r="B3218" s="452" t="str">
        <f>VLOOKUP(A3218,'Thống kê'!$C$3:$D$669,2,0)</f>
        <v>Móc khóa Popbean Zsiga</v>
      </c>
      <c r="C3218" s="436" t="str">
        <f>VLOOKUP(A3218,'Thống kê'!$C$3:$E$682,3,0)</f>
        <v>cái</v>
      </c>
      <c r="D3218" s="437">
        <f>VLOOKUP(A3218,'Thống kê'!$C$3:$M$682,4,0)</f>
        <v>148000</v>
      </c>
      <c r="E3218" s="438">
        <v>1</v>
      </c>
      <c r="F3218" s="439">
        <f t="shared" si="13"/>
        <v>148000</v>
      </c>
      <c r="G3218" s="440"/>
      <c r="H3218" s="447">
        <v>205438</v>
      </c>
    </row>
    <row r="3219" spans="1:8" ht="13.2">
      <c r="A3219" s="454" t="s">
        <v>1664</v>
      </c>
      <c r="B3219" s="452" t="str">
        <f>VLOOKUP(A3219,'Thống kê'!$C$3:$D$669,2,0)</f>
        <v>Móc khóa Popbean Lilios</v>
      </c>
      <c r="C3219" s="436" t="str">
        <f>VLOOKUP(A3219,'Thống kê'!$C$3:$E$682,3,0)</f>
        <v>cái</v>
      </c>
      <c r="D3219" s="437">
        <f>VLOOKUP(A3219,'Thống kê'!$C$3:$M$682,4,0)</f>
        <v>148000</v>
      </c>
      <c r="E3219" s="438">
        <v>1</v>
      </c>
      <c r="F3219" s="439">
        <f t="shared" si="13"/>
        <v>148000</v>
      </c>
      <c r="G3219" s="440"/>
      <c r="H3219" s="450"/>
    </row>
    <row r="3220" spans="1:8" ht="13.2">
      <c r="A3220" s="454" t="s">
        <v>1587</v>
      </c>
      <c r="B3220" s="452" t="str">
        <f>VLOOKUP(A3220,'Thống kê'!$C$3:$D$669,2,0)</f>
        <v>Vịt ú bay</v>
      </c>
      <c r="C3220" s="436" t="str">
        <f>VLOOKUP(A3220,'Thống kê'!$C$3:$E$682,3,0)</f>
        <v>cái</v>
      </c>
      <c r="D3220" s="437">
        <f>VLOOKUP(A3220,'Thống kê'!$C$3:$M$682,4,0)</f>
        <v>64500</v>
      </c>
      <c r="E3220" s="438">
        <v>1</v>
      </c>
      <c r="F3220" s="439">
        <f t="shared" si="13"/>
        <v>64500</v>
      </c>
      <c r="G3220" s="440"/>
      <c r="H3220" s="447">
        <v>95120</v>
      </c>
    </row>
    <row r="3221" spans="1:8" ht="13.2">
      <c r="A3221" s="454" t="s">
        <v>325</v>
      </c>
      <c r="B3221" s="452" t="str">
        <f>VLOOKUP(A3221,'Thống kê'!$C$3:$D$669,2,0)</f>
        <v>Gấu ú</v>
      </c>
      <c r="C3221" s="436" t="str">
        <f>VLOOKUP(A3221,'Thống kê'!$C$3:$E$682,3,0)</f>
        <v>cái</v>
      </c>
      <c r="D3221" s="437">
        <f>VLOOKUP(A3221,'Thống kê'!$C$3:$M$682,4,0)</f>
        <v>59500</v>
      </c>
      <c r="E3221" s="438">
        <v>1</v>
      </c>
      <c r="F3221" s="439">
        <f t="shared" si="13"/>
        <v>59500</v>
      </c>
      <c r="G3221" s="440"/>
      <c r="H3221" s="450"/>
    </row>
    <row r="3222" spans="1:8" ht="13.2">
      <c r="A3222" s="454" t="s">
        <v>278</v>
      </c>
      <c r="B3222" s="452" t="str">
        <f>VLOOKUP(A3222,'Thống kê'!$C$3:$D$669,2,0)</f>
        <v>Dao rọc giấy 09</v>
      </c>
      <c r="C3222" s="436" t="str">
        <f>VLOOKUP(A3222,'Thống kê'!$C$3:$E$682,3,0)</f>
        <v>cái</v>
      </c>
      <c r="D3222" s="437">
        <f>VLOOKUP(A3222,'Thống kê'!$C$3:$M$682,4,0)</f>
        <v>12000</v>
      </c>
      <c r="E3222" s="438">
        <v>2</v>
      </c>
      <c r="F3222" s="439">
        <f t="shared" si="13"/>
        <v>24000</v>
      </c>
      <c r="G3222" s="440"/>
      <c r="H3222" s="447">
        <v>128145</v>
      </c>
    </row>
    <row r="3223" spans="1:8" ht="13.2">
      <c r="A3223" s="454">
        <v>3000</v>
      </c>
      <c r="B3223" s="452" t="e">
        <f>VLOOKUP(A3223,'Thống kê'!$C$3:$D$669,2,0)</f>
        <v>#N/A</v>
      </c>
      <c r="C3223" s="436" t="e">
        <f>VLOOKUP(A3223,'Thống kê'!$C$3:$E$682,3,0)</f>
        <v>#N/A</v>
      </c>
      <c r="D3223" s="437" t="e">
        <f>VLOOKUP(A3223,'Thống kê'!$C$3:$M$682,4,0)</f>
        <v>#N/A</v>
      </c>
      <c r="E3223" s="438">
        <v>1</v>
      </c>
      <c r="F3223" s="439" t="e">
        <f t="shared" si="13"/>
        <v>#N/A</v>
      </c>
      <c r="G3223" s="440"/>
      <c r="H3223" s="450"/>
    </row>
    <row r="3224" spans="1:8" ht="13.2">
      <c r="A3224" s="454" t="s">
        <v>1660</v>
      </c>
      <c r="B3224" s="452" t="str">
        <f>VLOOKUP(A3224,'Thống kê'!$C$3:$D$669,2,0)</f>
        <v>Móc khóa Popbean Skull Panda</v>
      </c>
      <c r="C3224" s="436" t="str">
        <f>VLOOKUP(A3224,'Thống kê'!$C$3:$E$682,3,0)</f>
        <v>cái</v>
      </c>
      <c r="D3224" s="437">
        <f>VLOOKUP(A3224,'Thống kê'!$C$3:$M$682,4,0)</f>
        <v>155000</v>
      </c>
      <c r="E3224" s="438">
        <v>1</v>
      </c>
      <c r="F3224" s="439">
        <f t="shared" si="13"/>
        <v>155000</v>
      </c>
      <c r="G3224" s="440"/>
      <c r="H3224" s="450"/>
    </row>
    <row r="3225" spans="1:8" ht="13.2">
      <c r="A3225" s="454" t="s">
        <v>1589</v>
      </c>
      <c r="B3225" s="452" t="str">
        <f>VLOOKUP(A3225,'Thống kê'!$C$3:$D$669,2,0)</f>
        <v>Heo ú bay</v>
      </c>
      <c r="C3225" s="436" t="str">
        <f>VLOOKUP(A3225,'Thống kê'!$C$3:$E$682,3,0)</f>
        <v>cái</v>
      </c>
      <c r="D3225" s="437">
        <f>VLOOKUP(A3225,'Thống kê'!$C$3:$M$682,4,0)</f>
        <v>64500</v>
      </c>
      <c r="E3225" s="438">
        <v>2</v>
      </c>
      <c r="F3225" s="439">
        <f t="shared" si="13"/>
        <v>129000</v>
      </c>
      <c r="G3225" s="440"/>
      <c r="H3225" s="448">
        <v>99220</v>
      </c>
    </row>
    <row r="3226" spans="1:8" ht="13.2">
      <c r="A3226" s="454" t="s">
        <v>115</v>
      </c>
      <c r="B3226" s="452" t="str">
        <f>VLOOKUP(A3226,'Thống kê'!$C$3:$D$669,2,0)</f>
        <v>Heo ú</v>
      </c>
      <c r="C3226" s="436" t="str">
        <f>VLOOKUP(A3226,'Thống kê'!$C$3:$E$682,3,0)</f>
        <v>cái</v>
      </c>
      <c r="D3226" s="437">
        <f>VLOOKUP(A3226,'Thống kê'!$C$3:$M$682,4,0)</f>
        <v>59500</v>
      </c>
      <c r="E3226" s="438">
        <v>1</v>
      </c>
      <c r="F3226" s="439">
        <f t="shared" si="13"/>
        <v>59500</v>
      </c>
      <c r="G3226" s="440"/>
      <c r="H3226" s="448">
        <v>43710</v>
      </c>
    </row>
    <row r="3227" spans="1:8" ht="13.2">
      <c r="A3227" s="454" t="s">
        <v>172</v>
      </c>
      <c r="B3227" s="452" t="str">
        <f>VLOOKUP(A3227,'Thống kê'!$C$3:$D$669,2,0)</f>
        <v>Dao rọc giấy 16</v>
      </c>
      <c r="C3227" s="436" t="str">
        <f>VLOOKUP(A3227,'Thống kê'!$C$3:$E$682,3,0)</f>
        <v>cái</v>
      </c>
      <c r="D3227" s="437">
        <f>VLOOKUP(A3227,'Thống kê'!$C$3:$M$682,4,0)</f>
        <v>12000</v>
      </c>
      <c r="E3227" s="438">
        <v>1</v>
      </c>
      <c r="F3227" s="439">
        <f t="shared" si="13"/>
        <v>12000</v>
      </c>
      <c r="G3227" s="440"/>
      <c r="H3227" s="447">
        <v>530360</v>
      </c>
    </row>
    <row r="3228" spans="1:8" ht="13.2">
      <c r="A3228" s="454" t="s">
        <v>1339</v>
      </c>
      <c r="B3228" s="452" t="str">
        <f>VLOOKUP(A3228,'Thống kê'!$C$3:$D$669,2,0)</f>
        <v>Móc khóa chuối</v>
      </c>
      <c r="C3228" s="436" t="str">
        <f>VLOOKUP(A3228,'Thống kê'!$C$3:$E$682,3,0)</f>
        <v>cái</v>
      </c>
      <c r="D3228" s="437">
        <f>VLOOKUP(A3228,'Thống kê'!$C$3:$M$682,4,0)</f>
        <v>148000</v>
      </c>
      <c r="E3228" s="438">
        <v>1</v>
      </c>
      <c r="F3228" s="439">
        <f t="shared" si="13"/>
        <v>148000</v>
      </c>
      <c r="G3228" s="440"/>
      <c r="H3228" s="450"/>
    </row>
    <row r="3229" spans="1:8" ht="13.2">
      <c r="A3229" s="454" t="s">
        <v>1364</v>
      </c>
      <c r="B3229" s="452" t="str">
        <f>VLOOKUP(A3229,'Thống kê'!$C$3:$D$669,2,0)</f>
        <v>Móc khóa Popbean</v>
      </c>
      <c r="C3229" s="436" t="str">
        <f>VLOOKUP(A3229,'Thống kê'!$C$3:$E$682,3,0)</f>
        <v>cái</v>
      </c>
      <c r="D3229" s="437">
        <f>VLOOKUP(A3229,'Thống kê'!$C$3:$M$682,4,0)</f>
        <v>148000</v>
      </c>
      <c r="E3229" s="438">
        <v>1</v>
      </c>
      <c r="F3229" s="439">
        <f t="shared" si="13"/>
        <v>148000</v>
      </c>
      <c r="G3229" s="440"/>
      <c r="H3229" s="450"/>
    </row>
    <row r="3230" spans="1:8" ht="13.2">
      <c r="A3230" s="454" t="s">
        <v>1660</v>
      </c>
      <c r="B3230" s="452" t="str">
        <f>VLOOKUP(A3230,'Thống kê'!$C$3:$D$669,2,0)</f>
        <v>Móc khóa Popbean Skull Panda</v>
      </c>
      <c r="C3230" s="436" t="str">
        <f>VLOOKUP(A3230,'Thống kê'!$C$3:$E$682,3,0)</f>
        <v>cái</v>
      </c>
      <c r="D3230" s="437">
        <f>VLOOKUP(A3230,'Thống kê'!$C$3:$M$682,4,0)</f>
        <v>155000</v>
      </c>
      <c r="E3230" s="438">
        <v>2</v>
      </c>
      <c r="F3230" s="439">
        <f t="shared" si="13"/>
        <v>310000</v>
      </c>
      <c r="G3230" s="440"/>
      <c r="H3230" s="450"/>
    </row>
    <row r="3231" spans="1:8" ht="13.2">
      <c r="A3231" s="454" t="s">
        <v>325</v>
      </c>
      <c r="B3231" s="452" t="str">
        <f>VLOOKUP(A3231,'Thống kê'!$C$3:$D$669,2,0)</f>
        <v>Gấu ú</v>
      </c>
      <c r="C3231" s="436" t="str">
        <f>VLOOKUP(A3231,'Thống kê'!$C$3:$E$682,3,0)</f>
        <v>cái</v>
      </c>
      <c r="D3231" s="437">
        <f>VLOOKUP(A3231,'Thống kê'!$C$3:$M$682,4,0)</f>
        <v>59500</v>
      </c>
      <c r="E3231" s="438">
        <v>1</v>
      </c>
      <c r="F3231" s="439">
        <f t="shared" si="13"/>
        <v>59500</v>
      </c>
      <c r="G3231" s="440"/>
      <c r="H3231" s="448">
        <v>48390</v>
      </c>
    </row>
    <row r="3232" spans="1:8" ht="13.2">
      <c r="A3232" s="454" t="s">
        <v>115</v>
      </c>
      <c r="B3232" s="452" t="str">
        <f>VLOOKUP(A3232,'Thống kê'!$C$3:$D$669,2,0)</f>
        <v>Heo ú</v>
      </c>
      <c r="C3232" s="436" t="str">
        <f>VLOOKUP(A3232,'Thống kê'!$C$3:$E$682,3,0)</f>
        <v>cái</v>
      </c>
      <c r="D3232" s="437">
        <f>VLOOKUP(A3232,'Thống kê'!$C$3:$M$682,4,0)</f>
        <v>59500</v>
      </c>
      <c r="E3232" s="438">
        <v>1</v>
      </c>
      <c r="F3232" s="439">
        <f t="shared" si="13"/>
        <v>59500</v>
      </c>
      <c r="G3232" s="440"/>
      <c r="H3232" s="448">
        <v>48790</v>
      </c>
    </row>
    <row r="3233" spans="1:8" ht="13.2">
      <c r="A3233" s="454" t="s">
        <v>1647</v>
      </c>
      <c r="B3233" s="452" t="str">
        <f>VLOOKUP(A3233,'Thống kê'!$C$3:$D$669,2,0)</f>
        <v>Túi chườm bụng dứa (xanh đậm) 500ml</v>
      </c>
      <c r="C3233" s="436" t="str">
        <f>VLOOKUP(A3233,'Thống kê'!$C$3:$E$682,3,0)</f>
        <v>túi</v>
      </c>
      <c r="D3233" s="437">
        <f>VLOOKUP(A3233,'Thống kê'!$C$3:$M$682,4,0)</f>
        <v>78200</v>
      </c>
      <c r="E3233" s="438">
        <v>1</v>
      </c>
      <c r="F3233" s="439">
        <f t="shared" si="13"/>
        <v>78200</v>
      </c>
      <c r="G3233" s="440"/>
      <c r="H3233" s="448">
        <v>63777</v>
      </c>
    </row>
    <row r="3234" spans="1:8" ht="13.2">
      <c r="A3234" s="454" t="s">
        <v>115</v>
      </c>
      <c r="B3234" s="452" t="str">
        <f>VLOOKUP(A3234,'Thống kê'!$C$3:$D$669,2,0)</f>
        <v>Heo ú</v>
      </c>
      <c r="C3234" s="436" t="str">
        <f>VLOOKUP(A3234,'Thống kê'!$C$3:$E$682,3,0)</f>
        <v>cái</v>
      </c>
      <c r="D3234" s="437">
        <f>VLOOKUP(A3234,'Thống kê'!$C$3:$M$682,4,0)</f>
        <v>59500</v>
      </c>
      <c r="E3234" s="438">
        <v>1</v>
      </c>
      <c r="F3234" s="439">
        <f t="shared" si="13"/>
        <v>59500</v>
      </c>
      <c r="G3234" s="440"/>
      <c r="H3234" s="447">
        <v>86986</v>
      </c>
    </row>
    <row r="3235" spans="1:8" ht="13.2">
      <c r="A3235" s="454" t="s">
        <v>1594</v>
      </c>
      <c r="B3235" s="452" t="str">
        <f>VLOOKUP(A3235,'Thống kê'!$C$3:$D$669,2,0)</f>
        <v>Móc khóa đôi heo</v>
      </c>
      <c r="C3235" s="436" t="str">
        <f>VLOOKUP(A3235,'Thống kê'!$C$3:$E$682,3,0)</f>
        <v>cái</v>
      </c>
      <c r="D3235" s="437">
        <f>VLOOKUP(A3235,'Thống kê'!$C$3:$M$682,4,0)</f>
        <v>56580</v>
      </c>
      <c r="E3235" s="438">
        <v>1</v>
      </c>
      <c r="F3235" s="439">
        <f t="shared" si="13"/>
        <v>56580</v>
      </c>
      <c r="G3235" s="440"/>
      <c r="H3235" s="450"/>
    </row>
    <row r="3236" spans="1:8" ht="13.2">
      <c r="A3236" s="454" t="s">
        <v>1591</v>
      </c>
      <c r="B3236" s="452" t="str">
        <f>VLOOKUP(A3236,'Thống kê'!$C$3:$D$669,2,0)</f>
        <v>Thỏ ú</v>
      </c>
      <c r="C3236" s="436" t="str">
        <f>VLOOKUP(A3236,'Thống kê'!$C$3:$E$682,3,0)</f>
        <v>cái</v>
      </c>
      <c r="D3236" s="437">
        <f>VLOOKUP(A3236,'Thống kê'!$C$3:$M$682,4,0)</f>
        <v>59500</v>
      </c>
      <c r="E3236" s="438">
        <v>1</v>
      </c>
      <c r="F3236" s="439">
        <f t="shared" si="13"/>
        <v>59500</v>
      </c>
      <c r="G3236" s="440"/>
      <c r="H3236" s="448">
        <v>48390</v>
      </c>
    </row>
    <row r="3237" spans="1:8" ht="13.2">
      <c r="A3237" s="454" t="s">
        <v>1364</v>
      </c>
      <c r="B3237" s="452" t="str">
        <f>VLOOKUP(A3237,'Thống kê'!$C$3:$D$669,2,0)</f>
        <v>Móc khóa Popbean</v>
      </c>
      <c r="C3237" s="436" t="str">
        <f>VLOOKUP(A3237,'Thống kê'!$C$3:$E$682,3,0)</f>
        <v>cái</v>
      </c>
      <c r="D3237" s="437">
        <f>VLOOKUP(A3237,'Thống kê'!$C$3:$M$682,4,0)</f>
        <v>148000</v>
      </c>
      <c r="E3237" s="438">
        <v>1</v>
      </c>
      <c r="F3237" s="439">
        <f t="shared" si="13"/>
        <v>148000</v>
      </c>
      <c r="G3237" s="440"/>
      <c r="H3237" s="448">
        <v>138580</v>
      </c>
    </row>
    <row r="3238" spans="1:8" ht="13.2">
      <c r="A3238" s="454" t="s">
        <v>150</v>
      </c>
      <c r="B3238" s="452" t="str">
        <f>VLOOKUP(A3238,'Thống kê'!$C$3:$D$669,2,0)</f>
        <v>Móc khóa có chuông</v>
      </c>
      <c r="C3238" s="436" t="str">
        <f>VLOOKUP(A3238,'Thống kê'!$C$3:$E$682,3,0)</f>
        <v>cái</v>
      </c>
      <c r="D3238" s="437">
        <f>VLOOKUP(A3238,'Thống kê'!$C$3:$M$682,4,0)</f>
        <v>59000</v>
      </c>
      <c r="E3238" s="438">
        <v>1</v>
      </c>
      <c r="F3238" s="439">
        <f t="shared" si="13"/>
        <v>59000</v>
      </c>
      <c r="G3238" s="440"/>
      <c r="H3238" s="448">
        <v>42892</v>
      </c>
    </row>
    <row r="3239" spans="1:8" ht="13.2">
      <c r="A3239" s="454" t="s">
        <v>115</v>
      </c>
      <c r="B3239" s="452" t="str">
        <f>VLOOKUP(A3239,'Thống kê'!$C$3:$D$669,2,0)</f>
        <v>Heo ú</v>
      </c>
      <c r="C3239" s="436" t="str">
        <f>VLOOKUP(A3239,'Thống kê'!$C$3:$E$682,3,0)</f>
        <v>cái</v>
      </c>
      <c r="D3239" s="437">
        <f>VLOOKUP(A3239,'Thống kê'!$C$3:$M$682,4,0)</f>
        <v>59500</v>
      </c>
      <c r="E3239" s="438">
        <v>1</v>
      </c>
      <c r="F3239" s="439">
        <f t="shared" si="13"/>
        <v>59500</v>
      </c>
      <c r="G3239" s="440"/>
      <c r="H3239" s="448">
        <v>43910</v>
      </c>
    </row>
    <row r="3240" spans="1:8" ht="13.2">
      <c r="A3240" s="454" t="s">
        <v>1593</v>
      </c>
      <c r="B3240" s="452" t="str">
        <f>VLOOKUP(A3240,'Thống kê'!$C$3:$D$669,2,0)</f>
        <v>Heo cưỡi kì lân gắn xe</v>
      </c>
      <c r="C3240" s="436" t="str">
        <f>VLOOKUP(A3240,'Thống kê'!$C$3:$E$682,3,0)</f>
        <v>cái</v>
      </c>
      <c r="D3240" s="437">
        <f>VLOOKUP(A3240,'Thống kê'!$C$3:$M$682,4,0)</f>
        <v>45000</v>
      </c>
      <c r="E3240" s="438">
        <v>1</v>
      </c>
      <c r="F3240" s="439">
        <f t="shared" si="13"/>
        <v>45000</v>
      </c>
      <c r="G3240" s="440"/>
      <c r="H3240" s="447">
        <v>59598</v>
      </c>
    </row>
    <row r="3241" spans="1:8" ht="13.2">
      <c r="A3241" s="454" t="s">
        <v>119</v>
      </c>
      <c r="B3241" s="452" t="str">
        <f>VLOOKUP(A3241,'Thống kê'!$C$3:$D$669,2,0)</f>
        <v>Thỏ chạy xe gắn xe</v>
      </c>
      <c r="C3241" s="436" t="str">
        <f>VLOOKUP(A3241,'Thống kê'!$C$3:$E$682,3,0)</f>
        <v>cái</v>
      </c>
      <c r="D3241" s="437">
        <f>VLOOKUP(A3241,'Thống kê'!$C$3:$M$682,4,0)</f>
        <v>45000</v>
      </c>
      <c r="E3241" s="438">
        <v>1</v>
      </c>
      <c r="F3241" s="439">
        <f t="shared" si="13"/>
        <v>45000</v>
      </c>
      <c r="G3241" s="440"/>
      <c r="H3241" s="450"/>
    </row>
    <row r="3242" spans="1:8" ht="13.2">
      <c r="A3242" s="454" t="s">
        <v>1632</v>
      </c>
      <c r="B3242" s="452" t="str">
        <f>VLOOKUP(A3242,'Thống kê'!$C$3:$D$669,2,0)</f>
        <v>Móc khóa đôi mèo trắng</v>
      </c>
      <c r="C3242" s="436" t="str">
        <f>VLOOKUP(A3242,'Thống kê'!$C$3:$E$682,3,0)</f>
        <v>cái</v>
      </c>
      <c r="D3242" s="437">
        <f>VLOOKUP(A3242,'Thống kê'!$C$3:$M$682,4,0)</f>
        <v>59000</v>
      </c>
      <c r="E3242" s="438">
        <v>-1</v>
      </c>
      <c r="F3242" s="439">
        <f t="shared" si="13"/>
        <v>-59000</v>
      </c>
      <c r="G3242" s="440"/>
      <c r="H3242" s="448">
        <v>-53100</v>
      </c>
    </row>
    <row r="3243" spans="1:8" ht="13.2">
      <c r="A3243" s="454" t="s">
        <v>1300</v>
      </c>
      <c r="B3243" s="452" t="str">
        <f>VLOOKUP(A3243,'Thống kê'!$C$3:$D$669,2,0)</f>
        <v>Móc khóa đôi Capypara</v>
      </c>
      <c r="C3243" s="436" t="str">
        <f>VLOOKUP(A3243,'Thống kê'!$C$3:$E$682,3,0)</f>
        <v>cái</v>
      </c>
      <c r="D3243" s="437">
        <f>VLOOKUP(A3243,'Thống kê'!$C$3:$M$682,4,0)</f>
        <v>59000</v>
      </c>
      <c r="E3243" s="438">
        <v>1</v>
      </c>
      <c r="F3243" s="439">
        <f t="shared" si="13"/>
        <v>59000</v>
      </c>
      <c r="G3243" s="440"/>
      <c r="H3243" s="448">
        <v>43467</v>
      </c>
    </row>
    <row r="3244" spans="1:8" ht="13.2">
      <c r="A3244" s="454" t="s">
        <v>1206</v>
      </c>
      <c r="B3244" s="452" t="str">
        <f>VLOOKUP(A3244,'Thống kê'!$C$3:$D$669,2,0)</f>
        <v>Móc khóa có chuông</v>
      </c>
      <c r="C3244" s="436" t="str">
        <f>VLOOKUP(A3244,'Thống kê'!$C$3:$E$682,3,0)</f>
        <v>cái</v>
      </c>
      <c r="D3244" s="437">
        <f>VLOOKUP(A3244,'Thống kê'!$C$3:$M$682,4,0)</f>
        <v>59000</v>
      </c>
      <c r="E3244" s="438">
        <v>1</v>
      </c>
      <c r="F3244" s="439">
        <f t="shared" si="13"/>
        <v>59000</v>
      </c>
      <c r="G3244" s="440"/>
      <c r="H3244" s="448">
        <v>48180</v>
      </c>
    </row>
    <row r="3245" spans="1:8" ht="13.2">
      <c r="A3245" s="454" t="s">
        <v>1300</v>
      </c>
      <c r="B3245" s="452" t="str">
        <f>VLOOKUP(A3245,'Thống kê'!$C$3:$D$669,2,0)</f>
        <v>Móc khóa đôi Capypara</v>
      </c>
      <c r="C3245" s="436" t="str">
        <f>VLOOKUP(A3245,'Thống kê'!$C$3:$E$682,3,0)</f>
        <v>cái</v>
      </c>
      <c r="D3245" s="437">
        <f>VLOOKUP(A3245,'Thống kê'!$C$3:$M$682,4,0)</f>
        <v>59000</v>
      </c>
      <c r="E3245" s="438">
        <v>1</v>
      </c>
      <c r="F3245" s="439">
        <f t="shared" si="13"/>
        <v>59000</v>
      </c>
      <c r="G3245" s="440"/>
      <c r="H3245" s="448">
        <v>48180</v>
      </c>
    </row>
    <row r="3246" spans="1:8" ht="13.2">
      <c r="A3246" s="454" t="s">
        <v>1208</v>
      </c>
      <c r="B3246" s="452" t="str">
        <f>VLOOKUP(A3246,'Thống kê'!$C$3:$D$669,2,0)</f>
        <v>Móc khóa mèo trái tim</v>
      </c>
      <c r="C3246" s="436" t="str">
        <f>VLOOKUP(A3246,'Thống kê'!$C$3:$E$682,3,0)</f>
        <v>cái</v>
      </c>
      <c r="D3246" s="437">
        <f>VLOOKUP(A3246,'Thống kê'!$C$3:$M$682,4,0)</f>
        <v>59000</v>
      </c>
      <c r="E3246" s="438">
        <v>1</v>
      </c>
      <c r="F3246" s="439">
        <f t="shared" si="13"/>
        <v>59000</v>
      </c>
      <c r="G3246" s="440"/>
      <c r="H3246" s="448">
        <v>48180</v>
      </c>
    </row>
    <row r="3247" spans="1:8" ht="13.2">
      <c r="A3247" s="454" t="s">
        <v>891</v>
      </c>
      <c r="B3247" s="452" t="str">
        <f>VLOOKUP(A3247,'Thống kê'!$C$3:$D$669,2,0)</f>
        <v>Heo ú</v>
      </c>
      <c r="C3247" s="436" t="str">
        <f>VLOOKUP(A3247,'Thống kê'!$C$3:$E$682,3,0)</f>
        <v>cái</v>
      </c>
      <c r="D3247" s="437">
        <f>VLOOKUP(A3247,'Thống kê'!$C$3:$M$682,4,0)</f>
        <v>59500</v>
      </c>
      <c r="E3247" s="438">
        <v>1</v>
      </c>
      <c r="F3247" s="439">
        <f t="shared" si="13"/>
        <v>59500</v>
      </c>
      <c r="G3247" s="440"/>
      <c r="H3247" s="448">
        <v>52808</v>
      </c>
    </row>
    <row r="3248" spans="1:8" ht="13.2">
      <c r="A3248" s="454" t="s">
        <v>1208</v>
      </c>
      <c r="B3248" s="452" t="str">
        <f>VLOOKUP(A3248,'Thống kê'!$C$3:$D$669,2,0)</f>
        <v>Móc khóa mèo trái tim</v>
      </c>
      <c r="C3248" s="436" t="str">
        <f>VLOOKUP(A3248,'Thống kê'!$C$3:$E$682,3,0)</f>
        <v>cái</v>
      </c>
      <c r="D3248" s="437">
        <f>VLOOKUP(A3248,'Thống kê'!$C$3:$M$682,4,0)</f>
        <v>59000</v>
      </c>
      <c r="E3248" s="438">
        <v>1</v>
      </c>
      <c r="F3248" s="439">
        <f t="shared" si="13"/>
        <v>59000</v>
      </c>
      <c r="G3248" s="440"/>
      <c r="H3248" s="448">
        <v>47980</v>
      </c>
    </row>
    <row r="3249" spans="1:8" ht="13.2">
      <c r="A3249" s="454" t="s">
        <v>119</v>
      </c>
      <c r="B3249" s="452" t="str">
        <f>VLOOKUP(A3249,'Thống kê'!$C$3:$D$669,2,0)</f>
        <v>Thỏ chạy xe gắn xe</v>
      </c>
      <c r="C3249" s="436" t="str">
        <f>VLOOKUP(A3249,'Thống kê'!$C$3:$E$682,3,0)</f>
        <v>cái</v>
      </c>
      <c r="D3249" s="437">
        <f>VLOOKUP(A3249,'Thống kê'!$C$3:$M$682,4,0)</f>
        <v>45000</v>
      </c>
      <c r="E3249" s="438">
        <v>1</v>
      </c>
      <c r="F3249" s="439">
        <f t="shared" si="13"/>
        <v>45000</v>
      </c>
      <c r="G3249" s="440"/>
      <c r="H3249" s="447">
        <v>102090</v>
      </c>
    </row>
    <row r="3250" spans="1:8" ht="13.2">
      <c r="A3250" s="454" t="s">
        <v>1344</v>
      </c>
      <c r="B3250" s="452" t="str">
        <f>VLOOKUP(A3250,'Thống kê'!$C$3:$D$669,2,0)</f>
        <v>Móc khóa chuối</v>
      </c>
      <c r="C3250" s="436" t="str">
        <f>VLOOKUP(A3250,'Thống kê'!$C$3:$E$682,3,0)</f>
        <v>cái</v>
      </c>
      <c r="D3250" s="437">
        <f>VLOOKUP(A3250,'Thống kê'!$C$3:$M$682,4,0)</f>
        <v>148000</v>
      </c>
      <c r="E3250" s="438">
        <v>1</v>
      </c>
      <c r="F3250" s="439">
        <f t="shared" si="13"/>
        <v>148000</v>
      </c>
      <c r="G3250" s="440"/>
      <c r="H3250" s="450"/>
    </row>
    <row r="3251" spans="1:8" ht="13.2">
      <c r="A3251" s="454" t="s">
        <v>1594</v>
      </c>
      <c r="B3251" s="452" t="str">
        <f>VLOOKUP(A3251,'Thống kê'!$C$3:$D$669,2,0)</f>
        <v>Móc khóa đôi heo</v>
      </c>
      <c r="C3251" s="436" t="str">
        <f>VLOOKUP(A3251,'Thống kê'!$C$3:$E$682,3,0)</f>
        <v>cái</v>
      </c>
      <c r="D3251" s="437">
        <f>VLOOKUP(A3251,'Thống kê'!$C$3:$M$682,4,0)</f>
        <v>56580</v>
      </c>
      <c r="E3251" s="438">
        <v>1</v>
      </c>
      <c r="F3251" s="439">
        <f t="shared" si="13"/>
        <v>56580</v>
      </c>
      <c r="G3251" s="440"/>
      <c r="H3251" s="448">
        <v>45746</v>
      </c>
    </row>
    <row r="3252" spans="1:8" ht="13.2">
      <c r="A3252" s="454" t="s">
        <v>1340</v>
      </c>
      <c r="B3252" s="452" t="str">
        <f>VLOOKUP(A3252,'Thống kê'!$C$3:$D$669,2,0)</f>
        <v>Móc khóa chuối</v>
      </c>
      <c r="C3252" s="436" t="str">
        <f>VLOOKUP(A3252,'Thống kê'!$C$3:$E$682,3,0)</f>
        <v>cái</v>
      </c>
      <c r="D3252" s="437">
        <f>VLOOKUP(A3252,'Thống kê'!$C$3:$M$682,4,0)</f>
        <v>148000</v>
      </c>
      <c r="E3252" s="438">
        <v>1</v>
      </c>
      <c r="F3252" s="439">
        <f t="shared" si="13"/>
        <v>148000</v>
      </c>
      <c r="G3252" s="440"/>
      <c r="H3252" s="448">
        <v>77825</v>
      </c>
    </row>
    <row r="3253" spans="1:8" ht="13.2">
      <c r="A3253" s="454" t="s">
        <v>1366</v>
      </c>
      <c r="B3253" s="452" t="str">
        <f>VLOOKUP(A3253,'Thống kê'!$C$3:$D$669,2,0)</f>
        <v>Móc khóa Popbean</v>
      </c>
      <c r="C3253" s="436" t="str">
        <f>VLOOKUP(A3253,'Thống kê'!$C$3:$E$682,3,0)</f>
        <v>cái</v>
      </c>
      <c r="D3253" s="437">
        <f>VLOOKUP(A3253,'Thống kê'!$C$3:$M$682,4,0)</f>
        <v>148000</v>
      </c>
      <c r="E3253" s="438">
        <v>1</v>
      </c>
      <c r="F3253" s="439">
        <f t="shared" si="13"/>
        <v>148000</v>
      </c>
      <c r="G3253" s="440"/>
      <c r="H3253" s="448">
        <v>135150</v>
      </c>
    </row>
    <row r="3254" spans="1:8" ht="13.2">
      <c r="A3254" s="454" t="s">
        <v>1624</v>
      </c>
      <c r="B3254" s="452" t="str">
        <f>VLOOKUP(A3254,'Thống kê'!$C$3:$D$669,2,0)</f>
        <v>Móc khóa mèo trái tim</v>
      </c>
      <c r="C3254" s="436" t="str">
        <f>VLOOKUP(A3254,'Thống kê'!$C$3:$E$682,3,0)</f>
        <v>cái</v>
      </c>
      <c r="D3254" s="437">
        <f>VLOOKUP(A3254,'Thống kê'!$C$3:$M$682,4,0)</f>
        <v>59000</v>
      </c>
      <c r="E3254" s="438">
        <v>1</v>
      </c>
      <c r="F3254" s="439">
        <f t="shared" si="13"/>
        <v>59000</v>
      </c>
      <c r="G3254" s="440"/>
      <c r="H3254" s="447">
        <v>139400</v>
      </c>
    </row>
    <row r="3255" spans="1:8" ht="13.2">
      <c r="A3255" s="454" t="s">
        <v>150</v>
      </c>
      <c r="B3255" s="452" t="str">
        <f>VLOOKUP(A3255,'Thống kê'!$C$3:$D$669,2,0)</f>
        <v>Móc khóa có chuông</v>
      </c>
      <c r="C3255" s="436" t="str">
        <f>VLOOKUP(A3255,'Thống kê'!$C$3:$E$682,3,0)</f>
        <v>cái</v>
      </c>
      <c r="D3255" s="437">
        <f>VLOOKUP(A3255,'Thống kê'!$C$3:$M$682,4,0)</f>
        <v>59000</v>
      </c>
      <c r="E3255" s="438">
        <v>2</v>
      </c>
      <c r="F3255" s="439">
        <f t="shared" si="13"/>
        <v>118000</v>
      </c>
      <c r="G3255" s="440"/>
      <c r="H3255" s="450"/>
    </row>
    <row r="3256" spans="1:8" ht="13.2">
      <c r="A3256" s="454" t="s">
        <v>1364</v>
      </c>
      <c r="B3256" s="452" t="str">
        <f>VLOOKUP(A3256,'Thống kê'!$C$3:$D$669,2,0)</f>
        <v>Móc khóa Popbean</v>
      </c>
      <c r="C3256" s="436" t="str">
        <f>VLOOKUP(A3256,'Thống kê'!$C$3:$E$682,3,0)</f>
        <v>cái</v>
      </c>
      <c r="D3256" s="437">
        <f>VLOOKUP(A3256,'Thống kê'!$C$3:$M$682,4,0)</f>
        <v>148000</v>
      </c>
      <c r="E3256" s="438">
        <v>1</v>
      </c>
      <c r="F3256" s="439">
        <f t="shared" si="13"/>
        <v>148000</v>
      </c>
      <c r="G3256" s="440"/>
      <c r="H3256" s="448">
        <v>141040</v>
      </c>
    </row>
    <row r="3257" spans="1:8" ht="13.2">
      <c r="A3257" s="454" t="s">
        <v>115</v>
      </c>
      <c r="B3257" s="452" t="str">
        <f>VLOOKUP(A3257,'Thống kê'!$C$3:$D$669,2,0)</f>
        <v>Heo ú</v>
      </c>
      <c r="C3257" s="436" t="str">
        <f>VLOOKUP(A3257,'Thống kê'!$C$3:$E$682,3,0)</f>
        <v>cái</v>
      </c>
      <c r="D3257" s="437">
        <f>VLOOKUP(A3257,'Thống kê'!$C$3:$M$682,4,0)</f>
        <v>59500</v>
      </c>
      <c r="E3257" s="438">
        <v>1</v>
      </c>
      <c r="F3257" s="439">
        <f t="shared" si="13"/>
        <v>59500</v>
      </c>
      <c r="G3257" s="440"/>
      <c r="H3257" s="448">
        <v>54740</v>
      </c>
    </row>
    <row r="3258" spans="1:8" ht="13.2">
      <c r="A3258" s="454" t="s">
        <v>150</v>
      </c>
      <c r="B3258" s="452" t="str">
        <f>VLOOKUP(A3258,'Thống kê'!$C$3:$D$669,2,0)</f>
        <v>Móc khóa có chuông</v>
      </c>
      <c r="C3258" s="436" t="str">
        <f>VLOOKUP(A3258,'Thống kê'!$C$3:$E$682,3,0)</f>
        <v>cái</v>
      </c>
      <c r="D3258" s="437">
        <f>VLOOKUP(A3258,'Thống kê'!$C$3:$M$682,4,0)</f>
        <v>59000</v>
      </c>
      <c r="E3258" s="438">
        <v>1</v>
      </c>
      <c r="F3258" s="439">
        <f t="shared" si="13"/>
        <v>59000</v>
      </c>
      <c r="G3258" s="440"/>
      <c r="H3258" s="448">
        <v>43142</v>
      </c>
    </row>
    <row r="3259" spans="1:8" ht="13.2">
      <c r="A3259" s="454" t="s">
        <v>1591</v>
      </c>
      <c r="B3259" s="452" t="str">
        <f>VLOOKUP(A3259,'Thống kê'!$C$3:$D$669,2,0)</f>
        <v>Thỏ ú</v>
      </c>
      <c r="C3259" s="436" t="str">
        <f>VLOOKUP(A3259,'Thống kê'!$C$3:$E$682,3,0)</f>
        <v>cái</v>
      </c>
      <c r="D3259" s="437">
        <f>VLOOKUP(A3259,'Thống kê'!$C$3:$M$682,4,0)</f>
        <v>59500</v>
      </c>
      <c r="E3259" s="438">
        <v>1</v>
      </c>
      <c r="F3259" s="439">
        <f t="shared" si="13"/>
        <v>59500</v>
      </c>
      <c r="G3259" s="440"/>
      <c r="H3259" s="447">
        <v>100040</v>
      </c>
    </row>
    <row r="3260" spans="1:8" ht="13.2">
      <c r="A3260" s="454" t="s">
        <v>150</v>
      </c>
      <c r="B3260" s="452" t="str">
        <f>VLOOKUP(A3260,'Thống kê'!$C$3:$D$669,2,0)</f>
        <v>Móc khóa có chuông</v>
      </c>
      <c r="C3260" s="436" t="str">
        <f>VLOOKUP(A3260,'Thống kê'!$C$3:$E$682,3,0)</f>
        <v>cái</v>
      </c>
      <c r="D3260" s="437">
        <f>VLOOKUP(A3260,'Thống kê'!$C$3:$M$682,4,0)</f>
        <v>59000</v>
      </c>
      <c r="E3260" s="438">
        <v>1</v>
      </c>
      <c r="F3260" s="439">
        <f t="shared" si="13"/>
        <v>59000</v>
      </c>
      <c r="G3260" s="440"/>
      <c r="H3260" s="450"/>
    </row>
    <row r="3261" spans="1:8" ht="13.2">
      <c r="A3261" s="454" t="s">
        <v>1591</v>
      </c>
      <c r="B3261" s="452" t="str">
        <f>VLOOKUP(A3261,'Thống kê'!$C$3:$D$669,2,0)</f>
        <v>Thỏ ú</v>
      </c>
      <c r="C3261" s="436" t="str">
        <f>VLOOKUP(A3261,'Thống kê'!$C$3:$E$682,3,0)</f>
        <v>cái</v>
      </c>
      <c r="D3261" s="437">
        <f>VLOOKUP(A3261,'Thống kê'!$C$3:$M$682,4,0)</f>
        <v>59500</v>
      </c>
      <c r="E3261" s="438">
        <v>2</v>
      </c>
      <c r="F3261" s="439">
        <f t="shared" si="13"/>
        <v>119000</v>
      </c>
      <c r="G3261" s="440"/>
      <c r="H3261" s="447">
        <v>169665</v>
      </c>
    </row>
    <row r="3262" spans="1:8" ht="13.2">
      <c r="A3262" s="454" t="s">
        <v>1586</v>
      </c>
      <c r="B3262" s="452" t="str">
        <f>VLOOKUP(A3262,'Thống kê'!$C$3:$D$669,2,0)</f>
        <v>Thỏ ú hoa</v>
      </c>
      <c r="C3262" s="436" t="str">
        <f>VLOOKUP(A3262,'Thống kê'!$C$3:$E$682,3,0)</f>
        <v>cái</v>
      </c>
      <c r="D3262" s="437">
        <f>VLOOKUP(A3262,'Thống kê'!$C$3:$M$682,4,0)</f>
        <v>64500</v>
      </c>
      <c r="E3262" s="438">
        <v>1</v>
      </c>
      <c r="F3262" s="439">
        <f t="shared" si="13"/>
        <v>64500</v>
      </c>
      <c r="G3262" s="440"/>
      <c r="H3262" s="450"/>
    </row>
    <row r="3263" spans="1:8" ht="13.2">
      <c r="A3263" s="454" t="s">
        <v>1660</v>
      </c>
      <c r="B3263" s="452" t="str">
        <f>VLOOKUP(A3263,'Thống kê'!$C$3:$D$669,2,0)</f>
        <v>Móc khóa Popbean Skull Panda</v>
      </c>
      <c r="C3263" s="436" t="str">
        <f>VLOOKUP(A3263,'Thống kê'!$C$3:$E$682,3,0)</f>
        <v>cái</v>
      </c>
      <c r="D3263" s="437">
        <f>VLOOKUP(A3263,'Thống kê'!$C$3:$M$682,4,0)</f>
        <v>155000</v>
      </c>
      <c r="E3263" s="438">
        <v>1</v>
      </c>
      <c r="F3263" s="439">
        <f t="shared" si="13"/>
        <v>155000</v>
      </c>
      <c r="G3263" s="440"/>
      <c r="H3263" s="447">
        <v>207701</v>
      </c>
    </row>
    <row r="3264" spans="1:8" ht="13.2">
      <c r="A3264" s="454" t="s">
        <v>1661</v>
      </c>
      <c r="B3264" s="452" t="str">
        <f>VLOOKUP(A3264,'Thống kê'!$C$3:$D$669,2,0)</f>
        <v>Móc khóa Popbean Kubo</v>
      </c>
      <c r="C3264" s="436" t="str">
        <f>VLOOKUP(A3264,'Thống kê'!$C$3:$E$682,3,0)</f>
        <v>cái</v>
      </c>
      <c r="D3264" s="437">
        <f>VLOOKUP(A3264,'Thống kê'!$C$3:$M$682,4,0)</f>
        <v>148000</v>
      </c>
      <c r="E3264" s="438">
        <v>1</v>
      </c>
      <c r="F3264" s="439">
        <f t="shared" si="13"/>
        <v>148000</v>
      </c>
      <c r="G3264" s="440"/>
      <c r="H3264" s="450"/>
    </row>
    <row r="3265" spans="1:8" ht="13.2">
      <c r="A3265" s="454" t="s">
        <v>1639</v>
      </c>
      <c r="B3265" s="452" t="str">
        <f>VLOOKUP(A3265,'Thống kê'!$C$3:$D$669,2,0)</f>
        <v>Móc khóa đôi Puppy</v>
      </c>
      <c r="C3265" s="436" t="str">
        <f>VLOOKUP(A3265,'Thống kê'!$C$3:$E$682,3,0)</f>
        <v>cái</v>
      </c>
      <c r="D3265" s="437">
        <f>VLOOKUP(A3265,'Thống kê'!$C$3:$M$682,4,0)</f>
        <v>59000</v>
      </c>
      <c r="E3265" s="438">
        <v>1</v>
      </c>
      <c r="F3265" s="439">
        <f t="shared" si="13"/>
        <v>59000</v>
      </c>
      <c r="G3265" s="440"/>
      <c r="H3265" s="448">
        <v>43417</v>
      </c>
    </row>
    <row r="3266" spans="1:8" ht="13.2">
      <c r="A3266" s="454" t="s">
        <v>115</v>
      </c>
      <c r="B3266" s="452" t="str">
        <f>VLOOKUP(A3266,'Thống kê'!$C$3:$D$669,2,0)</f>
        <v>Heo ú</v>
      </c>
      <c r="C3266" s="436" t="str">
        <f>VLOOKUP(A3266,'Thống kê'!$C$3:$E$682,3,0)</f>
        <v>cái</v>
      </c>
      <c r="D3266" s="437">
        <f>VLOOKUP(A3266,'Thống kê'!$C$3:$M$682,4,0)</f>
        <v>59500</v>
      </c>
      <c r="E3266" s="438">
        <v>1</v>
      </c>
      <c r="F3266" s="439">
        <f t="shared" si="13"/>
        <v>59500</v>
      </c>
      <c r="G3266" s="440"/>
      <c r="H3266" s="448">
        <v>51660</v>
      </c>
    </row>
    <row r="3267" spans="1:8" ht="13.2">
      <c r="A3267" s="454" t="s">
        <v>1632</v>
      </c>
      <c r="B3267" s="452" t="str">
        <f>VLOOKUP(A3267,'Thống kê'!$C$3:$D$669,2,0)</f>
        <v>Móc khóa đôi mèo trắng</v>
      </c>
      <c r="C3267" s="436" t="str">
        <f>VLOOKUP(A3267,'Thống kê'!$C$3:$E$682,3,0)</f>
        <v>cái</v>
      </c>
      <c r="D3267" s="437">
        <f>VLOOKUP(A3267,'Thống kê'!$C$3:$M$682,4,0)</f>
        <v>59000</v>
      </c>
      <c r="E3267" s="438">
        <v>1</v>
      </c>
      <c r="F3267" s="439">
        <f t="shared" si="13"/>
        <v>59000</v>
      </c>
      <c r="G3267" s="440"/>
      <c r="H3267" s="448">
        <v>48180</v>
      </c>
    </row>
    <row r="3268" spans="1:8" ht="13.2">
      <c r="A3268" s="454" t="s">
        <v>2072</v>
      </c>
      <c r="B3268" s="452" t="str">
        <f>VLOOKUP(A3268,'Thống kê'!$C$3:$D$669,2,0)</f>
        <v>Kẹp càng cua lông hình gấu be</v>
      </c>
      <c r="C3268" s="436" t="str">
        <f>VLOOKUP(A3268,'Thống kê'!$C$3:$E$682,3,0)</f>
        <v>cái</v>
      </c>
      <c r="D3268" s="437">
        <f>VLOOKUP(A3268,'Thống kê'!$C$3:$M$682,4,0)</f>
        <v>18000</v>
      </c>
      <c r="E3268" s="438">
        <v>1</v>
      </c>
      <c r="F3268" s="439">
        <f t="shared" si="13"/>
        <v>18000</v>
      </c>
      <c r="G3268" s="440"/>
      <c r="H3268" s="447">
        <f>49895-12000</f>
        <v>37895</v>
      </c>
    </row>
    <row r="3269" spans="1:8" ht="13.2">
      <c r="A3269" s="454" t="s">
        <v>1967</v>
      </c>
      <c r="B3269" s="452" t="str">
        <f>VLOOKUP(A3269,'Thống kê'!$C$3:$D$669,2,0)</f>
        <v>Kẹp càng cua lông hình gấu nâu gấu nâu</v>
      </c>
      <c r="C3269" s="436" t="str">
        <f>VLOOKUP(A3269,'Thống kê'!$C$3:$E$682,3,0)</f>
        <v>cái</v>
      </c>
      <c r="D3269" s="437">
        <f>VLOOKUP(A3269,'Thống kê'!$C$3:$M$682,4,0)</f>
        <v>18000</v>
      </c>
      <c r="E3269" s="438">
        <v>1</v>
      </c>
      <c r="F3269" s="439">
        <f t="shared" si="13"/>
        <v>18000</v>
      </c>
      <c r="G3269" s="440"/>
      <c r="H3269" s="450"/>
    </row>
    <row r="3270" spans="1:8" ht="13.2">
      <c r="A3270" s="454" t="s">
        <v>1930</v>
      </c>
      <c r="B3270" s="452" t="str">
        <f>VLOOKUP(A3270,'Thống kê'!$C$3:$D$669,2,0)</f>
        <v>Kẹp nơ hồng</v>
      </c>
      <c r="C3270" s="436" t="str">
        <f>VLOOKUP(A3270,'Thống kê'!$C$3:$E$682,3,0)</f>
        <v>cái</v>
      </c>
      <c r="D3270" s="437">
        <f>VLOOKUP(A3270,'Thống kê'!$C$3:$M$682,4,0)</f>
        <v>22000</v>
      </c>
      <c r="E3270" s="438">
        <v>1</v>
      </c>
      <c r="F3270" s="439">
        <f t="shared" si="13"/>
        <v>22000</v>
      </c>
      <c r="G3270" s="440"/>
      <c r="H3270" s="450"/>
    </row>
    <row r="3271" spans="1:8" ht="13.2">
      <c r="A3271" s="454" t="s">
        <v>1940</v>
      </c>
      <c r="B3271" s="452" t="str">
        <f>VLOOKUP(A3271,'Thống kê'!$C$3:$D$669,2,0)</f>
        <v>Kẹp tóc kim loại bông hoa</v>
      </c>
      <c r="C3271" s="436" t="str">
        <f>VLOOKUP(A3271,'Thống kê'!$C$3:$E$682,3,0)</f>
        <v>cái</v>
      </c>
      <c r="D3271" s="437">
        <f>VLOOKUP(A3271,'Thống kê'!$C$3:$M$682,4,0)</f>
        <v>14000</v>
      </c>
      <c r="E3271" s="438">
        <v>1</v>
      </c>
      <c r="F3271" s="439">
        <f t="shared" si="13"/>
        <v>14000</v>
      </c>
      <c r="G3271" s="440"/>
      <c r="H3271" s="450"/>
    </row>
    <row r="3272" spans="1:8" ht="13.2">
      <c r="A3272" s="454" t="s">
        <v>1660</v>
      </c>
      <c r="B3272" s="452" t="str">
        <f>VLOOKUP(A3272,'Thống kê'!$C$3:$D$669,2,0)</f>
        <v>Móc khóa Popbean Skull Panda</v>
      </c>
      <c r="C3272" s="436" t="str">
        <f>VLOOKUP(A3272,'Thống kê'!$C$3:$E$682,3,0)</f>
        <v>cái</v>
      </c>
      <c r="D3272" s="437">
        <f>VLOOKUP(A3272,'Thống kê'!$C$3:$M$682,4,0)</f>
        <v>155000</v>
      </c>
      <c r="E3272" s="438">
        <v>1</v>
      </c>
      <c r="F3272" s="439">
        <f t="shared" si="13"/>
        <v>155000</v>
      </c>
      <c r="G3272" s="440"/>
      <c r="H3272" s="448">
        <v>108372</v>
      </c>
    </row>
    <row r="3273" spans="1:8" ht="13.2">
      <c r="A3273" s="454" t="s">
        <v>1805</v>
      </c>
      <c r="B3273" s="452" t="str">
        <f>VLOOKUP(A3273,'Thống kê'!$C$3:$D$669,2,0)</f>
        <v>Móc khoá cún Dưa hấu</v>
      </c>
      <c r="C3273" s="436" t="str">
        <f>VLOOKUP(A3273,'Thống kê'!$C$3:$E$682,3,0)</f>
        <v>cái</v>
      </c>
      <c r="D3273" s="437">
        <f>VLOOKUP(A3273,'Thống kê'!$C$3:$M$682,4,0)</f>
        <v>38000</v>
      </c>
      <c r="E3273" s="438">
        <v>1</v>
      </c>
      <c r="F3273" s="439">
        <f t="shared" si="13"/>
        <v>38000</v>
      </c>
      <c r="G3273" s="440"/>
      <c r="H3273" s="447">
        <v>52348</v>
      </c>
    </row>
    <row r="3274" spans="1:8" ht="13.2">
      <c r="A3274" s="454" t="s">
        <v>162</v>
      </c>
      <c r="B3274" s="452" t="str">
        <f>VLOOKUP(A3274,'Thống kê'!$C$3:$D$669,2,0)</f>
        <v>Móc khoá cún Donut</v>
      </c>
      <c r="C3274" s="436" t="str">
        <f>VLOOKUP(A3274,'Thống kê'!$C$3:$E$682,3,0)</f>
        <v>cái</v>
      </c>
      <c r="D3274" s="437">
        <f>VLOOKUP(A3274,'Thống kê'!$C$3:$M$682,4,0)</f>
        <v>38000</v>
      </c>
      <c r="E3274" s="438">
        <v>1</v>
      </c>
      <c r="F3274" s="439">
        <f t="shared" si="13"/>
        <v>38000</v>
      </c>
      <c r="G3274" s="440"/>
      <c r="H3274" s="450"/>
    </row>
    <row r="3275" spans="1:8" ht="13.2">
      <c r="A3275" s="454" t="s">
        <v>115</v>
      </c>
      <c r="B3275" s="452" t="str">
        <f>VLOOKUP(A3275,'Thống kê'!$C$3:$D$669,2,0)</f>
        <v>Heo ú</v>
      </c>
      <c r="C3275" s="436" t="str">
        <f>VLOOKUP(A3275,'Thống kê'!$C$3:$E$682,3,0)</f>
        <v>cái</v>
      </c>
      <c r="D3275" s="437">
        <f>VLOOKUP(A3275,'Thống kê'!$C$3:$M$682,4,0)</f>
        <v>59500</v>
      </c>
      <c r="E3275" s="438">
        <v>1</v>
      </c>
      <c r="F3275" s="439">
        <f t="shared" si="13"/>
        <v>59500</v>
      </c>
      <c r="G3275" s="440"/>
      <c r="H3275" s="448">
        <v>51983</v>
      </c>
    </row>
    <row r="3276" spans="1:8" ht="13.2">
      <c r="A3276" s="454" t="s">
        <v>1371</v>
      </c>
      <c r="B3276" s="452" t="str">
        <f>VLOOKUP(A3276,'Thống kê'!$C$3:$D$669,2,0)</f>
        <v>Móc khóa Popbean</v>
      </c>
      <c r="C3276" s="436" t="str">
        <f>VLOOKUP(A3276,'Thống kê'!$C$3:$E$682,3,0)</f>
        <v>cái</v>
      </c>
      <c r="D3276" s="437">
        <f>VLOOKUP(A3276,'Thống kê'!$C$3:$M$682,4,0)</f>
        <v>148000</v>
      </c>
      <c r="E3276" s="438">
        <v>1</v>
      </c>
      <c r="F3276" s="439">
        <f t="shared" si="13"/>
        <v>148000</v>
      </c>
      <c r="G3276" s="440"/>
      <c r="H3276" s="448">
        <v>124640</v>
      </c>
    </row>
    <row r="3277" spans="1:8" ht="13.2">
      <c r="A3277" s="454" t="s">
        <v>245</v>
      </c>
      <c r="B3277" s="452" t="str">
        <f>VLOOKUP(A3277,'Thống kê'!$C$3:$D$669,2,0)</f>
        <v>Móc khóa Popbean</v>
      </c>
      <c r="C3277" s="436" t="str">
        <f>VLOOKUP(A3277,'Thống kê'!$C$3:$E$682,3,0)</f>
        <v>cái</v>
      </c>
      <c r="D3277" s="437">
        <f>VLOOKUP(A3277,'Thống kê'!$C$3:$M$682,4,0)</f>
        <v>148000</v>
      </c>
      <c r="E3277" s="438">
        <v>1</v>
      </c>
      <c r="F3277" s="439">
        <f t="shared" si="13"/>
        <v>148000</v>
      </c>
      <c r="G3277" s="440"/>
      <c r="H3277" s="448">
        <v>146018</v>
      </c>
    </row>
    <row r="3278" spans="1:8" ht="13.2">
      <c r="A3278" s="454" t="s">
        <v>181</v>
      </c>
      <c r="B3278" s="452" t="str">
        <f>VLOOKUP(A3278,'Thống kê'!$C$3:$D$669,2,0)</f>
        <v>Thỏ mặt trăng gắn xe</v>
      </c>
      <c r="C3278" s="436" t="str">
        <f>VLOOKUP(A3278,'Thống kê'!$C$3:$E$682,3,0)</f>
        <v>cái</v>
      </c>
      <c r="D3278" s="437">
        <f>VLOOKUP(A3278,'Thống kê'!$C$3:$M$682,4,0)</f>
        <v>45000</v>
      </c>
      <c r="E3278" s="438">
        <v>1</v>
      </c>
      <c r="F3278" s="439">
        <f t="shared" si="13"/>
        <v>45000</v>
      </c>
      <c r="G3278" s="440"/>
      <c r="H3278" s="447">
        <v>88970</v>
      </c>
    </row>
    <row r="3279" spans="1:8" ht="13.2">
      <c r="A3279" s="454" t="s">
        <v>145</v>
      </c>
      <c r="B3279" s="452" t="str">
        <f>VLOOKUP(A3279,'Thống kê'!$C$3:$D$669,2,0)</f>
        <v>Thỏ đi vịt gắn xe</v>
      </c>
      <c r="C3279" s="436" t="str">
        <f>VLOOKUP(A3279,'Thống kê'!$C$3:$E$682,3,0)</f>
        <v>cái</v>
      </c>
      <c r="D3279" s="437">
        <f>VLOOKUP(A3279,'Thống kê'!$C$3:$M$682,4,0)</f>
        <v>45000</v>
      </c>
      <c r="E3279" s="438">
        <v>1</v>
      </c>
      <c r="F3279" s="439">
        <f t="shared" si="13"/>
        <v>45000</v>
      </c>
      <c r="G3279" s="440"/>
      <c r="H3279" s="450"/>
    </row>
    <row r="3280" spans="1:8" ht="13.2">
      <c r="A3280" s="454" t="s">
        <v>119</v>
      </c>
      <c r="B3280" s="452" t="str">
        <f>VLOOKUP(A3280,'Thống kê'!$C$3:$D$669,2,0)</f>
        <v>Thỏ chạy xe gắn xe</v>
      </c>
      <c r="C3280" s="436" t="str">
        <f>VLOOKUP(A3280,'Thống kê'!$C$3:$E$682,3,0)</f>
        <v>cái</v>
      </c>
      <c r="D3280" s="437">
        <f>VLOOKUP(A3280,'Thống kê'!$C$3:$M$682,4,0)</f>
        <v>45000</v>
      </c>
      <c r="E3280" s="438">
        <v>1</v>
      </c>
      <c r="F3280" s="439">
        <f t="shared" si="13"/>
        <v>45000</v>
      </c>
      <c r="G3280" s="440"/>
      <c r="H3280" s="450"/>
    </row>
    <row r="3281" spans="1:8" ht="13.2">
      <c r="A3281" s="454" t="s">
        <v>1591</v>
      </c>
      <c r="B3281" s="452" t="str">
        <f>VLOOKUP(A3281,'Thống kê'!$C$3:$D$669,2,0)</f>
        <v>Thỏ ú</v>
      </c>
      <c r="C3281" s="436" t="str">
        <f>VLOOKUP(A3281,'Thống kê'!$C$3:$E$682,3,0)</f>
        <v>cái</v>
      </c>
      <c r="D3281" s="437">
        <f>VLOOKUP(A3281,'Thống kê'!$C$3:$M$682,4,0)</f>
        <v>59500</v>
      </c>
      <c r="E3281" s="438">
        <v>1</v>
      </c>
      <c r="F3281" s="439">
        <f t="shared" si="13"/>
        <v>59500</v>
      </c>
      <c r="G3281" s="440"/>
      <c r="H3281" s="447">
        <v>106600</v>
      </c>
    </row>
    <row r="3282" spans="1:8" ht="13.2">
      <c r="A3282" s="454" t="s">
        <v>325</v>
      </c>
      <c r="B3282" s="452" t="str">
        <f>VLOOKUP(A3282,'Thống kê'!$C$3:$D$669,2,0)</f>
        <v>Gấu ú</v>
      </c>
      <c r="C3282" s="436" t="str">
        <f>VLOOKUP(A3282,'Thống kê'!$C$3:$E$682,3,0)</f>
        <v>cái</v>
      </c>
      <c r="D3282" s="437">
        <f>VLOOKUP(A3282,'Thống kê'!$C$3:$M$682,4,0)</f>
        <v>59500</v>
      </c>
      <c r="E3282" s="438">
        <v>1</v>
      </c>
      <c r="F3282" s="439">
        <f t="shared" si="13"/>
        <v>59500</v>
      </c>
      <c r="G3282" s="440"/>
      <c r="H3282" s="450"/>
    </row>
    <row r="3283" spans="1:8" ht="13.2">
      <c r="A3283" s="454" t="s">
        <v>325</v>
      </c>
      <c r="B3283" s="452" t="str">
        <f>VLOOKUP(A3283,'Thống kê'!$C$3:$D$669,2,0)</f>
        <v>Gấu ú</v>
      </c>
      <c r="C3283" s="436" t="str">
        <f>VLOOKUP(A3283,'Thống kê'!$C$3:$E$682,3,0)</f>
        <v>cái</v>
      </c>
      <c r="D3283" s="437">
        <f>VLOOKUP(A3283,'Thống kê'!$C$3:$M$682,4,0)</f>
        <v>59500</v>
      </c>
      <c r="E3283" s="438">
        <v>1</v>
      </c>
      <c r="F3283" s="439">
        <f t="shared" si="13"/>
        <v>59500</v>
      </c>
      <c r="G3283" s="440"/>
      <c r="H3283" s="448">
        <v>52808</v>
      </c>
    </row>
    <row r="3284" spans="1:8" ht="13.2">
      <c r="A3284" s="454" t="s">
        <v>227</v>
      </c>
      <c r="B3284" s="452" t="str">
        <f>VLOOKUP(A3284,'Thống kê'!$C$3:$D$669,2,0)</f>
        <v>Móc khóa đôi corgy</v>
      </c>
      <c r="C3284" s="436" t="str">
        <f>VLOOKUP(A3284,'Thống kê'!$C$3:$E$682,3,0)</f>
        <v>cái</v>
      </c>
      <c r="D3284" s="437">
        <f>VLOOKUP(A3284,'Thống kê'!$C$3:$M$682,4,0)</f>
        <v>56580</v>
      </c>
      <c r="E3284" s="438">
        <v>1</v>
      </c>
      <c r="F3284" s="439">
        <f t="shared" si="13"/>
        <v>56580</v>
      </c>
      <c r="G3284" s="440"/>
      <c r="H3284" s="448">
        <v>41356</v>
      </c>
    </row>
    <row r="3285" spans="1:8" ht="13.2">
      <c r="A3285" s="454" t="s">
        <v>150</v>
      </c>
      <c r="B3285" s="452" t="str">
        <f>VLOOKUP(A3285,'Thống kê'!$C$3:$D$669,2,0)</f>
        <v>Móc khóa có chuông</v>
      </c>
      <c r="C3285" s="436" t="str">
        <f>VLOOKUP(A3285,'Thống kê'!$C$3:$E$682,3,0)</f>
        <v>cái</v>
      </c>
      <c r="D3285" s="437">
        <f>VLOOKUP(A3285,'Thống kê'!$C$3:$M$682,4,0)</f>
        <v>59000</v>
      </c>
      <c r="E3285" s="438">
        <v>1</v>
      </c>
      <c r="F3285" s="439">
        <f t="shared" si="13"/>
        <v>59000</v>
      </c>
      <c r="G3285" s="440"/>
      <c r="H3285" s="448">
        <v>48380</v>
      </c>
    </row>
    <row r="3286" spans="1:8" ht="13.2">
      <c r="A3286" s="454" t="s">
        <v>1369</v>
      </c>
      <c r="B3286" s="452" t="str">
        <f>VLOOKUP(A3286,'Thống kê'!$C$3:$D$669,2,0)</f>
        <v>Móc khóa Popbean</v>
      </c>
      <c r="C3286" s="436" t="str">
        <f>VLOOKUP(A3286,'Thống kê'!$C$3:$E$682,3,0)</f>
        <v>cái</v>
      </c>
      <c r="D3286" s="437">
        <f>VLOOKUP(A3286,'Thống kê'!$C$3:$M$682,4,0)</f>
        <v>148000</v>
      </c>
      <c r="E3286" s="438">
        <v>1</v>
      </c>
      <c r="F3286" s="439">
        <f t="shared" si="13"/>
        <v>148000</v>
      </c>
      <c r="G3286" s="440"/>
      <c r="H3286" s="448">
        <v>150000</v>
      </c>
    </row>
    <row r="3287" spans="1:8" ht="13.2">
      <c r="A3287" s="454" t="s">
        <v>143</v>
      </c>
      <c r="B3287" s="452" t="str">
        <f>VLOOKUP(A3287,'Thống kê'!$C$3:$D$669,2,0)</f>
        <v>Mèo ú</v>
      </c>
      <c r="C3287" s="436" t="str">
        <f>VLOOKUP(A3287,'Thống kê'!$C$3:$E$682,3,0)</f>
        <v>cái</v>
      </c>
      <c r="D3287" s="437">
        <f>VLOOKUP(A3287,'Thống kê'!$C$3:$M$682,4,0)</f>
        <v>59500</v>
      </c>
      <c r="E3287" s="438">
        <v>2</v>
      </c>
      <c r="F3287" s="439">
        <f t="shared" si="13"/>
        <v>119000</v>
      </c>
      <c r="G3287" s="440"/>
      <c r="H3287" s="448">
        <v>109060</v>
      </c>
    </row>
    <row r="3288" spans="1:8" ht="13.2">
      <c r="A3288" s="454" t="s">
        <v>150</v>
      </c>
      <c r="B3288" s="452" t="str">
        <f>VLOOKUP(A3288,'Thống kê'!$C$3:$D$669,2,0)</f>
        <v>Móc khóa có chuông</v>
      </c>
      <c r="C3288" s="436" t="str">
        <f>VLOOKUP(A3288,'Thống kê'!$C$3:$E$682,3,0)</f>
        <v>cái</v>
      </c>
      <c r="D3288" s="437">
        <f>VLOOKUP(A3288,'Thống kê'!$C$3:$M$682,4,0)</f>
        <v>59000</v>
      </c>
      <c r="E3288" s="438">
        <v>1</v>
      </c>
      <c r="F3288" s="439">
        <f t="shared" si="13"/>
        <v>59000</v>
      </c>
      <c r="G3288" s="440"/>
      <c r="H3288" s="448">
        <v>43142</v>
      </c>
    </row>
    <row r="3289" spans="1:8" ht="13.2">
      <c r="A3289" s="454" t="s">
        <v>1621</v>
      </c>
      <c r="B3289" s="452" t="str">
        <f>VLOOKUP(A3289,'Thống kê'!$C$3:$D$669,2,0)</f>
        <v>Mô hình mèo 2</v>
      </c>
      <c r="C3289" s="436" t="str">
        <f>VLOOKUP(A3289,'Thống kê'!$C$3:$E$682,3,0)</f>
        <v>cái</v>
      </c>
      <c r="D3289" s="437">
        <f>VLOOKUP(A3289,'Thống kê'!$C$3:$M$682,4,0)</f>
        <v>37800</v>
      </c>
      <c r="E3289" s="438">
        <v>1</v>
      </c>
      <c r="F3289" s="439">
        <f t="shared" si="13"/>
        <v>37800</v>
      </c>
      <c r="G3289" s="440"/>
      <c r="H3289" s="447">
        <v>59598</v>
      </c>
    </row>
    <row r="3290" spans="1:8" ht="13.2">
      <c r="A3290" s="454" t="s">
        <v>1623</v>
      </c>
      <c r="B3290" s="452" t="str">
        <f>VLOOKUP(A3290,'Thống kê'!$C$3:$D$669,2,0)</f>
        <v>Mô hình mèo 5</v>
      </c>
      <c r="C3290" s="436" t="str">
        <f>VLOOKUP(A3290,'Thống kê'!$C$3:$E$682,3,0)</f>
        <v>cái</v>
      </c>
      <c r="D3290" s="437">
        <f>VLOOKUP(A3290,'Thống kê'!$C$3:$M$682,4,0)</f>
        <v>37800</v>
      </c>
      <c r="E3290" s="438">
        <v>1</v>
      </c>
      <c r="F3290" s="439">
        <f t="shared" si="13"/>
        <v>37800</v>
      </c>
      <c r="G3290" s="440"/>
      <c r="H3290" s="450"/>
    </row>
    <row r="3291" spans="1:8" ht="13.2">
      <c r="A3291" s="454" t="s">
        <v>1633</v>
      </c>
      <c r="B3291" s="452" t="str">
        <f>VLOOKUP(A3291,'Thống kê'!$C$3:$D$669,2,0)</f>
        <v>Móc khóa đôi gà rán bia</v>
      </c>
      <c r="C3291" s="436" t="str">
        <f>VLOOKUP(A3291,'Thống kê'!$C$3:$E$682,3,0)</f>
        <v>cái</v>
      </c>
      <c r="D3291" s="437">
        <f>VLOOKUP(A3291,'Thống kê'!$C$3:$M$682,4,0)</f>
        <v>56580</v>
      </c>
      <c r="E3291" s="438">
        <v>1</v>
      </c>
      <c r="F3291" s="439">
        <f t="shared" si="13"/>
        <v>56580</v>
      </c>
      <c r="G3291" s="440"/>
      <c r="H3291" s="447">
        <v>51261</v>
      </c>
    </row>
    <row r="3292" spans="1:8" ht="13.2">
      <c r="A3292" s="454" t="s">
        <v>2073</v>
      </c>
      <c r="B3292" s="452" t="str">
        <f>VLOOKUP(A3292,'Thống kê'!$C$3:$D$669,2,0)</f>
        <v>Kẹp tóc kim loại vỏ sò</v>
      </c>
      <c r="C3292" s="436" t="str">
        <f>VLOOKUP(A3292,'Thống kê'!$C$3:$E$682,3,0)</f>
        <v>cái</v>
      </c>
      <c r="D3292" s="437">
        <f>VLOOKUP(A3292,'Thống kê'!$C$3:$M$682,4,0)</f>
        <v>14000</v>
      </c>
      <c r="E3292" s="438">
        <v>1</v>
      </c>
      <c r="F3292" s="439">
        <f t="shared" si="13"/>
        <v>14000</v>
      </c>
      <c r="G3292" s="440"/>
      <c r="H3292" s="450"/>
    </row>
    <row r="3293" spans="1:8" ht="13.2">
      <c r="A3293" s="454" t="s">
        <v>150</v>
      </c>
      <c r="B3293" s="452" t="str">
        <f>VLOOKUP(A3293,'Thống kê'!$C$3:$D$669,2,0)</f>
        <v>Móc khóa có chuông</v>
      </c>
      <c r="C3293" s="436" t="str">
        <f>VLOOKUP(A3293,'Thống kê'!$C$3:$E$682,3,0)</f>
        <v>cái</v>
      </c>
      <c r="D3293" s="437">
        <f>VLOOKUP(A3293,'Thống kê'!$C$3:$M$682,4,0)</f>
        <v>59000</v>
      </c>
      <c r="E3293" s="438">
        <v>1</v>
      </c>
      <c r="F3293" s="439">
        <f t="shared" si="13"/>
        <v>59000</v>
      </c>
      <c r="G3293" s="440"/>
      <c r="H3293" s="448">
        <v>47980</v>
      </c>
    </row>
    <row r="3294" spans="1:8" ht="13.2">
      <c r="A3294" s="454" t="s">
        <v>1594</v>
      </c>
      <c r="B3294" s="452" t="str">
        <f>VLOOKUP(A3294,'Thống kê'!$C$3:$D$669,2,0)</f>
        <v>Móc khóa đôi heo</v>
      </c>
      <c r="C3294" s="436" t="str">
        <f>VLOOKUP(A3294,'Thống kê'!$C$3:$E$682,3,0)</f>
        <v>cái</v>
      </c>
      <c r="D3294" s="437">
        <f>VLOOKUP(A3294,'Thống kê'!$C$3:$M$682,4,0)</f>
        <v>56580</v>
      </c>
      <c r="E3294" s="438">
        <v>1</v>
      </c>
      <c r="F3294" s="439">
        <f t="shared" si="13"/>
        <v>56580</v>
      </c>
      <c r="G3294" s="440"/>
      <c r="H3294" s="448">
        <v>46396</v>
      </c>
    </row>
    <row r="3295" spans="1:8" ht="13.2">
      <c r="A3295" s="454" t="s">
        <v>143</v>
      </c>
      <c r="B3295" s="452" t="str">
        <f>VLOOKUP(A3295,'Thống kê'!$C$3:$D$669,2,0)</f>
        <v>Mèo ú</v>
      </c>
      <c r="C3295" s="436" t="str">
        <f>VLOOKUP(A3295,'Thống kê'!$C$3:$E$682,3,0)</f>
        <v>cái</v>
      </c>
      <c r="D3295" s="437">
        <f>VLOOKUP(A3295,'Thống kê'!$C$3:$M$682,4,0)</f>
        <v>59500</v>
      </c>
      <c r="E3295" s="438">
        <v>1</v>
      </c>
      <c r="F3295" s="439">
        <f t="shared" si="13"/>
        <v>59500</v>
      </c>
      <c r="G3295" s="440"/>
      <c r="H3295" s="447">
        <v>118900</v>
      </c>
    </row>
    <row r="3296" spans="1:8" ht="13.2">
      <c r="A3296" s="454" t="s">
        <v>1589</v>
      </c>
      <c r="B3296" s="452" t="str">
        <f>VLOOKUP(A3296,'Thống kê'!$C$3:$D$669,2,0)</f>
        <v>Heo ú bay</v>
      </c>
      <c r="C3296" s="436" t="str">
        <f>VLOOKUP(A3296,'Thống kê'!$C$3:$E$682,3,0)</f>
        <v>cái</v>
      </c>
      <c r="D3296" s="437">
        <f>VLOOKUP(A3296,'Thống kê'!$C$3:$M$682,4,0)</f>
        <v>64500</v>
      </c>
      <c r="E3296" s="438">
        <v>1</v>
      </c>
      <c r="F3296" s="439">
        <f t="shared" si="13"/>
        <v>64500</v>
      </c>
      <c r="G3296" s="440"/>
      <c r="H3296" s="450"/>
    </row>
    <row r="3297" spans="1:8" ht="13.2">
      <c r="A3297" s="454" t="s">
        <v>1330</v>
      </c>
      <c r="B3297" s="452" t="str">
        <f>VLOOKUP(A3297,'Thống kê'!$C$3:$D$669,2,0)</f>
        <v>Móc khóa Popbean</v>
      </c>
      <c r="C3297" s="436" t="str">
        <f>VLOOKUP(A3297,'Thống kê'!$C$3:$E$682,3,0)</f>
        <v>cái</v>
      </c>
      <c r="D3297" s="437">
        <f>VLOOKUP(A3297,'Thống kê'!$C$3:$M$682,4,0)</f>
        <v>148000</v>
      </c>
      <c r="E3297" s="438">
        <v>1</v>
      </c>
      <c r="F3297" s="439">
        <f t="shared" si="13"/>
        <v>148000</v>
      </c>
      <c r="G3297" s="440"/>
      <c r="H3297" s="448">
        <v>111192</v>
      </c>
    </row>
    <row r="3298" spans="1:8" ht="13.2">
      <c r="A3298" s="454" t="s">
        <v>150</v>
      </c>
      <c r="B3298" s="452" t="str">
        <f>VLOOKUP(A3298,'Thống kê'!$C$3:$D$669,2,0)</f>
        <v>Móc khóa có chuông</v>
      </c>
      <c r="C3298" s="436" t="str">
        <f>VLOOKUP(A3298,'Thống kê'!$C$3:$E$682,3,0)</f>
        <v>cái</v>
      </c>
      <c r="D3298" s="437">
        <f>VLOOKUP(A3298,'Thống kê'!$C$3:$M$682,4,0)</f>
        <v>59000</v>
      </c>
      <c r="E3298" s="438">
        <v>1</v>
      </c>
      <c r="F3298" s="439">
        <f t="shared" si="13"/>
        <v>59000</v>
      </c>
      <c r="G3298" s="440"/>
      <c r="H3298" s="448">
        <v>47730</v>
      </c>
    </row>
    <row r="3299" spans="1:8" ht="13.2">
      <c r="A3299" s="454" t="s">
        <v>245</v>
      </c>
      <c r="B3299" s="452" t="str">
        <f>VLOOKUP(A3299,'Thống kê'!$C$3:$D$669,2,0)</f>
        <v>Móc khóa Popbean</v>
      </c>
      <c r="C3299" s="436" t="str">
        <f>VLOOKUP(A3299,'Thống kê'!$C$3:$E$682,3,0)</f>
        <v>cái</v>
      </c>
      <c r="D3299" s="437">
        <f>VLOOKUP(A3299,'Thống kê'!$C$3:$M$682,4,0)</f>
        <v>148000</v>
      </c>
      <c r="E3299" s="438">
        <v>1</v>
      </c>
      <c r="F3299" s="439">
        <f t="shared" si="13"/>
        <v>148000</v>
      </c>
      <c r="G3299" s="440"/>
      <c r="H3299" s="447">
        <v>231000</v>
      </c>
    </row>
    <row r="3300" spans="1:8" ht="13.2">
      <c r="A3300" s="454" t="s">
        <v>1587</v>
      </c>
      <c r="B3300" s="452" t="str">
        <f>VLOOKUP(A3300,'Thống kê'!$C$3:$D$669,2,0)</f>
        <v>Vịt ú bay</v>
      </c>
      <c r="C3300" s="436" t="str">
        <f>VLOOKUP(A3300,'Thống kê'!$C$3:$E$682,3,0)</f>
        <v>cái</v>
      </c>
      <c r="D3300" s="437">
        <f>VLOOKUP(A3300,'Thống kê'!$C$3:$M$682,4,0)</f>
        <v>64500</v>
      </c>
      <c r="E3300" s="438">
        <v>1</v>
      </c>
      <c r="F3300" s="439">
        <f t="shared" si="13"/>
        <v>64500</v>
      </c>
      <c r="G3300" s="440"/>
      <c r="H3300" s="450"/>
    </row>
    <row r="3301" spans="1:8" ht="13.2">
      <c r="A3301" s="454" t="s">
        <v>1648</v>
      </c>
      <c r="B3301" s="452" t="str">
        <f>VLOOKUP(A3301,'Thống kê'!$C$3:$D$669,2,0)</f>
        <v>Túi chườm bụng thỏ và dứa 1000ml</v>
      </c>
      <c r="C3301" s="436" t="str">
        <f>VLOOKUP(A3301,'Thống kê'!$C$3:$E$682,3,0)</f>
        <v>túi</v>
      </c>
      <c r="D3301" s="437">
        <f>VLOOKUP(A3301,'Thống kê'!$C$3:$M$682,4,0)</f>
        <v>101500</v>
      </c>
      <c r="E3301" s="438">
        <v>1</v>
      </c>
      <c r="F3301" s="439">
        <f t="shared" si="13"/>
        <v>101500</v>
      </c>
      <c r="G3301" s="440"/>
      <c r="H3301" s="448">
        <v>84034</v>
      </c>
    </row>
    <row r="3302" spans="1:8" ht="13.2">
      <c r="A3302" s="454" t="s">
        <v>150</v>
      </c>
      <c r="B3302" s="452" t="str">
        <f>VLOOKUP(A3302,'Thống kê'!$C$3:$D$669,2,0)</f>
        <v>Móc khóa có chuông</v>
      </c>
      <c r="C3302" s="436" t="str">
        <f>VLOOKUP(A3302,'Thống kê'!$C$3:$E$682,3,0)</f>
        <v>cái</v>
      </c>
      <c r="D3302" s="437">
        <f>VLOOKUP(A3302,'Thống kê'!$C$3:$M$682,4,0)</f>
        <v>59000</v>
      </c>
      <c r="E3302" s="438">
        <v>1</v>
      </c>
      <c r="F3302" s="439">
        <f t="shared" si="13"/>
        <v>59000</v>
      </c>
      <c r="G3302" s="440"/>
      <c r="H3302" s="448">
        <v>47980</v>
      </c>
    </row>
    <row r="3303" spans="1:8" ht="13.2">
      <c r="A3303" s="454" t="s">
        <v>1594</v>
      </c>
      <c r="B3303" s="452" t="str">
        <f>VLOOKUP(A3303,'Thống kê'!$C$3:$D$669,2,0)</f>
        <v>Móc khóa đôi heo</v>
      </c>
      <c r="C3303" s="436" t="str">
        <f>VLOOKUP(A3303,'Thống kê'!$C$3:$E$682,3,0)</f>
        <v>cái</v>
      </c>
      <c r="D3303" s="437">
        <f>VLOOKUP(A3303,'Thống kê'!$C$3:$M$682,4,0)</f>
        <v>56580</v>
      </c>
      <c r="E3303" s="438">
        <v>1</v>
      </c>
      <c r="F3303" s="439">
        <f t="shared" si="13"/>
        <v>56580</v>
      </c>
      <c r="G3303" s="440"/>
      <c r="H3303" s="448">
        <v>46196</v>
      </c>
    </row>
    <row r="3304" spans="1:8" ht="13.2">
      <c r="A3304" s="454" t="s">
        <v>1369</v>
      </c>
      <c r="B3304" s="452" t="str">
        <f>VLOOKUP(A3304,'Thống kê'!$C$3:$D$669,2,0)</f>
        <v>Móc khóa Popbean</v>
      </c>
      <c r="C3304" s="436" t="str">
        <f>VLOOKUP(A3304,'Thống kê'!$C$3:$E$682,3,0)</f>
        <v>cái</v>
      </c>
      <c r="D3304" s="437">
        <f>VLOOKUP(A3304,'Thống kê'!$C$3:$M$682,4,0)</f>
        <v>148000</v>
      </c>
      <c r="E3304" s="438">
        <v>2</v>
      </c>
      <c r="F3304" s="439">
        <f t="shared" si="13"/>
        <v>296000</v>
      </c>
      <c r="G3304" s="440"/>
      <c r="H3304" s="447">
        <v>913000</v>
      </c>
    </row>
    <row r="3305" spans="1:8" ht="13.2">
      <c r="A3305" s="454" t="s">
        <v>1371</v>
      </c>
      <c r="B3305" s="452" t="str">
        <f>VLOOKUP(A3305,'Thống kê'!$C$3:$D$669,2,0)</f>
        <v>Móc khóa Popbean</v>
      </c>
      <c r="C3305" s="436" t="str">
        <f>VLOOKUP(A3305,'Thống kê'!$C$3:$E$682,3,0)</f>
        <v>cái</v>
      </c>
      <c r="D3305" s="437">
        <f>VLOOKUP(A3305,'Thống kê'!$C$3:$M$682,4,0)</f>
        <v>148000</v>
      </c>
      <c r="E3305" s="438">
        <v>2</v>
      </c>
      <c r="F3305" s="439">
        <f t="shared" si="13"/>
        <v>296000</v>
      </c>
      <c r="G3305" s="440"/>
      <c r="H3305" s="450"/>
    </row>
    <row r="3306" spans="1:8" ht="13.2">
      <c r="A3306" s="454" t="s">
        <v>1364</v>
      </c>
      <c r="B3306" s="452" t="str">
        <f>VLOOKUP(A3306,'Thống kê'!$C$3:$D$669,2,0)</f>
        <v>Móc khóa Popbean</v>
      </c>
      <c r="C3306" s="436" t="str">
        <f>VLOOKUP(A3306,'Thống kê'!$C$3:$E$682,3,0)</f>
        <v>cái</v>
      </c>
      <c r="D3306" s="437">
        <f>VLOOKUP(A3306,'Thống kê'!$C$3:$M$682,4,0)</f>
        <v>148000</v>
      </c>
      <c r="E3306" s="438">
        <v>2</v>
      </c>
      <c r="F3306" s="439">
        <f t="shared" si="13"/>
        <v>296000</v>
      </c>
      <c r="G3306" s="440"/>
      <c r="H3306" s="450"/>
    </row>
    <row r="3307" spans="1:8" ht="13.2">
      <c r="A3307" s="454" t="s">
        <v>1370</v>
      </c>
      <c r="B3307" s="452" t="str">
        <f>VLOOKUP(A3307,'Thống kê'!$C$3:$D$669,2,0)</f>
        <v>Móc khóa Popbean</v>
      </c>
      <c r="C3307" s="436" t="str">
        <f>VLOOKUP(A3307,'Thống kê'!$C$3:$E$682,3,0)</f>
        <v>cái</v>
      </c>
      <c r="D3307" s="437">
        <f>VLOOKUP(A3307,'Thống kê'!$C$3:$M$682,4,0)</f>
        <v>148000</v>
      </c>
      <c r="E3307" s="438">
        <v>1</v>
      </c>
      <c r="F3307" s="439">
        <f t="shared" si="13"/>
        <v>148000</v>
      </c>
      <c r="G3307" s="440"/>
      <c r="H3307" s="447">
        <v>750054</v>
      </c>
    </row>
    <row r="3308" spans="1:8" ht="13.2">
      <c r="A3308" s="454" t="s">
        <v>1659</v>
      </c>
      <c r="B3308" s="452" t="str">
        <f>VLOOKUP(A3308,'Thống kê'!$C$3:$D$669,2,0)</f>
        <v>Móc khóa Popbean Molly</v>
      </c>
      <c r="C3308" s="436" t="str">
        <f>VLOOKUP(A3308,'Thống kê'!$C$3:$E$682,3,0)</f>
        <v>cái</v>
      </c>
      <c r="D3308" s="437">
        <f>VLOOKUP(A3308,'Thống kê'!$C$3:$M$682,4,0)</f>
        <v>155000</v>
      </c>
      <c r="E3308" s="438">
        <v>1</v>
      </c>
      <c r="F3308" s="439">
        <f t="shared" si="13"/>
        <v>155000</v>
      </c>
      <c r="G3308" s="440"/>
      <c r="H3308" s="450"/>
    </row>
    <row r="3309" spans="1:8" ht="13.2">
      <c r="A3309" s="454" t="s">
        <v>1653</v>
      </c>
      <c r="B3309" s="452" t="str">
        <f>VLOOKUP(A3309,'Thống kê'!$C$3:$D$669,2,0)</f>
        <v>Móc khóa Popbean Pucky</v>
      </c>
      <c r="C3309" s="436" t="str">
        <f>VLOOKUP(A3309,'Thống kê'!$C$3:$E$682,3,0)</f>
        <v>cái</v>
      </c>
      <c r="D3309" s="437">
        <f>VLOOKUP(A3309,'Thống kê'!$C$3:$M$682,4,0)</f>
        <v>155000</v>
      </c>
      <c r="E3309" s="438">
        <v>1</v>
      </c>
      <c r="F3309" s="439">
        <f t="shared" si="13"/>
        <v>155000</v>
      </c>
      <c r="G3309" s="440"/>
      <c r="H3309" s="450"/>
    </row>
    <row r="3310" spans="1:8" ht="13.2">
      <c r="A3310" s="454" t="s">
        <v>1364</v>
      </c>
      <c r="B3310" s="452" t="str">
        <f>VLOOKUP(A3310,'Thống kê'!$C$3:$D$669,2,0)</f>
        <v>Móc khóa Popbean</v>
      </c>
      <c r="C3310" s="436" t="str">
        <f>VLOOKUP(A3310,'Thống kê'!$C$3:$E$682,3,0)</f>
        <v>cái</v>
      </c>
      <c r="D3310" s="437">
        <f>VLOOKUP(A3310,'Thống kê'!$C$3:$M$682,4,0)</f>
        <v>148000</v>
      </c>
      <c r="E3310" s="438">
        <v>2</v>
      </c>
      <c r="F3310" s="439">
        <f t="shared" si="13"/>
        <v>296000</v>
      </c>
      <c r="G3310" s="440"/>
      <c r="H3310" s="450"/>
    </row>
    <row r="3311" spans="1:8" ht="13.2">
      <c r="A3311" s="454" t="s">
        <v>1377</v>
      </c>
      <c r="B3311" s="452" t="str">
        <f>VLOOKUP(A3311,'Thống kê'!$C$3:$D$669,2,0)</f>
        <v>Móc khóa Popbean</v>
      </c>
      <c r="C3311" s="436" t="str">
        <f>VLOOKUP(A3311,'Thống kê'!$C$3:$E$682,3,0)</f>
        <v>cái</v>
      </c>
      <c r="D3311" s="437">
        <f>VLOOKUP(A3311,'Thống kê'!$C$3:$M$682,4,0)</f>
        <v>148000</v>
      </c>
      <c r="E3311" s="438">
        <v>1</v>
      </c>
      <c r="F3311" s="439">
        <f t="shared" si="13"/>
        <v>148000</v>
      </c>
      <c r="G3311" s="440"/>
      <c r="H3311" s="450"/>
    </row>
    <row r="3312" spans="1:8" ht="13.2">
      <c r="A3312" s="454" t="s">
        <v>1606</v>
      </c>
      <c r="B3312" s="452" t="str">
        <f>VLOOKUP(A3312,'Thống kê'!$C$3:$D$669,2,0)</f>
        <v>Kẹp Snack hình khoai tay gọt</v>
      </c>
      <c r="C3312" s="436" t="str">
        <f>VLOOKUP(A3312,'Thống kê'!$C$3:$E$682,3,0)</f>
        <v>cái</v>
      </c>
      <c r="D3312" s="437">
        <f>VLOOKUP(A3312,'Thống kê'!$C$3:$M$682,4,0)</f>
        <v>12000</v>
      </c>
      <c r="E3312" s="438">
        <v>1</v>
      </c>
      <c r="F3312" s="439">
        <f t="shared" si="13"/>
        <v>12000</v>
      </c>
      <c r="G3312" s="440"/>
      <c r="H3312" s="447">
        <v>186366</v>
      </c>
    </row>
    <row r="3313" spans="1:8" ht="13.2">
      <c r="A3313" s="454" t="s">
        <v>1632</v>
      </c>
      <c r="B3313" s="452" t="str">
        <f>VLOOKUP(A3313,'Thống kê'!$C$3:$D$669,2,0)</f>
        <v>Móc khóa đôi mèo trắng</v>
      </c>
      <c r="C3313" s="436" t="str">
        <f>VLOOKUP(A3313,'Thống kê'!$C$3:$E$682,3,0)</f>
        <v>cái</v>
      </c>
      <c r="D3313" s="437">
        <f>VLOOKUP(A3313,'Thống kê'!$C$3:$M$682,4,0)</f>
        <v>59000</v>
      </c>
      <c r="E3313" s="438">
        <v>1</v>
      </c>
      <c r="F3313" s="439">
        <f t="shared" si="13"/>
        <v>59000</v>
      </c>
      <c r="G3313" s="440"/>
      <c r="H3313" s="450"/>
    </row>
    <row r="3314" spans="1:8" ht="13.2">
      <c r="A3314" s="454" t="s">
        <v>1624</v>
      </c>
      <c r="B3314" s="452" t="str">
        <f>VLOOKUP(A3314,'Thống kê'!$C$3:$D$669,2,0)</f>
        <v>Móc khóa mèo trái tim</v>
      </c>
      <c r="C3314" s="436" t="str">
        <f>VLOOKUP(A3314,'Thống kê'!$C$3:$E$682,3,0)</f>
        <v>cái</v>
      </c>
      <c r="D3314" s="437">
        <f>VLOOKUP(A3314,'Thống kê'!$C$3:$M$682,4,0)</f>
        <v>59000</v>
      </c>
      <c r="E3314" s="438">
        <v>1</v>
      </c>
      <c r="F3314" s="439">
        <f t="shared" si="13"/>
        <v>59000</v>
      </c>
      <c r="G3314" s="440"/>
      <c r="H3314" s="450"/>
    </row>
    <row r="3315" spans="1:8" ht="13.2">
      <c r="A3315" s="454" t="s">
        <v>1639</v>
      </c>
      <c r="B3315" s="452" t="str">
        <f>VLOOKUP(A3315,'Thống kê'!$C$3:$D$669,2,0)</f>
        <v>Móc khóa đôi Puppy</v>
      </c>
      <c r="C3315" s="436" t="str">
        <f>VLOOKUP(A3315,'Thống kê'!$C$3:$E$682,3,0)</f>
        <v>cái</v>
      </c>
      <c r="D3315" s="437">
        <f>VLOOKUP(A3315,'Thống kê'!$C$3:$M$682,4,0)</f>
        <v>59000</v>
      </c>
      <c r="E3315" s="438">
        <v>1</v>
      </c>
      <c r="F3315" s="439">
        <f t="shared" si="13"/>
        <v>59000</v>
      </c>
      <c r="G3315" s="440"/>
      <c r="H3315" s="450"/>
    </row>
    <row r="3316" spans="1:8" ht="13.2">
      <c r="A3316" s="454" t="s">
        <v>1640</v>
      </c>
      <c r="B3316" s="452" t="str">
        <f>VLOOKUP(A3316,'Thống kê'!$C$3:$D$669,2,0)</f>
        <v>Móc khóa đôi Capypara</v>
      </c>
      <c r="C3316" s="436" t="str">
        <f>VLOOKUP(A3316,'Thống kê'!$C$3:$E$682,3,0)</f>
        <v>cái</v>
      </c>
      <c r="D3316" s="437">
        <f>VLOOKUP(A3316,'Thống kê'!$C$3:$M$682,4,0)</f>
        <v>59000</v>
      </c>
      <c r="E3316" s="438">
        <v>1</v>
      </c>
      <c r="F3316" s="439">
        <f t="shared" si="13"/>
        <v>59000</v>
      </c>
      <c r="G3316" s="440"/>
      <c r="H3316" s="450"/>
    </row>
    <row r="3317" spans="1:8" ht="13.2">
      <c r="A3317" s="454" t="s">
        <v>317</v>
      </c>
      <c r="B3317" s="452" t="str">
        <f>VLOOKUP(A3317,'Thống kê'!$C$3:$D$669,2,0)</f>
        <v>Dao rọc giấy 10</v>
      </c>
      <c r="C3317" s="436" t="str">
        <f>VLOOKUP(A3317,'Thống kê'!$C$3:$E$682,3,0)</f>
        <v>cái</v>
      </c>
      <c r="D3317" s="437">
        <f>VLOOKUP(A3317,'Thống kê'!$C$3:$M$682,4,0)</f>
        <v>12000</v>
      </c>
      <c r="E3317" s="438">
        <v>1</v>
      </c>
      <c r="F3317" s="439">
        <f t="shared" si="13"/>
        <v>12000</v>
      </c>
      <c r="G3317" s="440"/>
      <c r="H3317" s="447">
        <v>56900</v>
      </c>
    </row>
    <row r="3318" spans="1:8" ht="13.2">
      <c r="A3318" s="454" t="s">
        <v>150</v>
      </c>
      <c r="B3318" s="452" t="str">
        <f>VLOOKUP(A3318,'Thống kê'!$C$3:$D$669,2,0)</f>
        <v>Móc khóa có chuông</v>
      </c>
      <c r="C3318" s="436" t="str">
        <f>VLOOKUP(A3318,'Thống kê'!$C$3:$E$682,3,0)</f>
        <v>cái</v>
      </c>
      <c r="D3318" s="437">
        <f>VLOOKUP(A3318,'Thống kê'!$C$3:$M$682,4,0)</f>
        <v>59000</v>
      </c>
      <c r="E3318" s="438">
        <v>1</v>
      </c>
      <c r="F3318" s="439">
        <f t="shared" si="13"/>
        <v>59000</v>
      </c>
      <c r="G3318" s="440"/>
      <c r="H3318" s="450"/>
    </row>
    <row r="3319" spans="1:8" ht="13.2">
      <c r="A3319" s="454" t="s">
        <v>164</v>
      </c>
      <c r="B3319" s="452" t="str">
        <f>VLOOKUP(A3319,'Thống kê'!$C$3:$D$669,2,0)</f>
        <v>Thước dây trắng</v>
      </c>
      <c r="C3319" s="436" t="str">
        <f>VLOOKUP(A3319,'Thống kê'!$C$3:$E$682,3,0)</f>
        <v>cái</v>
      </c>
      <c r="D3319" s="437">
        <f>VLOOKUP(A3319,'Thống kê'!$C$3:$M$682,4,0)</f>
        <v>9000</v>
      </c>
      <c r="E3319" s="438">
        <v>1</v>
      </c>
      <c r="F3319" s="439">
        <f t="shared" si="13"/>
        <v>9000</v>
      </c>
      <c r="G3319" s="440"/>
      <c r="H3319" s="450"/>
    </row>
    <row r="3320" spans="1:8" ht="13.2">
      <c r="A3320" s="454" t="s">
        <v>1593</v>
      </c>
      <c r="B3320" s="452" t="str">
        <f>VLOOKUP(A3320,'Thống kê'!$C$3:$D$669,2,0)</f>
        <v>Heo cưỡi kì lân gắn xe</v>
      </c>
      <c r="C3320" s="436" t="str">
        <f>VLOOKUP(A3320,'Thống kê'!$C$3:$E$682,3,0)</f>
        <v>cái</v>
      </c>
      <c r="D3320" s="437">
        <f>VLOOKUP(A3320,'Thống kê'!$C$3:$M$682,4,0)</f>
        <v>45000</v>
      </c>
      <c r="E3320" s="438">
        <v>1</v>
      </c>
      <c r="F3320" s="439">
        <f t="shared" si="13"/>
        <v>45000</v>
      </c>
      <c r="G3320" s="440"/>
      <c r="H3320" s="447">
        <v>135842</v>
      </c>
    </row>
    <row r="3321" spans="1:8" ht="13.2">
      <c r="A3321" s="454" t="s">
        <v>1663</v>
      </c>
      <c r="B3321" s="452" t="str">
        <f>VLOOKUP(A3321,'Thống kê'!$C$3:$D$669,2,0)</f>
        <v>Móc khóa Popbean Zsiga</v>
      </c>
      <c r="C3321" s="436" t="str">
        <f>VLOOKUP(A3321,'Thống kê'!$C$3:$E$682,3,0)</f>
        <v>cái</v>
      </c>
      <c r="D3321" s="437">
        <f>VLOOKUP(A3321,'Thống kê'!$C$3:$M$682,4,0)</f>
        <v>148000</v>
      </c>
      <c r="E3321" s="438">
        <v>1</v>
      </c>
      <c r="F3321" s="439">
        <f t="shared" si="13"/>
        <v>148000</v>
      </c>
      <c r="G3321" s="440"/>
      <c r="H3321" s="450"/>
    </row>
    <row r="3322" spans="1:8" ht="13.2">
      <c r="A3322" s="454" t="s">
        <v>1624</v>
      </c>
      <c r="B3322" s="452" t="str">
        <f>VLOOKUP(A3322,'Thống kê'!$C$3:$D$669,2,0)</f>
        <v>Móc khóa mèo trái tim</v>
      </c>
      <c r="C3322" s="436" t="str">
        <f>VLOOKUP(A3322,'Thống kê'!$C$3:$E$682,3,0)</f>
        <v>cái</v>
      </c>
      <c r="D3322" s="437">
        <f>VLOOKUP(A3322,'Thống kê'!$C$3:$M$682,4,0)</f>
        <v>59000</v>
      </c>
      <c r="E3322" s="438">
        <v>1</v>
      </c>
      <c r="F3322" s="439">
        <f t="shared" si="13"/>
        <v>59000</v>
      </c>
      <c r="G3322" s="440"/>
      <c r="H3322" s="448">
        <v>48380</v>
      </c>
    </row>
    <row r="3323" spans="1:8" ht="13.2">
      <c r="A3323" s="454" t="s">
        <v>1588</v>
      </c>
      <c r="B3323" s="452" t="str">
        <f>VLOOKUP(A3323,'Thống kê'!$C$3:$D$669,2,0)</f>
        <v>Heo ú hoa</v>
      </c>
      <c r="C3323" s="436" t="str">
        <f>VLOOKUP(A3323,'Thống kê'!$C$3:$E$682,3,0)</f>
        <v>cái</v>
      </c>
      <c r="D3323" s="437">
        <f>VLOOKUP(A3323,'Thống kê'!$C$3:$M$682,4,0)</f>
        <v>64500</v>
      </c>
      <c r="E3323" s="438">
        <v>1</v>
      </c>
      <c r="F3323" s="439">
        <f t="shared" si="13"/>
        <v>64500</v>
      </c>
      <c r="G3323" s="440"/>
      <c r="H3323" s="448">
        <v>63224</v>
      </c>
    </row>
    <row r="3324" spans="1:8" ht="13.2">
      <c r="A3324" s="454" t="s">
        <v>150</v>
      </c>
      <c r="B3324" s="452" t="str">
        <f>VLOOKUP(A3324,'Thống kê'!$C$3:$D$669,2,0)</f>
        <v>Móc khóa có chuông</v>
      </c>
      <c r="C3324" s="436" t="str">
        <f>VLOOKUP(A3324,'Thống kê'!$C$3:$E$682,3,0)</f>
        <v>cái</v>
      </c>
      <c r="D3324" s="437">
        <f>VLOOKUP(A3324,'Thống kê'!$C$3:$M$682,4,0)</f>
        <v>59000</v>
      </c>
      <c r="E3324" s="438">
        <v>1</v>
      </c>
      <c r="F3324" s="439">
        <f t="shared" si="13"/>
        <v>59000</v>
      </c>
      <c r="G3324" s="440"/>
      <c r="H3324" s="448">
        <v>43142</v>
      </c>
    </row>
    <row r="3325" spans="1:8" ht="13.2">
      <c r="A3325" s="454" t="s">
        <v>1589</v>
      </c>
      <c r="B3325" s="452" t="str">
        <f>VLOOKUP(A3325,'Thống kê'!$C$3:$D$669,2,0)</f>
        <v>Heo ú bay</v>
      </c>
      <c r="C3325" s="436" t="str">
        <f>VLOOKUP(A3325,'Thống kê'!$C$3:$E$682,3,0)</f>
        <v>cái</v>
      </c>
      <c r="D3325" s="437">
        <f>VLOOKUP(A3325,'Thống kê'!$C$3:$M$682,4,0)</f>
        <v>64500</v>
      </c>
      <c r="E3325" s="438">
        <v>1</v>
      </c>
      <c r="F3325" s="439">
        <f t="shared" si="13"/>
        <v>64500</v>
      </c>
      <c r="G3325" s="440"/>
      <c r="H3325" s="447">
        <v>131200</v>
      </c>
    </row>
    <row r="3326" spans="1:8" ht="13.2">
      <c r="A3326" s="454" t="s">
        <v>1588</v>
      </c>
      <c r="B3326" s="452" t="str">
        <f>VLOOKUP(A3326,'Thống kê'!$C$3:$D$669,2,0)</f>
        <v>Heo ú hoa</v>
      </c>
      <c r="C3326" s="436" t="str">
        <f>VLOOKUP(A3326,'Thống kê'!$C$3:$E$682,3,0)</f>
        <v>cái</v>
      </c>
      <c r="D3326" s="437">
        <f>VLOOKUP(A3326,'Thống kê'!$C$3:$M$682,4,0)</f>
        <v>64500</v>
      </c>
      <c r="E3326" s="438">
        <v>1</v>
      </c>
      <c r="F3326" s="439">
        <f t="shared" si="13"/>
        <v>64500</v>
      </c>
      <c r="G3326" s="440"/>
      <c r="H3326" s="450"/>
    </row>
    <row r="3327" spans="1:8" ht="13.2">
      <c r="A3327" s="454" t="s">
        <v>1624</v>
      </c>
      <c r="B3327" s="452" t="str">
        <f>VLOOKUP(A3327,'Thống kê'!$C$3:$D$669,2,0)</f>
        <v>Móc khóa mèo trái tim</v>
      </c>
      <c r="C3327" s="436" t="str">
        <f>VLOOKUP(A3327,'Thống kê'!$C$3:$E$682,3,0)</f>
        <v>cái</v>
      </c>
      <c r="D3327" s="437">
        <f>VLOOKUP(A3327,'Thống kê'!$C$3:$M$682,4,0)</f>
        <v>59000</v>
      </c>
      <c r="E3327" s="438">
        <v>1</v>
      </c>
      <c r="F3327" s="439">
        <f t="shared" si="13"/>
        <v>59000</v>
      </c>
      <c r="G3327" s="440"/>
      <c r="H3327" s="448">
        <v>52180</v>
      </c>
    </row>
    <row r="3328" spans="1:8" ht="13.2">
      <c r="A3328" s="454" t="s">
        <v>1588</v>
      </c>
      <c r="B3328" s="452" t="str">
        <f>VLOOKUP(A3328,'Thống kê'!$C$3:$D$669,2,0)</f>
        <v>Heo ú hoa</v>
      </c>
      <c r="C3328" s="436" t="str">
        <f>VLOOKUP(A3328,'Thống kê'!$C$3:$E$682,3,0)</f>
        <v>cái</v>
      </c>
      <c r="D3328" s="437">
        <f>VLOOKUP(A3328,'Thống kê'!$C$3:$M$682,4,0)</f>
        <v>64500</v>
      </c>
      <c r="E3328" s="438">
        <v>1</v>
      </c>
      <c r="F3328" s="439">
        <f t="shared" si="13"/>
        <v>64500</v>
      </c>
      <c r="G3328" s="440"/>
      <c r="H3328" s="448">
        <v>71249</v>
      </c>
    </row>
    <row r="3329" spans="1:8" ht="13.2">
      <c r="A3329" s="454" t="s">
        <v>1594</v>
      </c>
      <c r="B3329" s="452" t="str">
        <f>VLOOKUP(A3329,'Thống kê'!$C$3:$D$669,2,0)</f>
        <v>Móc khóa đôi heo</v>
      </c>
      <c r="C3329" s="436" t="str">
        <f>VLOOKUP(A3329,'Thống kê'!$C$3:$E$682,3,0)</f>
        <v>cái</v>
      </c>
      <c r="D3329" s="437">
        <f>VLOOKUP(A3329,'Thống kê'!$C$3:$M$682,4,0)</f>
        <v>56580</v>
      </c>
      <c r="E3329" s="438">
        <v>1</v>
      </c>
      <c r="F3329" s="439">
        <f t="shared" si="13"/>
        <v>56580</v>
      </c>
      <c r="G3329" s="440"/>
      <c r="H3329" s="448">
        <v>41681</v>
      </c>
    </row>
    <row r="3330" spans="1:8" ht="13.2">
      <c r="A3330" s="454" t="s">
        <v>245</v>
      </c>
      <c r="B3330" s="452" t="str">
        <f>VLOOKUP(A3330,'Thống kê'!$C$3:$D$669,2,0)</f>
        <v>Móc khóa Popbean</v>
      </c>
      <c r="C3330" s="436" t="str">
        <f>VLOOKUP(A3330,'Thống kê'!$C$3:$E$682,3,0)</f>
        <v>cái</v>
      </c>
      <c r="D3330" s="437">
        <f>VLOOKUP(A3330,'Thống kê'!$C$3:$M$682,4,0)</f>
        <v>148000</v>
      </c>
      <c r="E3330" s="438">
        <v>1</v>
      </c>
      <c r="F3330" s="439">
        <f t="shared" si="13"/>
        <v>148000</v>
      </c>
      <c r="G3330" s="440"/>
      <c r="H3330" s="448">
        <v>141040</v>
      </c>
    </row>
    <row r="3331" spans="1:8" ht="13.2">
      <c r="A3331" s="454" t="s">
        <v>1386</v>
      </c>
      <c r="B3331" s="452" t="str">
        <f>VLOOKUP(A3331,'Thống kê'!$C$3:$D$669,2,0)</f>
        <v>Móc khoá Crybaby mini Popmart</v>
      </c>
      <c r="C3331" s="436" t="str">
        <f>VLOOKUP(A3331,'Thống kê'!$C$3:$E$682,3,0)</f>
        <v>cái</v>
      </c>
      <c r="D3331" s="437">
        <f>VLOOKUP(A3331,'Thống kê'!$C$3:$M$682,4,0)</f>
        <v>0</v>
      </c>
      <c r="E3331" s="438">
        <v>1</v>
      </c>
      <c r="F3331" s="439">
        <f t="shared" si="13"/>
        <v>0</v>
      </c>
      <c r="G3331" s="440"/>
      <c r="H3331" s="448">
        <v>123000</v>
      </c>
    </row>
    <row r="3332" spans="1:8" ht="13.2">
      <c r="A3332" s="454" t="s">
        <v>2056</v>
      </c>
      <c r="B3332" s="452" t="str">
        <f>VLOOKUP(A3332,'Thống kê'!$C$3:$D$669,2,0)</f>
        <v>Buộc tóc trắng vải xù</v>
      </c>
      <c r="C3332" s="436" t="str">
        <f>VLOOKUP(A3332,'Thống kê'!$C$3:$E$682,3,0)</f>
        <v>cái</v>
      </c>
      <c r="D3332" s="437">
        <f>VLOOKUP(A3332,'Thống kê'!$C$3:$M$682,4,0)</f>
        <v>12000</v>
      </c>
      <c r="E3332" s="438">
        <v>1</v>
      </c>
      <c r="F3332" s="439">
        <f t="shared" si="13"/>
        <v>12000</v>
      </c>
      <c r="G3332" s="440"/>
      <c r="H3332" s="447">
        <v>290706</v>
      </c>
    </row>
    <row r="3333" spans="1:8" ht="13.2">
      <c r="A3333" s="454" t="s">
        <v>2074</v>
      </c>
      <c r="B3333" s="452" t="str">
        <f>VLOOKUP(A3333,'Thống kê'!$C$3:$D$669,2,0)</f>
        <v>Buộc tóc ngọc trai trắng</v>
      </c>
      <c r="C3333" s="436" t="str">
        <f>VLOOKUP(A3333,'Thống kê'!$C$3:$E$682,3,0)</f>
        <v>cái</v>
      </c>
      <c r="D3333" s="437">
        <f>VLOOKUP(A3333,'Thống kê'!$C$3:$M$682,4,0)</f>
        <v>29000</v>
      </c>
      <c r="E3333" s="438">
        <v>1</v>
      </c>
      <c r="F3333" s="439">
        <f t="shared" si="13"/>
        <v>29000</v>
      </c>
      <c r="G3333" s="440"/>
      <c r="H3333" s="450"/>
    </row>
    <row r="3334" spans="1:8" ht="13.2">
      <c r="A3334" s="454" t="s">
        <v>1948</v>
      </c>
      <c r="B3334" s="452" t="str">
        <f>VLOOKUP(A3334,'Thống kê'!$C$3:$D$669,2,0)</f>
        <v>Ống 6 dây cột tóc be nâu</v>
      </c>
      <c r="C3334" s="436" t="str">
        <f>VLOOKUP(A3334,'Thống kê'!$C$3:$E$682,3,0)</f>
        <v>ống</v>
      </c>
      <c r="D3334" s="437">
        <f>VLOOKUP(A3334,'Thống kê'!$C$3:$M$682,4,0)</f>
        <v>20000</v>
      </c>
      <c r="E3334" s="438">
        <v>1</v>
      </c>
      <c r="F3334" s="439">
        <f t="shared" si="13"/>
        <v>20000</v>
      </c>
      <c r="G3334" s="440"/>
      <c r="H3334" s="450"/>
    </row>
    <row r="3335" spans="1:8" ht="13.2">
      <c r="A3335" s="454" t="s">
        <v>1395</v>
      </c>
      <c r="B3335" s="452" t="str">
        <f>VLOOKUP(A3335,'Thống kê'!$C$3:$D$669,2,0)</f>
        <v>Móc khoá Labubu mini Popmart</v>
      </c>
      <c r="C3335" s="436" t="str">
        <f>VLOOKUP(A3335,'Thống kê'!$C$3:$E$682,3,0)</f>
        <v>cái</v>
      </c>
      <c r="D3335" s="437">
        <f>VLOOKUP(A3335,'Thống kê'!$C$3:$M$682,4,0)</f>
        <v>0</v>
      </c>
      <c r="E3335" s="438">
        <v>1</v>
      </c>
      <c r="F3335" s="439">
        <f t="shared" si="13"/>
        <v>0</v>
      </c>
      <c r="G3335" s="440"/>
      <c r="H3335" s="450"/>
    </row>
    <row r="3336" spans="1:8" ht="13.2">
      <c r="A3336" s="454" t="s">
        <v>1396</v>
      </c>
      <c r="B3336" s="452" t="str">
        <f>VLOOKUP(A3336,'Thống kê'!$C$3:$D$669,2,0)</f>
        <v>Móc khoá Labubu mini Popmart</v>
      </c>
      <c r="C3336" s="436" t="str">
        <f>VLOOKUP(A3336,'Thống kê'!$C$3:$E$682,3,0)</f>
        <v>cái</v>
      </c>
      <c r="D3336" s="437">
        <f>VLOOKUP(A3336,'Thống kê'!$C$3:$M$682,4,0)</f>
        <v>0</v>
      </c>
      <c r="E3336" s="438">
        <v>1</v>
      </c>
      <c r="F3336" s="439">
        <f t="shared" si="13"/>
        <v>0</v>
      </c>
      <c r="G3336" s="440"/>
      <c r="H3336" s="450"/>
    </row>
    <row r="3337" spans="1:8" ht="13.2">
      <c r="A3337" s="454" t="s">
        <v>1388</v>
      </c>
      <c r="B3337" s="452" t="str">
        <f>VLOOKUP(A3337,'Thống kê'!$C$3:$D$669,2,0)</f>
        <v>Móc khoá Crybaby mini Popmart</v>
      </c>
      <c r="C3337" s="436" t="str">
        <f>VLOOKUP(A3337,'Thống kê'!$C$3:$E$682,3,0)</f>
        <v>cái</v>
      </c>
      <c r="D3337" s="437">
        <f>VLOOKUP(A3337,'Thống kê'!$C$3:$M$682,4,0)</f>
        <v>0</v>
      </c>
      <c r="E3337" s="438">
        <v>1</v>
      </c>
      <c r="F3337" s="439">
        <f t="shared" si="13"/>
        <v>0</v>
      </c>
      <c r="G3337" s="440"/>
      <c r="H3337" s="448">
        <v>123000</v>
      </c>
    </row>
    <row r="3338" spans="1:8" ht="13.2">
      <c r="A3338" s="454" t="s">
        <v>1593</v>
      </c>
      <c r="B3338" s="452" t="str">
        <f>VLOOKUP(A3338,'Thống kê'!$C$3:$D$669,2,0)</f>
        <v>Heo cưỡi kì lân gắn xe</v>
      </c>
      <c r="C3338" s="436" t="str">
        <f>VLOOKUP(A3338,'Thống kê'!$C$3:$E$682,3,0)</f>
        <v>cái</v>
      </c>
      <c r="D3338" s="437">
        <f>VLOOKUP(A3338,'Thống kê'!$C$3:$M$682,4,0)</f>
        <v>45000</v>
      </c>
      <c r="E3338" s="438">
        <v>1</v>
      </c>
      <c r="F3338" s="439">
        <f t="shared" si="13"/>
        <v>45000</v>
      </c>
      <c r="G3338" s="440"/>
      <c r="H3338" s="447">
        <v>269726</v>
      </c>
    </row>
    <row r="3339" spans="1:8" ht="13.2">
      <c r="A3339" s="454" t="s">
        <v>1398</v>
      </c>
      <c r="B3339" s="452" t="str">
        <f>VLOOKUP(A3339,'Thống kê'!$C$3:$D$669,2,0)</f>
        <v>Móc khoá Labubu mini Popmart</v>
      </c>
      <c r="C3339" s="436" t="str">
        <f>VLOOKUP(A3339,'Thống kê'!$C$3:$E$682,3,0)</f>
        <v>cái</v>
      </c>
      <c r="D3339" s="437">
        <f>VLOOKUP(A3339,'Thống kê'!$C$3:$M$682,4,0)</f>
        <v>0</v>
      </c>
      <c r="E3339" s="438">
        <v>1</v>
      </c>
      <c r="F3339" s="439">
        <f t="shared" si="13"/>
        <v>0</v>
      </c>
      <c r="G3339" s="440"/>
      <c r="H3339" s="450"/>
    </row>
    <row r="3340" spans="1:8" ht="13.2">
      <c r="A3340" s="454" t="s">
        <v>1388</v>
      </c>
      <c r="B3340" s="452" t="str">
        <f>VLOOKUP(A3340,'Thống kê'!$C$3:$D$669,2,0)</f>
        <v>Móc khoá Crybaby mini Popmart</v>
      </c>
      <c r="C3340" s="436" t="str">
        <f>VLOOKUP(A3340,'Thống kê'!$C$3:$E$682,3,0)</f>
        <v>cái</v>
      </c>
      <c r="D3340" s="437">
        <f>VLOOKUP(A3340,'Thống kê'!$C$3:$M$682,4,0)</f>
        <v>0</v>
      </c>
      <c r="E3340" s="438">
        <v>1</v>
      </c>
      <c r="F3340" s="439">
        <f t="shared" si="13"/>
        <v>0</v>
      </c>
      <c r="G3340" s="440"/>
      <c r="H3340" s="450"/>
    </row>
    <row r="3341" spans="1:8" ht="13.2">
      <c r="A3341" s="454" t="s">
        <v>138</v>
      </c>
      <c r="B3341" s="452" t="str">
        <f>VLOOKUP(A3341,'Thống kê'!$C$3:$D$669,2,0)</f>
        <v>Móc khoá Crybaby mini Popmart</v>
      </c>
      <c r="C3341" s="436" t="str">
        <f>VLOOKUP(A3341,'Thống kê'!$C$3:$E$682,3,0)</f>
        <v>cái</v>
      </c>
      <c r="D3341" s="437">
        <f>VLOOKUP(A3341,'Thống kê'!$C$3:$M$682,4,0)</f>
        <v>0</v>
      </c>
      <c r="E3341" s="438">
        <v>1</v>
      </c>
      <c r="F3341" s="439">
        <f t="shared" si="13"/>
        <v>0</v>
      </c>
      <c r="G3341" s="440"/>
      <c r="H3341" s="447">
        <v>241408</v>
      </c>
    </row>
    <row r="3342" spans="1:8" ht="13.2">
      <c r="A3342" s="454" t="s">
        <v>259</v>
      </c>
      <c r="B3342" s="452" t="str">
        <f>VLOOKUP(A3342,'Thống kê'!$C$3:$D$669,2,0)</f>
        <v>Móc khoá Crybaby mini Popmart</v>
      </c>
      <c r="C3342" s="436" t="str">
        <f>VLOOKUP(A3342,'Thống kê'!$C$3:$E$682,3,0)</f>
        <v>cái</v>
      </c>
      <c r="D3342" s="437">
        <f>VLOOKUP(A3342,'Thống kê'!$C$3:$M$682,4,0)</f>
        <v>0</v>
      </c>
      <c r="E3342" s="438">
        <v>1</v>
      </c>
      <c r="F3342" s="439">
        <f t="shared" si="13"/>
        <v>0</v>
      </c>
      <c r="G3342" s="440"/>
      <c r="H3342" s="450"/>
    </row>
    <row r="3343" spans="1:8" ht="13.2">
      <c r="A3343" s="454" t="s">
        <v>259</v>
      </c>
      <c r="B3343" s="452" t="str">
        <f>VLOOKUP(A3343,'Thống kê'!$C$3:$D$669,2,0)</f>
        <v>Móc khoá Crybaby mini Popmart</v>
      </c>
      <c r="C3343" s="436" t="str">
        <f>VLOOKUP(A3343,'Thống kê'!$C$3:$E$682,3,0)</f>
        <v>cái</v>
      </c>
      <c r="D3343" s="437">
        <f>VLOOKUP(A3343,'Thống kê'!$C$3:$M$682,4,0)</f>
        <v>0</v>
      </c>
      <c r="E3343" s="438">
        <v>1</v>
      </c>
      <c r="F3343" s="439">
        <f t="shared" si="13"/>
        <v>0</v>
      </c>
      <c r="G3343" s="440"/>
      <c r="H3343" s="448">
        <v>129650</v>
      </c>
    </row>
    <row r="3344" spans="1:8" ht="13.2">
      <c r="A3344" s="454" t="s">
        <v>1384</v>
      </c>
      <c r="B3344" s="452" t="str">
        <f>VLOOKUP(A3344,'Thống kê'!$C$3:$D$669,2,0)</f>
        <v>Móc khoá Crybaby mini Popmart</v>
      </c>
      <c r="C3344" s="436" t="str">
        <f>VLOOKUP(A3344,'Thống kê'!$C$3:$E$682,3,0)</f>
        <v>cái</v>
      </c>
      <c r="D3344" s="437">
        <f>VLOOKUP(A3344,'Thống kê'!$C$3:$M$682,4,0)</f>
        <v>0</v>
      </c>
      <c r="E3344" s="438">
        <v>2</v>
      </c>
      <c r="F3344" s="439">
        <f t="shared" si="13"/>
        <v>0</v>
      </c>
      <c r="G3344" s="440"/>
      <c r="H3344" s="448">
        <v>241408</v>
      </c>
    </row>
    <row r="3345" spans="1:8" ht="13.2">
      <c r="A3345" s="454" t="s">
        <v>1384</v>
      </c>
      <c r="B3345" s="452" t="str">
        <f>VLOOKUP(A3345,'Thống kê'!$C$3:$D$669,2,0)</f>
        <v>Móc khoá Crybaby mini Popmart</v>
      </c>
      <c r="C3345" s="436" t="str">
        <f>VLOOKUP(A3345,'Thống kê'!$C$3:$E$682,3,0)</f>
        <v>cái</v>
      </c>
      <c r="D3345" s="437">
        <f>VLOOKUP(A3345,'Thống kê'!$C$3:$M$682,4,0)</f>
        <v>0</v>
      </c>
      <c r="E3345" s="438">
        <v>1</v>
      </c>
      <c r="F3345" s="439">
        <f t="shared" si="13"/>
        <v>0</v>
      </c>
      <c r="G3345" s="440"/>
      <c r="H3345" s="448">
        <v>125460</v>
      </c>
    </row>
    <row r="3346" spans="1:8" ht="13.2">
      <c r="A3346" s="454" t="s">
        <v>258</v>
      </c>
      <c r="B3346" s="452" t="str">
        <f>VLOOKUP(A3346,'Thống kê'!$C$3:$D$669,2,0)</f>
        <v>Móc khoá Crybaby mini Popmart</v>
      </c>
      <c r="C3346" s="436" t="str">
        <f>VLOOKUP(A3346,'Thống kê'!$C$3:$E$682,3,0)</f>
        <v>cái</v>
      </c>
      <c r="D3346" s="437">
        <f>VLOOKUP(A3346,'Thống kê'!$C$3:$M$682,4,0)</f>
        <v>0</v>
      </c>
      <c r="E3346" s="438">
        <v>1</v>
      </c>
      <c r="F3346" s="439">
        <f t="shared" si="13"/>
        <v>0</v>
      </c>
      <c r="G3346" s="440"/>
      <c r="H3346" s="447">
        <v>241408</v>
      </c>
    </row>
    <row r="3347" spans="1:8" ht="13.2">
      <c r="A3347" s="454" t="s">
        <v>138</v>
      </c>
      <c r="B3347" s="452" t="str">
        <f>VLOOKUP(A3347,'Thống kê'!$C$3:$D$669,2,0)</f>
        <v>Móc khoá Crybaby mini Popmart</v>
      </c>
      <c r="C3347" s="436" t="str">
        <f>VLOOKUP(A3347,'Thống kê'!$C$3:$E$682,3,0)</f>
        <v>cái</v>
      </c>
      <c r="D3347" s="437">
        <f>VLOOKUP(A3347,'Thống kê'!$C$3:$M$682,4,0)</f>
        <v>0</v>
      </c>
      <c r="E3347" s="438">
        <v>1</v>
      </c>
      <c r="F3347" s="439">
        <f t="shared" si="13"/>
        <v>0</v>
      </c>
      <c r="G3347" s="440"/>
      <c r="H3347" s="450"/>
    </row>
    <row r="3348" spans="1:8" ht="13.2">
      <c r="A3348" s="454" t="s">
        <v>138</v>
      </c>
      <c r="B3348" s="452" t="str">
        <f>VLOOKUP(A3348,'Thống kê'!$C$3:$D$669,2,0)</f>
        <v>Móc khoá Crybaby mini Popmart</v>
      </c>
      <c r="C3348" s="436" t="str">
        <f>VLOOKUP(A3348,'Thống kê'!$C$3:$E$682,3,0)</f>
        <v>cái</v>
      </c>
      <c r="D3348" s="437">
        <f>VLOOKUP(A3348,'Thống kê'!$C$3:$M$682,4,0)</f>
        <v>0</v>
      </c>
      <c r="E3348" s="438">
        <v>1</v>
      </c>
      <c r="F3348" s="439">
        <f t="shared" si="13"/>
        <v>0</v>
      </c>
      <c r="G3348" s="440"/>
      <c r="H3348" s="448">
        <v>125460</v>
      </c>
    </row>
    <row r="3349" spans="1:8" ht="13.2">
      <c r="A3349" s="454" t="s">
        <v>258</v>
      </c>
      <c r="B3349" s="452" t="str">
        <f>VLOOKUP(A3349,'Thống kê'!$C$3:$D$669,2,0)</f>
        <v>Móc khoá Crybaby mini Popmart</v>
      </c>
      <c r="C3349" s="436" t="str">
        <f>VLOOKUP(A3349,'Thống kê'!$C$3:$E$682,3,0)</f>
        <v>cái</v>
      </c>
      <c r="D3349" s="437">
        <f>VLOOKUP(A3349,'Thống kê'!$C$3:$M$682,4,0)</f>
        <v>0</v>
      </c>
      <c r="E3349" s="438">
        <v>1</v>
      </c>
      <c r="F3349" s="439">
        <f t="shared" si="13"/>
        <v>0</v>
      </c>
      <c r="G3349" s="440"/>
      <c r="H3349" s="447">
        <v>241408</v>
      </c>
    </row>
    <row r="3350" spans="1:8" ht="13.2">
      <c r="A3350" s="454" t="s">
        <v>1389</v>
      </c>
      <c r="B3350" s="452" t="str">
        <f>VLOOKUP(A3350,'Thống kê'!$C$3:$D$669,2,0)</f>
        <v>Móc khoá Crybaby mini Popmart</v>
      </c>
      <c r="C3350" s="436" t="str">
        <f>VLOOKUP(A3350,'Thống kê'!$C$3:$E$682,3,0)</f>
        <v>cái</v>
      </c>
      <c r="D3350" s="437">
        <f>VLOOKUP(A3350,'Thống kê'!$C$3:$M$682,4,0)</f>
        <v>0</v>
      </c>
      <c r="E3350" s="438">
        <v>1</v>
      </c>
      <c r="F3350" s="439">
        <f t="shared" si="13"/>
        <v>0</v>
      </c>
      <c r="G3350" s="440"/>
      <c r="H3350" s="450"/>
    </row>
    <row r="3351" spans="1:8" ht="13.2">
      <c r="A3351" s="454" t="s">
        <v>1594</v>
      </c>
      <c r="B3351" s="452" t="str">
        <f>VLOOKUP(A3351,'Thống kê'!$C$3:$D$669,2,0)</f>
        <v>Móc khóa đôi heo</v>
      </c>
      <c r="C3351" s="436" t="str">
        <f>VLOOKUP(A3351,'Thống kê'!$C$3:$E$682,3,0)</f>
        <v>cái</v>
      </c>
      <c r="D3351" s="437">
        <f>VLOOKUP(A3351,'Thống kê'!$C$3:$M$682,4,0)</f>
        <v>56580</v>
      </c>
      <c r="E3351" s="438">
        <v>1</v>
      </c>
      <c r="F3351" s="439">
        <f t="shared" si="13"/>
        <v>56580</v>
      </c>
      <c r="G3351" s="440"/>
      <c r="H3351" s="448">
        <v>52096</v>
      </c>
    </row>
    <row r="3352" spans="1:8" ht="13.2">
      <c r="A3352" s="454" t="s">
        <v>1364</v>
      </c>
      <c r="B3352" s="452" t="str">
        <f>VLOOKUP(A3352,'Thống kê'!$C$3:$D$669,2,0)</f>
        <v>Móc khóa Popbean</v>
      </c>
      <c r="C3352" s="436" t="str">
        <f>VLOOKUP(A3352,'Thống kê'!$C$3:$E$682,3,0)</f>
        <v>cái</v>
      </c>
      <c r="D3352" s="437">
        <f>VLOOKUP(A3352,'Thống kê'!$C$3:$M$682,4,0)</f>
        <v>148000</v>
      </c>
      <c r="E3352" s="438">
        <v>1</v>
      </c>
      <c r="F3352" s="439">
        <f t="shared" si="13"/>
        <v>148000</v>
      </c>
      <c r="G3352" s="440"/>
      <c r="H3352" s="448">
        <v>143529</v>
      </c>
    </row>
    <row r="3353" spans="1:8" ht="13.2">
      <c r="A3353" s="454" t="s">
        <v>1399</v>
      </c>
      <c r="B3353" s="452" t="str">
        <f>VLOOKUP(A3353,'Thống kê'!$C$3:$D$669,2,0)</f>
        <v>Móc khoá Labubu mini Popmart</v>
      </c>
      <c r="C3353" s="436" t="str">
        <f>VLOOKUP(A3353,'Thống kê'!$C$3:$E$682,3,0)</f>
        <v>cái</v>
      </c>
      <c r="D3353" s="437">
        <f>VLOOKUP(A3353,'Thống kê'!$C$3:$M$682,4,0)</f>
        <v>0</v>
      </c>
      <c r="E3353" s="438">
        <v>1</v>
      </c>
      <c r="F3353" s="439">
        <f t="shared" si="13"/>
        <v>0</v>
      </c>
      <c r="G3353" s="440"/>
      <c r="H3353" s="448">
        <v>121360</v>
      </c>
    </row>
    <row r="3354" spans="1:8" ht="13.2">
      <c r="A3354" s="454" t="s">
        <v>150</v>
      </c>
      <c r="B3354" s="452" t="str">
        <f>VLOOKUP(A3354,'Thống kê'!$C$3:$D$669,2,0)</f>
        <v>Móc khóa có chuông</v>
      </c>
      <c r="C3354" s="436" t="str">
        <f>VLOOKUP(A3354,'Thống kê'!$C$3:$E$682,3,0)</f>
        <v>cái</v>
      </c>
      <c r="D3354" s="437">
        <f>VLOOKUP(A3354,'Thống kê'!$C$3:$M$682,4,0)</f>
        <v>59000</v>
      </c>
      <c r="E3354" s="438">
        <v>1</v>
      </c>
      <c r="F3354" s="439">
        <f t="shared" si="13"/>
        <v>59000</v>
      </c>
      <c r="G3354" s="440"/>
      <c r="H3354" s="448">
        <v>48380</v>
      </c>
    </row>
    <row r="3355" spans="1:8" ht="13.2">
      <c r="A3355" s="454" t="s">
        <v>1664</v>
      </c>
      <c r="B3355" s="452" t="str">
        <f>VLOOKUP(A3355,'Thống kê'!$C$3:$D$669,2,0)</f>
        <v>Móc khóa Popbean Lilios</v>
      </c>
      <c r="C3355" s="436" t="str">
        <f>VLOOKUP(A3355,'Thống kê'!$C$3:$E$682,3,0)</f>
        <v>cái</v>
      </c>
      <c r="D3355" s="437">
        <f>VLOOKUP(A3355,'Thống kê'!$C$3:$M$682,4,0)</f>
        <v>148000</v>
      </c>
      <c r="E3355" s="438">
        <v>1</v>
      </c>
      <c r="F3355" s="439">
        <f t="shared" si="13"/>
        <v>148000</v>
      </c>
      <c r="G3355" s="440"/>
      <c r="H3355" s="447">
        <v>296000</v>
      </c>
    </row>
    <row r="3356" spans="1:8" ht="13.2">
      <c r="A3356" s="454" t="s">
        <v>1370</v>
      </c>
      <c r="B3356" s="452" t="str">
        <f>VLOOKUP(A3356,'Thống kê'!$C$3:$D$669,2,0)</f>
        <v>Móc khóa Popbean</v>
      </c>
      <c r="C3356" s="436" t="str">
        <f>VLOOKUP(A3356,'Thống kê'!$C$3:$E$682,3,0)</f>
        <v>cái</v>
      </c>
      <c r="D3356" s="437">
        <f>VLOOKUP(A3356,'Thống kê'!$C$3:$M$682,4,0)</f>
        <v>148000</v>
      </c>
      <c r="E3356" s="438">
        <v>1</v>
      </c>
      <c r="F3356" s="439">
        <f t="shared" si="13"/>
        <v>148000</v>
      </c>
      <c r="G3356" s="440"/>
      <c r="H3356" s="450"/>
    </row>
    <row r="3357" spans="1:8" ht="13.2">
      <c r="A3357" s="454" t="s">
        <v>1364</v>
      </c>
      <c r="B3357" s="452" t="str">
        <f>VLOOKUP(A3357,'Thống kê'!$C$3:$D$669,2,0)</f>
        <v>Móc khóa Popbean</v>
      </c>
      <c r="C3357" s="436" t="str">
        <f>VLOOKUP(A3357,'Thống kê'!$C$3:$E$682,3,0)</f>
        <v>cái</v>
      </c>
      <c r="D3357" s="437">
        <f>VLOOKUP(A3357,'Thống kê'!$C$3:$M$682,4,0)</f>
        <v>148000</v>
      </c>
      <c r="E3357" s="438">
        <v>1</v>
      </c>
      <c r="F3357" s="439">
        <f t="shared" si="13"/>
        <v>148000</v>
      </c>
      <c r="G3357" s="440"/>
      <c r="H3357" s="447">
        <v>255667</v>
      </c>
    </row>
    <row r="3358" spans="1:8" ht="13.2">
      <c r="A3358" s="454" t="s">
        <v>258</v>
      </c>
      <c r="B3358" s="452" t="str">
        <f>VLOOKUP(A3358,'Thống kê'!$C$3:$D$669,2,0)</f>
        <v>Móc khoá Crybaby mini Popmart</v>
      </c>
      <c r="C3358" s="436" t="str">
        <f>VLOOKUP(A3358,'Thống kê'!$C$3:$E$682,3,0)</f>
        <v>cái</v>
      </c>
      <c r="D3358" s="437">
        <f>VLOOKUP(A3358,'Thống kê'!$C$3:$M$682,4,0)</f>
        <v>0</v>
      </c>
      <c r="E3358" s="438">
        <v>1</v>
      </c>
      <c r="F3358" s="439">
        <f t="shared" si="13"/>
        <v>0</v>
      </c>
      <c r="G3358" s="440"/>
      <c r="H3358" s="450"/>
    </row>
    <row r="3359" spans="1:8" ht="13.2">
      <c r="A3359" s="454" t="s">
        <v>150</v>
      </c>
      <c r="B3359" s="452" t="str">
        <f>VLOOKUP(A3359,'Thống kê'!$C$3:$D$669,2,0)</f>
        <v>Móc khóa có chuông</v>
      </c>
      <c r="C3359" s="436" t="str">
        <f>VLOOKUP(A3359,'Thống kê'!$C$3:$E$682,3,0)</f>
        <v>cái</v>
      </c>
      <c r="D3359" s="437">
        <f>VLOOKUP(A3359,'Thống kê'!$C$3:$M$682,4,0)</f>
        <v>59000</v>
      </c>
      <c r="E3359" s="438">
        <v>1</v>
      </c>
      <c r="F3359" s="439">
        <f t="shared" si="13"/>
        <v>59000</v>
      </c>
      <c r="G3359" s="440"/>
      <c r="H3359" s="448">
        <v>48380</v>
      </c>
    </row>
    <row r="3360" spans="1:8" ht="13.2">
      <c r="A3360" s="454" t="s">
        <v>1382</v>
      </c>
      <c r="B3360" s="452" t="str">
        <f>VLOOKUP(A3360,'Thống kê'!$C$3:$D$669,2,0)</f>
        <v>miếng dán silicon điện thoại</v>
      </c>
      <c r="C3360" s="436" t="str">
        <f>VLOOKUP(A3360,'Thống kê'!$C$3:$E$682,3,0)</f>
        <v>cái</v>
      </c>
      <c r="D3360" s="437">
        <f>VLOOKUP(A3360,'Thống kê'!$C$3:$M$682,4,0)</f>
        <v>0</v>
      </c>
      <c r="E3360" s="438">
        <v>3</v>
      </c>
      <c r="F3360" s="439">
        <f t="shared" si="13"/>
        <v>0</v>
      </c>
      <c r="G3360" s="440"/>
      <c r="H3360" s="447">
        <v>376464</v>
      </c>
    </row>
    <row r="3361" spans="1:8" ht="13.2">
      <c r="A3361" s="454" t="s">
        <v>1387</v>
      </c>
      <c r="B3361" s="452" t="str">
        <f>VLOOKUP(A3361,'Thống kê'!$C$3:$D$669,2,0)</f>
        <v>Móc khoá Crybaby mini Popmart</v>
      </c>
      <c r="C3361" s="436" t="str">
        <f>VLOOKUP(A3361,'Thống kê'!$C$3:$E$682,3,0)</f>
        <v>cái</v>
      </c>
      <c r="D3361" s="437">
        <f>VLOOKUP(A3361,'Thống kê'!$C$3:$M$682,4,0)</f>
        <v>0</v>
      </c>
      <c r="E3361" s="438">
        <v>1</v>
      </c>
      <c r="F3361" s="439">
        <f t="shared" si="13"/>
        <v>0</v>
      </c>
      <c r="G3361" s="440"/>
      <c r="H3361" s="450"/>
    </row>
    <row r="3362" spans="1:8" ht="13.2">
      <c r="A3362" s="454" t="s">
        <v>258</v>
      </c>
      <c r="B3362" s="452" t="str">
        <f>VLOOKUP(A3362,'Thống kê'!$C$3:$D$669,2,0)</f>
        <v>Móc khoá Crybaby mini Popmart</v>
      </c>
      <c r="C3362" s="436" t="str">
        <f>VLOOKUP(A3362,'Thống kê'!$C$3:$E$682,3,0)</f>
        <v>cái</v>
      </c>
      <c r="D3362" s="437">
        <f>VLOOKUP(A3362,'Thống kê'!$C$3:$M$682,4,0)</f>
        <v>0</v>
      </c>
      <c r="E3362" s="438">
        <v>1</v>
      </c>
      <c r="F3362" s="439">
        <f t="shared" si="13"/>
        <v>0</v>
      </c>
      <c r="G3362" s="440"/>
      <c r="H3362" s="450"/>
    </row>
    <row r="3363" spans="1:8" ht="13.2">
      <c r="A3363" s="454" t="s">
        <v>1388</v>
      </c>
      <c r="B3363" s="452" t="str">
        <f>VLOOKUP(A3363,'Thống kê'!$C$3:$D$669,2,0)</f>
        <v>Móc khoá Crybaby mini Popmart</v>
      </c>
      <c r="C3363" s="436" t="str">
        <f>VLOOKUP(A3363,'Thống kê'!$C$3:$E$682,3,0)</f>
        <v>cái</v>
      </c>
      <c r="D3363" s="437">
        <f>VLOOKUP(A3363,'Thống kê'!$C$3:$M$682,4,0)</f>
        <v>0</v>
      </c>
      <c r="E3363" s="438">
        <v>1</v>
      </c>
      <c r="F3363" s="439">
        <f t="shared" si="13"/>
        <v>0</v>
      </c>
      <c r="G3363" s="440"/>
      <c r="H3363" s="450"/>
    </row>
    <row r="3364" spans="1:8" ht="13.2">
      <c r="A3364" s="454" t="s">
        <v>1660</v>
      </c>
      <c r="B3364" s="452" t="str">
        <f>VLOOKUP(A3364,'Thống kê'!$C$3:$D$669,2,0)</f>
        <v>Móc khóa Popbean Skull Panda</v>
      </c>
      <c r="C3364" s="436" t="str">
        <f>VLOOKUP(A3364,'Thống kê'!$C$3:$E$682,3,0)</f>
        <v>cái</v>
      </c>
      <c r="D3364" s="437">
        <f>VLOOKUP(A3364,'Thống kê'!$C$3:$M$682,4,0)</f>
        <v>155000</v>
      </c>
      <c r="E3364" s="438">
        <v>1</v>
      </c>
      <c r="F3364" s="439">
        <f t="shared" si="13"/>
        <v>155000</v>
      </c>
      <c r="G3364" s="440"/>
      <c r="H3364" s="448">
        <v>108372</v>
      </c>
    </row>
    <row r="3365" spans="1:8" ht="13.2">
      <c r="A3365" s="454" t="s">
        <v>1790</v>
      </c>
      <c r="B3365" s="452" t="str">
        <f>VLOOKUP(A3365,'Thống kê'!$C$3:$D$669,2,0)</f>
        <v>Hộp thuốc nơ hồng</v>
      </c>
      <c r="C3365" s="436" t="str">
        <f>VLOOKUP(A3365,'Thống kê'!$C$3:$E$682,3,0)</f>
        <v>hộp</v>
      </c>
      <c r="D3365" s="437">
        <f>VLOOKUP(A3365,'Thống kê'!$C$3:$M$682,4,0)</f>
        <v>11000</v>
      </c>
      <c r="E3365" s="438">
        <v>1</v>
      </c>
      <c r="F3365" s="439">
        <f t="shared" si="13"/>
        <v>11000</v>
      </c>
      <c r="G3365" s="440"/>
      <c r="H3365" s="447">
        <v>351452</v>
      </c>
    </row>
    <row r="3366" spans="1:8" ht="13.2">
      <c r="A3366" s="454" t="s">
        <v>1349</v>
      </c>
      <c r="B3366" s="452" t="str">
        <f>VLOOKUP(A3366,'Thống kê'!$C$3:$D$669,2,0)</f>
        <v>Túi chườm bụng 1000ml</v>
      </c>
      <c r="C3366" s="436" t="str">
        <f>VLOOKUP(A3366,'Thống kê'!$C$3:$E$682,3,0)</f>
        <v>túi</v>
      </c>
      <c r="D3366" s="437">
        <f>VLOOKUP(A3366,'Thống kê'!$C$3:$M$682,4,0)</f>
        <v>119000</v>
      </c>
      <c r="E3366" s="438">
        <v>1</v>
      </c>
      <c r="F3366" s="439">
        <f t="shared" si="13"/>
        <v>119000</v>
      </c>
      <c r="G3366" s="440"/>
      <c r="H3366" s="450"/>
    </row>
    <row r="3367" spans="1:8" ht="13.2">
      <c r="A3367" s="454" t="s">
        <v>245</v>
      </c>
      <c r="B3367" s="452" t="str">
        <f>VLOOKUP(A3367,'Thống kê'!$C$3:$D$669,2,0)</f>
        <v>Móc khóa Popbean</v>
      </c>
      <c r="C3367" s="436" t="str">
        <f>VLOOKUP(A3367,'Thống kê'!$C$3:$E$682,3,0)</f>
        <v>cái</v>
      </c>
      <c r="D3367" s="437">
        <f>VLOOKUP(A3367,'Thống kê'!$C$3:$M$682,4,0)</f>
        <v>148000</v>
      </c>
      <c r="E3367" s="438">
        <v>1</v>
      </c>
      <c r="F3367" s="439">
        <f t="shared" si="13"/>
        <v>148000</v>
      </c>
      <c r="G3367" s="440"/>
      <c r="H3367" s="450"/>
    </row>
    <row r="3368" spans="1:8" ht="13.2">
      <c r="A3368" s="454" t="s">
        <v>1387</v>
      </c>
      <c r="B3368" s="452" t="str">
        <f>VLOOKUP(A3368,'Thống kê'!$C$3:$D$669,2,0)</f>
        <v>Móc khoá Crybaby mini Popmart</v>
      </c>
      <c r="C3368" s="436" t="str">
        <f>VLOOKUP(A3368,'Thống kê'!$C$3:$E$682,3,0)</f>
        <v>cái</v>
      </c>
      <c r="D3368" s="437">
        <f>VLOOKUP(A3368,'Thống kê'!$C$3:$M$682,4,0)</f>
        <v>0</v>
      </c>
      <c r="E3368" s="438">
        <v>1</v>
      </c>
      <c r="F3368" s="439">
        <f t="shared" si="13"/>
        <v>0</v>
      </c>
      <c r="G3368" s="440"/>
      <c r="H3368" s="450"/>
    </row>
    <row r="3369" spans="1:8" ht="13.2">
      <c r="A3369" s="454" t="s">
        <v>1818</v>
      </c>
      <c r="B3369" s="452" t="str">
        <f>VLOOKUP(A3369,'Thống kê'!$C$3:$D$669,2,0)</f>
        <v>Mèo trắng treo gương</v>
      </c>
      <c r="C3369" s="436" t="str">
        <f>VLOOKUP(A3369,'Thống kê'!$C$3:$E$682,3,0)</f>
        <v>cái</v>
      </c>
      <c r="D3369" s="437">
        <f>VLOOKUP(A3369,'Thống kê'!$C$3:$M$682,4,0)</f>
        <v>71500</v>
      </c>
      <c r="E3369" s="438">
        <v>1</v>
      </c>
      <c r="F3369" s="439">
        <f t="shared" si="13"/>
        <v>71500</v>
      </c>
      <c r="G3369" s="440"/>
      <c r="H3369" s="448">
        <v>48973</v>
      </c>
    </row>
    <row r="3370" spans="1:8" ht="13.2">
      <c r="A3370" s="454" t="s">
        <v>150</v>
      </c>
      <c r="B3370" s="452" t="str">
        <f>VLOOKUP(A3370,'Thống kê'!$C$3:$D$669,2,0)</f>
        <v>Móc khóa có chuông</v>
      </c>
      <c r="C3370" s="436" t="str">
        <f>VLOOKUP(A3370,'Thống kê'!$C$3:$E$682,3,0)</f>
        <v>cái</v>
      </c>
      <c r="D3370" s="437">
        <f>VLOOKUP(A3370,'Thống kê'!$C$3:$M$682,4,0)</f>
        <v>59000</v>
      </c>
      <c r="E3370" s="438">
        <v>1</v>
      </c>
      <c r="F3370" s="439">
        <f t="shared" ref="F3370:F3624" si="14">D3370*E3370</f>
        <v>59000</v>
      </c>
      <c r="G3370" s="440"/>
      <c r="H3370" s="448">
        <v>47730</v>
      </c>
    </row>
    <row r="3371" spans="1:8" ht="13.2">
      <c r="A3371" s="454" t="s">
        <v>1341</v>
      </c>
      <c r="B3371" s="452" t="str">
        <f>VLOOKUP(A3371,'Thống kê'!$C$3:$D$669,2,0)</f>
        <v>Móc khóa chuối</v>
      </c>
      <c r="C3371" s="436" t="str">
        <f>VLOOKUP(A3371,'Thống kê'!$C$3:$E$682,3,0)</f>
        <v>cái</v>
      </c>
      <c r="D3371" s="437">
        <f>VLOOKUP(A3371,'Thống kê'!$C$3:$M$682,4,0)</f>
        <v>148000</v>
      </c>
      <c r="E3371" s="438">
        <v>1</v>
      </c>
      <c r="F3371" s="439">
        <f t="shared" si="14"/>
        <v>148000</v>
      </c>
      <c r="G3371" s="440"/>
      <c r="H3371" s="448">
        <v>88560</v>
      </c>
    </row>
    <row r="3372" spans="1:8" ht="13.2">
      <c r="A3372" s="454" t="s">
        <v>165</v>
      </c>
      <c r="B3372" s="452" t="str">
        <f>VLOOKUP(A3372,'Thống kê'!$C$3:$D$669,2,0)</f>
        <v>Móc khóa Popbean</v>
      </c>
      <c r="C3372" s="436" t="str">
        <f>VLOOKUP(A3372,'Thống kê'!$C$3:$E$682,3,0)</f>
        <v>cái</v>
      </c>
      <c r="D3372" s="437">
        <f>VLOOKUP(A3372,'Thống kê'!$C$3:$M$682,4,0)</f>
        <v>148000</v>
      </c>
      <c r="E3372" s="438">
        <v>1</v>
      </c>
      <c r="F3372" s="439">
        <f t="shared" si="14"/>
        <v>148000</v>
      </c>
      <c r="G3372" s="440"/>
      <c r="H3372" s="447">
        <v>382940</v>
      </c>
    </row>
    <row r="3373" spans="1:8" ht="13.2">
      <c r="A3373" s="454" t="s">
        <v>1366</v>
      </c>
      <c r="B3373" s="452" t="str">
        <f>VLOOKUP(A3373,'Thống kê'!$C$3:$D$669,2,0)</f>
        <v>Móc khóa Popbean</v>
      </c>
      <c r="C3373" s="436" t="str">
        <f>VLOOKUP(A3373,'Thống kê'!$C$3:$E$682,3,0)</f>
        <v>cái</v>
      </c>
      <c r="D3373" s="437">
        <f>VLOOKUP(A3373,'Thống kê'!$C$3:$M$682,4,0)</f>
        <v>148000</v>
      </c>
      <c r="E3373" s="438">
        <v>1</v>
      </c>
      <c r="F3373" s="439">
        <f t="shared" si="14"/>
        <v>148000</v>
      </c>
      <c r="G3373" s="440"/>
      <c r="H3373" s="450"/>
    </row>
    <row r="3374" spans="1:8" ht="13.2">
      <c r="A3374" s="454" t="s">
        <v>1364</v>
      </c>
      <c r="B3374" s="452" t="str">
        <f>VLOOKUP(A3374,'Thống kê'!$C$3:$D$669,2,0)</f>
        <v>Móc khóa Popbean</v>
      </c>
      <c r="C3374" s="436" t="str">
        <f>VLOOKUP(A3374,'Thống kê'!$C$3:$E$682,3,0)</f>
        <v>cái</v>
      </c>
      <c r="D3374" s="437">
        <f>VLOOKUP(A3374,'Thống kê'!$C$3:$M$682,4,0)</f>
        <v>148000</v>
      </c>
      <c r="E3374" s="438">
        <v>1</v>
      </c>
      <c r="F3374" s="439">
        <f t="shared" si="14"/>
        <v>148000</v>
      </c>
      <c r="G3374" s="440"/>
      <c r="H3374" s="450"/>
    </row>
    <row r="3375" spans="1:8" ht="13.2">
      <c r="A3375" s="454" t="s">
        <v>1594</v>
      </c>
      <c r="B3375" s="452" t="str">
        <f>VLOOKUP(A3375,'Thống kê'!$C$3:$D$669,2,0)</f>
        <v>Móc khóa đôi heo</v>
      </c>
      <c r="C3375" s="436" t="str">
        <f>VLOOKUP(A3375,'Thống kê'!$C$3:$E$682,3,0)</f>
        <v>cái</v>
      </c>
      <c r="D3375" s="437">
        <f>VLOOKUP(A3375,'Thống kê'!$C$3:$M$682,4,0)</f>
        <v>56580</v>
      </c>
      <c r="E3375" s="438">
        <v>1</v>
      </c>
      <c r="F3375" s="439">
        <f t="shared" si="14"/>
        <v>56580</v>
      </c>
      <c r="G3375" s="440"/>
      <c r="H3375" s="448">
        <v>47821</v>
      </c>
    </row>
    <row r="3376" spans="1:8" ht="13.2">
      <c r="A3376" s="454" t="s">
        <v>1930</v>
      </c>
      <c r="B3376" s="452" t="str">
        <f>VLOOKUP(A3376,'Thống kê'!$C$3:$D$669,2,0)</f>
        <v>Kẹp nơ hồng</v>
      </c>
      <c r="C3376" s="436" t="str">
        <f>VLOOKUP(A3376,'Thống kê'!$C$3:$E$682,3,0)</f>
        <v>cái</v>
      </c>
      <c r="D3376" s="437">
        <f>VLOOKUP(A3376,'Thống kê'!$C$3:$M$682,4,0)</f>
        <v>22000</v>
      </c>
      <c r="E3376" s="438">
        <v>1</v>
      </c>
      <c r="F3376" s="439">
        <f t="shared" si="14"/>
        <v>22000</v>
      </c>
      <c r="G3376" s="440"/>
      <c r="H3376" s="447">
        <v>73054</v>
      </c>
    </row>
    <row r="3377" spans="1:8" ht="13.2">
      <c r="A3377" s="454" t="s">
        <v>1617</v>
      </c>
      <c r="B3377" s="452" t="str">
        <f>VLOOKUP(A3377,'Thống kê'!$C$3:$D$669,2,0)</f>
        <v xml:space="preserve">Kẹp tóc bướm hồng </v>
      </c>
      <c r="C3377" s="436" t="str">
        <f>VLOOKUP(A3377,'Thống kê'!$C$3:$E$682,3,0)</f>
        <v>cái</v>
      </c>
      <c r="D3377" s="437">
        <f>VLOOKUP(A3377,'Thống kê'!$C$3:$M$682,4,0)</f>
        <v>40000</v>
      </c>
      <c r="E3377" s="438">
        <v>1</v>
      </c>
      <c r="F3377" s="439">
        <f t="shared" si="14"/>
        <v>40000</v>
      </c>
      <c r="G3377" s="440"/>
      <c r="H3377" s="450"/>
    </row>
    <row r="3378" spans="1:8" ht="13.2">
      <c r="A3378" s="454" t="s">
        <v>1614</v>
      </c>
      <c r="B3378" s="452" t="str">
        <f>VLOOKUP(A3378,'Thống kê'!$C$3:$D$669,2,0)</f>
        <v>Kẹp tóc bướm xanh ngọc</v>
      </c>
      <c r="C3378" s="436" t="str">
        <f>VLOOKUP(A3378,'Thống kê'!$C$3:$E$682,3,0)</f>
        <v>cái</v>
      </c>
      <c r="D3378" s="437">
        <f>VLOOKUP(A3378,'Thống kê'!$C$3:$M$682,4,0)</f>
        <v>38000</v>
      </c>
      <c r="E3378" s="438">
        <v>1</v>
      </c>
      <c r="F3378" s="439">
        <f t="shared" si="14"/>
        <v>38000</v>
      </c>
      <c r="G3378" s="440"/>
      <c r="H3378" s="450"/>
    </row>
    <row r="3379" spans="1:8" ht="13.2">
      <c r="A3379" s="454" t="s">
        <v>1653</v>
      </c>
      <c r="B3379" s="452" t="str">
        <f>VLOOKUP(A3379,'Thống kê'!$C$3:$D$669,2,0)</f>
        <v>Móc khóa Popbean Pucky</v>
      </c>
      <c r="C3379" s="436" t="str">
        <f>VLOOKUP(A3379,'Thống kê'!$C$3:$E$682,3,0)</f>
        <v>cái</v>
      </c>
      <c r="D3379" s="437">
        <f>VLOOKUP(A3379,'Thống kê'!$C$3:$M$682,4,0)</f>
        <v>155000</v>
      </c>
      <c r="E3379" s="438">
        <v>1</v>
      </c>
      <c r="F3379" s="439">
        <f t="shared" si="14"/>
        <v>155000</v>
      </c>
      <c r="G3379" s="440"/>
      <c r="H3379" s="448">
        <v>111192</v>
      </c>
    </row>
    <row r="3380" spans="1:8" ht="13.2">
      <c r="A3380" s="454" t="s">
        <v>1588</v>
      </c>
      <c r="B3380" s="452" t="str">
        <f>VLOOKUP(A3380,'Thống kê'!$C$3:$D$669,2,0)</f>
        <v>Heo ú hoa</v>
      </c>
      <c r="C3380" s="436" t="str">
        <f>VLOOKUP(A3380,'Thống kê'!$C$3:$E$682,3,0)</f>
        <v>cái</v>
      </c>
      <c r="D3380" s="437">
        <f>VLOOKUP(A3380,'Thống kê'!$C$3:$M$682,4,0)</f>
        <v>64500</v>
      </c>
      <c r="E3380" s="438">
        <v>1</v>
      </c>
      <c r="F3380" s="439">
        <f t="shared" si="14"/>
        <v>64500</v>
      </c>
      <c r="G3380" s="440"/>
      <c r="H3380" s="448">
        <v>71724</v>
      </c>
    </row>
    <row r="3381" spans="1:8" ht="13.2">
      <c r="A3381" s="454" t="s">
        <v>1351</v>
      </c>
      <c r="B3381" s="452" t="str">
        <f>VLOOKUP(A3381,'Thống kê'!$C$3:$D$669,2,0)</f>
        <v>Trang trí mô hình Heo</v>
      </c>
      <c r="C3381" s="436" t="str">
        <f>VLOOKUP(A3381,'Thống kê'!$C$3:$E$682,3,0)</f>
        <v>cái</v>
      </c>
      <c r="D3381" s="437">
        <f>VLOOKUP(A3381,'Thống kê'!$C$3:$M$682,4,0)</f>
        <v>39000</v>
      </c>
      <c r="E3381" s="438">
        <v>1</v>
      </c>
      <c r="F3381" s="439">
        <f t="shared" si="14"/>
        <v>39000</v>
      </c>
      <c r="G3381" s="440"/>
      <c r="H3381" s="447">
        <v>85849</v>
      </c>
    </row>
    <row r="3382" spans="1:8" ht="13.2">
      <c r="A3382" s="454" t="s">
        <v>310</v>
      </c>
      <c r="B3382" s="452" t="str">
        <f>VLOOKUP(A3382,'Thống kê'!$C$3:$D$669,2,0)</f>
        <v>Trang trí mô hình Heo</v>
      </c>
      <c r="C3382" s="436" t="str">
        <f>VLOOKUP(A3382,'Thống kê'!$C$3:$E$682,3,0)</f>
        <v>cái</v>
      </c>
      <c r="D3382" s="437">
        <f>VLOOKUP(A3382,'Thống kê'!$C$3:$M$682,4,0)</f>
        <v>39000</v>
      </c>
      <c r="E3382" s="438">
        <v>1</v>
      </c>
      <c r="F3382" s="439">
        <f t="shared" si="14"/>
        <v>39000</v>
      </c>
      <c r="G3382" s="440"/>
      <c r="H3382" s="450"/>
    </row>
    <row r="3383" spans="1:8" ht="13.2">
      <c r="A3383" s="454" t="s">
        <v>1357</v>
      </c>
      <c r="B3383" s="452" t="str">
        <f>VLOOKUP(A3383,'Thống kê'!$C$3:$D$669,2,0)</f>
        <v>Trang trí mô hình Thỏ</v>
      </c>
      <c r="C3383" s="436" t="str">
        <f>VLOOKUP(A3383,'Thống kê'!$C$3:$E$682,3,0)</f>
        <v>cái</v>
      </c>
      <c r="D3383" s="437">
        <f>VLOOKUP(A3383,'Thống kê'!$C$3:$M$682,4,0)</f>
        <v>39000</v>
      </c>
      <c r="E3383" s="438">
        <v>1</v>
      </c>
      <c r="F3383" s="439">
        <f t="shared" si="14"/>
        <v>39000</v>
      </c>
      <c r="G3383" s="440"/>
      <c r="H3383" s="450"/>
    </row>
    <row r="3384" spans="1:8" ht="13.2">
      <c r="A3384" s="454" t="s">
        <v>1351</v>
      </c>
      <c r="B3384" s="452" t="str">
        <f>VLOOKUP(A3384,'Thống kê'!$C$3:$D$669,2,0)</f>
        <v>Trang trí mô hình Heo</v>
      </c>
      <c r="C3384" s="436" t="str">
        <f>VLOOKUP(A3384,'Thống kê'!$C$3:$E$682,3,0)</f>
        <v>cái</v>
      </c>
      <c r="D3384" s="437">
        <f>VLOOKUP(A3384,'Thống kê'!$C$3:$M$682,4,0)</f>
        <v>39000</v>
      </c>
      <c r="E3384" s="438">
        <v>1</v>
      </c>
      <c r="F3384" s="439">
        <f t="shared" si="14"/>
        <v>39000</v>
      </c>
      <c r="G3384" s="440"/>
      <c r="H3384" s="447">
        <v>59835</v>
      </c>
    </row>
    <row r="3385" spans="1:8" ht="13.2">
      <c r="A3385" s="454" t="s">
        <v>1353</v>
      </c>
      <c r="B3385" s="452" t="str">
        <f>VLOOKUP(A3385,'Thống kê'!$C$3:$D$669,2,0)</f>
        <v>Trang trí mô hình Vịt</v>
      </c>
      <c r="C3385" s="436" t="str">
        <f>VLOOKUP(A3385,'Thống kê'!$C$3:$E$682,3,0)</f>
        <v>cái</v>
      </c>
      <c r="D3385" s="437">
        <f>VLOOKUP(A3385,'Thống kê'!$C$3:$M$682,4,0)</f>
        <v>39000</v>
      </c>
      <c r="E3385" s="438">
        <v>1</v>
      </c>
      <c r="F3385" s="439">
        <f t="shared" si="14"/>
        <v>39000</v>
      </c>
      <c r="G3385" s="440"/>
      <c r="H3385" s="450"/>
    </row>
    <row r="3386" spans="1:8" ht="13.2">
      <c r="A3386" s="454" t="s">
        <v>1660</v>
      </c>
      <c r="B3386" s="452" t="str">
        <f>VLOOKUP(A3386,'Thống kê'!$C$3:$D$669,2,0)</f>
        <v>Móc khóa Popbean Skull Panda</v>
      </c>
      <c r="C3386" s="436" t="str">
        <f>VLOOKUP(A3386,'Thống kê'!$C$3:$E$682,3,0)</f>
        <v>cái</v>
      </c>
      <c r="D3386" s="437">
        <f>VLOOKUP(A3386,'Thống kê'!$C$3:$M$682,4,0)</f>
        <v>155000</v>
      </c>
      <c r="E3386" s="438">
        <v>1</v>
      </c>
      <c r="F3386" s="439">
        <f t="shared" si="14"/>
        <v>155000</v>
      </c>
      <c r="G3386" s="440"/>
      <c r="H3386" s="448">
        <v>108372</v>
      </c>
    </row>
    <row r="3387" spans="1:8" ht="13.2">
      <c r="A3387" s="454" t="s">
        <v>150</v>
      </c>
      <c r="B3387" s="452" t="str">
        <f>VLOOKUP(A3387,'Thống kê'!$C$3:$D$669,2,0)</f>
        <v>Móc khóa có chuông</v>
      </c>
      <c r="C3387" s="436" t="str">
        <f>VLOOKUP(A3387,'Thống kê'!$C$3:$E$682,3,0)</f>
        <v>cái</v>
      </c>
      <c r="D3387" s="437">
        <f>VLOOKUP(A3387,'Thống kê'!$C$3:$M$682,4,0)</f>
        <v>59000</v>
      </c>
      <c r="E3387" s="438">
        <v>1</v>
      </c>
      <c r="F3387" s="439">
        <f t="shared" si="14"/>
        <v>59000</v>
      </c>
      <c r="G3387" s="440"/>
      <c r="H3387" s="448">
        <v>65005</v>
      </c>
    </row>
    <row r="3388" spans="1:8" ht="13.2">
      <c r="A3388" s="454" t="s">
        <v>1341</v>
      </c>
      <c r="B3388" s="452" t="str">
        <f>VLOOKUP(A3388,'Thống kê'!$C$3:$D$669,2,0)</f>
        <v>Móc khóa chuối</v>
      </c>
      <c r="C3388" s="436" t="str">
        <f>VLOOKUP(A3388,'Thống kê'!$C$3:$E$682,3,0)</f>
        <v>cái</v>
      </c>
      <c r="D3388" s="437">
        <f>VLOOKUP(A3388,'Thống kê'!$C$3:$M$682,4,0)</f>
        <v>148000</v>
      </c>
      <c r="E3388" s="438">
        <v>1</v>
      </c>
      <c r="F3388" s="439">
        <f t="shared" si="14"/>
        <v>148000</v>
      </c>
      <c r="G3388" s="440"/>
      <c r="H3388" s="447">
        <v>253697</v>
      </c>
    </row>
    <row r="3389" spans="1:8" ht="13.2">
      <c r="A3389" s="454" t="s">
        <v>1805</v>
      </c>
      <c r="B3389" s="452" t="str">
        <f>VLOOKUP(A3389,'Thống kê'!$C$3:$D$669,2,0)</f>
        <v>Móc khoá cún Dưa hấu</v>
      </c>
      <c r="C3389" s="436" t="str">
        <f>VLOOKUP(A3389,'Thống kê'!$C$3:$E$682,3,0)</f>
        <v>cái</v>
      </c>
      <c r="D3389" s="437">
        <f>VLOOKUP(A3389,'Thống kê'!$C$3:$M$682,4,0)</f>
        <v>38000</v>
      </c>
      <c r="E3389" s="438">
        <v>1</v>
      </c>
      <c r="F3389" s="439">
        <f t="shared" si="14"/>
        <v>38000</v>
      </c>
      <c r="G3389" s="440"/>
      <c r="H3389" s="450"/>
    </row>
    <row r="3390" spans="1:8" ht="13.2">
      <c r="A3390" s="454" t="s">
        <v>1370</v>
      </c>
      <c r="B3390" s="452" t="str">
        <f>VLOOKUP(A3390,'Thống kê'!$C$3:$D$669,2,0)</f>
        <v>Móc khóa Popbean</v>
      </c>
      <c r="C3390" s="436" t="str">
        <f>VLOOKUP(A3390,'Thống kê'!$C$3:$E$682,3,0)</f>
        <v>cái</v>
      </c>
      <c r="D3390" s="437">
        <f>VLOOKUP(A3390,'Thống kê'!$C$3:$M$682,4,0)</f>
        <v>148000</v>
      </c>
      <c r="E3390" s="438">
        <v>1</v>
      </c>
      <c r="F3390" s="439">
        <f t="shared" si="14"/>
        <v>148000</v>
      </c>
      <c r="G3390" s="440"/>
      <c r="H3390" s="450"/>
    </row>
    <row r="3391" spans="1:8" ht="13.2">
      <c r="A3391" s="454" t="s">
        <v>1691</v>
      </c>
      <c r="B3391" s="452">
        <f>VLOOKUP(A3391,'Thống kê'!$C$3:$D$669,2,0)</f>
        <v>0</v>
      </c>
      <c r="C3391" s="436" t="str">
        <f>VLOOKUP(A3391,'Thống kê'!$C$3:$E$682,3,0)</f>
        <v>cái</v>
      </c>
      <c r="D3391" s="437">
        <f>VLOOKUP(A3391,'Thống kê'!$C$3:$M$682,4,0)</f>
        <v>0</v>
      </c>
      <c r="E3391" s="438">
        <v>1</v>
      </c>
      <c r="F3391" s="439">
        <f t="shared" si="14"/>
        <v>0</v>
      </c>
      <c r="G3391" s="440"/>
      <c r="H3391" s="450"/>
    </row>
    <row r="3392" spans="1:8" ht="13.2">
      <c r="A3392" s="454" t="s">
        <v>1384</v>
      </c>
      <c r="B3392" s="452" t="str">
        <f>VLOOKUP(A3392,'Thống kê'!$C$3:$D$669,2,0)</f>
        <v>Móc khoá Crybaby mini Popmart</v>
      </c>
      <c r="C3392" s="436" t="str">
        <f>VLOOKUP(A3392,'Thống kê'!$C$3:$E$682,3,0)</f>
        <v>cái</v>
      </c>
      <c r="D3392" s="437">
        <f>VLOOKUP(A3392,'Thống kê'!$C$3:$M$682,4,0)</f>
        <v>0</v>
      </c>
      <c r="E3392" s="438">
        <v>1</v>
      </c>
      <c r="F3392" s="439">
        <f t="shared" si="14"/>
        <v>0</v>
      </c>
      <c r="G3392" s="440"/>
      <c r="H3392" s="448">
        <v>124425</v>
      </c>
    </row>
    <row r="3393" spans="1:8" ht="13.2">
      <c r="A3393" s="454" t="s">
        <v>1343</v>
      </c>
      <c r="B3393" s="452" t="str">
        <f>VLOOKUP(A3393,'Thống kê'!$C$3:$D$669,2,0)</f>
        <v>Móc khóa chuối</v>
      </c>
      <c r="C3393" s="436" t="str">
        <f>VLOOKUP(A3393,'Thống kê'!$C$3:$E$682,3,0)</f>
        <v>cái</v>
      </c>
      <c r="D3393" s="437">
        <f>VLOOKUP(A3393,'Thống kê'!$C$3:$M$682,4,0)</f>
        <v>148000</v>
      </c>
      <c r="E3393" s="438">
        <v>1</v>
      </c>
      <c r="F3393" s="439">
        <f t="shared" si="14"/>
        <v>148000</v>
      </c>
      <c r="G3393" s="440"/>
      <c r="H3393" s="448">
        <v>88485</v>
      </c>
    </row>
    <row r="3394" spans="1:8" ht="13.2">
      <c r="A3394" s="454" t="s">
        <v>1599</v>
      </c>
      <c r="B3394" s="452" t="str">
        <f>VLOOKUP(A3394,'Thống kê'!$C$3:$D$669,2,0)</f>
        <v>Dao rọc giấy 14</v>
      </c>
      <c r="C3394" s="436" t="str">
        <f>VLOOKUP(A3394,'Thống kê'!$C$3:$E$682,3,0)</f>
        <v>cái</v>
      </c>
      <c r="D3394" s="437">
        <f>VLOOKUP(A3394,'Thống kê'!$C$3:$M$682,4,0)</f>
        <v>12000</v>
      </c>
      <c r="E3394" s="438">
        <v>1</v>
      </c>
      <c r="F3394" s="439">
        <f t="shared" si="14"/>
        <v>12000</v>
      </c>
      <c r="G3394" s="440"/>
      <c r="H3394" s="447">
        <v>215034</v>
      </c>
    </row>
    <row r="3395" spans="1:8" ht="13.2">
      <c r="A3395" s="454" t="s">
        <v>1343</v>
      </c>
      <c r="B3395" s="452" t="str">
        <f>VLOOKUP(A3395,'Thống kê'!$C$3:$D$669,2,0)</f>
        <v>Móc khóa chuối</v>
      </c>
      <c r="C3395" s="436" t="str">
        <f>VLOOKUP(A3395,'Thống kê'!$C$3:$E$682,3,0)</f>
        <v>cái</v>
      </c>
      <c r="D3395" s="437">
        <f>VLOOKUP(A3395,'Thống kê'!$C$3:$M$682,4,0)</f>
        <v>148000</v>
      </c>
      <c r="E3395" s="438">
        <v>1</v>
      </c>
      <c r="F3395" s="439">
        <f t="shared" si="14"/>
        <v>148000</v>
      </c>
      <c r="G3395" s="440"/>
      <c r="H3395" s="450"/>
    </row>
    <row r="3396" spans="1:8" ht="13.2">
      <c r="A3396" s="454" t="s">
        <v>1368</v>
      </c>
      <c r="B3396" s="452" t="str">
        <f>VLOOKUP(A3396,'Thống kê'!$C$3:$D$669,2,0)</f>
        <v>Móc khóa Popbean</v>
      </c>
      <c r="C3396" s="436" t="str">
        <f>VLOOKUP(A3396,'Thống kê'!$C$3:$E$682,3,0)</f>
        <v>cái</v>
      </c>
      <c r="D3396" s="437">
        <f>VLOOKUP(A3396,'Thống kê'!$C$3:$M$682,4,0)</f>
        <v>148000</v>
      </c>
      <c r="E3396" s="438">
        <v>1</v>
      </c>
      <c r="F3396" s="439">
        <f t="shared" si="14"/>
        <v>148000</v>
      </c>
      <c r="G3396" s="440"/>
      <c r="H3396" s="450"/>
    </row>
    <row r="3397" spans="1:8" ht="13.2">
      <c r="A3397" s="454" t="s">
        <v>1780</v>
      </c>
      <c r="B3397" s="452" t="str">
        <f>VLOOKUP(A3397,'Thống kê'!$C$3:$D$669,2,0)</f>
        <v>Cánh cụt nơ vàng treo gương</v>
      </c>
      <c r="C3397" s="436" t="str">
        <f>VLOOKUP(A3397,'Thống kê'!$C$3:$E$682,3,0)</f>
        <v>cái</v>
      </c>
      <c r="D3397" s="437">
        <f>VLOOKUP(A3397,'Thống kê'!$C$3:$M$682,4,0)</f>
        <v>155000</v>
      </c>
      <c r="E3397" s="438">
        <v>1</v>
      </c>
      <c r="F3397" s="439">
        <f t="shared" si="14"/>
        <v>155000</v>
      </c>
      <c r="G3397" s="440"/>
      <c r="H3397" s="447">
        <v>370407</v>
      </c>
    </row>
    <row r="3398" spans="1:8" ht="13.2">
      <c r="A3398" s="454" t="s">
        <v>1387</v>
      </c>
      <c r="B3398" s="452" t="str">
        <f>VLOOKUP(A3398,'Thống kê'!$C$3:$D$669,2,0)</f>
        <v>Móc khoá Crybaby mini Popmart</v>
      </c>
      <c r="C3398" s="436" t="str">
        <f>VLOOKUP(A3398,'Thống kê'!$C$3:$E$682,3,0)</f>
        <v>cái</v>
      </c>
      <c r="D3398" s="437">
        <f>VLOOKUP(A3398,'Thống kê'!$C$3:$M$682,4,0)</f>
        <v>0</v>
      </c>
      <c r="E3398" s="438">
        <v>1</v>
      </c>
      <c r="F3398" s="439">
        <f t="shared" si="14"/>
        <v>0</v>
      </c>
      <c r="G3398" s="440"/>
      <c r="H3398" s="450"/>
    </row>
    <row r="3399" spans="1:8" ht="13.2">
      <c r="A3399" s="454" t="s">
        <v>230</v>
      </c>
      <c r="B3399" s="452" t="str">
        <f>VLOOKUP(A3399,'Thống kê'!$C$3:$D$669,2,0)</f>
        <v>Móc khoá Crybaby mini Popmart</v>
      </c>
      <c r="C3399" s="436" t="str">
        <f>VLOOKUP(A3399,'Thống kê'!$C$3:$E$682,3,0)</f>
        <v>cái</v>
      </c>
      <c r="D3399" s="437">
        <f>VLOOKUP(A3399,'Thống kê'!$C$3:$M$682,4,0)</f>
        <v>0</v>
      </c>
      <c r="E3399" s="438">
        <v>1</v>
      </c>
      <c r="F3399" s="439">
        <f t="shared" si="14"/>
        <v>0</v>
      </c>
      <c r="G3399" s="440"/>
      <c r="H3399" s="450"/>
    </row>
    <row r="3400" spans="1:8" ht="13.2">
      <c r="A3400" s="454" t="s">
        <v>1399</v>
      </c>
      <c r="B3400" s="452" t="str">
        <f>VLOOKUP(A3400,'Thống kê'!$C$3:$D$669,2,0)</f>
        <v>Móc khoá Labubu mini Popmart</v>
      </c>
      <c r="C3400" s="436" t="str">
        <f>VLOOKUP(A3400,'Thống kê'!$C$3:$E$682,3,0)</f>
        <v>cái</v>
      </c>
      <c r="D3400" s="437">
        <f>VLOOKUP(A3400,'Thống kê'!$C$3:$M$682,4,0)</f>
        <v>0</v>
      </c>
      <c r="E3400" s="438">
        <v>1</v>
      </c>
      <c r="F3400" s="439">
        <f t="shared" si="14"/>
        <v>0</v>
      </c>
      <c r="G3400" s="440"/>
      <c r="H3400" s="448">
        <v>121360</v>
      </c>
    </row>
    <row r="3401" spans="1:8" ht="13.2">
      <c r="A3401" s="454" t="s">
        <v>2075</v>
      </c>
      <c r="B3401" s="452" t="s">
        <v>2076</v>
      </c>
      <c r="C3401" s="436" t="e">
        <f>VLOOKUP(A3401,'Thống kê'!$C$3:$E$682,3,0)</f>
        <v>#N/A</v>
      </c>
      <c r="D3401" s="437" t="e">
        <f>VLOOKUP(A3401,'Thống kê'!$C$3:$M$682,4,0)</f>
        <v>#N/A</v>
      </c>
      <c r="E3401" s="438">
        <v>1</v>
      </c>
      <c r="F3401" s="439" t="e">
        <f t="shared" si="14"/>
        <v>#N/A</v>
      </c>
      <c r="G3401" s="440"/>
      <c r="H3401" s="448">
        <v>400000</v>
      </c>
    </row>
    <row r="3402" spans="1:8" ht="13.2">
      <c r="A3402" s="454" t="s">
        <v>138</v>
      </c>
      <c r="B3402" s="452" t="str">
        <f>VLOOKUP(A3402,'Thống kê'!$C$3:$D$669,2,0)</f>
        <v>Móc khoá Crybaby mini Popmart</v>
      </c>
      <c r="C3402" s="436" t="str">
        <f>VLOOKUP(A3402,'Thống kê'!$C$3:$E$682,3,0)</f>
        <v>cái</v>
      </c>
      <c r="D3402" s="437">
        <f>VLOOKUP(A3402,'Thống kê'!$C$3:$M$682,4,0)</f>
        <v>0</v>
      </c>
      <c r="E3402" s="438">
        <v>1</v>
      </c>
      <c r="F3402" s="439">
        <f t="shared" si="14"/>
        <v>0</v>
      </c>
      <c r="G3402" s="440"/>
      <c r="H3402" s="448">
        <v>109000</v>
      </c>
    </row>
    <row r="3403" spans="1:8" ht="13.2">
      <c r="A3403" s="454" t="s">
        <v>1363</v>
      </c>
      <c r="B3403" s="452" t="str">
        <f>VLOOKUP(A3403,'Thống kê'!$C$3:$D$669,2,0)</f>
        <v>Móc khóa Popbean</v>
      </c>
      <c r="C3403" s="436" t="str">
        <f>VLOOKUP(A3403,'Thống kê'!$C$3:$E$682,3,0)</f>
        <v>cái</v>
      </c>
      <c r="D3403" s="437">
        <f>VLOOKUP(A3403,'Thống kê'!$C$3:$M$682,4,0)</f>
        <v>148000</v>
      </c>
      <c r="E3403" s="438">
        <v>1</v>
      </c>
      <c r="F3403" s="439">
        <f t="shared" si="14"/>
        <v>148000</v>
      </c>
      <c r="G3403" s="440"/>
      <c r="H3403" s="447">
        <v>241000</v>
      </c>
    </row>
    <row r="3404" spans="1:8" ht="13.2">
      <c r="A3404" s="454" t="s">
        <v>143</v>
      </c>
      <c r="B3404" s="452" t="str">
        <f>VLOOKUP(A3404,'Thống kê'!$C$3:$D$669,2,0)</f>
        <v>Mèo ú</v>
      </c>
      <c r="C3404" s="436" t="str">
        <f>VLOOKUP(A3404,'Thống kê'!$C$3:$E$682,3,0)</f>
        <v>cái</v>
      </c>
      <c r="D3404" s="437">
        <f>VLOOKUP(A3404,'Thống kê'!$C$3:$M$682,4,0)</f>
        <v>59500</v>
      </c>
      <c r="E3404" s="438">
        <v>1</v>
      </c>
      <c r="F3404" s="439">
        <f t="shared" si="14"/>
        <v>59500</v>
      </c>
      <c r="G3404" s="440"/>
      <c r="H3404" s="450"/>
    </row>
    <row r="3405" spans="1:8" ht="13.2">
      <c r="A3405" s="454" t="s">
        <v>325</v>
      </c>
      <c r="B3405" s="452" t="str">
        <f>VLOOKUP(A3405,'Thống kê'!$C$3:$D$669,2,0)</f>
        <v>Gấu ú</v>
      </c>
      <c r="C3405" s="436" t="str">
        <f>VLOOKUP(A3405,'Thống kê'!$C$3:$E$682,3,0)</f>
        <v>cái</v>
      </c>
      <c r="D3405" s="437">
        <f>VLOOKUP(A3405,'Thống kê'!$C$3:$M$682,4,0)</f>
        <v>59500</v>
      </c>
      <c r="E3405" s="438">
        <v>1</v>
      </c>
      <c r="F3405" s="439">
        <f t="shared" si="14"/>
        <v>59500</v>
      </c>
      <c r="G3405" s="440"/>
      <c r="H3405" s="450"/>
    </row>
    <row r="3406" spans="1:8" ht="13.2">
      <c r="A3406" s="454" t="s">
        <v>1594</v>
      </c>
      <c r="B3406" s="452" t="str">
        <f>VLOOKUP(A3406,'Thống kê'!$C$3:$D$669,2,0)</f>
        <v>Móc khóa đôi heo</v>
      </c>
      <c r="C3406" s="436" t="str">
        <f>VLOOKUP(A3406,'Thống kê'!$C$3:$E$682,3,0)</f>
        <v>cái</v>
      </c>
      <c r="D3406" s="437">
        <f>VLOOKUP(A3406,'Thống kê'!$C$3:$M$682,4,0)</f>
        <v>56580</v>
      </c>
      <c r="E3406" s="438">
        <v>1</v>
      </c>
      <c r="F3406" s="439">
        <f t="shared" si="14"/>
        <v>56580</v>
      </c>
      <c r="G3406" s="440"/>
      <c r="H3406" s="448">
        <v>50196</v>
      </c>
    </row>
    <row r="3407" spans="1:8" ht="13.2">
      <c r="A3407" s="454" t="s">
        <v>150</v>
      </c>
      <c r="B3407" s="452" t="str">
        <f>VLOOKUP(A3407,'Thống kê'!$C$3:$D$669,2,0)</f>
        <v>Móc khóa có chuông</v>
      </c>
      <c r="C3407" s="436" t="str">
        <f>VLOOKUP(A3407,'Thống kê'!$C$3:$E$682,3,0)</f>
        <v>cái</v>
      </c>
      <c r="D3407" s="437">
        <f>VLOOKUP(A3407,'Thống kê'!$C$3:$M$682,4,0)</f>
        <v>59000</v>
      </c>
      <c r="E3407" s="438">
        <v>1</v>
      </c>
      <c r="F3407" s="439">
        <f t="shared" si="14"/>
        <v>59000</v>
      </c>
      <c r="G3407" s="440"/>
      <c r="H3407" s="448">
        <v>49805</v>
      </c>
    </row>
    <row r="3408" spans="1:8" ht="13.2">
      <c r="A3408" s="454" t="s">
        <v>1384</v>
      </c>
      <c r="B3408" s="452" t="str">
        <f>VLOOKUP(A3408,'Thống kê'!$C$3:$D$669,2,0)</f>
        <v>Móc khoá Crybaby mini Popmart</v>
      </c>
      <c r="C3408" s="436" t="str">
        <f>VLOOKUP(A3408,'Thống kê'!$C$3:$E$682,3,0)</f>
        <v>cái</v>
      </c>
      <c r="D3408" s="437">
        <f>VLOOKUP(A3408,'Thống kê'!$C$3:$M$682,4,0)</f>
        <v>0</v>
      </c>
      <c r="E3408" s="438">
        <v>1</v>
      </c>
      <c r="F3408" s="439">
        <f t="shared" si="14"/>
        <v>0</v>
      </c>
      <c r="G3408" s="440"/>
      <c r="H3408" s="448">
        <v>109060</v>
      </c>
    </row>
    <row r="3409" spans="1:8" ht="13.2">
      <c r="A3409" s="454" t="s">
        <v>1387</v>
      </c>
      <c r="B3409" s="452" t="str">
        <f>VLOOKUP(A3409,'Thống kê'!$C$3:$D$669,2,0)</f>
        <v>Móc khoá Crybaby mini Popmart</v>
      </c>
      <c r="C3409" s="436" t="str">
        <f>VLOOKUP(A3409,'Thống kê'!$C$3:$E$682,3,0)</f>
        <v>cái</v>
      </c>
      <c r="D3409" s="437">
        <f>VLOOKUP(A3409,'Thống kê'!$C$3:$M$682,4,0)</f>
        <v>0</v>
      </c>
      <c r="E3409" s="438">
        <v>1</v>
      </c>
      <c r="F3409" s="439">
        <f t="shared" si="14"/>
        <v>0</v>
      </c>
      <c r="G3409" s="440"/>
      <c r="H3409" s="448">
        <v>109060</v>
      </c>
    </row>
    <row r="3410" spans="1:8" ht="13.2">
      <c r="A3410" s="454" t="s">
        <v>1388</v>
      </c>
      <c r="B3410" s="452" t="str">
        <f>VLOOKUP(A3410,'Thống kê'!$C$3:$D$669,2,0)</f>
        <v>Móc khoá Crybaby mini Popmart</v>
      </c>
      <c r="C3410" s="436" t="str">
        <f>VLOOKUP(A3410,'Thống kê'!$C$3:$E$682,3,0)</f>
        <v>cái</v>
      </c>
      <c r="D3410" s="437">
        <f>VLOOKUP(A3410,'Thống kê'!$C$3:$M$682,4,0)</f>
        <v>0</v>
      </c>
      <c r="E3410" s="438">
        <v>1</v>
      </c>
      <c r="F3410" s="439">
        <f t="shared" si="14"/>
        <v>0</v>
      </c>
      <c r="G3410" s="440"/>
      <c r="H3410" s="448">
        <v>109060</v>
      </c>
    </row>
    <row r="3411" spans="1:8" ht="13.2">
      <c r="A3411" s="454" t="s">
        <v>150</v>
      </c>
      <c r="B3411" s="452" t="str">
        <f>VLOOKUP(A3411,'Thống kê'!$C$3:$D$669,2,0)</f>
        <v>Móc khóa có chuông</v>
      </c>
      <c r="C3411" s="436" t="str">
        <f>VLOOKUP(A3411,'Thống kê'!$C$3:$E$682,3,0)</f>
        <v>cái</v>
      </c>
      <c r="D3411" s="437">
        <f>VLOOKUP(A3411,'Thống kê'!$C$3:$M$682,4,0)</f>
        <v>59000</v>
      </c>
      <c r="E3411" s="438">
        <v>1</v>
      </c>
      <c r="F3411" s="439">
        <f t="shared" si="14"/>
        <v>59000</v>
      </c>
      <c r="G3411" s="440"/>
      <c r="H3411" s="447">
        <v>101992</v>
      </c>
    </row>
    <row r="3412" spans="1:8" ht="13.2">
      <c r="A3412" s="454" t="s">
        <v>181</v>
      </c>
      <c r="B3412" s="452" t="str">
        <f>VLOOKUP(A3412,'Thống kê'!$C$3:$D$669,2,0)</f>
        <v>Thỏ mặt trăng gắn xe</v>
      </c>
      <c r="C3412" s="436" t="str">
        <f>VLOOKUP(A3412,'Thống kê'!$C$3:$E$682,3,0)</f>
        <v>cái</v>
      </c>
      <c r="D3412" s="437">
        <f>VLOOKUP(A3412,'Thống kê'!$C$3:$M$682,4,0)</f>
        <v>45000</v>
      </c>
      <c r="E3412" s="438">
        <v>1</v>
      </c>
      <c r="F3412" s="439">
        <f t="shared" si="14"/>
        <v>45000</v>
      </c>
      <c r="G3412" s="440"/>
      <c r="H3412" s="450"/>
    </row>
    <row r="3413" spans="1:8" ht="13.2">
      <c r="A3413" s="454" t="s">
        <v>2077</v>
      </c>
      <c r="B3413" s="452" t="e">
        <f>VLOOKUP(A3413,'Thống kê'!$C$3:$D$669,2,0)</f>
        <v>#N/A</v>
      </c>
      <c r="C3413" s="436" t="e">
        <f>VLOOKUP(A3413,'Thống kê'!$C$3:$E$682,3,0)</f>
        <v>#N/A</v>
      </c>
      <c r="D3413" s="437" t="e">
        <f>VLOOKUP(A3413,'Thống kê'!$C$3:$M$682,4,0)</f>
        <v>#N/A</v>
      </c>
      <c r="E3413" s="438">
        <v>1</v>
      </c>
      <c r="F3413" s="439" t="e">
        <f t="shared" si="14"/>
        <v>#N/A</v>
      </c>
      <c r="G3413" s="440"/>
      <c r="H3413" s="450"/>
    </row>
    <row r="3414" spans="1:8" ht="13.2">
      <c r="A3414" s="454" t="s">
        <v>1873</v>
      </c>
      <c r="B3414" s="452" t="str">
        <f>VLOOKUP(A3414,'Thống kê'!$C$3:$D$669,2,0)</f>
        <v>Trâm cài 26</v>
      </c>
      <c r="C3414" s="436" t="str">
        <f>VLOOKUP(A3414,'Thống kê'!$C$3:$E$682,3,0)</f>
        <v>cây</v>
      </c>
      <c r="D3414" s="437">
        <f>VLOOKUP(A3414,'Thống kê'!$C$3:$M$682,4,0)</f>
        <v>33120</v>
      </c>
      <c r="E3414" s="438">
        <v>1</v>
      </c>
      <c r="F3414" s="439">
        <f t="shared" si="14"/>
        <v>33120</v>
      </c>
      <c r="G3414" s="440"/>
      <c r="H3414" s="447">
        <v>49277</v>
      </c>
    </row>
    <row r="3415" spans="1:8" ht="13.2">
      <c r="A3415" s="454" t="s">
        <v>2049</v>
      </c>
      <c r="B3415" s="452" t="str">
        <f>VLOOKUP(A3415,'Thống kê'!$C$3:$D$669,2,0)</f>
        <v>Trâm cài 11</v>
      </c>
      <c r="C3415" s="436" t="str">
        <f>VLOOKUP(A3415,'Thống kê'!$C$3:$E$682,3,0)</f>
        <v>cây</v>
      </c>
      <c r="D3415" s="437">
        <f>VLOOKUP(A3415,'Thống kê'!$C$3:$M$682,4,0)</f>
        <v>32200</v>
      </c>
      <c r="E3415" s="438">
        <v>1</v>
      </c>
      <c r="F3415" s="439">
        <f t="shared" si="14"/>
        <v>32200</v>
      </c>
      <c r="G3415" s="440"/>
      <c r="H3415" s="450"/>
    </row>
    <row r="3416" spans="1:8" ht="13.2">
      <c r="A3416" s="454" t="s">
        <v>1634</v>
      </c>
      <c r="B3416" s="452" t="str">
        <f>VLOOKUP(A3416,'Thống kê'!$C$3:$D$669,2,0)</f>
        <v>Móc khóa mèo đen cá</v>
      </c>
      <c r="C3416" s="436" t="str">
        <f>VLOOKUP(A3416,'Thống kê'!$C$3:$E$682,3,0)</f>
        <v>cái</v>
      </c>
      <c r="D3416" s="437">
        <f>VLOOKUP(A3416,'Thống kê'!$C$3:$M$682,4,0)</f>
        <v>59000</v>
      </c>
      <c r="E3416" s="438">
        <v>1</v>
      </c>
      <c r="F3416" s="439">
        <f t="shared" si="14"/>
        <v>59000</v>
      </c>
      <c r="G3416" s="440"/>
      <c r="H3416" s="448">
        <v>46196</v>
      </c>
    </row>
    <row r="3417" spans="1:8" ht="13.2">
      <c r="A3417" s="454" t="s">
        <v>1593</v>
      </c>
      <c r="B3417" s="452" t="str">
        <f>VLOOKUP(A3417,'Thống kê'!$C$3:$D$669,2,0)</f>
        <v>Heo cưỡi kì lân gắn xe</v>
      </c>
      <c r="C3417" s="436" t="str">
        <f>VLOOKUP(A3417,'Thống kê'!$C$3:$E$682,3,0)</f>
        <v>cái</v>
      </c>
      <c r="D3417" s="437">
        <f>VLOOKUP(A3417,'Thống kê'!$C$3:$M$682,4,0)</f>
        <v>45000</v>
      </c>
      <c r="E3417" s="438">
        <v>-1</v>
      </c>
      <c r="F3417" s="439">
        <f t="shared" si="14"/>
        <v>-45000</v>
      </c>
      <c r="G3417" s="440"/>
      <c r="H3417" s="447">
        <v>-193000</v>
      </c>
    </row>
    <row r="3418" spans="1:8" ht="13.2">
      <c r="A3418" s="454" t="s">
        <v>1663</v>
      </c>
      <c r="B3418" s="452" t="str">
        <f>VLOOKUP(A3418,'Thống kê'!$C$3:$D$669,2,0)</f>
        <v>Móc khóa Popbean Zsiga</v>
      </c>
      <c r="C3418" s="436" t="str">
        <f>VLOOKUP(A3418,'Thống kê'!$C$3:$E$682,3,0)</f>
        <v>cái</v>
      </c>
      <c r="D3418" s="437">
        <f>VLOOKUP(A3418,'Thống kê'!$C$3:$M$682,4,0)</f>
        <v>148000</v>
      </c>
      <c r="E3418" s="438">
        <v>-1</v>
      </c>
      <c r="F3418" s="439">
        <f t="shared" si="14"/>
        <v>-148000</v>
      </c>
      <c r="G3418" s="440"/>
      <c r="H3418" s="450"/>
    </row>
    <row r="3419" spans="1:8" ht="13.2">
      <c r="A3419" s="454" t="s">
        <v>1625</v>
      </c>
      <c r="B3419" s="452" t="str">
        <f>VLOOKUP(A3419,'Thống kê'!$C$3:$D$669,2,0)</f>
        <v>Móc khóa đôi 2 mèo trắng nâu</v>
      </c>
      <c r="C3419" s="436" t="str">
        <f>VLOOKUP(A3419,'Thống kê'!$C$3:$E$682,3,0)</f>
        <v>cái</v>
      </c>
      <c r="D3419" s="437">
        <f>VLOOKUP(A3419,'Thống kê'!$C$3:$M$682,4,0)</f>
        <v>59000</v>
      </c>
      <c r="E3419" s="438">
        <v>1</v>
      </c>
      <c r="F3419" s="439">
        <f t="shared" si="14"/>
        <v>59000</v>
      </c>
      <c r="G3419" s="440"/>
      <c r="H3419" s="448">
        <v>54080</v>
      </c>
    </row>
    <row r="3420" spans="1:8" ht="13.2">
      <c r="A3420" s="454" t="s">
        <v>245</v>
      </c>
      <c r="B3420" s="452" t="str">
        <f>VLOOKUP(A3420,'Thống kê'!$C$3:$D$669,2,0)</f>
        <v>Móc khóa Popbean</v>
      </c>
      <c r="C3420" s="436" t="str">
        <f>VLOOKUP(A3420,'Thống kê'!$C$3:$E$682,3,0)</f>
        <v>cái</v>
      </c>
      <c r="D3420" s="437">
        <f>VLOOKUP(A3420,'Thống kê'!$C$3:$M$682,4,0)</f>
        <v>148000</v>
      </c>
      <c r="E3420" s="438">
        <v>1</v>
      </c>
      <c r="F3420" s="439">
        <f t="shared" si="14"/>
        <v>148000</v>
      </c>
      <c r="G3420" s="440"/>
      <c r="H3420" s="448">
        <v>141040</v>
      </c>
    </row>
    <row r="3421" spans="1:8" ht="13.2">
      <c r="A3421" s="454" t="s">
        <v>1622</v>
      </c>
      <c r="B3421" s="452" t="str">
        <f>VLOOKUP(A3421,'Thống kê'!$C$3:$D$669,2,0)</f>
        <v>Mô hình mèo 1</v>
      </c>
      <c r="C3421" s="436" t="str">
        <f>VLOOKUP(A3421,'Thống kê'!$C$3:$E$682,3,0)</f>
        <v>cái</v>
      </c>
      <c r="D3421" s="437">
        <f>VLOOKUP(A3421,'Thống kê'!$C$3:$M$682,4,0)</f>
        <v>37800</v>
      </c>
      <c r="E3421" s="438">
        <v>1</v>
      </c>
      <c r="F3421" s="439">
        <f t="shared" si="14"/>
        <v>37800</v>
      </c>
      <c r="G3421" s="440"/>
      <c r="H3421" s="447">
        <v>121360</v>
      </c>
    </row>
    <row r="3422" spans="1:8" ht="13.2">
      <c r="A3422" s="454" t="s">
        <v>1621</v>
      </c>
      <c r="B3422" s="452" t="str">
        <f>VLOOKUP(A3422,'Thống kê'!$C$3:$D$669,2,0)</f>
        <v>Mô hình mèo 2</v>
      </c>
      <c r="C3422" s="436" t="str">
        <f>VLOOKUP(A3422,'Thống kê'!$C$3:$E$682,3,0)</f>
        <v>cái</v>
      </c>
      <c r="D3422" s="437">
        <f>VLOOKUP(A3422,'Thống kê'!$C$3:$M$682,4,0)</f>
        <v>37800</v>
      </c>
      <c r="E3422" s="438">
        <v>1</v>
      </c>
      <c r="F3422" s="439">
        <f t="shared" si="14"/>
        <v>37800</v>
      </c>
      <c r="G3422" s="440"/>
      <c r="H3422" s="450"/>
    </row>
    <row r="3423" spans="1:8" ht="13.2">
      <c r="A3423" s="454" t="s">
        <v>1635</v>
      </c>
      <c r="B3423" s="452" t="str">
        <f>VLOOKUP(A3423,'Thống kê'!$C$3:$D$669,2,0)</f>
        <v>Mô hình mèo 4</v>
      </c>
      <c r="C3423" s="436" t="str">
        <f>VLOOKUP(A3423,'Thống kê'!$C$3:$E$682,3,0)</f>
        <v>cái</v>
      </c>
      <c r="D3423" s="437">
        <f>VLOOKUP(A3423,'Thống kê'!$C$3:$M$682,4,0)</f>
        <v>37800</v>
      </c>
      <c r="E3423" s="438">
        <v>1</v>
      </c>
      <c r="F3423" s="439">
        <f t="shared" si="14"/>
        <v>37800</v>
      </c>
      <c r="G3423" s="440"/>
      <c r="H3423" s="450"/>
    </row>
    <row r="3424" spans="1:8" ht="13.2">
      <c r="A3424" s="454" t="s">
        <v>1623</v>
      </c>
      <c r="B3424" s="452" t="str">
        <f>VLOOKUP(A3424,'Thống kê'!$C$3:$D$669,2,0)</f>
        <v>Mô hình mèo 5</v>
      </c>
      <c r="C3424" s="436" t="str">
        <f>VLOOKUP(A3424,'Thống kê'!$C$3:$E$682,3,0)</f>
        <v>cái</v>
      </c>
      <c r="D3424" s="437">
        <f>VLOOKUP(A3424,'Thống kê'!$C$3:$M$682,4,0)</f>
        <v>37800</v>
      </c>
      <c r="E3424" s="438">
        <v>1</v>
      </c>
      <c r="F3424" s="439">
        <f t="shared" si="14"/>
        <v>37800</v>
      </c>
      <c r="G3424" s="440"/>
      <c r="H3424" s="450"/>
    </row>
    <row r="3425" spans="1:8" ht="13.2">
      <c r="A3425" s="454" t="s">
        <v>1343</v>
      </c>
      <c r="B3425" s="452" t="str">
        <f>VLOOKUP(A3425,'Thống kê'!$C$3:$D$669,2,0)</f>
        <v>Móc khóa chuối</v>
      </c>
      <c r="C3425" s="436" t="str">
        <f>VLOOKUP(A3425,'Thống kê'!$C$3:$E$682,3,0)</f>
        <v>cái</v>
      </c>
      <c r="D3425" s="437">
        <f>VLOOKUP(A3425,'Thống kê'!$C$3:$M$682,4,0)</f>
        <v>148000</v>
      </c>
      <c r="E3425" s="438">
        <v>1</v>
      </c>
      <c r="F3425" s="439">
        <f t="shared" si="14"/>
        <v>148000</v>
      </c>
      <c r="G3425" s="440"/>
      <c r="H3425" s="448">
        <v>88560</v>
      </c>
    </row>
    <row r="3426" spans="1:8" ht="13.2">
      <c r="A3426" s="454" t="s">
        <v>1625</v>
      </c>
      <c r="B3426" s="452" t="str">
        <f>VLOOKUP(A3426,'Thống kê'!$C$3:$D$669,2,0)</f>
        <v>Móc khóa đôi 2 mèo trắng nâu</v>
      </c>
      <c r="C3426" s="436" t="str">
        <f>VLOOKUP(A3426,'Thống kê'!$C$3:$E$682,3,0)</f>
        <v>cái</v>
      </c>
      <c r="D3426" s="437">
        <f>VLOOKUP(A3426,'Thống kê'!$C$3:$M$682,4,0)</f>
        <v>59000</v>
      </c>
      <c r="E3426" s="438">
        <v>1</v>
      </c>
      <c r="F3426" s="439">
        <f t="shared" si="14"/>
        <v>59000</v>
      </c>
      <c r="G3426" s="440"/>
      <c r="H3426" s="448">
        <v>48380</v>
      </c>
    </row>
    <row r="3427" spans="1:8" ht="13.2">
      <c r="A3427" s="454" t="s">
        <v>1344</v>
      </c>
      <c r="B3427" s="452" t="str">
        <f>VLOOKUP(A3427,'Thống kê'!$C$3:$D$669,2,0)</f>
        <v>Móc khóa chuối</v>
      </c>
      <c r="C3427" s="436" t="str">
        <f>VLOOKUP(A3427,'Thống kê'!$C$3:$E$682,3,0)</f>
        <v>cái</v>
      </c>
      <c r="D3427" s="437">
        <f>VLOOKUP(A3427,'Thống kê'!$C$3:$M$682,4,0)</f>
        <v>148000</v>
      </c>
      <c r="E3427" s="438">
        <v>1</v>
      </c>
      <c r="F3427" s="439">
        <f t="shared" si="14"/>
        <v>148000</v>
      </c>
      <c r="G3427" s="440"/>
      <c r="H3427" s="447">
        <v>98513</v>
      </c>
    </row>
    <row r="3428" spans="1:8" ht="13.2">
      <c r="A3428" s="454" t="s">
        <v>1382</v>
      </c>
      <c r="B3428" s="452" t="str">
        <f>VLOOKUP(A3428,'Thống kê'!$C$3:$D$669,2,0)</f>
        <v>miếng dán silicon điện thoại</v>
      </c>
      <c r="C3428" s="436" t="str">
        <f>VLOOKUP(A3428,'Thống kê'!$C$3:$E$682,3,0)</f>
        <v>cái</v>
      </c>
      <c r="D3428" s="437">
        <f>VLOOKUP(A3428,'Thống kê'!$C$3:$M$682,4,0)</f>
        <v>0</v>
      </c>
      <c r="E3428" s="438">
        <v>1</v>
      </c>
      <c r="F3428" s="439">
        <f t="shared" si="14"/>
        <v>0</v>
      </c>
      <c r="G3428" s="440"/>
      <c r="H3428" s="450"/>
    </row>
    <row r="3429" spans="1:8" ht="13.2">
      <c r="A3429" s="454" t="s">
        <v>1622</v>
      </c>
      <c r="B3429" s="452" t="str">
        <f>VLOOKUP(A3429,'Thống kê'!$C$3:$D$669,2,0)</f>
        <v>Mô hình mèo 1</v>
      </c>
      <c r="C3429" s="436" t="str">
        <f>VLOOKUP(A3429,'Thống kê'!$C$3:$E$682,3,0)</f>
        <v>cái</v>
      </c>
      <c r="D3429" s="437">
        <f>VLOOKUP(A3429,'Thống kê'!$C$3:$M$682,4,0)</f>
        <v>37800</v>
      </c>
      <c r="E3429" s="438">
        <v>1</v>
      </c>
      <c r="F3429" s="439">
        <f t="shared" si="14"/>
        <v>37800</v>
      </c>
      <c r="G3429" s="440"/>
      <c r="H3429" s="447">
        <v>63398</v>
      </c>
    </row>
    <row r="3430" spans="1:8" ht="13.2">
      <c r="A3430" s="454" t="s">
        <v>1623</v>
      </c>
      <c r="B3430" s="452" t="str">
        <f>VLOOKUP(A3430,'Thống kê'!$C$3:$D$669,2,0)</f>
        <v>Mô hình mèo 5</v>
      </c>
      <c r="C3430" s="436" t="str">
        <f>VLOOKUP(A3430,'Thống kê'!$C$3:$E$682,3,0)</f>
        <v>cái</v>
      </c>
      <c r="D3430" s="437">
        <f>VLOOKUP(A3430,'Thống kê'!$C$3:$M$682,4,0)</f>
        <v>37800</v>
      </c>
      <c r="E3430" s="438">
        <v>1</v>
      </c>
      <c r="F3430" s="439">
        <f t="shared" si="14"/>
        <v>37800</v>
      </c>
      <c r="G3430" s="440"/>
      <c r="H3430" s="450"/>
    </row>
    <row r="3431" spans="1:8" ht="13.2">
      <c r="A3431" s="454" t="s">
        <v>1344</v>
      </c>
      <c r="B3431" s="452" t="str">
        <f>VLOOKUP(A3431,'Thống kê'!$C$3:$D$669,2,0)</f>
        <v>Móc khóa chuối</v>
      </c>
      <c r="C3431" s="436" t="str">
        <f>VLOOKUP(A3431,'Thống kê'!$C$3:$E$682,3,0)</f>
        <v>cái</v>
      </c>
      <c r="D3431" s="437">
        <f>VLOOKUP(A3431,'Thống kê'!$C$3:$M$682,4,0)</f>
        <v>148000</v>
      </c>
      <c r="E3431" s="438">
        <v>1</v>
      </c>
      <c r="F3431" s="439">
        <f t="shared" si="14"/>
        <v>148000</v>
      </c>
      <c r="G3431" s="440"/>
      <c r="H3431" s="448">
        <v>88560</v>
      </c>
    </row>
    <row r="3432" spans="1:8" ht="13.2">
      <c r="A3432" s="454" t="s">
        <v>1661</v>
      </c>
      <c r="B3432" s="452" t="str">
        <f>VLOOKUP(A3432,'Thống kê'!$C$3:$D$669,2,0)</f>
        <v>Móc khóa Popbean Kubo</v>
      </c>
      <c r="C3432" s="436" t="str">
        <f>VLOOKUP(A3432,'Thống kê'!$C$3:$E$682,3,0)</f>
        <v>cái</v>
      </c>
      <c r="D3432" s="437">
        <f>VLOOKUP(A3432,'Thống kê'!$C$3:$M$682,4,0)</f>
        <v>148000</v>
      </c>
      <c r="E3432" s="438">
        <v>1</v>
      </c>
      <c r="F3432" s="439">
        <f t="shared" si="14"/>
        <v>148000</v>
      </c>
      <c r="G3432" s="440"/>
      <c r="H3432" s="448">
        <v>103452</v>
      </c>
    </row>
    <row r="3433" spans="1:8" ht="13.2">
      <c r="A3433" s="454" t="s">
        <v>1641</v>
      </c>
      <c r="B3433" s="452" t="str">
        <f>VLOOKUP(A3433,'Thống kê'!$C$3:$D$669,2,0)</f>
        <v>Túi chườm bụng thỏ và dứa 500ml</v>
      </c>
      <c r="C3433" s="436" t="str">
        <f>VLOOKUP(A3433,'Thống kê'!$C$3:$E$682,3,0)</f>
        <v>túi</v>
      </c>
      <c r="D3433" s="437">
        <f>VLOOKUP(A3433,'Thống kê'!$C$3:$M$682,4,0)</f>
        <v>78200</v>
      </c>
      <c r="E3433" s="438">
        <v>1</v>
      </c>
      <c r="F3433" s="439">
        <f t="shared" si="14"/>
        <v>78200</v>
      </c>
      <c r="G3433" s="440"/>
      <c r="H3433" s="448">
        <v>71452</v>
      </c>
    </row>
    <row r="3434" spans="1:8" ht="13.2">
      <c r="A3434" s="454" t="s">
        <v>1337</v>
      </c>
      <c r="B3434" s="452" t="str">
        <f>VLOOKUP(A3434,'Thống kê'!$C$3:$D$669,2,0)</f>
        <v>Móc khóa chuối</v>
      </c>
      <c r="C3434" s="436" t="str">
        <f>VLOOKUP(A3434,'Thống kê'!$C$3:$E$682,3,0)</f>
        <v>cái</v>
      </c>
      <c r="D3434" s="437">
        <f>VLOOKUP(A3434,'Thống kê'!$C$3:$M$682,4,0)</f>
        <v>148000</v>
      </c>
      <c r="E3434" s="438">
        <v>1</v>
      </c>
      <c r="F3434" s="439">
        <f t="shared" si="14"/>
        <v>148000</v>
      </c>
      <c r="G3434" s="440"/>
      <c r="H3434" s="447">
        <v>184828</v>
      </c>
    </row>
    <row r="3435" spans="1:8" ht="13.2">
      <c r="A3435" s="454" t="s">
        <v>1392</v>
      </c>
      <c r="B3435" s="452" t="str">
        <f>VLOOKUP(A3435,'Thống kê'!$C$3:$D$669,2,0)</f>
        <v>Móc khoá Labubu mini Popmart</v>
      </c>
      <c r="C3435" s="436" t="str">
        <f>VLOOKUP(A3435,'Thống kê'!$C$3:$E$682,3,0)</f>
        <v>cái</v>
      </c>
      <c r="D3435" s="437">
        <f>VLOOKUP(A3435,'Thống kê'!$C$3:$M$682,4,0)</f>
        <v>0</v>
      </c>
      <c r="E3435" s="438">
        <v>1</v>
      </c>
      <c r="F3435" s="439">
        <f t="shared" si="14"/>
        <v>0</v>
      </c>
      <c r="G3435" s="440"/>
      <c r="H3435" s="450"/>
    </row>
    <row r="3436" spans="1:8" ht="13.2">
      <c r="A3436" s="454" t="s">
        <v>310</v>
      </c>
      <c r="B3436" s="452" t="str">
        <f>VLOOKUP(A3436,'Thống kê'!$C$3:$D$669,2,0)</f>
        <v>Trang trí mô hình Heo</v>
      </c>
      <c r="C3436" s="436" t="str">
        <f>VLOOKUP(A3436,'Thống kê'!$C$3:$E$682,3,0)</f>
        <v>cái</v>
      </c>
      <c r="D3436" s="437">
        <f>VLOOKUP(A3436,'Thống kê'!$C$3:$M$682,4,0)</f>
        <v>39000</v>
      </c>
      <c r="E3436" s="438">
        <v>1</v>
      </c>
      <c r="F3436" s="439">
        <f t="shared" si="14"/>
        <v>39000</v>
      </c>
      <c r="G3436" s="440"/>
      <c r="H3436" s="447">
        <v>111946</v>
      </c>
    </row>
    <row r="3437" spans="1:8" ht="13.2">
      <c r="A3437" s="454" t="s">
        <v>1355</v>
      </c>
      <c r="B3437" s="452" t="str">
        <f>VLOOKUP(A3437,'Thống kê'!$C$3:$D$669,2,0)</f>
        <v>Trang trí mô hình Gấu</v>
      </c>
      <c r="C3437" s="436" t="str">
        <f>VLOOKUP(A3437,'Thống kê'!$C$3:$E$682,3,0)</f>
        <v>cái</v>
      </c>
      <c r="D3437" s="437">
        <f>VLOOKUP(A3437,'Thống kê'!$C$3:$M$682,4,0)</f>
        <v>39000</v>
      </c>
      <c r="E3437" s="438">
        <v>1</v>
      </c>
      <c r="F3437" s="439">
        <f t="shared" si="14"/>
        <v>39000</v>
      </c>
      <c r="G3437" s="440"/>
      <c r="H3437" s="450"/>
    </row>
    <row r="3438" spans="1:8" ht="13.2">
      <c r="A3438" s="454" t="s">
        <v>1357</v>
      </c>
      <c r="B3438" s="452" t="str">
        <f>VLOOKUP(A3438,'Thống kê'!$C$3:$D$669,2,0)</f>
        <v>Trang trí mô hình Thỏ</v>
      </c>
      <c r="C3438" s="436" t="str">
        <f>VLOOKUP(A3438,'Thống kê'!$C$3:$E$682,3,0)</f>
        <v>cái</v>
      </c>
      <c r="D3438" s="437">
        <f>VLOOKUP(A3438,'Thống kê'!$C$3:$M$682,4,0)</f>
        <v>39000</v>
      </c>
      <c r="E3438" s="438">
        <v>1</v>
      </c>
      <c r="F3438" s="439">
        <f t="shared" si="14"/>
        <v>39000</v>
      </c>
      <c r="G3438" s="440"/>
      <c r="H3438" s="450"/>
    </row>
    <row r="3439" spans="1:8" ht="13.2">
      <c r="A3439" s="454" t="s">
        <v>1359</v>
      </c>
      <c r="B3439" s="452" t="str">
        <f>VLOOKUP(A3439,'Thống kê'!$C$3:$D$669,2,0)</f>
        <v>Trang trí mô hình Cún</v>
      </c>
      <c r="C3439" s="436" t="str">
        <f>VLOOKUP(A3439,'Thống kê'!$C$3:$E$682,3,0)</f>
        <v>cái</v>
      </c>
      <c r="D3439" s="437">
        <f>VLOOKUP(A3439,'Thống kê'!$C$3:$M$682,4,0)</f>
        <v>39000</v>
      </c>
      <c r="E3439" s="438">
        <v>1</v>
      </c>
      <c r="F3439" s="439">
        <f t="shared" si="14"/>
        <v>39000</v>
      </c>
      <c r="G3439" s="440"/>
      <c r="H3439" s="450"/>
    </row>
    <row r="3440" spans="1:8" ht="13.2">
      <c r="A3440" s="454" t="s">
        <v>1387</v>
      </c>
      <c r="B3440" s="452" t="str">
        <f>VLOOKUP(A3440,'Thống kê'!$C$3:$D$669,2,0)</f>
        <v>Móc khoá Crybaby mini Popmart</v>
      </c>
      <c r="C3440" s="436" t="str">
        <f>VLOOKUP(A3440,'Thống kê'!$C$3:$E$682,3,0)</f>
        <v>cái</v>
      </c>
      <c r="D3440" s="437">
        <f>VLOOKUP(A3440,'Thống kê'!$C$3:$M$682,4,0)</f>
        <v>0</v>
      </c>
      <c r="E3440" s="438">
        <v>1</v>
      </c>
      <c r="F3440" s="439">
        <f t="shared" si="14"/>
        <v>0</v>
      </c>
      <c r="G3440" s="440"/>
      <c r="H3440" s="448">
        <v>106600</v>
      </c>
    </row>
    <row r="3441" spans="1:8" ht="13.2">
      <c r="A3441" s="454" t="s">
        <v>1583</v>
      </c>
      <c r="B3441" s="452" t="str">
        <f>VLOOKUP(A3441,'Thống kê'!$C$3:$D$669,2,0)</f>
        <v>Móc khoá mèo bông xanh da trời</v>
      </c>
      <c r="C3441" s="436" t="str">
        <f>VLOOKUP(A3441,'Thống kê'!$C$3:$E$682,3,0)</f>
        <v>cái</v>
      </c>
      <c r="D3441" s="437">
        <f>VLOOKUP(A3441,'Thống kê'!$C$3:$M$682,4,0)</f>
        <v>98000</v>
      </c>
      <c r="E3441" s="438">
        <v>1</v>
      </c>
      <c r="F3441" s="439">
        <f t="shared" si="14"/>
        <v>98000</v>
      </c>
      <c r="G3441" s="440"/>
      <c r="H3441" s="448">
        <v>70338</v>
      </c>
    </row>
    <row r="3442" spans="1:8" ht="13.2">
      <c r="A3442" s="454" t="s">
        <v>1384</v>
      </c>
      <c r="B3442" s="452" t="str">
        <f>VLOOKUP(A3442,'Thống kê'!$C$3:$D$669,2,0)</f>
        <v>Móc khoá Crybaby mini Popmart</v>
      </c>
      <c r="C3442" s="436" t="str">
        <f>VLOOKUP(A3442,'Thống kê'!$C$3:$E$682,3,0)</f>
        <v>cái</v>
      </c>
      <c r="D3442" s="437">
        <f>VLOOKUP(A3442,'Thống kê'!$C$3:$M$682,4,0)</f>
        <v>0</v>
      </c>
      <c r="E3442" s="438">
        <v>1</v>
      </c>
      <c r="F3442" s="439">
        <f t="shared" si="14"/>
        <v>0</v>
      </c>
      <c r="G3442" s="440"/>
      <c r="H3442" s="448">
        <v>109060</v>
      </c>
    </row>
    <row r="3443" spans="1:8" ht="13.2">
      <c r="A3443" s="454" t="s">
        <v>1586</v>
      </c>
      <c r="B3443" s="452" t="str">
        <f>VLOOKUP(A3443,'Thống kê'!$C$3:$D$669,2,0)</f>
        <v>Thỏ ú hoa</v>
      </c>
      <c r="C3443" s="436" t="str">
        <f>VLOOKUP(A3443,'Thống kê'!$C$3:$E$682,3,0)</f>
        <v>cái</v>
      </c>
      <c r="D3443" s="437">
        <f>VLOOKUP(A3443,'Thống kê'!$C$3:$M$682,4,0)</f>
        <v>64500</v>
      </c>
      <c r="E3443" s="438">
        <v>1</v>
      </c>
      <c r="F3443" s="439">
        <f t="shared" si="14"/>
        <v>64500</v>
      </c>
      <c r="G3443" s="440"/>
      <c r="H3443" s="447">
        <v>101110</v>
      </c>
    </row>
    <row r="3444" spans="1:8" ht="13.2">
      <c r="A3444" s="454" t="s">
        <v>1614</v>
      </c>
      <c r="B3444" s="452" t="str">
        <f>VLOOKUP(A3444,'Thống kê'!$C$3:$D$669,2,0)</f>
        <v>Kẹp tóc bướm xanh ngọc</v>
      </c>
      <c r="C3444" s="436" t="str">
        <f>VLOOKUP(A3444,'Thống kê'!$C$3:$E$682,3,0)</f>
        <v>cái</v>
      </c>
      <c r="D3444" s="437">
        <f>VLOOKUP(A3444,'Thống kê'!$C$3:$M$682,4,0)</f>
        <v>38000</v>
      </c>
      <c r="E3444" s="438">
        <v>1</v>
      </c>
      <c r="F3444" s="439">
        <f t="shared" si="14"/>
        <v>38000</v>
      </c>
      <c r="G3444" s="440"/>
      <c r="H3444" s="450"/>
    </row>
    <row r="3445" spans="1:8" ht="13.2">
      <c r="A3445" s="454" t="s">
        <v>1691</v>
      </c>
      <c r="B3445" s="452">
        <f>VLOOKUP(A3445,'Thống kê'!$C$3:$D$669,2,0)</f>
        <v>0</v>
      </c>
      <c r="C3445" s="436" t="str">
        <f>VLOOKUP(A3445,'Thống kê'!$C$3:$E$682,3,0)</f>
        <v>cái</v>
      </c>
      <c r="D3445" s="437">
        <f>VLOOKUP(A3445,'Thống kê'!$C$3:$M$682,4,0)</f>
        <v>0</v>
      </c>
      <c r="E3445" s="438">
        <v>1</v>
      </c>
      <c r="F3445" s="439">
        <f t="shared" si="14"/>
        <v>0</v>
      </c>
      <c r="G3445" s="440"/>
      <c r="H3445" s="450"/>
    </row>
    <row r="3446" spans="1:8" ht="13.2">
      <c r="A3446" s="454" t="s">
        <v>1394</v>
      </c>
      <c r="B3446" s="452" t="str">
        <f>VLOOKUP(A3446,'Thống kê'!$C$3:$D$669,2,0)</f>
        <v>Móc khoá Labubu mini Popmart</v>
      </c>
      <c r="C3446" s="436" t="str">
        <f>VLOOKUP(A3446,'Thống kê'!$C$3:$E$682,3,0)</f>
        <v>cái</v>
      </c>
      <c r="D3446" s="437">
        <f>VLOOKUP(A3446,'Thống kê'!$C$3:$M$682,4,0)</f>
        <v>0</v>
      </c>
      <c r="E3446" s="438">
        <v>1</v>
      </c>
      <c r="F3446" s="439">
        <f t="shared" si="14"/>
        <v>0</v>
      </c>
      <c r="G3446" s="440"/>
      <c r="H3446" s="448">
        <v>109060</v>
      </c>
    </row>
    <row r="3447" spans="1:8" ht="13.2">
      <c r="A3447" s="454" t="s">
        <v>143</v>
      </c>
      <c r="B3447" s="452" t="str">
        <f>VLOOKUP(A3447,'Thống kê'!$C$3:$D$669,2,0)</f>
        <v>Mèo ú</v>
      </c>
      <c r="C3447" s="436" t="str">
        <f>VLOOKUP(A3447,'Thống kê'!$C$3:$E$682,3,0)</f>
        <v>cái</v>
      </c>
      <c r="D3447" s="437">
        <f>VLOOKUP(A3447,'Thống kê'!$C$3:$M$682,4,0)</f>
        <v>59500</v>
      </c>
      <c r="E3447" s="438">
        <v>1</v>
      </c>
      <c r="F3447" s="439">
        <f t="shared" si="14"/>
        <v>59500</v>
      </c>
      <c r="G3447" s="440"/>
      <c r="H3447" s="448">
        <v>56133</v>
      </c>
    </row>
    <row r="3448" spans="1:8" ht="13.2">
      <c r="A3448" s="454" t="s">
        <v>1591</v>
      </c>
      <c r="B3448" s="452" t="str">
        <f>VLOOKUP(A3448,'Thống kê'!$C$3:$D$669,2,0)</f>
        <v>Thỏ ú</v>
      </c>
      <c r="C3448" s="436" t="str">
        <f>VLOOKUP(A3448,'Thống kê'!$C$3:$E$682,3,0)</f>
        <v>cái</v>
      </c>
      <c r="D3448" s="437">
        <f>VLOOKUP(A3448,'Thống kê'!$C$3:$M$682,4,0)</f>
        <v>59500</v>
      </c>
      <c r="E3448" s="438">
        <v>2</v>
      </c>
      <c r="F3448" s="439">
        <f t="shared" si="14"/>
        <v>119000</v>
      </c>
      <c r="G3448" s="440"/>
      <c r="H3448" s="448">
        <v>109060</v>
      </c>
    </row>
    <row r="3449" spans="1:8" ht="13.2">
      <c r="A3449" s="454" t="s">
        <v>1388</v>
      </c>
      <c r="B3449" s="452" t="str">
        <f>VLOOKUP(A3449,'Thống kê'!$C$3:$D$669,2,0)</f>
        <v>Móc khoá Crybaby mini Popmart</v>
      </c>
      <c r="C3449" s="436" t="str">
        <f>VLOOKUP(A3449,'Thống kê'!$C$3:$E$682,3,0)</f>
        <v>cái</v>
      </c>
      <c r="D3449" s="437">
        <f>VLOOKUP(A3449,'Thống kê'!$C$3:$M$682,4,0)</f>
        <v>0</v>
      </c>
      <c r="E3449" s="438">
        <v>1</v>
      </c>
      <c r="F3449" s="439">
        <f t="shared" si="14"/>
        <v>0</v>
      </c>
      <c r="G3449" s="440"/>
      <c r="H3449" s="447">
        <v>109060</v>
      </c>
    </row>
    <row r="3450" spans="1:8" ht="13.2">
      <c r="A3450" s="454" t="s">
        <v>1935</v>
      </c>
      <c r="B3450" s="452" t="str">
        <f>VLOOKUP(A3450,'Thống kê'!$C$3:$D$669,2,0)</f>
        <v>Kẹp tóc hoa sứ hồng</v>
      </c>
      <c r="C3450" s="436" t="str">
        <f>VLOOKUP(A3450,'Thống kê'!$C$3:$E$682,3,0)</f>
        <v>cái</v>
      </c>
      <c r="D3450" s="437">
        <f>VLOOKUP(A3450,'Thống kê'!$C$3:$M$682,4,0)</f>
        <v>18500</v>
      </c>
      <c r="E3450" s="438">
        <v>1</v>
      </c>
      <c r="F3450" s="439">
        <f t="shared" si="14"/>
        <v>18500</v>
      </c>
      <c r="G3450" s="440"/>
      <c r="H3450" s="450"/>
    </row>
    <row r="3451" spans="1:8" ht="13.2">
      <c r="A3451" s="454" t="s">
        <v>150</v>
      </c>
      <c r="B3451" s="452" t="str">
        <f>VLOOKUP(A3451,'Thống kê'!$C$3:$D$669,2,0)</f>
        <v>Móc khóa có chuông</v>
      </c>
      <c r="C3451" s="436" t="str">
        <f>VLOOKUP(A3451,'Thống kê'!$C$3:$E$682,3,0)</f>
        <v>cái</v>
      </c>
      <c r="D3451" s="437">
        <f>VLOOKUP(A3451,'Thống kê'!$C$3:$M$682,4,0)</f>
        <v>59000</v>
      </c>
      <c r="E3451" s="438">
        <v>1</v>
      </c>
      <c r="F3451" s="439">
        <f t="shared" si="14"/>
        <v>59000</v>
      </c>
      <c r="G3451" s="440"/>
      <c r="H3451" s="448">
        <v>48380</v>
      </c>
    </row>
    <row r="3452" spans="1:8" ht="13.2">
      <c r="A3452" s="454" t="s">
        <v>150</v>
      </c>
      <c r="B3452" s="452" t="str">
        <f>VLOOKUP(A3452,'Thống kê'!$C$3:$D$669,2,0)</f>
        <v>Móc khóa có chuông</v>
      </c>
      <c r="C3452" s="436" t="str">
        <f>VLOOKUP(A3452,'Thống kê'!$C$3:$E$682,3,0)</f>
        <v>cái</v>
      </c>
      <c r="D3452" s="437">
        <f>VLOOKUP(A3452,'Thống kê'!$C$3:$M$682,4,0)</f>
        <v>59000</v>
      </c>
      <c r="E3452" s="438">
        <v>1</v>
      </c>
      <c r="F3452" s="439">
        <f t="shared" si="14"/>
        <v>59000</v>
      </c>
      <c r="G3452" s="440"/>
      <c r="H3452" s="448">
        <v>69755</v>
      </c>
    </row>
    <row r="3453" spans="1:8" ht="13.2">
      <c r="A3453" s="454" t="s">
        <v>1382</v>
      </c>
      <c r="B3453" s="452" t="str">
        <f>VLOOKUP(A3453,'Thống kê'!$C$3:$D$669,2,0)</f>
        <v>miếng dán silicon điện thoại</v>
      </c>
      <c r="C3453" s="436" t="str">
        <f>VLOOKUP(A3453,'Thống kê'!$C$3:$E$682,3,0)</f>
        <v>cái</v>
      </c>
      <c r="D3453" s="437">
        <f>VLOOKUP(A3453,'Thống kê'!$C$3:$M$682,4,0)</f>
        <v>0</v>
      </c>
      <c r="E3453" s="438">
        <v>22</v>
      </c>
      <c r="F3453" s="439">
        <f t="shared" si="14"/>
        <v>0</v>
      </c>
      <c r="G3453" s="440"/>
      <c r="H3453" s="448">
        <v>53722</v>
      </c>
    </row>
    <row r="3454" spans="1:8" ht="13.2">
      <c r="A3454" s="454" t="s">
        <v>1624</v>
      </c>
      <c r="B3454" s="452" t="str">
        <f>VLOOKUP(A3454,'Thống kê'!$C$3:$D$669,2,0)</f>
        <v>Móc khóa mèo trái tim</v>
      </c>
      <c r="C3454" s="436" t="str">
        <f>VLOOKUP(A3454,'Thống kê'!$C$3:$E$682,3,0)</f>
        <v>cái</v>
      </c>
      <c r="D3454" s="437">
        <f>VLOOKUP(A3454,'Thống kê'!$C$3:$M$682,4,0)</f>
        <v>59000</v>
      </c>
      <c r="E3454" s="438">
        <v>1</v>
      </c>
      <c r="F3454" s="439">
        <f t="shared" si="14"/>
        <v>59000</v>
      </c>
      <c r="G3454" s="440"/>
      <c r="H3454" s="448">
        <v>60167</v>
      </c>
    </row>
    <row r="3455" spans="1:8" ht="13.2">
      <c r="A3455" s="454" t="s">
        <v>138</v>
      </c>
      <c r="B3455" s="452" t="str">
        <f>VLOOKUP(A3455,'Thống kê'!$C$3:$D$669,2,0)</f>
        <v>Móc khoá Crybaby mini Popmart</v>
      </c>
      <c r="C3455" s="436" t="str">
        <f>VLOOKUP(A3455,'Thống kê'!$C$3:$E$682,3,0)</f>
        <v>cái</v>
      </c>
      <c r="D3455" s="437">
        <f>VLOOKUP(A3455,'Thống kê'!$C$3:$M$682,4,0)</f>
        <v>0</v>
      </c>
      <c r="E3455" s="438">
        <v>1</v>
      </c>
      <c r="F3455" s="439">
        <f t="shared" si="14"/>
        <v>0</v>
      </c>
      <c r="G3455" s="440"/>
      <c r="H3455" s="447">
        <v>319800</v>
      </c>
    </row>
    <row r="3456" spans="1:8" ht="13.2">
      <c r="A3456" s="454" t="s">
        <v>1389</v>
      </c>
      <c r="B3456" s="452" t="str">
        <f>VLOOKUP(A3456,'Thống kê'!$C$3:$D$669,2,0)</f>
        <v>Móc khoá Crybaby mini Popmart</v>
      </c>
      <c r="C3456" s="436" t="str">
        <f>VLOOKUP(A3456,'Thống kê'!$C$3:$E$682,3,0)</f>
        <v>cái</v>
      </c>
      <c r="D3456" s="437">
        <f>VLOOKUP(A3456,'Thống kê'!$C$3:$M$682,4,0)</f>
        <v>0</v>
      </c>
      <c r="E3456" s="438">
        <v>2</v>
      </c>
      <c r="F3456" s="439">
        <f t="shared" si="14"/>
        <v>0</v>
      </c>
      <c r="G3456" s="440"/>
      <c r="H3456" s="450"/>
    </row>
    <row r="3457" spans="1:8" ht="13.2">
      <c r="A3457" s="454" t="s">
        <v>1935</v>
      </c>
      <c r="B3457" s="452" t="str">
        <f>VLOOKUP(A3457,'Thống kê'!$C$3:$D$669,2,0)</f>
        <v>Kẹp tóc hoa sứ hồng</v>
      </c>
      <c r="C3457" s="436" t="str">
        <f>VLOOKUP(A3457,'Thống kê'!$C$3:$E$682,3,0)</f>
        <v>cái</v>
      </c>
      <c r="D3457" s="437">
        <f>VLOOKUP(A3457,'Thống kê'!$C$3:$M$682,4,0)</f>
        <v>18500</v>
      </c>
      <c r="E3457" s="438">
        <v>1</v>
      </c>
      <c r="F3457" s="439">
        <f t="shared" si="14"/>
        <v>18500</v>
      </c>
      <c r="G3457" s="440"/>
      <c r="H3457" s="450"/>
    </row>
    <row r="3458" spans="1:8" ht="13.2">
      <c r="A3458" s="454" t="s">
        <v>1594</v>
      </c>
      <c r="B3458" s="452" t="str">
        <f>VLOOKUP(A3458,'Thống kê'!$C$3:$D$669,2,0)</f>
        <v>Móc khóa đôi heo</v>
      </c>
      <c r="C3458" s="436" t="str">
        <f>VLOOKUP(A3458,'Thống kê'!$C$3:$E$682,3,0)</f>
        <v>cái</v>
      </c>
      <c r="D3458" s="437">
        <f>VLOOKUP(A3458,'Thống kê'!$C$3:$M$682,4,0)</f>
        <v>56580</v>
      </c>
      <c r="E3458" s="438">
        <v>1</v>
      </c>
      <c r="F3458" s="439">
        <f t="shared" si="14"/>
        <v>56580</v>
      </c>
      <c r="G3458" s="440"/>
      <c r="H3458" s="448">
        <v>53996</v>
      </c>
    </row>
    <row r="3459" spans="1:8" ht="13.2">
      <c r="A3459" s="454" t="s">
        <v>1384</v>
      </c>
      <c r="B3459" s="452" t="str">
        <f>VLOOKUP(A3459,'Thống kê'!$C$3:$D$669,2,0)</f>
        <v>Móc khoá Crybaby mini Popmart</v>
      </c>
      <c r="C3459" s="436" t="str">
        <f>VLOOKUP(A3459,'Thống kê'!$C$3:$E$682,3,0)</f>
        <v>cái</v>
      </c>
      <c r="D3459" s="437">
        <f>VLOOKUP(A3459,'Thống kê'!$C$3:$M$682,4,0)</f>
        <v>0</v>
      </c>
      <c r="E3459" s="438">
        <v>1</v>
      </c>
      <c r="F3459" s="439">
        <f t="shared" si="14"/>
        <v>0</v>
      </c>
      <c r="G3459" s="440"/>
      <c r="H3459" s="447">
        <v>106600</v>
      </c>
    </row>
    <row r="3460" spans="1:8" ht="13.2">
      <c r="A3460" s="454" t="s">
        <v>1935</v>
      </c>
      <c r="B3460" s="452" t="str">
        <f>VLOOKUP(A3460,'Thống kê'!$C$3:$D$669,2,0)</f>
        <v>Kẹp tóc hoa sứ hồng</v>
      </c>
      <c r="C3460" s="436" t="str">
        <f>VLOOKUP(A3460,'Thống kê'!$C$3:$E$682,3,0)</f>
        <v>cái</v>
      </c>
      <c r="D3460" s="437">
        <f>VLOOKUP(A3460,'Thống kê'!$C$3:$M$682,4,0)</f>
        <v>18500</v>
      </c>
      <c r="E3460" s="438">
        <v>1</v>
      </c>
      <c r="F3460" s="439">
        <f t="shared" si="14"/>
        <v>18500</v>
      </c>
      <c r="G3460" s="440"/>
      <c r="H3460" s="450"/>
    </row>
    <row r="3461" spans="1:8" ht="13.2">
      <c r="A3461" s="454" t="s">
        <v>113</v>
      </c>
      <c r="B3461" s="452" t="str">
        <f>VLOOKUP(A3461,'Thống kê'!$C$3:$D$669,2,0)</f>
        <v>Móc khoá Dimoo size mini (hàng remake)</v>
      </c>
      <c r="C3461" s="436" t="str">
        <f>VLOOKUP(A3461,'Thống kê'!$C$3:$E$682,3,0)</f>
        <v>cái</v>
      </c>
      <c r="D3461" s="437">
        <f>VLOOKUP(A3461,'Thống kê'!$C$3:$M$682,4,0)</f>
        <v>0</v>
      </c>
      <c r="E3461" s="438">
        <v>1</v>
      </c>
      <c r="F3461" s="439">
        <f t="shared" si="14"/>
        <v>0</v>
      </c>
      <c r="G3461" s="440"/>
      <c r="H3461" s="447">
        <v>225566</v>
      </c>
    </row>
    <row r="3462" spans="1:8" ht="13.2">
      <c r="A3462" s="454" t="s">
        <v>1387</v>
      </c>
      <c r="B3462" s="452" t="str">
        <f>VLOOKUP(A3462,'Thống kê'!$C$3:$D$669,2,0)</f>
        <v>Móc khoá Crybaby mini Popmart</v>
      </c>
      <c r="C3462" s="436" t="str">
        <f>VLOOKUP(A3462,'Thống kê'!$C$3:$E$682,3,0)</f>
        <v>cái</v>
      </c>
      <c r="D3462" s="437">
        <f>VLOOKUP(A3462,'Thống kê'!$C$3:$M$682,4,0)</f>
        <v>0</v>
      </c>
      <c r="E3462" s="438">
        <v>1</v>
      </c>
      <c r="F3462" s="439">
        <f t="shared" si="14"/>
        <v>0</v>
      </c>
      <c r="G3462" s="440"/>
      <c r="H3462" s="450"/>
    </row>
    <row r="3463" spans="1:8" ht="13.2">
      <c r="A3463" s="454" t="s">
        <v>1935</v>
      </c>
      <c r="B3463" s="452" t="str">
        <f>VLOOKUP(A3463,'Thống kê'!$C$3:$D$669,2,0)</f>
        <v>Kẹp tóc hoa sứ hồng</v>
      </c>
      <c r="C3463" s="436" t="str">
        <f>VLOOKUP(A3463,'Thống kê'!$C$3:$E$682,3,0)</f>
        <v>cái</v>
      </c>
      <c r="D3463" s="437">
        <f>VLOOKUP(A3463,'Thống kê'!$C$3:$M$682,4,0)</f>
        <v>18500</v>
      </c>
      <c r="E3463" s="438">
        <v>1</v>
      </c>
      <c r="F3463" s="439">
        <f t="shared" si="14"/>
        <v>18500</v>
      </c>
      <c r="G3463" s="440"/>
      <c r="H3463" s="450"/>
    </row>
    <row r="3464" spans="1:8" ht="13.2">
      <c r="A3464" s="454" t="s">
        <v>1397</v>
      </c>
      <c r="B3464" s="452" t="str">
        <f>VLOOKUP(A3464,'Thống kê'!$C$3:$D$669,2,0)</f>
        <v>Móc khoá Labubu mini Popmart</v>
      </c>
      <c r="C3464" s="436" t="str">
        <f>VLOOKUP(A3464,'Thống kê'!$C$3:$E$682,3,0)</f>
        <v>cái</v>
      </c>
      <c r="D3464" s="437">
        <f>VLOOKUP(A3464,'Thống kê'!$C$3:$M$682,4,0)</f>
        <v>0</v>
      </c>
      <c r="E3464" s="438">
        <v>1</v>
      </c>
      <c r="F3464" s="439">
        <f t="shared" si="14"/>
        <v>0</v>
      </c>
      <c r="G3464" s="440"/>
      <c r="H3464" s="447">
        <v>109060</v>
      </c>
    </row>
    <row r="3465" spans="1:8" ht="13.2">
      <c r="A3465" s="454" t="s">
        <v>1935</v>
      </c>
      <c r="B3465" s="452" t="str">
        <f>VLOOKUP(A3465,'Thống kê'!$C$3:$D$669,2,0)</f>
        <v>Kẹp tóc hoa sứ hồng</v>
      </c>
      <c r="C3465" s="436" t="str">
        <f>VLOOKUP(A3465,'Thống kê'!$C$3:$E$682,3,0)</f>
        <v>cái</v>
      </c>
      <c r="D3465" s="437">
        <f>VLOOKUP(A3465,'Thống kê'!$C$3:$M$682,4,0)</f>
        <v>18500</v>
      </c>
      <c r="E3465" s="438">
        <v>1</v>
      </c>
      <c r="F3465" s="439">
        <f t="shared" si="14"/>
        <v>18500</v>
      </c>
      <c r="G3465" s="440"/>
      <c r="H3465" s="450"/>
    </row>
    <row r="3466" spans="1:8" ht="13.2">
      <c r="A3466" s="454" t="s">
        <v>1347</v>
      </c>
      <c r="B3466" s="452" t="str">
        <f>VLOOKUP(A3466,'Thống kê'!$C$3:$D$669,2,0)</f>
        <v>Túi chườm bụng 500ml</v>
      </c>
      <c r="C3466" s="436" t="str">
        <f>VLOOKUP(A3466,'Thống kê'!$C$3:$E$682,3,0)</f>
        <v>túi</v>
      </c>
      <c r="D3466" s="437">
        <f>VLOOKUP(A3466,'Thống kê'!$C$3:$M$682,4,0)</f>
        <v>87400</v>
      </c>
      <c r="E3466" s="438">
        <v>1</v>
      </c>
      <c r="F3466" s="439">
        <f t="shared" si="14"/>
        <v>87400</v>
      </c>
      <c r="G3466" s="440"/>
      <c r="H3466" s="448">
        <v>73009</v>
      </c>
    </row>
    <row r="3467" spans="1:8" ht="13.2">
      <c r="A3467" s="454" t="s">
        <v>1589</v>
      </c>
      <c r="B3467" s="452" t="str">
        <f>VLOOKUP(A3467,'Thống kê'!$C$3:$D$669,2,0)</f>
        <v>Heo ú bay</v>
      </c>
      <c r="C3467" s="436" t="str">
        <f>VLOOKUP(A3467,'Thống kê'!$C$3:$E$682,3,0)</f>
        <v>cái</v>
      </c>
      <c r="D3467" s="437">
        <f>VLOOKUP(A3467,'Thống kê'!$C$3:$M$682,4,0)</f>
        <v>64500</v>
      </c>
      <c r="E3467" s="438">
        <v>1</v>
      </c>
      <c r="F3467" s="439">
        <f t="shared" si="14"/>
        <v>64500</v>
      </c>
      <c r="G3467" s="440"/>
      <c r="H3467" s="447">
        <v>120344</v>
      </c>
    </row>
    <row r="3468" spans="1:8" ht="13.2">
      <c r="A3468" s="454" t="s">
        <v>310</v>
      </c>
      <c r="B3468" s="452" t="str">
        <f>VLOOKUP(A3468,'Thống kê'!$C$3:$D$669,2,0)</f>
        <v>Trang trí mô hình Heo</v>
      </c>
      <c r="C3468" s="436" t="str">
        <f>VLOOKUP(A3468,'Thống kê'!$C$3:$E$682,3,0)</f>
        <v>cái</v>
      </c>
      <c r="D3468" s="437">
        <f>VLOOKUP(A3468,'Thống kê'!$C$3:$M$682,4,0)</f>
        <v>39000</v>
      </c>
      <c r="E3468" s="438">
        <v>1</v>
      </c>
      <c r="F3468" s="439">
        <f t="shared" si="14"/>
        <v>39000</v>
      </c>
      <c r="G3468" s="440"/>
      <c r="H3468" s="450"/>
    </row>
    <row r="3469" spans="1:8" ht="13.2">
      <c r="A3469" s="454" t="s">
        <v>1353</v>
      </c>
      <c r="B3469" s="452" t="str">
        <f>VLOOKUP(A3469,'Thống kê'!$C$3:$D$669,2,0)</f>
        <v>Trang trí mô hình Vịt</v>
      </c>
      <c r="C3469" s="436" t="str">
        <f>VLOOKUP(A3469,'Thống kê'!$C$3:$E$682,3,0)</f>
        <v>cái</v>
      </c>
      <c r="D3469" s="437">
        <f>VLOOKUP(A3469,'Thống kê'!$C$3:$M$682,4,0)</f>
        <v>39000</v>
      </c>
      <c r="E3469" s="438">
        <v>1</v>
      </c>
      <c r="F3469" s="439">
        <f t="shared" si="14"/>
        <v>39000</v>
      </c>
      <c r="G3469" s="440"/>
      <c r="H3469" s="450"/>
    </row>
    <row r="3470" spans="1:8" ht="13.2">
      <c r="A3470" s="454" t="s">
        <v>1398</v>
      </c>
      <c r="B3470" s="452" t="str">
        <f>VLOOKUP(A3470,'Thống kê'!$C$3:$D$669,2,0)</f>
        <v>Móc khoá Labubu mini Popmart</v>
      </c>
      <c r="C3470" s="436" t="str">
        <f>VLOOKUP(A3470,'Thống kê'!$C$3:$E$682,3,0)</f>
        <v>cái</v>
      </c>
      <c r="D3470" s="437">
        <f>VLOOKUP(A3470,'Thống kê'!$C$3:$M$682,4,0)</f>
        <v>0</v>
      </c>
      <c r="E3470" s="438">
        <v>1</v>
      </c>
      <c r="F3470" s="439">
        <f t="shared" si="14"/>
        <v>0</v>
      </c>
      <c r="G3470" s="440"/>
      <c r="H3470" s="447">
        <v>211232</v>
      </c>
    </row>
    <row r="3471" spans="1:8" ht="13.2">
      <c r="A3471" s="454" t="s">
        <v>1390</v>
      </c>
      <c r="B3471" s="452" t="str">
        <f>VLOOKUP(A3471,'Thống kê'!$C$3:$D$669,2,0)</f>
        <v>Móc khoá Labubu mini Popmart</v>
      </c>
      <c r="C3471" s="436" t="str">
        <f>VLOOKUP(A3471,'Thống kê'!$C$3:$E$682,3,0)</f>
        <v>cái</v>
      </c>
      <c r="D3471" s="437">
        <f>VLOOKUP(A3471,'Thống kê'!$C$3:$M$682,4,0)</f>
        <v>0</v>
      </c>
      <c r="E3471" s="438">
        <v>1</v>
      </c>
      <c r="F3471" s="439">
        <f t="shared" si="14"/>
        <v>0</v>
      </c>
      <c r="G3471" s="440"/>
      <c r="H3471" s="450"/>
    </row>
    <row r="3472" spans="1:8" ht="13.2">
      <c r="A3472" s="454" t="s">
        <v>1938</v>
      </c>
      <c r="B3472" s="452" t="str">
        <f>VLOOKUP(A3472,'Thống kê'!$C$3:$D$669,2,0)</f>
        <v>Kẹp tóc hoa sứ xanh</v>
      </c>
      <c r="C3472" s="436" t="str">
        <f>VLOOKUP(A3472,'Thống kê'!$C$3:$E$682,3,0)</f>
        <v>cái</v>
      </c>
      <c r="D3472" s="437">
        <f>VLOOKUP(A3472,'Thống kê'!$C$3:$M$682,4,0)</f>
        <v>18500</v>
      </c>
      <c r="E3472" s="438">
        <v>1</v>
      </c>
      <c r="F3472" s="439">
        <f t="shared" si="14"/>
        <v>18500</v>
      </c>
      <c r="G3472" s="440"/>
      <c r="H3472" s="450"/>
    </row>
    <row r="3473" spans="1:8" ht="13.2">
      <c r="A3473" s="454" t="s">
        <v>1382</v>
      </c>
      <c r="B3473" s="452" t="str">
        <f>VLOOKUP(A3473,'Thống kê'!$C$3:$D$669,2,0)</f>
        <v>miếng dán silicon điện thoại</v>
      </c>
      <c r="C3473" s="436" t="str">
        <f>VLOOKUP(A3473,'Thống kê'!$C$3:$E$682,3,0)</f>
        <v>cái</v>
      </c>
      <c r="D3473" s="437">
        <f>VLOOKUP(A3473,'Thống kê'!$C$3:$M$682,4,0)</f>
        <v>0</v>
      </c>
      <c r="E3473" s="438">
        <v>30</v>
      </c>
      <c r="F3473" s="439">
        <f t="shared" si="14"/>
        <v>0</v>
      </c>
      <c r="G3473" s="440"/>
      <c r="H3473" s="448">
        <v>68655</v>
      </c>
    </row>
    <row r="3474" spans="1:8" ht="13.2">
      <c r="A3474" s="454" t="s">
        <v>2023</v>
      </c>
      <c r="B3474" s="452" t="str">
        <f>VLOOKUP(A3474,'Thống kê'!$C$3:$D$669,2,0)</f>
        <v>Túi chườm bụng gấu nâu 500ml</v>
      </c>
      <c r="C3474" s="436" t="str">
        <f>VLOOKUP(A3474,'Thống kê'!$C$3:$E$682,3,0)</f>
        <v>túi</v>
      </c>
      <c r="D3474" s="437">
        <f>VLOOKUP(A3474,'Thống kê'!$C$3:$M$682,4,0)</f>
        <v>81000</v>
      </c>
      <c r="E3474" s="438">
        <v>1</v>
      </c>
      <c r="F3474" s="439">
        <f t="shared" si="14"/>
        <v>81000</v>
      </c>
      <c r="G3474" s="440"/>
      <c r="H3474" s="448">
        <v>64906</v>
      </c>
    </row>
    <row r="3475" spans="1:8" ht="13.2">
      <c r="A3475" s="454" t="s">
        <v>150</v>
      </c>
      <c r="B3475" s="452" t="str">
        <f>VLOOKUP(A3475,'Thống kê'!$C$3:$D$669,2,0)</f>
        <v>Móc khóa có chuông</v>
      </c>
      <c r="C3475" s="436" t="str">
        <f>VLOOKUP(A3475,'Thống kê'!$C$3:$E$682,3,0)</f>
        <v>cái</v>
      </c>
      <c r="D3475" s="437">
        <f>VLOOKUP(A3475,'Thống kê'!$C$3:$M$682,4,0)</f>
        <v>59000</v>
      </c>
      <c r="E3475" s="438">
        <v>1</v>
      </c>
      <c r="F3475" s="439">
        <f t="shared" si="14"/>
        <v>59000</v>
      </c>
      <c r="G3475" s="440"/>
      <c r="H3475" s="448">
        <v>48380</v>
      </c>
    </row>
    <row r="3476" spans="1:8" ht="13.2">
      <c r="A3476" s="454" t="s">
        <v>1387</v>
      </c>
      <c r="B3476" s="452" t="str">
        <f>VLOOKUP(A3476,'Thống kê'!$C$3:$D$669,2,0)</f>
        <v>Móc khoá Crybaby mini Popmart</v>
      </c>
      <c r="C3476" s="436" t="str">
        <f>VLOOKUP(A3476,'Thống kê'!$C$3:$E$682,3,0)</f>
        <v>cái</v>
      </c>
      <c r="D3476" s="437">
        <f>VLOOKUP(A3476,'Thống kê'!$C$3:$M$682,4,0)</f>
        <v>0</v>
      </c>
      <c r="E3476" s="438">
        <v>1</v>
      </c>
      <c r="F3476" s="439">
        <f t="shared" si="14"/>
        <v>0</v>
      </c>
      <c r="G3476" s="440"/>
      <c r="H3476" s="447">
        <v>319800</v>
      </c>
    </row>
    <row r="3477" spans="1:8" ht="13.2">
      <c r="A3477" s="454" t="s">
        <v>230</v>
      </c>
      <c r="B3477" s="452" t="str">
        <f>VLOOKUP(A3477,'Thống kê'!$C$3:$D$669,2,0)</f>
        <v>Móc khoá Crybaby mini Popmart</v>
      </c>
      <c r="C3477" s="436" t="str">
        <f>VLOOKUP(A3477,'Thống kê'!$C$3:$E$682,3,0)</f>
        <v>cái</v>
      </c>
      <c r="D3477" s="437">
        <f>VLOOKUP(A3477,'Thống kê'!$C$3:$M$682,4,0)</f>
        <v>0</v>
      </c>
      <c r="E3477" s="438">
        <v>1</v>
      </c>
      <c r="F3477" s="439">
        <f t="shared" si="14"/>
        <v>0</v>
      </c>
      <c r="G3477" s="440"/>
      <c r="H3477" s="450"/>
    </row>
    <row r="3478" spans="1:8" ht="13.2">
      <c r="A3478" s="454" t="s">
        <v>1388</v>
      </c>
      <c r="B3478" s="452" t="str">
        <f>VLOOKUP(A3478,'Thống kê'!$C$3:$D$669,2,0)</f>
        <v>Móc khoá Crybaby mini Popmart</v>
      </c>
      <c r="C3478" s="436" t="str">
        <f>VLOOKUP(A3478,'Thống kê'!$C$3:$E$682,3,0)</f>
        <v>cái</v>
      </c>
      <c r="D3478" s="437">
        <f>VLOOKUP(A3478,'Thống kê'!$C$3:$M$682,4,0)</f>
        <v>0</v>
      </c>
      <c r="E3478" s="438">
        <v>1</v>
      </c>
      <c r="F3478" s="439">
        <f t="shared" si="14"/>
        <v>0</v>
      </c>
      <c r="G3478" s="440"/>
      <c r="H3478" s="450"/>
    </row>
    <row r="3479" spans="1:8" ht="13.2">
      <c r="A3479" s="454" t="s">
        <v>1938</v>
      </c>
      <c r="B3479" s="452" t="str">
        <f>VLOOKUP(A3479,'Thống kê'!$C$3:$D$669,2,0)</f>
        <v>Kẹp tóc hoa sứ xanh</v>
      </c>
      <c r="C3479" s="436" t="str">
        <f>VLOOKUP(A3479,'Thống kê'!$C$3:$E$682,3,0)</f>
        <v>cái</v>
      </c>
      <c r="D3479" s="437">
        <f>VLOOKUP(A3479,'Thống kê'!$C$3:$M$682,4,0)</f>
        <v>18500</v>
      </c>
      <c r="E3479" s="438">
        <v>1</v>
      </c>
      <c r="F3479" s="439">
        <f t="shared" si="14"/>
        <v>18500</v>
      </c>
      <c r="G3479" s="440"/>
      <c r="H3479" s="450"/>
    </row>
    <row r="3480" spans="1:8" ht="13.2">
      <c r="A3480" s="454" t="s">
        <v>1390</v>
      </c>
      <c r="B3480" s="452" t="str">
        <f>VLOOKUP(A3480,'Thống kê'!$C$3:$D$669,2,0)</f>
        <v>Móc khoá Labubu mini Popmart</v>
      </c>
      <c r="C3480" s="436" t="str">
        <f>VLOOKUP(A3480,'Thống kê'!$C$3:$E$682,3,0)</f>
        <v>cái</v>
      </c>
      <c r="D3480" s="437">
        <f>VLOOKUP(A3480,'Thống kê'!$C$3:$M$682,4,0)</f>
        <v>0</v>
      </c>
      <c r="E3480" s="438">
        <v>1</v>
      </c>
      <c r="F3480" s="439">
        <f t="shared" si="14"/>
        <v>0</v>
      </c>
      <c r="G3480" s="440"/>
      <c r="H3480" s="447">
        <v>109060</v>
      </c>
    </row>
    <row r="3481" spans="1:8" ht="13.2">
      <c r="A3481" s="454" t="s">
        <v>1938</v>
      </c>
      <c r="B3481" s="452" t="str">
        <f>VLOOKUP(A3481,'Thống kê'!$C$3:$D$669,2,0)</f>
        <v>Kẹp tóc hoa sứ xanh</v>
      </c>
      <c r="C3481" s="436" t="str">
        <f>VLOOKUP(A3481,'Thống kê'!$C$3:$E$682,3,0)</f>
        <v>cái</v>
      </c>
      <c r="D3481" s="437">
        <f>VLOOKUP(A3481,'Thống kê'!$C$3:$M$682,4,0)</f>
        <v>18500</v>
      </c>
      <c r="E3481" s="438">
        <v>1</v>
      </c>
      <c r="F3481" s="439">
        <f t="shared" si="14"/>
        <v>18500</v>
      </c>
      <c r="G3481" s="440"/>
      <c r="H3481" s="450"/>
    </row>
    <row r="3482" spans="1:8" ht="13.2">
      <c r="A3482" s="454" t="s">
        <v>2078</v>
      </c>
      <c r="B3482" s="452" t="str">
        <f>VLOOKUP(A3482,'Thống kê'!$C$3:$D$669,2,0)</f>
        <v>Ống 50 dây cột tóc be nâu</v>
      </c>
      <c r="C3482" s="436" t="str">
        <f>VLOOKUP(A3482,'Thống kê'!$C$3:$E$682,3,0)</f>
        <v>ống</v>
      </c>
      <c r="D3482" s="437">
        <f>VLOOKUP(A3482,'Thống kê'!$C$3:$M$682,4,0)</f>
        <v>23000</v>
      </c>
      <c r="E3482" s="438">
        <v>1</v>
      </c>
      <c r="F3482" s="439">
        <f t="shared" si="14"/>
        <v>23000</v>
      </c>
      <c r="G3482" s="440"/>
      <c r="H3482" s="447">
        <v>69379</v>
      </c>
    </row>
    <row r="3483" spans="1:8" ht="13.2">
      <c r="A3483" s="454" t="s">
        <v>1382</v>
      </c>
      <c r="B3483" s="452" t="str">
        <f>VLOOKUP(A3483,'Thống kê'!$C$3:$D$669,2,0)</f>
        <v>miếng dán silicon điện thoại</v>
      </c>
      <c r="C3483" s="436" t="str">
        <f>VLOOKUP(A3483,'Thống kê'!$C$3:$E$682,3,0)</f>
        <v>cái</v>
      </c>
      <c r="D3483" s="437">
        <f>VLOOKUP(A3483,'Thống kê'!$C$3:$M$682,4,0)</f>
        <v>0</v>
      </c>
      <c r="E3483" s="438">
        <v>1</v>
      </c>
      <c r="F3483" s="439">
        <f t="shared" si="14"/>
        <v>0</v>
      </c>
      <c r="G3483" s="440"/>
      <c r="H3483" s="450"/>
    </row>
    <row r="3484" spans="1:8" ht="13.2">
      <c r="A3484" s="454" t="s">
        <v>1689</v>
      </c>
      <c r="B3484" s="452">
        <f>VLOOKUP(A3484,'Thống kê'!$C$3:$D$669,2,0)</f>
        <v>0</v>
      </c>
      <c r="C3484" s="436" t="str">
        <f>VLOOKUP(A3484,'Thống kê'!$C$3:$E$682,3,0)</f>
        <v>cái</v>
      </c>
      <c r="D3484" s="437">
        <f>VLOOKUP(A3484,'Thống kê'!$C$3:$M$682,4,0)</f>
        <v>0</v>
      </c>
      <c r="E3484" s="438">
        <v>1</v>
      </c>
      <c r="F3484" s="439">
        <f t="shared" si="14"/>
        <v>0</v>
      </c>
      <c r="G3484" s="440"/>
      <c r="H3484" s="450"/>
    </row>
    <row r="3485" spans="1:8" ht="13.2">
      <c r="A3485" s="454" t="s">
        <v>1688</v>
      </c>
      <c r="B3485" s="452">
        <f>VLOOKUP(A3485,'Thống kê'!$C$3:$D$669,2,0)</f>
        <v>0</v>
      </c>
      <c r="C3485" s="436" t="str">
        <f>VLOOKUP(A3485,'Thống kê'!$C$3:$E$682,3,0)</f>
        <v>cái</v>
      </c>
      <c r="D3485" s="437">
        <f>VLOOKUP(A3485,'Thống kê'!$C$3:$M$682,4,0)</f>
        <v>0</v>
      </c>
      <c r="E3485" s="438">
        <v>1</v>
      </c>
      <c r="F3485" s="439">
        <f t="shared" si="14"/>
        <v>0</v>
      </c>
      <c r="G3485" s="440"/>
      <c r="H3485" s="450"/>
    </row>
    <row r="3486" spans="1:8" ht="13.2">
      <c r="A3486" s="454" t="s">
        <v>258</v>
      </c>
      <c r="B3486" s="452" t="str">
        <f>VLOOKUP(A3486,'Thống kê'!$C$3:$D$669,2,0)</f>
        <v>Móc khoá Crybaby mini Popmart</v>
      </c>
      <c r="C3486" s="436" t="str">
        <f>VLOOKUP(A3486,'Thống kê'!$C$3:$E$682,3,0)</f>
        <v>cái</v>
      </c>
      <c r="D3486" s="437">
        <f>VLOOKUP(A3486,'Thống kê'!$C$3:$M$682,4,0)</f>
        <v>0</v>
      </c>
      <c r="E3486" s="438">
        <v>1</v>
      </c>
      <c r="F3486" s="439">
        <f t="shared" si="14"/>
        <v>0</v>
      </c>
      <c r="G3486" s="440"/>
      <c r="H3486" s="447">
        <v>109060</v>
      </c>
    </row>
    <row r="3487" spans="1:8" ht="13.2">
      <c r="A3487" s="454" t="s">
        <v>1938</v>
      </c>
      <c r="B3487" s="452" t="str">
        <f>VLOOKUP(A3487,'Thống kê'!$C$3:$D$669,2,0)</f>
        <v>Kẹp tóc hoa sứ xanh</v>
      </c>
      <c r="C3487" s="436" t="str">
        <f>VLOOKUP(A3487,'Thống kê'!$C$3:$E$682,3,0)</f>
        <v>cái</v>
      </c>
      <c r="D3487" s="437">
        <f>VLOOKUP(A3487,'Thống kê'!$C$3:$M$682,4,0)</f>
        <v>18500</v>
      </c>
      <c r="E3487" s="438">
        <v>1</v>
      </c>
      <c r="F3487" s="439">
        <f t="shared" si="14"/>
        <v>18500</v>
      </c>
      <c r="G3487" s="440"/>
      <c r="H3487" s="450"/>
    </row>
    <row r="3488" spans="1:8" ht="13.2">
      <c r="A3488" s="454" t="s">
        <v>1589</v>
      </c>
      <c r="B3488" s="452" t="str">
        <f>VLOOKUP(A3488,'Thống kê'!$C$3:$D$669,2,0)</f>
        <v>Heo ú bay</v>
      </c>
      <c r="C3488" s="436" t="str">
        <f>VLOOKUP(A3488,'Thống kê'!$C$3:$E$682,3,0)</f>
        <v>cái</v>
      </c>
      <c r="D3488" s="437">
        <f>VLOOKUP(A3488,'Thống kê'!$C$3:$M$682,4,0)</f>
        <v>64500</v>
      </c>
      <c r="E3488" s="438">
        <v>1</v>
      </c>
      <c r="F3488" s="439">
        <f t="shared" si="14"/>
        <v>64500</v>
      </c>
      <c r="G3488" s="440"/>
      <c r="H3488" s="448">
        <v>65549</v>
      </c>
    </row>
    <row r="3489" spans="1:8" ht="13.2">
      <c r="A3489" s="454" t="s">
        <v>1587</v>
      </c>
      <c r="B3489" s="452" t="str">
        <f>VLOOKUP(A3489,'Thống kê'!$C$3:$D$669,2,0)</f>
        <v>Vịt ú bay</v>
      </c>
      <c r="C3489" s="436" t="str">
        <f>VLOOKUP(A3489,'Thống kê'!$C$3:$E$682,3,0)</f>
        <v>cái</v>
      </c>
      <c r="D3489" s="437">
        <f>VLOOKUP(A3489,'Thống kê'!$C$3:$M$682,4,0)</f>
        <v>64500</v>
      </c>
      <c r="E3489" s="438">
        <v>1</v>
      </c>
      <c r="F3489" s="439">
        <f t="shared" si="14"/>
        <v>64500</v>
      </c>
      <c r="G3489" s="440"/>
      <c r="H3489" s="448">
        <v>71724</v>
      </c>
    </row>
    <row r="3490" spans="1:8" ht="13.2">
      <c r="A3490" s="454" t="s">
        <v>1636</v>
      </c>
      <c r="B3490" s="452" t="str">
        <f>VLOOKUP(A3490,'Thống kê'!$C$3:$D$669,2,0)</f>
        <v>Mô hình mèo 3</v>
      </c>
      <c r="C3490" s="436" t="str">
        <f>VLOOKUP(A3490,'Thống kê'!$C$3:$E$682,3,0)</f>
        <v>cái</v>
      </c>
      <c r="D3490" s="437">
        <f>VLOOKUP(A3490,'Thống kê'!$C$3:$M$682,4,0)</f>
        <v>37800</v>
      </c>
      <c r="E3490" s="438">
        <v>1</v>
      </c>
      <c r="F3490" s="439">
        <f t="shared" si="14"/>
        <v>37800</v>
      </c>
      <c r="G3490" s="440"/>
      <c r="H3490" s="447">
        <v>59598</v>
      </c>
    </row>
    <row r="3491" spans="1:8" ht="13.2">
      <c r="A3491" s="454" t="s">
        <v>1623</v>
      </c>
      <c r="B3491" s="452" t="str">
        <f>VLOOKUP(A3491,'Thống kê'!$C$3:$D$669,2,0)</f>
        <v>Mô hình mèo 5</v>
      </c>
      <c r="C3491" s="436" t="str">
        <f>VLOOKUP(A3491,'Thống kê'!$C$3:$E$682,3,0)</f>
        <v>cái</v>
      </c>
      <c r="D3491" s="437">
        <f>VLOOKUP(A3491,'Thống kê'!$C$3:$M$682,4,0)</f>
        <v>37800</v>
      </c>
      <c r="E3491" s="438">
        <v>1</v>
      </c>
      <c r="F3491" s="439">
        <f t="shared" si="14"/>
        <v>37800</v>
      </c>
      <c r="G3491" s="440"/>
      <c r="H3491" s="450"/>
    </row>
    <row r="3492" spans="1:8" ht="13.2">
      <c r="A3492" s="454" t="s">
        <v>1382</v>
      </c>
      <c r="B3492" s="452" t="str">
        <f>VLOOKUP(A3492,'Thống kê'!$C$3:$D$669,2,0)</f>
        <v>miếng dán silicon điện thoại</v>
      </c>
      <c r="C3492" s="436" t="str">
        <f>VLOOKUP(A3492,'Thống kê'!$C$3:$E$682,3,0)</f>
        <v>cái</v>
      </c>
      <c r="D3492" s="437">
        <f>VLOOKUP(A3492,'Thống kê'!$C$3:$M$682,4,0)</f>
        <v>0</v>
      </c>
      <c r="E3492" s="438">
        <v>1</v>
      </c>
      <c r="F3492" s="439">
        <f t="shared" si="14"/>
        <v>0</v>
      </c>
      <c r="G3492" s="440"/>
      <c r="H3492" s="447">
        <v>109088</v>
      </c>
    </row>
    <row r="3493" spans="1:8" ht="13.2">
      <c r="A3493" s="454" t="s">
        <v>258</v>
      </c>
      <c r="B3493" s="452" t="str">
        <f>VLOOKUP(A3493,'Thống kê'!$C$3:$D$669,2,0)</f>
        <v>Móc khoá Crybaby mini Popmart</v>
      </c>
      <c r="C3493" s="436" t="str">
        <f>VLOOKUP(A3493,'Thống kê'!$C$3:$E$682,3,0)</f>
        <v>cái</v>
      </c>
      <c r="D3493" s="437">
        <f>VLOOKUP(A3493,'Thống kê'!$C$3:$M$682,4,0)</f>
        <v>0</v>
      </c>
      <c r="E3493" s="438">
        <v>1</v>
      </c>
      <c r="F3493" s="439">
        <f t="shared" si="14"/>
        <v>0</v>
      </c>
      <c r="G3493" s="440"/>
      <c r="H3493" s="450"/>
    </row>
    <row r="3494" spans="1:8" ht="13.2">
      <c r="A3494" s="454" t="s">
        <v>1938</v>
      </c>
      <c r="B3494" s="452" t="str">
        <f>VLOOKUP(A3494,'Thống kê'!$C$3:$D$669,2,0)</f>
        <v>Kẹp tóc hoa sứ xanh</v>
      </c>
      <c r="C3494" s="436" t="str">
        <f>VLOOKUP(A3494,'Thống kê'!$C$3:$E$682,3,0)</f>
        <v>cái</v>
      </c>
      <c r="D3494" s="437">
        <f>VLOOKUP(A3494,'Thống kê'!$C$3:$M$682,4,0)</f>
        <v>18500</v>
      </c>
      <c r="E3494" s="438">
        <v>1</v>
      </c>
      <c r="F3494" s="439">
        <f t="shared" si="14"/>
        <v>18500</v>
      </c>
      <c r="G3494" s="440"/>
      <c r="H3494" s="450"/>
    </row>
    <row r="3495" spans="1:8" ht="13.2">
      <c r="A3495" s="454" t="s">
        <v>1640</v>
      </c>
      <c r="B3495" s="452" t="str">
        <f>VLOOKUP(A3495,'Thống kê'!$C$3:$D$669,2,0)</f>
        <v>Móc khóa đôi Capypara</v>
      </c>
      <c r="C3495" s="436" t="str">
        <f>VLOOKUP(A3495,'Thống kê'!$C$3:$E$682,3,0)</f>
        <v>cái</v>
      </c>
      <c r="D3495" s="437">
        <f>VLOOKUP(A3495,'Thống kê'!$C$3:$M$682,4,0)</f>
        <v>59000</v>
      </c>
      <c r="E3495" s="438">
        <v>1</v>
      </c>
      <c r="F3495" s="439">
        <f t="shared" si="14"/>
        <v>59000</v>
      </c>
      <c r="G3495" s="440"/>
      <c r="H3495" s="448">
        <v>48155</v>
      </c>
    </row>
    <row r="3496" spans="1:8" ht="13.2">
      <c r="A3496" s="454" t="s">
        <v>1625</v>
      </c>
      <c r="B3496" s="452" t="str">
        <f>VLOOKUP(A3496,'Thống kê'!$C$3:$D$669,2,0)</f>
        <v>Móc khóa đôi 2 mèo trắng nâu</v>
      </c>
      <c r="C3496" s="436" t="str">
        <f>VLOOKUP(A3496,'Thống kê'!$C$3:$E$682,3,0)</f>
        <v>cái</v>
      </c>
      <c r="D3496" s="437">
        <f>VLOOKUP(A3496,'Thống kê'!$C$3:$M$682,4,0)</f>
        <v>59000</v>
      </c>
      <c r="E3496" s="438">
        <v>1</v>
      </c>
      <c r="F3496" s="439">
        <f t="shared" si="14"/>
        <v>59000</v>
      </c>
      <c r="G3496" s="440"/>
      <c r="H3496" s="448">
        <v>48180</v>
      </c>
    </row>
    <row r="3497" spans="1:8" ht="13.2">
      <c r="A3497" s="454" t="s">
        <v>1633</v>
      </c>
      <c r="B3497" s="452" t="str">
        <f>VLOOKUP(A3497,'Thống kê'!$C$3:$D$669,2,0)</f>
        <v>Móc khóa đôi gà rán bia</v>
      </c>
      <c r="C3497" s="436" t="str">
        <f>VLOOKUP(A3497,'Thống kê'!$C$3:$E$682,3,0)</f>
        <v>cái</v>
      </c>
      <c r="D3497" s="437">
        <f>VLOOKUP(A3497,'Thống kê'!$C$3:$M$682,4,0)</f>
        <v>56580</v>
      </c>
      <c r="E3497" s="438">
        <v>1</v>
      </c>
      <c r="F3497" s="439">
        <f t="shared" si="14"/>
        <v>56580</v>
      </c>
      <c r="G3497" s="440"/>
      <c r="H3497" s="448">
        <v>46396</v>
      </c>
    </row>
    <row r="3498" spans="1:8" ht="13.2">
      <c r="A3498" s="454" t="s">
        <v>258</v>
      </c>
      <c r="B3498" s="452" t="str">
        <f>VLOOKUP(A3498,'Thống kê'!$C$3:$D$669,2,0)</f>
        <v>Móc khoá Crybaby mini Popmart</v>
      </c>
      <c r="C3498" s="436" t="str">
        <f>VLOOKUP(A3498,'Thống kê'!$C$3:$E$682,3,0)</f>
        <v>cái</v>
      </c>
      <c r="D3498" s="437">
        <f>VLOOKUP(A3498,'Thống kê'!$C$3:$M$682,4,0)</f>
        <v>0</v>
      </c>
      <c r="E3498" s="438">
        <v>1</v>
      </c>
      <c r="F3498" s="439">
        <f t="shared" si="14"/>
        <v>0</v>
      </c>
      <c r="G3498" s="440"/>
      <c r="H3498" s="448">
        <v>109060</v>
      </c>
    </row>
    <row r="3499" spans="1:8" ht="13.2">
      <c r="A3499" s="454" t="s">
        <v>1930</v>
      </c>
      <c r="B3499" s="452" t="str">
        <f>VLOOKUP(A3499,'Thống kê'!$C$3:$D$669,2,0)</f>
        <v>Kẹp nơ hồng</v>
      </c>
      <c r="C3499" s="436" t="str">
        <f>VLOOKUP(A3499,'Thống kê'!$C$3:$E$682,3,0)</f>
        <v>cái</v>
      </c>
      <c r="D3499" s="437">
        <f>VLOOKUP(A3499,'Thống kê'!$C$3:$M$682,4,0)</f>
        <v>22000</v>
      </c>
      <c r="E3499" s="438">
        <v>1</v>
      </c>
      <c r="F3499" s="439">
        <f t="shared" si="14"/>
        <v>22000</v>
      </c>
      <c r="G3499" s="440"/>
      <c r="H3499" s="448">
        <v>9690</v>
      </c>
    </row>
    <row r="3500" spans="1:8" ht="13.2">
      <c r="A3500" s="454" t="s">
        <v>2066</v>
      </c>
      <c r="B3500" s="452" t="str">
        <f>VLOOKUP(A3500,'Thống kê'!$C$3:$D$669,2,0)</f>
        <v>Kẹp tóc bướm hồng đỏ</v>
      </c>
      <c r="C3500" s="436" t="str">
        <f>VLOOKUP(A3500,'Thống kê'!$C$3:$E$682,3,0)</f>
        <v>cái</v>
      </c>
      <c r="D3500" s="437">
        <f>VLOOKUP(A3500,'Thống kê'!$C$3:$M$682,4,0)</f>
        <v>19000</v>
      </c>
      <c r="E3500" s="438">
        <v>1</v>
      </c>
      <c r="F3500" s="439">
        <f t="shared" si="14"/>
        <v>19000</v>
      </c>
      <c r="G3500" s="440"/>
      <c r="H3500" s="447">
        <v>24105</v>
      </c>
    </row>
    <row r="3501" spans="1:8" ht="13.2">
      <c r="A3501" s="454" t="s">
        <v>1786</v>
      </c>
      <c r="B3501" s="452" t="str">
        <f>VLOOKUP(A3501,'Thống kê'!$C$3:$D$669,2,0)</f>
        <v>Trâm cài 09</v>
      </c>
      <c r="C3501" s="436" t="str">
        <f>VLOOKUP(A3501,'Thống kê'!$C$3:$E$682,3,0)</f>
        <v>cây</v>
      </c>
      <c r="D3501" s="437">
        <f>VLOOKUP(A3501,'Thống kê'!$C$3:$M$682,4,0)</f>
        <v>28520</v>
      </c>
      <c r="E3501" s="438">
        <v>1</v>
      </c>
      <c r="F3501" s="439">
        <f t="shared" si="14"/>
        <v>28520</v>
      </c>
      <c r="G3501" s="440"/>
      <c r="H3501" s="450"/>
    </row>
    <row r="3502" spans="1:8" ht="13.2">
      <c r="A3502" s="454" t="s">
        <v>1382</v>
      </c>
      <c r="B3502" s="452" t="str">
        <f>VLOOKUP(A3502,'Thống kê'!$C$3:$D$669,2,0)</f>
        <v>miếng dán silicon điện thoại</v>
      </c>
      <c r="C3502" s="436" t="str">
        <f>VLOOKUP(A3502,'Thống kê'!$C$3:$E$682,3,0)</f>
        <v>cái</v>
      </c>
      <c r="D3502" s="437">
        <f>VLOOKUP(A3502,'Thống kê'!$C$3:$M$682,4,0)</f>
        <v>0</v>
      </c>
      <c r="E3502" s="438">
        <v>1</v>
      </c>
      <c r="F3502" s="439">
        <f t="shared" si="14"/>
        <v>0</v>
      </c>
      <c r="G3502" s="440"/>
      <c r="H3502" s="450"/>
    </row>
    <row r="3503" spans="1:8" ht="13.2">
      <c r="A3503" s="454" t="s">
        <v>1388</v>
      </c>
      <c r="B3503" s="452" t="str">
        <f>VLOOKUP(A3503,'Thống kê'!$C$3:$D$669,2,0)</f>
        <v>Móc khoá Crybaby mini Popmart</v>
      </c>
      <c r="C3503" s="436" t="str">
        <f>VLOOKUP(A3503,'Thống kê'!$C$3:$E$682,3,0)</f>
        <v>cái</v>
      </c>
      <c r="D3503" s="437">
        <f>VLOOKUP(A3503,'Thống kê'!$C$3:$M$682,4,0)</f>
        <v>0</v>
      </c>
      <c r="E3503" s="438">
        <v>1</v>
      </c>
      <c r="F3503" s="439">
        <f t="shared" si="14"/>
        <v>0</v>
      </c>
      <c r="G3503" s="440"/>
      <c r="H3503" s="447">
        <v>106600</v>
      </c>
    </row>
    <row r="3504" spans="1:8" ht="13.2">
      <c r="A3504" s="454" t="s">
        <v>1937</v>
      </c>
      <c r="B3504" s="452" t="str">
        <f>VLOOKUP(A3504,'Thống kê'!$C$3:$D$669,2,0)</f>
        <v>Kẹp tóc hoa sứ cam</v>
      </c>
      <c r="C3504" s="436" t="str">
        <f>VLOOKUP(A3504,'Thống kê'!$C$3:$E$682,3,0)</f>
        <v>cái</v>
      </c>
      <c r="D3504" s="437">
        <f>VLOOKUP(A3504,'Thống kê'!$C$3:$M$682,4,0)</f>
        <v>18500</v>
      </c>
      <c r="E3504" s="438">
        <v>1</v>
      </c>
      <c r="F3504" s="439">
        <f t="shared" si="14"/>
        <v>18500</v>
      </c>
      <c r="G3504" s="440"/>
      <c r="H3504" s="450"/>
    </row>
    <row r="3505" spans="1:8" ht="13.2">
      <c r="A3505" s="454" t="s">
        <v>1377</v>
      </c>
      <c r="B3505" s="452" t="str">
        <f>VLOOKUP(A3505,'Thống kê'!$C$3:$D$669,2,0)</f>
        <v>Móc khóa Popbean</v>
      </c>
      <c r="C3505" s="436" t="str">
        <f>VLOOKUP(A3505,'Thống kê'!$C$3:$E$682,3,0)</f>
        <v>cái</v>
      </c>
      <c r="D3505" s="437">
        <f>VLOOKUP(A3505,'Thống kê'!$C$3:$M$682,4,0)</f>
        <v>148000</v>
      </c>
      <c r="E3505" s="438">
        <v>1</v>
      </c>
      <c r="F3505" s="439">
        <f t="shared" si="14"/>
        <v>148000</v>
      </c>
      <c r="G3505" s="440"/>
      <c r="H3505" s="447">
        <v>334282</v>
      </c>
    </row>
    <row r="3506" spans="1:8" ht="13.2">
      <c r="A3506" s="454" t="s">
        <v>1664</v>
      </c>
      <c r="B3506" s="452" t="str">
        <f>VLOOKUP(A3506,'Thống kê'!$C$3:$D$669,2,0)</f>
        <v>Móc khóa Popbean Lilios</v>
      </c>
      <c r="C3506" s="436" t="str">
        <f>VLOOKUP(A3506,'Thống kê'!$C$3:$E$682,3,0)</f>
        <v>cái</v>
      </c>
      <c r="D3506" s="437">
        <f>VLOOKUP(A3506,'Thống kê'!$C$3:$M$682,4,0)</f>
        <v>148000</v>
      </c>
      <c r="E3506" s="438">
        <v>1</v>
      </c>
      <c r="F3506" s="439">
        <f t="shared" si="14"/>
        <v>148000</v>
      </c>
      <c r="G3506" s="440"/>
      <c r="H3506" s="450"/>
    </row>
    <row r="3507" spans="1:8" ht="13.2">
      <c r="A3507" s="454" t="s">
        <v>1369</v>
      </c>
      <c r="B3507" s="452" t="str">
        <f>VLOOKUP(A3507,'Thống kê'!$C$3:$D$669,2,0)</f>
        <v>Móc khóa Popbean</v>
      </c>
      <c r="C3507" s="436" t="str">
        <f>VLOOKUP(A3507,'Thống kê'!$C$3:$E$682,3,0)</f>
        <v>cái</v>
      </c>
      <c r="D3507" s="437">
        <f>VLOOKUP(A3507,'Thống kê'!$C$3:$M$682,4,0)</f>
        <v>148000</v>
      </c>
      <c r="E3507" s="438">
        <v>1</v>
      </c>
      <c r="F3507" s="439">
        <f t="shared" si="14"/>
        <v>148000</v>
      </c>
      <c r="G3507" s="440"/>
      <c r="H3507" s="450"/>
    </row>
    <row r="3508" spans="1:8" ht="13.2">
      <c r="A3508" s="454" t="s">
        <v>1938</v>
      </c>
      <c r="B3508" s="452" t="str">
        <f>VLOOKUP(A3508,'Thống kê'!$C$3:$D$669,2,0)</f>
        <v>Kẹp tóc hoa sứ xanh</v>
      </c>
      <c r="C3508" s="436" t="str">
        <f>VLOOKUP(A3508,'Thống kê'!$C$3:$E$682,3,0)</f>
        <v>cái</v>
      </c>
      <c r="D3508" s="437">
        <f>VLOOKUP(A3508,'Thống kê'!$C$3:$M$682,4,0)</f>
        <v>18500</v>
      </c>
      <c r="E3508" s="438">
        <v>1</v>
      </c>
      <c r="F3508" s="439">
        <f t="shared" si="14"/>
        <v>18500</v>
      </c>
      <c r="G3508" s="440"/>
      <c r="H3508" s="450"/>
    </row>
    <row r="3509" spans="1:8" ht="13.2">
      <c r="A3509" s="454" t="s">
        <v>138</v>
      </c>
      <c r="B3509" s="452" t="str">
        <f>VLOOKUP(A3509,'Thống kê'!$C$3:$D$669,2,0)</f>
        <v>Móc khoá Crybaby mini Popmart</v>
      </c>
      <c r="C3509" s="436" t="str">
        <f>VLOOKUP(A3509,'Thống kê'!$C$3:$E$682,3,0)</f>
        <v>cái</v>
      </c>
      <c r="D3509" s="437">
        <f>VLOOKUP(A3509,'Thống kê'!$C$3:$M$682,4,0)</f>
        <v>0</v>
      </c>
      <c r="E3509" s="438">
        <v>1</v>
      </c>
      <c r="F3509" s="439">
        <f t="shared" si="14"/>
        <v>0</v>
      </c>
      <c r="G3509" s="440"/>
      <c r="H3509" s="448">
        <v>109060</v>
      </c>
    </row>
    <row r="3510" spans="1:8" ht="13.2">
      <c r="A3510" s="454" t="s">
        <v>259</v>
      </c>
      <c r="B3510" s="452" t="str">
        <f>VLOOKUP(A3510,'Thống kê'!$C$3:$D$669,2,0)</f>
        <v>Móc khoá Crybaby mini Popmart</v>
      </c>
      <c r="C3510" s="436" t="str">
        <f>VLOOKUP(A3510,'Thống kê'!$C$3:$E$682,3,0)</f>
        <v>cái</v>
      </c>
      <c r="D3510" s="437">
        <f>VLOOKUP(A3510,'Thống kê'!$C$3:$M$682,4,0)</f>
        <v>0</v>
      </c>
      <c r="E3510" s="438">
        <v>1</v>
      </c>
      <c r="F3510" s="439">
        <f t="shared" si="14"/>
        <v>0</v>
      </c>
      <c r="G3510" s="440"/>
      <c r="H3510" s="447">
        <v>106600</v>
      </c>
    </row>
    <row r="3511" spans="1:8" ht="13.2">
      <c r="A3511" s="454" t="s">
        <v>1935</v>
      </c>
      <c r="B3511" s="452" t="str">
        <f>VLOOKUP(A3511,'Thống kê'!$C$3:$D$669,2,0)</f>
        <v>Kẹp tóc hoa sứ hồng</v>
      </c>
      <c r="C3511" s="436" t="str">
        <f>VLOOKUP(A3511,'Thống kê'!$C$3:$E$682,3,0)</f>
        <v>cái</v>
      </c>
      <c r="D3511" s="437">
        <f>VLOOKUP(A3511,'Thống kê'!$C$3:$M$682,4,0)</f>
        <v>18500</v>
      </c>
      <c r="E3511" s="438">
        <v>1</v>
      </c>
      <c r="F3511" s="439">
        <f t="shared" si="14"/>
        <v>18500</v>
      </c>
      <c r="G3511" s="440"/>
      <c r="H3511" s="450"/>
    </row>
    <row r="3512" spans="1:8" ht="13.2">
      <c r="A3512" s="454" t="s">
        <v>1387</v>
      </c>
      <c r="B3512" s="452" t="str">
        <f>VLOOKUP(A3512,'Thống kê'!$C$3:$D$669,2,0)</f>
        <v>Móc khoá Crybaby mini Popmart</v>
      </c>
      <c r="C3512" s="436" t="str">
        <f>VLOOKUP(A3512,'Thống kê'!$C$3:$E$682,3,0)</f>
        <v>cái</v>
      </c>
      <c r="D3512" s="437">
        <f>VLOOKUP(A3512,'Thống kê'!$C$3:$M$682,4,0)</f>
        <v>0</v>
      </c>
      <c r="E3512" s="438">
        <v>1</v>
      </c>
      <c r="F3512" s="439">
        <f t="shared" si="14"/>
        <v>0</v>
      </c>
      <c r="G3512" s="440"/>
      <c r="H3512" s="447">
        <v>319800</v>
      </c>
    </row>
    <row r="3513" spans="1:8" ht="13.2">
      <c r="A3513" s="454" t="s">
        <v>1384</v>
      </c>
      <c r="B3513" s="452" t="str">
        <f>VLOOKUP(A3513,'Thống kê'!$C$3:$D$669,2,0)</f>
        <v>Móc khoá Crybaby mini Popmart</v>
      </c>
      <c r="C3513" s="436" t="str">
        <f>VLOOKUP(A3513,'Thống kê'!$C$3:$E$682,3,0)</f>
        <v>cái</v>
      </c>
      <c r="D3513" s="437">
        <f>VLOOKUP(A3513,'Thống kê'!$C$3:$M$682,4,0)</f>
        <v>0</v>
      </c>
      <c r="E3513" s="438">
        <v>1</v>
      </c>
      <c r="F3513" s="439">
        <f t="shared" si="14"/>
        <v>0</v>
      </c>
      <c r="G3513" s="440"/>
      <c r="H3513" s="450"/>
    </row>
    <row r="3514" spans="1:8" ht="13.2">
      <c r="A3514" s="454" t="s">
        <v>1388</v>
      </c>
      <c r="B3514" s="452" t="str">
        <f>VLOOKUP(A3514,'Thống kê'!$C$3:$D$669,2,0)</f>
        <v>Móc khoá Crybaby mini Popmart</v>
      </c>
      <c r="C3514" s="436" t="str">
        <f>VLOOKUP(A3514,'Thống kê'!$C$3:$E$682,3,0)</f>
        <v>cái</v>
      </c>
      <c r="D3514" s="437">
        <f>VLOOKUP(A3514,'Thống kê'!$C$3:$M$682,4,0)</f>
        <v>0</v>
      </c>
      <c r="E3514" s="438">
        <v>1</v>
      </c>
      <c r="F3514" s="439">
        <f t="shared" si="14"/>
        <v>0</v>
      </c>
      <c r="G3514" s="440"/>
      <c r="H3514" s="450"/>
    </row>
    <row r="3515" spans="1:8" ht="13.2">
      <c r="A3515" s="454" t="s">
        <v>1935</v>
      </c>
      <c r="B3515" s="452" t="str">
        <f>VLOOKUP(A3515,'Thống kê'!$C$3:$D$669,2,0)</f>
        <v>Kẹp tóc hoa sứ hồng</v>
      </c>
      <c r="C3515" s="436" t="str">
        <f>VLOOKUP(A3515,'Thống kê'!$C$3:$E$682,3,0)</f>
        <v>cái</v>
      </c>
      <c r="D3515" s="437">
        <f>VLOOKUP(A3515,'Thống kê'!$C$3:$M$682,4,0)</f>
        <v>18500</v>
      </c>
      <c r="E3515" s="438">
        <v>1</v>
      </c>
      <c r="F3515" s="439">
        <f t="shared" si="14"/>
        <v>18500</v>
      </c>
      <c r="G3515" s="440"/>
      <c r="H3515" s="450"/>
    </row>
    <row r="3516" spans="1:8" ht="13.2">
      <c r="A3516" s="454" t="s">
        <v>115</v>
      </c>
      <c r="B3516" s="452" t="str">
        <f>VLOOKUP(A3516,'Thống kê'!$C$3:$D$669,2,0)</f>
        <v>Heo ú</v>
      </c>
      <c r="C3516" s="436" t="str">
        <f>VLOOKUP(A3516,'Thống kê'!$C$3:$E$682,3,0)</f>
        <v>cái</v>
      </c>
      <c r="D3516" s="437">
        <f>VLOOKUP(A3516,'Thống kê'!$C$3:$M$682,4,0)</f>
        <v>59500</v>
      </c>
      <c r="E3516" s="438">
        <v>1</v>
      </c>
      <c r="F3516" s="439">
        <f t="shared" si="14"/>
        <v>59500</v>
      </c>
      <c r="G3516" s="440"/>
      <c r="H3516" s="447">
        <v>143992</v>
      </c>
    </row>
    <row r="3517" spans="1:8" ht="13.2">
      <c r="A3517" s="454" t="s">
        <v>1589</v>
      </c>
      <c r="B3517" s="452" t="str">
        <f>VLOOKUP(A3517,'Thống kê'!$C$3:$D$669,2,0)</f>
        <v>Heo ú bay</v>
      </c>
      <c r="C3517" s="436" t="str">
        <f>VLOOKUP(A3517,'Thống kê'!$C$3:$E$682,3,0)</f>
        <v>cái</v>
      </c>
      <c r="D3517" s="437">
        <f>VLOOKUP(A3517,'Thống kê'!$C$3:$M$682,4,0)</f>
        <v>64500</v>
      </c>
      <c r="E3517" s="438">
        <v>1</v>
      </c>
      <c r="F3517" s="439">
        <f t="shared" si="14"/>
        <v>64500</v>
      </c>
      <c r="G3517" s="440"/>
      <c r="H3517" s="450"/>
    </row>
    <row r="3518" spans="1:8" ht="13.2">
      <c r="A3518" s="454" t="s">
        <v>1832</v>
      </c>
      <c r="B3518" s="452" t="str">
        <f>VLOOKUP(A3518,'Thống kê'!$C$3:$D$669,2,0)</f>
        <v>Ống 10 dây cột tóc đen</v>
      </c>
      <c r="C3518" s="436" t="str">
        <f>VLOOKUP(A3518,'Thống kê'!$C$3:$E$682,3,0)</f>
        <v>ống</v>
      </c>
      <c r="D3518" s="437">
        <f>VLOOKUP(A3518,'Thống kê'!$C$3:$M$682,4,0)</f>
        <v>30000</v>
      </c>
      <c r="E3518" s="438">
        <v>1</v>
      </c>
      <c r="F3518" s="439">
        <f t="shared" si="14"/>
        <v>30000</v>
      </c>
      <c r="G3518" s="440"/>
      <c r="H3518" s="450"/>
    </row>
    <row r="3519" spans="1:8" ht="13.2">
      <c r="A3519" s="454" t="s">
        <v>1661</v>
      </c>
      <c r="B3519" s="452" t="str">
        <f>VLOOKUP(A3519,'Thống kê'!$C$3:$D$669,2,0)</f>
        <v>Móc khóa Popbean Kubo</v>
      </c>
      <c r="C3519" s="436" t="str">
        <f>VLOOKUP(A3519,'Thống kê'!$C$3:$E$682,3,0)</f>
        <v>cái</v>
      </c>
      <c r="D3519" s="437">
        <f>VLOOKUP(A3519,'Thống kê'!$C$3:$M$682,4,0)</f>
        <v>148000</v>
      </c>
      <c r="E3519" s="438">
        <v>1</v>
      </c>
      <c r="F3519" s="439">
        <f t="shared" si="14"/>
        <v>148000</v>
      </c>
      <c r="G3519" s="440"/>
      <c r="H3519" s="447">
        <v>128334</v>
      </c>
    </row>
    <row r="3520" spans="1:8" ht="13.2">
      <c r="A3520" s="454" t="s">
        <v>1935</v>
      </c>
      <c r="B3520" s="452" t="str">
        <f>VLOOKUP(A3520,'Thống kê'!$C$3:$D$669,2,0)</f>
        <v>Kẹp tóc hoa sứ hồng</v>
      </c>
      <c r="C3520" s="436" t="str">
        <f>VLOOKUP(A3520,'Thống kê'!$C$3:$E$682,3,0)</f>
        <v>cái</v>
      </c>
      <c r="D3520" s="437">
        <f>VLOOKUP(A3520,'Thống kê'!$C$3:$M$682,4,0)</f>
        <v>18500</v>
      </c>
      <c r="E3520" s="438">
        <v>1</v>
      </c>
      <c r="F3520" s="439">
        <f t="shared" si="14"/>
        <v>18500</v>
      </c>
      <c r="G3520" s="440"/>
      <c r="H3520" s="450"/>
    </row>
    <row r="3521" spans="1:8" ht="13.2">
      <c r="A3521" s="454" t="s">
        <v>1689</v>
      </c>
      <c r="B3521" s="452">
        <f>VLOOKUP(A3521,'Thống kê'!$C$3:$D$669,2,0)</f>
        <v>0</v>
      </c>
      <c r="C3521" s="436" t="str">
        <f>VLOOKUP(A3521,'Thống kê'!$C$3:$E$682,3,0)</f>
        <v>cái</v>
      </c>
      <c r="D3521" s="437">
        <f>VLOOKUP(A3521,'Thống kê'!$C$3:$M$682,4,0)</f>
        <v>0</v>
      </c>
      <c r="E3521" s="438">
        <v>1</v>
      </c>
      <c r="F3521" s="439">
        <f t="shared" si="14"/>
        <v>0</v>
      </c>
      <c r="G3521" s="440"/>
      <c r="H3521" s="450"/>
    </row>
    <row r="3522" spans="1:8" ht="13.2">
      <c r="A3522" s="454" t="s">
        <v>138</v>
      </c>
      <c r="B3522" s="452" t="str">
        <f>VLOOKUP(A3522,'Thống kê'!$C$3:$D$669,2,0)</f>
        <v>Móc khoá Crybaby mini Popmart</v>
      </c>
      <c r="C3522" s="436" t="str">
        <f>VLOOKUP(A3522,'Thống kê'!$C$3:$E$682,3,0)</f>
        <v>cái</v>
      </c>
      <c r="D3522" s="437">
        <f>VLOOKUP(A3522,'Thống kê'!$C$3:$M$682,4,0)</f>
        <v>0</v>
      </c>
      <c r="E3522" s="438">
        <v>1</v>
      </c>
      <c r="F3522" s="439">
        <f t="shared" si="14"/>
        <v>0</v>
      </c>
      <c r="G3522" s="440"/>
      <c r="H3522" s="447">
        <v>109060</v>
      </c>
    </row>
    <row r="3523" spans="1:8" ht="13.2">
      <c r="A3523" s="454" t="s">
        <v>1935</v>
      </c>
      <c r="B3523" s="452" t="str">
        <f>VLOOKUP(A3523,'Thống kê'!$C$3:$D$669,2,0)</f>
        <v>Kẹp tóc hoa sứ hồng</v>
      </c>
      <c r="C3523" s="436" t="str">
        <f>VLOOKUP(A3523,'Thống kê'!$C$3:$E$682,3,0)</f>
        <v>cái</v>
      </c>
      <c r="D3523" s="437">
        <f>VLOOKUP(A3523,'Thống kê'!$C$3:$M$682,4,0)</f>
        <v>18500</v>
      </c>
      <c r="E3523" s="438">
        <v>1</v>
      </c>
      <c r="F3523" s="439">
        <f t="shared" si="14"/>
        <v>18500</v>
      </c>
      <c r="G3523" s="440"/>
      <c r="H3523" s="450"/>
    </row>
    <row r="3524" spans="1:8" ht="13.2">
      <c r="A3524" s="454" t="s">
        <v>150</v>
      </c>
      <c r="B3524" s="452" t="str">
        <f>VLOOKUP(A3524,'Thống kê'!$C$3:$D$669,2,0)</f>
        <v>Móc khóa có chuông</v>
      </c>
      <c r="C3524" s="436" t="str">
        <f>VLOOKUP(A3524,'Thống kê'!$C$3:$E$682,3,0)</f>
        <v>cái</v>
      </c>
      <c r="D3524" s="437">
        <f>VLOOKUP(A3524,'Thống kê'!$C$3:$M$682,4,0)</f>
        <v>59000</v>
      </c>
      <c r="E3524" s="438">
        <v>1</v>
      </c>
      <c r="F3524" s="439">
        <f t="shared" si="14"/>
        <v>59000</v>
      </c>
      <c r="G3524" s="440"/>
      <c r="H3524" s="448">
        <v>48380</v>
      </c>
    </row>
    <row r="3525" spans="1:8" ht="13.2">
      <c r="A3525" s="454" t="s">
        <v>150</v>
      </c>
      <c r="B3525" s="452" t="str">
        <f>VLOOKUP(A3525,'Thống kê'!$C$3:$D$669,2,0)</f>
        <v>Móc khóa có chuông</v>
      </c>
      <c r="C3525" s="436" t="str">
        <f>VLOOKUP(A3525,'Thống kê'!$C$3:$E$682,3,0)</f>
        <v>cái</v>
      </c>
      <c r="D3525" s="437">
        <f>VLOOKUP(A3525,'Thống kê'!$C$3:$M$682,4,0)</f>
        <v>59000</v>
      </c>
      <c r="E3525" s="438">
        <v>1</v>
      </c>
      <c r="F3525" s="439">
        <f t="shared" si="14"/>
        <v>59000</v>
      </c>
      <c r="G3525" s="440"/>
      <c r="H3525" s="448">
        <v>47980</v>
      </c>
    </row>
    <row r="3526" spans="1:8" ht="13.2">
      <c r="A3526" s="454" t="s">
        <v>1373</v>
      </c>
      <c r="B3526" s="452" t="str">
        <f>VLOOKUP(A3526,'Thống kê'!$C$3:$D$669,2,0)</f>
        <v>Mô hình xương rồng</v>
      </c>
      <c r="C3526" s="436" t="str">
        <f>VLOOKUP(A3526,'Thống kê'!$C$3:$E$682,3,0)</f>
        <v>cái</v>
      </c>
      <c r="D3526" s="437">
        <f>VLOOKUP(A3526,'Thống kê'!$C$3:$M$682,4,0)</f>
        <v>53360</v>
      </c>
      <c r="E3526" s="438">
        <v>2</v>
      </c>
      <c r="F3526" s="439">
        <f t="shared" si="14"/>
        <v>106720</v>
      </c>
      <c r="G3526" s="440"/>
      <c r="H3526" s="448">
        <v>89380</v>
      </c>
    </row>
    <row r="3527" spans="1:8" ht="13.2">
      <c r="A3527" s="454" t="s">
        <v>138</v>
      </c>
      <c r="B3527" s="452" t="str">
        <f>VLOOKUP(A3527,'Thống kê'!$C$3:$D$669,2,0)</f>
        <v>Móc khoá Crybaby mini Popmart</v>
      </c>
      <c r="C3527" s="436" t="str">
        <f>VLOOKUP(A3527,'Thống kê'!$C$3:$E$682,3,0)</f>
        <v>cái</v>
      </c>
      <c r="D3527" s="437">
        <f>VLOOKUP(A3527,'Thống kê'!$C$3:$M$682,4,0)</f>
        <v>0</v>
      </c>
      <c r="E3527" s="438">
        <v>1</v>
      </c>
      <c r="F3527" s="439">
        <f t="shared" si="14"/>
        <v>0</v>
      </c>
      <c r="G3527" s="440"/>
      <c r="H3527" s="447">
        <v>211157</v>
      </c>
    </row>
    <row r="3528" spans="1:8" ht="13.2">
      <c r="A3528" s="454" t="s">
        <v>1389</v>
      </c>
      <c r="B3528" s="452" t="str">
        <f>VLOOKUP(A3528,'Thống kê'!$C$3:$D$669,2,0)</f>
        <v>Móc khoá Crybaby mini Popmart</v>
      </c>
      <c r="C3528" s="436" t="str">
        <f>VLOOKUP(A3528,'Thống kê'!$C$3:$E$682,3,0)</f>
        <v>cái</v>
      </c>
      <c r="D3528" s="437">
        <f>VLOOKUP(A3528,'Thống kê'!$C$3:$M$682,4,0)</f>
        <v>0</v>
      </c>
      <c r="E3528" s="438">
        <v>1</v>
      </c>
      <c r="F3528" s="439">
        <f t="shared" si="14"/>
        <v>0</v>
      </c>
      <c r="G3528" s="440"/>
      <c r="H3528" s="450"/>
    </row>
    <row r="3529" spans="1:8" ht="13.2">
      <c r="A3529" s="454" t="s">
        <v>1938</v>
      </c>
      <c r="B3529" s="452" t="str">
        <f>VLOOKUP(A3529,'Thống kê'!$C$3:$D$669,2,0)</f>
        <v>Kẹp tóc hoa sứ xanh</v>
      </c>
      <c r="C3529" s="436" t="str">
        <f>VLOOKUP(A3529,'Thống kê'!$C$3:$E$682,3,0)</f>
        <v>cái</v>
      </c>
      <c r="D3529" s="437">
        <f>VLOOKUP(A3529,'Thống kê'!$C$3:$M$682,4,0)</f>
        <v>18500</v>
      </c>
      <c r="E3529" s="438">
        <v>1</v>
      </c>
      <c r="F3529" s="439">
        <f t="shared" si="14"/>
        <v>18500</v>
      </c>
      <c r="G3529" s="440"/>
      <c r="H3529" s="450"/>
    </row>
    <row r="3530" spans="1:8" ht="13.2">
      <c r="A3530" s="454" t="s">
        <v>258</v>
      </c>
      <c r="B3530" s="452" t="str">
        <f>VLOOKUP(A3530,'Thống kê'!$C$3:$D$669,2,0)</f>
        <v>Móc khoá Crybaby mini Popmart</v>
      </c>
      <c r="C3530" s="436" t="str">
        <f>VLOOKUP(A3530,'Thống kê'!$C$3:$E$682,3,0)</f>
        <v>cái</v>
      </c>
      <c r="D3530" s="437">
        <f>VLOOKUP(A3530,'Thống kê'!$C$3:$M$682,4,0)</f>
        <v>0</v>
      </c>
      <c r="E3530" s="438">
        <v>1</v>
      </c>
      <c r="F3530" s="439">
        <f t="shared" si="14"/>
        <v>0</v>
      </c>
      <c r="G3530" s="440"/>
      <c r="H3530" s="447">
        <v>109060</v>
      </c>
    </row>
    <row r="3531" spans="1:8" ht="13.2">
      <c r="A3531" s="454" t="s">
        <v>1937</v>
      </c>
      <c r="B3531" s="452" t="str">
        <f>VLOOKUP(A3531,'Thống kê'!$C$3:$D$669,2,0)</f>
        <v>Kẹp tóc hoa sứ cam</v>
      </c>
      <c r="C3531" s="436" t="str">
        <f>VLOOKUP(A3531,'Thống kê'!$C$3:$E$682,3,0)</f>
        <v>cái</v>
      </c>
      <c r="D3531" s="437">
        <f>VLOOKUP(A3531,'Thống kê'!$C$3:$M$682,4,0)</f>
        <v>18500</v>
      </c>
      <c r="E3531" s="438">
        <v>1</v>
      </c>
      <c r="F3531" s="439">
        <f t="shared" si="14"/>
        <v>18500</v>
      </c>
      <c r="G3531" s="440"/>
      <c r="H3531" s="450"/>
    </row>
    <row r="3532" spans="1:8" ht="13.2">
      <c r="A3532" s="454" t="s">
        <v>150</v>
      </c>
      <c r="B3532" s="452" t="str">
        <f>VLOOKUP(A3532,'Thống kê'!$C$3:$D$669,2,0)</f>
        <v>Móc khóa có chuông</v>
      </c>
      <c r="C3532" s="436" t="str">
        <f>VLOOKUP(A3532,'Thống kê'!$C$3:$E$682,3,0)</f>
        <v>cái</v>
      </c>
      <c r="D3532" s="437">
        <f>VLOOKUP(A3532,'Thống kê'!$C$3:$M$682,4,0)</f>
        <v>59000</v>
      </c>
      <c r="E3532" s="438">
        <v>3</v>
      </c>
      <c r="F3532" s="439">
        <f t="shared" si="14"/>
        <v>177000</v>
      </c>
      <c r="G3532" s="440"/>
      <c r="H3532" s="448">
        <v>139400</v>
      </c>
    </row>
    <row r="3533" spans="1:8" ht="13.2">
      <c r="A3533" s="454" t="s">
        <v>1587</v>
      </c>
      <c r="B3533" s="452" t="str">
        <f>VLOOKUP(A3533,'Thống kê'!$C$3:$D$669,2,0)</f>
        <v>Vịt ú bay</v>
      </c>
      <c r="C3533" s="436" t="str">
        <f>VLOOKUP(A3533,'Thống kê'!$C$3:$E$682,3,0)</f>
        <v>cái</v>
      </c>
      <c r="D3533" s="437">
        <f>VLOOKUP(A3533,'Thống kê'!$C$3:$M$682,4,0)</f>
        <v>64500</v>
      </c>
      <c r="E3533" s="438">
        <v>1</v>
      </c>
      <c r="F3533" s="439">
        <f t="shared" si="14"/>
        <v>64500</v>
      </c>
      <c r="G3533" s="440"/>
      <c r="H3533" s="447">
        <v>131200</v>
      </c>
    </row>
    <row r="3534" spans="1:8" ht="13.2">
      <c r="A3534" s="454" t="s">
        <v>1588</v>
      </c>
      <c r="B3534" s="452" t="str">
        <f>VLOOKUP(A3534,'Thống kê'!$C$3:$D$669,2,0)</f>
        <v>Heo ú hoa</v>
      </c>
      <c r="C3534" s="436" t="str">
        <f>VLOOKUP(A3534,'Thống kê'!$C$3:$E$682,3,0)</f>
        <v>cái</v>
      </c>
      <c r="D3534" s="437">
        <f>VLOOKUP(A3534,'Thống kê'!$C$3:$M$682,4,0)</f>
        <v>64500</v>
      </c>
      <c r="E3534" s="438">
        <v>1</v>
      </c>
      <c r="F3534" s="439">
        <f t="shared" si="14"/>
        <v>64500</v>
      </c>
      <c r="G3534" s="440"/>
      <c r="H3534" s="450"/>
    </row>
    <row r="3535" spans="1:8" ht="13.2">
      <c r="A3535" s="454" t="s">
        <v>1401</v>
      </c>
      <c r="B3535" s="452" t="str">
        <f>VLOOKUP(A3535,'Thống kê'!$C$3:$D$669,2,0)</f>
        <v>Móc khoá Dimoo size mini (hàng remake)</v>
      </c>
      <c r="C3535" s="436" t="str">
        <f>VLOOKUP(A3535,'Thống kê'!$C$3:$E$682,3,0)</f>
        <v>cái</v>
      </c>
      <c r="D3535" s="437">
        <f>VLOOKUP(A3535,'Thống kê'!$C$3:$M$682,4,0)</f>
        <v>0</v>
      </c>
      <c r="E3535" s="438">
        <v>1</v>
      </c>
      <c r="F3535" s="439">
        <f t="shared" si="14"/>
        <v>0</v>
      </c>
      <c r="G3535" s="440"/>
      <c r="H3535" s="447">
        <v>137904</v>
      </c>
    </row>
    <row r="3536" spans="1:8" ht="13.2">
      <c r="A3536" s="454" t="s">
        <v>1938</v>
      </c>
      <c r="B3536" s="452" t="str">
        <f>VLOOKUP(A3536,'Thống kê'!$C$3:$D$669,2,0)</f>
        <v>Kẹp tóc hoa sứ xanh</v>
      </c>
      <c r="C3536" s="436" t="str">
        <f>VLOOKUP(A3536,'Thống kê'!$C$3:$E$682,3,0)</f>
        <v>cái</v>
      </c>
      <c r="D3536" s="437">
        <f>VLOOKUP(A3536,'Thống kê'!$C$3:$M$682,4,0)</f>
        <v>18500</v>
      </c>
      <c r="E3536" s="438">
        <v>1</v>
      </c>
      <c r="F3536" s="439">
        <f t="shared" si="14"/>
        <v>18500</v>
      </c>
      <c r="G3536" s="440"/>
      <c r="H3536" s="450"/>
    </row>
    <row r="3537" spans="1:8" ht="13.2">
      <c r="A3537" s="454" t="s">
        <v>1382</v>
      </c>
      <c r="B3537" s="452" t="str">
        <f>VLOOKUP(A3537,'Thống kê'!$C$3:$D$669,2,0)</f>
        <v>miếng dán silicon điện thoại</v>
      </c>
      <c r="C3537" s="436" t="str">
        <f>VLOOKUP(A3537,'Thống kê'!$C$3:$E$682,3,0)</f>
        <v>cái</v>
      </c>
      <c r="D3537" s="437">
        <f>VLOOKUP(A3537,'Thống kê'!$C$3:$M$682,4,0)</f>
        <v>0</v>
      </c>
      <c r="E3537" s="438">
        <v>5</v>
      </c>
      <c r="F3537" s="439">
        <f t="shared" si="14"/>
        <v>0</v>
      </c>
      <c r="G3537" s="440"/>
      <c r="H3537" s="450"/>
    </row>
    <row r="3538" spans="1:8" ht="13.2">
      <c r="A3538" s="454" t="s">
        <v>1624</v>
      </c>
      <c r="B3538" s="452" t="str">
        <f>VLOOKUP(A3538,'Thống kê'!$C$3:$D$669,2,0)</f>
        <v>Móc khóa mèo trái tim</v>
      </c>
      <c r="C3538" s="436" t="str">
        <f>VLOOKUP(A3538,'Thống kê'!$C$3:$E$682,3,0)</f>
        <v>cái</v>
      </c>
      <c r="D3538" s="437">
        <f>VLOOKUP(A3538,'Thống kê'!$C$3:$M$682,4,0)</f>
        <v>59000</v>
      </c>
      <c r="E3538" s="438">
        <v>1</v>
      </c>
      <c r="F3538" s="439">
        <f t="shared" si="14"/>
        <v>59000</v>
      </c>
      <c r="G3538" s="440"/>
      <c r="H3538" s="448">
        <v>48180</v>
      </c>
    </row>
    <row r="3539" spans="1:8" ht="13.2">
      <c r="A3539" s="454" t="s">
        <v>244</v>
      </c>
      <c r="B3539" s="452" t="str">
        <f>VLOOKUP(A3539,'Thống kê'!$C$3:$D$669,2,0)</f>
        <v>Móc khóa chuối</v>
      </c>
      <c r="C3539" s="436" t="str">
        <f>VLOOKUP(A3539,'Thống kê'!$C$3:$E$682,3,0)</f>
        <v>cái</v>
      </c>
      <c r="D3539" s="437">
        <f>VLOOKUP(A3539,'Thống kê'!$C$3:$M$682,4,0)</f>
        <v>148000</v>
      </c>
      <c r="E3539" s="438">
        <v>1</v>
      </c>
      <c r="F3539" s="439">
        <f t="shared" si="14"/>
        <v>148000</v>
      </c>
      <c r="G3539" s="440"/>
      <c r="H3539" s="447">
        <v>80160</v>
      </c>
    </row>
    <row r="3540" spans="1:8" ht="13.2">
      <c r="A3540" s="454" t="s">
        <v>1938</v>
      </c>
      <c r="B3540" s="452" t="str">
        <f>VLOOKUP(A3540,'Thống kê'!$C$3:$D$669,2,0)</f>
        <v>Kẹp tóc hoa sứ xanh</v>
      </c>
      <c r="C3540" s="436" t="str">
        <f>VLOOKUP(A3540,'Thống kê'!$C$3:$E$682,3,0)</f>
        <v>cái</v>
      </c>
      <c r="D3540" s="437">
        <f>VLOOKUP(A3540,'Thống kê'!$C$3:$M$682,4,0)</f>
        <v>18500</v>
      </c>
      <c r="E3540" s="438">
        <v>1</v>
      </c>
      <c r="F3540" s="439">
        <f t="shared" si="14"/>
        <v>18500</v>
      </c>
      <c r="G3540" s="440"/>
      <c r="H3540" s="450"/>
    </row>
    <row r="3541" spans="1:8" ht="13.2">
      <c r="A3541" s="454" t="s">
        <v>1342</v>
      </c>
      <c r="B3541" s="452" t="str">
        <f>VLOOKUP(A3541,'Thống kê'!$C$3:$D$669,2,0)</f>
        <v>Móc khóa chuối</v>
      </c>
      <c r="C3541" s="436" t="str">
        <f>VLOOKUP(A3541,'Thống kê'!$C$3:$E$682,3,0)</f>
        <v>cái</v>
      </c>
      <c r="D3541" s="437">
        <f>VLOOKUP(A3541,'Thống kê'!$C$3:$M$682,4,0)</f>
        <v>148000</v>
      </c>
      <c r="E3541" s="438">
        <v>1</v>
      </c>
      <c r="F3541" s="439">
        <f t="shared" si="14"/>
        <v>148000</v>
      </c>
      <c r="G3541" s="440"/>
      <c r="H3541" s="447">
        <v>158424</v>
      </c>
    </row>
    <row r="3542" spans="1:8" ht="13.2">
      <c r="A3542" s="454" t="s">
        <v>170</v>
      </c>
      <c r="B3542" s="452" t="str">
        <f>VLOOKUP(A3542,'Thống kê'!$C$3:$D$669,2,0)</f>
        <v>Móc khóa chuối</v>
      </c>
      <c r="C3542" s="436" t="str">
        <f>VLOOKUP(A3542,'Thống kê'!$C$3:$E$682,3,0)</f>
        <v>cái</v>
      </c>
      <c r="D3542" s="437">
        <f>VLOOKUP(A3542,'Thống kê'!$C$3:$M$682,4,0)</f>
        <v>148000</v>
      </c>
      <c r="E3542" s="438">
        <v>1</v>
      </c>
      <c r="F3542" s="439">
        <f t="shared" si="14"/>
        <v>148000</v>
      </c>
      <c r="G3542" s="440"/>
      <c r="H3542" s="450"/>
    </row>
    <row r="3543" spans="1:8" ht="13.2">
      <c r="A3543" s="454" t="s">
        <v>1938</v>
      </c>
      <c r="B3543" s="452" t="str">
        <f>VLOOKUP(A3543,'Thống kê'!$C$3:$D$669,2,0)</f>
        <v>Kẹp tóc hoa sứ xanh</v>
      </c>
      <c r="C3543" s="436" t="str">
        <f>VLOOKUP(A3543,'Thống kê'!$C$3:$E$682,3,0)</f>
        <v>cái</v>
      </c>
      <c r="D3543" s="437">
        <f>VLOOKUP(A3543,'Thống kê'!$C$3:$M$682,4,0)</f>
        <v>18500</v>
      </c>
      <c r="E3543" s="438">
        <v>1</v>
      </c>
      <c r="F3543" s="439">
        <f t="shared" si="14"/>
        <v>18500</v>
      </c>
      <c r="G3543" s="440"/>
      <c r="H3543" s="450"/>
    </row>
    <row r="3544" spans="1:8" ht="13.2">
      <c r="A3544" s="454" t="s">
        <v>1384</v>
      </c>
      <c r="B3544" s="452" t="str">
        <f>VLOOKUP(A3544,'Thống kê'!$C$3:$D$669,2,0)</f>
        <v>Móc khoá Crybaby mini Popmart</v>
      </c>
      <c r="C3544" s="436" t="str">
        <f>VLOOKUP(A3544,'Thống kê'!$C$3:$E$682,3,0)</f>
        <v>cái</v>
      </c>
      <c r="D3544" s="437">
        <f>VLOOKUP(A3544,'Thống kê'!$C$3:$M$682,4,0)</f>
        <v>0</v>
      </c>
      <c r="E3544" s="438">
        <v>1</v>
      </c>
      <c r="F3544" s="439">
        <f t="shared" si="14"/>
        <v>0</v>
      </c>
      <c r="G3544" s="440"/>
      <c r="H3544" s="447">
        <v>109060</v>
      </c>
    </row>
    <row r="3545" spans="1:8" ht="13.2">
      <c r="A3545" s="454" t="s">
        <v>1938</v>
      </c>
      <c r="B3545" s="452" t="str">
        <f>VLOOKUP(A3545,'Thống kê'!$C$3:$D$669,2,0)</f>
        <v>Kẹp tóc hoa sứ xanh</v>
      </c>
      <c r="C3545" s="436" t="str">
        <f>VLOOKUP(A3545,'Thống kê'!$C$3:$E$682,3,0)</f>
        <v>cái</v>
      </c>
      <c r="D3545" s="437">
        <f>VLOOKUP(A3545,'Thống kê'!$C$3:$M$682,4,0)</f>
        <v>18500</v>
      </c>
      <c r="E3545" s="438">
        <v>1</v>
      </c>
      <c r="F3545" s="439">
        <f t="shared" si="14"/>
        <v>18500</v>
      </c>
      <c r="G3545" s="440"/>
      <c r="H3545" s="450"/>
    </row>
    <row r="3546" spans="1:8" ht="13.2">
      <c r="A3546" s="454" t="s">
        <v>258</v>
      </c>
      <c r="B3546" s="452" t="str">
        <f>VLOOKUP(A3546,'Thống kê'!$C$3:$D$669,2,0)</f>
        <v>Móc khoá Crybaby mini Popmart</v>
      </c>
      <c r="C3546" s="436" t="str">
        <f>VLOOKUP(A3546,'Thống kê'!$C$3:$E$682,3,0)</f>
        <v>cái</v>
      </c>
      <c r="D3546" s="437">
        <f>VLOOKUP(A3546,'Thống kê'!$C$3:$M$682,4,0)</f>
        <v>0</v>
      </c>
      <c r="E3546" s="438">
        <v>1</v>
      </c>
      <c r="F3546" s="439">
        <f t="shared" si="14"/>
        <v>0</v>
      </c>
      <c r="G3546" s="440"/>
      <c r="H3546" s="447">
        <v>434600</v>
      </c>
    </row>
    <row r="3547" spans="1:8" ht="13.2">
      <c r="A3547" s="454" t="s">
        <v>1384</v>
      </c>
      <c r="B3547" s="452" t="str">
        <f>VLOOKUP(A3547,'Thống kê'!$C$3:$D$669,2,0)</f>
        <v>Móc khoá Crybaby mini Popmart</v>
      </c>
      <c r="C3547" s="436" t="str">
        <f>VLOOKUP(A3547,'Thống kê'!$C$3:$E$682,3,0)</f>
        <v>cái</v>
      </c>
      <c r="D3547" s="437">
        <f>VLOOKUP(A3547,'Thống kê'!$C$3:$M$682,4,0)</f>
        <v>0</v>
      </c>
      <c r="E3547" s="438">
        <v>1</v>
      </c>
      <c r="F3547" s="439">
        <f t="shared" si="14"/>
        <v>0</v>
      </c>
      <c r="G3547" s="440"/>
      <c r="H3547" s="450"/>
    </row>
    <row r="3548" spans="1:8" ht="13.2">
      <c r="A3548" s="454" t="s">
        <v>1386</v>
      </c>
      <c r="B3548" s="452" t="str">
        <f>VLOOKUP(A3548,'Thống kê'!$C$3:$D$669,2,0)</f>
        <v>Móc khoá Crybaby mini Popmart</v>
      </c>
      <c r="C3548" s="436" t="str">
        <f>VLOOKUP(A3548,'Thống kê'!$C$3:$E$682,3,0)</f>
        <v>cái</v>
      </c>
      <c r="D3548" s="437">
        <f>VLOOKUP(A3548,'Thống kê'!$C$3:$M$682,4,0)</f>
        <v>0</v>
      </c>
      <c r="E3548" s="438">
        <v>1</v>
      </c>
      <c r="F3548" s="439">
        <f t="shared" si="14"/>
        <v>0</v>
      </c>
      <c r="G3548" s="440"/>
      <c r="H3548" s="450"/>
    </row>
    <row r="3549" spans="1:8" ht="13.2">
      <c r="A3549" s="454" t="s">
        <v>1388</v>
      </c>
      <c r="B3549" s="452" t="str">
        <f>VLOOKUP(A3549,'Thống kê'!$C$3:$D$669,2,0)</f>
        <v>Móc khoá Crybaby mini Popmart</v>
      </c>
      <c r="C3549" s="436" t="str">
        <f>VLOOKUP(A3549,'Thống kê'!$C$3:$E$682,3,0)</f>
        <v>cái</v>
      </c>
      <c r="D3549" s="437">
        <f>VLOOKUP(A3549,'Thống kê'!$C$3:$M$682,4,0)</f>
        <v>0</v>
      </c>
      <c r="E3549" s="438">
        <v>1</v>
      </c>
      <c r="F3549" s="439">
        <f t="shared" si="14"/>
        <v>0</v>
      </c>
      <c r="G3549" s="440"/>
      <c r="H3549" s="450"/>
    </row>
    <row r="3550" spans="1:8" ht="13.2">
      <c r="A3550" s="454" t="s">
        <v>1938</v>
      </c>
      <c r="B3550" s="452" t="str">
        <f>VLOOKUP(A3550,'Thống kê'!$C$3:$D$669,2,0)</f>
        <v>Kẹp tóc hoa sứ xanh</v>
      </c>
      <c r="C3550" s="436" t="str">
        <f>VLOOKUP(A3550,'Thống kê'!$C$3:$E$682,3,0)</f>
        <v>cái</v>
      </c>
      <c r="D3550" s="437">
        <f>VLOOKUP(A3550,'Thống kê'!$C$3:$M$682,4,0)</f>
        <v>18500</v>
      </c>
      <c r="E3550" s="438">
        <v>1</v>
      </c>
      <c r="F3550" s="439">
        <f t="shared" si="14"/>
        <v>18500</v>
      </c>
      <c r="G3550" s="440"/>
      <c r="H3550" s="450"/>
    </row>
    <row r="3551" spans="1:8" ht="13.2">
      <c r="A3551" s="454" t="s">
        <v>1384</v>
      </c>
      <c r="B3551" s="452" t="str">
        <f>VLOOKUP(A3551,'Thống kê'!$C$3:$D$669,2,0)</f>
        <v>Móc khoá Crybaby mini Popmart</v>
      </c>
      <c r="C3551" s="436" t="str">
        <f>VLOOKUP(A3551,'Thống kê'!$C$3:$E$682,3,0)</f>
        <v>cái</v>
      </c>
      <c r="D3551" s="437">
        <f>VLOOKUP(A3551,'Thống kê'!$C$3:$M$682,4,0)</f>
        <v>0</v>
      </c>
      <c r="E3551" s="438">
        <v>1</v>
      </c>
      <c r="F3551" s="439">
        <f t="shared" si="14"/>
        <v>0</v>
      </c>
      <c r="G3551" s="440"/>
      <c r="H3551" s="448">
        <v>109060</v>
      </c>
    </row>
    <row r="3552" spans="1:8" ht="13.2">
      <c r="A3552" s="454" t="s">
        <v>1388</v>
      </c>
      <c r="B3552" s="452" t="str">
        <f>VLOOKUP(A3552,'Thống kê'!$C$3:$D$669,2,0)</f>
        <v>Móc khoá Crybaby mini Popmart</v>
      </c>
      <c r="C3552" s="436" t="str">
        <f>VLOOKUP(A3552,'Thống kê'!$C$3:$E$682,3,0)</f>
        <v>cái</v>
      </c>
      <c r="D3552" s="437">
        <f>VLOOKUP(A3552,'Thống kê'!$C$3:$M$682,4,0)</f>
        <v>0</v>
      </c>
      <c r="E3552" s="438">
        <v>1</v>
      </c>
      <c r="F3552" s="439">
        <f t="shared" si="14"/>
        <v>0</v>
      </c>
      <c r="G3552" s="440"/>
      <c r="H3552" s="448">
        <v>109060</v>
      </c>
    </row>
    <row r="3553" spans="1:8" ht="13.2">
      <c r="A3553" s="454" t="s">
        <v>1387</v>
      </c>
      <c r="B3553" s="452" t="str">
        <f>VLOOKUP(A3553,'Thống kê'!$C$3:$D$669,2,0)</f>
        <v>Móc khoá Crybaby mini Popmart</v>
      </c>
      <c r="C3553" s="436" t="str">
        <f>VLOOKUP(A3553,'Thống kê'!$C$3:$E$682,3,0)</f>
        <v>cái</v>
      </c>
      <c r="D3553" s="437">
        <f>VLOOKUP(A3553,'Thống kê'!$C$3:$M$682,4,0)</f>
        <v>0</v>
      </c>
      <c r="E3553" s="438">
        <v>1</v>
      </c>
      <c r="F3553" s="439">
        <f t="shared" si="14"/>
        <v>0</v>
      </c>
      <c r="G3553" s="440"/>
      <c r="H3553" s="447">
        <v>211232</v>
      </c>
    </row>
    <row r="3554" spans="1:8" ht="13.2">
      <c r="A3554" s="454" t="s">
        <v>1384</v>
      </c>
      <c r="B3554" s="452" t="str">
        <f>VLOOKUP(A3554,'Thống kê'!$C$3:$D$669,2,0)</f>
        <v>Móc khoá Crybaby mini Popmart</v>
      </c>
      <c r="C3554" s="436" t="str">
        <f>VLOOKUP(A3554,'Thống kê'!$C$3:$E$682,3,0)</f>
        <v>cái</v>
      </c>
      <c r="D3554" s="437">
        <f>VLOOKUP(A3554,'Thống kê'!$C$3:$M$682,4,0)</f>
        <v>0</v>
      </c>
      <c r="E3554" s="438">
        <v>1</v>
      </c>
      <c r="F3554" s="439">
        <f t="shared" si="14"/>
        <v>0</v>
      </c>
      <c r="G3554" s="440"/>
      <c r="H3554" s="450"/>
    </row>
    <row r="3555" spans="1:8" ht="13.2">
      <c r="A3555" s="454" t="s">
        <v>1938</v>
      </c>
      <c r="B3555" s="452" t="str">
        <f>VLOOKUP(A3555,'Thống kê'!$C$3:$D$669,2,0)</f>
        <v>Kẹp tóc hoa sứ xanh</v>
      </c>
      <c r="C3555" s="436" t="str">
        <f>VLOOKUP(A3555,'Thống kê'!$C$3:$E$682,3,0)</f>
        <v>cái</v>
      </c>
      <c r="D3555" s="437">
        <f>VLOOKUP(A3555,'Thống kê'!$C$3:$M$682,4,0)</f>
        <v>18500</v>
      </c>
      <c r="E3555" s="438">
        <v>1</v>
      </c>
      <c r="F3555" s="439">
        <f t="shared" si="14"/>
        <v>18500</v>
      </c>
      <c r="G3555" s="440"/>
      <c r="H3555" s="450"/>
    </row>
    <row r="3556" spans="1:8" ht="13.2">
      <c r="A3556" s="454" t="s">
        <v>1387</v>
      </c>
      <c r="B3556" s="452" t="str">
        <f>VLOOKUP(A3556,'Thống kê'!$C$3:$D$669,2,0)</f>
        <v>Móc khoá Crybaby mini Popmart</v>
      </c>
      <c r="C3556" s="436" t="str">
        <f>VLOOKUP(A3556,'Thống kê'!$C$3:$E$682,3,0)</f>
        <v>cái</v>
      </c>
      <c r="D3556" s="437">
        <f>VLOOKUP(A3556,'Thống kê'!$C$3:$M$682,4,0)</f>
        <v>0</v>
      </c>
      <c r="E3556" s="438">
        <v>1</v>
      </c>
      <c r="F3556" s="439">
        <f t="shared" si="14"/>
        <v>0</v>
      </c>
      <c r="G3556" s="440"/>
      <c r="H3556" s="447">
        <v>109060</v>
      </c>
    </row>
    <row r="3557" spans="1:8" ht="13.2">
      <c r="A3557" s="454" t="s">
        <v>1938</v>
      </c>
      <c r="B3557" s="452" t="str">
        <f>VLOOKUP(A3557,'Thống kê'!$C$3:$D$669,2,0)</f>
        <v>Kẹp tóc hoa sứ xanh</v>
      </c>
      <c r="C3557" s="436" t="str">
        <f>VLOOKUP(A3557,'Thống kê'!$C$3:$E$682,3,0)</f>
        <v>cái</v>
      </c>
      <c r="D3557" s="437">
        <f>VLOOKUP(A3557,'Thống kê'!$C$3:$M$682,4,0)</f>
        <v>18500</v>
      </c>
      <c r="E3557" s="438">
        <v>1</v>
      </c>
      <c r="F3557" s="439">
        <f t="shared" si="14"/>
        <v>18500</v>
      </c>
      <c r="G3557" s="440"/>
      <c r="H3557" s="450"/>
    </row>
    <row r="3558" spans="1:8" ht="13.2">
      <c r="A3558" s="454" t="s">
        <v>1387</v>
      </c>
      <c r="B3558" s="452" t="str">
        <f>VLOOKUP(A3558,'Thống kê'!$C$3:$D$669,2,0)</f>
        <v>Móc khoá Crybaby mini Popmart</v>
      </c>
      <c r="C3558" s="436" t="str">
        <f>VLOOKUP(A3558,'Thống kê'!$C$3:$E$682,3,0)</f>
        <v>cái</v>
      </c>
      <c r="D3558" s="437">
        <f>VLOOKUP(A3558,'Thống kê'!$C$3:$M$682,4,0)</f>
        <v>0</v>
      </c>
      <c r="E3558" s="438">
        <v>1</v>
      </c>
      <c r="F3558" s="439">
        <f t="shared" si="14"/>
        <v>0</v>
      </c>
      <c r="G3558" s="440"/>
      <c r="H3558" s="447">
        <v>109060</v>
      </c>
    </row>
    <row r="3559" spans="1:8" ht="13.2">
      <c r="A3559" s="454" t="s">
        <v>1938</v>
      </c>
      <c r="B3559" s="452" t="str">
        <f>VLOOKUP(A3559,'Thống kê'!$C$3:$D$669,2,0)</f>
        <v>Kẹp tóc hoa sứ xanh</v>
      </c>
      <c r="C3559" s="436" t="str">
        <f>VLOOKUP(A3559,'Thống kê'!$C$3:$E$682,3,0)</f>
        <v>cái</v>
      </c>
      <c r="D3559" s="437">
        <f>VLOOKUP(A3559,'Thống kê'!$C$3:$M$682,4,0)</f>
        <v>18500</v>
      </c>
      <c r="E3559" s="438">
        <v>1</v>
      </c>
      <c r="F3559" s="439">
        <f t="shared" si="14"/>
        <v>18500</v>
      </c>
      <c r="G3559" s="440"/>
      <c r="H3559" s="450"/>
    </row>
    <row r="3560" spans="1:8" ht="13.2">
      <c r="A3560" s="454" t="s">
        <v>1364</v>
      </c>
      <c r="B3560" s="452" t="str">
        <f>VLOOKUP(A3560,'Thống kê'!$C$3:$D$669,2,0)</f>
        <v>Móc khóa Popbean</v>
      </c>
      <c r="C3560" s="436" t="str">
        <f>VLOOKUP(A3560,'Thống kê'!$C$3:$E$682,3,0)</f>
        <v>cái</v>
      </c>
      <c r="D3560" s="437">
        <f>VLOOKUP(A3560,'Thống kê'!$C$3:$M$682,4,0)</f>
        <v>148000</v>
      </c>
      <c r="E3560" s="438">
        <v>1</v>
      </c>
      <c r="F3560" s="439">
        <f t="shared" si="14"/>
        <v>148000</v>
      </c>
      <c r="G3560" s="440"/>
      <c r="H3560" s="447">
        <v>254913</v>
      </c>
    </row>
    <row r="3561" spans="1:8" ht="13.2">
      <c r="A3561" s="454" t="s">
        <v>1423</v>
      </c>
      <c r="B3561" s="452">
        <f>VLOOKUP(A3561,'Thống kê'!$C$3:$D$669,2,0)</f>
        <v>0</v>
      </c>
      <c r="C3561" s="436" t="str">
        <f>VLOOKUP(A3561,'Thống kê'!$C$3:$E$682,3,0)</f>
        <v>cái</v>
      </c>
      <c r="D3561" s="437">
        <f>VLOOKUP(A3561,'Thống kê'!$C$3:$M$682,4,0)</f>
        <v>0</v>
      </c>
      <c r="E3561" s="438">
        <v>1</v>
      </c>
      <c r="F3561" s="439">
        <f t="shared" si="14"/>
        <v>0</v>
      </c>
      <c r="G3561" s="440"/>
      <c r="H3561" s="450"/>
    </row>
    <row r="3562" spans="1:8" ht="13.2">
      <c r="A3562" s="454" t="s">
        <v>1938</v>
      </c>
      <c r="B3562" s="452" t="str">
        <f>VLOOKUP(A3562,'Thống kê'!$C$3:$D$669,2,0)</f>
        <v>Kẹp tóc hoa sứ xanh</v>
      </c>
      <c r="C3562" s="436" t="str">
        <f>VLOOKUP(A3562,'Thống kê'!$C$3:$E$682,3,0)</f>
        <v>cái</v>
      </c>
      <c r="D3562" s="437">
        <f>VLOOKUP(A3562,'Thống kê'!$C$3:$M$682,4,0)</f>
        <v>18500</v>
      </c>
      <c r="E3562" s="438">
        <v>1</v>
      </c>
      <c r="F3562" s="439">
        <f t="shared" si="14"/>
        <v>18500</v>
      </c>
      <c r="G3562" s="440"/>
      <c r="H3562" s="450"/>
    </row>
    <row r="3563" spans="1:8" ht="13.2">
      <c r="A3563" s="454" t="s">
        <v>258</v>
      </c>
      <c r="B3563" s="452" t="str">
        <f>VLOOKUP(A3563,'Thống kê'!$C$3:$D$669,2,0)</f>
        <v>Móc khoá Crybaby mini Popmart</v>
      </c>
      <c r="C3563" s="436" t="str">
        <f>VLOOKUP(A3563,'Thống kê'!$C$3:$E$682,3,0)</f>
        <v>cái</v>
      </c>
      <c r="D3563" s="437">
        <f>VLOOKUP(A3563,'Thống kê'!$C$3:$M$682,4,0)</f>
        <v>0</v>
      </c>
      <c r="E3563" s="438">
        <v>1</v>
      </c>
      <c r="F3563" s="439">
        <f t="shared" si="14"/>
        <v>0</v>
      </c>
      <c r="G3563" s="440"/>
      <c r="H3563" s="447">
        <v>210407</v>
      </c>
    </row>
    <row r="3564" spans="1:8" ht="13.2">
      <c r="A3564" s="454" t="s">
        <v>1388</v>
      </c>
      <c r="B3564" s="452" t="str">
        <f>VLOOKUP(A3564,'Thống kê'!$C$3:$D$669,2,0)</f>
        <v>Móc khoá Crybaby mini Popmart</v>
      </c>
      <c r="C3564" s="436" t="str">
        <f>VLOOKUP(A3564,'Thống kê'!$C$3:$E$682,3,0)</f>
        <v>cái</v>
      </c>
      <c r="D3564" s="437">
        <f>VLOOKUP(A3564,'Thống kê'!$C$3:$M$682,4,0)</f>
        <v>0</v>
      </c>
      <c r="E3564" s="438">
        <v>1</v>
      </c>
      <c r="F3564" s="439">
        <f t="shared" si="14"/>
        <v>0</v>
      </c>
      <c r="G3564" s="440"/>
      <c r="H3564" s="450"/>
    </row>
    <row r="3565" spans="1:8" ht="13.2">
      <c r="A3565" s="454" t="s">
        <v>1660</v>
      </c>
      <c r="B3565" s="452" t="str">
        <f>VLOOKUP(A3565,'Thống kê'!$C$3:$D$669,2,0)</f>
        <v>Móc khóa Popbean Skull Panda</v>
      </c>
      <c r="C3565" s="436" t="str">
        <f>VLOOKUP(A3565,'Thống kê'!$C$3:$E$682,3,0)</f>
        <v>cái</v>
      </c>
      <c r="D3565" s="437">
        <f>VLOOKUP(A3565,'Thống kê'!$C$3:$M$682,4,0)</f>
        <v>155000</v>
      </c>
      <c r="E3565" s="438">
        <v>1</v>
      </c>
      <c r="F3565" s="439">
        <f t="shared" si="14"/>
        <v>155000</v>
      </c>
      <c r="G3565" s="440"/>
      <c r="H3565" s="447">
        <v>224932</v>
      </c>
    </row>
    <row r="3566" spans="1:8" ht="13.2">
      <c r="A3566" s="454" t="s">
        <v>1371</v>
      </c>
      <c r="B3566" s="452" t="str">
        <f>VLOOKUP(A3566,'Thống kê'!$C$3:$D$669,2,0)</f>
        <v>Móc khóa Popbean</v>
      </c>
      <c r="C3566" s="436" t="str">
        <f>VLOOKUP(A3566,'Thống kê'!$C$3:$E$682,3,0)</f>
        <v>cái</v>
      </c>
      <c r="D3566" s="437">
        <f>VLOOKUP(A3566,'Thống kê'!$C$3:$M$682,4,0)</f>
        <v>148000</v>
      </c>
      <c r="E3566" s="438">
        <v>1</v>
      </c>
      <c r="F3566" s="439">
        <f t="shared" si="14"/>
        <v>148000</v>
      </c>
      <c r="G3566" s="440"/>
      <c r="H3566" s="450"/>
    </row>
    <row r="3567" spans="1:8" ht="13.2">
      <c r="A3567" s="454" t="s">
        <v>1938</v>
      </c>
      <c r="B3567" s="452" t="str">
        <f>VLOOKUP(A3567,'Thống kê'!$C$3:$D$669,2,0)</f>
        <v>Kẹp tóc hoa sứ xanh</v>
      </c>
      <c r="C3567" s="436" t="str">
        <f>VLOOKUP(A3567,'Thống kê'!$C$3:$E$682,3,0)</f>
        <v>cái</v>
      </c>
      <c r="D3567" s="437">
        <f>VLOOKUP(A3567,'Thống kê'!$C$3:$M$682,4,0)</f>
        <v>18500</v>
      </c>
      <c r="E3567" s="438">
        <v>1</v>
      </c>
      <c r="F3567" s="439">
        <f t="shared" si="14"/>
        <v>18500</v>
      </c>
      <c r="G3567" s="440"/>
      <c r="H3567" s="450"/>
    </row>
    <row r="3568" spans="1:8" ht="13.2">
      <c r="A3568" s="454" t="s">
        <v>183</v>
      </c>
      <c r="B3568" s="452" t="str">
        <f>VLOOKUP(A3568,'Thống kê'!$C$3:$D$669,2,0)</f>
        <v>Thỏ máy bay gắn xe</v>
      </c>
      <c r="C3568" s="436" t="str">
        <f>VLOOKUP(A3568,'Thống kê'!$C$3:$E$682,3,0)</f>
        <v>cái</v>
      </c>
      <c r="D3568" s="437">
        <f>VLOOKUP(A3568,'Thống kê'!$C$3:$M$682,4,0)</f>
        <v>45000</v>
      </c>
      <c r="E3568" s="438">
        <v>1</v>
      </c>
      <c r="F3568" s="439">
        <f t="shared" si="14"/>
        <v>45000</v>
      </c>
      <c r="G3568" s="440"/>
      <c r="H3568" s="447">
        <v>86002</v>
      </c>
    </row>
    <row r="3569" spans="1:8" ht="13.2">
      <c r="A3569" s="454" t="s">
        <v>119</v>
      </c>
      <c r="B3569" s="452" t="str">
        <f>VLOOKUP(A3569,'Thống kê'!$C$3:$D$669,2,0)</f>
        <v>Thỏ chạy xe gắn xe</v>
      </c>
      <c r="C3569" s="436" t="str">
        <f>VLOOKUP(A3569,'Thống kê'!$C$3:$E$682,3,0)</f>
        <v>cái</v>
      </c>
      <c r="D3569" s="437">
        <f>VLOOKUP(A3569,'Thống kê'!$C$3:$M$682,4,0)</f>
        <v>45000</v>
      </c>
      <c r="E3569" s="438">
        <v>1</v>
      </c>
      <c r="F3569" s="439">
        <f t="shared" si="14"/>
        <v>45000</v>
      </c>
      <c r="G3569" s="440"/>
      <c r="H3569" s="450"/>
    </row>
    <row r="3570" spans="1:8" ht="13.2">
      <c r="A3570" s="454" t="s">
        <v>2077</v>
      </c>
      <c r="B3570" s="452" t="e">
        <f>VLOOKUP(A3570,'Thống kê'!$C$3:$D$669,2,0)</f>
        <v>#N/A</v>
      </c>
      <c r="C3570" s="436" t="e">
        <f>VLOOKUP(A3570,'Thống kê'!$C$3:$E$682,3,0)</f>
        <v>#N/A</v>
      </c>
      <c r="D3570" s="437" t="e">
        <f>VLOOKUP(A3570,'Thống kê'!$C$3:$M$682,4,0)</f>
        <v>#N/A</v>
      </c>
      <c r="E3570" s="438">
        <v>1</v>
      </c>
      <c r="F3570" s="439" t="e">
        <f t="shared" si="14"/>
        <v>#N/A</v>
      </c>
      <c r="G3570" s="440"/>
      <c r="H3570" s="450"/>
    </row>
    <row r="3571" spans="1:8" ht="13.2">
      <c r="A3571" s="454" t="s">
        <v>1588</v>
      </c>
      <c r="B3571" s="452" t="str">
        <f>VLOOKUP(A3571,'Thống kê'!$C$3:$D$669,2,0)</f>
        <v>Heo ú hoa</v>
      </c>
      <c r="C3571" s="436" t="str">
        <f>VLOOKUP(A3571,'Thống kê'!$C$3:$E$682,3,0)</f>
        <v>cái</v>
      </c>
      <c r="D3571" s="437">
        <f>VLOOKUP(A3571,'Thống kê'!$C$3:$M$682,4,0)</f>
        <v>64500</v>
      </c>
      <c r="E3571" s="438">
        <v>1</v>
      </c>
      <c r="F3571" s="439">
        <f t="shared" si="14"/>
        <v>64500</v>
      </c>
      <c r="G3571" s="440"/>
      <c r="H3571" s="447">
        <v>268007</v>
      </c>
    </row>
    <row r="3572" spans="1:8" ht="13.2">
      <c r="A3572" s="454" t="s">
        <v>119</v>
      </c>
      <c r="B3572" s="452" t="str">
        <f>VLOOKUP(A3572,'Thống kê'!$C$3:$D$669,2,0)</f>
        <v>Thỏ chạy xe gắn xe</v>
      </c>
      <c r="C3572" s="436" t="str">
        <f>VLOOKUP(A3572,'Thống kê'!$C$3:$E$682,3,0)</f>
        <v>cái</v>
      </c>
      <c r="D3572" s="437">
        <f>VLOOKUP(A3572,'Thống kê'!$C$3:$M$682,4,0)</f>
        <v>45000</v>
      </c>
      <c r="E3572" s="438">
        <v>1</v>
      </c>
      <c r="F3572" s="439">
        <f t="shared" si="14"/>
        <v>45000</v>
      </c>
      <c r="G3572" s="440"/>
      <c r="H3572" s="450"/>
    </row>
    <row r="3573" spans="1:8" ht="13.2">
      <c r="A3573" s="454" t="s">
        <v>1351</v>
      </c>
      <c r="B3573" s="452" t="str">
        <f>VLOOKUP(A3573,'Thống kê'!$C$3:$D$669,2,0)</f>
        <v>Trang trí mô hình Heo</v>
      </c>
      <c r="C3573" s="436" t="str">
        <f>VLOOKUP(A3573,'Thống kê'!$C$3:$E$682,3,0)</f>
        <v>cái</v>
      </c>
      <c r="D3573" s="437">
        <f>VLOOKUP(A3573,'Thống kê'!$C$3:$M$682,4,0)</f>
        <v>39000</v>
      </c>
      <c r="E3573" s="438">
        <v>1</v>
      </c>
      <c r="F3573" s="439">
        <f t="shared" si="14"/>
        <v>39000</v>
      </c>
      <c r="G3573" s="440"/>
      <c r="H3573" s="450"/>
    </row>
    <row r="3574" spans="1:8" ht="13.2">
      <c r="A3574" s="454" t="s">
        <v>1359</v>
      </c>
      <c r="B3574" s="452" t="str">
        <f>VLOOKUP(A3574,'Thống kê'!$C$3:$D$669,2,0)</f>
        <v>Trang trí mô hình Cún</v>
      </c>
      <c r="C3574" s="436" t="str">
        <f>VLOOKUP(A3574,'Thống kê'!$C$3:$E$682,3,0)</f>
        <v>cái</v>
      </c>
      <c r="D3574" s="437">
        <f>VLOOKUP(A3574,'Thống kê'!$C$3:$M$682,4,0)</f>
        <v>39000</v>
      </c>
      <c r="E3574" s="438">
        <v>1</v>
      </c>
      <c r="F3574" s="439">
        <f t="shared" si="14"/>
        <v>39000</v>
      </c>
      <c r="G3574" s="440"/>
      <c r="H3574" s="450"/>
    </row>
    <row r="3575" spans="1:8" ht="13.2">
      <c r="A3575" s="454" t="s">
        <v>1369</v>
      </c>
      <c r="B3575" s="452" t="str">
        <f>VLOOKUP(A3575,'Thống kê'!$C$3:$D$669,2,0)</f>
        <v>Móc khóa Popbean</v>
      </c>
      <c r="C3575" s="436" t="str">
        <f>VLOOKUP(A3575,'Thống kê'!$C$3:$E$682,3,0)</f>
        <v>cái</v>
      </c>
      <c r="D3575" s="437">
        <f>VLOOKUP(A3575,'Thống kê'!$C$3:$M$682,4,0)</f>
        <v>148000</v>
      </c>
      <c r="E3575" s="438">
        <v>1</v>
      </c>
      <c r="F3575" s="439">
        <f t="shared" si="14"/>
        <v>148000</v>
      </c>
      <c r="G3575" s="440"/>
      <c r="H3575" s="450"/>
    </row>
    <row r="3576" spans="1:8" ht="13.2">
      <c r="A3576" s="454" t="s">
        <v>1938</v>
      </c>
      <c r="B3576" s="452" t="str">
        <f>VLOOKUP(A3576,'Thống kê'!$C$3:$D$669,2,0)</f>
        <v>Kẹp tóc hoa sứ xanh</v>
      </c>
      <c r="C3576" s="436" t="str">
        <f>VLOOKUP(A3576,'Thống kê'!$C$3:$E$682,3,0)</f>
        <v>cái</v>
      </c>
      <c r="D3576" s="437">
        <f>VLOOKUP(A3576,'Thống kê'!$C$3:$M$682,4,0)</f>
        <v>18500</v>
      </c>
      <c r="E3576" s="438">
        <v>1</v>
      </c>
      <c r="F3576" s="439">
        <f t="shared" si="14"/>
        <v>18500</v>
      </c>
      <c r="G3576" s="440"/>
      <c r="H3576" s="450"/>
    </row>
    <row r="3577" spans="1:8" ht="13.2">
      <c r="A3577" s="454" t="s">
        <v>1995</v>
      </c>
      <c r="B3577" s="452" t="str">
        <f>VLOOKUP(A3577,'Thống kê'!$C$3:$D$669,2,0)</f>
        <v>Kẹp tóc be</v>
      </c>
      <c r="C3577" s="436" t="str">
        <f>VLOOKUP(A3577,'Thống kê'!$C$3:$E$682,3,0)</f>
        <v>cái</v>
      </c>
      <c r="D3577" s="437">
        <f>VLOOKUP(A3577,'Thống kê'!$C$3:$M$682,4,0)</f>
        <v>14000</v>
      </c>
      <c r="E3577" s="438">
        <v>1</v>
      </c>
      <c r="F3577" s="439">
        <f t="shared" si="14"/>
        <v>14000</v>
      </c>
      <c r="G3577" s="440"/>
      <c r="H3577" s="447">
        <v>151372</v>
      </c>
    </row>
    <row r="3578" spans="1:8" ht="13.2">
      <c r="A3578" s="454" t="s">
        <v>1930</v>
      </c>
      <c r="B3578" s="452" t="str">
        <f>VLOOKUP(A3578,'Thống kê'!$C$3:$D$669,2,0)</f>
        <v>Kẹp nơ hồng</v>
      </c>
      <c r="C3578" s="436" t="str">
        <f>VLOOKUP(A3578,'Thống kê'!$C$3:$E$682,3,0)</f>
        <v>cái</v>
      </c>
      <c r="D3578" s="437">
        <f>VLOOKUP(A3578,'Thống kê'!$C$3:$M$682,4,0)</f>
        <v>22000</v>
      </c>
      <c r="E3578" s="438">
        <v>1</v>
      </c>
      <c r="F3578" s="439">
        <f t="shared" si="14"/>
        <v>22000</v>
      </c>
      <c r="G3578" s="440"/>
      <c r="H3578" s="450"/>
    </row>
    <row r="3579" spans="1:8" ht="13.2">
      <c r="A3579" s="454" t="s">
        <v>2079</v>
      </c>
      <c r="B3579" s="452" t="str">
        <f>VLOOKUP(A3579,'Thống kê'!$C$3:$D$669,2,0)</f>
        <v>Kẹp tóc nâu</v>
      </c>
      <c r="C3579" s="436" t="str">
        <f>VLOOKUP(A3579,'Thống kê'!$C$3:$E$682,3,0)</f>
        <v>cái</v>
      </c>
      <c r="D3579" s="437">
        <f>VLOOKUP(A3579,'Thống kê'!$C$3:$M$682,4,0)</f>
        <v>14000</v>
      </c>
      <c r="E3579" s="438">
        <v>1</v>
      </c>
      <c r="F3579" s="439">
        <f t="shared" si="14"/>
        <v>14000</v>
      </c>
      <c r="G3579" s="440"/>
      <c r="H3579" s="450"/>
    </row>
    <row r="3580" spans="1:8" ht="13.2">
      <c r="A3580" s="454" t="s">
        <v>1589</v>
      </c>
      <c r="B3580" s="452" t="str">
        <f>VLOOKUP(A3580,'Thống kê'!$C$3:$D$669,2,0)</f>
        <v>Heo ú bay</v>
      </c>
      <c r="C3580" s="436" t="str">
        <f>VLOOKUP(A3580,'Thống kê'!$C$3:$E$682,3,0)</f>
        <v>cái</v>
      </c>
      <c r="D3580" s="437">
        <f>VLOOKUP(A3580,'Thống kê'!$C$3:$M$682,4,0)</f>
        <v>64500</v>
      </c>
      <c r="E3580" s="438">
        <v>1</v>
      </c>
      <c r="F3580" s="439">
        <f t="shared" si="14"/>
        <v>64500</v>
      </c>
      <c r="G3580" s="440"/>
      <c r="H3580" s="450"/>
    </row>
    <row r="3581" spans="1:8" ht="13.2">
      <c r="A3581" s="454" t="s">
        <v>186</v>
      </c>
      <c r="B3581" s="452" t="str">
        <f>VLOOKUP(A3581,'Thống kê'!$C$3:$D$669,2,0)</f>
        <v>Thỏ ú bay</v>
      </c>
      <c r="C3581" s="436" t="str">
        <f>VLOOKUP(A3581,'Thống kê'!$C$3:$E$682,3,0)</f>
        <v>cái</v>
      </c>
      <c r="D3581" s="437">
        <f>VLOOKUP(A3581,'Thống kê'!$C$3:$M$682,4,0)</f>
        <v>64500</v>
      </c>
      <c r="E3581" s="438">
        <v>1</v>
      </c>
      <c r="F3581" s="439">
        <f t="shared" si="14"/>
        <v>64500</v>
      </c>
      <c r="G3581" s="440"/>
      <c r="H3581" s="450"/>
    </row>
    <row r="3582" spans="1:8" ht="13.2">
      <c r="A3582" s="454" t="s">
        <v>258</v>
      </c>
      <c r="B3582" s="452" t="str">
        <f>VLOOKUP(A3582,'Thống kê'!$C$3:$D$669,2,0)</f>
        <v>Móc khoá Crybaby mini Popmart</v>
      </c>
      <c r="C3582" s="436" t="str">
        <f>VLOOKUP(A3582,'Thống kê'!$C$3:$E$682,3,0)</f>
        <v>cái</v>
      </c>
      <c r="D3582" s="437">
        <f>VLOOKUP(A3582,'Thống kê'!$C$3:$M$682,4,0)</f>
        <v>0</v>
      </c>
      <c r="E3582" s="438">
        <v>1</v>
      </c>
      <c r="F3582" s="439">
        <f t="shared" si="14"/>
        <v>0</v>
      </c>
      <c r="G3582" s="440"/>
      <c r="H3582" s="447">
        <v>210407</v>
      </c>
    </row>
    <row r="3583" spans="1:8" ht="13.2">
      <c r="A3583" s="454" t="s">
        <v>1388</v>
      </c>
      <c r="B3583" s="452" t="str">
        <f>VLOOKUP(A3583,'Thống kê'!$C$3:$D$669,2,0)</f>
        <v>Móc khoá Crybaby mini Popmart</v>
      </c>
      <c r="C3583" s="436" t="str">
        <f>VLOOKUP(A3583,'Thống kê'!$C$3:$E$682,3,0)</f>
        <v>cái</v>
      </c>
      <c r="D3583" s="437">
        <f>VLOOKUP(A3583,'Thống kê'!$C$3:$M$682,4,0)</f>
        <v>0</v>
      </c>
      <c r="E3583" s="438">
        <v>1</v>
      </c>
      <c r="F3583" s="439">
        <f t="shared" si="14"/>
        <v>0</v>
      </c>
      <c r="G3583" s="440"/>
      <c r="H3583" s="450"/>
    </row>
    <row r="3584" spans="1:8" ht="13.2">
      <c r="A3584" s="454" t="s">
        <v>1384</v>
      </c>
      <c r="B3584" s="452" t="str">
        <f>VLOOKUP(A3584,'Thống kê'!$C$3:$D$669,2,0)</f>
        <v>Móc khoá Crybaby mini Popmart</v>
      </c>
      <c r="C3584" s="436" t="str">
        <f>VLOOKUP(A3584,'Thống kê'!$C$3:$E$682,3,0)</f>
        <v>cái</v>
      </c>
      <c r="D3584" s="437">
        <f>VLOOKUP(A3584,'Thống kê'!$C$3:$M$682,4,0)</f>
        <v>0</v>
      </c>
      <c r="E3584" s="438">
        <v>1</v>
      </c>
      <c r="F3584" s="439">
        <f t="shared" si="14"/>
        <v>0</v>
      </c>
      <c r="G3584" s="440"/>
      <c r="H3584" s="448">
        <v>109060</v>
      </c>
    </row>
    <row r="3585" spans="1:8" ht="13.2">
      <c r="A3585" s="454" t="s">
        <v>1594</v>
      </c>
      <c r="B3585" s="452" t="str">
        <f>VLOOKUP(A3585,'Thống kê'!$C$3:$D$669,2,0)</f>
        <v>Móc khóa đôi heo</v>
      </c>
      <c r="C3585" s="436" t="str">
        <f>VLOOKUP(A3585,'Thống kê'!$C$3:$E$682,3,0)</f>
        <v>cái</v>
      </c>
      <c r="D3585" s="437">
        <f>VLOOKUP(A3585,'Thống kê'!$C$3:$M$682,4,0)</f>
        <v>56580</v>
      </c>
      <c r="E3585" s="438">
        <v>1</v>
      </c>
      <c r="F3585" s="439">
        <f t="shared" si="14"/>
        <v>56580</v>
      </c>
      <c r="G3585" s="440"/>
      <c r="H3585" s="448">
        <v>41756</v>
      </c>
    </row>
    <row r="3586" spans="1:8" ht="13.2">
      <c r="A3586" s="454" t="s">
        <v>1387</v>
      </c>
      <c r="B3586" s="452" t="str">
        <f>VLOOKUP(A3586,'Thống kê'!$C$3:$D$669,2,0)</f>
        <v>Móc khoá Crybaby mini Popmart</v>
      </c>
      <c r="C3586" s="436" t="str">
        <f>VLOOKUP(A3586,'Thống kê'!$C$3:$E$682,3,0)</f>
        <v>cái</v>
      </c>
      <c r="D3586" s="437">
        <f>VLOOKUP(A3586,'Thống kê'!$C$3:$M$682,4,0)</f>
        <v>0</v>
      </c>
      <c r="E3586" s="438">
        <v>1</v>
      </c>
      <c r="F3586" s="439">
        <f t="shared" si="14"/>
        <v>0</v>
      </c>
      <c r="G3586" s="440"/>
      <c r="H3586" s="447">
        <v>106525</v>
      </c>
    </row>
    <row r="3587" spans="1:8" ht="13.2">
      <c r="A3587" s="454" t="s">
        <v>1937</v>
      </c>
      <c r="B3587" s="452" t="str">
        <f>VLOOKUP(A3587,'Thống kê'!$C$3:$D$669,2,0)</f>
        <v>Kẹp tóc hoa sứ cam</v>
      </c>
      <c r="C3587" s="436" t="str">
        <f>VLOOKUP(A3587,'Thống kê'!$C$3:$E$682,3,0)</f>
        <v>cái</v>
      </c>
      <c r="D3587" s="437">
        <f>VLOOKUP(A3587,'Thống kê'!$C$3:$M$682,4,0)</f>
        <v>18500</v>
      </c>
      <c r="E3587" s="438">
        <v>1</v>
      </c>
      <c r="F3587" s="439">
        <f t="shared" si="14"/>
        <v>18500</v>
      </c>
      <c r="G3587" s="440"/>
      <c r="H3587" s="450"/>
    </row>
    <row r="3588" spans="1:8" ht="13.2">
      <c r="A3588" s="454" t="s">
        <v>1364</v>
      </c>
      <c r="B3588" s="452" t="str">
        <f>VLOOKUP(A3588,'Thống kê'!$C$3:$D$669,2,0)</f>
        <v>Móc khóa Popbean</v>
      </c>
      <c r="C3588" s="436" t="str">
        <f>VLOOKUP(A3588,'Thống kê'!$C$3:$E$682,3,0)</f>
        <v>cái</v>
      </c>
      <c r="D3588" s="437">
        <f>VLOOKUP(A3588,'Thống kê'!$C$3:$M$682,4,0)</f>
        <v>148000</v>
      </c>
      <c r="E3588" s="438">
        <v>1</v>
      </c>
      <c r="F3588" s="439">
        <f t="shared" si="14"/>
        <v>148000</v>
      </c>
      <c r="G3588" s="440"/>
      <c r="H3588" s="447">
        <v>240654</v>
      </c>
    </row>
    <row r="3589" spans="1:8" ht="13.2">
      <c r="A3589" s="454" t="s">
        <v>1384</v>
      </c>
      <c r="B3589" s="452" t="str">
        <f>VLOOKUP(A3589,'Thống kê'!$C$3:$D$669,2,0)</f>
        <v>Móc khoá Crybaby mini Popmart</v>
      </c>
      <c r="C3589" s="436" t="str">
        <f>VLOOKUP(A3589,'Thống kê'!$C$3:$E$682,3,0)</f>
        <v>cái</v>
      </c>
      <c r="D3589" s="437">
        <f>VLOOKUP(A3589,'Thống kê'!$C$3:$M$682,4,0)</f>
        <v>0</v>
      </c>
      <c r="E3589" s="438">
        <v>1</v>
      </c>
      <c r="F3589" s="439">
        <f t="shared" si="14"/>
        <v>0</v>
      </c>
      <c r="G3589" s="440"/>
      <c r="H3589" s="450"/>
    </row>
    <row r="3590" spans="1:8" ht="13.2">
      <c r="A3590" s="454" t="s">
        <v>1937</v>
      </c>
      <c r="B3590" s="452" t="str">
        <f>VLOOKUP(A3590,'Thống kê'!$C$3:$D$669,2,0)</f>
        <v>Kẹp tóc hoa sứ cam</v>
      </c>
      <c r="C3590" s="436" t="str">
        <f>VLOOKUP(A3590,'Thống kê'!$C$3:$E$682,3,0)</f>
        <v>cái</v>
      </c>
      <c r="D3590" s="437">
        <f>VLOOKUP(A3590,'Thống kê'!$C$3:$M$682,4,0)</f>
        <v>18500</v>
      </c>
      <c r="E3590" s="438">
        <v>1</v>
      </c>
      <c r="F3590" s="439">
        <f t="shared" si="14"/>
        <v>18500</v>
      </c>
      <c r="G3590" s="440"/>
      <c r="H3590" s="450"/>
    </row>
    <row r="3591" spans="1:8" ht="13.2">
      <c r="A3591" s="454" t="s">
        <v>1386</v>
      </c>
      <c r="B3591" s="452" t="str">
        <f>VLOOKUP(A3591,'Thống kê'!$C$3:$D$669,2,0)</f>
        <v>Móc khoá Crybaby mini Popmart</v>
      </c>
      <c r="C3591" s="436" t="str">
        <f>VLOOKUP(A3591,'Thống kê'!$C$3:$E$682,3,0)</f>
        <v>cái</v>
      </c>
      <c r="D3591" s="437">
        <f>VLOOKUP(A3591,'Thống kê'!$C$3:$M$682,4,0)</f>
        <v>0</v>
      </c>
      <c r="E3591" s="438">
        <v>1</v>
      </c>
      <c r="F3591" s="439">
        <f t="shared" si="14"/>
        <v>0</v>
      </c>
      <c r="G3591" s="440"/>
      <c r="H3591" s="447">
        <v>106525</v>
      </c>
    </row>
    <row r="3592" spans="1:8" ht="13.2">
      <c r="A3592" s="454" t="s">
        <v>1937</v>
      </c>
      <c r="B3592" s="452" t="str">
        <f>VLOOKUP(A3592,'Thống kê'!$C$3:$D$669,2,0)</f>
        <v>Kẹp tóc hoa sứ cam</v>
      </c>
      <c r="C3592" s="436" t="str">
        <f>VLOOKUP(A3592,'Thống kê'!$C$3:$E$682,3,0)</f>
        <v>cái</v>
      </c>
      <c r="D3592" s="437">
        <f>VLOOKUP(A3592,'Thống kê'!$C$3:$M$682,4,0)</f>
        <v>18500</v>
      </c>
      <c r="E3592" s="438">
        <v>1</v>
      </c>
      <c r="F3592" s="439">
        <f t="shared" si="14"/>
        <v>18500</v>
      </c>
      <c r="G3592" s="440"/>
      <c r="H3592" s="450"/>
    </row>
    <row r="3593" spans="1:8" ht="13.2">
      <c r="A3593" s="454" t="s">
        <v>1661</v>
      </c>
      <c r="B3593" s="452" t="str">
        <f>VLOOKUP(A3593,'Thống kê'!$C$3:$D$669,2,0)</f>
        <v>Móc khóa Popbean Kubo</v>
      </c>
      <c r="C3593" s="436" t="str">
        <f>VLOOKUP(A3593,'Thống kê'!$C$3:$E$682,3,0)</f>
        <v>cái</v>
      </c>
      <c r="D3593" s="437">
        <f>VLOOKUP(A3593,'Thống kê'!$C$3:$M$682,4,0)</f>
        <v>148000</v>
      </c>
      <c r="E3593" s="438">
        <v>1</v>
      </c>
      <c r="F3593" s="439">
        <f t="shared" si="14"/>
        <v>148000</v>
      </c>
      <c r="G3593" s="440"/>
      <c r="H3593" s="447">
        <v>128334</v>
      </c>
    </row>
    <row r="3594" spans="1:8" ht="13.2">
      <c r="A3594" s="454" t="s">
        <v>1937</v>
      </c>
      <c r="B3594" s="452" t="str">
        <f>VLOOKUP(A3594,'Thống kê'!$C$3:$D$669,2,0)</f>
        <v>Kẹp tóc hoa sứ cam</v>
      </c>
      <c r="C3594" s="436" t="str">
        <f>VLOOKUP(A3594,'Thống kê'!$C$3:$E$682,3,0)</f>
        <v>cái</v>
      </c>
      <c r="D3594" s="437">
        <f>VLOOKUP(A3594,'Thống kê'!$C$3:$M$682,4,0)</f>
        <v>18500</v>
      </c>
      <c r="E3594" s="438">
        <v>1</v>
      </c>
      <c r="F3594" s="439">
        <f t="shared" si="14"/>
        <v>18500</v>
      </c>
      <c r="G3594" s="440"/>
      <c r="H3594" s="450"/>
    </row>
    <row r="3595" spans="1:8" ht="13.2">
      <c r="A3595" s="454" t="s">
        <v>1689</v>
      </c>
      <c r="B3595" s="452">
        <f>VLOOKUP(A3595,'Thống kê'!$C$3:$D$669,2,0)</f>
        <v>0</v>
      </c>
      <c r="C3595" s="436" t="str">
        <f>VLOOKUP(A3595,'Thống kê'!$C$3:$E$682,3,0)</f>
        <v>cái</v>
      </c>
      <c r="D3595" s="437">
        <f>VLOOKUP(A3595,'Thống kê'!$C$3:$M$682,4,0)</f>
        <v>0</v>
      </c>
      <c r="E3595" s="438">
        <v>1</v>
      </c>
      <c r="F3595" s="439">
        <f t="shared" si="14"/>
        <v>0</v>
      </c>
      <c r="G3595" s="440"/>
      <c r="H3595" s="450"/>
    </row>
    <row r="3596" spans="1:8" ht="13.2">
      <c r="A3596" s="454" t="s">
        <v>1622</v>
      </c>
      <c r="B3596" s="452" t="str">
        <f>VLOOKUP(A3596,'Thống kê'!$C$3:$D$669,2,0)</f>
        <v>Mô hình mèo 1</v>
      </c>
      <c r="C3596" s="436" t="str">
        <f>VLOOKUP(A3596,'Thống kê'!$C$3:$E$682,3,0)</f>
        <v>cái</v>
      </c>
      <c r="D3596" s="437">
        <f>VLOOKUP(A3596,'Thống kê'!$C$3:$M$682,4,0)</f>
        <v>37800</v>
      </c>
      <c r="E3596" s="438">
        <v>-1</v>
      </c>
      <c r="F3596" s="439">
        <f t="shared" si="14"/>
        <v>-37800</v>
      </c>
      <c r="G3596" s="440"/>
      <c r="H3596" s="448">
        <v>-37800</v>
      </c>
    </row>
    <row r="3597" spans="1:8" ht="13.2">
      <c r="A3597" s="454" t="s">
        <v>1369</v>
      </c>
      <c r="B3597" s="452" t="str">
        <f>VLOOKUP(A3597,'Thống kê'!$C$3:$D$669,2,0)</f>
        <v>Móc khóa Popbean</v>
      </c>
      <c r="C3597" s="436" t="str">
        <f>VLOOKUP(A3597,'Thống kê'!$C$3:$E$682,3,0)</f>
        <v>cái</v>
      </c>
      <c r="D3597" s="437">
        <f>VLOOKUP(A3597,'Thống kê'!$C$3:$M$682,4,0)</f>
        <v>148000</v>
      </c>
      <c r="E3597" s="438">
        <v>2</v>
      </c>
      <c r="F3597" s="439">
        <f t="shared" si="14"/>
        <v>296000</v>
      </c>
      <c r="G3597" s="440"/>
      <c r="H3597" s="447">
        <v>910000</v>
      </c>
    </row>
    <row r="3598" spans="1:8" ht="13.2">
      <c r="A3598" s="454" t="s">
        <v>1371</v>
      </c>
      <c r="B3598" s="452" t="str">
        <f>VLOOKUP(A3598,'Thống kê'!$C$3:$D$669,2,0)</f>
        <v>Móc khóa Popbean</v>
      </c>
      <c r="C3598" s="436" t="str">
        <f>VLOOKUP(A3598,'Thống kê'!$C$3:$E$682,3,0)</f>
        <v>cái</v>
      </c>
      <c r="D3598" s="437">
        <f>VLOOKUP(A3598,'Thống kê'!$C$3:$M$682,4,0)</f>
        <v>148000</v>
      </c>
      <c r="E3598" s="438">
        <v>2</v>
      </c>
      <c r="F3598" s="439">
        <f t="shared" si="14"/>
        <v>296000</v>
      </c>
      <c r="G3598" s="440"/>
      <c r="H3598" s="450"/>
    </row>
    <row r="3599" spans="1:8" ht="13.2">
      <c r="A3599" s="454" t="s">
        <v>1364</v>
      </c>
      <c r="B3599" s="452" t="str">
        <f>VLOOKUP(A3599,'Thống kê'!$C$3:$D$669,2,0)</f>
        <v>Móc khóa Popbean</v>
      </c>
      <c r="C3599" s="436" t="str">
        <f>VLOOKUP(A3599,'Thống kê'!$C$3:$E$682,3,0)</f>
        <v>cái</v>
      </c>
      <c r="D3599" s="437">
        <f>VLOOKUP(A3599,'Thống kê'!$C$3:$M$682,4,0)</f>
        <v>148000</v>
      </c>
      <c r="E3599" s="438">
        <v>2</v>
      </c>
      <c r="F3599" s="439">
        <f t="shared" si="14"/>
        <v>296000</v>
      </c>
      <c r="G3599" s="440"/>
      <c r="H3599" s="450"/>
    </row>
    <row r="3600" spans="1:8" ht="13.2">
      <c r="A3600" s="454" t="s">
        <v>138</v>
      </c>
      <c r="B3600" s="452" t="str">
        <f>VLOOKUP(A3600,'Thống kê'!$C$3:$D$669,2,0)</f>
        <v>Móc khoá Crybaby mini Popmart</v>
      </c>
      <c r="C3600" s="436" t="str">
        <f>VLOOKUP(A3600,'Thống kê'!$C$3:$E$682,3,0)</f>
        <v>cái</v>
      </c>
      <c r="D3600" s="437">
        <f>VLOOKUP(A3600,'Thống kê'!$C$3:$M$682,4,0)</f>
        <v>0</v>
      </c>
      <c r="E3600" s="438">
        <v>1</v>
      </c>
      <c r="F3600" s="439">
        <f t="shared" si="14"/>
        <v>0</v>
      </c>
      <c r="G3600" s="440"/>
      <c r="H3600" s="448">
        <v>0</v>
      </c>
    </row>
    <row r="3601" spans="1:8" ht="13.2">
      <c r="A3601" s="454" t="s">
        <v>1390</v>
      </c>
      <c r="B3601" s="452" t="str">
        <f>VLOOKUP(A3601,'Thống kê'!$C$3:$D$669,2,0)</f>
        <v>Móc khoá Labubu mini Popmart</v>
      </c>
      <c r="C3601" s="436" t="str">
        <f>VLOOKUP(A3601,'Thống kê'!$C$3:$E$682,3,0)</f>
        <v>cái</v>
      </c>
      <c r="D3601" s="437">
        <f>VLOOKUP(A3601,'Thống kê'!$C$3:$M$682,4,0)</f>
        <v>0</v>
      </c>
      <c r="E3601" s="438">
        <v>1</v>
      </c>
      <c r="F3601" s="439">
        <f t="shared" si="14"/>
        <v>0</v>
      </c>
      <c r="G3601" s="440"/>
      <c r="H3601" s="447">
        <v>137360</v>
      </c>
    </row>
    <row r="3602" spans="1:8" ht="13.2">
      <c r="A3602" s="454" t="s">
        <v>1937</v>
      </c>
      <c r="B3602" s="452" t="str">
        <f>VLOOKUP(A3602,'Thống kê'!$C$3:$D$669,2,0)</f>
        <v>Kẹp tóc hoa sứ cam</v>
      </c>
      <c r="C3602" s="436" t="str">
        <f>VLOOKUP(A3602,'Thống kê'!$C$3:$E$682,3,0)</f>
        <v>cái</v>
      </c>
      <c r="D3602" s="437">
        <f>VLOOKUP(A3602,'Thống kê'!$C$3:$M$682,4,0)</f>
        <v>18500</v>
      </c>
      <c r="E3602" s="438">
        <v>1</v>
      </c>
      <c r="F3602" s="439">
        <f t="shared" si="14"/>
        <v>18500</v>
      </c>
      <c r="G3602" s="440"/>
      <c r="H3602" s="450"/>
    </row>
    <row r="3603" spans="1:8" ht="13.2">
      <c r="A3603" s="454" t="s">
        <v>94</v>
      </c>
      <c r="B3603" s="452" t="str">
        <f>VLOOKUP(A3603,'Thống kê'!$C$3:$D$669,2,0)</f>
        <v>thỏ</v>
      </c>
      <c r="C3603" s="436" t="str">
        <f>VLOOKUP(A3603,'Thống kê'!$C$3:$E$682,3,0)</f>
        <v>cái</v>
      </c>
      <c r="D3603" s="437">
        <f>VLOOKUP(A3603,'Thống kê'!$C$3:$M$682,4,0)</f>
        <v>35000</v>
      </c>
      <c r="E3603" s="438">
        <v>1</v>
      </c>
      <c r="F3603" s="439">
        <f t="shared" si="14"/>
        <v>35000</v>
      </c>
      <c r="G3603" s="440"/>
      <c r="H3603" s="450"/>
    </row>
    <row r="3604" spans="1:8" ht="13.2">
      <c r="A3604" s="454" t="s">
        <v>1930</v>
      </c>
      <c r="B3604" s="452" t="str">
        <f>VLOOKUP(A3604,'Thống kê'!$C$3:$D$669,2,0)</f>
        <v>Kẹp nơ hồng</v>
      </c>
      <c r="C3604" s="436" t="str">
        <f>VLOOKUP(A3604,'Thống kê'!$C$3:$E$682,3,0)</f>
        <v>cái</v>
      </c>
      <c r="D3604" s="437">
        <f>VLOOKUP(A3604,'Thống kê'!$C$3:$M$682,4,0)</f>
        <v>22000</v>
      </c>
      <c r="E3604" s="438">
        <v>1</v>
      </c>
      <c r="F3604" s="439">
        <f t="shared" si="14"/>
        <v>22000</v>
      </c>
      <c r="G3604" s="440"/>
      <c r="H3604" s="448">
        <v>9840</v>
      </c>
    </row>
    <row r="3605" spans="1:8" ht="13.2">
      <c r="A3605" s="454" t="s">
        <v>1384</v>
      </c>
      <c r="B3605" s="452" t="str">
        <f>VLOOKUP(A3605,'Thống kê'!$C$3:$D$669,2,0)</f>
        <v>Móc khoá Crybaby mini Popmart</v>
      </c>
      <c r="C3605" s="436" t="str">
        <f>VLOOKUP(A3605,'Thống kê'!$C$3:$E$682,3,0)</f>
        <v>cái</v>
      </c>
      <c r="D3605" s="437">
        <f>VLOOKUP(A3605,'Thống kê'!$C$3:$M$682,4,0)</f>
        <v>0</v>
      </c>
      <c r="E3605" s="438">
        <v>1</v>
      </c>
      <c r="F3605" s="439">
        <f t="shared" si="14"/>
        <v>0</v>
      </c>
      <c r="G3605" s="440"/>
      <c r="H3605" s="447">
        <v>109060</v>
      </c>
    </row>
    <row r="3606" spans="1:8" ht="13.2">
      <c r="A3606" s="454" t="s">
        <v>1937</v>
      </c>
      <c r="B3606" s="452" t="str">
        <f>VLOOKUP(A3606,'Thống kê'!$C$3:$D$669,2,0)</f>
        <v>Kẹp tóc hoa sứ cam</v>
      </c>
      <c r="C3606" s="436" t="str">
        <f>VLOOKUP(A3606,'Thống kê'!$C$3:$E$682,3,0)</f>
        <v>cái</v>
      </c>
      <c r="D3606" s="437">
        <f>VLOOKUP(A3606,'Thống kê'!$C$3:$M$682,4,0)</f>
        <v>18500</v>
      </c>
      <c r="E3606" s="438">
        <v>1</v>
      </c>
      <c r="F3606" s="439">
        <f t="shared" si="14"/>
        <v>18500</v>
      </c>
      <c r="G3606" s="440"/>
      <c r="H3606" s="450"/>
    </row>
    <row r="3607" spans="1:8" ht="13.2">
      <c r="A3607" s="454" t="s">
        <v>113</v>
      </c>
      <c r="B3607" s="452" t="str">
        <f>VLOOKUP(A3607,'Thống kê'!$C$3:$D$669,2,0)</f>
        <v>Móc khoá Dimoo size mini (hàng remake)</v>
      </c>
      <c r="C3607" s="436" t="str">
        <f>VLOOKUP(A3607,'Thống kê'!$C$3:$E$682,3,0)</f>
        <v>cái</v>
      </c>
      <c r="D3607" s="437">
        <f>VLOOKUP(A3607,'Thống kê'!$C$3:$M$682,4,0)</f>
        <v>0</v>
      </c>
      <c r="E3607" s="438">
        <v>1</v>
      </c>
      <c r="F3607" s="439">
        <f t="shared" si="14"/>
        <v>0</v>
      </c>
      <c r="G3607" s="440"/>
      <c r="H3607" s="447">
        <v>124640</v>
      </c>
    </row>
    <row r="3608" spans="1:8" ht="13.2">
      <c r="A3608" s="454" t="s">
        <v>1937</v>
      </c>
      <c r="B3608" s="452" t="str">
        <f>VLOOKUP(A3608,'Thống kê'!$C$3:$D$669,2,0)</f>
        <v>Kẹp tóc hoa sứ cam</v>
      </c>
      <c r="C3608" s="436" t="str">
        <f>VLOOKUP(A3608,'Thống kê'!$C$3:$E$682,3,0)</f>
        <v>cái</v>
      </c>
      <c r="D3608" s="437">
        <f>VLOOKUP(A3608,'Thống kê'!$C$3:$M$682,4,0)</f>
        <v>18500</v>
      </c>
      <c r="E3608" s="438">
        <v>1</v>
      </c>
      <c r="F3608" s="439">
        <f t="shared" si="14"/>
        <v>18500</v>
      </c>
      <c r="G3608" s="440"/>
      <c r="H3608" s="450"/>
    </row>
    <row r="3609" spans="1:8" ht="13.2">
      <c r="A3609" s="454" t="s">
        <v>1386</v>
      </c>
      <c r="B3609" s="452" t="str">
        <f>VLOOKUP(A3609,'Thống kê'!$C$3:$D$669,2,0)</f>
        <v>Móc khoá Crybaby mini Popmart</v>
      </c>
      <c r="C3609" s="436" t="str">
        <f>VLOOKUP(A3609,'Thống kê'!$C$3:$E$682,3,0)</f>
        <v>cái</v>
      </c>
      <c r="D3609" s="437">
        <f>VLOOKUP(A3609,'Thống kê'!$C$3:$M$682,4,0)</f>
        <v>0</v>
      </c>
      <c r="E3609" s="438">
        <v>1</v>
      </c>
      <c r="F3609" s="439">
        <f t="shared" si="14"/>
        <v>0</v>
      </c>
      <c r="G3609" s="440"/>
      <c r="H3609" s="447">
        <v>211232</v>
      </c>
    </row>
    <row r="3610" spans="1:8" ht="13.2">
      <c r="A3610" s="454" t="s">
        <v>1389</v>
      </c>
      <c r="B3610" s="452" t="str">
        <f>VLOOKUP(A3610,'Thống kê'!$C$3:$D$669,2,0)</f>
        <v>Móc khoá Crybaby mini Popmart</v>
      </c>
      <c r="C3610" s="436" t="str">
        <f>VLOOKUP(A3610,'Thống kê'!$C$3:$E$682,3,0)</f>
        <v>cái</v>
      </c>
      <c r="D3610" s="437">
        <f>VLOOKUP(A3610,'Thống kê'!$C$3:$M$682,4,0)</f>
        <v>0</v>
      </c>
      <c r="E3610" s="438">
        <v>1</v>
      </c>
      <c r="F3610" s="439">
        <f t="shared" si="14"/>
        <v>0</v>
      </c>
      <c r="G3610" s="440"/>
      <c r="H3610" s="450"/>
    </row>
    <row r="3611" spans="1:8" ht="13.2">
      <c r="A3611" s="454" t="s">
        <v>1937</v>
      </c>
      <c r="B3611" s="452" t="str">
        <f>VLOOKUP(A3611,'Thống kê'!$C$3:$D$669,2,0)</f>
        <v>Kẹp tóc hoa sứ cam</v>
      </c>
      <c r="C3611" s="436" t="str">
        <f>VLOOKUP(A3611,'Thống kê'!$C$3:$E$682,3,0)</f>
        <v>cái</v>
      </c>
      <c r="D3611" s="437">
        <f>VLOOKUP(A3611,'Thống kê'!$C$3:$M$682,4,0)</f>
        <v>18500</v>
      </c>
      <c r="E3611" s="438">
        <v>1</v>
      </c>
      <c r="F3611" s="439">
        <f t="shared" si="14"/>
        <v>18500</v>
      </c>
      <c r="G3611" s="440"/>
      <c r="H3611" s="450"/>
    </row>
    <row r="3612" spans="1:8" ht="13.2">
      <c r="A3612" s="454" t="s">
        <v>150</v>
      </c>
      <c r="B3612" s="452" t="str">
        <f>VLOOKUP(A3612,'Thống kê'!$C$3:$D$669,2,0)</f>
        <v>Móc khóa có chuông</v>
      </c>
      <c r="C3612" s="436" t="str">
        <f>VLOOKUP(A3612,'Thống kê'!$C$3:$E$682,3,0)</f>
        <v>cái</v>
      </c>
      <c r="D3612" s="437">
        <f>VLOOKUP(A3612,'Thống kê'!$C$3:$M$682,4,0)</f>
        <v>59000</v>
      </c>
      <c r="E3612" s="438">
        <v>1</v>
      </c>
      <c r="F3612" s="439">
        <f t="shared" si="14"/>
        <v>59000</v>
      </c>
      <c r="G3612" s="440"/>
      <c r="H3612" s="448">
        <v>47980</v>
      </c>
    </row>
    <row r="3613" spans="1:8" ht="13.2">
      <c r="A3613" s="454" t="s">
        <v>1386</v>
      </c>
      <c r="B3613" s="452" t="str">
        <f>VLOOKUP(A3613,'Thống kê'!$C$3:$D$669,2,0)</f>
        <v>Móc khoá Crybaby mini Popmart</v>
      </c>
      <c r="C3613" s="436" t="str">
        <f>VLOOKUP(A3613,'Thống kê'!$C$3:$E$682,3,0)</f>
        <v>cái</v>
      </c>
      <c r="D3613" s="437">
        <f>VLOOKUP(A3613,'Thống kê'!$C$3:$M$682,4,0)</f>
        <v>0</v>
      </c>
      <c r="E3613" s="438">
        <v>1</v>
      </c>
      <c r="F3613" s="439">
        <f t="shared" si="14"/>
        <v>0</v>
      </c>
      <c r="G3613" s="440"/>
      <c r="H3613" s="447">
        <v>109060</v>
      </c>
    </row>
    <row r="3614" spans="1:8" ht="13.2">
      <c r="A3614" s="454" t="s">
        <v>1937</v>
      </c>
      <c r="B3614" s="452" t="str">
        <f>VLOOKUP(A3614,'Thống kê'!$C$3:$D$669,2,0)</f>
        <v>Kẹp tóc hoa sứ cam</v>
      </c>
      <c r="C3614" s="436" t="str">
        <f>VLOOKUP(A3614,'Thống kê'!$C$3:$E$682,3,0)</f>
        <v>cái</v>
      </c>
      <c r="D3614" s="437">
        <f>VLOOKUP(A3614,'Thống kê'!$C$3:$M$682,4,0)</f>
        <v>18500</v>
      </c>
      <c r="E3614" s="438">
        <v>1</v>
      </c>
      <c r="F3614" s="439">
        <f t="shared" si="14"/>
        <v>18500</v>
      </c>
      <c r="G3614" s="440"/>
      <c r="H3614" s="450"/>
    </row>
    <row r="3615" spans="1:8" ht="13.2">
      <c r="A3615" s="454" t="s">
        <v>1389</v>
      </c>
      <c r="B3615" s="452" t="str">
        <f>VLOOKUP(A3615,'Thống kê'!$C$3:$D$669,2,0)</f>
        <v>Móc khoá Crybaby mini Popmart</v>
      </c>
      <c r="C3615" s="436" t="str">
        <f>VLOOKUP(A3615,'Thống kê'!$C$3:$E$682,3,0)</f>
        <v>cái</v>
      </c>
      <c r="D3615" s="437">
        <f>VLOOKUP(A3615,'Thống kê'!$C$3:$M$682,4,0)</f>
        <v>0</v>
      </c>
      <c r="E3615" s="438">
        <v>1</v>
      </c>
      <c r="F3615" s="439">
        <f t="shared" si="14"/>
        <v>0</v>
      </c>
      <c r="G3615" s="440"/>
      <c r="H3615" s="447">
        <v>109060</v>
      </c>
    </row>
    <row r="3616" spans="1:8" ht="13.2">
      <c r="A3616" s="454" t="s">
        <v>1937</v>
      </c>
      <c r="B3616" s="452" t="str">
        <f>VLOOKUP(A3616,'Thống kê'!$C$3:$D$669,2,0)</f>
        <v>Kẹp tóc hoa sứ cam</v>
      </c>
      <c r="C3616" s="436" t="str">
        <f>VLOOKUP(A3616,'Thống kê'!$C$3:$E$682,3,0)</f>
        <v>cái</v>
      </c>
      <c r="D3616" s="437">
        <f>VLOOKUP(A3616,'Thống kê'!$C$3:$M$682,4,0)</f>
        <v>18500</v>
      </c>
      <c r="E3616" s="438">
        <v>1</v>
      </c>
      <c r="F3616" s="439">
        <f t="shared" si="14"/>
        <v>18500</v>
      </c>
      <c r="G3616" s="440"/>
      <c r="H3616" s="450"/>
    </row>
    <row r="3617" spans="1:8" ht="13.2">
      <c r="A3617" s="454" t="s">
        <v>1384</v>
      </c>
      <c r="B3617" s="452" t="str">
        <f>VLOOKUP(A3617,'Thống kê'!$C$3:$D$669,2,0)</f>
        <v>Móc khoá Crybaby mini Popmart</v>
      </c>
      <c r="C3617" s="436" t="str">
        <f>VLOOKUP(A3617,'Thống kê'!$C$3:$E$682,3,0)</f>
        <v>cái</v>
      </c>
      <c r="D3617" s="437">
        <f>VLOOKUP(A3617,'Thống kê'!$C$3:$M$682,4,0)</f>
        <v>0</v>
      </c>
      <c r="E3617" s="438">
        <v>1</v>
      </c>
      <c r="F3617" s="439">
        <f t="shared" si="14"/>
        <v>0</v>
      </c>
      <c r="G3617" s="440"/>
      <c r="H3617" s="447">
        <v>109060</v>
      </c>
    </row>
    <row r="3618" spans="1:8" ht="13.2">
      <c r="A3618" s="454" t="s">
        <v>1937</v>
      </c>
      <c r="B3618" s="452" t="str">
        <f>VLOOKUP(A3618,'Thống kê'!$C$3:$D$669,2,0)</f>
        <v>Kẹp tóc hoa sứ cam</v>
      </c>
      <c r="C3618" s="436" t="str">
        <f>VLOOKUP(A3618,'Thống kê'!$C$3:$E$682,3,0)</f>
        <v>cái</v>
      </c>
      <c r="D3618" s="437">
        <f>VLOOKUP(A3618,'Thống kê'!$C$3:$M$682,4,0)</f>
        <v>18500</v>
      </c>
      <c r="E3618" s="438">
        <v>1</v>
      </c>
      <c r="F3618" s="439">
        <f t="shared" si="14"/>
        <v>18500</v>
      </c>
      <c r="G3618" s="440"/>
      <c r="H3618" s="450"/>
    </row>
    <row r="3619" spans="1:8" ht="13.2">
      <c r="A3619" s="454" t="s">
        <v>1384</v>
      </c>
      <c r="B3619" s="452" t="str">
        <f>VLOOKUP(A3619,'Thống kê'!$C$3:$D$669,2,0)</f>
        <v>Móc khoá Crybaby mini Popmart</v>
      </c>
      <c r="C3619" s="436" t="str">
        <f>VLOOKUP(A3619,'Thống kê'!$C$3:$E$682,3,0)</f>
        <v>cái</v>
      </c>
      <c r="D3619" s="437">
        <f>VLOOKUP(A3619,'Thống kê'!$C$3:$M$682,4,0)</f>
        <v>0</v>
      </c>
      <c r="E3619" s="438">
        <v>1</v>
      </c>
      <c r="F3619" s="439">
        <f t="shared" si="14"/>
        <v>0</v>
      </c>
      <c r="G3619" s="440"/>
      <c r="H3619" s="447">
        <v>319800</v>
      </c>
    </row>
    <row r="3620" spans="1:8" ht="13.2">
      <c r="A3620" s="454" t="s">
        <v>1387</v>
      </c>
      <c r="B3620" s="452" t="str">
        <f>VLOOKUP(A3620,'Thống kê'!$C$3:$D$669,2,0)</f>
        <v>Móc khoá Crybaby mini Popmart</v>
      </c>
      <c r="C3620" s="436" t="str">
        <f>VLOOKUP(A3620,'Thống kê'!$C$3:$E$682,3,0)</f>
        <v>cái</v>
      </c>
      <c r="D3620" s="437">
        <f>VLOOKUP(A3620,'Thống kê'!$C$3:$M$682,4,0)</f>
        <v>0</v>
      </c>
      <c r="E3620" s="438">
        <v>1</v>
      </c>
      <c r="F3620" s="439">
        <f t="shared" si="14"/>
        <v>0</v>
      </c>
      <c r="G3620" s="440"/>
      <c r="H3620" s="450"/>
    </row>
    <row r="3621" spans="1:8" ht="13.2">
      <c r="A3621" s="454" t="s">
        <v>1389</v>
      </c>
      <c r="B3621" s="452" t="str">
        <f>VLOOKUP(A3621,'Thống kê'!$C$3:$D$669,2,0)</f>
        <v>Móc khoá Crybaby mini Popmart</v>
      </c>
      <c r="C3621" s="436" t="str">
        <f>VLOOKUP(A3621,'Thống kê'!$C$3:$E$682,3,0)</f>
        <v>cái</v>
      </c>
      <c r="D3621" s="437">
        <f>VLOOKUP(A3621,'Thống kê'!$C$3:$M$682,4,0)</f>
        <v>0</v>
      </c>
      <c r="E3621" s="438">
        <v>1</v>
      </c>
      <c r="F3621" s="439">
        <f t="shared" si="14"/>
        <v>0</v>
      </c>
      <c r="G3621" s="440"/>
      <c r="H3621" s="450"/>
    </row>
    <row r="3622" spans="1:8" ht="13.2">
      <c r="A3622" s="454" t="s">
        <v>1937</v>
      </c>
      <c r="B3622" s="452" t="str">
        <f>VLOOKUP(A3622,'Thống kê'!$C$3:$D$669,2,0)</f>
        <v>Kẹp tóc hoa sứ cam</v>
      </c>
      <c r="C3622" s="436" t="str">
        <f>VLOOKUP(A3622,'Thống kê'!$C$3:$E$682,3,0)</f>
        <v>cái</v>
      </c>
      <c r="D3622" s="437">
        <f>VLOOKUP(A3622,'Thống kê'!$C$3:$M$682,4,0)</f>
        <v>18500</v>
      </c>
      <c r="E3622" s="438">
        <v>1</v>
      </c>
      <c r="F3622" s="439">
        <f t="shared" si="14"/>
        <v>18500</v>
      </c>
      <c r="G3622" s="440"/>
      <c r="H3622" s="450"/>
    </row>
    <row r="3623" spans="1:8" ht="13.2">
      <c r="A3623" s="454" t="s">
        <v>186</v>
      </c>
      <c r="B3623" s="452" t="str">
        <f>VLOOKUP(A3623,'Thống kê'!$C$3:$D$669,2,0)</f>
        <v>Thỏ ú bay</v>
      </c>
      <c r="C3623" s="436" t="str">
        <f>VLOOKUP(A3623,'Thống kê'!$C$3:$E$682,3,0)</f>
        <v>cái</v>
      </c>
      <c r="D3623" s="437">
        <f>VLOOKUP(A3623,'Thống kê'!$C$3:$M$682,4,0)</f>
        <v>64500</v>
      </c>
      <c r="E3623" s="438">
        <v>1</v>
      </c>
      <c r="F3623" s="439">
        <f t="shared" si="14"/>
        <v>64500</v>
      </c>
      <c r="G3623" s="440"/>
      <c r="H3623" s="448">
        <v>62730</v>
      </c>
    </row>
    <row r="3624" spans="1:8" ht="13.2">
      <c r="A3624" s="454" t="s">
        <v>230</v>
      </c>
      <c r="B3624" s="452" t="str">
        <f>VLOOKUP(A3624,'Thống kê'!$C$3:$D$669,2,0)</f>
        <v>Móc khoá Crybaby mini Popmart</v>
      </c>
      <c r="C3624" s="436" t="str">
        <f>VLOOKUP(A3624,'Thống kê'!$C$3:$E$682,3,0)</f>
        <v>cái</v>
      </c>
      <c r="D3624" s="437">
        <f>VLOOKUP(A3624,'Thống kê'!$C$3:$M$682,4,0)</f>
        <v>0</v>
      </c>
      <c r="E3624" s="438">
        <v>1</v>
      </c>
      <c r="F3624" s="439">
        <f t="shared" si="14"/>
        <v>0</v>
      </c>
      <c r="G3624" s="440"/>
      <c r="H3624" s="447">
        <v>108985</v>
      </c>
    </row>
    <row r="3625" spans="1:8" ht="13.2">
      <c r="A3625" s="454" t="s">
        <v>1937</v>
      </c>
      <c r="B3625" s="452" t="str">
        <f>VLOOKUP(A3625,'Thống kê'!$C$3:$D$669,2,0)</f>
        <v>Kẹp tóc hoa sứ cam</v>
      </c>
      <c r="C3625" s="436" t="str">
        <f>VLOOKUP(A3625,'Thống kê'!$C$3:$E$682,3,0)</f>
        <v>cái</v>
      </c>
      <c r="D3625" s="437">
        <f>VLOOKUP(A3625,'Thống kê'!$C$3:$M$682,4,0)</f>
        <v>18500</v>
      </c>
      <c r="E3625" s="438">
        <v>1</v>
      </c>
      <c r="F3625" s="439">
        <f t="shared" ref="F3625:F3879" si="15">D3625*E3625</f>
        <v>18500</v>
      </c>
      <c r="G3625" s="440"/>
      <c r="H3625" s="450"/>
    </row>
    <row r="3626" spans="1:8" ht="13.2">
      <c r="A3626" s="454" t="s">
        <v>1625</v>
      </c>
      <c r="B3626" s="452" t="str">
        <f>VLOOKUP(A3626,'Thống kê'!$C$3:$D$669,2,0)</f>
        <v>Móc khóa đôi 2 mèo trắng nâu</v>
      </c>
      <c r="C3626" s="436" t="str">
        <f>VLOOKUP(A3626,'Thống kê'!$C$3:$E$682,3,0)</f>
        <v>cái</v>
      </c>
      <c r="D3626" s="437">
        <f>VLOOKUP(A3626,'Thống kê'!$C$3:$M$682,4,0)</f>
        <v>59000</v>
      </c>
      <c r="E3626" s="438">
        <v>1</v>
      </c>
      <c r="F3626" s="439">
        <f t="shared" si="15"/>
        <v>59000</v>
      </c>
      <c r="G3626" s="440"/>
      <c r="H3626" s="448">
        <v>48305</v>
      </c>
    </row>
    <row r="3627" spans="1:8" ht="13.2">
      <c r="A3627" s="454" t="s">
        <v>1387</v>
      </c>
      <c r="B3627" s="452" t="str">
        <f>VLOOKUP(A3627,'Thống kê'!$C$3:$D$669,2,0)</f>
        <v>Móc khoá Crybaby mini Popmart</v>
      </c>
      <c r="C3627" s="436" t="str">
        <f>VLOOKUP(A3627,'Thống kê'!$C$3:$E$682,3,0)</f>
        <v>cái</v>
      </c>
      <c r="D3627" s="437">
        <f>VLOOKUP(A3627,'Thống kê'!$C$3:$M$682,4,0)</f>
        <v>0</v>
      </c>
      <c r="E3627" s="438">
        <v>1</v>
      </c>
      <c r="F3627" s="439">
        <f t="shared" si="15"/>
        <v>0</v>
      </c>
      <c r="G3627" s="440"/>
      <c r="H3627" s="447">
        <v>235976</v>
      </c>
    </row>
    <row r="3628" spans="1:8" ht="13.2">
      <c r="A3628" s="454" t="s">
        <v>230</v>
      </c>
      <c r="B3628" s="452" t="str">
        <f>VLOOKUP(A3628,'Thống kê'!$C$3:$D$669,2,0)</f>
        <v>Móc khoá Crybaby mini Popmart</v>
      </c>
      <c r="C3628" s="436" t="str">
        <f>VLOOKUP(A3628,'Thống kê'!$C$3:$E$682,3,0)</f>
        <v>cái</v>
      </c>
      <c r="D3628" s="437">
        <f>VLOOKUP(A3628,'Thống kê'!$C$3:$M$682,4,0)</f>
        <v>0</v>
      </c>
      <c r="E3628" s="438">
        <v>1</v>
      </c>
      <c r="F3628" s="439">
        <f t="shared" si="15"/>
        <v>0</v>
      </c>
      <c r="G3628" s="440"/>
      <c r="H3628" s="450"/>
    </row>
    <row r="3629" spans="1:8" ht="13.2">
      <c r="A3629" s="454" t="s">
        <v>1937</v>
      </c>
      <c r="B3629" s="452" t="str">
        <f>VLOOKUP(A3629,'Thống kê'!$C$3:$D$669,2,0)</f>
        <v>Kẹp tóc hoa sứ cam</v>
      </c>
      <c r="C3629" s="436" t="str">
        <f>VLOOKUP(A3629,'Thống kê'!$C$3:$E$682,3,0)</f>
        <v>cái</v>
      </c>
      <c r="D3629" s="437">
        <f>VLOOKUP(A3629,'Thống kê'!$C$3:$M$682,4,0)</f>
        <v>18500</v>
      </c>
      <c r="E3629" s="438">
        <v>1</v>
      </c>
      <c r="F3629" s="439">
        <f t="shared" si="15"/>
        <v>18500</v>
      </c>
      <c r="G3629" s="440"/>
      <c r="H3629" s="450"/>
    </row>
    <row r="3630" spans="1:8" ht="13.2">
      <c r="A3630" s="454" t="s">
        <v>1384</v>
      </c>
      <c r="B3630" s="452" t="str">
        <f>VLOOKUP(A3630,'Thống kê'!$C$3:$D$669,2,0)</f>
        <v>Móc khoá Crybaby mini Popmart</v>
      </c>
      <c r="C3630" s="436" t="str">
        <f>VLOOKUP(A3630,'Thống kê'!$C$3:$E$682,3,0)</f>
        <v>cái</v>
      </c>
      <c r="D3630" s="437">
        <f>VLOOKUP(A3630,'Thống kê'!$C$3:$M$682,4,0)</f>
        <v>0</v>
      </c>
      <c r="E3630" s="438">
        <v>1</v>
      </c>
      <c r="F3630" s="439">
        <f t="shared" si="15"/>
        <v>0</v>
      </c>
      <c r="G3630" s="440"/>
      <c r="H3630" s="447">
        <v>109060</v>
      </c>
    </row>
    <row r="3631" spans="1:8" ht="13.2">
      <c r="A3631" s="454" t="s">
        <v>1937</v>
      </c>
      <c r="B3631" s="452" t="str">
        <f>VLOOKUP(A3631,'Thống kê'!$C$3:$D$669,2,0)</f>
        <v>Kẹp tóc hoa sứ cam</v>
      </c>
      <c r="C3631" s="436" t="str">
        <f>VLOOKUP(A3631,'Thống kê'!$C$3:$E$682,3,0)</f>
        <v>cái</v>
      </c>
      <c r="D3631" s="437">
        <f>VLOOKUP(A3631,'Thống kê'!$C$3:$M$682,4,0)</f>
        <v>18500</v>
      </c>
      <c r="E3631" s="438">
        <v>1</v>
      </c>
      <c r="F3631" s="439">
        <f t="shared" si="15"/>
        <v>18500</v>
      </c>
      <c r="G3631" s="440"/>
      <c r="H3631" s="450"/>
    </row>
    <row r="3632" spans="1:8" ht="13.2">
      <c r="A3632" s="454" t="s">
        <v>317</v>
      </c>
      <c r="B3632" s="452" t="str">
        <f>VLOOKUP(A3632,'Thống kê'!$C$3:$D$669,2,0)</f>
        <v>Dao rọc giấy 10</v>
      </c>
      <c r="C3632" s="436" t="str">
        <f>VLOOKUP(A3632,'Thống kê'!$C$3:$E$682,3,0)</f>
        <v>cái</v>
      </c>
      <c r="D3632" s="437">
        <f>VLOOKUP(A3632,'Thống kê'!$C$3:$M$682,4,0)</f>
        <v>12000</v>
      </c>
      <c r="E3632" s="438">
        <v>1</v>
      </c>
      <c r="F3632" s="439">
        <f t="shared" si="15"/>
        <v>12000</v>
      </c>
      <c r="G3632" s="440"/>
      <c r="H3632" s="447">
        <v>102878</v>
      </c>
    </row>
    <row r="3633" spans="1:8" ht="13.2">
      <c r="A3633" s="454" t="s">
        <v>1810</v>
      </c>
      <c r="B3633" s="452" t="str">
        <f>VLOOKUP(A3633,'Thống kê'!$C$3:$D$669,2,0)</f>
        <v>Hộp thuốc mây hồng</v>
      </c>
      <c r="C3633" s="436" t="str">
        <f>VLOOKUP(A3633,'Thống kê'!$C$3:$E$682,3,0)</f>
        <v>hộp</v>
      </c>
      <c r="D3633" s="437">
        <f>VLOOKUP(A3633,'Thống kê'!$C$3:$M$682,4,0)</f>
        <v>11000</v>
      </c>
      <c r="E3633" s="438">
        <v>1</v>
      </c>
      <c r="F3633" s="439">
        <f t="shared" si="15"/>
        <v>11000</v>
      </c>
      <c r="G3633" s="440"/>
      <c r="H3633" s="450"/>
    </row>
    <row r="3634" spans="1:8" ht="13.2">
      <c r="A3634" s="454" t="s">
        <v>1969</v>
      </c>
      <c r="B3634" s="452" t="str">
        <f>VLOOKUP(A3634,'Thống kê'!$C$3:$D$669,2,0)</f>
        <v>Kẹp tóc kem</v>
      </c>
      <c r="C3634" s="436" t="str">
        <f>VLOOKUP(A3634,'Thống kê'!$C$3:$E$682,3,0)</f>
        <v>cái</v>
      </c>
      <c r="D3634" s="437">
        <f>VLOOKUP(A3634,'Thống kê'!$C$3:$M$682,4,0)</f>
        <v>14000</v>
      </c>
      <c r="E3634" s="438">
        <v>1</v>
      </c>
      <c r="F3634" s="439">
        <f t="shared" si="15"/>
        <v>14000</v>
      </c>
      <c r="G3634" s="440"/>
      <c r="H3634" s="450"/>
    </row>
    <row r="3635" spans="1:8" ht="13.2">
      <c r="A3635" s="454" t="s">
        <v>1922</v>
      </c>
      <c r="B3635" s="452" t="str">
        <f>VLOOKUP(A3635,'Thống kê'!$C$3:$D$669,2,0)</f>
        <v>Kẹp tóc trắng sữa</v>
      </c>
      <c r="C3635" s="436" t="str">
        <f>VLOOKUP(A3635,'Thống kê'!$C$3:$E$682,3,0)</f>
        <v>cái</v>
      </c>
      <c r="D3635" s="437">
        <f>VLOOKUP(A3635,'Thống kê'!$C$3:$M$682,4,0)</f>
        <v>14000</v>
      </c>
      <c r="E3635" s="438">
        <v>1</v>
      </c>
      <c r="F3635" s="439">
        <f t="shared" si="15"/>
        <v>14000</v>
      </c>
      <c r="G3635" s="440"/>
      <c r="H3635" s="450"/>
    </row>
    <row r="3636" spans="1:8" ht="13.2">
      <c r="A3636" s="454" t="s">
        <v>1633</v>
      </c>
      <c r="B3636" s="452" t="str">
        <f>VLOOKUP(A3636,'Thống kê'!$C$3:$D$669,2,0)</f>
        <v>Móc khóa đôi gà rán bia</v>
      </c>
      <c r="C3636" s="436" t="str">
        <f>VLOOKUP(A3636,'Thống kê'!$C$3:$E$682,3,0)</f>
        <v>cái</v>
      </c>
      <c r="D3636" s="437">
        <f>VLOOKUP(A3636,'Thống kê'!$C$3:$M$682,4,0)</f>
        <v>56580</v>
      </c>
      <c r="E3636" s="438">
        <v>1</v>
      </c>
      <c r="F3636" s="439">
        <f t="shared" si="15"/>
        <v>56580</v>
      </c>
      <c r="G3636" s="440"/>
      <c r="H3636" s="450"/>
    </row>
    <row r="3637" spans="1:8" ht="13.2">
      <c r="A3637" s="454" t="s">
        <v>2080</v>
      </c>
      <c r="B3637" s="452" t="str">
        <f>VLOOKUP(A3637,'Thống kê'!$C$3:$D$669,2,0)</f>
        <v>Buộc tóc hồng nhung</v>
      </c>
      <c r="C3637" s="436" t="str">
        <f>VLOOKUP(A3637,'Thống kê'!$C$3:$E$682,3,0)</f>
        <v>cái</v>
      </c>
      <c r="D3637" s="437">
        <f>VLOOKUP(A3637,'Thống kê'!$C$3:$M$682,4,0)</f>
        <v>12000</v>
      </c>
      <c r="E3637" s="438">
        <v>1</v>
      </c>
      <c r="F3637" s="439">
        <f t="shared" si="15"/>
        <v>12000</v>
      </c>
      <c r="G3637" s="440"/>
      <c r="H3637" s="450"/>
    </row>
    <row r="3638" spans="1:8" ht="13.2">
      <c r="A3638" s="454" t="s">
        <v>310</v>
      </c>
      <c r="B3638" s="452" t="str">
        <f>VLOOKUP(A3638,'Thống kê'!$C$3:$D$669,2,0)</f>
        <v>Trang trí mô hình Heo</v>
      </c>
      <c r="C3638" s="436" t="str">
        <f>VLOOKUP(A3638,'Thống kê'!$C$3:$E$682,3,0)</f>
        <v>cái</v>
      </c>
      <c r="D3638" s="437">
        <f>VLOOKUP(A3638,'Thống kê'!$C$3:$M$682,4,0)</f>
        <v>39000</v>
      </c>
      <c r="E3638" s="438">
        <v>1</v>
      </c>
      <c r="F3638" s="439">
        <f t="shared" si="15"/>
        <v>39000</v>
      </c>
      <c r="G3638" s="440"/>
      <c r="H3638" s="450"/>
    </row>
    <row r="3639" spans="1:8" ht="13.2">
      <c r="A3639" s="454" t="s">
        <v>1617</v>
      </c>
      <c r="B3639" s="452" t="str">
        <f>VLOOKUP(A3639,'Thống kê'!$C$3:$D$669,2,0)</f>
        <v xml:space="preserve">Kẹp tóc bướm hồng </v>
      </c>
      <c r="C3639" s="436" t="str">
        <f>VLOOKUP(A3639,'Thống kê'!$C$3:$E$682,3,0)</f>
        <v>cái</v>
      </c>
      <c r="D3639" s="437">
        <f>VLOOKUP(A3639,'Thống kê'!$C$3:$M$682,4,0)</f>
        <v>40000</v>
      </c>
      <c r="E3639" s="438">
        <v>1</v>
      </c>
      <c r="F3639" s="439">
        <f t="shared" si="15"/>
        <v>40000</v>
      </c>
      <c r="G3639" s="440"/>
      <c r="H3639" s="447">
        <v>20664</v>
      </c>
    </row>
    <row r="3640" spans="1:8" ht="13.2">
      <c r="A3640" s="454" t="s">
        <v>1615</v>
      </c>
      <c r="B3640" s="452" t="str">
        <f>VLOOKUP(A3640,'Thống kê'!$C$3:$D$669,2,0)</f>
        <v>Kẹp tóc bướm tím</v>
      </c>
      <c r="C3640" s="436" t="str">
        <f>VLOOKUP(A3640,'Thống kê'!$C$3:$E$682,3,0)</f>
        <v>cái</v>
      </c>
      <c r="D3640" s="437">
        <f>VLOOKUP(A3640,'Thống kê'!$C$3:$M$682,4,0)</f>
        <v>40000</v>
      </c>
      <c r="E3640" s="438">
        <v>1</v>
      </c>
      <c r="F3640" s="439">
        <f t="shared" si="15"/>
        <v>40000</v>
      </c>
      <c r="G3640" s="440"/>
      <c r="H3640" s="450"/>
    </row>
    <row r="3641" spans="1:8" ht="13.2">
      <c r="A3641" s="454" t="s">
        <v>1384</v>
      </c>
      <c r="B3641" s="452" t="str">
        <f>VLOOKUP(A3641,'Thống kê'!$C$3:$D$669,2,0)</f>
        <v>Móc khoá Crybaby mini Popmart</v>
      </c>
      <c r="C3641" s="436" t="str">
        <f>VLOOKUP(A3641,'Thống kê'!$C$3:$E$682,3,0)</f>
        <v>cái</v>
      </c>
      <c r="D3641" s="437">
        <f>VLOOKUP(A3641,'Thống kê'!$C$3:$M$682,4,0)</f>
        <v>0</v>
      </c>
      <c r="E3641" s="438">
        <v>1</v>
      </c>
      <c r="F3641" s="439">
        <f t="shared" si="15"/>
        <v>0</v>
      </c>
      <c r="G3641" s="440"/>
      <c r="H3641" s="447">
        <v>106600</v>
      </c>
    </row>
    <row r="3642" spans="1:8" ht="13.2">
      <c r="A3642" s="454" t="s">
        <v>1937</v>
      </c>
      <c r="B3642" s="452" t="str">
        <f>VLOOKUP(A3642,'Thống kê'!$C$3:$D$669,2,0)</f>
        <v>Kẹp tóc hoa sứ cam</v>
      </c>
      <c r="C3642" s="436" t="str">
        <f>VLOOKUP(A3642,'Thống kê'!$C$3:$E$682,3,0)</f>
        <v>cái</v>
      </c>
      <c r="D3642" s="437">
        <f>VLOOKUP(A3642,'Thống kê'!$C$3:$M$682,4,0)</f>
        <v>18500</v>
      </c>
      <c r="E3642" s="438">
        <v>1</v>
      </c>
      <c r="F3642" s="439">
        <f t="shared" si="15"/>
        <v>18500</v>
      </c>
      <c r="G3642" s="440"/>
      <c r="H3642" s="450"/>
    </row>
    <row r="3643" spans="1:8" ht="13.2">
      <c r="A3643" s="454" t="s">
        <v>1690</v>
      </c>
      <c r="B3643" s="452">
        <f>VLOOKUP(A3643,'Thống kê'!$C$3:$D$669,2,0)</f>
        <v>0</v>
      </c>
      <c r="C3643" s="436" t="str">
        <f>VLOOKUP(A3643,'Thống kê'!$C$3:$E$682,3,0)</f>
        <v>cái</v>
      </c>
      <c r="D3643" s="437">
        <f>VLOOKUP(A3643,'Thống kê'!$C$3:$M$682,4,0)</f>
        <v>0</v>
      </c>
      <c r="E3643" s="438">
        <v>1</v>
      </c>
      <c r="F3643" s="439">
        <f t="shared" si="15"/>
        <v>0</v>
      </c>
      <c r="G3643" s="440"/>
      <c r="H3643" s="447">
        <v>44745</v>
      </c>
    </row>
    <row r="3644" spans="1:8" ht="13.2">
      <c r="A3644" s="454" t="s">
        <v>1688</v>
      </c>
      <c r="B3644" s="452">
        <f>VLOOKUP(A3644,'Thống kê'!$C$3:$D$669,2,0)</f>
        <v>0</v>
      </c>
      <c r="C3644" s="436" t="str">
        <f>VLOOKUP(A3644,'Thống kê'!$C$3:$E$682,3,0)</f>
        <v>cái</v>
      </c>
      <c r="D3644" s="437">
        <f>VLOOKUP(A3644,'Thống kê'!$C$3:$M$682,4,0)</f>
        <v>0</v>
      </c>
      <c r="E3644" s="438">
        <v>1</v>
      </c>
      <c r="F3644" s="439">
        <f t="shared" si="15"/>
        <v>0</v>
      </c>
      <c r="G3644" s="440"/>
      <c r="H3644" s="450"/>
    </row>
    <row r="3645" spans="1:8" ht="13.2">
      <c r="A3645" s="454" t="s">
        <v>1689</v>
      </c>
      <c r="B3645" s="452">
        <f>VLOOKUP(A3645,'Thống kê'!$C$3:$D$669,2,0)</f>
        <v>0</v>
      </c>
      <c r="C3645" s="436" t="str">
        <f>VLOOKUP(A3645,'Thống kê'!$C$3:$E$682,3,0)</f>
        <v>cái</v>
      </c>
      <c r="D3645" s="437">
        <f>VLOOKUP(A3645,'Thống kê'!$C$3:$M$682,4,0)</f>
        <v>0</v>
      </c>
      <c r="E3645" s="438">
        <v>1</v>
      </c>
      <c r="F3645" s="439">
        <f t="shared" si="15"/>
        <v>0</v>
      </c>
      <c r="G3645" s="440"/>
      <c r="H3645" s="448">
        <v>22733</v>
      </c>
    </row>
    <row r="3646" spans="1:8" ht="13.2">
      <c r="A3646" s="454" t="s">
        <v>1387</v>
      </c>
      <c r="B3646" s="452" t="str">
        <f>VLOOKUP(A3646,'Thống kê'!$C$3:$D$669,2,0)</f>
        <v>Móc khoá Crybaby mini Popmart</v>
      </c>
      <c r="C3646" s="436" t="str">
        <f>VLOOKUP(A3646,'Thống kê'!$C$3:$E$682,3,0)</f>
        <v>cái</v>
      </c>
      <c r="D3646" s="437">
        <f>VLOOKUP(A3646,'Thống kê'!$C$3:$M$682,4,0)</f>
        <v>0</v>
      </c>
      <c r="E3646" s="438">
        <v>1</v>
      </c>
      <c r="F3646" s="439">
        <f t="shared" si="15"/>
        <v>0</v>
      </c>
      <c r="G3646" s="440"/>
      <c r="H3646" s="447">
        <v>360144</v>
      </c>
    </row>
    <row r="3647" spans="1:8" ht="13.2">
      <c r="A3647" s="454" t="s">
        <v>258</v>
      </c>
      <c r="B3647" s="452" t="str">
        <f>VLOOKUP(A3647,'Thống kê'!$C$3:$D$669,2,0)</f>
        <v>Móc khoá Crybaby mini Popmart</v>
      </c>
      <c r="C3647" s="436" t="str">
        <f>VLOOKUP(A3647,'Thống kê'!$C$3:$E$682,3,0)</f>
        <v>cái</v>
      </c>
      <c r="D3647" s="437">
        <f>VLOOKUP(A3647,'Thống kê'!$C$3:$M$682,4,0)</f>
        <v>0</v>
      </c>
      <c r="E3647" s="438">
        <v>1</v>
      </c>
      <c r="F3647" s="439">
        <f t="shared" si="15"/>
        <v>0</v>
      </c>
      <c r="G3647" s="440"/>
      <c r="H3647" s="450"/>
    </row>
    <row r="3648" spans="1:8" ht="13.2">
      <c r="A3648" s="454" t="s">
        <v>1384</v>
      </c>
      <c r="B3648" s="452" t="str">
        <f>VLOOKUP(A3648,'Thống kê'!$C$3:$D$669,2,0)</f>
        <v>Móc khoá Crybaby mini Popmart</v>
      </c>
      <c r="C3648" s="436" t="str">
        <f>VLOOKUP(A3648,'Thống kê'!$C$3:$E$682,3,0)</f>
        <v>cái</v>
      </c>
      <c r="D3648" s="437">
        <f>VLOOKUP(A3648,'Thống kê'!$C$3:$M$682,4,0)</f>
        <v>0</v>
      </c>
      <c r="E3648" s="438">
        <v>1</v>
      </c>
      <c r="F3648" s="439">
        <f t="shared" si="15"/>
        <v>0</v>
      </c>
      <c r="G3648" s="440"/>
      <c r="H3648" s="450"/>
    </row>
    <row r="3649" spans="1:8" ht="13.2">
      <c r="A3649" s="454" t="s">
        <v>1937</v>
      </c>
      <c r="B3649" s="452" t="str">
        <f>VLOOKUP(A3649,'Thống kê'!$C$3:$D$669,2,0)</f>
        <v>Kẹp tóc hoa sứ cam</v>
      </c>
      <c r="C3649" s="436" t="str">
        <f>VLOOKUP(A3649,'Thống kê'!$C$3:$E$682,3,0)</f>
        <v>cái</v>
      </c>
      <c r="D3649" s="437">
        <f>VLOOKUP(A3649,'Thống kê'!$C$3:$M$682,4,0)</f>
        <v>18500</v>
      </c>
      <c r="E3649" s="438">
        <v>1</v>
      </c>
      <c r="F3649" s="439">
        <f t="shared" si="15"/>
        <v>18500</v>
      </c>
      <c r="G3649" s="440"/>
      <c r="H3649" s="450"/>
    </row>
    <row r="3650" spans="1:8" ht="13.2">
      <c r="A3650" s="454" t="s">
        <v>1787</v>
      </c>
      <c r="B3650" s="452" t="str">
        <f>VLOOKUP(A3650,'Thống kê'!$C$3:$D$669,2,0)</f>
        <v>Trâm cài 07</v>
      </c>
      <c r="C3650" s="436" t="str">
        <f>VLOOKUP(A3650,'Thống kê'!$C$3:$E$682,3,0)</f>
        <v>cây</v>
      </c>
      <c r="D3650" s="437">
        <f>VLOOKUP(A3650,'Thống kê'!$C$3:$M$682,4,0)</f>
        <v>22080</v>
      </c>
      <c r="E3650" s="438">
        <v>1</v>
      </c>
      <c r="F3650" s="439">
        <f t="shared" si="15"/>
        <v>22080</v>
      </c>
      <c r="G3650" s="440"/>
      <c r="H3650" s="447">
        <v>252633</v>
      </c>
    </row>
    <row r="3651" spans="1:8" ht="13.2">
      <c r="A3651" s="454" t="s">
        <v>1384</v>
      </c>
      <c r="B3651" s="452" t="str">
        <f>VLOOKUP(A3651,'Thống kê'!$C$3:$D$669,2,0)</f>
        <v>Móc khoá Crybaby mini Popmart</v>
      </c>
      <c r="C3651" s="436" t="str">
        <f>VLOOKUP(A3651,'Thống kê'!$C$3:$E$682,3,0)</f>
        <v>cái</v>
      </c>
      <c r="D3651" s="437">
        <f>VLOOKUP(A3651,'Thống kê'!$C$3:$M$682,4,0)</f>
        <v>0</v>
      </c>
      <c r="E3651" s="438">
        <v>1</v>
      </c>
      <c r="F3651" s="439">
        <f t="shared" si="15"/>
        <v>0</v>
      </c>
      <c r="G3651" s="440"/>
      <c r="H3651" s="450"/>
    </row>
    <row r="3652" spans="1:8" ht="13.2">
      <c r="A3652" s="454" t="s">
        <v>1388</v>
      </c>
      <c r="B3652" s="452" t="str">
        <f>VLOOKUP(A3652,'Thống kê'!$C$3:$D$669,2,0)</f>
        <v>Móc khoá Crybaby mini Popmart</v>
      </c>
      <c r="C3652" s="436" t="str">
        <f>VLOOKUP(A3652,'Thống kê'!$C$3:$E$682,3,0)</f>
        <v>cái</v>
      </c>
      <c r="D3652" s="437">
        <f>VLOOKUP(A3652,'Thống kê'!$C$3:$M$682,4,0)</f>
        <v>0</v>
      </c>
      <c r="E3652" s="438">
        <v>1</v>
      </c>
      <c r="F3652" s="439">
        <f t="shared" si="15"/>
        <v>0</v>
      </c>
      <c r="G3652" s="440"/>
      <c r="H3652" s="450"/>
    </row>
    <row r="3653" spans="1:8" ht="13.2">
      <c r="A3653" s="454" t="s">
        <v>1937</v>
      </c>
      <c r="B3653" s="452" t="str">
        <f>VLOOKUP(A3653,'Thống kê'!$C$3:$D$669,2,0)</f>
        <v>Kẹp tóc hoa sứ cam</v>
      </c>
      <c r="C3653" s="436" t="str">
        <f>VLOOKUP(A3653,'Thống kê'!$C$3:$E$682,3,0)</f>
        <v>cái</v>
      </c>
      <c r="D3653" s="437">
        <f>VLOOKUP(A3653,'Thống kê'!$C$3:$M$682,4,0)</f>
        <v>18500</v>
      </c>
      <c r="E3653" s="438">
        <v>1</v>
      </c>
      <c r="F3653" s="439">
        <f t="shared" si="15"/>
        <v>18500</v>
      </c>
      <c r="G3653" s="440"/>
      <c r="H3653" s="450"/>
    </row>
    <row r="3654" spans="1:8" ht="13.2">
      <c r="A3654" s="454" t="s">
        <v>1589</v>
      </c>
      <c r="B3654" s="452" t="str">
        <f>VLOOKUP(A3654,'Thống kê'!$C$3:$D$669,2,0)</f>
        <v>Heo ú bay</v>
      </c>
      <c r="C3654" s="436" t="str">
        <f>VLOOKUP(A3654,'Thống kê'!$C$3:$E$682,3,0)</f>
        <v>cái</v>
      </c>
      <c r="D3654" s="437">
        <f>VLOOKUP(A3654,'Thống kê'!$C$3:$M$682,4,0)</f>
        <v>64500</v>
      </c>
      <c r="E3654" s="438">
        <v>1</v>
      </c>
      <c r="F3654" s="439">
        <f t="shared" si="15"/>
        <v>64500</v>
      </c>
      <c r="G3654" s="440"/>
      <c r="H3654" s="447">
        <v>122508</v>
      </c>
    </row>
    <row r="3655" spans="1:8" ht="13.2">
      <c r="A3655" s="454" t="s">
        <v>1588</v>
      </c>
      <c r="B3655" s="452" t="str">
        <f>VLOOKUP(A3655,'Thống kê'!$C$3:$D$669,2,0)</f>
        <v>Heo ú hoa</v>
      </c>
      <c r="C3655" s="436" t="str">
        <f>VLOOKUP(A3655,'Thống kê'!$C$3:$E$682,3,0)</f>
        <v>cái</v>
      </c>
      <c r="D3655" s="437">
        <f>VLOOKUP(A3655,'Thống kê'!$C$3:$M$682,4,0)</f>
        <v>64500</v>
      </c>
      <c r="E3655" s="438">
        <v>1</v>
      </c>
      <c r="F3655" s="439">
        <f t="shared" si="15"/>
        <v>64500</v>
      </c>
      <c r="G3655" s="440"/>
      <c r="H3655" s="450"/>
    </row>
    <row r="3656" spans="1:8" ht="13.2">
      <c r="A3656" s="454" t="s">
        <v>1388</v>
      </c>
      <c r="B3656" s="452" t="str">
        <f>VLOOKUP(A3656,'Thống kê'!$C$3:$D$669,2,0)</f>
        <v>Móc khoá Crybaby mini Popmart</v>
      </c>
      <c r="C3656" s="436" t="str">
        <f>VLOOKUP(A3656,'Thống kê'!$C$3:$E$682,3,0)</f>
        <v>cái</v>
      </c>
      <c r="D3656" s="437">
        <f>VLOOKUP(A3656,'Thống kê'!$C$3:$M$682,4,0)</f>
        <v>0</v>
      </c>
      <c r="E3656" s="438">
        <v>1</v>
      </c>
      <c r="F3656" s="439">
        <f t="shared" si="15"/>
        <v>0</v>
      </c>
      <c r="G3656" s="440"/>
      <c r="H3656" s="447">
        <v>122508</v>
      </c>
    </row>
    <row r="3657" spans="1:8" ht="13.2">
      <c r="A3657" s="454" t="s">
        <v>1937</v>
      </c>
      <c r="B3657" s="452" t="str">
        <f>VLOOKUP(A3657,'Thống kê'!$C$3:$D$669,2,0)</f>
        <v>Kẹp tóc hoa sứ cam</v>
      </c>
      <c r="C3657" s="436" t="str">
        <f>VLOOKUP(A3657,'Thống kê'!$C$3:$E$682,3,0)</f>
        <v>cái</v>
      </c>
      <c r="D3657" s="437">
        <f>VLOOKUP(A3657,'Thống kê'!$C$3:$M$682,4,0)</f>
        <v>18500</v>
      </c>
      <c r="E3657" s="438">
        <v>1</v>
      </c>
      <c r="F3657" s="439">
        <f t="shared" si="15"/>
        <v>18500</v>
      </c>
      <c r="G3657" s="440"/>
      <c r="H3657" s="450"/>
    </row>
    <row r="3658" spans="1:8" ht="13.2">
      <c r="A3658" s="454" t="s">
        <v>1384</v>
      </c>
      <c r="B3658" s="452" t="str">
        <f>VLOOKUP(A3658,'Thống kê'!$C$3:$D$669,2,0)</f>
        <v>Móc khoá Crybaby mini Popmart</v>
      </c>
      <c r="C3658" s="436" t="str">
        <f>VLOOKUP(A3658,'Thống kê'!$C$3:$E$682,3,0)</f>
        <v>cái</v>
      </c>
      <c r="D3658" s="437">
        <f>VLOOKUP(A3658,'Thống kê'!$C$3:$M$682,4,0)</f>
        <v>0</v>
      </c>
      <c r="E3658" s="438">
        <v>1</v>
      </c>
      <c r="F3658" s="439">
        <f t="shared" si="15"/>
        <v>0</v>
      </c>
      <c r="G3658" s="440"/>
      <c r="H3658" s="447">
        <v>122508</v>
      </c>
    </row>
    <row r="3659" spans="1:8" ht="13.2">
      <c r="A3659" s="454" t="s">
        <v>1937</v>
      </c>
      <c r="B3659" s="452" t="str">
        <f>VLOOKUP(A3659,'Thống kê'!$C$3:$D$669,2,0)</f>
        <v>Kẹp tóc hoa sứ cam</v>
      </c>
      <c r="C3659" s="436" t="str">
        <f>VLOOKUP(A3659,'Thống kê'!$C$3:$E$682,3,0)</f>
        <v>cái</v>
      </c>
      <c r="D3659" s="437">
        <f>VLOOKUP(A3659,'Thống kê'!$C$3:$M$682,4,0)</f>
        <v>18500</v>
      </c>
      <c r="E3659" s="438">
        <v>1</v>
      </c>
      <c r="F3659" s="439">
        <f t="shared" si="15"/>
        <v>18500</v>
      </c>
      <c r="G3659" s="440"/>
      <c r="H3659" s="450"/>
    </row>
    <row r="3660" spans="1:8" ht="13.2">
      <c r="A3660" s="454" t="s">
        <v>1649</v>
      </c>
      <c r="B3660" s="452" t="str">
        <f>VLOOKUP(A3660,'Thống kê'!$C$3:$D$669,2,0)</f>
        <v>Túi chườm bụng trái bơ 1000ml</v>
      </c>
      <c r="C3660" s="436" t="str">
        <f>VLOOKUP(A3660,'Thống kê'!$C$3:$E$682,3,0)</f>
        <v>túi</v>
      </c>
      <c r="D3660" s="437">
        <f>VLOOKUP(A3660,'Thống kê'!$C$3:$M$682,4,0)</f>
        <v>101150</v>
      </c>
      <c r="E3660" s="438">
        <v>1</v>
      </c>
      <c r="F3660" s="439">
        <f t="shared" si="15"/>
        <v>101150</v>
      </c>
      <c r="G3660" s="440"/>
      <c r="H3660" s="447">
        <v>318882</v>
      </c>
    </row>
    <row r="3661" spans="1:8" ht="13.2">
      <c r="A3661" s="454" t="s">
        <v>1396</v>
      </c>
      <c r="B3661" s="452" t="str">
        <f>VLOOKUP(A3661,'Thống kê'!$C$3:$D$669,2,0)</f>
        <v>Móc khoá Labubu mini Popmart</v>
      </c>
      <c r="C3661" s="436" t="str">
        <f>VLOOKUP(A3661,'Thống kê'!$C$3:$E$682,3,0)</f>
        <v>cái</v>
      </c>
      <c r="D3661" s="437">
        <f>VLOOKUP(A3661,'Thống kê'!$C$3:$M$682,4,0)</f>
        <v>0</v>
      </c>
      <c r="E3661" s="438">
        <v>1</v>
      </c>
      <c r="F3661" s="439">
        <f t="shared" si="15"/>
        <v>0</v>
      </c>
      <c r="G3661" s="440"/>
      <c r="H3661" s="450"/>
    </row>
    <row r="3662" spans="1:8" ht="13.2">
      <c r="A3662" s="454" t="s">
        <v>1389</v>
      </c>
      <c r="B3662" s="452" t="str">
        <f>VLOOKUP(A3662,'Thống kê'!$C$3:$D$669,2,0)</f>
        <v>Móc khoá Crybaby mini Popmart</v>
      </c>
      <c r="C3662" s="436" t="str">
        <f>VLOOKUP(A3662,'Thống kê'!$C$3:$E$682,3,0)</f>
        <v>cái</v>
      </c>
      <c r="D3662" s="437">
        <f>VLOOKUP(A3662,'Thống kê'!$C$3:$M$682,4,0)</f>
        <v>0</v>
      </c>
      <c r="E3662" s="438">
        <v>1</v>
      </c>
      <c r="F3662" s="439">
        <f t="shared" si="15"/>
        <v>0</v>
      </c>
      <c r="G3662" s="440"/>
      <c r="H3662" s="450"/>
    </row>
    <row r="3663" spans="1:8" ht="13.2">
      <c r="A3663" s="454" t="s">
        <v>1937</v>
      </c>
      <c r="B3663" s="452" t="str">
        <f>VLOOKUP(A3663,'Thống kê'!$C$3:$D$669,2,0)</f>
        <v>Kẹp tóc hoa sứ cam</v>
      </c>
      <c r="C3663" s="436" t="str">
        <f>VLOOKUP(A3663,'Thống kê'!$C$3:$E$682,3,0)</f>
        <v>cái</v>
      </c>
      <c r="D3663" s="437">
        <f>VLOOKUP(A3663,'Thống kê'!$C$3:$M$682,4,0)</f>
        <v>18500</v>
      </c>
      <c r="E3663" s="438">
        <v>1</v>
      </c>
      <c r="F3663" s="439">
        <f t="shared" si="15"/>
        <v>18500</v>
      </c>
      <c r="G3663" s="440"/>
      <c r="H3663" s="450"/>
    </row>
    <row r="3664" spans="1:8" ht="13.2">
      <c r="A3664" s="454" t="s">
        <v>1364</v>
      </c>
      <c r="B3664" s="452" t="str">
        <f>VLOOKUP(A3664,'Thống kê'!$C$3:$D$669,2,0)</f>
        <v>Móc khóa Popbean</v>
      </c>
      <c r="C3664" s="436" t="str">
        <f>VLOOKUP(A3664,'Thống kê'!$C$3:$E$682,3,0)</f>
        <v>cái</v>
      </c>
      <c r="D3664" s="437">
        <f>VLOOKUP(A3664,'Thống kê'!$C$3:$M$682,4,0)</f>
        <v>148000</v>
      </c>
      <c r="E3664" s="438">
        <v>1</v>
      </c>
      <c r="F3664" s="439">
        <f t="shared" si="15"/>
        <v>148000</v>
      </c>
      <c r="G3664" s="440"/>
      <c r="H3664" s="447">
        <v>253026</v>
      </c>
    </row>
    <row r="3665" spans="1:8" ht="13.2">
      <c r="A3665" s="454" t="s">
        <v>138</v>
      </c>
      <c r="B3665" s="452" t="str">
        <f>VLOOKUP(A3665,'Thống kê'!$C$3:$D$669,2,0)</f>
        <v>Móc khoá Crybaby mini Popmart</v>
      </c>
      <c r="C3665" s="436" t="str">
        <f>VLOOKUP(A3665,'Thống kê'!$C$3:$E$682,3,0)</f>
        <v>cái</v>
      </c>
      <c r="D3665" s="437">
        <f>VLOOKUP(A3665,'Thống kê'!$C$3:$M$682,4,0)</f>
        <v>0</v>
      </c>
      <c r="E3665" s="438">
        <v>1</v>
      </c>
      <c r="F3665" s="439">
        <f t="shared" si="15"/>
        <v>0</v>
      </c>
      <c r="G3665" s="440"/>
      <c r="H3665" s="450"/>
    </row>
    <row r="3666" spans="1:8" ht="13.2">
      <c r="A3666" s="454" t="s">
        <v>1937</v>
      </c>
      <c r="B3666" s="452" t="str">
        <f>VLOOKUP(A3666,'Thống kê'!$C$3:$D$669,2,0)</f>
        <v>Kẹp tóc hoa sứ cam</v>
      </c>
      <c r="C3666" s="436" t="str">
        <f>VLOOKUP(A3666,'Thống kê'!$C$3:$E$682,3,0)</f>
        <v>cái</v>
      </c>
      <c r="D3666" s="437">
        <f>VLOOKUP(A3666,'Thống kê'!$C$3:$M$682,4,0)</f>
        <v>18500</v>
      </c>
      <c r="E3666" s="438">
        <v>1</v>
      </c>
      <c r="F3666" s="439">
        <f t="shared" si="15"/>
        <v>18500</v>
      </c>
      <c r="G3666" s="440"/>
      <c r="H3666" s="450"/>
    </row>
    <row r="3667" spans="1:8" ht="13.2">
      <c r="A3667" s="454" t="s">
        <v>1384</v>
      </c>
      <c r="B3667" s="452" t="str">
        <f>VLOOKUP(A3667,'Thống kê'!$C$3:$D$669,2,0)</f>
        <v>Móc khoá Crybaby mini Popmart</v>
      </c>
      <c r="C3667" s="436" t="str">
        <f>VLOOKUP(A3667,'Thống kê'!$C$3:$E$682,3,0)</f>
        <v>cái</v>
      </c>
      <c r="D3667" s="437">
        <f>VLOOKUP(A3667,'Thống kê'!$C$3:$M$682,4,0)</f>
        <v>0</v>
      </c>
      <c r="E3667" s="438">
        <v>1</v>
      </c>
      <c r="F3667" s="439">
        <f t="shared" si="15"/>
        <v>0</v>
      </c>
      <c r="G3667" s="440"/>
      <c r="H3667" s="447">
        <v>122508</v>
      </c>
    </row>
    <row r="3668" spans="1:8" ht="13.2">
      <c r="A3668" s="454" t="s">
        <v>1937</v>
      </c>
      <c r="B3668" s="452" t="str">
        <f>VLOOKUP(A3668,'Thống kê'!$C$3:$D$669,2,0)</f>
        <v>Kẹp tóc hoa sứ cam</v>
      </c>
      <c r="C3668" s="436" t="str">
        <f>VLOOKUP(A3668,'Thống kê'!$C$3:$E$682,3,0)</f>
        <v>cái</v>
      </c>
      <c r="D3668" s="437">
        <f>VLOOKUP(A3668,'Thống kê'!$C$3:$M$682,4,0)</f>
        <v>18500</v>
      </c>
      <c r="E3668" s="438">
        <v>1</v>
      </c>
      <c r="F3668" s="439">
        <f t="shared" si="15"/>
        <v>18500</v>
      </c>
      <c r="G3668" s="440"/>
      <c r="H3668" s="450"/>
    </row>
    <row r="3669" spans="1:8" ht="13.2">
      <c r="A3669" s="454" t="s">
        <v>1384</v>
      </c>
      <c r="B3669" s="452" t="str">
        <f>VLOOKUP(A3669,'Thống kê'!$C$3:$D$669,2,0)</f>
        <v>Móc khoá Crybaby mini Popmart</v>
      </c>
      <c r="C3669" s="436" t="str">
        <f>VLOOKUP(A3669,'Thống kê'!$C$3:$E$682,3,0)</f>
        <v>cái</v>
      </c>
      <c r="D3669" s="437">
        <f>VLOOKUP(A3669,'Thống kê'!$C$3:$M$682,4,0)</f>
        <v>0</v>
      </c>
      <c r="E3669" s="438">
        <v>1</v>
      </c>
      <c r="F3669" s="439">
        <f t="shared" si="15"/>
        <v>0</v>
      </c>
      <c r="G3669" s="440"/>
      <c r="H3669" s="447">
        <v>120048</v>
      </c>
    </row>
    <row r="3670" spans="1:8" ht="13.2">
      <c r="A3670" s="454" t="s">
        <v>1937</v>
      </c>
      <c r="B3670" s="452" t="str">
        <f>VLOOKUP(A3670,'Thống kê'!$C$3:$D$669,2,0)</f>
        <v>Kẹp tóc hoa sứ cam</v>
      </c>
      <c r="C3670" s="436" t="str">
        <f>VLOOKUP(A3670,'Thống kê'!$C$3:$E$682,3,0)</f>
        <v>cái</v>
      </c>
      <c r="D3670" s="437">
        <f>VLOOKUP(A3670,'Thống kê'!$C$3:$M$682,4,0)</f>
        <v>18500</v>
      </c>
      <c r="E3670" s="438">
        <v>1</v>
      </c>
      <c r="F3670" s="439">
        <f t="shared" si="15"/>
        <v>18500</v>
      </c>
      <c r="G3670" s="440"/>
      <c r="H3670" s="450"/>
    </row>
    <row r="3671" spans="1:8" ht="13.2">
      <c r="A3671" s="454" t="s">
        <v>1390</v>
      </c>
      <c r="B3671" s="452" t="str">
        <f>VLOOKUP(A3671,'Thống kê'!$C$3:$D$669,2,0)</f>
        <v>Móc khoá Labubu mini Popmart</v>
      </c>
      <c r="C3671" s="436" t="str">
        <f>VLOOKUP(A3671,'Thống kê'!$C$3:$E$682,3,0)</f>
        <v>cái</v>
      </c>
      <c r="D3671" s="437">
        <f>VLOOKUP(A3671,'Thống kê'!$C$3:$M$682,4,0)</f>
        <v>0</v>
      </c>
      <c r="E3671" s="438">
        <v>1</v>
      </c>
      <c r="F3671" s="439">
        <f t="shared" si="15"/>
        <v>0</v>
      </c>
      <c r="G3671" s="440"/>
      <c r="H3671" s="447">
        <v>233412</v>
      </c>
    </row>
    <row r="3672" spans="1:8" ht="13.2">
      <c r="A3672" s="454" t="s">
        <v>1384</v>
      </c>
      <c r="B3672" s="452" t="str">
        <f>VLOOKUP(A3672,'Thống kê'!$C$3:$D$669,2,0)</f>
        <v>Móc khoá Crybaby mini Popmart</v>
      </c>
      <c r="C3672" s="436" t="str">
        <f>VLOOKUP(A3672,'Thống kê'!$C$3:$E$682,3,0)</f>
        <v>cái</v>
      </c>
      <c r="D3672" s="437">
        <f>VLOOKUP(A3672,'Thống kê'!$C$3:$M$682,4,0)</f>
        <v>0</v>
      </c>
      <c r="E3672" s="438">
        <v>1</v>
      </c>
      <c r="F3672" s="439">
        <f t="shared" si="15"/>
        <v>0</v>
      </c>
      <c r="G3672" s="440"/>
      <c r="H3672" s="450"/>
    </row>
    <row r="3673" spans="1:8" ht="13.2">
      <c r="A3673" s="454" t="s">
        <v>1937</v>
      </c>
      <c r="B3673" s="452" t="str">
        <f>VLOOKUP(A3673,'Thống kê'!$C$3:$D$669,2,0)</f>
        <v>Kẹp tóc hoa sứ cam</v>
      </c>
      <c r="C3673" s="436" t="str">
        <f>VLOOKUP(A3673,'Thống kê'!$C$3:$E$682,3,0)</f>
        <v>cái</v>
      </c>
      <c r="D3673" s="437">
        <f>VLOOKUP(A3673,'Thống kê'!$C$3:$M$682,4,0)</f>
        <v>18500</v>
      </c>
      <c r="E3673" s="438">
        <v>1</v>
      </c>
      <c r="F3673" s="439">
        <f t="shared" si="15"/>
        <v>18500</v>
      </c>
      <c r="G3673" s="440"/>
      <c r="H3673" s="450"/>
    </row>
    <row r="3674" spans="1:8" ht="13.2">
      <c r="A3674" s="454" t="s">
        <v>1390</v>
      </c>
      <c r="B3674" s="452" t="str">
        <f>VLOOKUP(A3674,'Thống kê'!$C$3:$D$669,2,0)</f>
        <v>Móc khoá Labubu mini Popmart</v>
      </c>
      <c r="C3674" s="436" t="str">
        <f>VLOOKUP(A3674,'Thống kê'!$C$3:$E$682,3,0)</f>
        <v>cái</v>
      </c>
      <c r="D3674" s="437">
        <f>VLOOKUP(A3674,'Thống kê'!$C$3:$M$682,4,0)</f>
        <v>0</v>
      </c>
      <c r="E3674" s="438">
        <v>1</v>
      </c>
      <c r="F3674" s="439">
        <f t="shared" si="15"/>
        <v>0</v>
      </c>
      <c r="G3674" s="440"/>
      <c r="H3674" s="448">
        <v>0</v>
      </c>
    </row>
    <row r="3675" spans="1:8" ht="13.2">
      <c r="A3675" s="454" t="s">
        <v>138</v>
      </c>
      <c r="B3675" s="452" t="str">
        <f>VLOOKUP(A3675,'Thống kê'!$C$3:$D$669,2,0)</f>
        <v>Móc khoá Crybaby mini Popmart</v>
      </c>
      <c r="C3675" s="436" t="str">
        <f>VLOOKUP(A3675,'Thống kê'!$C$3:$E$682,3,0)</f>
        <v>cái</v>
      </c>
      <c r="D3675" s="437">
        <f>VLOOKUP(A3675,'Thống kê'!$C$3:$M$682,4,0)</f>
        <v>0</v>
      </c>
      <c r="E3675" s="438">
        <v>1</v>
      </c>
      <c r="F3675" s="439">
        <f t="shared" si="15"/>
        <v>0</v>
      </c>
      <c r="G3675" s="440"/>
      <c r="H3675" s="447">
        <v>122508</v>
      </c>
    </row>
    <row r="3676" spans="1:8" ht="13.2">
      <c r="A3676" s="454" t="s">
        <v>1937</v>
      </c>
      <c r="B3676" s="452" t="str">
        <f>VLOOKUP(A3676,'Thống kê'!$C$3:$D$669,2,0)</f>
        <v>Kẹp tóc hoa sứ cam</v>
      </c>
      <c r="C3676" s="436" t="str">
        <f>VLOOKUP(A3676,'Thống kê'!$C$3:$E$682,3,0)</f>
        <v>cái</v>
      </c>
      <c r="D3676" s="437">
        <f>VLOOKUP(A3676,'Thống kê'!$C$3:$M$682,4,0)</f>
        <v>18500</v>
      </c>
      <c r="E3676" s="438">
        <v>1</v>
      </c>
      <c r="F3676" s="439">
        <f t="shared" si="15"/>
        <v>18500</v>
      </c>
      <c r="G3676" s="440"/>
      <c r="H3676" s="450"/>
    </row>
    <row r="3677" spans="1:8" ht="13.2">
      <c r="A3677" s="454" t="s">
        <v>1594</v>
      </c>
      <c r="B3677" s="452" t="str">
        <f>VLOOKUP(A3677,'Thống kê'!$C$3:$D$669,2,0)</f>
        <v>Móc khóa đôi heo</v>
      </c>
      <c r="C3677" s="436" t="str">
        <f>VLOOKUP(A3677,'Thống kê'!$C$3:$E$682,3,0)</f>
        <v>cái</v>
      </c>
      <c r="D3677" s="437">
        <f>VLOOKUP(A3677,'Thống kê'!$C$3:$M$682,4,0)</f>
        <v>56580</v>
      </c>
      <c r="E3677" s="438">
        <v>1</v>
      </c>
      <c r="F3677" s="439">
        <f t="shared" si="15"/>
        <v>56580</v>
      </c>
      <c r="G3677" s="440"/>
      <c r="H3677" s="448">
        <v>46321</v>
      </c>
    </row>
    <row r="3678" spans="1:8" ht="13.2">
      <c r="A3678" s="454" t="s">
        <v>1634</v>
      </c>
      <c r="B3678" s="452" t="str">
        <f>VLOOKUP(A3678,'Thống kê'!$C$3:$D$669,2,0)</f>
        <v>Móc khóa mèo đen cá</v>
      </c>
      <c r="C3678" s="436" t="str">
        <f>VLOOKUP(A3678,'Thống kê'!$C$3:$E$682,3,0)</f>
        <v>cái</v>
      </c>
      <c r="D3678" s="437">
        <f>VLOOKUP(A3678,'Thống kê'!$C$3:$M$682,4,0)</f>
        <v>59000</v>
      </c>
      <c r="E3678" s="438">
        <v>1</v>
      </c>
      <c r="F3678" s="439">
        <f t="shared" si="15"/>
        <v>59000</v>
      </c>
      <c r="G3678" s="440"/>
      <c r="H3678" s="447">
        <v>153731</v>
      </c>
    </row>
    <row r="3679" spans="1:8" ht="13.2">
      <c r="A3679" s="454" t="s">
        <v>1401</v>
      </c>
      <c r="B3679" s="452" t="str">
        <f>VLOOKUP(A3679,'Thống kê'!$C$3:$D$669,2,0)</f>
        <v>Móc khoá Dimoo size mini (hàng remake)</v>
      </c>
      <c r="C3679" s="436" t="str">
        <f>VLOOKUP(A3679,'Thống kê'!$C$3:$E$682,3,0)</f>
        <v>cái</v>
      </c>
      <c r="D3679" s="437">
        <f>VLOOKUP(A3679,'Thống kê'!$C$3:$M$682,4,0)</f>
        <v>0</v>
      </c>
      <c r="E3679" s="438">
        <v>1</v>
      </c>
      <c r="F3679" s="439">
        <f t="shared" si="15"/>
        <v>0</v>
      </c>
      <c r="G3679" s="440"/>
      <c r="H3679" s="450"/>
    </row>
    <row r="3680" spans="1:8" ht="13.2">
      <c r="A3680" s="454" t="s">
        <v>1937</v>
      </c>
      <c r="B3680" s="452" t="str">
        <f>VLOOKUP(A3680,'Thống kê'!$C$3:$D$669,2,0)</f>
        <v>Kẹp tóc hoa sứ cam</v>
      </c>
      <c r="C3680" s="436" t="str">
        <f>VLOOKUP(A3680,'Thống kê'!$C$3:$E$682,3,0)</f>
        <v>cái</v>
      </c>
      <c r="D3680" s="437">
        <f>VLOOKUP(A3680,'Thống kê'!$C$3:$M$682,4,0)</f>
        <v>18500</v>
      </c>
      <c r="E3680" s="438">
        <v>1</v>
      </c>
      <c r="F3680" s="439">
        <f t="shared" si="15"/>
        <v>18500</v>
      </c>
      <c r="G3680" s="440"/>
      <c r="H3680" s="450"/>
    </row>
    <row r="3681" spans="1:8" ht="13.2">
      <c r="A3681" s="454" t="s">
        <v>1624</v>
      </c>
      <c r="B3681" s="452" t="str">
        <f>VLOOKUP(A3681,'Thống kê'!$C$3:$D$669,2,0)</f>
        <v>Móc khóa mèo trái tim</v>
      </c>
      <c r="C3681" s="436" t="str">
        <f>VLOOKUP(A3681,'Thống kê'!$C$3:$E$682,3,0)</f>
        <v>cái</v>
      </c>
      <c r="D3681" s="437">
        <f>VLOOKUP(A3681,'Thống kê'!$C$3:$M$682,4,0)</f>
        <v>59000</v>
      </c>
      <c r="E3681" s="438">
        <v>1</v>
      </c>
      <c r="F3681" s="439">
        <f t="shared" si="15"/>
        <v>59000</v>
      </c>
      <c r="G3681" s="440"/>
      <c r="H3681" s="448">
        <v>44110</v>
      </c>
    </row>
    <row r="3682" spans="1:8" ht="13.2">
      <c r="A3682" s="454" t="s">
        <v>1688</v>
      </c>
      <c r="B3682" s="452">
        <f>VLOOKUP(A3682,'Thống kê'!$C$3:$D$669,2,0)</f>
        <v>0</v>
      </c>
      <c r="C3682" s="436" t="str">
        <f>VLOOKUP(A3682,'Thống kê'!$C$3:$E$682,3,0)</f>
        <v>cái</v>
      </c>
      <c r="D3682" s="437">
        <f>VLOOKUP(A3682,'Thống kê'!$C$3:$M$682,4,0)</f>
        <v>0</v>
      </c>
      <c r="E3682" s="438">
        <v>1</v>
      </c>
      <c r="F3682" s="439">
        <f t="shared" si="15"/>
        <v>0</v>
      </c>
      <c r="G3682" s="440"/>
      <c r="H3682" s="447">
        <v>43450</v>
      </c>
    </row>
    <row r="3683" spans="1:8" ht="13.2">
      <c r="A3683" s="454" t="s">
        <v>1689</v>
      </c>
      <c r="B3683" s="452">
        <f>VLOOKUP(A3683,'Thống kê'!$C$3:$D$669,2,0)</f>
        <v>0</v>
      </c>
      <c r="C3683" s="436" t="str">
        <f>VLOOKUP(A3683,'Thống kê'!$C$3:$E$682,3,0)</f>
        <v>cái</v>
      </c>
      <c r="D3683" s="437">
        <f>VLOOKUP(A3683,'Thống kê'!$C$3:$M$682,4,0)</f>
        <v>0</v>
      </c>
      <c r="E3683" s="438">
        <v>1</v>
      </c>
      <c r="F3683" s="439">
        <f t="shared" si="15"/>
        <v>0</v>
      </c>
      <c r="G3683" s="440"/>
      <c r="H3683" s="450"/>
    </row>
    <row r="3684" spans="1:8" ht="13.2">
      <c r="A3684" s="454" t="s">
        <v>2081</v>
      </c>
      <c r="B3684" s="452" t="str">
        <f>VLOOKUP(A3684,'Thống kê'!$C$3:$D$669,2,0)</f>
        <v>Buộc tóc vải xốp trắng</v>
      </c>
      <c r="C3684" s="436" t="str">
        <f>VLOOKUP(A3684,'Thống kê'!$C$3:$E$682,3,0)</f>
        <v>cái</v>
      </c>
      <c r="D3684" s="437">
        <f>VLOOKUP(A3684,'Thống kê'!$C$3:$M$682,4,0)</f>
        <v>14000</v>
      </c>
      <c r="E3684" s="438">
        <v>1</v>
      </c>
      <c r="F3684" s="439">
        <f t="shared" si="15"/>
        <v>14000</v>
      </c>
      <c r="G3684" s="440"/>
      <c r="H3684" s="447">
        <v>22612</v>
      </c>
    </row>
    <row r="3685" spans="1:8" ht="13.2">
      <c r="A3685" s="454" t="s">
        <v>1382</v>
      </c>
      <c r="B3685" s="452" t="str">
        <f>VLOOKUP(A3685,'Thống kê'!$C$3:$D$669,2,0)</f>
        <v>miếng dán silicon điện thoại</v>
      </c>
      <c r="C3685" s="436" t="str">
        <f>VLOOKUP(A3685,'Thống kê'!$C$3:$E$682,3,0)</f>
        <v>cái</v>
      </c>
      <c r="D3685" s="437">
        <f>VLOOKUP(A3685,'Thống kê'!$C$3:$M$682,4,0)</f>
        <v>0</v>
      </c>
      <c r="E3685" s="438">
        <v>5</v>
      </c>
      <c r="F3685" s="439">
        <f t="shared" si="15"/>
        <v>0</v>
      </c>
      <c r="G3685" s="440"/>
      <c r="H3685" s="450"/>
    </row>
    <row r="3686" spans="1:8" ht="13.2">
      <c r="A3686" s="454" t="s">
        <v>1345</v>
      </c>
      <c r="B3686" s="452" t="str">
        <f>VLOOKUP(A3686,'Thống kê'!$C$3:$D$669,2,0)</f>
        <v>Móc khóa chuối</v>
      </c>
      <c r="C3686" s="436" t="str">
        <f>VLOOKUP(A3686,'Thống kê'!$C$3:$E$682,3,0)</f>
        <v>cái</v>
      </c>
      <c r="D3686" s="437">
        <f>VLOOKUP(A3686,'Thống kê'!$C$3:$M$682,4,0)</f>
        <v>148000</v>
      </c>
      <c r="E3686" s="438">
        <v>1</v>
      </c>
      <c r="F3686" s="439">
        <f t="shared" si="15"/>
        <v>148000</v>
      </c>
      <c r="G3686" s="440"/>
      <c r="H3686" s="447">
        <v>311108</v>
      </c>
    </row>
    <row r="3687" spans="1:8" ht="13.2">
      <c r="A3687" s="454" t="s">
        <v>138</v>
      </c>
      <c r="B3687" s="452" t="str">
        <f>VLOOKUP(A3687,'Thống kê'!$C$3:$D$669,2,0)</f>
        <v>Móc khoá Crybaby mini Popmart</v>
      </c>
      <c r="C3687" s="436" t="str">
        <f>VLOOKUP(A3687,'Thống kê'!$C$3:$E$682,3,0)</f>
        <v>cái</v>
      </c>
      <c r="D3687" s="437">
        <f>VLOOKUP(A3687,'Thống kê'!$C$3:$M$682,4,0)</f>
        <v>0</v>
      </c>
      <c r="E3687" s="438">
        <v>1</v>
      </c>
      <c r="F3687" s="439">
        <f t="shared" si="15"/>
        <v>0</v>
      </c>
      <c r="G3687" s="440"/>
      <c r="H3687" s="450"/>
    </row>
    <row r="3688" spans="1:8" ht="13.2">
      <c r="A3688" s="454" t="s">
        <v>1389</v>
      </c>
      <c r="B3688" s="452" t="str">
        <f>VLOOKUP(A3688,'Thống kê'!$C$3:$D$669,2,0)</f>
        <v>Móc khoá Crybaby mini Popmart</v>
      </c>
      <c r="C3688" s="436" t="str">
        <f>VLOOKUP(A3688,'Thống kê'!$C$3:$E$682,3,0)</f>
        <v>cái</v>
      </c>
      <c r="D3688" s="437">
        <f>VLOOKUP(A3688,'Thống kê'!$C$3:$M$682,4,0)</f>
        <v>0</v>
      </c>
      <c r="E3688" s="438">
        <v>1</v>
      </c>
      <c r="F3688" s="439">
        <f t="shared" si="15"/>
        <v>0</v>
      </c>
      <c r="G3688" s="440"/>
      <c r="H3688" s="450"/>
    </row>
    <row r="3689" spans="1:8" ht="13.2">
      <c r="A3689" s="454" t="s">
        <v>1939</v>
      </c>
      <c r="B3689" s="452" t="str">
        <f>VLOOKUP(A3689,'Thống kê'!$C$3:$D$669,2,0)</f>
        <v>Kẹp tóc hoa sứ đỏ hồng đậm</v>
      </c>
      <c r="C3689" s="436" t="str">
        <f>VLOOKUP(A3689,'Thống kê'!$C$3:$E$682,3,0)</f>
        <v>cái</v>
      </c>
      <c r="D3689" s="437">
        <f>VLOOKUP(A3689,'Thống kê'!$C$3:$M$682,4,0)</f>
        <v>18500</v>
      </c>
      <c r="E3689" s="438">
        <v>1</v>
      </c>
      <c r="F3689" s="439">
        <f t="shared" si="15"/>
        <v>18500</v>
      </c>
      <c r="G3689" s="440"/>
      <c r="H3689" s="450"/>
    </row>
    <row r="3690" spans="1:8" ht="13.2">
      <c r="A3690" s="454" t="s">
        <v>1364</v>
      </c>
      <c r="B3690" s="452" t="str">
        <f>VLOOKUP(A3690,'Thống kê'!$C$3:$D$669,2,0)</f>
        <v>Móc khóa Popbean</v>
      </c>
      <c r="C3690" s="436" t="str">
        <f>VLOOKUP(A3690,'Thống kê'!$C$3:$E$682,3,0)</f>
        <v>cái</v>
      </c>
      <c r="D3690" s="437">
        <f>VLOOKUP(A3690,'Thống kê'!$C$3:$M$682,4,0)</f>
        <v>148000</v>
      </c>
      <c r="E3690" s="438">
        <v>1</v>
      </c>
      <c r="F3690" s="439">
        <f t="shared" si="15"/>
        <v>148000</v>
      </c>
      <c r="G3690" s="440"/>
      <c r="H3690" s="447">
        <v>141040</v>
      </c>
    </row>
    <row r="3691" spans="1:8" ht="13.2">
      <c r="A3691" s="454" t="s">
        <v>1939</v>
      </c>
      <c r="B3691" s="452" t="str">
        <f>VLOOKUP(A3691,'Thống kê'!$C$3:$D$669,2,0)</f>
        <v>Kẹp tóc hoa sứ đỏ hồng đậm</v>
      </c>
      <c r="C3691" s="436" t="str">
        <f>VLOOKUP(A3691,'Thống kê'!$C$3:$E$682,3,0)</f>
        <v>cái</v>
      </c>
      <c r="D3691" s="437">
        <f>VLOOKUP(A3691,'Thống kê'!$C$3:$M$682,4,0)</f>
        <v>18500</v>
      </c>
      <c r="E3691" s="438">
        <v>1</v>
      </c>
      <c r="F3691" s="439">
        <f t="shared" si="15"/>
        <v>18500</v>
      </c>
      <c r="G3691" s="440"/>
      <c r="H3691" s="450"/>
    </row>
    <row r="3692" spans="1:8" ht="13.2">
      <c r="A3692" s="454" t="s">
        <v>1384</v>
      </c>
      <c r="B3692" s="452" t="str">
        <f>VLOOKUP(A3692,'Thống kê'!$C$3:$D$669,2,0)</f>
        <v>Móc khoá Crybaby mini Popmart</v>
      </c>
      <c r="C3692" s="436" t="str">
        <f>VLOOKUP(A3692,'Thống kê'!$C$3:$E$682,3,0)</f>
        <v>cái</v>
      </c>
      <c r="D3692" s="437">
        <f>VLOOKUP(A3692,'Thống kê'!$C$3:$M$682,4,0)</f>
        <v>0</v>
      </c>
      <c r="E3692" s="438">
        <v>1</v>
      </c>
      <c r="F3692" s="439">
        <f t="shared" si="15"/>
        <v>0</v>
      </c>
      <c r="G3692" s="440"/>
      <c r="H3692" s="447">
        <v>122508</v>
      </c>
    </row>
    <row r="3693" spans="1:8" ht="13.2">
      <c r="A3693" s="454" t="s">
        <v>1939</v>
      </c>
      <c r="B3693" s="452" t="str">
        <f>VLOOKUP(A3693,'Thống kê'!$C$3:$D$669,2,0)</f>
        <v>Kẹp tóc hoa sứ đỏ hồng đậm</v>
      </c>
      <c r="C3693" s="436" t="str">
        <f>VLOOKUP(A3693,'Thống kê'!$C$3:$E$682,3,0)</f>
        <v>cái</v>
      </c>
      <c r="D3693" s="437">
        <f>VLOOKUP(A3693,'Thống kê'!$C$3:$M$682,4,0)</f>
        <v>18500</v>
      </c>
      <c r="E3693" s="438">
        <v>1</v>
      </c>
      <c r="F3693" s="439">
        <f t="shared" si="15"/>
        <v>18500</v>
      </c>
      <c r="G3693" s="440"/>
      <c r="H3693" s="450"/>
    </row>
    <row r="3694" spans="1:8" ht="13.2">
      <c r="A3694" s="454" t="s">
        <v>2072</v>
      </c>
      <c r="B3694" s="452" t="str">
        <f>VLOOKUP(A3694,'Thống kê'!$C$3:$D$669,2,0)</f>
        <v>Kẹp càng cua lông hình gấu be</v>
      </c>
      <c r="C3694" s="436" t="str">
        <f>VLOOKUP(A3694,'Thống kê'!$C$3:$E$682,3,0)</f>
        <v>cái</v>
      </c>
      <c r="D3694" s="437">
        <f>VLOOKUP(A3694,'Thống kê'!$C$3:$M$682,4,0)</f>
        <v>18000</v>
      </c>
      <c r="E3694" s="438">
        <v>1</v>
      </c>
      <c r="F3694" s="439">
        <f t="shared" si="15"/>
        <v>18000</v>
      </c>
      <c r="G3694" s="440"/>
      <c r="H3694" s="447">
        <v>125526</v>
      </c>
    </row>
    <row r="3695" spans="1:8" ht="13.2">
      <c r="A3695" s="454" t="s">
        <v>1351</v>
      </c>
      <c r="B3695" s="452" t="str">
        <f>VLOOKUP(A3695,'Thống kê'!$C$3:$D$669,2,0)</f>
        <v>Trang trí mô hình Heo</v>
      </c>
      <c r="C3695" s="436" t="str">
        <f>VLOOKUP(A3695,'Thống kê'!$C$3:$E$682,3,0)</f>
        <v>cái</v>
      </c>
      <c r="D3695" s="437">
        <f>VLOOKUP(A3695,'Thống kê'!$C$3:$M$682,4,0)</f>
        <v>39000</v>
      </c>
      <c r="E3695" s="438">
        <v>1</v>
      </c>
      <c r="F3695" s="439">
        <f t="shared" si="15"/>
        <v>39000</v>
      </c>
      <c r="G3695" s="440"/>
      <c r="H3695" s="450"/>
    </row>
    <row r="3696" spans="1:8" ht="13.2">
      <c r="A3696" s="454" t="s">
        <v>1353</v>
      </c>
      <c r="B3696" s="452" t="str">
        <f>VLOOKUP(A3696,'Thống kê'!$C$3:$D$669,2,0)</f>
        <v>Trang trí mô hình Vịt</v>
      </c>
      <c r="C3696" s="436" t="str">
        <f>VLOOKUP(A3696,'Thống kê'!$C$3:$E$682,3,0)</f>
        <v>cái</v>
      </c>
      <c r="D3696" s="437">
        <f>VLOOKUP(A3696,'Thống kê'!$C$3:$M$682,4,0)</f>
        <v>39000</v>
      </c>
      <c r="E3696" s="438">
        <v>1</v>
      </c>
      <c r="F3696" s="439">
        <f t="shared" si="15"/>
        <v>39000</v>
      </c>
      <c r="G3696" s="440"/>
      <c r="H3696" s="450"/>
    </row>
    <row r="3697" spans="1:8" ht="13.2">
      <c r="A3697" s="454" t="s">
        <v>1357</v>
      </c>
      <c r="B3697" s="452" t="str">
        <f>VLOOKUP(A3697,'Thống kê'!$C$3:$D$669,2,0)</f>
        <v>Trang trí mô hình Thỏ</v>
      </c>
      <c r="C3697" s="436" t="str">
        <f>VLOOKUP(A3697,'Thống kê'!$C$3:$E$682,3,0)</f>
        <v>cái</v>
      </c>
      <c r="D3697" s="437">
        <f>VLOOKUP(A3697,'Thống kê'!$C$3:$M$682,4,0)</f>
        <v>39000</v>
      </c>
      <c r="E3697" s="438">
        <v>1</v>
      </c>
      <c r="F3697" s="439">
        <f t="shared" si="15"/>
        <v>39000</v>
      </c>
      <c r="G3697" s="440"/>
      <c r="H3697" s="450"/>
    </row>
    <row r="3698" spans="1:8" ht="13.2">
      <c r="A3698" s="454" t="s">
        <v>1359</v>
      </c>
      <c r="B3698" s="452" t="str">
        <f>VLOOKUP(A3698,'Thống kê'!$C$3:$D$669,2,0)</f>
        <v>Trang trí mô hình Cún</v>
      </c>
      <c r="C3698" s="436" t="str">
        <f>VLOOKUP(A3698,'Thống kê'!$C$3:$E$682,3,0)</f>
        <v>cái</v>
      </c>
      <c r="D3698" s="437">
        <f>VLOOKUP(A3698,'Thống kê'!$C$3:$M$682,4,0)</f>
        <v>39000</v>
      </c>
      <c r="E3698" s="438">
        <v>1</v>
      </c>
      <c r="F3698" s="439">
        <f t="shared" si="15"/>
        <v>39000</v>
      </c>
      <c r="G3698" s="440"/>
      <c r="H3698" s="450"/>
    </row>
    <row r="3699" spans="1:8" ht="13.2">
      <c r="A3699" s="454" t="s">
        <v>1387</v>
      </c>
      <c r="B3699" s="452" t="str">
        <f>VLOOKUP(A3699,'Thống kê'!$C$3:$D$669,2,0)</f>
        <v>Móc khoá Crybaby mini Popmart</v>
      </c>
      <c r="C3699" s="436" t="str">
        <f>VLOOKUP(A3699,'Thống kê'!$C$3:$E$682,3,0)</f>
        <v>cái</v>
      </c>
      <c r="D3699" s="437">
        <f>VLOOKUP(A3699,'Thống kê'!$C$3:$M$682,4,0)</f>
        <v>0</v>
      </c>
      <c r="E3699" s="438">
        <v>1</v>
      </c>
      <c r="F3699" s="439">
        <f t="shared" si="15"/>
        <v>0</v>
      </c>
      <c r="G3699" s="440"/>
      <c r="H3699" s="447">
        <v>120048</v>
      </c>
    </row>
    <row r="3700" spans="1:8" ht="13.2">
      <c r="A3700" s="454" t="s">
        <v>1939</v>
      </c>
      <c r="B3700" s="452" t="str">
        <f>VLOOKUP(A3700,'Thống kê'!$C$3:$D$669,2,0)</f>
        <v>Kẹp tóc hoa sứ đỏ hồng đậm</v>
      </c>
      <c r="C3700" s="436" t="str">
        <f>VLOOKUP(A3700,'Thống kê'!$C$3:$E$682,3,0)</f>
        <v>cái</v>
      </c>
      <c r="D3700" s="437">
        <f>VLOOKUP(A3700,'Thống kê'!$C$3:$M$682,4,0)</f>
        <v>18500</v>
      </c>
      <c r="E3700" s="438">
        <v>1</v>
      </c>
      <c r="F3700" s="439">
        <f t="shared" si="15"/>
        <v>18500</v>
      </c>
      <c r="G3700" s="440"/>
      <c r="H3700" s="450"/>
    </row>
    <row r="3701" spans="1:8" ht="13.2">
      <c r="A3701" s="454" t="s">
        <v>1384</v>
      </c>
      <c r="B3701" s="452" t="str">
        <f>VLOOKUP(A3701,'Thống kê'!$C$3:$D$669,2,0)</f>
        <v>Móc khoá Crybaby mini Popmart</v>
      </c>
      <c r="C3701" s="436" t="str">
        <f>VLOOKUP(A3701,'Thống kê'!$C$3:$E$682,3,0)</f>
        <v>cái</v>
      </c>
      <c r="D3701" s="437">
        <f>VLOOKUP(A3701,'Thống kê'!$C$3:$M$682,4,0)</f>
        <v>0</v>
      </c>
      <c r="E3701" s="438">
        <v>1</v>
      </c>
      <c r="F3701" s="439">
        <f t="shared" si="15"/>
        <v>0</v>
      </c>
      <c r="G3701" s="440"/>
      <c r="H3701" s="448">
        <v>122508</v>
      </c>
    </row>
    <row r="3702" spans="1:8" ht="13.2">
      <c r="A3702" s="454" t="s">
        <v>1382</v>
      </c>
      <c r="B3702" s="452" t="str">
        <f>VLOOKUP(A3702,'Thống kê'!$C$3:$D$669,2,0)</f>
        <v>miếng dán silicon điện thoại</v>
      </c>
      <c r="C3702" s="436" t="str">
        <f>VLOOKUP(A3702,'Thống kê'!$C$3:$E$682,3,0)</f>
        <v>cái</v>
      </c>
      <c r="D3702" s="437">
        <f>VLOOKUP(A3702,'Thống kê'!$C$3:$M$682,4,0)</f>
        <v>0</v>
      </c>
      <c r="E3702" s="438">
        <v>50</v>
      </c>
      <c r="F3702" s="439">
        <f t="shared" si="15"/>
        <v>0</v>
      </c>
      <c r="G3702" s="440"/>
      <c r="H3702" s="448">
        <v>116200</v>
      </c>
    </row>
    <row r="3703" spans="1:8" ht="13.2">
      <c r="A3703" s="454" t="s">
        <v>1625</v>
      </c>
      <c r="B3703" s="452" t="str">
        <f>VLOOKUP(A3703,'Thống kê'!$C$3:$D$669,2,0)</f>
        <v>Móc khóa đôi 2 mèo trắng nâu</v>
      </c>
      <c r="C3703" s="436" t="str">
        <f>VLOOKUP(A3703,'Thống kê'!$C$3:$E$682,3,0)</f>
        <v>cái</v>
      </c>
      <c r="D3703" s="437">
        <f>VLOOKUP(A3703,'Thống kê'!$C$3:$M$682,4,0)</f>
        <v>59000</v>
      </c>
      <c r="E3703" s="438">
        <v>1</v>
      </c>
      <c r="F3703" s="439">
        <f t="shared" si="15"/>
        <v>59000</v>
      </c>
      <c r="G3703" s="440"/>
      <c r="H3703" s="448">
        <v>44510</v>
      </c>
    </row>
    <row r="3704" spans="1:8" ht="13.2">
      <c r="A3704" s="454" t="s">
        <v>150</v>
      </c>
      <c r="B3704" s="452" t="str">
        <f>VLOOKUP(A3704,'Thống kê'!$C$3:$D$669,2,0)</f>
        <v>Móc khóa có chuông</v>
      </c>
      <c r="C3704" s="436" t="str">
        <f>VLOOKUP(A3704,'Thống kê'!$C$3:$E$682,3,0)</f>
        <v>cái</v>
      </c>
      <c r="D3704" s="437">
        <f>VLOOKUP(A3704,'Thống kê'!$C$3:$M$682,4,0)</f>
        <v>59000</v>
      </c>
      <c r="E3704" s="438">
        <v>1</v>
      </c>
      <c r="F3704" s="439">
        <f t="shared" si="15"/>
        <v>59000</v>
      </c>
      <c r="G3704" s="440"/>
      <c r="H3704" s="448">
        <v>44435</v>
      </c>
    </row>
    <row r="3705" spans="1:8" ht="13.2">
      <c r="A3705" s="454" t="s">
        <v>1382</v>
      </c>
      <c r="B3705" s="452" t="str">
        <f>VLOOKUP(A3705,'Thống kê'!$C$3:$D$669,2,0)</f>
        <v>miếng dán silicon điện thoại</v>
      </c>
      <c r="C3705" s="436" t="str">
        <f>VLOOKUP(A3705,'Thống kê'!$C$3:$E$682,3,0)</f>
        <v>cái</v>
      </c>
      <c r="D3705" s="437">
        <f>VLOOKUP(A3705,'Thống kê'!$C$3:$M$682,4,0)</f>
        <v>0</v>
      </c>
      <c r="E3705" s="438">
        <v>1</v>
      </c>
      <c r="F3705" s="439">
        <f t="shared" si="15"/>
        <v>0</v>
      </c>
      <c r="G3705" s="440"/>
      <c r="H3705" s="447">
        <v>122536</v>
      </c>
    </row>
    <row r="3706" spans="1:8" ht="13.2">
      <c r="A3706" s="454" t="s">
        <v>1384</v>
      </c>
      <c r="B3706" s="452" t="str">
        <f>VLOOKUP(A3706,'Thống kê'!$C$3:$D$669,2,0)</f>
        <v>Móc khoá Crybaby mini Popmart</v>
      </c>
      <c r="C3706" s="436" t="str">
        <f>VLOOKUP(A3706,'Thống kê'!$C$3:$E$682,3,0)</f>
        <v>cái</v>
      </c>
      <c r="D3706" s="437">
        <f>VLOOKUP(A3706,'Thống kê'!$C$3:$M$682,4,0)</f>
        <v>0</v>
      </c>
      <c r="E3706" s="438">
        <v>1</v>
      </c>
      <c r="F3706" s="439">
        <f t="shared" si="15"/>
        <v>0</v>
      </c>
      <c r="G3706" s="440"/>
      <c r="H3706" s="450"/>
    </row>
    <row r="3707" spans="1:8" ht="13.2">
      <c r="A3707" s="454" t="s">
        <v>1371</v>
      </c>
      <c r="B3707" s="452" t="str">
        <f>VLOOKUP(A3707,'Thống kê'!$C$3:$D$669,2,0)</f>
        <v>Móc khóa Popbean</v>
      </c>
      <c r="C3707" s="436" t="str">
        <f>VLOOKUP(A3707,'Thống kê'!$C$3:$E$682,3,0)</f>
        <v>cái</v>
      </c>
      <c r="D3707" s="437">
        <f>VLOOKUP(A3707,'Thống kê'!$C$3:$M$682,4,0)</f>
        <v>148000</v>
      </c>
      <c r="E3707" s="438">
        <v>1</v>
      </c>
      <c r="F3707" s="439">
        <f t="shared" si="15"/>
        <v>148000</v>
      </c>
      <c r="G3707" s="440"/>
      <c r="H3707" s="448">
        <v>121780</v>
      </c>
    </row>
    <row r="3708" spans="1:8" ht="13.2">
      <c r="A3708" s="454" t="s">
        <v>1636</v>
      </c>
      <c r="B3708" s="452" t="str">
        <f>VLOOKUP(A3708,'Thống kê'!$C$3:$D$669,2,0)</f>
        <v>Mô hình mèo 3</v>
      </c>
      <c r="C3708" s="436" t="str">
        <f>VLOOKUP(A3708,'Thống kê'!$C$3:$E$682,3,0)</f>
        <v>cái</v>
      </c>
      <c r="D3708" s="437">
        <f>VLOOKUP(A3708,'Thống kê'!$C$3:$M$682,4,0)</f>
        <v>37800</v>
      </c>
      <c r="E3708" s="438">
        <v>1</v>
      </c>
      <c r="F3708" s="439">
        <f t="shared" si="15"/>
        <v>37800</v>
      </c>
      <c r="G3708" s="440"/>
      <c r="H3708" s="447">
        <v>86779</v>
      </c>
    </row>
    <row r="3709" spans="1:8" ht="13.2">
      <c r="A3709" s="454" t="s">
        <v>1635</v>
      </c>
      <c r="B3709" s="452" t="str">
        <f>VLOOKUP(A3709,'Thống kê'!$C$3:$D$669,2,0)</f>
        <v>Mô hình mèo 4</v>
      </c>
      <c r="C3709" s="436" t="str">
        <f>VLOOKUP(A3709,'Thống kê'!$C$3:$E$682,3,0)</f>
        <v>cái</v>
      </c>
      <c r="D3709" s="437">
        <f>VLOOKUP(A3709,'Thống kê'!$C$3:$M$682,4,0)</f>
        <v>37800</v>
      </c>
      <c r="E3709" s="438">
        <v>2</v>
      </c>
      <c r="F3709" s="439">
        <f t="shared" si="15"/>
        <v>75600</v>
      </c>
      <c r="G3709" s="440"/>
      <c r="H3709" s="450"/>
    </row>
    <row r="3710" spans="1:8" ht="13.2">
      <c r="A3710" s="454" t="s">
        <v>1689</v>
      </c>
      <c r="B3710" s="452">
        <f>VLOOKUP(A3710,'Thống kê'!$C$3:$D$669,2,0)</f>
        <v>0</v>
      </c>
      <c r="C3710" s="436" t="str">
        <f>VLOOKUP(A3710,'Thống kê'!$C$3:$E$682,3,0)</f>
        <v>cái</v>
      </c>
      <c r="D3710" s="437">
        <f>VLOOKUP(A3710,'Thống kê'!$C$3:$M$682,4,0)</f>
        <v>0</v>
      </c>
      <c r="E3710" s="438">
        <v>1</v>
      </c>
      <c r="F3710" s="439">
        <f t="shared" si="15"/>
        <v>0</v>
      </c>
      <c r="G3710" s="440"/>
      <c r="H3710" s="448">
        <v>54068</v>
      </c>
    </row>
    <row r="3711" spans="1:8" ht="13.2">
      <c r="A3711" s="454" t="s">
        <v>162</v>
      </c>
      <c r="B3711" s="452" t="str">
        <f>VLOOKUP(A3711,'Thống kê'!$C$3:$D$669,2,0)</f>
        <v>Móc khoá cún Donut</v>
      </c>
      <c r="C3711" s="436" t="str">
        <f>VLOOKUP(A3711,'Thống kê'!$C$3:$E$682,3,0)</f>
        <v>cái</v>
      </c>
      <c r="D3711" s="437">
        <f>VLOOKUP(A3711,'Thống kê'!$C$3:$M$682,4,0)</f>
        <v>38000</v>
      </c>
      <c r="E3711" s="438">
        <v>1</v>
      </c>
      <c r="F3711" s="439">
        <f t="shared" si="15"/>
        <v>38000</v>
      </c>
      <c r="G3711" s="440"/>
      <c r="H3711" s="447">
        <v>182487</v>
      </c>
    </row>
    <row r="3712" spans="1:8" ht="13.2">
      <c r="A3712" s="454" t="s">
        <v>245</v>
      </c>
      <c r="B3712" s="452" t="str">
        <f>VLOOKUP(A3712,'Thống kê'!$C$3:$D$669,2,0)</f>
        <v>Móc khóa Popbean</v>
      </c>
      <c r="C3712" s="436" t="str">
        <f>VLOOKUP(A3712,'Thống kê'!$C$3:$E$682,3,0)</f>
        <v>cái</v>
      </c>
      <c r="D3712" s="437">
        <f>VLOOKUP(A3712,'Thống kê'!$C$3:$M$682,4,0)</f>
        <v>148000</v>
      </c>
      <c r="E3712" s="438">
        <v>1</v>
      </c>
      <c r="F3712" s="439">
        <f t="shared" si="15"/>
        <v>148000</v>
      </c>
      <c r="G3712" s="440"/>
      <c r="H3712" s="450"/>
    </row>
    <row r="3713" spans="1:8" ht="13.2">
      <c r="A3713" s="454" t="s">
        <v>1689</v>
      </c>
      <c r="B3713" s="452">
        <f>VLOOKUP(A3713,'Thống kê'!$C$3:$D$669,2,0)</f>
        <v>0</v>
      </c>
      <c r="C3713" s="436" t="str">
        <f>VLOOKUP(A3713,'Thống kê'!$C$3:$E$682,3,0)</f>
        <v>cái</v>
      </c>
      <c r="D3713" s="437">
        <f>VLOOKUP(A3713,'Thống kê'!$C$3:$M$682,4,0)</f>
        <v>0</v>
      </c>
      <c r="E3713" s="438">
        <v>1</v>
      </c>
      <c r="F3713" s="439">
        <f t="shared" si="15"/>
        <v>0</v>
      </c>
      <c r="G3713" s="440"/>
      <c r="H3713" s="450"/>
    </row>
    <row r="3714" spans="1:8" ht="13.2">
      <c r="A3714" s="454" t="s">
        <v>1939</v>
      </c>
      <c r="B3714" s="452" t="str">
        <f>VLOOKUP(A3714,'Thống kê'!$C$3:$D$669,2,0)</f>
        <v>Kẹp tóc hoa sứ đỏ hồng đậm</v>
      </c>
      <c r="C3714" s="436" t="str">
        <f>VLOOKUP(A3714,'Thống kê'!$C$3:$E$682,3,0)</f>
        <v>cái</v>
      </c>
      <c r="D3714" s="437">
        <f>VLOOKUP(A3714,'Thống kê'!$C$3:$M$682,4,0)</f>
        <v>18500</v>
      </c>
      <c r="E3714" s="438">
        <v>1</v>
      </c>
      <c r="F3714" s="439">
        <f t="shared" si="15"/>
        <v>18500</v>
      </c>
      <c r="G3714" s="440"/>
      <c r="H3714" s="450"/>
    </row>
    <row r="3715" spans="1:8" ht="13.2">
      <c r="A3715" s="454" t="s">
        <v>1661</v>
      </c>
      <c r="B3715" s="452" t="str">
        <f>VLOOKUP(A3715,'Thống kê'!$C$3:$D$669,2,0)</f>
        <v>Móc khóa Popbean Kubo</v>
      </c>
      <c r="C3715" s="436" t="str">
        <f>VLOOKUP(A3715,'Thống kê'!$C$3:$E$682,3,0)</f>
        <v>cái</v>
      </c>
      <c r="D3715" s="437">
        <f>VLOOKUP(A3715,'Thống kê'!$C$3:$M$682,4,0)</f>
        <v>148000</v>
      </c>
      <c r="E3715" s="438">
        <v>1</v>
      </c>
      <c r="F3715" s="439">
        <f t="shared" si="15"/>
        <v>148000</v>
      </c>
      <c r="G3715" s="440"/>
      <c r="H3715" s="447">
        <v>105912</v>
      </c>
    </row>
    <row r="3716" spans="1:8" ht="13.2">
      <c r="A3716" s="454" t="s">
        <v>1935</v>
      </c>
      <c r="B3716" s="452" t="str">
        <f>VLOOKUP(A3716,'Thống kê'!$C$3:$D$669,2,0)</f>
        <v>Kẹp tóc hoa sứ hồng</v>
      </c>
      <c r="C3716" s="436" t="str">
        <f>VLOOKUP(A3716,'Thống kê'!$C$3:$E$682,3,0)</f>
        <v>cái</v>
      </c>
      <c r="D3716" s="437">
        <f>VLOOKUP(A3716,'Thống kê'!$C$3:$M$682,4,0)</f>
        <v>18500</v>
      </c>
      <c r="E3716" s="438">
        <v>1</v>
      </c>
      <c r="F3716" s="439">
        <f t="shared" si="15"/>
        <v>18500</v>
      </c>
      <c r="G3716" s="440"/>
      <c r="H3716" s="450"/>
    </row>
    <row r="3717" spans="1:8" ht="13.2">
      <c r="A3717" s="454" t="s">
        <v>1388</v>
      </c>
      <c r="B3717" s="452" t="str">
        <f>VLOOKUP(A3717,'Thống kê'!$C$3:$D$669,2,0)</f>
        <v>Móc khoá Crybaby mini Popmart</v>
      </c>
      <c r="C3717" s="436" t="str">
        <f>VLOOKUP(A3717,'Thống kê'!$C$3:$E$682,3,0)</f>
        <v>cái</v>
      </c>
      <c r="D3717" s="437">
        <f>VLOOKUP(A3717,'Thống kê'!$C$3:$M$682,4,0)</f>
        <v>0</v>
      </c>
      <c r="E3717" s="438">
        <v>1</v>
      </c>
      <c r="F3717" s="439">
        <f t="shared" si="15"/>
        <v>0</v>
      </c>
      <c r="G3717" s="440"/>
      <c r="H3717" s="447">
        <v>120048</v>
      </c>
    </row>
    <row r="3718" spans="1:8" ht="13.2">
      <c r="A3718" s="454" t="s">
        <v>1935</v>
      </c>
      <c r="B3718" s="452" t="str">
        <f>VLOOKUP(A3718,'Thống kê'!$C$3:$D$669,2,0)</f>
        <v>Kẹp tóc hoa sứ hồng</v>
      </c>
      <c r="C3718" s="436" t="str">
        <f>VLOOKUP(A3718,'Thống kê'!$C$3:$E$682,3,0)</f>
        <v>cái</v>
      </c>
      <c r="D3718" s="437">
        <f>VLOOKUP(A3718,'Thống kê'!$C$3:$M$682,4,0)</f>
        <v>18500</v>
      </c>
      <c r="E3718" s="438">
        <v>1</v>
      </c>
      <c r="F3718" s="439">
        <f t="shared" si="15"/>
        <v>18500</v>
      </c>
      <c r="G3718" s="440"/>
      <c r="H3718" s="450"/>
    </row>
    <row r="3719" spans="1:8" ht="13.2">
      <c r="A3719" s="454" t="s">
        <v>1967</v>
      </c>
      <c r="B3719" s="452" t="str">
        <f>VLOOKUP(A3719,'Thống kê'!$C$3:$D$669,2,0)</f>
        <v>Kẹp càng cua lông hình gấu nâu gấu nâu</v>
      </c>
      <c r="C3719" s="436" t="str">
        <f>VLOOKUP(A3719,'Thống kê'!$C$3:$E$682,3,0)</f>
        <v>cái</v>
      </c>
      <c r="D3719" s="437">
        <f>VLOOKUP(A3719,'Thống kê'!$C$3:$M$682,4,0)</f>
        <v>18000</v>
      </c>
      <c r="E3719" s="438">
        <v>1</v>
      </c>
      <c r="F3719" s="439">
        <f t="shared" si="15"/>
        <v>18000</v>
      </c>
      <c r="G3719" s="440"/>
      <c r="H3719" s="447">
        <v>153583</v>
      </c>
    </row>
    <row r="3720" spans="1:8" ht="13.2">
      <c r="A3720" s="454" t="s">
        <v>2073</v>
      </c>
      <c r="B3720" s="452" t="str">
        <f>VLOOKUP(A3720,'Thống kê'!$C$3:$D$669,2,0)</f>
        <v>Kẹp tóc kim loại vỏ sò</v>
      </c>
      <c r="C3720" s="436" t="str">
        <f>VLOOKUP(A3720,'Thống kê'!$C$3:$E$682,3,0)</f>
        <v>cái</v>
      </c>
      <c r="D3720" s="437">
        <f>VLOOKUP(A3720,'Thống kê'!$C$3:$M$682,4,0)</f>
        <v>14000</v>
      </c>
      <c r="E3720" s="438">
        <v>1</v>
      </c>
      <c r="F3720" s="439">
        <f t="shared" si="15"/>
        <v>14000</v>
      </c>
      <c r="G3720" s="440"/>
      <c r="H3720" s="450"/>
    </row>
    <row r="3721" spans="1:8" ht="13.2">
      <c r="A3721" s="454" t="s">
        <v>1382</v>
      </c>
      <c r="B3721" s="452" t="str">
        <f>VLOOKUP(A3721,'Thống kê'!$C$3:$D$669,2,0)</f>
        <v>miếng dán silicon điện thoại</v>
      </c>
      <c r="C3721" s="436" t="str">
        <f>VLOOKUP(A3721,'Thống kê'!$C$3:$E$682,3,0)</f>
        <v>cái</v>
      </c>
      <c r="D3721" s="437">
        <f>VLOOKUP(A3721,'Thống kê'!$C$3:$M$682,4,0)</f>
        <v>0</v>
      </c>
      <c r="E3721" s="438">
        <v>1</v>
      </c>
      <c r="F3721" s="439">
        <f t="shared" si="15"/>
        <v>0</v>
      </c>
      <c r="G3721" s="440"/>
      <c r="H3721" s="450"/>
    </row>
    <row r="3722" spans="1:8" ht="13.2">
      <c r="A3722" s="454" t="s">
        <v>1371</v>
      </c>
      <c r="B3722" s="452" t="str">
        <f>VLOOKUP(A3722,'Thống kê'!$C$3:$D$669,2,0)</f>
        <v>Móc khóa Popbean</v>
      </c>
      <c r="C3722" s="436" t="str">
        <f>VLOOKUP(A3722,'Thống kê'!$C$3:$E$682,3,0)</f>
        <v>cái</v>
      </c>
      <c r="D3722" s="437">
        <f>VLOOKUP(A3722,'Thống kê'!$C$3:$M$682,4,0)</f>
        <v>148000</v>
      </c>
      <c r="E3722" s="438">
        <v>1</v>
      </c>
      <c r="F3722" s="439">
        <f t="shared" si="15"/>
        <v>148000</v>
      </c>
      <c r="G3722" s="440"/>
      <c r="H3722" s="450"/>
    </row>
    <row r="3723" spans="1:8" ht="13.2">
      <c r="A3723" s="454" t="s">
        <v>1939</v>
      </c>
      <c r="B3723" s="452" t="str">
        <f>VLOOKUP(A3723,'Thống kê'!$C$3:$D$669,2,0)</f>
        <v>Kẹp tóc hoa sứ đỏ hồng đậm</v>
      </c>
      <c r="C3723" s="436" t="str">
        <f>VLOOKUP(A3723,'Thống kê'!$C$3:$E$682,3,0)</f>
        <v>cái</v>
      </c>
      <c r="D3723" s="437">
        <f>VLOOKUP(A3723,'Thống kê'!$C$3:$M$682,4,0)</f>
        <v>18500</v>
      </c>
      <c r="E3723" s="438">
        <v>1</v>
      </c>
      <c r="F3723" s="439">
        <f t="shared" si="15"/>
        <v>18500</v>
      </c>
      <c r="G3723" s="440"/>
      <c r="H3723" s="450"/>
    </row>
    <row r="3724" spans="1:8" ht="13.2">
      <c r="A3724" s="454" t="s">
        <v>1335</v>
      </c>
      <c r="B3724" s="452" t="str">
        <f>VLOOKUP(A3724,'Thống kê'!$C$3:$D$669,2,0)</f>
        <v>Móc khóa Popbean</v>
      </c>
      <c r="C3724" s="436" t="str">
        <f>VLOOKUP(A3724,'Thống kê'!$C$3:$E$682,3,0)</f>
        <v>cái</v>
      </c>
      <c r="D3724" s="437">
        <f>VLOOKUP(A3724,'Thống kê'!$C$3:$M$682,4,0)</f>
        <v>148000</v>
      </c>
      <c r="E3724" s="438">
        <v>1</v>
      </c>
      <c r="F3724" s="439">
        <f t="shared" si="15"/>
        <v>148000</v>
      </c>
      <c r="G3724" s="440"/>
      <c r="H3724" s="447">
        <v>242615</v>
      </c>
    </row>
    <row r="3725" spans="1:8" ht="13.2">
      <c r="A3725" s="454" t="s">
        <v>245</v>
      </c>
      <c r="B3725" s="452" t="str">
        <f>VLOOKUP(A3725,'Thống kê'!$C$3:$D$669,2,0)</f>
        <v>Móc khóa Popbean</v>
      </c>
      <c r="C3725" s="436" t="str">
        <f>VLOOKUP(A3725,'Thống kê'!$C$3:$E$682,3,0)</f>
        <v>cái</v>
      </c>
      <c r="D3725" s="437">
        <f>VLOOKUP(A3725,'Thống kê'!$C$3:$M$682,4,0)</f>
        <v>148000</v>
      </c>
      <c r="E3725" s="438">
        <v>1</v>
      </c>
      <c r="F3725" s="439">
        <f t="shared" si="15"/>
        <v>148000</v>
      </c>
      <c r="G3725" s="440"/>
      <c r="H3725" s="450"/>
    </row>
    <row r="3726" spans="1:8" ht="13.2">
      <c r="A3726" s="454" t="s">
        <v>1935</v>
      </c>
      <c r="B3726" s="452" t="str">
        <f>VLOOKUP(A3726,'Thống kê'!$C$3:$D$669,2,0)</f>
        <v>Kẹp tóc hoa sứ hồng</v>
      </c>
      <c r="C3726" s="436" t="str">
        <f>VLOOKUP(A3726,'Thống kê'!$C$3:$E$682,3,0)</f>
        <v>cái</v>
      </c>
      <c r="D3726" s="437">
        <f>VLOOKUP(A3726,'Thống kê'!$C$3:$M$682,4,0)</f>
        <v>18500</v>
      </c>
      <c r="E3726" s="438">
        <v>1</v>
      </c>
      <c r="F3726" s="439">
        <f t="shared" si="15"/>
        <v>18500</v>
      </c>
      <c r="G3726" s="440"/>
      <c r="H3726" s="450"/>
    </row>
    <row r="3727" spans="1:8" ht="13.2">
      <c r="A3727" s="454" t="s">
        <v>1587</v>
      </c>
      <c r="B3727" s="452" t="str">
        <f>VLOOKUP(A3727,'Thống kê'!$C$3:$D$669,2,0)</f>
        <v>Vịt ú bay</v>
      </c>
      <c r="C3727" s="436" t="str">
        <f>VLOOKUP(A3727,'Thống kê'!$C$3:$E$682,3,0)</f>
        <v>cái</v>
      </c>
      <c r="D3727" s="437">
        <f>VLOOKUP(A3727,'Thống kê'!$C$3:$M$682,4,0)</f>
        <v>64500</v>
      </c>
      <c r="E3727" s="438">
        <v>1</v>
      </c>
      <c r="F3727" s="439">
        <f t="shared" si="15"/>
        <v>64500</v>
      </c>
      <c r="G3727" s="440"/>
      <c r="H3727" s="447">
        <v>111117</v>
      </c>
    </row>
    <row r="3728" spans="1:8" ht="13.2">
      <c r="A3728" s="454" t="s">
        <v>115</v>
      </c>
      <c r="B3728" s="452" t="str">
        <f>VLOOKUP(A3728,'Thống kê'!$C$3:$D$669,2,0)</f>
        <v>Heo ú</v>
      </c>
      <c r="C3728" s="436" t="str">
        <f>VLOOKUP(A3728,'Thống kê'!$C$3:$E$682,3,0)</f>
        <v>cái</v>
      </c>
      <c r="D3728" s="437">
        <f>VLOOKUP(A3728,'Thống kê'!$C$3:$M$682,4,0)</f>
        <v>59500</v>
      </c>
      <c r="E3728" s="438">
        <v>1</v>
      </c>
      <c r="F3728" s="439">
        <f t="shared" si="15"/>
        <v>59500</v>
      </c>
      <c r="G3728" s="440"/>
      <c r="H3728" s="450"/>
    </row>
    <row r="3729" spans="1:8" ht="13.2">
      <c r="A3729" s="454" t="s">
        <v>115</v>
      </c>
      <c r="B3729" s="452" t="str">
        <f>VLOOKUP(A3729,'Thống kê'!$C$3:$D$669,2,0)</f>
        <v>Heo ú</v>
      </c>
      <c r="C3729" s="436" t="str">
        <f>VLOOKUP(A3729,'Thống kê'!$C$3:$E$682,3,0)</f>
        <v>cái</v>
      </c>
      <c r="D3729" s="437">
        <f>VLOOKUP(A3729,'Thống kê'!$C$3:$M$682,4,0)</f>
        <v>59500</v>
      </c>
      <c r="E3729" s="438">
        <v>1</v>
      </c>
      <c r="F3729" s="439">
        <f t="shared" si="15"/>
        <v>59500</v>
      </c>
      <c r="G3729" s="440"/>
      <c r="H3729" s="448">
        <v>47153</v>
      </c>
    </row>
    <row r="3730" spans="1:8" ht="13.2">
      <c r="A3730" s="454" t="s">
        <v>1386</v>
      </c>
      <c r="B3730" s="452" t="str">
        <f>VLOOKUP(A3730,'Thống kê'!$C$3:$D$669,2,0)</f>
        <v>Móc khoá Crybaby mini Popmart</v>
      </c>
      <c r="C3730" s="436" t="str">
        <f>VLOOKUP(A3730,'Thống kê'!$C$3:$E$682,3,0)</f>
        <v>cái</v>
      </c>
      <c r="D3730" s="437">
        <f>VLOOKUP(A3730,'Thống kê'!$C$3:$M$682,4,0)</f>
        <v>0</v>
      </c>
      <c r="E3730" s="438">
        <v>1</v>
      </c>
      <c r="F3730" s="439">
        <f t="shared" si="15"/>
        <v>0</v>
      </c>
      <c r="G3730" s="440"/>
      <c r="H3730" s="447">
        <v>122508</v>
      </c>
    </row>
    <row r="3731" spans="1:8" ht="13.2">
      <c r="A3731" s="454" t="s">
        <v>1935</v>
      </c>
      <c r="B3731" s="452" t="str">
        <f>VLOOKUP(A3731,'Thống kê'!$C$3:$D$669,2,0)</f>
        <v>Kẹp tóc hoa sứ hồng</v>
      </c>
      <c r="C3731" s="436" t="str">
        <f>VLOOKUP(A3731,'Thống kê'!$C$3:$E$682,3,0)</f>
        <v>cái</v>
      </c>
      <c r="D3731" s="437">
        <f>VLOOKUP(A3731,'Thống kê'!$C$3:$M$682,4,0)</f>
        <v>18500</v>
      </c>
      <c r="E3731" s="438">
        <v>1</v>
      </c>
      <c r="F3731" s="439">
        <f t="shared" si="15"/>
        <v>18500</v>
      </c>
      <c r="G3731" s="440"/>
      <c r="H3731" s="450"/>
    </row>
    <row r="3732" spans="1:8" ht="13.2">
      <c r="A3732" s="454" t="s">
        <v>1591</v>
      </c>
      <c r="B3732" s="452" t="str">
        <f>VLOOKUP(A3732,'Thống kê'!$C$3:$D$669,2,0)</f>
        <v>Thỏ ú</v>
      </c>
      <c r="C3732" s="436" t="str">
        <f>VLOOKUP(A3732,'Thống kê'!$C$3:$E$682,3,0)</f>
        <v>cái</v>
      </c>
      <c r="D3732" s="437">
        <f>VLOOKUP(A3732,'Thống kê'!$C$3:$M$682,4,0)</f>
        <v>59500</v>
      </c>
      <c r="E3732" s="438">
        <v>1</v>
      </c>
      <c r="F3732" s="439">
        <f t="shared" si="15"/>
        <v>59500</v>
      </c>
      <c r="G3732" s="440"/>
      <c r="H3732" s="448">
        <v>52408</v>
      </c>
    </row>
    <row r="3733" spans="1:8" ht="13.2">
      <c r="A3733" s="454" t="s">
        <v>1389</v>
      </c>
      <c r="B3733" s="452" t="str">
        <f>VLOOKUP(A3733,'Thống kê'!$C$3:$D$669,2,0)</f>
        <v>Móc khoá Crybaby mini Popmart</v>
      </c>
      <c r="C3733" s="436" t="str">
        <f>VLOOKUP(A3733,'Thống kê'!$C$3:$E$682,3,0)</f>
        <v>cái</v>
      </c>
      <c r="D3733" s="437">
        <f>VLOOKUP(A3733,'Thống kê'!$C$3:$M$682,4,0)</f>
        <v>0</v>
      </c>
      <c r="E3733" s="438">
        <v>2</v>
      </c>
      <c r="F3733" s="439">
        <f t="shared" si="15"/>
        <v>0</v>
      </c>
      <c r="G3733" s="440"/>
      <c r="H3733" s="447">
        <v>235976</v>
      </c>
    </row>
    <row r="3734" spans="1:8" ht="13.2">
      <c r="A3734" s="454" t="s">
        <v>1935</v>
      </c>
      <c r="B3734" s="452" t="str">
        <f>VLOOKUP(A3734,'Thống kê'!$C$3:$D$669,2,0)</f>
        <v>Kẹp tóc hoa sứ hồng</v>
      </c>
      <c r="C3734" s="436" t="str">
        <f>VLOOKUP(A3734,'Thống kê'!$C$3:$E$682,3,0)</f>
        <v>cái</v>
      </c>
      <c r="D3734" s="437">
        <f>VLOOKUP(A3734,'Thống kê'!$C$3:$M$682,4,0)</f>
        <v>18500</v>
      </c>
      <c r="E3734" s="438">
        <v>1</v>
      </c>
      <c r="F3734" s="439">
        <f t="shared" si="15"/>
        <v>18500</v>
      </c>
      <c r="G3734" s="440"/>
      <c r="H3734" s="450"/>
    </row>
    <row r="3735" spans="1:8" ht="13.2">
      <c r="A3735" s="454" t="s">
        <v>1949</v>
      </c>
      <c r="B3735" s="452" t="str">
        <f>VLOOKUP(A3735,'Thống kê'!$C$3:$D$669,2,0)</f>
        <v>Mô hình cún 02</v>
      </c>
      <c r="C3735" s="436" t="str">
        <f>VLOOKUP(A3735,'Thống kê'!$C$3:$E$682,3,0)</f>
        <v>cái</v>
      </c>
      <c r="D3735" s="437">
        <f>VLOOKUP(A3735,'Thống kê'!$C$3:$M$682,4,0)</f>
        <v>39000</v>
      </c>
      <c r="E3735" s="438">
        <v>1</v>
      </c>
      <c r="F3735" s="439">
        <f t="shared" si="15"/>
        <v>39000</v>
      </c>
      <c r="G3735" s="440"/>
      <c r="H3735" s="447">
        <v>260962</v>
      </c>
    </row>
    <row r="3736" spans="1:8" ht="13.2">
      <c r="A3736" s="454" t="s">
        <v>1950</v>
      </c>
      <c r="B3736" s="452" t="str">
        <f>VLOOKUP(A3736,'Thống kê'!$C$3:$D$669,2,0)</f>
        <v>Mô hình cún 03</v>
      </c>
      <c r="C3736" s="436" t="str">
        <f>VLOOKUP(A3736,'Thống kê'!$C$3:$E$682,3,0)</f>
        <v>cái</v>
      </c>
      <c r="D3736" s="437">
        <f>VLOOKUP(A3736,'Thống kê'!$C$3:$M$682,4,0)</f>
        <v>39000</v>
      </c>
      <c r="E3736" s="438">
        <v>1</v>
      </c>
      <c r="F3736" s="439">
        <f t="shared" si="15"/>
        <v>39000</v>
      </c>
      <c r="G3736" s="440"/>
      <c r="H3736" s="450"/>
    </row>
    <row r="3737" spans="1:8" ht="13.2">
      <c r="A3737" s="454" t="s">
        <v>1951</v>
      </c>
      <c r="B3737" s="452" t="str">
        <f>VLOOKUP(A3737,'Thống kê'!$C$3:$D$669,2,0)</f>
        <v>Mô hình cún 04</v>
      </c>
      <c r="C3737" s="436" t="str">
        <f>VLOOKUP(A3737,'Thống kê'!$C$3:$E$682,3,0)</f>
        <v>cái</v>
      </c>
      <c r="D3737" s="437">
        <f>VLOOKUP(A3737,'Thống kê'!$C$3:$M$682,4,0)</f>
        <v>39000</v>
      </c>
      <c r="E3737" s="438">
        <v>1</v>
      </c>
      <c r="F3737" s="439">
        <f t="shared" si="15"/>
        <v>39000</v>
      </c>
      <c r="G3737" s="440"/>
      <c r="H3737" s="450"/>
    </row>
    <row r="3738" spans="1:8" ht="13.2">
      <c r="A3738" s="454" t="s">
        <v>1974</v>
      </c>
      <c r="B3738" s="452" t="str">
        <f>VLOOKUP(A3738,'Thống kê'!$C$3:$D$669,2,0)</f>
        <v>Mô hình cún 01</v>
      </c>
      <c r="C3738" s="436" t="str">
        <f>VLOOKUP(A3738,'Thống kê'!$C$3:$E$682,3,0)</f>
        <v>cái</v>
      </c>
      <c r="D3738" s="437">
        <f>VLOOKUP(A3738,'Thống kê'!$C$3:$M$682,4,0)</f>
        <v>39000</v>
      </c>
      <c r="E3738" s="438">
        <v>1</v>
      </c>
      <c r="F3738" s="439">
        <f t="shared" si="15"/>
        <v>39000</v>
      </c>
      <c r="G3738" s="440"/>
      <c r="H3738" s="450"/>
    </row>
    <row r="3739" spans="1:8" ht="13.2">
      <c r="A3739" s="454" t="s">
        <v>1622</v>
      </c>
      <c r="B3739" s="452" t="str">
        <f>VLOOKUP(A3739,'Thống kê'!$C$3:$D$669,2,0)</f>
        <v>Mô hình mèo 1</v>
      </c>
      <c r="C3739" s="436" t="str">
        <f>VLOOKUP(A3739,'Thống kê'!$C$3:$E$682,3,0)</f>
        <v>cái</v>
      </c>
      <c r="D3739" s="437">
        <f>VLOOKUP(A3739,'Thống kê'!$C$3:$M$682,4,0)</f>
        <v>37800</v>
      </c>
      <c r="E3739" s="438">
        <v>1</v>
      </c>
      <c r="F3739" s="439">
        <f t="shared" si="15"/>
        <v>37800</v>
      </c>
      <c r="G3739" s="440"/>
      <c r="H3739" s="450"/>
    </row>
    <row r="3740" spans="1:8" ht="13.2">
      <c r="A3740" s="454" t="s">
        <v>1621</v>
      </c>
      <c r="B3740" s="452" t="str">
        <f>VLOOKUP(A3740,'Thống kê'!$C$3:$D$669,2,0)</f>
        <v>Mô hình mèo 2</v>
      </c>
      <c r="C3740" s="436" t="str">
        <f>VLOOKUP(A3740,'Thống kê'!$C$3:$E$682,3,0)</f>
        <v>cái</v>
      </c>
      <c r="D3740" s="437">
        <f>VLOOKUP(A3740,'Thống kê'!$C$3:$M$682,4,0)</f>
        <v>37800</v>
      </c>
      <c r="E3740" s="438">
        <v>1</v>
      </c>
      <c r="F3740" s="439">
        <f t="shared" si="15"/>
        <v>37800</v>
      </c>
      <c r="G3740" s="440"/>
      <c r="H3740" s="450"/>
    </row>
    <row r="3741" spans="1:8" ht="13.2">
      <c r="A3741" s="454" t="s">
        <v>1635</v>
      </c>
      <c r="B3741" s="452" t="str">
        <f>VLOOKUP(A3741,'Thống kê'!$C$3:$D$669,2,0)</f>
        <v>Mô hình mèo 4</v>
      </c>
      <c r="C3741" s="436" t="str">
        <f>VLOOKUP(A3741,'Thống kê'!$C$3:$E$682,3,0)</f>
        <v>cái</v>
      </c>
      <c r="D3741" s="437">
        <f>VLOOKUP(A3741,'Thống kê'!$C$3:$M$682,4,0)</f>
        <v>37800</v>
      </c>
      <c r="E3741" s="438">
        <v>1</v>
      </c>
      <c r="F3741" s="439">
        <f t="shared" si="15"/>
        <v>37800</v>
      </c>
      <c r="G3741" s="440"/>
      <c r="H3741" s="450"/>
    </row>
    <row r="3742" spans="1:8" ht="13.2">
      <c r="A3742" s="454" t="s">
        <v>1623</v>
      </c>
      <c r="B3742" s="452" t="str">
        <f>VLOOKUP(A3742,'Thống kê'!$C$3:$D$669,2,0)</f>
        <v>Mô hình mèo 5</v>
      </c>
      <c r="C3742" s="436" t="str">
        <f>VLOOKUP(A3742,'Thống kê'!$C$3:$E$682,3,0)</f>
        <v>cái</v>
      </c>
      <c r="D3742" s="437">
        <f>VLOOKUP(A3742,'Thống kê'!$C$3:$M$682,4,0)</f>
        <v>37800</v>
      </c>
      <c r="E3742" s="438">
        <v>1</v>
      </c>
      <c r="F3742" s="439">
        <f t="shared" si="15"/>
        <v>37800</v>
      </c>
      <c r="G3742" s="440"/>
      <c r="H3742" s="450"/>
    </row>
    <row r="3743" spans="1:8" ht="13.2">
      <c r="A3743" s="454" t="s">
        <v>1952</v>
      </c>
      <c r="B3743" s="452" t="str">
        <f>VLOOKUP(A3743,'Thống kê'!$C$3:$D$669,2,0)</f>
        <v>Túi chườm bụng vịt vàng 500ml</v>
      </c>
      <c r="C3743" s="436" t="str">
        <f>VLOOKUP(A3743,'Thống kê'!$C$3:$E$682,3,0)</f>
        <v>túi</v>
      </c>
      <c r="D3743" s="437">
        <f>VLOOKUP(A3743,'Thống kê'!$C$3:$M$682,4,0)</f>
        <v>81000</v>
      </c>
      <c r="E3743" s="438">
        <v>1</v>
      </c>
      <c r="F3743" s="439">
        <f t="shared" si="15"/>
        <v>81000</v>
      </c>
      <c r="G3743" s="440"/>
      <c r="H3743" s="448">
        <v>60931</v>
      </c>
    </row>
    <row r="3744" spans="1:8" ht="13.2">
      <c r="A3744" s="454" t="s">
        <v>1622</v>
      </c>
      <c r="B3744" s="452" t="str">
        <f>VLOOKUP(A3744,'Thống kê'!$C$3:$D$669,2,0)</f>
        <v>Mô hình mèo 1</v>
      </c>
      <c r="C3744" s="436" t="str">
        <f>VLOOKUP(A3744,'Thống kê'!$C$3:$E$682,3,0)</f>
        <v>cái</v>
      </c>
      <c r="D3744" s="437">
        <f>VLOOKUP(A3744,'Thống kê'!$C$3:$M$682,4,0)</f>
        <v>37800</v>
      </c>
      <c r="E3744" s="438">
        <v>1</v>
      </c>
      <c r="F3744" s="439">
        <f t="shared" si="15"/>
        <v>37800</v>
      </c>
      <c r="G3744" s="440"/>
      <c r="H3744" s="447">
        <v>152684</v>
      </c>
    </row>
    <row r="3745" spans="1:8" ht="13.2">
      <c r="A3745" s="454" t="s">
        <v>1621</v>
      </c>
      <c r="B3745" s="452" t="str">
        <f>VLOOKUP(A3745,'Thống kê'!$C$3:$D$669,2,0)</f>
        <v>Mô hình mèo 2</v>
      </c>
      <c r="C3745" s="436" t="str">
        <f>VLOOKUP(A3745,'Thống kê'!$C$3:$E$682,3,0)</f>
        <v>cái</v>
      </c>
      <c r="D3745" s="437">
        <f>VLOOKUP(A3745,'Thống kê'!$C$3:$M$682,4,0)</f>
        <v>37800</v>
      </c>
      <c r="E3745" s="438">
        <v>1</v>
      </c>
      <c r="F3745" s="439">
        <f t="shared" si="15"/>
        <v>37800</v>
      </c>
      <c r="G3745" s="440"/>
      <c r="H3745" s="450"/>
    </row>
    <row r="3746" spans="1:8" ht="13.2">
      <c r="A3746" s="454" t="s">
        <v>1635</v>
      </c>
      <c r="B3746" s="452" t="str">
        <f>VLOOKUP(A3746,'Thống kê'!$C$3:$D$669,2,0)</f>
        <v>Mô hình mèo 4</v>
      </c>
      <c r="C3746" s="436" t="str">
        <f>VLOOKUP(A3746,'Thống kê'!$C$3:$E$682,3,0)</f>
        <v>cái</v>
      </c>
      <c r="D3746" s="437">
        <f>VLOOKUP(A3746,'Thống kê'!$C$3:$M$682,4,0)</f>
        <v>37800</v>
      </c>
      <c r="E3746" s="438">
        <v>1</v>
      </c>
      <c r="F3746" s="439">
        <f t="shared" si="15"/>
        <v>37800</v>
      </c>
      <c r="G3746" s="440"/>
      <c r="H3746" s="450"/>
    </row>
    <row r="3747" spans="1:8" ht="13.2">
      <c r="A3747" s="454" t="s">
        <v>1623</v>
      </c>
      <c r="B3747" s="452" t="str">
        <f>VLOOKUP(A3747,'Thống kê'!$C$3:$D$669,2,0)</f>
        <v>Mô hình mèo 5</v>
      </c>
      <c r="C3747" s="436" t="str">
        <f>VLOOKUP(A3747,'Thống kê'!$C$3:$E$682,3,0)</f>
        <v>cái</v>
      </c>
      <c r="D3747" s="437">
        <f>VLOOKUP(A3747,'Thống kê'!$C$3:$M$682,4,0)</f>
        <v>37800</v>
      </c>
      <c r="E3747" s="438">
        <v>1</v>
      </c>
      <c r="F3747" s="439">
        <f t="shared" si="15"/>
        <v>37800</v>
      </c>
      <c r="G3747" s="440"/>
      <c r="H3747" s="450"/>
    </row>
    <row r="3748" spans="1:8" ht="13.2">
      <c r="A3748" s="454" t="s">
        <v>1636</v>
      </c>
      <c r="B3748" s="452" t="str">
        <f>VLOOKUP(A3748,'Thống kê'!$C$3:$D$669,2,0)</f>
        <v>Mô hình mèo 3</v>
      </c>
      <c r="C3748" s="436" t="str">
        <f>VLOOKUP(A3748,'Thống kê'!$C$3:$E$682,3,0)</f>
        <v>cái</v>
      </c>
      <c r="D3748" s="437">
        <f>VLOOKUP(A3748,'Thống kê'!$C$3:$M$682,4,0)</f>
        <v>37800</v>
      </c>
      <c r="E3748" s="438">
        <v>1</v>
      </c>
      <c r="F3748" s="439">
        <f t="shared" si="15"/>
        <v>37800</v>
      </c>
      <c r="G3748" s="440"/>
      <c r="H3748" s="450"/>
    </row>
    <row r="3749" spans="1:8" ht="13.2">
      <c r="A3749" s="454" t="s">
        <v>150</v>
      </c>
      <c r="B3749" s="452" t="str">
        <f>VLOOKUP(A3749,'Thống kê'!$C$3:$D$669,2,0)</f>
        <v>Móc khóa có chuông</v>
      </c>
      <c r="C3749" s="436" t="str">
        <f>VLOOKUP(A3749,'Thống kê'!$C$3:$E$682,3,0)</f>
        <v>cái</v>
      </c>
      <c r="D3749" s="437">
        <f>VLOOKUP(A3749,'Thống kê'!$C$3:$M$682,4,0)</f>
        <v>59000</v>
      </c>
      <c r="E3749" s="438">
        <v>1</v>
      </c>
      <c r="F3749" s="439">
        <f t="shared" si="15"/>
        <v>59000</v>
      </c>
      <c r="G3749" s="440"/>
      <c r="H3749" s="448">
        <v>44310</v>
      </c>
    </row>
    <row r="3750" spans="1:8" ht="13.2">
      <c r="A3750" s="454" t="s">
        <v>230</v>
      </c>
      <c r="B3750" s="452" t="str">
        <f>VLOOKUP(A3750,'Thống kê'!$C$3:$D$669,2,0)</f>
        <v>Móc khoá Crybaby mini Popmart</v>
      </c>
      <c r="C3750" s="436" t="str">
        <f>VLOOKUP(A3750,'Thống kê'!$C$3:$E$682,3,0)</f>
        <v>cái</v>
      </c>
      <c r="D3750" s="437">
        <f>VLOOKUP(A3750,'Thống kê'!$C$3:$M$682,4,0)</f>
        <v>0</v>
      </c>
      <c r="E3750" s="438">
        <v>1</v>
      </c>
      <c r="F3750" s="439">
        <f t="shared" si="15"/>
        <v>0</v>
      </c>
      <c r="G3750" s="440"/>
      <c r="H3750" s="447">
        <v>120048</v>
      </c>
    </row>
    <row r="3751" spans="1:8" ht="13.2">
      <c r="A3751" s="454" t="s">
        <v>1937</v>
      </c>
      <c r="B3751" s="452" t="str">
        <f>VLOOKUP(A3751,'Thống kê'!$C$3:$D$669,2,0)</f>
        <v>Kẹp tóc hoa sứ cam</v>
      </c>
      <c r="C3751" s="436" t="str">
        <f>VLOOKUP(A3751,'Thống kê'!$C$3:$E$682,3,0)</f>
        <v>cái</v>
      </c>
      <c r="D3751" s="437">
        <f>VLOOKUP(A3751,'Thống kê'!$C$3:$M$682,4,0)</f>
        <v>18500</v>
      </c>
      <c r="E3751" s="438">
        <v>1</v>
      </c>
      <c r="F3751" s="439">
        <f t="shared" si="15"/>
        <v>18500</v>
      </c>
      <c r="G3751" s="440"/>
      <c r="H3751" s="450"/>
    </row>
    <row r="3752" spans="1:8" ht="13.2">
      <c r="A3752" s="454" t="s">
        <v>1624</v>
      </c>
      <c r="B3752" s="452" t="str">
        <f>VLOOKUP(A3752,'Thống kê'!$C$3:$D$669,2,0)</f>
        <v>Móc khóa mèo trái tim</v>
      </c>
      <c r="C3752" s="436" t="str">
        <f>VLOOKUP(A3752,'Thống kê'!$C$3:$E$682,3,0)</f>
        <v>cái</v>
      </c>
      <c r="D3752" s="437">
        <f>VLOOKUP(A3752,'Thống kê'!$C$3:$M$682,4,0)</f>
        <v>59000</v>
      </c>
      <c r="E3752" s="438">
        <v>1</v>
      </c>
      <c r="F3752" s="439">
        <f t="shared" si="15"/>
        <v>59000</v>
      </c>
      <c r="G3752" s="440"/>
      <c r="H3752" s="448">
        <v>40058</v>
      </c>
    </row>
    <row r="3753" spans="1:8" ht="13.2">
      <c r="A3753" s="454" t="s">
        <v>1369</v>
      </c>
      <c r="B3753" s="452" t="str">
        <f>VLOOKUP(A3753,'Thống kê'!$C$3:$D$669,2,0)</f>
        <v>Móc khóa Popbean</v>
      </c>
      <c r="C3753" s="436" t="str">
        <f>VLOOKUP(A3753,'Thống kê'!$C$3:$E$682,3,0)</f>
        <v>cái</v>
      </c>
      <c r="D3753" s="437">
        <f>VLOOKUP(A3753,'Thống kê'!$C$3:$M$682,4,0)</f>
        <v>148000</v>
      </c>
      <c r="E3753" s="438">
        <v>1</v>
      </c>
      <c r="F3753" s="439">
        <f t="shared" si="15"/>
        <v>148000</v>
      </c>
      <c r="G3753" s="440"/>
      <c r="H3753" s="447">
        <v>122180</v>
      </c>
    </row>
    <row r="3754" spans="1:8" ht="13.2">
      <c r="A3754" s="454" t="s">
        <v>1939</v>
      </c>
      <c r="B3754" s="452" t="str">
        <f>VLOOKUP(A3754,'Thống kê'!$C$3:$D$669,2,0)</f>
        <v>Kẹp tóc hoa sứ đỏ hồng đậm</v>
      </c>
      <c r="C3754" s="436" t="str">
        <f>VLOOKUP(A3754,'Thống kê'!$C$3:$E$682,3,0)</f>
        <v>cái</v>
      </c>
      <c r="D3754" s="437">
        <f>VLOOKUP(A3754,'Thống kê'!$C$3:$M$682,4,0)</f>
        <v>18500</v>
      </c>
      <c r="E3754" s="438">
        <v>1</v>
      </c>
      <c r="F3754" s="439">
        <f t="shared" si="15"/>
        <v>18500</v>
      </c>
      <c r="G3754" s="440"/>
      <c r="H3754" s="450"/>
    </row>
    <row r="3755" spans="1:8" ht="13.2">
      <c r="A3755" s="454" t="s">
        <v>1386</v>
      </c>
      <c r="B3755" s="452" t="str">
        <f>VLOOKUP(A3755,'Thống kê'!$C$3:$D$669,2,0)</f>
        <v>Móc khoá Crybaby mini Popmart</v>
      </c>
      <c r="C3755" s="436" t="str">
        <f>VLOOKUP(A3755,'Thống kê'!$C$3:$E$682,3,0)</f>
        <v>cái</v>
      </c>
      <c r="D3755" s="437">
        <f>VLOOKUP(A3755,'Thống kê'!$C$3:$M$682,4,0)</f>
        <v>0</v>
      </c>
      <c r="E3755" s="438">
        <v>1</v>
      </c>
      <c r="F3755" s="439">
        <f t="shared" si="15"/>
        <v>0</v>
      </c>
      <c r="G3755" s="440"/>
      <c r="H3755" s="447">
        <v>122508</v>
      </c>
    </row>
    <row r="3756" spans="1:8" ht="13.2">
      <c r="A3756" s="454" t="s">
        <v>1937</v>
      </c>
      <c r="B3756" s="452" t="str">
        <f>VLOOKUP(A3756,'Thống kê'!$C$3:$D$669,2,0)</f>
        <v>Kẹp tóc hoa sứ cam</v>
      </c>
      <c r="C3756" s="436" t="str">
        <f>VLOOKUP(A3756,'Thống kê'!$C$3:$E$682,3,0)</f>
        <v>cái</v>
      </c>
      <c r="D3756" s="437">
        <f>VLOOKUP(A3756,'Thống kê'!$C$3:$M$682,4,0)</f>
        <v>18500</v>
      </c>
      <c r="E3756" s="438">
        <v>1</v>
      </c>
      <c r="F3756" s="439">
        <f t="shared" si="15"/>
        <v>18500</v>
      </c>
      <c r="G3756" s="440"/>
      <c r="H3756" s="450"/>
    </row>
    <row r="3757" spans="1:8" ht="13.2">
      <c r="A3757" s="454" t="s">
        <v>143</v>
      </c>
      <c r="B3757" s="452" t="str">
        <f>VLOOKUP(A3757,'Thống kê'!$C$3:$D$669,2,0)</f>
        <v>Mèo ú</v>
      </c>
      <c r="C3757" s="436" t="str">
        <f>VLOOKUP(A3757,'Thống kê'!$C$3:$E$682,3,0)</f>
        <v>cái</v>
      </c>
      <c r="D3757" s="437">
        <f>VLOOKUP(A3757,'Thống kê'!$C$3:$M$682,4,0)</f>
        <v>59500</v>
      </c>
      <c r="E3757" s="438">
        <v>1</v>
      </c>
      <c r="F3757" s="439">
        <f t="shared" si="15"/>
        <v>59500</v>
      </c>
      <c r="G3757" s="440"/>
      <c r="H3757" s="447">
        <v>131560</v>
      </c>
    </row>
    <row r="3758" spans="1:8" ht="13.2">
      <c r="A3758" s="454" t="s">
        <v>115</v>
      </c>
      <c r="B3758" s="452" t="str">
        <f>VLOOKUP(A3758,'Thống kê'!$C$3:$D$669,2,0)</f>
        <v>Heo ú</v>
      </c>
      <c r="C3758" s="436" t="str">
        <f>VLOOKUP(A3758,'Thống kê'!$C$3:$E$682,3,0)</f>
        <v>cái</v>
      </c>
      <c r="D3758" s="437">
        <f>VLOOKUP(A3758,'Thống kê'!$C$3:$M$682,4,0)</f>
        <v>59500</v>
      </c>
      <c r="E3758" s="438">
        <v>1</v>
      </c>
      <c r="F3758" s="439">
        <f t="shared" si="15"/>
        <v>59500</v>
      </c>
      <c r="G3758" s="440"/>
      <c r="H3758" s="450"/>
    </row>
    <row r="3759" spans="1:8" ht="13.2">
      <c r="A3759" s="454" t="s">
        <v>1623</v>
      </c>
      <c r="B3759" s="452" t="str">
        <f>VLOOKUP(A3759,'Thống kê'!$C$3:$D$669,2,0)</f>
        <v>Mô hình mèo 5</v>
      </c>
      <c r="C3759" s="436" t="str">
        <f>VLOOKUP(A3759,'Thống kê'!$C$3:$E$682,3,0)</f>
        <v>cái</v>
      </c>
      <c r="D3759" s="437">
        <f>VLOOKUP(A3759,'Thống kê'!$C$3:$M$682,4,0)</f>
        <v>37800</v>
      </c>
      <c r="E3759" s="438">
        <v>1</v>
      </c>
      <c r="F3759" s="439">
        <f t="shared" si="15"/>
        <v>37800</v>
      </c>
      <c r="G3759" s="440"/>
      <c r="H3759" s="450"/>
    </row>
    <row r="3760" spans="1:8" ht="13.2">
      <c r="A3760" s="454" t="s">
        <v>150</v>
      </c>
      <c r="B3760" s="452" t="str">
        <f>VLOOKUP(A3760,'Thống kê'!$C$3:$D$669,2,0)</f>
        <v>Móc khóa có chuông</v>
      </c>
      <c r="C3760" s="436" t="str">
        <f>VLOOKUP(A3760,'Thống kê'!$C$3:$E$682,3,0)</f>
        <v>cái</v>
      </c>
      <c r="D3760" s="437">
        <f>VLOOKUP(A3760,'Thống kê'!$C$3:$M$682,4,0)</f>
        <v>59000</v>
      </c>
      <c r="E3760" s="438">
        <v>1</v>
      </c>
      <c r="F3760" s="439">
        <f t="shared" si="15"/>
        <v>59000</v>
      </c>
      <c r="G3760" s="440"/>
      <c r="H3760" s="448">
        <v>44435</v>
      </c>
    </row>
    <row r="3761" spans="1:8" ht="13.2">
      <c r="A3761" s="454" t="s">
        <v>1389</v>
      </c>
      <c r="B3761" s="452" t="str">
        <f>VLOOKUP(A3761,'Thống kê'!$C$3:$D$669,2,0)</f>
        <v>Móc khoá Crybaby mini Popmart</v>
      </c>
      <c r="C3761" s="436" t="str">
        <f>VLOOKUP(A3761,'Thống kê'!$C$3:$E$682,3,0)</f>
        <v>cái</v>
      </c>
      <c r="D3761" s="437">
        <f>VLOOKUP(A3761,'Thống kê'!$C$3:$M$682,4,0)</f>
        <v>0</v>
      </c>
      <c r="E3761" s="438">
        <v>1</v>
      </c>
      <c r="F3761" s="439">
        <f t="shared" si="15"/>
        <v>0</v>
      </c>
      <c r="G3761" s="440"/>
      <c r="H3761" s="447">
        <v>122508</v>
      </c>
    </row>
    <row r="3762" spans="1:8" ht="13.2">
      <c r="A3762" s="454" t="s">
        <v>1939</v>
      </c>
      <c r="B3762" s="452" t="str">
        <f>VLOOKUP(A3762,'Thống kê'!$C$3:$D$669,2,0)</f>
        <v>Kẹp tóc hoa sứ đỏ hồng đậm</v>
      </c>
      <c r="C3762" s="436" t="str">
        <f>VLOOKUP(A3762,'Thống kê'!$C$3:$E$682,3,0)</f>
        <v>cái</v>
      </c>
      <c r="D3762" s="437">
        <f>VLOOKUP(A3762,'Thống kê'!$C$3:$M$682,4,0)</f>
        <v>18500</v>
      </c>
      <c r="E3762" s="438">
        <v>1</v>
      </c>
      <c r="F3762" s="439">
        <f t="shared" si="15"/>
        <v>18500</v>
      </c>
      <c r="G3762" s="440"/>
      <c r="H3762" s="450"/>
    </row>
    <row r="3763" spans="1:8" ht="13.2">
      <c r="A3763" s="454" t="s">
        <v>1930</v>
      </c>
      <c r="B3763" s="452" t="str">
        <f>VLOOKUP(A3763,'Thống kê'!$C$3:$D$669,2,0)</f>
        <v>Kẹp nơ hồng</v>
      </c>
      <c r="C3763" s="436" t="str">
        <f>VLOOKUP(A3763,'Thống kê'!$C$3:$E$682,3,0)</f>
        <v>cái</v>
      </c>
      <c r="D3763" s="437">
        <f>VLOOKUP(A3763,'Thống kê'!$C$3:$M$682,4,0)</f>
        <v>22000</v>
      </c>
      <c r="E3763" s="438">
        <v>2</v>
      </c>
      <c r="F3763" s="439">
        <f t="shared" si="15"/>
        <v>44000</v>
      </c>
      <c r="G3763" s="440"/>
      <c r="H3763" s="447">
        <v>29679</v>
      </c>
    </row>
    <row r="3764" spans="1:8" ht="13.2">
      <c r="A3764" s="454" t="s">
        <v>1930</v>
      </c>
      <c r="B3764" s="452" t="str">
        <f>VLOOKUP(A3764,'Thống kê'!$C$3:$D$669,2,0)</f>
        <v>Kẹp nơ hồng</v>
      </c>
      <c r="C3764" s="436" t="str">
        <f>VLOOKUP(A3764,'Thống kê'!$C$3:$E$682,3,0)</f>
        <v>cái</v>
      </c>
      <c r="D3764" s="437">
        <f>VLOOKUP(A3764,'Thống kê'!$C$3:$M$682,4,0)</f>
        <v>22000</v>
      </c>
      <c r="E3764" s="438">
        <v>2</v>
      </c>
      <c r="F3764" s="439">
        <f t="shared" si="15"/>
        <v>44000</v>
      </c>
      <c r="G3764" s="440"/>
      <c r="H3764" s="450"/>
    </row>
    <row r="3765" spans="1:8" ht="13.2">
      <c r="A3765" s="454" t="s">
        <v>1930</v>
      </c>
      <c r="B3765" s="452" t="str">
        <f>VLOOKUP(A3765,'Thống kê'!$C$3:$D$669,2,0)</f>
        <v>Kẹp nơ hồng</v>
      </c>
      <c r="C3765" s="436" t="str">
        <f>VLOOKUP(A3765,'Thống kê'!$C$3:$E$682,3,0)</f>
        <v>cái</v>
      </c>
      <c r="D3765" s="437">
        <f>VLOOKUP(A3765,'Thống kê'!$C$3:$M$682,4,0)</f>
        <v>22000</v>
      </c>
      <c r="E3765" s="438">
        <v>2</v>
      </c>
      <c r="F3765" s="439">
        <f t="shared" si="15"/>
        <v>44000</v>
      </c>
      <c r="G3765" s="440"/>
      <c r="H3765" s="450"/>
    </row>
    <row r="3766" spans="1:8" ht="13.2">
      <c r="A3766" s="454" t="s">
        <v>1930</v>
      </c>
      <c r="B3766" s="452" t="str">
        <f>VLOOKUP(A3766,'Thống kê'!$C$3:$D$669,2,0)</f>
        <v>Kẹp nơ hồng</v>
      </c>
      <c r="C3766" s="436" t="str">
        <f>VLOOKUP(A3766,'Thống kê'!$C$3:$E$682,3,0)</f>
        <v>cái</v>
      </c>
      <c r="D3766" s="437">
        <f>VLOOKUP(A3766,'Thống kê'!$C$3:$M$682,4,0)</f>
        <v>22000</v>
      </c>
      <c r="E3766" s="438">
        <v>4</v>
      </c>
      <c r="F3766" s="439">
        <f t="shared" si="15"/>
        <v>88000</v>
      </c>
      <c r="G3766" s="440"/>
      <c r="H3766" s="450"/>
    </row>
    <row r="3767" spans="1:8" ht="13.2">
      <c r="A3767" s="454" t="s">
        <v>1382</v>
      </c>
      <c r="B3767" s="452" t="str">
        <f>VLOOKUP(A3767,'Thống kê'!$C$3:$D$669,2,0)</f>
        <v>miếng dán silicon điện thoại</v>
      </c>
      <c r="C3767" s="436" t="str">
        <f>VLOOKUP(A3767,'Thống kê'!$C$3:$E$682,3,0)</f>
        <v>cái</v>
      </c>
      <c r="D3767" s="437">
        <f>VLOOKUP(A3767,'Thống kê'!$C$3:$M$682,4,0)</f>
        <v>0</v>
      </c>
      <c r="E3767" s="438">
        <v>1</v>
      </c>
      <c r="F3767" s="439">
        <f t="shared" si="15"/>
        <v>0</v>
      </c>
      <c r="G3767" s="440"/>
      <c r="H3767" s="447">
        <v>122536</v>
      </c>
    </row>
    <row r="3768" spans="1:8" ht="13.2">
      <c r="A3768" s="454" t="s">
        <v>138</v>
      </c>
      <c r="B3768" s="452" t="str">
        <f>VLOOKUP(A3768,'Thống kê'!$C$3:$D$669,2,0)</f>
        <v>Móc khoá Crybaby mini Popmart</v>
      </c>
      <c r="C3768" s="436" t="str">
        <f>VLOOKUP(A3768,'Thống kê'!$C$3:$E$682,3,0)</f>
        <v>cái</v>
      </c>
      <c r="D3768" s="437">
        <f>VLOOKUP(A3768,'Thống kê'!$C$3:$M$682,4,0)</f>
        <v>0</v>
      </c>
      <c r="E3768" s="438">
        <v>1</v>
      </c>
      <c r="F3768" s="439">
        <f t="shared" si="15"/>
        <v>0</v>
      </c>
      <c r="G3768" s="440"/>
      <c r="H3768" s="450"/>
    </row>
    <row r="3769" spans="1:8" ht="13.2">
      <c r="A3769" s="454" t="s">
        <v>1939</v>
      </c>
      <c r="B3769" s="452" t="str">
        <f>VLOOKUP(A3769,'Thống kê'!$C$3:$D$669,2,0)</f>
        <v>Kẹp tóc hoa sứ đỏ hồng đậm</v>
      </c>
      <c r="C3769" s="436" t="str">
        <f>VLOOKUP(A3769,'Thống kê'!$C$3:$E$682,3,0)</f>
        <v>cái</v>
      </c>
      <c r="D3769" s="437">
        <f>VLOOKUP(A3769,'Thống kê'!$C$3:$M$682,4,0)</f>
        <v>18500</v>
      </c>
      <c r="E3769" s="438">
        <v>1</v>
      </c>
      <c r="F3769" s="439">
        <f t="shared" si="15"/>
        <v>18500</v>
      </c>
      <c r="G3769" s="440"/>
      <c r="H3769" s="450"/>
    </row>
    <row r="3770" spans="1:8" ht="13.2">
      <c r="A3770" s="454" t="s">
        <v>150</v>
      </c>
      <c r="B3770" s="452" t="str">
        <f>VLOOKUP(A3770,'Thống kê'!$C$3:$D$669,2,0)</f>
        <v>Móc khóa có chuông</v>
      </c>
      <c r="C3770" s="436" t="str">
        <f>VLOOKUP(A3770,'Thống kê'!$C$3:$E$682,3,0)</f>
        <v>cái</v>
      </c>
      <c r="D3770" s="437">
        <f>VLOOKUP(A3770,'Thống kê'!$C$3:$M$682,4,0)</f>
        <v>59000</v>
      </c>
      <c r="E3770" s="438">
        <v>1</v>
      </c>
      <c r="F3770" s="439">
        <f t="shared" si="15"/>
        <v>59000</v>
      </c>
      <c r="G3770" s="440"/>
      <c r="H3770" s="448">
        <v>44435</v>
      </c>
    </row>
    <row r="3771" spans="1:8" ht="13.2">
      <c r="A3771" s="454" t="s">
        <v>1974</v>
      </c>
      <c r="B3771" s="452" t="str">
        <f>VLOOKUP(A3771,'Thống kê'!$C$3:$D$669,2,0)</f>
        <v>Mô hình cún 01</v>
      </c>
      <c r="C3771" s="436" t="str">
        <f>VLOOKUP(A3771,'Thống kê'!$C$3:$E$682,3,0)</f>
        <v>cái</v>
      </c>
      <c r="D3771" s="437">
        <f>VLOOKUP(A3771,'Thống kê'!$C$3:$M$682,4,0)</f>
        <v>39000</v>
      </c>
      <c r="E3771" s="438">
        <v>-1</v>
      </c>
      <c r="F3771" s="439">
        <f t="shared" si="15"/>
        <v>-39000</v>
      </c>
      <c r="G3771" s="440"/>
      <c r="H3771" s="447">
        <v>0</v>
      </c>
    </row>
    <row r="3772" spans="1:8" ht="13.2">
      <c r="A3772" s="454" t="s">
        <v>1950</v>
      </c>
      <c r="B3772" s="452" t="str">
        <f>VLOOKUP(A3772,'Thống kê'!$C$3:$D$669,2,0)</f>
        <v>Mô hình cún 03</v>
      </c>
      <c r="C3772" s="436" t="str">
        <f>VLOOKUP(A3772,'Thống kê'!$C$3:$E$682,3,0)</f>
        <v>cái</v>
      </c>
      <c r="D3772" s="437">
        <f>VLOOKUP(A3772,'Thống kê'!$C$3:$M$682,4,0)</f>
        <v>39000</v>
      </c>
      <c r="E3772" s="438">
        <v>-1</v>
      </c>
      <c r="F3772" s="439">
        <f t="shared" si="15"/>
        <v>-39000</v>
      </c>
      <c r="G3772" s="440"/>
      <c r="H3772" s="450"/>
    </row>
    <row r="3773" spans="1:8" ht="13.2">
      <c r="A3773" s="454" t="s">
        <v>1951</v>
      </c>
      <c r="B3773" s="452" t="str">
        <f>VLOOKUP(A3773,'Thống kê'!$C$3:$D$669,2,0)</f>
        <v>Mô hình cún 04</v>
      </c>
      <c r="C3773" s="436" t="str">
        <f>VLOOKUP(A3773,'Thống kê'!$C$3:$E$682,3,0)</f>
        <v>cái</v>
      </c>
      <c r="D3773" s="437">
        <f>VLOOKUP(A3773,'Thống kê'!$C$3:$M$682,4,0)</f>
        <v>39000</v>
      </c>
      <c r="E3773" s="438">
        <v>-1</v>
      </c>
      <c r="F3773" s="439">
        <f t="shared" si="15"/>
        <v>-39000</v>
      </c>
      <c r="G3773" s="440"/>
      <c r="H3773" s="450"/>
    </row>
    <row r="3774" spans="1:8" ht="13.2">
      <c r="A3774" s="454" t="s">
        <v>1622</v>
      </c>
      <c r="B3774" s="452" t="str">
        <f>VLOOKUP(A3774,'Thống kê'!$C$3:$D$669,2,0)</f>
        <v>Mô hình mèo 1</v>
      </c>
      <c r="C3774" s="436" t="str">
        <f>VLOOKUP(A3774,'Thống kê'!$C$3:$E$682,3,0)</f>
        <v>cái</v>
      </c>
      <c r="D3774" s="437">
        <f>VLOOKUP(A3774,'Thống kê'!$C$3:$M$682,4,0)</f>
        <v>37800</v>
      </c>
      <c r="E3774" s="438">
        <v>-1</v>
      </c>
      <c r="F3774" s="439">
        <f t="shared" si="15"/>
        <v>-37800</v>
      </c>
      <c r="G3774" s="440"/>
      <c r="H3774" s="450"/>
    </row>
    <row r="3775" spans="1:8" ht="13.2">
      <c r="A3775" s="454" t="s">
        <v>1621</v>
      </c>
      <c r="B3775" s="452" t="str">
        <f>VLOOKUP(A3775,'Thống kê'!$C$3:$D$669,2,0)</f>
        <v>Mô hình mèo 2</v>
      </c>
      <c r="C3775" s="436" t="str">
        <f>VLOOKUP(A3775,'Thống kê'!$C$3:$E$682,3,0)</f>
        <v>cái</v>
      </c>
      <c r="D3775" s="437">
        <f>VLOOKUP(A3775,'Thống kê'!$C$3:$M$682,4,0)</f>
        <v>37800</v>
      </c>
      <c r="E3775" s="438">
        <v>-1</v>
      </c>
      <c r="F3775" s="439">
        <f t="shared" si="15"/>
        <v>-37800</v>
      </c>
      <c r="G3775" s="440"/>
      <c r="H3775" s="450"/>
    </row>
    <row r="3776" spans="1:8" ht="13.2">
      <c r="A3776" s="454" t="s">
        <v>1635</v>
      </c>
      <c r="B3776" s="452" t="str">
        <f>VLOOKUP(A3776,'Thống kê'!$C$3:$D$669,2,0)</f>
        <v>Mô hình mèo 4</v>
      </c>
      <c r="C3776" s="436" t="str">
        <f>VLOOKUP(A3776,'Thống kê'!$C$3:$E$682,3,0)</f>
        <v>cái</v>
      </c>
      <c r="D3776" s="437">
        <f>VLOOKUP(A3776,'Thống kê'!$C$3:$M$682,4,0)</f>
        <v>37800</v>
      </c>
      <c r="E3776" s="438">
        <v>-1</v>
      </c>
      <c r="F3776" s="439">
        <f t="shared" si="15"/>
        <v>-37800</v>
      </c>
      <c r="G3776" s="440"/>
      <c r="H3776" s="450"/>
    </row>
    <row r="3777" spans="1:8" ht="13.2">
      <c r="A3777" s="454" t="s">
        <v>1623</v>
      </c>
      <c r="B3777" s="452" t="str">
        <f>VLOOKUP(A3777,'Thống kê'!$C$3:$D$669,2,0)</f>
        <v>Mô hình mèo 5</v>
      </c>
      <c r="C3777" s="436" t="str">
        <f>VLOOKUP(A3777,'Thống kê'!$C$3:$E$682,3,0)</f>
        <v>cái</v>
      </c>
      <c r="D3777" s="437">
        <f>VLOOKUP(A3777,'Thống kê'!$C$3:$M$682,4,0)</f>
        <v>37800</v>
      </c>
      <c r="E3777" s="438">
        <v>-1</v>
      </c>
      <c r="F3777" s="439">
        <f t="shared" si="15"/>
        <v>-37800</v>
      </c>
      <c r="G3777" s="440"/>
      <c r="H3777" s="450"/>
    </row>
    <row r="3778" spans="1:8" ht="13.2">
      <c r="A3778" s="454" t="s">
        <v>1635</v>
      </c>
      <c r="B3778" s="452" t="str">
        <f>VLOOKUP(A3778,'Thống kê'!$C$3:$D$669,2,0)</f>
        <v>Mô hình mèo 4</v>
      </c>
      <c r="C3778" s="436" t="str">
        <f>VLOOKUP(A3778,'Thống kê'!$C$3:$E$682,3,0)</f>
        <v>cái</v>
      </c>
      <c r="D3778" s="437">
        <f>VLOOKUP(A3778,'Thống kê'!$C$3:$M$682,4,0)</f>
        <v>37800</v>
      </c>
      <c r="E3778" s="438">
        <v>8</v>
      </c>
      <c r="F3778" s="439">
        <f t="shared" si="15"/>
        <v>302400</v>
      </c>
      <c r="G3778" s="440"/>
      <c r="H3778" s="447">
        <v>387302</v>
      </c>
    </row>
    <row r="3779" spans="1:8" ht="13.2">
      <c r="A3779" s="454" t="s">
        <v>1623</v>
      </c>
      <c r="B3779" s="452" t="str">
        <f>VLOOKUP(A3779,'Thống kê'!$C$3:$D$669,2,0)</f>
        <v>Mô hình mèo 5</v>
      </c>
      <c r="C3779" s="436" t="str">
        <f>VLOOKUP(A3779,'Thống kê'!$C$3:$E$682,3,0)</f>
        <v>cái</v>
      </c>
      <c r="D3779" s="437">
        <f>VLOOKUP(A3779,'Thống kê'!$C$3:$M$682,4,0)</f>
        <v>37800</v>
      </c>
      <c r="E3779" s="438">
        <v>5</v>
      </c>
      <c r="F3779" s="439">
        <f t="shared" si="15"/>
        <v>189000</v>
      </c>
      <c r="G3779" s="440"/>
      <c r="H3779" s="450"/>
    </row>
    <row r="3780" spans="1:8" ht="13.2">
      <c r="A3780" s="454" t="s">
        <v>1622</v>
      </c>
      <c r="B3780" s="452" t="str">
        <f>VLOOKUP(A3780,'Thống kê'!$C$3:$D$669,2,0)</f>
        <v>Mô hình mèo 1</v>
      </c>
      <c r="C3780" s="436" t="str">
        <f>VLOOKUP(A3780,'Thống kê'!$C$3:$E$682,3,0)</f>
        <v>cái</v>
      </c>
      <c r="D3780" s="437">
        <f>VLOOKUP(A3780,'Thống kê'!$C$3:$M$682,4,0)</f>
        <v>37800</v>
      </c>
      <c r="E3780" s="438">
        <v>6</v>
      </c>
      <c r="F3780" s="439">
        <f t="shared" si="15"/>
        <v>226800</v>
      </c>
      <c r="G3780" s="440"/>
      <c r="H3780" s="447">
        <v>418988</v>
      </c>
    </row>
    <row r="3781" spans="1:8" ht="13.2">
      <c r="A3781" s="454" t="s">
        <v>1621</v>
      </c>
      <c r="B3781" s="452" t="str">
        <f>VLOOKUP(A3781,'Thống kê'!$C$3:$D$669,2,0)</f>
        <v>Mô hình mèo 2</v>
      </c>
      <c r="C3781" s="436" t="str">
        <f>VLOOKUP(A3781,'Thống kê'!$C$3:$E$682,3,0)</f>
        <v>cái</v>
      </c>
      <c r="D3781" s="437">
        <f>VLOOKUP(A3781,'Thống kê'!$C$3:$M$682,4,0)</f>
        <v>37800</v>
      </c>
      <c r="E3781" s="438">
        <v>5</v>
      </c>
      <c r="F3781" s="439">
        <f t="shared" si="15"/>
        <v>189000</v>
      </c>
      <c r="G3781" s="440"/>
      <c r="H3781" s="450"/>
    </row>
    <row r="3782" spans="1:8" ht="13.2">
      <c r="A3782" s="454" t="s">
        <v>1636</v>
      </c>
      <c r="B3782" s="452" t="str">
        <f>VLOOKUP(A3782,'Thống kê'!$C$3:$D$669,2,0)</f>
        <v>Mô hình mèo 3</v>
      </c>
      <c r="C3782" s="436" t="str">
        <f>VLOOKUP(A3782,'Thống kê'!$C$3:$E$682,3,0)</f>
        <v>cái</v>
      </c>
      <c r="D3782" s="437">
        <f>VLOOKUP(A3782,'Thống kê'!$C$3:$M$682,4,0)</f>
        <v>37800</v>
      </c>
      <c r="E3782" s="438">
        <v>3</v>
      </c>
      <c r="F3782" s="439">
        <f t="shared" si="15"/>
        <v>113400</v>
      </c>
      <c r="G3782" s="440"/>
      <c r="H3782" s="450"/>
    </row>
    <row r="3783" spans="1:8" ht="13.2">
      <c r="A3783" s="454" t="s">
        <v>1624</v>
      </c>
      <c r="B3783" s="452" t="str">
        <f>VLOOKUP(A3783,'Thống kê'!$C$3:$D$669,2,0)</f>
        <v>Móc khóa mèo trái tim</v>
      </c>
      <c r="C3783" s="436" t="str">
        <f>VLOOKUP(A3783,'Thống kê'!$C$3:$E$682,3,0)</f>
        <v>cái</v>
      </c>
      <c r="D3783" s="437">
        <f>VLOOKUP(A3783,'Thống kê'!$C$3:$M$682,4,0)</f>
        <v>59000</v>
      </c>
      <c r="E3783" s="438">
        <v>1</v>
      </c>
      <c r="F3783" s="439">
        <f t="shared" si="15"/>
        <v>59000</v>
      </c>
      <c r="G3783" s="440"/>
      <c r="H3783" s="447">
        <v>65041</v>
      </c>
    </row>
    <row r="3784" spans="1:8" ht="13.2">
      <c r="A3784" s="454" t="s">
        <v>149</v>
      </c>
      <c r="B3784" s="452" t="str">
        <f>VLOOKUP(A3784,'Thống kê'!$C$3:$D$669,2,0)</f>
        <v>ếch</v>
      </c>
      <c r="C3784" s="436" t="str">
        <f>VLOOKUP(A3784,'Thống kê'!$C$3:$E$682,3,0)</f>
        <v>cái</v>
      </c>
      <c r="D3784" s="437">
        <f>VLOOKUP(A3784,'Thống kê'!$C$3:$M$682,4,0)</f>
        <v>35000</v>
      </c>
      <c r="E3784" s="438">
        <v>1</v>
      </c>
      <c r="F3784" s="439">
        <f t="shared" si="15"/>
        <v>35000</v>
      </c>
      <c r="G3784" s="440"/>
      <c r="H3784" s="450"/>
    </row>
    <row r="3785" spans="1:8" ht="13.2">
      <c r="A3785" s="454" t="s">
        <v>1386</v>
      </c>
      <c r="B3785" s="452" t="str">
        <f>VLOOKUP(A3785,'Thống kê'!$C$3:$D$669,2,0)</f>
        <v>Móc khoá Crybaby mini Popmart</v>
      </c>
      <c r="C3785" s="436" t="str">
        <f>VLOOKUP(A3785,'Thống kê'!$C$3:$E$682,3,0)</f>
        <v>cái</v>
      </c>
      <c r="D3785" s="437">
        <f>VLOOKUP(A3785,'Thống kê'!$C$3:$M$682,4,0)</f>
        <v>0</v>
      </c>
      <c r="E3785" s="438">
        <v>1</v>
      </c>
      <c r="F3785" s="439">
        <f t="shared" si="15"/>
        <v>0</v>
      </c>
      <c r="G3785" s="440"/>
      <c r="H3785" s="448">
        <v>119973</v>
      </c>
    </row>
    <row r="3786" spans="1:8" ht="13.2">
      <c r="A3786" s="454" t="s">
        <v>1617</v>
      </c>
      <c r="B3786" s="452" t="str">
        <f>VLOOKUP(A3786,'Thống kê'!$C$3:$D$669,2,0)</f>
        <v xml:space="preserve">Kẹp tóc bướm hồng </v>
      </c>
      <c r="C3786" s="436" t="str">
        <f>VLOOKUP(A3786,'Thống kê'!$C$3:$E$682,3,0)</f>
        <v>cái</v>
      </c>
      <c r="D3786" s="437">
        <f>VLOOKUP(A3786,'Thống kê'!$C$3:$M$682,4,0)</f>
        <v>40000</v>
      </c>
      <c r="E3786" s="438">
        <v>1</v>
      </c>
      <c r="F3786" s="439">
        <f t="shared" si="15"/>
        <v>40000</v>
      </c>
      <c r="G3786" s="440"/>
      <c r="H3786" s="447">
        <v>20239</v>
      </c>
    </row>
    <row r="3787" spans="1:8" ht="13.2">
      <c r="A3787" s="454" t="s">
        <v>1615</v>
      </c>
      <c r="B3787" s="452" t="str">
        <f>VLOOKUP(A3787,'Thống kê'!$C$3:$D$669,2,0)</f>
        <v>Kẹp tóc bướm tím</v>
      </c>
      <c r="C3787" s="436" t="str">
        <f>VLOOKUP(A3787,'Thống kê'!$C$3:$E$682,3,0)</f>
        <v>cái</v>
      </c>
      <c r="D3787" s="437">
        <f>VLOOKUP(A3787,'Thống kê'!$C$3:$M$682,4,0)</f>
        <v>40000</v>
      </c>
      <c r="E3787" s="438">
        <v>1</v>
      </c>
      <c r="F3787" s="439">
        <f t="shared" si="15"/>
        <v>40000</v>
      </c>
      <c r="G3787" s="440"/>
      <c r="H3787" s="450"/>
    </row>
    <row r="3788" spans="1:8" ht="13.2">
      <c r="A3788" s="454" t="s">
        <v>183</v>
      </c>
      <c r="B3788" s="452" t="str">
        <f>VLOOKUP(A3788,'Thống kê'!$C$3:$D$669,2,0)</f>
        <v>Thỏ máy bay gắn xe</v>
      </c>
      <c r="C3788" s="436" t="str">
        <f>VLOOKUP(A3788,'Thống kê'!$C$3:$E$682,3,0)</f>
        <v>cái</v>
      </c>
      <c r="D3788" s="437">
        <f>VLOOKUP(A3788,'Thống kê'!$C$3:$M$682,4,0)</f>
        <v>45000</v>
      </c>
      <c r="E3788" s="438">
        <v>1</v>
      </c>
      <c r="F3788" s="439">
        <f t="shared" si="15"/>
        <v>45000</v>
      </c>
      <c r="G3788" s="440"/>
      <c r="H3788" s="447">
        <v>91355</v>
      </c>
    </row>
    <row r="3789" spans="1:8" ht="13.2">
      <c r="A3789" s="454" t="s">
        <v>145</v>
      </c>
      <c r="B3789" s="452" t="str">
        <f>VLOOKUP(A3789,'Thống kê'!$C$3:$D$669,2,0)</f>
        <v>Thỏ đi vịt gắn xe</v>
      </c>
      <c r="C3789" s="436" t="str">
        <f>VLOOKUP(A3789,'Thống kê'!$C$3:$E$682,3,0)</f>
        <v>cái</v>
      </c>
      <c r="D3789" s="437">
        <f>VLOOKUP(A3789,'Thống kê'!$C$3:$M$682,4,0)</f>
        <v>45000</v>
      </c>
      <c r="E3789" s="438">
        <v>1</v>
      </c>
      <c r="F3789" s="439">
        <f t="shared" si="15"/>
        <v>45000</v>
      </c>
      <c r="G3789" s="440"/>
      <c r="H3789" s="450"/>
    </row>
    <row r="3790" spans="1:8" ht="13.2">
      <c r="A3790" s="454" t="s">
        <v>119</v>
      </c>
      <c r="B3790" s="452" t="str">
        <f>VLOOKUP(A3790,'Thống kê'!$C$3:$D$669,2,0)</f>
        <v>Thỏ chạy xe gắn xe</v>
      </c>
      <c r="C3790" s="436" t="str">
        <f>VLOOKUP(A3790,'Thống kê'!$C$3:$E$682,3,0)</f>
        <v>cái</v>
      </c>
      <c r="D3790" s="437">
        <f>VLOOKUP(A3790,'Thống kê'!$C$3:$M$682,4,0)</f>
        <v>45000</v>
      </c>
      <c r="E3790" s="438">
        <v>1</v>
      </c>
      <c r="F3790" s="439">
        <f t="shared" si="15"/>
        <v>45000</v>
      </c>
      <c r="G3790" s="440"/>
      <c r="H3790" s="450"/>
    </row>
    <row r="3791" spans="1:8" ht="13.2">
      <c r="A3791" s="454" t="s">
        <v>1625</v>
      </c>
      <c r="B3791" s="452" t="str">
        <f>VLOOKUP(A3791,'Thống kê'!$C$3:$D$669,2,0)</f>
        <v>Móc khóa đôi 2 mèo trắng nâu</v>
      </c>
      <c r="C3791" s="436" t="str">
        <f>VLOOKUP(A3791,'Thống kê'!$C$3:$E$682,3,0)</f>
        <v>cái</v>
      </c>
      <c r="D3791" s="437">
        <f>VLOOKUP(A3791,'Thống kê'!$C$3:$M$682,4,0)</f>
        <v>59000</v>
      </c>
      <c r="E3791" s="438">
        <v>1</v>
      </c>
      <c r="F3791" s="439">
        <f t="shared" si="15"/>
        <v>59000</v>
      </c>
      <c r="G3791" s="440"/>
      <c r="H3791" s="448">
        <v>44510</v>
      </c>
    </row>
    <row r="3792" spans="1:8" ht="13.2">
      <c r="A3792" s="454" t="s">
        <v>1382</v>
      </c>
      <c r="B3792" s="452" t="str">
        <f>VLOOKUP(A3792,'Thống kê'!$C$3:$D$669,2,0)</f>
        <v>miếng dán silicon điện thoại</v>
      </c>
      <c r="C3792" s="436" t="str">
        <f>VLOOKUP(A3792,'Thống kê'!$C$3:$E$682,3,0)</f>
        <v>cái</v>
      </c>
      <c r="D3792" s="437">
        <f>VLOOKUP(A3792,'Thống kê'!$C$3:$M$682,4,0)</f>
        <v>0</v>
      </c>
      <c r="E3792" s="438">
        <v>3</v>
      </c>
      <c r="F3792" s="439">
        <f t="shared" si="15"/>
        <v>0</v>
      </c>
      <c r="G3792" s="440"/>
      <c r="H3792" s="447">
        <v>127513</v>
      </c>
    </row>
    <row r="3793" spans="1:8" ht="13.2">
      <c r="A3793" s="454" t="s">
        <v>1387</v>
      </c>
      <c r="B3793" s="452" t="str">
        <f>VLOOKUP(A3793,'Thống kê'!$C$3:$D$669,2,0)</f>
        <v>Móc khoá Crybaby mini Popmart</v>
      </c>
      <c r="C3793" s="436" t="str">
        <f>VLOOKUP(A3793,'Thống kê'!$C$3:$E$682,3,0)</f>
        <v>cái</v>
      </c>
      <c r="D3793" s="437">
        <f>VLOOKUP(A3793,'Thống kê'!$C$3:$M$682,4,0)</f>
        <v>0</v>
      </c>
      <c r="E3793" s="438">
        <v>1</v>
      </c>
      <c r="F3793" s="439">
        <f t="shared" si="15"/>
        <v>0</v>
      </c>
      <c r="G3793" s="440"/>
      <c r="H3793" s="450"/>
    </row>
    <row r="3794" spans="1:8" ht="13.2">
      <c r="A3794" s="454" t="s">
        <v>1382</v>
      </c>
      <c r="B3794" s="452" t="str">
        <f>VLOOKUP(A3794,'Thống kê'!$C$3:$D$669,2,0)</f>
        <v>miếng dán silicon điện thoại</v>
      </c>
      <c r="C3794" s="436" t="str">
        <f>VLOOKUP(A3794,'Thống kê'!$C$3:$E$682,3,0)</f>
        <v>cái</v>
      </c>
      <c r="D3794" s="437">
        <f>VLOOKUP(A3794,'Thống kê'!$C$3:$M$682,4,0)</f>
        <v>0</v>
      </c>
      <c r="E3794" s="438">
        <v>1</v>
      </c>
      <c r="F3794" s="439">
        <f t="shared" si="15"/>
        <v>0</v>
      </c>
      <c r="G3794" s="440"/>
      <c r="H3794" s="447">
        <v>122536</v>
      </c>
    </row>
    <row r="3795" spans="1:8" ht="13.2">
      <c r="A3795" s="454" t="s">
        <v>138</v>
      </c>
      <c r="B3795" s="452" t="str">
        <f>VLOOKUP(A3795,'Thống kê'!$C$3:$D$669,2,0)</f>
        <v>Móc khoá Crybaby mini Popmart</v>
      </c>
      <c r="C3795" s="436" t="str">
        <f>VLOOKUP(A3795,'Thống kê'!$C$3:$E$682,3,0)</f>
        <v>cái</v>
      </c>
      <c r="D3795" s="437">
        <f>VLOOKUP(A3795,'Thống kê'!$C$3:$M$682,4,0)</f>
        <v>0</v>
      </c>
      <c r="E3795" s="438">
        <v>1</v>
      </c>
      <c r="F3795" s="439">
        <f t="shared" si="15"/>
        <v>0</v>
      </c>
      <c r="G3795" s="440"/>
      <c r="H3795" s="450"/>
    </row>
    <row r="3796" spans="1:8" ht="13.2">
      <c r="A3796" s="454" t="s">
        <v>1939</v>
      </c>
      <c r="B3796" s="452" t="str">
        <f>VLOOKUP(A3796,'Thống kê'!$C$3:$D$669,2,0)</f>
        <v>Kẹp tóc hoa sứ đỏ hồng đậm</v>
      </c>
      <c r="C3796" s="436" t="str">
        <f>VLOOKUP(A3796,'Thống kê'!$C$3:$E$682,3,0)</f>
        <v>cái</v>
      </c>
      <c r="D3796" s="437">
        <f>VLOOKUP(A3796,'Thống kê'!$C$3:$M$682,4,0)</f>
        <v>18500</v>
      </c>
      <c r="E3796" s="438">
        <v>1</v>
      </c>
      <c r="F3796" s="439">
        <f t="shared" si="15"/>
        <v>18500</v>
      </c>
      <c r="G3796" s="440"/>
      <c r="H3796" s="450"/>
    </row>
    <row r="3797" spans="1:8" ht="13.2">
      <c r="A3797" s="454" t="s">
        <v>115</v>
      </c>
      <c r="B3797" s="452" t="str">
        <f>VLOOKUP(A3797,'Thống kê'!$C$3:$D$669,2,0)</f>
        <v>Heo ú</v>
      </c>
      <c r="C3797" s="436" t="str">
        <f>VLOOKUP(A3797,'Thống kê'!$C$3:$E$682,3,0)</f>
        <v>cái</v>
      </c>
      <c r="D3797" s="437">
        <f>VLOOKUP(A3797,'Thống kê'!$C$3:$M$682,4,0)</f>
        <v>59500</v>
      </c>
      <c r="E3797" s="438">
        <v>1</v>
      </c>
      <c r="F3797" s="439">
        <f t="shared" si="15"/>
        <v>59500</v>
      </c>
      <c r="G3797" s="440"/>
      <c r="H3797" s="447">
        <v>111117</v>
      </c>
    </row>
    <row r="3798" spans="1:8" ht="13.2">
      <c r="A3798" s="454" t="s">
        <v>1589</v>
      </c>
      <c r="B3798" s="452" t="str">
        <f>VLOOKUP(A3798,'Thống kê'!$C$3:$D$669,2,0)</f>
        <v>Heo ú bay</v>
      </c>
      <c r="C3798" s="436" t="str">
        <f>VLOOKUP(A3798,'Thống kê'!$C$3:$E$682,3,0)</f>
        <v>cái</v>
      </c>
      <c r="D3798" s="437">
        <f>VLOOKUP(A3798,'Thống kê'!$C$3:$M$682,4,0)</f>
        <v>64500</v>
      </c>
      <c r="E3798" s="438">
        <v>1</v>
      </c>
      <c r="F3798" s="439">
        <f t="shared" si="15"/>
        <v>64500</v>
      </c>
      <c r="G3798" s="440"/>
      <c r="H3798" s="450"/>
    </row>
    <row r="3799" spans="1:8" ht="13.2">
      <c r="A3799" s="454" t="s">
        <v>115</v>
      </c>
      <c r="B3799" s="452" t="str">
        <f>VLOOKUP(A3799,'Thống kê'!$C$3:$D$669,2,0)</f>
        <v>Heo ú</v>
      </c>
      <c r="C3799" s="436" t="str">
        <f>VLOOKUP(A3799,'Thống kê'!$C$3:$E$682,3,0)</f>
        <v>cái</v>
      </c>
      <c r="D3799" s="437">
        <f>VLOOKUP(A3799,'Thống kê'!$C$3:$M$682,4,0)</f>
        <v>59500</v>
      </c>
      <c r="E3799" s="438">
        <v>1</v>
      </c>
      <c r="F3799" s="439">
        <f t="shared" si="15"/>
        <v>59500</v>
      </c>
      <c r="G3799" s="440"/>
      <c r="H3799" s="447">
        <v>165877</v>
      </c>
    </row>
    <row r="3800" spans="1:8" ht="13.2">
      <c r="A3800" s="454" t="s">
        <v>1589</v>
      </c>
      <c r="B3800" s="452" t="str">
        <f>VLOOKUP(A3800,'Thống kê'!$C$3:$D$669,2,0)</f>
        <v>Heo ú bay</v>
      </c>
      <c r="C3800" s="436" t="str">
        <f>VLOOKUP(A3800,'Thống kê'!$C$3:$E$682,3,0)</f>
        <v>cái</v>
      </c>
      <c r="D3800" s="437">
        <f>VLOOKUP(A3800,'Thống kê'!$C$3:$M$682,4,0)</f>
        <v>64500</v>
      </c>
      <c r="E3800" s="438">
        <v>1</v>
      </c>
      <c r="F3800" s="439">
        <f t="shared" si="15"/>
        <v>64500</v>
      </c>
      <c r="G3800" s="440"/>
      <c r="H3800" s="450"/>
    </row>
    <row r="3801" spans="1:8" ht="13.2">
      <c r="A3801" s="454" t="s">
        <v>1622</v>
      </c>
      <c r="B3801" s="452" t="str">
        <f>VLOOKUP(A3801,'Thống kê'!$C$3:$D$669,2,0)</f>
        <v>Mô hình mèo 1</v>
      </c>
      <c r="C3801" s="436" t="str">
        <f>VLOOKUP(A3801,'Thống kê'!$C$3:$E$682,3,0)</f>
        <v>cái</v>
      </c>
      <c r="D3801" s="437">
        <f>VLOOKUP(A3801,'Thống kê'!$C$3:$M$682,4,0)</f>
        <v>37800</v>
      </c>
      <c r="E3801" s="438">
        <v>1</v>
      </c>
      <c r="F3801" s="439">
        <f t="shared" si="15"/>
        <v>37800</v>
      </c>
      <c r="G3801" s="440"/>
      <c r="H3801" s="450"/>
    </row>
    <row r="3802" spans="1:8" ht="13.2">
      <c r="A3802" s="454" t="s">
        <v>1623</v>
      </c>
      <c r="B3802" s="452" t="str">
        <f>VLOOKUP(A3802,'Thống kê'!$C$3:$D$669,2,0)</f>
        <v>Mô hình mèo 5</v>
      </c>
      <c r="C3802" s="436" t="str">
        <f>VLOOKUP(A3802,'Thống kê'!$C$3:$E$682,3,0)</f>
        <v>cái</v>
      </c>
      <c r="D3802" s="437">
        <f>VLOOKUP(A3802,'Thống kê'!$C$3:$M$682,4,0)</f>
        <v>37800</v>
      </c>
      <c r="E3802" s="438">
        <v>1</v>
      </c>
      <c r="F3802" s="439">
        <f t="shared" si="15"/>
        <v>37800</v>
      </c>
      <c r="G3802" s="440"/>
      <c r="H3802" s="450"/>
    </row>
    <row r="3803" spans="1:8" ht="13.2">
      <c r="A3803" s="454" t="s">
        <v>150</v>
      </c>
      <c r="B3803" s="452" t="str">
        <f>VLOOKUP(A3803,'Thống kê'!$C$3:$D$669,2,0)</f>
        <v>Móc khóa có chuông</v>
      </c>
      <c r="C3803" s="436" t="str">
        <f>VLOOKUP(A3803,'Thống kê'!$C$3:$E$682,3,0)</f>
        <v>cái</v>
      </c>
      <c r="D3803" s="437">
        <f>VLOOKUP(A3803,'Thống kê'!$C$3:$M$682,4,0)</f>
        <v>59000</v>
      </c>
      <c r="E3803" s="438">
        <v>1</v>
      </c>
      <c r="F3803" s="439">
        <f t="shared" si="15"/>
        <v>59000</v>
      </c>
      <c r="G3803" s="440"/>
      <c r="H3803" s="448">
        <v>44510</v>
      </c>
    </row>
    <row r="3804" spans="1:8" ht="13.2">
      <c r="A3804" s="454" t="s">
        <v>1341</v>
      </c>
      <c r="B3804" s="452" t="str">
        <f>VLOOKUP(A3804,'Thống kê'!$C$3:$D$669,2,0)</f>
        <v>Móc khóa chuối</v>
      </c>
      <c r="C3804" s="436" t="str">
        <f>VLOOKUP(A3804,'Thống kê'!$C$3:$E$682,3,0)</f>
        <v>cái</v>
      </c>
      <c r="D3804" s="437">
        <f>VLOOKUP(A3804,'Thống kê'!$C$3:$M$682,4,0)</f>
        <v>148000</v>
      </c>
      <c r="E3804" s="438">
        <v>1</v>
      </c>
      <c r="F3804" s="439">
        <f t="shared" si="15"/>
        <v>148000</v>
      </c>
      <c r="G3804" s="440"/>
      <c r="H3804" s="447">
        <v>152691</v>
      </c>
    </row>
    <row r="3805" spans="1:8" ht="13.2">
      <c r="A3805" s="454" t="s">
        <v>170</v>
      </c>
      <c r="B3805" s="452" t="str">
        <f>VLOOKUP(A3805,'Thống kê'!$C$3:$D$669,2,0)</f>
        <v>Móc khóa chuối</v>
      </c>
      <c r="C3805" s="436" t="str">
        <f>VLOOKUP(A3805,'Thống kê'!$C$3:$E$682,3,0)</f>
        <v>cái</v>
      </c>
      <c r="D3805" s="437">
        <f>VLOOKUP(A3805,'Thống kê'!$C$3:$M$682,4,0)</f>
        <v>148000</v>
      </c>
      <c r="E3805" s="438">
        <v>1</v>
      </c>
      <c r="F3805" s="439">
        <f t="shared" si="15"/>
        <v>148000</v>
      </c>
      <c r="G3805" s="440"/>
      <c r="H3805" s="450"/>
    </row>
    <row r="3806" spans="1:8" ht="13.2">
      <c r="A3806" s="454" t="s">
        <v>1939</v>
      </c>
      <c r="B3806" s="452" t="str">
        <f>VLOOKUP(A3806,'Thống kê'!$C$3:$D$669,2,0)</f>
        <v>Kẹp tóc hoa sứ đỏ hồng đậm</v>
      </c>
      <c r="C3806" s="436" t="str">
        <f>VLOOKUP(A3806,'Thống kê'!$C$3:$E$682,3,0)</f>
        <v>cái</v>
      </c>
      <c r="D3806" s="437">
        <f>VLOOKUP(A3806,'Thống kê'!$C$3:$M$682,4,0)</f>
        <v>18500</v>
      </c>
      <c r="E3806" s="438">
        <v>1</v>
      </c>
      <c r="F3806" s="439">
        <f t="shared" si="15"/>
        <v>18500</v>
      </c>
      <c r="G3806" s="440"/>
      <c r="H3806" s="450"/>
    </row>
    <row r="3807" spans="1:8" ht="13.2">
      <c r="A3807" s="454" t="s">
        <v>1393</v>
      </c>
      <c r="B3807" s="452" t="str">
        <f>VLOOKUP(A3807,'Thống kê'!$C$3:$D$669,2,0)</f>
        <v>Móc khoá Labubu mini Popmart</v>
      </c>
      <c r="C3807" s="436" t="str">
        <f>VLOOKUP(A3807,'Thống kê'!$C$3:$E$682,3,0)</f>
        <v>cái</v>
      </c>
      <c r="D3807" s="437">
        <f>VLOOKUP(A3807,'Thống kê'!$C$3:$M$682,4,0)</f>
        <v>0</v>
      </c>
      <c r="E3807" s="438">
        <v>1</v>
      </c>
      <c r="F3807" s="439">
        <f t="shared" si="15"/>
        <v>0</v>
      </c>
      <c r="G3807" s="440"/>
      <c r="H3807" s="447">
        <v>233412</v>
      </c>
    </row>
    <row r="3808" spans="1:8" ht="13.2">
      <c r="A3808" s="454" t="s">
        <v>138</v>
      </c>
      <c r="B3808" s="452" t="str">
        <f>VLOOKUP(A3808,'Thống kê'!$C$3:$D$669,2,0)</f>
        <v>Móc khoá Crybaby mini Popmart</v>
      </c>
      <c r="C3808" s="436" t="str">
        <f>VLOOKUP(A3808,'Thống kê'!$C$3:$E$682,3,0)</f>
        <v>cái</v>
      </c>
      <c r="D3808" s="437">
        <f>VLOOKUP(A3808,'Thống kê'!$C$3:$M$682,4,0)</f>
        <v>0</v>
      </c>
      <c r="E3808" s="438">
        <v>1</v>
      </c>
      <c r="F3808" s="439">
        <f t="shared" si="15"/>
        <v>0</v>
      </c>
      <c r="G3808" s="440"/>
      <c r="H3808" s="450"/>
    </row>
    <row r="3809" spans="1:8" ht="13.2">
      <c r="A3809" s="454" t="s">
        <v>115</v>
      </c>
      <c r="B3809" s="452" t="str">
        <f>VLOOKUP(A3809,'Thống kê'!$C$3:$D$669,2,0)</f>
        <v>Heo ú</v>
      </c>
      <c r="C3809" s="436" t="str">
        <f>VLOOKUP(A3809,'Thống kê'!$C$3:$E$682,3,0)</f>
        <v>cái</v>
      </c>
      <c r="D3809" s="437">
        <f>VLOOKUP(A3809,'Thống kê'!$C$3:$M$682,4,0)</f>
        <v>59500</v>
      </c>
      <c r="E3809" s="438">
        <v>1</v>
      </c>
      <c r="F3809" s="439">
        <f t="shared" si="15"/>
        <v>59500</v>
      </c>
      <c r="G3809" s="440"/>
      <c r="H3809" s="447">
        <v>348828</v>
      </c>
    </row>
    <row r="3810" spans="1:8" ht="13.2">
      <c r="A3810" s="454" t="s">
        <v>186</v>
      </c>
      <c r="B3810" s="452" t="str">
        <f>VLOOKUP(A3810,'Thống kê'!$C$3:$D$669,2,0)</f>
        <v>Thỏ ú bay</v>
      </c>
      <c r="C3810" s="436" t="str">
        <f>VLOOKUP(A3810,'Thống kê'!$C$3:$E$682,3,0)</f>
        <v>cái</v>
      </c>
      <c r="D3810" s="437">
        <f>VLOOKUP(A3810,'Thống kê'!$C$3:$M$682,4,0)</f>
        <v>64500</v>
      </c>
      <c r="E3810" s="438">
        <v>1</v>
      </c>
      <c r="F3810" s="439">
        <f t="shared" si="15"/>
        <v>64500</v>
      </c>
      <c r="G3810" s="440"/>
      <c r="H3810" s="450"/>
    </row>
    <row r="3811" spans="1:8" ht="13.2">
      <c r="A3811" s="454" t="s">
        <v>1386</v>
      </c>
      <c r="B3811" s="452" t="str">
        <f>VLOOKUP(A3811,'Thống kê'!$C$3:$D$669,2,0)</f>
        <v>Móc khoá Crybaby mini Popmart</v>
      </c>
      <c r="C3811" s="436" t="str">
        <f>VLOOKUP(A3811,'Thống kê'!$C$3:$E$682,3,0)</f>
        <v>cái</v>
      </c>
      <c r="D3811" s="437">
        <f>VLOOKUP(A3811,'Thống kê'!$C$3:$M$682,4,0)</f>
        <v>0</v>
      </c>
      <c r="E3811" s="438">
        <v>1</v>
      </c>
      <c r="F3811" s="439">
        <f t="shared" si="15"/>
        <v>0</v>
      </c>
      <c r="G3811" s="440"/>
      <c r="H3811" s="450"/>
    </row>
    <row r="3812" spans="1:8" ht="13.2">
      <c r="A3812" s="454" t="s">
        <v>138</v>
      </c>
      <c r="B3812" s="452" t="str">
        <f>VLOOKUP(A3812,'Thống kê'!$C$3:$D$669,2,0)</f>
        <v>Móc khoá Crybaby mini Popmart</v>
      </c>
      <c r="C3812" s="436" t="str">
        <f>VLOOKUP(A3812,'Thống kê'!$C$3:$E$682,3,0)</f>
        <v>cái</v>
      </c>
      <c r="D3812" s="437">
        <f>VLOOKUP(A3812,'Thống kê'!$C$3:$M$682,4,0)</f>
        <v>0</v>
      </c>
      <c r="E3812" s="438">
        <v>1</v>
      </c>
      <c r="F3812" s="439">
        <f t="shared" si="15"/>
        <v>0</v>
      </c>
      <c r="G3812" s="440"/>
      <c r="H3812" s="450"/>
    </row>
    <row r="3813" spans="1:8" ht="13.2">
      <c r="A3813" s="454" t="s">
        <v>1625</v>
      </c>
      <c r="B3813" s="452" t="str">
        <f>VLOOKUP(A3813,'Thống kê'!$C$3:$D$669,2,0)</f>
        <v>Móc khóa đôi 2 mèo trắng nâu</v>
      </c>
      <c r="C3813" s="436" t="str">
        <f>VLOOKUP(A3813,'Thống kê'!$C$3:$E$682,3,0)</f>
        <v>cái</v>
      </c>
      <c r="D3813" s="437">
        <f>VLOOKUP(A3813,'Thống kê'!$C$3:$M$682,4,0)</f>
        <v>59000</v>
      </c>
      <c r="E3813" s="438">
        <v>1</v>
      </c>
      <c r="F3813" s="439">
        <f t="shared" si="15"/>
        <v>59000</v>
      </c>
      <c r="G3813" s="440"/>
      <c r="H3813" s="448">
        <v>44435</v>
      </c>
    </row>
    <row r="3814" spans="1:8" ht="13.2">
      <c r="A3814" s="454" t="s">
        <v>150</v>
      </c>
      <c r="B3814" s="452" t="str">
        <f>VLOOKUP(A3814,'Thống kê'!$C$3:$D$669,2,0)</f>
        <v>Móc khóa có chuông</v>
      </c>
      <c r="C3814" s="436" t="str">
        <f>VLOOKUP(A3814,'Thống kê'!$C$3:$E$682,3,0)</f>
        <v>cái</v>
      </c>
      <c r="D3814" s="437">
        <f>VLOOKUP(A3814,'Thống kê'!$C$3:$M$682,4,0)</f>
        <v>59000</v>
      </c>
      <c r="E3814" s="438">
        <v>1</v>
      </c>
      <c r="F3814" s="439">
        <f t="shared" si="15"/>
        <v>59000</v>
      </c>
      <c r="G3814" s="440"/>
      <c r="H3814" s="447">
        <v>66944</v>
      </c>
    </row>
    <row r="3815" spans="1:8" ht="13.2">
      <c r="A3815" s="454" t="s">
        <v>1919</v>
      </c>
      <c r="B3815" s="452" t="str">
        <f>VLOOKUP(A3815,'Thống kê'!$C$3:$D$669,2,0)</f>
        <v>Vớ cổ cao trắng hoa đen</v>
      </c>
      <c r="C3815" s="436" t="str">
        <f>VLOOKUP(A3815,'Thống kê'!$C$3:$E$682,3,0)</f>
        <v>đôi</v>
      </c>
      <c r="D3815" s="437">
        <f>VLOOKUP(A3815,'Thống kê'!$C$3:$M$682,4,0)</f>
        <v>19800</v>
      </c>
      <c r="E3815" s="438">
        <v>2</v>
      </c>
      <c r="F3815" s="439">
        <f t="shared" si="15"/>
        <v>39600</v>
      </c>
      <c r="G3815" s="440"/>
      <c r="H3815" s="450"/>
    </row>
    <row r="3816" spans="1:8" ht="13.2">
      <c r="A3816" s="454" t="s">
        <v>138</v>
      </c>
      <c r="B3816" s="452" t="str">
        <f>VLOOKUP(A3816,'Thống kê'!$C$3:$D$669,2,0)</f>
        <v>Móc khoá Crybaby mini Popmart</v>
      </c>
      <c r="C3816" s="436" t="str">
        <f>VLOOKUP(A3816,'Thống kê'!$C$3:$E$682,3,0)</f>
        <v>cái</v>
      </c>
      <c r="D3816" s="437">
        <f>VLOOKUP(A3816,'Thống kê'!$C$3:$M$682,4,0)</f>
        <v>0</v>
      </c>
      <c r="E3816" s="438">
        <v>1</v>
      </c>
      <c r="F3816" s="439">
        <f t="shared" si="15"/>
        <v>0</v>
      </c>
      <c r="G3816" s="440"/>
      <c r="H3816" s="447">
        <v>121683</v>
      </c>
    </row>
    <row r="3817" spans="1:8" ht="13.2">
      <c r="A3817" s="454" t="s">
        <v>1937</v>
      </c>
      <c r="B3817" s="452" t="str">
        <f>VLOOKUP(A3817,'Thống kê'!$C$3:$D$669,2,0)</f>
        <v>Kẹp tóc hoa sứ cam</v>
      </c>
      <c r="C3817" s="436" t="str">
        <f>VLOOKUP(A3817,'Thống kê'!$C$3:$E$682,3,0)</f>
        <v>cái</v>
      </c>
      <c r="D3817" s="437">
        <f>VLOOKUP(A3817,'Thống kê'!$C$3:$M$682,4,0)</f>
        <v>18500</v>
      </c>
      <c r="E3817" s="438">
        <v>1</v>
      </c>
      <c r="F3817" s="439">
        <f t="shared" si="15"/>
        <v>18500</v>
      </c>
      <c r="G3817" s="440"/>
      <c r="H3817" s="450"/>
    </row>
    <row r="3818" spans="1:8" ht="13.2">
      <c r="A3818" s="454" t="s">
        <v>1591</v>
      </c>
      <c r="B3818" s="452" t="str">
        <f>VLOOKUP(A3818,'Thống kê'!$C$3:$D$669,2,0)</f>
        <v>Thỏ ú</v>
      </c>
      <c r="C3818" s="436" t="str">
        <f>VLOOKUP(A3818,'Thống kê'!$C$3:$E$682,3,0)</f>
        <v>cái</v>
      </c>
      <c r="D3818" s="437">
        <f>VLOOKUP(A3818,'Thống kê'!$C$3:$M$682,4,0)</f>
        <v>59500</v>
      </c>
      <c r="E3818" s="438">
        <v>1</v>
      </c>
      <c r="F3818" s="439">
        <f t="shared" si="15"/>
        <v>59500</v>
      </c>
      <c r="G3818" s="440"/>
      <c r="H3818" s="447">
        <v>82230</v>
      </c>
    </row>
    <row r="3819" spans="1:8" ht="13.2">
      <c r="A3819" s="454" t="s">
        <v>1357</v>
      </c>
      <c r="B3819" s="452" t="str">
        <f>VLOOKUP(A3819,'Thống kê'!$C$3:$D$669,2,0)</f>
        <v>Trang trí mô hình Thỏ</v>
      </c>
      <c r="C3819" s="436" t="str">
        <f>VLOOKUP(A3819,'Thống kê'!$C$3:$E$682,3,0)</f>
        <v>cái</v>
      </c>
      <c r="D3819" s="437">
        <f>VLOOKUP(A3819,'Thống kê'!$C$3:$M$682,4,0)</f>
        <v>39000</v>
      </c>
      <c r="E3819" s="438">
        <v>1</v>
      </c>
      <c r="F3819" s="439">
        <f t="shared" si="15"/>
        <v>39000</v>
      </c>
      <c r="G3819" s="440"/>
      <c r="H3819" s="450"/>
    </row>
    <row r="3820" spans="1:8" ht="13.2">
      <c r="A3820" s="454" t="s">
        <v>1382</v>
      </c>
      <c r="B3820" s="452" t="str">
        <f>VLOOKUP(A3820,'Thống kê'!$C$3:$D$669,2,0)</f>
        <v>miếng dán silicon điện thoại</v>
      </c>
      <c r="C3820" s="436" t="str">
        <f>VLOOKUP(A3820,'Thống kê'!$C$3:$E$682,3,0)</f>
        <v>cái</v>
      </c>
      <c r="D3820" s="437">
        <f>VLOOKUP(A3820,'Thống kê'!$C$3:$M$682,4,0)</f>
        <v>0</v>
      </c>
      <c r="E3820" s="438">
        <v>23</v>
      </c>
      <c r="F3820" s="439">
        <f t="shared" si="15"/>
        <v>0</v>
      </c>
      <c r="G3820" s="440"/>
      <c r="H3820" s="448">
        <v>52614</v>
      </c>
    </row>
    <row r="3821" spans="1:8" ht="13.2">
      <c r="A3821" s="454" t="s">
        <v>1623</v>
      </c>
      <c r="B3821" s="452" t="str">
        <f>VLOOKUP(A3821,'Thống kê'!$C$3:$D$669,2,0)</f>
        <v>Mô hình mèo 5</v>
      </c>
      <c r="C3821" s="436" t="str">
        <f>VLOOKUP(A3821,'Thống kê'!$C$3:$E$682,3,0)</f>
        <v>cái</v>
      </c>
      <c r="D3821" s="437">
        <f>VLOOKUP(A3821,'Thống kê'!$C$3:$M$682,4,0)</f>
        <v>37800</v>
      </c>
      <c r="E3821" s="438">
        <v>1</v>
      </c>
      <c r="F3821" s="439">
        <f t="shared" si="15"/>
        <v>37800</v>
      </c>
      <c r="G3821" s="440"/>
      <c r="H3821" s="447">
        <v>173512</v>
      </c>
    </row>
    <row r="3822" spans="1:8" ht="13.2">
      <c r="A3822" s="454" t="s">
        <v>2082</v>
      </c>
      <c r="B3822" s="452" t="str">
        <f>VLOOKUP(A3822,'Thống kê'!$C$3:$D$669,2,0)</f>
        <v>Mô hình trái cây 06</v>
      </c>
      <c r="C3822" s="436" t="str">
        <f>VLOOKUP(A3822,'Thống kê'!$C$3:$E$682,3,0)</f>
        <v>cái</v>
      </c>
      <c r="D3822" s="437">
        <f>VLOOKUP(A3822,'Thống kê'!$C$3:$M$682,4,0)</f>
        <v>39000</v>
      </c>
      <c r="E3822" s="438">
        <v>1</v>
      </c>
      <c r="F3822" s="439">
        <f t="shared" si="15"/>
        <v>39000</v>
      </c>
      <c r="G3822" s="440"/>
      <c r="H3822" s="450"/>
    </row>
    <row r="3823" spans="1:8" ht="13.2">
      <c r="A3823" s="454" t="s">
        <v>2083</v>
      </c>
      <c r="B3823" s="452" t="str">
        <f>VLOOKUP(A3823,'Thống kê'!$C$3:$D$669,2,0)</f>
        <v>Mô hình trái cây 07</v>
      </c>
      <c r="C3823" s="436" t="str">
        <f>VLOOKUP(A3823,'Thống kê'!$C$3:$E$682,3,0)</f>
        <v>cái</v>
      </c>
      <c r="D3823" s="437">
        <f>VLOOKUP(A3823,'Thống kê'!$C$3:$M$682,4,0)</f>
        <v>39000</v>
      </c>
      <c r="E3823" s="438">
        <v>1</v>
      </c>
      <c r="F3823" s="439">
        <f t="shared" si="15"/>
        <v>39000</v>
      </c>
      <c r="G3823" s="440"/>
      <c r="H3823" s="450"/>
    </row>
    <row r="3824" spans="1:8" ht="13.2">
      <c r="A3824" s="454" t="s">
        <v>2060</v>
      </c>
      <c r="B3824" s="452" t="str">
        <f>VLOOKUP(A3824,'Thống kê'!$C$3:$D$669,2,0)</f>
        <v>Mô hình trái cây 08</v>
      </c>
      <c r="C3824" s="436" t="str">
        <f>VLOOKUP(A3824,'Thống kê'!$C$3:$E$682,3,0)</f>
        <v>cái</v>
      </c>
      <c r="D3824" s="437">
        <f>VLOOKUP(A3824,'Thống kê'!$C$3:$M$682,4,0)</f>
        <v>39000</v>
      </c>
      <c r="E3824" s="438">
        <v>1</v>
      </c>
      <c r="F3824" s="439">
        <f t="shared" si="15"/>
        <v>39000</v>
      </c>
      <c r="G3824" s="440"/>
      <c r="H3824" s="450"/>
    </row>
    <row r="3825" spans="1:8" ht="13.2">
      <c r="A3825" s="454" t="s">
        <v>1914</v>
      </c>
      <c r="B3825" s="452" t="str">
        <f>VLOOKUP(A3825,'Thống kê'!$C$3:$D$669,2,0)</f>
        <v>Mô hình trái cây 12</v>
      </c>
      <c r="C3825" s="436" t="str">
        <f>VLOOKUP(A3825,'Thống kê'!$C$3:$E$682,3,0)</f>
        <v>cái</v>
      </c>
      <c r="D3825" s="437">
        <f>VLOOKUP(A3825,'Thống kê'!$C$3:$M$682,4,0)</f>
        <v>39000</v>
      </c>
      <c r="E3825" s="438">
        <v>1</v>
      </c>
      <c r="F3825" s="439">
        <f t="shared" si="15"/>
        <v>39000</v>
      </c>
      <c r="G3825" s="440"/>
      <c r="H3825" s="450"/>
    </row>
    <row r="3826" spans="1:8" ht="13.2">
      <c r="A3826" s="454" t="s">
        <v>115</v>
      </c>
      <c r="B3826" s="452" t="str">
        <f>VLOOKUP(A3826,'Thống kê'!$C$3:$D$669,2,0)</f>
        <v>Heo ú</v>
      </c>
      <c r="C3826" s="436" t="str">
        <f>VLOOKUP(A3826,'Thống kê'!$C$3:$E$682,3,0)</f>
        <v>cái</v>
      </c>
      <c r="D3826" s="437">
        <f>VLOOKUP(A3826,'Thống kê'!$C$3:$M$682,4,0)</f>
        <v>59500</v>
      </c>
      <c r="E3826" s="438">
        <v>1</v>
      </c>
      <c r="F3826" s="439">
        <f t="shared" si="15"/>
        <v>59500</v>
      </c>
      <c r="G3826" s="440"/>
      <c r="H3826" s="448">
        <v>52808</v>
      </c>
    </row>
    <row r="3827" spans="1:8" ht="13.2">
      <c r="A3827" s="454" t="s">
        <v>1688</v>
      </c>
      <c r="B3827" s="452">
        <f>VLOOKUP(A3827,'Thống kê'!$C$3:$D$669,2,0)</f>
        <v>0</v>
      </c>
      <c r="C3827" s="436" t="str">
        <f>VLOOKUP(A3827,'Thống kê'!$C$3:$E$682,3,0)</f>
        <v>cái</v>
      </c>
      <c r="D3827" s="437">
        <f>VLOOKUP(A3827,'Thống kê'!$C$3:$M$682,4,0)</f>
        <v>0</v>
      </c>
      <c r="E3827" s="438">
        <v>1</v>
      </c>
      <c r="F3827" s="439">
        <f t="shared" si="15"/>
        <v>0</v>
      </c>
      <c r="G3827" s="440"/>
      <c r="H3827" s="448">
        <v>22042</v>
      </c>
    </row>
    <row r="3828" spans="1:8" ht="13.2">
      <c r="A3828" s="454" t="s">
        <v>278</v>
      </c>
      <c r="B3828" s="452" t="str">
        <f>VLOOKUP(A3828,'Thống kê'!$C$3:$D$669,2,0)</f>
        <v>Dao rọc giấy 09</v>
      </c>
      <c r="C3828" s="436" t="str">
        <f>VLOOKUP(A3828,'Thống kê'!$C$3:$E$682,3,0)</f>
        <v>cái</v>
      </c>
      <c r="D3828" s="437">
        <f>VLOOKUP(A3828,'Thống kê'!$C$3:$M$682,4,0)</f>
        <v>12000</v>
      </c>
      <c r="E3828" s="438">
        <v>1</v>
      </c>
      <c r="F3828" s="439">
        <f t="shared" si="15"/>
        <v>12000</v>
      </c>
      <c r="G3828" s="440"/>
      <c r="H3828" s="447">
        <v>129100</v>
      </c>
    </row>
    <row r="3829" spans="1:8" ht="13.2">
      <c r="A3829" s="454" t="s">
        <v>1386</v>
      </c>
      <c r="B3829" s="452" t="str">
        <f>VLOOKUP(A3829,'Thống kê'!$C$3:$D$669,2,0)</f>
        <v>Móc khoá Crybaby mini Popmart</v>
      </c>
      <c r="C3829" s="436" t="str">
        <f>VLOOKUP(A3829,'Thống kê'!$C$3:$E$682,3,0)</f>
        <v>cái</v>
      </c>
      <c r="D3829" s="437">
        <f>VLOOKUP(A3829,'Thống kê'!$C$3:$M$682,4,0)</f>
        <v>0</v>
      </c>
      <c r="E3829" s="438">
        <v>1</v>
      </c>
      <c r="F3829" s="439">
        <f t="shared" si="15"/>
        <v>0</v>
      </c>
      <c r="G3829" s="440"/>
      <c r="H3829" s="450"/>
    </row>
    <row r="3830" spans="1:8" ht="13.2">
      <c r="A3830" s="454" t="s">
        <v>1939</v>
      </c>
      <c r="B3830" s="452" t="str">
        <f>VLOOKUP(A3830,'Thống kê'!$C$3:$D$669,2,0)</f>
        <v>Kẹp tóc hoa sứ đỏ hồng đậm</v>
      </c>
      <c r="C3830" s="436" t="str">
        <f>VLOOKUP(A3830,'Thống kê'!$C$3:$E$682,3,0)</f>
        <v>cái</v>
      </c>
      <c r="D3830" s="437">
        <f>VLOOKUP(A3830,'Thống kê'!$C$3:$M$682,4,0)</f>
        <v>18500</v>
      </c>
      <c r="E3830" s="438">
        <v>1</v>
      </c>
      <c r="F3830" s="439">
        <f t="shared" si="15"/>
        <v>18500</v>
      </c>
      <c r="G3830" s="440"/>
      <c r="H3830" s="450"/>
    </row>
    <row r="3831" spans="1:8" ht="13.2">
      <c r="A3831" s="454" t="s">
        <v>1382</v>
      </c>
      <c r="B3831" s="452" t="str">
        <f>VLOOKUP(A3831,'Thống kê'!$C$3:$D$669,2,0)</f>
        <v>miếng dán silicon điện thoại</v>
      </c>
      <c r="C3831" s="436" t="str">
        <f>VLOOKUP(A3831,'Thống kê'!$C$3:$E$682,3,0)</f>
        <v>cái</v>
      </c>
      <c r="D3831" s="437">
        <f>VLOOKUP(A3831,'Thống kê'!$C$3:$M$682,4,0)</f>
        <v>0</v>
      </c>
      <c r="E3831" s="438">
        <v>1</v>
      </c>
      <c r="F3831" s="439">
        <f t="shared" si="15"/>
        <v>0</v>
      </c>
      <c r="G3831" s="440"/>
      <c r="H3831" s="447">
        <v>30232</v>
      </c>
    </row>
    <row r="3832" spans="1:8" ht="13.2">
      <c r="A3832" s="454" t="s">
        <v>1688</v>
      </c>
      <c r="B3832" s="452">
        <f>VLOOKUP(A3832,'Thống kê'!$C$3:$D$669,2,0)</f>
        <v>0</v>
      </c>
      <c r="C3832" s="436" t="str">
        <f>VLOOKUP(A3832,'Thống kê'!$C$3:$E$682,3,0)</f>
        <v>cái</v>
      </c>
      <c r="D3832" s="437">
        <f>VLOOKUP(A3832,'Thống kê'!$C$3:$M$682,4,0)</f>
        <v>0</v>
      </c>
      <c r="E3832" s="438">
        <v>1</v>
      </c>
      <c r="F3832" s="439">
        <f t="shared" si="15"/>
        <v>0</v>
      </c>
      <c r="G3832" s="440"/>
      <c r="H3832" s="450"/>
    </row>
    <row r="3833" spans="1:8" ht="13.2">
      <c r="A3833" s="454" t="s">
        <v>1631</v>
      </c>
      <c r="B3833" s="452" t="str">
        <f>VLOOKUP(A3833,'Thống kê'!$C$3:$D$669,2,0)</f>
        <v>Kẹp tóc bướm xanh vàng</v>
      </c>
      <c r="C3833" s="436" t="str">
        <f>VLOOKUP(A3833,'Thống kê'!$C$3:$E$682,3,0)</f>
        <v>cái</v>
      </c>
      <c r="D3833" s="437">
        <f>VLOOKUP(A3833,'Thống kê'!$C$3:$M$682,4,0)</f>
        <v>52000</v>
      </c>
      <c r="E3833" s="438">
        <v>1</v>
      </c>
      <c r="F3833" s="439">
        <f t="shared" si="15"/>
        <v>52000</v>
      </c>
      <c r="G3833" s="440"/>
      <c r="H3833" s="447">
        <v>79376</v>
      </c>
    </row>
    <row r="3834" spans="1:8" ht="13.2">
      <c r="A3834" s="454" t="s">
        <v>1614</v>
      </c>
      <c r="B3834" s="452" t="str">
        <f>VLOOKUP(A3834,'Thống kê'!$C$3:$D$669,2,0)</f>
        <v>Kẹp tóc bướm xanh ngọc</v>
      </c>
      <c r="C3834" s="436" t="str">
        <f>VLOOKUP(A3834,'Thống kê'!$C$3:$E$682,3,0)</f>
        <v>cái</v>
      </c>
      <c r="D3834" s="437">
        <f>VLOOKUP(A3834,'Thống kê'!$C$3:$M$682,4,0)</f>
        <v>38000</v>
      </c>
      <c r="E3834" s="438">
        <v>2</v>
      </c>
      <c r="F3834" s="439">
        <f t="shared" si="15"/>
        <v>76000</v>
      </c>
      <c r="G3834" s="440"/>
      <c r="H3834" s="450"/>
    </row>
    <row r="3835" spans="1:8" ht="13.2">
      <c r="A3835" s="454" t="s">
        <v>1615</v>
      </c>
      <c r="B3835" s="452" t="str">
        <f>VLOOKUP(A3835,'Thống kê'!$C$3:$D$669,2,0)</f>
        <v>Kẹp tóc bướm tím</v>
      </c>
      <c r="C3835" s="436" t="str">
        <f>VLOOKUP(A3835,'Thống kê'!$C$3:$E$682,3,0)</f>
        <v>cái</v>
      </c>
      <c r="D3835" s="437">
        <f>VLOOKUP(A3835,'Thống kê'!$C$3:$M$682,4,0)</f>
        <v>40000</v>
      </c>
      <c r="E3835" s="438">
        <v>1</v>
      </c>
      <c r="F3835" s="439">
        <f t="shared" si="15"/>
        <v>40000</v>
      </c>
      <c r="G3835" s="440"/>
      <c r="H3835" s="450"/>
    </row>
    <row r="3836" spans="1:8" ht="13.2">
      <c r="A3836" s="454" t="s">
        <v>1617</v>
      </c>
      <c r="B3836" s="452" t="str">
        <f>VLOOKUP(A3836,'Thống kê'!$C$3:$D$669,2,0)</f>
        <v xml:space="preserve">Kẹp tóc bướm hồng </v>
      </c>
      <c r="C3836" s="436" t="str">
        <f>VLOOKUP(A3836,'Thống kê'!$C$3:$E$682,3,0)</f>
        <v>cái</v>
      </c>
      <c r="D3836" s="437">
        <f>VLOOKUP(A3836,'Thống kê'!$C$3:$M$682,4,0)</f>
        <v>40000</v>
      </c>
      <c r="E3836" s="438">
        <v>1</v>
      </c>
      <c r="F3836" s="439">
        <f t="shared" si="15"/>
        <v>40000</v>
      </c>
      <c r="G3836" s="440"/>
      <c r="H3836" s="450"/>
    </row>
    <row r="3837" spans="1:8" ht="13.2">
      <c r="A3837" s="454" t="s">
        <v>1614</v>
      </c>
      <c r="B3837" s="452" t="str">
        <f>VLOOKUP(A3837,'Thống kê'!$C$3:$D$669,2,0)</f>
        <v>Kẹp tóc bướm xanh ngọc</v>
      </c>
      <c r="C3837" s="436" t="str">
        <f>VLOOKUP(A3837,'Thống kê'!$C$3:$E$682,3,0)</f>
        <v>cái</v>
      </c>
      <c r="D3837" s="437">
        <f>VLOOKUP(A3837,'Thống kê'!$C$3:$M$682,4,0)</f>
        <v>38000</v>
      </c>
      <c r="E3837" s="438">
        <v>1</v>
      </c>
      <c r="F3837" s="439">
        <f t="shared" si="15"/>
        <v>38000</v>
      </c>
      <c r="G3837" s="440"/>
      <c r="H3837" s="450"/>
    </row>
    <row r="3838" spans="1:8" ht="13.2">
      <c r="A3838" s="454" t="s">
        <v>1616</v>
      </c>
      <c r="B3838" s="452" t="str">
        <f>VLOOKUP(A3838,'Thống kê'!$C$3:$D$669,2,0)</f>
        <v>Kẹp tóc bướm hồng phấn</v>
      </c>
      <c r="C3838" s="436" t="str">
        <f>VLOOKUP(A3838,'Thống kê'!$C$3:$E$682,3,0)</f>
        <v>cái</v>
      </c>
      <c r="D3838" s="437">
        <f>VLOOKUP(A3838,'Thống kê'!$C$3:$M$682,4,0)</f>
        <v>40000</v>
      </c>
      <c r="E3838" s="438">
        <v>1</v>
      </c>
      <c r="F3838" s="439">
        <f t="shared" si="15"/>
        <v>40000</v>
      </c>
      <c r="G3838" s="440"/>
      <c r="H3838" s="450"/>
    </row>
    <row r="3839" spans="1:8" ht="13.2">
      <c r="A3839" s="454" t="s">
        <v>1716</v>
      </c>
      <c r="B3839" s="452" t="str">
        <f>VLOOKUP(A3839,'Thống kê'!$C$3:$D$669,2,0)</f>
        <v>Móc khóa đôi 2 quả lê có nam châm</v>
      </c>
      <c r="C3839" s="436" t="str">
        <f>VLOOKUP(A3839,'Thống kê'!$C$3:$E$682,3,0)</f>
        <v>cái</v>
      </c>
      <c r="D3839" s="437">
        <f>VLOOKUP(A3839,'Thống kê'!$C$3:$M$682,4,0)</f>
        <v>59000</v>
      </c>
      <c r="E3839" s="438">
        <v>1</v>
      </c>
      <c r="F3839" s="439">
        <f t="shared" si="15"/>
        <v>59000</v>
      </c>
      <c r="G3839" s="440"/>
      <c r="H3839" s="448">
        <v>44510</v>
      </c>
    </row>
    <row r="3840" spans="1:8" ht="13.2">
      <c r="A3840" s="454" t="s">
        <v>150</v>
      </c>
      <c r="B3840" s="452" t="str">
        <f>VLOOKUP(A3840,'Thống kê'!$C$3:$D$669,2,0)</f>
        <v>Móc khóa có chuông</v>
      </c>
      <c r="C3840" s="436" t="str">
        <f>VLOOKUP(A3840,'Thống kê'!$C$3:$E$682,3,0)</f>
        <v>cái</v>
      </c>
      <c r="D3840" s="437">
        <f>VLOOKUP(A3840,'Thống kê'!$C$3:$M$682,4,0)</f>
        <v>59000</v>
      </c>
      <c r="E3840" s="438">
        <v>1</v>
      </c>
      <c r="F3840" s="439">
        <f t="shared" si="15"/>
        <v>59000</v>
      </c>
      <c r="G3840" s="440"/>
      <c r="H3840" s="448">
        <v>44510</v>
      </c>
    </row>
    <row r="3841" spans="1:8" ht="13.2">
      <c r="A3841" s="454" t="s">
        <v>183</v>
      </c>
      <c r="B3841" s="452" t="str">
        <f>VLOOKUP(A3841,'Thống kê'!$C$3:$D$669,2,0)</f>
        <v>Thỏ máy bay gắn xe</v>
      </c>
      <c r="C3841" s="436" t="str">
        <f>VLOOKUP(A3841,'Thống kê'!$C$3:$E$682,3,0)</f>
        <v>cái</v>
      </c>
      <c r="D3841" s="437">
        <f>VLOOKUP(A3841,'Thống kê'!$C$3:$M$682,4,0)</f>
        <v>45000</v>
      </c>
      <c r="E3841" s="438">
        <v>1</v>
      </c>
      <c r="F3841" s="439">
        <f t="shared" si="15"/>
        <v>45000</v>
      </c>
      <c r="G3841" s="440"/>
      <c r="H3841" s="447">
        <v>88462</v>
      </c>
    </row>
    <row r="3842" spans="1:8" ht="13.2">
      <c r="A3842" s="454" t="s">
        <v>189</v>
      </c>
      <c r="B3842" s="452" t="str">
        <f>VLOOKUP(A3842,'Thống kê'!$C$3:$D$669,2,0)</f>
        <v>Gấu nâu gắn xe</v>
      </c>
      <c r="C3842" s="436" t="str">
        <f>VLOOKUP(A3842,'Thống kê'!$C$3:$E$682,3,0)</f>
        <v>cái</v>
      </c>
      <c r="D3842" s="437">
        <f>VLOOKUP(A3842,'Thống kê'!$C$3:$M$682,4,0)</f>
        <v>45000</v>
      </c>
      <c r="E3842" s="438">
        <v>1</v>
      </c>
      <c r="F3842" s="439">
        <f t="shared" si="15"/>
        <v>45000</v>
      </c>
      <c r="G3842" s="440"/>
      <c r="H3842" s="450"/>
    </row>
    <row r="3843" spans="1:8" ht="13.2">
      <c r="A3843" s="454" t="s">
        <v>1355</v>
      </c>
      <c r="B3843" s="452" t="str">
        <f>VLOOKUP(A3843,'Thống kê'!$C$3:$D$669,2,0)</f>
        <v>Trang trí mô hình Gấu</v>
      </c>
      <c r="C3843" s="436" t="str">
        <f>VLOOKUP(A3843,'Thống kê'!$C$3:$E$682,3,0)</f>
        <v>cái</v>
      </c>
      <c r="D3843" s="437">
        <f>VLOOKUP(A3843,'Thống kê'!$C$3:$M$682,4,0)</f>
        <v>39000</v>
      </c>
      <c r="E3843" s="438">
        <v>1</v>
      </c>
      <c r="F3843" s="439">
        <f t="shared" si="15"/>
        <v>39000</v>
      </c>
      <c r="G3843" s="440"/>
      <c r="H3843" s="450"/>
    </row>
    <row r="3844" spans="1:8" ht="13.2">
      <c r="A3844" s="454" t="s">
        <v>1688</v>
      </c>
      <c r="B3844" s="452">
        <f>VLOOKUP(A3844,'Thống kê'!$C$3:$D$669,2,0)</f>
        <v>0</v>
      </c>
      <c r="C3844" s="436" t="str">
        <f>VLOOKUP(A3844,'Thống kê'!$C$3:$E$682,3,0)</f>
        <v>cái</v>
      </c>
      <c r="D3844" s="437">
        <f>VLOOKUP(A3844,'Thống kê'!$C$3:$M$682,4,0)</f>
        <v>0</v>
      </c>
      <c r="E3844" s="438">
        <v>1</v>
      </c>
      <c r="F3844" s="439">
        <f t="shared" si="15"/>
        <v>0</v>
      </c>
      <c r="G3844" s="440"/>
      <c r="H3844" s="448">
        <v>20542</v>
      </c>
    </row>
    <row r="3845" spans="1:8" ht="13.2">
      <c r="A3845" s="454" t="s">
        <v>1386</v>
      </c>
      <c r="B3845" s="452" t="str">
        <f>VLOOKUP(A3845,'Thống kê'!$C$3:$D$669,2,0)</f>
        <v>Móc khoá Crybaby mini Popmart</v>
      </c>
      <c r="C3845" s="436" t="str">
        <f>VLOOKUP(A3845,'Thống kê'!$C$3:$E$682,3,0)</f>
        <v>cái</v>
      </c>
      <c r="D3845" s="437">
        <f>VLOOKUP(A3845,'Thống kê'!$C$3:$M$682,4,0)</f>
        <v>0</v>
      </c>
      <c r="E3845" s="438">
        <v>1</v>
      </c>
      <c r="F3845" s="439">
        <f t="shared" si="15"/>
        <v>0</v>
      </c>
      <c r="G3845" s="440"/>
      <c r="H3845" s="447">
        <v>120048</v>
      </c>
    </row>
    <row r="3846" spans="1:8" ht="13.2">
      <c r="A3846" s="454" t="s">
        <v>1939</v>
      </c>
      <c r="B3846" s="452" t="str">
        <f>VLOOKUP(A3846,'Thống kê'!$C$3:$D$669,2,0)</f>
        <v>Kẹp tóc hoa sứ đỏ hồng đậm</v>
      </c>
      <c r="C3846" s="436" t="str">
        <f>VLOOKUP(A3846,'Thống kê'!$C$3:$E$682,3,0)</f>
        <v>cái</v>
      </c>
      <c r="D3846" s="437">
        <f>VLOOKUP(A3846,'Thống kê'!$C$3:$M$682,4,0)</f>
        <v>18500</v>
      </c>
      <c r="E3846" s="438">
        <v>1</v>
      </c>
      <c r="F3846" s="439">
        <f t="shared" si="15"/>
        <v>18500</v>
      </c>
      <c r="G3846" s="440"/>
      <c r="H3846" s="450"/>
    </row>
    <row r="3847" spans="1:8" ht="13.2">
      <c r="A3847" s="454" t="s">
        <v>1395</v>
      </c>
      <c r="B3847" s="452" t="str">
        <f>VLOOKUP(A3847,'Thống kê'!$C$3:$D$669,2,0)</f>
        <v>Móc khoá Labubu mini Popmart</v>
      </c>
      <c r="C3847" s="436" t="str">
        <f>VLOOKUP(A3847,'Thống kê'!$C$3:$E$682,3,0)</f>
        <v>cái</v>
      </c>
      <c r="D3847" s="437">
        <f>VLOOKUP(A3847,'Thống kê'!$C$3:$M$682,4,0)</f>
        <v>0</v>
      </c>
      <c r="E3847" s="438">
        <v>1</v>
      </c>
      <c r="F3847" s="439">
        <f t="shared" si="15"/>
        <v>0</v>
      </c>
      <c r="G3847" s="440"/>
      <c r="H3847" s="447">
        <v>252104</v>
      </c>
    </row>
    <row r="3848" spans="1:8" ht="13.2">
      <c r="A3848" s="454" t="s">
        <v>285</v>
      </c>
      <c r="B3848" s="452" t="str">
        <f>VLOOKUP(A3848,'Thống kê'!$C$3:$D$669,2,0)</f>
        <v>Móc khoá Labubu mini Popmart</v>
      </c>
      <c r="C3848" s="436" t="str">
        <f>VLOOKUP(A3848,'Thống kê'!$C$3:$E$682,3,0)</f>
        <v>cái</v>
      </c>
      <c r="D3848" s="437">
        <f>VLOOKUP(A3848,'Thống kê'!$C$3:$M$682,4,0)</f>
        <v>0</v>
      </c>
      <c r="E3848" s="438">
        <v>1</v>
      </c>
      <c r="F3848" s="439">
        <f t="shared" si="15"/>
        <v>0</v>
      </c>
      <c r="G3848" s="440"/>
      <c r="H3848" s="450"/>
    </row>
    <row r="3849" spans="1:8" ht="13.2">
      <c r="A3849" s="454" t="s">
        <v>1382</v>
      </c>
      <c r="B3849" s="452" t="str">
        <f>VLOOKUP(A3849,'Thống kê'!$C$3:$D$669,2,0)</f>
        <v>miếng dán silicon điện thoại</v>
      </c>
      <c r="C3849" s="436" t="str">
        <f>VLOOKUP(A3849,'Thống kê'!$C$3:$E$682,3,0)</f>
        <v>cái</v>
      </c>
      <c r="D3849" s="437">
        <f>VLOOKUP(A3849,'Thống kê'!$C$3:$M$682,4,0)</f>
        <v>0</v>
      </c>
      <c r="E3849" s="438">
        <v>1</v>
      </c>
      <c r="F3849" s="439">
        <f t="shared" si="15"/>
        <v>0</v>
      </c>
      <c r="G3849" s="440"/>
      <c r="H3849" s="450"/>
    </row>
    <row r="3850" spans="1:8" ht="13.2">
      <c r="A3850" s="454" t="s">
        <v>1690</v>
      </c>
      <c r="B3850" s="452">
        <f>VLOOKUP(A3850,'Thống kê'!$C$3:$D$669,2,0)</f>
        <v>0</v>
      </c>
      <c r="C3850" s="436" t="str">
        <f>VLOOKUP(A3850,'Thống kê'!$C$3:$E$682,3,0)</f>
        <v>cái</v>
      </c>
      <c r="D3850" s="437">
        <f>VLOOKUP(A3850,'Thống kê'!$C$3:$M$682,4,0)</f>
        <v>0</v>
      </c>
      <c r="E3850" s="438">
        <v>1</v>
      </c>
      <c r="F3850" s="439">
        <f t="shared" si="15"/>
        <v>0</v>
      </c>
      <c r="G3850" s="440"/>
      <c r="H3850" s="450"/>
    </row>
    <row r="3851" spans="1:8" ht="13.2">
      <c r="A3851" s="454" t="s">
        <v>181</v>
      </c>
      <c r="B3851" s="452" t="str">
        <f>VLOOKUP(A3851,'Thống kê'!$C$3:$D$669,2,0)</f>
        <v>Thỏ mặt trăng gắn xe</v>
      </c>
      <c r="C3851" s="436" t="str">
        <f>VLOOKUP(A3851,'Thống kê'!$C$3:$E$682,3,0)</f>
        <v>cái</v>
      </c>
      <c r="D3851" s="437">
        <f>VLOOKUP(A3851,'Thống kê'!$C$3:$M$682,4,0)</f>
        <v>45000</v>
      </c>
      <c r="E3851" s="438">
        <v>1</v>
      </c>
      <c r="F3851" s="439">
        <f t="shared" si="15"/>
        <v>45000</v>
      </c>
      <c r="G3851" s="440"/>
      <c r="H3851" s="447">
        <v>61031</v>
      </c>
    </row>
    <row r="3852" spans="1:8" ht="13.2">
      <c r="A3852" s="454" t="s">
        <v>119</v>
      </c>
      <c r="B3852" s="452" t="str">
        <f>VLOOKUP(A3852,'Thống kê'!$C$3:$D$669,2,0)</f>
        <v>Thỏ chạy xe gắn xe</v>
      </c>
      <c r="C3852" s="436" t="str">
        <f>VLOOKUP(A3852,'Thống kê'!$C$3:$E$682,3,0)</f>
        <v>cái</v>
      </c>
      <c r="D3852" s="437">
        <f>VLOOKUP(A3852,'Thống kê'!$C$3:$M$682,4,0)</f>
        <v>45000</v>
      </c>
      <c r="E3852" s="438">
        <v>1</v>
      </c>
      <c r="F3852" s="439">
        <f t="shared" si="15"/>
        <v>45000</v>
      </c>
      <c r="G3852" s="440"/>
      <c r="H3852" s="450"/>
    </row>
    <row r="3853" spans="1:8" ht="13.2">
      <c r="A3853" s="454" t="s">
        <v>245</v>
      </c>
      <c r="B3853" s="452" t="str">
        <f>VLOOKUP(A3853,'Thống kê'!$C$3:$D$669,2,0)</f>
        <v>Móc khóa Popbean</v>
      </c>
      <c r="C3853" s="436" t="str">
        <f>VLOOKUP(A3853,'Thống kê'!$C$3:$E$682,3,0)</f>
        <v>cái</v>
      </c>
      <c r="D3853" s="437">
        <f>VLOOKUP(A3853,'Thống kê'!$C$3:$M$682,4,0)</f>
        <v>148000</v>
      </c>
      <c r="E3853" s="438">
        <v>1</v>
      </c>
      <c r="F3853" s="439">
        <f t="shared" si="15"/>
        <v>148000</v>
      </c>
      <c r="G3853" s="440"/>
      <c r="H3853" s="447">
        <v>140865</v>
      </c>
    </row>
    <row r="3854" spans="1:8" ht="13.2">
      <c r="A3854" s="454" t="s">
        <v>1939</v>
      </c>
      <c r="B3854" s="452" t="str">
        <f>VLOOKUP(A3854,'Thống kê'!$C$3:$D$669,2,0)</f>
        <v>Kẹp tóc hoa sứ đỏ hồng đậm</v>
      </c>
      <c r="C3854" s="436" t="str">
        <f>VLOOKUP(A3854,'Thống kê'!$C$3:$E$682,3,0)</f>
        <v>cái</v>
      </c>
      <c r="D3854" s="437">
        <f>VLOOKUP(A3854,'Thống kê'!$C$3:$M$682,4,0)</f>
        <v>18500</v>
      </c>
      <c r="E3854" s="438">
        <v>1</v>
      </c>
      <c r="F3854" s="439">
        <f t="shared" si="15"/>
        <v>18500</v>
      </c>
      <c r="G3854" s="440"/>
      <c r="H3854" s="450"/>
    </row>
    <row r="3855" spans="1:8" ht="13.2">
      <c r="A3855" s="454" t="s">
        <v>1364</v>
      </c>
      <c r="B3855" s="452" t="str">
        <f>VLOOKUP(A3855,'Thống kê'!$C$3:$D$669,2,0)</f>
        <v>Móc khóa Popbean</v>
      </c>
      <c r="C3855" s="436" t="str">
        <f>VLOOKUP(A3855,'Thống kê'!$C$3:$E$682,3,0)</f>
        <v>cái</v>
      </c>
      <c r="D3855" s="437">
        <f>VLOOKUP(A3855,'Thống kê'!$C$3:$M$682,4,0)</f>
        <v>148000</v>
      </c>
      <c r="E3855" s="438">
        <v>1</v>
      </c>
      <c r="F3855" s="439">
        <f t="shared" si="15"/>
        <v>148000</v>
      </c>
      <c r="G3855" s="440"/>
      <c r="H3855" s="448">
        <v>141040</v>
      </c>
    </row>
    <row r="3856" spans="1:8" ht="13.2">
      <c r="A3856" s="454" t="s">
        <v>1624</v>
      </c>
      <c r="B3856" s="452" t="str">
        <f>VLOOKUP(A3856,'Thống kê'!$C$3:$D$669,2,0)</f>
        <v>Móc khóa mèo trái tim</v>
      </c>
      <c r="C3856" s="436" t="str">
        <f>VLOOKUP(A3856,'Thống kê'!$C$3:$E$682,3,0)</f>
        <v>cái</v>
      </c>
      <c r="D3856" s="437">
        <f>VLOOKUP(A3856,'Thống kê'!$C$3:$M$682,4,0)</f>
        <v>59000</v>
      </c>
      <c r="E3856" s="438">
        <v>1</v>
      </c>
      <c r="F3856" s="439">
        <f t="shared" si="15"/>
        <v>59000</v>
      </c>
      <c r="G3856" s="440"/>
      <c r="H3856" s="448">
        <v>45935</v>
      </c>
    </row>
    <row r="3857" spans="1:8" ht="13.2">
      <c r="A3857" s="454" t="s">
        <v>1625</v>
      </c>
      <c r="B3857" s="452" t="str">
        <f>VLOOKUP(A3857,'Thống kê'!$C$3:$D$669,2,0)</f>
        <v>Móc khóa đôi 2 mèo trắng nâu</v>
      </c>
      <c r="C3857" s="436" t="str">
        <f>VLOOKUP(A3857,'Thống kê'!$C$3:$E$682,3,0)</f>
        <v>cái</v>
      </c>
      <c r="D3857" s="437">
        <f>VLOOKUP(A3857,'Thống kê'!$C$3:$M$682,4,0)</f>
        <v>59000</v>
      </c>
      <c r="E3857" s="438">
        <v>1</v>
      </c>
      <c r="F3857" s="439">
        <f t="shared" si="15"/>
        <v>59000</v>
      </c>
      <c r="G3857" s="440"/>
      <c r="H3857" s="448">
        <v>48310</v>
      </c>
    </row>
    <row r="3858" spans="1:8" ht="13.2">
      <c r="A3858" s="454" t="s">
        <v>1382</v>
      </c>
      <c r="B3858" s="452" t="str">
        <f>VLOOKUP(A3858,'Thống kê'!$C$3:$D$669,2,0)</f>
        <v>miếng dán silicon điện thoại</v>
      </c>
      <c r="C3858" s="436" t="str">
        <f>VLOOKUP(A3858,'Thống kê'!$C$3:$E$682,3,0)</f>
        <v>cái</v>
      </c>
      <c r="D3858" s="437">
        <f>VLOOKUP(A3858,'Thống kê'!$C$3:$M$682,4,0)</f>
        <v>0</v>
      </c>
      <c r="E3858" s="438">
        <v>2</v>
      </c>
      <c r="F3858" s="439">
        <f t="shared" si="15"/>
        <v>0</v>
      </c>
      <c r="G3858" s="440"/>
      <c r="H3858" s="447">
        <v>27022</v>
      </c>
    </row>
    <row r="3859" spans="1:8" ht="13.2">
      <c r="A3859" s="454" t="s">
        <v>1690</v>
      </c>
      <c r="B3859" s="452">
        <f>VLOOKUP(A3859,'Thống kê'!$C$3:$D$669,2,0)</f>
        <v>0</v>
      </c>
      <c r="C3859" s="436" t="str">
        <f>VLOOKUP(A3859,'Thống kê'!$C$3:$E$682,3,0)</f>
        <v>cái</v>
      </c>
      <c r="D3859" s="437">
        <f>VLOOKUP(A3859,'Thống kê'!$C$3:$M$682,4,0)</f>
        <v>0</v>
      </c>
      <c r="E3859" s="438">
        <v>1</v>
      </c>
      <c r="F3859" s="439">
        <f t="shared" si="15"/>
        <v>0</v>
      </c>
      <c r="G3859" s="440"/>
      <c r="H3859" s="450"/>
    </row>
    <row r="3860" spans="1:8" ht="13.2">
      <c r="A3860" s="454" t="s">
        <v>138</v>
      </c>
      <c r="B3860" s="452" t="str">
        <f>VLOOKUP(A3860,'Thống kê'!$C$3:$D$669,2,0)</f>
        <v>Móc khoá Crybaby mini Popmart</v>
      </c>
      <c r="C3860" s="436" t="str">
        <f>VLOOKUP(A3860,'Thống kê'!$C$3:$E$682,3,0)</f>
        <v>cái</v>
      </c>
      <c r="D3860" s="437">
        <f>VLOOKUP(A3860,'Thống kê'!$C$3:$M$682,4,0)</f>
        <v>0</v>
      </c>
      <c r="E3860" s="438">
        <v>1</v>
      </c>
      <c r="F3860" s="439">
        <f t="shared" si="15"/>
        <v>0</v>
      </c>
      <c r="G3860" s="440"/>
      <c r="H3860" s="448">
        <v>128073</v>
      </c>
    </row>
    <row r="3861" spans="1:8" ht="13.2">
      <c r="A3861" s="454" t="s">
        <v>1331</v>
      </c>
      <c r="B3861" s="452" t="str">
        <f>VLOOKUP(A3861,'Thống kê'!$C$3:$D$669,2,0)</f>
        <v>Móc khóa Popbean</v>
      </c>
      <c r="C3861" s="436" t="str">
        <f>VLOOKUP(A3861,'Thống kê'!$C$3:$E$682,3,0)</f>
        <v>cái</v>
      </c>
      <c r="D3861" s="437">
        <f>VLOOKUP(A3861,'Thống kê'!$C$3:$M$682,4,0)</f>
        <v>148000</v>
      </c>
      <c r="E3861" s="438">
        <v>1</v>
      </c>
      <c r="F3861" s="439">
        <f t="shared" si="15"/>
        <v>148000</v>
      </c>
      <c r="G3861" s="440"/>
      <c r="H3861" s="447">
        <v>253328</v>
      </c>
    </row>
    <row r="3862" spans="1:8" ht="13.2">
      <c r="A3862" s="454" t="s">
        <v>1369</v>
      </c>
      <c r="B3862" s="452" t="str">
        <f>VLOOKUP(A3862,'Thống kê'!$C$3:$D$669,2,0)</f>
        <v>Móc khóa Popbean</v>
      </c>
      <c r="C3862" s="436" t="str">
        <f>VLOOKUP(A3862,'Thống kê'!$C$3:$E$682,3,0)</f>
        <v>cái</v>
      </c>
      <c r="D3862" s="437">
        <f>VLOOKUP(A3862,'Thống kê'!$C$3:$M$682,4,0)</f>
        <v>148000</v>
      </c>
      <c r="E3862" s="438">
        <v>1</v>
      </c>
      <c r="F3862" s="439">
        <f t="shared" si="15"/>
        <v>148000</v>
      </c>
      <c r="G3862" s="440"/>
      <c r="H3862" s="450"/>
    </row>
    <row r="3863" spans="1:8" ht="13.2">
      <c r="A3863" s="454" t="s">
        <v>1689</v>
      </c>
      <c r="B3863" s="452">
        <f>VLOOKUP(A3863,'Thống kê'!$C$3:$D$669,2,0)</f>
        <v>0</v>
      </c>
      <c r="C3863" s="436" t="str">
        <f>VLOOKUP(A3863,'Thống kê'!$C$3:$E$682,3,0)</f>
        <v>cái</v>
      </c>
      <c r="D3863" s="437">
        <f>VLOOKUP(A3863,'Thống kê'!$C$3:$M$682,4,0)</f>
        <v>0</v>
      </c>
      <c r="E3863" s="438">
        <v>1</v>
      </c>
      <c r="F3863" s="439">
        <f t="shared" si="15"/>
        <v>0</v>
      </c>
      <c r="G3863" s="440"/>
      <c r="H3863" s="448">
        <v>22733</v>
      </c>
    </row>
    <row r="3864" spans="1:8" ht="13.2">
      <c r="A3864" s="454" t="s">
        <v>115</v>
      </c>
      <c r="B3864" s="452" t="str">
        <f>VLOOKUP(A3864,'Thống kê'!$C$3:$D$669,2,0)</f>
        <v>Heo ú</v>
      </c>
      <c r="C3864" s="436" t="str">
        <f>VLOOKUP(A3864,'Thống kê'!$C$3:$E$682,3,0)</f>
        <v>cái</v>
      </c>
      <c r="D3864" s="437">
        <f>VLOOKUP(A3864,'Thống kê'!$C$3:$M$682,4,0)</f>
        <v>59500</v>
      </c>
      <c r="E3864" s="438">
        <v>1</v>
      </c>
      <c r="F3864" s="439">
        <f t="shared" si="15"/>
        <v>59500</v>
      </c>
      <c r="G3864" s="440"/>
      <c r="H3864" s="448">
        <v>52633</v>
      </c>
    </row>
    <row r="3865" spans="1:8" ht="13.2">
      <c r="A3865" s="454" t="s">
        <v>1341</v>
      </c>
      <c r="B3865" s="452" t="str">
        <f>VLOOKUP(A3865,'Thống kê'!$C$3:$D$669,2,0)</f>
        <v>Móc khóa chuối</v>
      </c>
      <c r="C3865" s="436" t="str">
        <f>VLOOKUP(A3865,'Thống kê'!$C$3:$E$682,3,0)</f>
        <v>cái</v>
      </c>
      <c r="D3865" s="437">
        <f>VLOOKUP(A3865,'Thống kê'!$C$3:$M$682,4,0)</f>
        <v>148000</v>
      </c>
      <c r="E3865" s="438">
        <v>1</v>
      </c>
      <c r="F3865" s="439">
        <f t="shared" si="15"/>
        <v>148000</v>
      </c>
      <c r="G3865" s="440"/>
      <c r="H3865" s="447">
        <v>152691</v>
      </c>
    </row>
    <row r="3866" spans="1:8" ht="13.2">
      <c r="A3866" s="454" t="s">
        <v>1342</v>
      </c>
      <c r="B3866" s="452" t="str">
        <f>VLOOKUP(A3866,'Thống kê'!$C$3:$D$669,2,0)</f>
        <v>Móc khóa chuối</v>
      </c>
      <c r="C3866" s="436" t="str">
        <f>VLOOKUP(A3866,'Thống kê'!$C$3:$E$682,3,0)</f>
        <v>cái</v>
      </c>
      <c r="D3866" s="437">
        <f>VLOOKUP(A3866,'Thống kê'!$C$3:$M$682,4,0)</f>
        <v>148000</v>
      </c>
      <c r="E3866" s="438">
        <v>1</v>
      </c>
      <c r="F3866" s="439">
        <f t="shared" si="15"/>
        <v>148000</v>
      </c>
      <c r="G3866" s="440"/>
      <c r="H3866" s="450"/>
    </row>
    <row r="3867" spans="1:8" ht="13.2">
      <c r="A3867" s="454" t="s">
        <v>1594</v>
      </c>
      <c r="B3867" s="452" t="str">
        <f>VLOOKUP(A3867,'Thống kê'!$C$3:$D$669,2,0)</f>
        <v>Móc khóa đôi heo</v>
      </c>
      <c r="C3867" s="436" t="str">
        <f>VLOOKUP(A3867,'Thống kê'!$C$3:$E$682,3,0)</f>
        <v>cái</v>
      </c>
      <c r="D3867" s="437">
        <f>VLOOKUP(A3867,'Thống kê'!$C$3:$M$682,4,0)</f>
        <v>56580</v>
      </c>
      <c r="E3867" s="438">
        <v>1</v>
      </c>
      <c r="F3867" s="439">
        <f t="shared" si="15"/>
        <v>56580</v>
      </c>
      <c r="G3867" s="440"/>
      <c r="H3867" s="448">
        <v>50255</v>
      </c>
    </row>
    <row r="3868" spans="1:8" ht="13.2">
      <c r="A3868" s="454" t="s">
        <v>1389</v>
      </c>
      <c r="B3868" s="452" t="str">
        <f>VLOOKUP(A3868,'Thống kê'!$C$3:$D$669,2,0)</f>
        <v>Móc khoá Crybaby mini Popmart</v>
      </c>
      <c r="C3868" s="436" t="str">
        <f>VLOOKUP(A3868,'Thống kê'!$C$3:$E$682,3,0)</f>
        <v>cái</v>
      </c>
      <c r="D3868" s="437">
        <f>VLOOKUP(A3868,'Thống kê'!$C$3:$M$682,4,0)</f>
        <v>0</v>
      </c>
      <c r="E3868" s="438">
        <v>1</v>
      </c>
      <c r="F3868" s="439">
        <f t="shared" si="15"/>
        <v>0</v>
      </c>
      <c r="G3868" s="440"/>
      <c r="H3868" s="448">
        <v>139400</v>
      </c>
    </row>
    <row r="3869" spans="1:8" ht="13.2">
      <c r="A3869" s="454" t="s">
        <v>1384</v>
      </c>
      <c r="B3869" s="452" t="str">
        <f>VLOOKUP(A3869,'Thống kê'!$C$3:$D$669,2,0)</f>
        <v>Móc khoá Crybaby mini Popmart</v>
      </c>
      <c r="C3869" s="436" t="str">
        <f>VLOOKUP(A3869,'Thống kê'!$C$3:$E$682,3,0)</f>
        <v>cái</v>
      </c>
      <c r="D3869" s="437">
        <f>VLOOKUP(A3869,'Thống kê'!$C$3:$M$682,4,0)</f>
        <v>0</v>
      </c>
      <c r="E3869" s="438">
        <v>0</v>
      </c>
      <c r="F3869" s="439">
        <f t="shared" si="15"/>
        <v>0</v>
      </c>
      <c r="G3869" s="440"/>
      <c r="H3869" s="448">
        <v>-134860</v>
      </c>
    </row>
    <row r="3870" spans="1:8" ht="13.2">
      <c r="A3870" s="454" t="s">
        <v>1625</v>
      </c>
      <c r="B3870" s="452" t="str">
        <f>VLOOKUP(A3870,'Thống kê'!$C$3:$D$669,2,0)</f>
        <v>Móc khóa đôi 2 mèo trắng nâu</v>
      </c>
      <c r="C3870" s="436" t="str">
        <f>VLOOKUP(A3870,'Thống kê'!$C$3:$E$682,3,0)</f>
        <v>cái</v>
      </c>
      <c r="D3870" s="437">
        <f>VLOOKUP(A3870,'Thống kê'!$C$3:$M$682,4,0)</f>
        <v>59000</v>
      </c>
      <c r="E3870" s="438">
        <v>0</v>
      </c>
      <c r="F3870" s="439">
        <f t="shared" si="15"/>
        <v>0</v>
      </c>
      <c r="G3870" s="440"/>
      <c r="H3870" s="448">
        <v>-48852</v>
      </c>
    </row>
    <row r="3871" spans="1:8" ht="13.2">
      <c r="A3871" s="454" t="s">
        <v>115</v>
      </c>
      <c r="B3871" s="452" t="str">
        <f>VLOOKUP(A3871,'Thống kê'!$C$3:$D$669,2,0)</f>
        <v>Heo ú</v>
      </c>
      <c r="C3871" s="436" t="str">
        <f>VLOOKUP(A3871,'Thống kê'!$C$3:$E$682,3,0)</f>
        <v>cái</v>
      </c>
      <c r="D3871" s="437">
        <f>VLOOKUP(A3871,'Thống kê'!$C$3:$M$682,4,0)</f>
        <v>59500</v>
      </c>
      <c r="E3871" s="438">
        <v>0</v>
      </c>
      <c r="F3871" s="439">
        <f t="shared" si="15"/>
        <v>0</v>
      </c>
      <c r="G3871" s="440"/>
      <c r="H3871" s="448">
        <v>-55116</v>
      </c>
    </row>
    <row r="3872" spans="1:8" ht="13.2">
      <c r="A3872" s="454" t="s">
        <v>1384</v>
      </c>
      <c r="B3872" s="452" t="str">
        <f>VLOOKUP(A3872,'Thống kê'!$C$3:$D$669,2,0)</f>
        <v>Móc khoá Crybaby mini Popmart</v>
      </c>
      <c r="C3872" s="436" t="str">
        <f>VLOOKUP(A3872,'Thống kê'!$C$3:$E$682,3,0)</f>
        <v>cái</v>
      </c>
      <c r="D3872" s="437">
        <f>VLOOKUP(A3872,'Thống kê'!$C$3:$M$682,4,0)</f>
        <v>0</v>
      </c>
      <c r="E3872" s="438">
        <v>0</v>
      </c>
      <c r="F3872" s="439">
        <f t="shared" si="15"/>
        <v>0</v>
      </c>
      <c r="G3872" s="440"/>
      <c r="H3872" s="447">
        <v>-137448</v>
      </c>
    </row>
    <row r="3873" spans="1:8" ht="13.2">
      <c r="A3873" s="454" t="s">
        <v>1939</v>
      </c>
      <c r="B3873" s="452" t="str">
        <f>VLOOKUP(A3873,'Thống kê'!$C$3:$D$669,2,0)</f>
        <v>Kẹp tóc hoa sứ đỏ hồng đậm</v>
      </c>
      <c r="C3873" s="436" t="str">
        <f>VLOOKUP(A3873,'Thống kê'!$C$3:$E$682,3,0)</f>
        <v>cái</v>
      </c>
      <c r="D3873" s="437">
        <f>VLOOKUP(A3873,'Thống kê'!$C$3:$M$682,4,0)</f>
        <v>18500</v>
      </c>
      <c r="E3873" s="438">
        <v>0</v>
      </c>
      <c r="F3873" s="439">
        <f t="shared" si="15"/>
        <v>0</v>
      </c>
      <c r="G3873" s="440"/>
      <c r="H3873" s="450"/>
    </row>
    <row r="3874" spans="1:8" ht="13.2">
      <c r="A3874" s="454" t="s">
        <v>1384</v>
      </c>
      <c r="B3874" s="452" t="str">
        <f>VLOOKUP(A3874,'Thống kê'!$C$3:$D$669,2,0)</f>
        <v>Móc khoá Crybaby mini Popmart</v>
      </c>
      <c r="C3874" s="436" t="str">
        <f>VLOOKUP(A3874,'Thống kê'!$C$3:$E$682,3,0)</f>
        <v>cái</v>
      </c>
      <c r="D3874" s="437">
        <f>VLOOKUP(A3874,'Thống kê'!$C$3:$M$682,4,0)</f>
        <v>0</v>
      </c>
      <c r="E3874" s="438">
        <v>0</v>
      </c>
      <c r="F3874" s="439">
        <f t="shared" si="15"/>
        <v>0</v>
      </c>
      <c r="G3874" s="440"/>
      <c r="H3874" s="448">
        <v>-119700</v>
      </c>
    </row>
    <row r="3875" spans="1:8" ht="13.2">
      <c r="A3875" s="454" t="s">
        <v>1384</v>
      </c>
      <c r="B3875" s="452" t="str">
        <f>VLOOKUP(A3875,'Thống kê'!$C$3:$D$669,2,0)</f>
        <v>Móc khoá Crybaby mini Popmart</v>
      </c>
      <c r="C3875" s="436" t="str">
        <f>VLOOKUP(A3875,'Thống kê'!$C$3:$E$682,3,0)</f>
        <v>cái</v>
      </c>
      <c r="D3875" s="437">
        <f>VLOOKUP(A3875,'Thống kê'!$C$3:$M$682,4,0)</f>
        <v>0</v>
      </c>
      <c r="E3875" s="438">
        <v>1</v>
      </c>
      <c r="F3875" s="439">
        <f t="shared" si="15"/>
        <v>0</v>
      </c>
      <c r="G3875" s="440"/>
      <c r="H3875" s="448">
        <v>128248</v>
      </c>
    </row>
    <row r="3876" spans="1:8" ht="13.2">
      <c r="A3876" s="454" t="s">
        <v>325</v>
      </c>
      <c r="B3876" s="452" t="str">
        <f>VLOOKUP(A3876,'Thống kê'!$C$3:$D$669,2,0)</f>
        <v>Gấu ú</v>
      </c>
      <c r="C3876" s="436" t="str">
        <f>VLOOKUP(A3876,'Thống kê'!$C$3:$E$682,3,0)</f>
        <v>cái</v>
      </c>
      <c r="D3876" s="437">
        <f>VLOOKUP(A3876,'Thống kê'!$C$3:$M$682,4,0)</f>
        <v>59500</v>
      </c>
      <c r="E3876" s="438">
        <v>1</v>
      </c>
      <c r="F3876" s="439">
        <f t="shared" si="15"/>
        <v>59500</v>
      </c>
      <c r="G3876" s="440"/>
      <c r="H3876" s="447">
        <v>81476</v>
      </c>
    </row>
    <row r="3877" spans="1:8" ht="13.2">
      <c r="A3877" s="454" t="s">
        <v>1806</v>
      </c>
      <c r="B3877" s="452" t="str">
        <f>VLOOKUP(A3877,'Thống kê'!$C$3:$D$669,2,0)</f>
        <v>Móc khoá cún Đầu táo</v>
      </c>
      <c r="C3877" s="436" t="str">
        <f>VLOOKUP(A3877,'Thống kê'!$C$3:$E$682,3,0)</f>
        <v>cái</v>
      </c>
      <c r="D3877" s="437">
        <f>VLOOKUP(A3877,'Thống kê'!$C$3:$M$682,4,0)</f>
        <v>38000</v>
      </c>
      <c r="E3877" s="438">
        <v>1</v>
      </c>
      <c r="F3877" s="439">
        <f t="shared" si="15"/>
        <v>38000</v>
      </c>
      <c r="G3877" s="440"/>
      <c r="H3877" s="450"/>
    </row>
    <row r="3878" spans="1:8" ht="13.2">
      <c r="A3878" s="454" t="s">
        <v>1625</v>
      </c>
      <c r="B3878" s="452" t="str">
        <f>VLOOKUP(A3878,'Thống kê'!$C$3:$D$669,2,0)</f>
        <v>Móc khóa đôi 2 mèo trắng nâu</v>
      </c>
      <c r="C3878" s="436" t="str">
        <f>VLOOKUP(A3878,'Thống kê'!$C$3:$E$682,3,0)</f>
        <v>cái</v>
      </c>
      <c r="D3878" s="437">
        <f>VLOOKUP(A3878,'Thống kê'!$C$3:$M$682,4,0)</f>
        <v>59000</v>
      </c>
      <c r="E3878" s="438">
        <v>1</v>
      </c>
      <c r="F3878" s="439">
        <f t="shared" si="15"/>
        <v>59000</v>
      </c>
      <c r="G3878" s="440"/>
      <c r="H3878" s="448">
        <v>44335</v>
      </c>
    </row>
    <row r="3879" spans="1:8" ht="13.2">
      <c r="A3879" s="454" t="s">
        <v>150</v>
      </c>
      <c r="B3879" s="452" t="str">
        <f>VLOOKUP(A3879,'Thống kê'!$C$3:$D$669,2,0)</f>
        <v>Móc khóa có chuông</v>
      </c>
      <c r="C3879" s="436" t="str">
        <f>VLOOKUP(A3879,'Thống kê'!$C$3:$E$682,3,0)</f>
        <v>cái</v>
      </c>
      <c r="D3879" s="437">
        <f>VLOOKUP(A3879,'Thống kê'!$C$3:$M$682,4,0)</f>
        <v>59000</v>
      </c>
      <c r="E3879" s="438">
        <v>1</v>
      </c>
      <c r="F3879" s="439">
        <f t="shared" si="15"/>
        <v>59000</v>
      </c>
      <c r="G3879" s="440"/>
      <c r="H3879" s="448">
        <v>44510</v>
      </c>
    </row>
    <row r="3880" spans="1:8" ht="13.2">
      <c r="A3880" s="454" t="s">
        <v>1591</v>
      </c>
      <c r="B3880" s="452" t="str">
        <f>VLOOKUP(A3880,'Thống kê'!$C$3:$D$669,2,0)</f>
        <v>Thỏ ú</v>
      </c>
      <c r="C3880" s="436" t="str">
        <f>VLOOKUP(A3880,'Thống kê'!$C$3:$E$682,3,0)</f>
        <v>cái</v>
      </c>
      <c r="D3880" s="437">
        <f>VLOOKUP(A3880,'Thống kê'!$C$3:$M$682,4,0)</f>
        <v>59500</v>
      </c>
      <c r="E3880" s="438">
        <v>1</v>
      </c>
      <c r="F3880" s="439">
        <f t="shared" ref="F3880:F4134" si="16">D3880*E3880</f>
        <v>59500</v>
      </c>
      <c r="G3880" s="440"/>
      <c r="H3880" s="448">
        <v>52408</v>
      </c>
    </row>
    <row r="3881" spans="1:8" ht="13.2">
      <c r="A3881" s="454" t="s">
        <v>1929</v>
      </c>
      <c r="B3881" s="452" t="str">
        <f>VLOOKUP(A3881,'Thống kê'!$C$3:$D$669,2,0)</f>
        <v>Kẹp nơ nâu</v>
      </c>
      <c r="C3881" s="436" t="str">
        <f>VLOOKUP(A3881,'Thống kê'!$C$3:$E$682,3,0)</f>
        <v>cái</v>
      </c>
      <c r="D3881" s="437">
        <f>VLOOKUP(A3881,'Thống kê'!$C$3:$M$682,4,0)</f>
        <v>22000</v>
      </c>
      <c r="E3881" s="438">
        <v>1</v>
      </c>
      <c r="F3881" s="439">
        <f t="shared" si="16"/>
        <v>22000</v>
      </c>
      <c r="G3881" s="440"/>
      <c r="H3881" s="447">
        <v>126362</v>
      </c>
    </row>
    <row r="3882" spans="1:8" ht="13.2">
      <c r="A3882" s="454" t="s">
        <v>1641</v>
      </c>
      <c r="B3882" s="452" t="str">
        <f>VLOOKUP(A3882,'Thống kê'!$C$3:$D$669,2,0)</f>
        <v>Túi chườm bụng thỏ và dứa 500ml</v>
      </c>
      <c r="C3882" s="436" t="str">
        <f>VLOOKUP(A3882,'Thống kê'!$C$3:$E$682,3,0)</f>
        <v>túi</v>
      </c>
      <c r="D3882" s="437">
        <f>VLOOKUP(A3882,'Thống kê'!$C$3:$M$682,4,0)</f>
        <v>78200</v>
      </c>
      <c r="E3882" s="438">
        <v>1</v>
      </c>
      <c r="F3882" s="439">
        <f t="shared" si="16"/>
        <v>78200</v>
      </c>
      <c r="G3882" s="440"/>
      <c r="H3882" s="450"/>
    </row>
    <row r="3883" spans="1:8" ht="13.2">
      <c r="A3883" s="454" t="s">
        <v>2084</v>
      </c>
      <c r="B3883" s="452" t="str">
        <f>VLOOKUP(A3883,'Thống kê'!$C$3:$D$669,2,0)</f>
        <v>Trâm cài 30</v>
      </c>
      <c r="C3883" s="436" t="str">
        <f>VLOOKUP(A3883,'Thống kê'!$C$3:$E$682,3,0)</f>
        <v>cây</v>
      </c>
      <c r="D3883" s="437">
        <f>VLOOKUP(A3883,'Thống kê'!$C$3:$M$682,4,0)</f>
        <v>27140</v>
      </c>
      <c r="E3883" s="438">
        <v>1</v>
      </c>
      <c r="F3883" s="439">
        <f t="shared" si="16"/>
        <v>27140</v>
      </c>
      <c r="G3883" s="440"/>
      <c r="H3883" s="450"/>
    </row>
    <row r="3884" spans="1:8" ht="13.2">
      <c r="A3884" s="454" t="s">
        <v>1787</v>
      </c>
      <c r="B3884" s="452" t="str">
        <f>VLOOKUP(A3884,'Thống kê'!$C$3:$D$669,2,0)</f>
        <v>Trâm cài 07</v>
      </c>
      <c r="C3884" s="436" t="str">
        <f>VLOOKUP(A3884,'Thống kê'!$C$3:$E$682,3,0)</f>
        <v>cây</v>
      </c>
      <c r="D3884" s="437">
        <f>VLOOKUP(A3884,'Thống kê'!$C$3:$M$682,4,0)</f>
        <v>22080</v>
      </c>
      <c r="E3884" s="438">
        <v>1</v>
      </c>
      <c r="F3884" s="439">
        <f t="shared" si="16"/>
        <v>22080</v>
      </c>
      <c r="G3884" s="440"/>
      <c r="H3884" s="450"/>
    </row>
    <row r="3885" spans="1:8" ht="13.2">
      <c r="A3885" s="454" t="s">
        <v>258</v>
      </c>
      <c r="B3885" s="452" t="str">
        <f>VLOOKUP(A3885,'Thống kê'!$C$3:$D$669,2,0)</f>
        <v>Móc khoá Crybaby mini Popmart</v>
      </c>
      <c r="C3885" s="436" t="str">
        <f>VLOOKUP(A3885,'Thống kê'!$C$3:$E$682,3,0)</f>
        <v>cái</v>
      </c>
      <c r="D3885" s="437">
        <f>VLOOKUP(A3885,'Thống kê'!$C$3:$M$682,4,0)</f>
        <v>0</v>
      </c>
      <c r="E3885" s="438">
        <v>1</v>
      </c>
      <c r="F3885" s="439">
        <f t="shared" si="16"/>
        <v>0</v>
      </c>
      <c r="G3885" s="440"/>
      <c r="H3885" s="448">
        <v>128248</v>
      </c>
    </row>
    <row r="3886" spans="1:8" ht="13.2">
      <c r="A3886" s="454" t="s">
        <v>1382</v>
      </c>
      <c r="B3886" s="452" t="str">
        <f>VLOOKUP(A3886,'Thống kê'!$C$3:$D$669,2,0)</f>
        <v>miếng dán silicon điện thoại</v>
      </c>
      <c r="C3886" s="436" t="str">
        <f>VLOOKUP(A3886,'Thống kê'!$C$3:$E$682,3,0)</f>
        <v>cái</v>
      </c>
      <c r="D3886" s="437">
        <f>VLOOKUP(A3886,'Thống kê'!$C$3:$M$682,4,0)</f>
        <v>0</v>
      </c>
      <c r="E3886" s="438">
        <v>2</v>
      </c>
      <c r="F3886" s="439">
        <f t="shared" si="16"/>
        <v>0</v>
      </c>
      <c r="G3886" s="440"/>
      <c r="H3886" s="447">
        <v>174624</v>
      </c>
    </row>
    <row r="3887" spans="1:8" ht="13.2">
      <c r="A3887" s="454" t="s">
        <v>1365</v>
      </c>
      <c r="B3887" s="452" t="str">
        <f>VLOOKUP(A3887,'Thống kê'!$C$3:$D$669,2,0)</f>
        <v>Móc khóa Popbean</v>
      </c>
      <c r="C3887" s="436" t="str">
        <f>VLOOKUP(A3887,'Thống kê'!$C$3:$E$682,3,0)</f>
        <v>cái</v>
      </c>
      <c r="D3887" s="437">
        <f>VLOOKUP(A3887,'Thống kê'!$C$3:$M$682,4,0)</f>
        <v>148000</v>
      </c>
      <c r="E3887" s="438">
        <v>1</v>
      </c>
      <c r="F3887" s="439">
        <f t="shared" si="16"/>
        <v>148000</v>
      </c>
      <c r="G3887" s="440"/>
      <c r="H3887" s="450"/>
    </row>
    <row r="3888" spans="1:8" ht="13.2">
      <c r="A3888" s="454" t="s">
        <v>1697</v>
      </c>
      <c r="B3888" s="452" t="str">
        <f>VLOOKUP(A3888,'Thống kê'!$C$3:$D$669,2,0)</f>
        <v>heo</v>
      </c>
      <c r="C3888" s="436" t="str">
        <f>VLOOKUP(A3888,'Thống kê'!$C$3:$E$682,3,0)</f>
        <v>cái</v>
      </c>
      <c r="D3888" s="437">
        <f>VLOOKUP(A3888,'Thống kê'!$C$3:$M$682,4,0)</f>
        <v>35000</v>
      </c>
      <c r="E3888" s="438">
        <v>1</v>
      </c>
      <c r="F3888" s="439">
        <f t="shared" si="16"/>
        <v>35000</v>
      </c>
      <c r="G3888" s="440"/>
      <c r="H3888" s="450"/>
    </row>
    <row r="3889" spans="1:8" ht="13.2">
      <c r="A3889" s="454" t="s">
        <v>1591</v>
      </c>
      <c r="B3889" s="452" t="str">
        <f>VLOOKUP(A3889,'Thống kê'!$C$3:$D$669,2,0)</f>
        <v>Thỏ ú</v>
      </c>
      <c r="C3889" s="436" t="str">
        <f>VLOOKUP(A3889,'Thống kê'!$C$3:$E$682,3,0)</f>
        <v>cái</v>
      </c>
      <c r="D3889" s="437">
        <f>VLOOKUP(A3889,'Thống kê'!$C$3:$M$682,4,0)</f>
        <v>59500</v>
      </c>
      <c r="E3889" s="438">
        <v>1</v>
      </c>
      <c r="F3889" s="439">
        <f t="shared" si="16"/>
        <v>59500</v>
      </c>
      <c r="G3889" s="440"/>
      <c r="H3889" s="448">
        <v>52408</v>
      </c>
    </row>
    <row r="3890" spans="1:8" ht="13.2">
      <c r="A3890" s="454" t="s">
        <v>325</v>
      </c>
      <c r="B3890" s="452" t="str">
        <f>VLOOKUP(A3890,'Thống kê'!$C$3:$D$669,2,0)</f>
        <v>Gấu ú</v>
      </c>
      <c r="C3890" s="436" t="str">
        <f>VLOOKUP(A3890,'Thống kê'!$C$3:$E$682,3,0)</f>
        <v>cái</v>
      </c>
      <c r="D3890" s="437">
        <f>VLOOKUP(A3890,'Thống kê'!$C$3:$M$682,4,0)</f>
        <v>59500</v>
      </c>
      <c r="E3890" s="438">
        <v>1</v>
      </c>
      <c r="F3890" s="439">
        <f t="shared" si="16"/>
        <v>59500</v>
      </c>
      <c r="G3890" s="440"/>
      <c r="H3890" s="448">
        <v>52408</v>
      </c>
    </row>
    <row r="3891" spans="1:8" ht="13.2">
      <c r="A3891" s="454" t="s">
        <v>1689</v>
      </c>
      <c r="B3891" s="452">
        <f>VLOOKUP(A3891,'Thống kê'!$C$3:$D$669,2,0)</f>
        <v>0</v>
      </c>
      <c r="C3891" s="436" t="str">
        <f>VLOOKUP(A3891,'Thống kê'!$C$3:$E$682,3,0)</f>
        <v>cái</v>
      </c>
      <c r="D3891" s="437">
        <f>VLOOKUP(A3891,'Thống kê'!$C$3:$M$682,4,0)</f>
        <v>0</v>
      </c>
      <c r="E3891" s="438">
        <v>1</v>
      </c>
      <c r="F3891" s="439">
        <f t="shared" si="16"/>
        <v>0</v>
      </c>
      <c r="G3891" s="440"/>
      <c r="H3891" s="448">
        <v>22908</v>
      </c>
    </row>
    <row r="3892" spans="1:8" ht="13.2">
      <c r="A3892" s="454" t="s">
        <v>1624</v>
      </c>
      <c r="B3892" s="452" t="str">
        <f>VLOOKUP(A3892,'Thống kê'!$C$3:$D$669,2,0)</f>
        <v>Móc khóa mèo trái tim</v>
      </c>
      <c r="C3892" s="436" t="str">
        <f>VLOOKUP(A3892,'Thống kê'!$C$3:$E$682,3,0)</f>
        <v>cái</v>
      </c>
      <c r="D3892" s="437">
        <f>VLOOKUP(A3892,'Thống kê'!$C$3:$M$682,4,0)</f>
        <v>59000</v>
      </c>
      <c r="E3892" s="438">
        <v>1</v>
      </c>
      <c r="F3892" s="439">
        <f t="shared" si="16"/>
        <v>59000</v>
      </c>
      <c r="G3892" s="440"/>
      <c r="H3892" s="448">
        <v>44510</v>
      </c>
    </row>
    <row r="3893" spans="1:8" ht="13.2">
      <c r="A3893" s="454" t="s">
        <v>1624</v>
      </c>
      <c r="B3893" s="452" t="str">
        <f>VLOOKUP(A3893,'Thống kê'!$C$3:$D$669,2,0)</f>
        <v>Móc khóa mèo trái tim</v>
      </c>
      <c r="C3893" s="436" t="str">
        <f>VLOOKUP(A3893,'Thống kê'!$C$3:$E$682,3,0)</f>
        <v>cái</v>
      </c>
      <c r="D3893" s="437">
        <f>VLOOKUP(A3893,'Thống kê'!$C$3:$M$682,4,0)</f>
        <v>59000</v>
      </c>
      <c r="E3893" s="438">
        <v>1</v>
      </c>
      <c r="F3893" s="439">
        <f t="shared" si="16"/>
        <v>59000</v>
      </c>
      <c r="G3893" s="440"/>
      <c r="H3893" s="448">
        <v>44435</v>
      </c>
    </row>
    <row r="3894" spans="1:8" ht="13.2">
      <c r="A3894" s="454" t="s">
        <v>1382</v>
      </c>
      <c r="B3894" s="452" t="str">
        <f>VLOOKUP(A3894,'Thống kê'!$C$3:$D$669,2,0)</f>
        <v>miếng dán silicon điện thoại</v>
      </c>
      <c r="C3894" s="436" t="str">
        <f>VLOOKUP(A3894,'Thống kê'!$C$3:$E$682,3,0)</f>
        <v>cái</v>
      </c>
      <c r="D3894" s="437">
        <f>VLOOKUP(A3894,'Thống kê'!$C$3:$M$682,4,0)</f>
        <v>0</v>
      </c>
      <c r="E3894" s="438">
        <v>1</v>
      </c>
      <c r="F3894" s="439">
        <f t="shared" si="16"/>
        <v>0</v>
      </c>
      <c r="G3894" s="440"/>
      <c r="H3894" s="448">
        <v>7045</v>
      </c>
    </row>
    <row r="3895" spans="1:8" ht="13.2">
      <c r="A3895" s="454" t="s">
        <v>1689</v>
      </c>
      <c r="B3895" s="452">
        <f>VLOOKUP(A3895,'Thống kê'!$C$3:$D$669,2,0)</f>
        <v>0</v>
      </c>
      <c r="C3895" s="436" t="str">
        <f>VLOOKUP(A3895,'Thống kê'!$C$3:$E$682,3,0)</f>
        <v>cái</v>
      </c>
      <c r="D3895" s="437">
        <f>VLOOKUP(A3895,'Thống kê'!$C$3:$M$682,4,0)</f>
        <v>0</v>
      </c>
      <c r="E3895" s="438">
        <v>1</v>
      </c>
      <c r="F3895" s="439">
        <f t="shared" si="16"/>
        <v>0</v>
      </c>
      <c r="G3895" s="440"/>
      <c r="H3895" s="448">
        <v>22333</v>
      </c>
    </row>
    <row r="3896" spans="1:8" ht="13.2">
      <c r="A3896" s="454" t="s">
        <v>1591</v>
      </c>
      <c r="B3896" s="452" t="str">
        <f>VLOOKUP(A3896,'Thống kê'!$C$3:$D$669,2,0)</f>
        <v>Thỏ ú</v>
      </c>
      <c r="C3896" s="436" t="str">
        <f>VLOOKUP(A3896,'Thống kê'!$C$3:$E$682,3,0)</f>
        <v>cái</v>
      </c>
      <c r="D3896" s="437">
        <f>VLOOKUP(A3896,'Thống kê'!$C$3:$M$682,4,0)</f>
        <v>59500</v>
      </c>
      <c r="E3896" s="438">
        <v>1</v>
      </c>
      <c r="F3896" s="439">
        <f t="shared" si="16"/>
        <v>59500</v>
      </c>
      <c r="G3896" s="440"/>
      <c r="H3896" s="448">
        <v>52408</v>
      </c>
    </row>
    <row r="3897" spans="1:8" ht="13.2">
      <c r="A3897" s="454" t="s">
        <v>1688</v>
      </c>
      <c r="B3897" s="452">
        <f>VLOOKUP(A3897,'Thống kê'!$C$3:$D$669,2,0)</f>
        <v>0</v>
      </c>
      <c r="C3897" s="436" t="str">
        <f>VLOOKUP(A3897,'Thống kê'!$C$3:$E$682,3,0)</f>
        <v>cái</v>
      </c>
      <c r="D3897" s="437">
        <f>VLOOKUP(A3897,'Thống kê'!$C$3:$M$682,4,0)</f>
        <v>0</v>
      </c>
      <c r="E3897" s="438">
        <v>1</v>
      </c>
      <c r="F3897" s="439">
        <f t="shared" si="16"/>
        <v>0</v>
      </c>
      <c r="G3897" s="440"/>
      <c r="H3897" s="448">
        <v>19917</v>
      </c>
    </row>
    <row r="3898" spans="1:8" ht="13.2">
      <c r="A3898" s="454" t="s">
        <v>150</v>
      </c>
      <c r="B3898" s="452" t="str">
        <f>VLOOKUP(A3898,'Thống kê'!$C$3:$D$669,2,0)</f>
        <v>Móc khóa có chuông</v>
      </c>
      <c r="C3898" s="436" t="str">
        <f>VLOOKUP(A3898,'Thống kê'!$C$3:$E$682,3,0)</f>
        <v>cái</v>
      </c>
      <c r="D3898" s="437">
        <f>VLOOKUP(A3898,'Thống kê'!$C$3:$M$682,4,0)</f>
        <v>59000</v>
      </c>
      <c r="E3898" s="438">
        <v>1</v>
      </c>
      <c r="F3898" s="439">
        <f t="shared" si="16"/>
        <v>59000</v>
      </c>
      <c r="G3898" s="440"/>
      <c r="H3898" s="448">
        <v>44385</v>
      </c>
    </row>
    <row r="3899" spans="1:8" ht="13.2">
      <c r="A3899" s="454" t="s">
        <v>1625</v>
      </c>
      <c r="B3899" s="452" t="str">
        <f>VLOOKUP(A3899,'Thống kê'!$C$3:$D$669,2,0)</f>
        <v>Móc khóa đôi 2 mèo trắng nâu</v>
      </c>
      <c r="C3899" s="436" t="str">
        <f>VLOOKUP(A3899,'Thống kê'!$C$3:$E$682,3,0)</f>
        <v>cái</v>
      </c>
      <c r="D3899" s="437">
        <f>VLOOKUP(A3899,'Thống kê'!$C$3:$M$682,4,0)</f>
        <v>59000</v>
      </c>
      <c r="E3899" s="438">
        <v>1</v>
      </c>
      <c r="F3899" s="439">
        <f t="shared" si="16"/>
        <v>59000</v>
      </c>
      <c r="G3899" s="440"/>
      <c r="H3899" s="448">
        <v>44435</v>
      </c>
    </row>
    <row r="3900" spans="1:8" ht="13.2">
      <c r="A3900" s="454" t="s">
        <v>2085</v>
      </c>
      <c r="B3900" s="452" t="str">
        <f>VLOOKUP(A3900,'Thống kê'!$C$3:$D$669,2,0)</f>
        <v>Buộc tóc trắng lông</v>
      </c>
      <c r="C3900" s="436" t="str">
        <f>VLOOKUP(A3900,'Thống kê'!$C$3:$E$682,3,0)</f>
        <v>cái</v>
      </c>
      <c r="D3900" s="437">
        <f>VLOOKUP(A3900,'Thống kê'!$C$3:$M$682,4,0)</f>
        <v>10000</v>
      </c>
      <c r="E3900" s="438">
        <v>1</v>
      </c>
      <c r="F3900" s="439">
        <f t="shared" si="16"/>
        <v>10000</v>
      </c>
      <c r="G3900" s="440"/>
      <c r="H3900" s="447">
        <v>30226</v>
      </c>
    </row>
    <row r="3901" spans="1:8" ht="13.2">
      <c r="A3901" s="454" t="s">
        <v>1382</v>
      </c>
      <c r="B3901" s="452" t="str">
        <f>VLOOKUP(A3901,'Thống kê'!$C$3:$D$669,2,0)</f>
        <v>miếng dán silicon điện thoại</v>
      </c>
      <c r="C3901" s="436" t="str">
        <f>VLOOKUP(A3901,'Thống kê'!$C$3:$E$682,3,0)</f>
        <v>cái</v>
      </c>
      <c r="D3901" s="437">
        <f>VLOOKUP(A3901,'Thống kê'!$C$3:$M$682,4,0)</f>
        <v>0</v>
      </c>
      <c r="E3901" s="438">
        <v>1</v>
      </c>
      <c r="F3901" s="439">
        <f t="shared" si="16"/>
        <v>0</v>
      </c>
      <c r="G3901" s="440"/>
      <c r="H3901" s="450"/>
    </row>
    <row r="3902" spans="1:8" ht="13.2">
      <c r="A3902" s="454" t="s">
        <v>1688</v>
      </c>
      <c r="B3902" s="452">
        <f>VLOOKUP(A3902,'Thống kê'!$C$3:$D$669,2,0)</f>
        <v>0</v>
      </c>
      <c r="C3902" s="436" t="str">
        <f>VLOOKUP(A3902,'Thống kê'!$C$3:$E$682,3,0)</f>
        <v>cái</v>
      </c>
      <c r="D3902" s="437">
        <f>VLOOKUP(A3902,'Thống kê'!$C$3:$M$682,4,0)</f>
        <v>0</v>
      </c>
      <c r="E3902" s="438">
        <v>1</v>
      </c>
      <c r="F3902" s="439">
        <f t="shared" si="16"/>
        <v>0</v>
      </c>
      <c r="G3902" s="440"/>
      <c r="H3902" s="450"/>
    </row>
    <row r="3903" spans="1:8" ht="13.2">
      <c r="A3903" s="454" t="s">
        <v>1591</v>
      </c>
      <c r="B3903" s="452" t="str">
        <f>VLOOKUP(A3903,'Thống kê'!$C$3:$D$669,2,0)</f>
        <v>Thỏ ú</v>
      </c>
      <c r="C3903" s="436" t="str">
        <f>VLOOKUP(A3903,'Thống kê'!$C$3:$E$682,3,0)</f>
        <v>cái</v>
      </c>
      <c r="D3903" s="437">
        <f>VLOOKUP(A3903,'Thống kê'!$C$3:$M$682,4,0)</f>
        <v>59500</v>
      </c>
      <c r="E3903" s="438">
        <v>1</v>
      </c>
      <c r="F3903" s="439">
        <f t="shared" si="16"/>
        <v>59500</v>
      </c>
      <c r="G3903" s="440"/>
      <c r="H3903" s="448">
        <v>60408</v>
      </c>
    </row>
    <row r="3904" spans="1:8" ht="13.2">
      <c r="A3904" s="454" t="s">
        <v>170</v>
      </c>
      <c r="B3904" s="452" t="str">
        <f>VLOOKUP(A3904,'Thống kê'!$C$3:$D$669,2,0)</f>
        <v>Móc khóa chuối</v>
      </c>
      <c r="C3904" s="436" t="str">
        <f>VLOOKUP(A3904,'Thống kê'!$C$3:$E$682,3,0)</f>
        <v>cái</v>
      </c>
      <c r="D3904" s="437">
        <f>VLOOKUP(A3904,'Thống kê'!$C$3:$M$682,4,0)</f>
        <v>148000</v>
      </c>
      <c r="E3904" s="438">
        <v>1</v>
      </c>
      <c r="F3904" s="439">
        <f t="shared" si="16"/>
        <v>148000</v>
      </c>
      <c r="G3904" s="440"/>
      <c r="H3904" s="447">
        <v>102319</v>
      </c>
    </row>
    <row r="3905" spans="1:8" ht="13.2">
      <c r="A3905" s="454" t="s">
        <v>1382</v>
      </c>
      <c r="B3905" s="452" t="str">
        <f>VLOOKUP(A3905,'Thống kê'!$C$3:$D$669,2,0)</f>
        <v>miếng dán silicon điện thoại</v>
      </c>
      <c r="C3905" s="436" t="str">
        <f>VLOOKUP(A3905,'Thống kê'!$C$3:$E$682,3,0)</f>
        <v>cái</v>
      </c>
      <c r="D3905" s="437">
        <f>VLOOKUP(A3905,'Thống kê'!$C$3:$M$682,4,0)</f>
        <v>0</v>
      </c>
      <c r="E3905" s="438">
        <v>1</v>
      </c>
      <c r="F3905" s="439">
        <f t="shared" si="16"/>
        <v>0</v>
      </c>
      <c r="G3905" s="440"/>
      <c r="H3905" s="450"/>
    </row>
    <row r="3906" spans="1:8" ht="13.2">
      <c r="A3906" s="454" t="s">
        <v>2086</v>
      </c>
      <c r="B3906" s="452" t="e">
        <f>VLOOKUP(A3906,'Thống kê'!$C$3:$D$669,2,0)</f>
        <v>#N/A</v>
      </c>
      <c r="C3906" s="436" t="e">
        <f>VLOOKUP(A3906,'Thống kê'!$C$3:$E$682,3,0)</f>
        <v>#N/A</v>
      </c>
      <c r="D3906" s="437" t="e">
        <f>VLOOKUP(A3906,'Thống kê'!$C$3:$M$682,4,0)</f>
        <v>#N/A</v>
      </c>
      <c r="E3906" s="438">
        <v>1</v>
      </c>
      <c r="F3906" s="439" t="e">
        <f t="shared" si="16"/>
        <v>#N/A</v>
      </c>
      <c r="G3906" s="440"/>
      <c r="H3906" s="450"/>
    </row>
    <row r="3907" spans="1:8" ht="13.2">
      <c r="A3907" s="454" t="s">
        <v>325</v>
      </c>
      <c r="B3907" s="452" t="str">
        <f>VLOOKUP(A3907,'Thống kê'!$C$3:$D$669,2,0)</f>
        <v>Gấu ú</v>
      </c>
      <c r="C3907" s="436" t="str">
        <f>VLOOKUP(A3907,'Thống kê'!$C$3:$E$682,3,0)</f>
        <v>cái</v>
      </c>
      <c r="D3907" s="437">
        <f>VLOOKUP(A3907,'Thống kê'!$C$3:$M$682,4,0)</f>
        <v>59500</v>
      </c>
      <c r="E3907" s="438">
        <v>1</v>
      </c>
      <c r="F3907" s="439">
        <f t="shared" si="16"/>
        <v>59500</v>
      </c>
      <c r="G3907" s="440"/>
      <c r="H3907" s="448">
        <v>52408</v>
      </c>
    </row>
    <row r="3908" spans="1:8" ht="13.2">
      <c r="A3908" s="454" t="s">
        <v>1687</v>
      </c>
      <c r="B3908" s="452">
        <f>VLOOKUP(A3908,'Thống kê'!$C$3:$D$669,2,0)</f>
        <v>0</v>
      </c>
      <c r="C3908" s="436">
        <f>VLOOKUP(A3908,'Thống kê'!$C$3:$E$682,3,0)</f>
        <v>0</v>
      </c>
      <c r="D3908" s="437">
        <f>VLOOKUP(A3908,'Thống kê'!$C$3:$M$682,4,0)</f>
        <v>0</v>
      </c>
      <c r="E3908" s="438">
        <v>1</v>
      </c>
      <c r="F3908" s="439">
        <f t="shared" si="16"/>
        <v>0</v>
      </c>
      <c r="G3908" s="440"/>
      <c r="H3908" s="448">
        <v>137760</v>
      </c>
    </row>
    <row r="3909" spans="1:8" ht="13.2">
      <c r="A3909" s="454" t="s">
        <v>150</v>
      </c>
      <c r="B3909" s="452" t="str">
        <f>VLOOKUP(A3909,'Thống kê'!$C$3:$D$669,2,0)</f>
        <v>Móc khóa có chuông</v>
      </c>
      <c r="C3909" s="436" t="str">
        <f>VLOOKUP(A3909,'Thống kê'!$C$3:$E$682,3,0)</f>
        <v>cái</v>
      </c>
      <c r="D3909" s="437">
        <f>VLOOKUP(A3909,'Thống kê'!$C$3:$M$682,4,0)</f>
        <v>59000</v>
      </c>
      <c r="E3909" s="438">
        <v>1</v>
      </c>
      <c r="F3909" s="439">
        <f t="shared" si="16"/>
        <v>59000</v>
      </c>
      <c r="G3909" s="440"/>
      <c r="H3909" s="448">
        <v>44435</v>
      </c>
    </row>
    <row r="3910" spans="1:8" ht="13.2">
      <c r="A3910" s="454" t="s">
        <v>1660</v>
      </c>
      <c r="B3910" s="452" t="str">
        <f>VLOOKUP(A3910,'Thống kê'!$C$3:$D$669,2,0)</f>
        <v>Móc khóa Popbean Skull Panda</v>
      </c>
      <c r="C3910" s="436" t="str">
        <f>VLOOKUP(A3910,'Thống kê'!$C$3:$E$682,3,0)</f>
        <v>cái</v>
      </c>
      <c r="D3910" s="437">
        <f>VLOOKUP(A3910,'Thống kê'!$C$3:$M$682,4,0)</f>
        <v>155000</v>
      </c>
      <c r="E3910" s="438">
        <v>1</v>
      </c>
      <c r="F3910" s="439">
        <f t="shared" si="16"/>
        <v>155000</v>
      </c>
      <c r="G3910" s="440"/>
      <c r="H3910" s="448">
        <v>124476</v>
      </c>
    </row>
    <row r="3911" spans="1:8" ht="13.2">
      <c r="A3911" s="454" t="s">
        <v>1591</v>
      </c>
      <c r="B3911" s="452" t="str">
        <f>VLOOKUP(A3911,'Thống kê'!$C$3:$D$669,2,0)</f>
        <v>Thỏ ú</v>
      </c>
      <c r="C3911" s="436" t="str">
        <f>VLOOKUP(A3911,'Thống kê'!$C$3:$E$682,3,0)</f>
        <v>cái</v>
      </c>
      <c r="D3911" s="437">
        <f>VLOOKUP(A3911,'Thống kê'!$C$3:$M$682,4,0)</f>
        <v>59500</v>
      </c>
      <c r="E3911" s="438">
        <v>1</v>
      </c>
      <c r="F3911" s="439">
        <f t="shared" si="16"/>
        <v>59500</v>
      </c>
      <c r="G3911" s="440"/>
      <c r="H3911" s="448">
        <v>60408</v>
      </c>
    </row>
    <row r="3912" spans="1:8" ht="13.2">
      <c r="A3912" s="454" t="s">
        <v>1688</v>
      </c>
      <c r="B3912" s="452">
        <f>VLOOKUP(A3912,'Thống kê'!$C$3:$D$669,2,0)</f>
        <v>0</v>
      </c>
      <c r="C3912" s="436" t="str">
        <f>VLOOKUP(A3912,'Thống kê'!$C$3:$E$682,3,0)</f>
        <v>cái</v>
      </c>
      <c r="D3912" s="437">
        <f>VLOOKUP(A3912,'Thống kê'!$C$3:$M$682,4,0)</f>
        <v>0</v>
      </c>
      <c r="E3912" s="438">
        <v>1</v>
      </c>
      <c r="F3912" s="439">
        <f t="shared" si="16"/>
        <v>0</v>
      </c>
      <c r="G3912" s="440"/>
      <c r="H3912" s="448">
        <v>20192</v>
      </c>
    </row>
    <row r="3913" spans="1:8" ht="13.2">
      <c r="A3913" s="454" t="s">
        <v>1632</v>
      </c>
      <c r="B3913" s="452" t="str">
        <f>VLOOKUP(A3913,'Thống kê'!$C$3:$D$669,2,0)</f>
        <v>Móc khóa đôi mèo trắng</v>
      </c>
      <c r="C3913" s="436" t="str">
        <f>VLOOKUP(A3913,'Thống kê'!$C$3:$E$682,3,0)</f>
        <v>cái</v>
      </c>
      <c r="D3913" s="437">
        <f>VLOOKUP(A3913,'Thống kê'!$C$3:$M$682,4,0)</f>
        <v>59000</v>
      </c>
      <c r="E3913" s="438">
        <v>1</v>
      </c>
      <c r="F3913" s="439">
        <f t="shared" si="16"/>
        <v>59000</v>
      </c>
      <c r="G3913" s="440"/>
      <c r="H3913" s="448">
        <v>44110</v>
      </c>
    </row>
    <row r="3914" spans="1:8" ht="13.2">
      <c r="A3914" s="454" t="s">
        <v>1364</v>
      </c>
      <c r="B3914" s="452" t="str">
        <f>VLOOKUP(A3914,'Thống kê'!$C$3:$D$669,2,0)</f>
        <v>Móc khóa Popbean</v>
      </c>
      <c r="C3914" s="436" t="str">
        <f>VLOOKUP(A3914,'Thống kê'!$C$3:$E$682,3,0)</f>
        <v>cái</v>
      </c>
      <c r="D3914" s="437">
        <f>VLOOKUP(A3914,'Thống kê'!$C$3:$M$682,4,0)</f>
        <v>148000</v>
      </c>
      <c r="E3914" s="438">
        <v>1</v>
      </c>
      <c r="F3914" s="439">
        <f t="shared" si="16"/>
        <v>148000</v>
      </c>
      <c r="G3914" s="440"/>
      <c r="H3914" s="448">
        <v>143500</v>
      </c>
    </row>
    <row r="3915" spans="1:8" ht="13.2">
      <c r="A3915" s="454" t="s">
        <v>1587</v>
      </c>
      <c r="B3915" s="452" t="str">
        <f>VLOOKUP(A3915,'Thống kê'!$C$3:$D$669,2,0)</f>
        <v>Vịt ú bay</v>
      </c>
      <c r="C3915" s="436" t="str">
        <f>VLOOKUP(A3915,'Thống kê'!$C$3:$E$682,3,0)</f>
        <v>cái</v>
      </c>
      <c r="D3915" s="437">
        <f>VLOOKUP(A3915,'Thống kê'!$C$3:$M$682,4,0)</f>
        <v>64500</v>
      </c>
      <c r="E3915" s="438">
        <v>1</v>
      </c>
      <c r="F3915" s="439">
        <f t="shared" si="16"/>
        <v>64500</v>
      </c>
      <c r="G3915" s="440"/>
      <c r="H3915" s="447">
        <v>166572</v>
      </c>
    </row>
    <row r="3916" spans="1:8" ht="13.2">
      <c r="A3916" s="454" t="s">
        <v>1591</v>
      </c>
      <c r="B3916" s="452" t="str">
        <f>VLOOKUP(A3916,'Thống kê'!$C$3:$D$669,2,0)</f>
        <v>Thỏ ú</v>
      </c>
      <c r="C3916" s="436" t="str">
        <f>VLOOKUP(A3916,'Thống kê'!$C$3:$E$682,3,0)</f>
        <v>cái</v>
      </c>
      <c r="D3916" s="437">
        <f>VLOOKUP(A3916,'Thống kê'!$C$3:$M$682,4,0)</f>
        <v>59500</v>
      </c>
      <c r="E3916" s="438">
        <v>1</v>
      </c>
      <c r="F3916" s="439">
        <f t="shared" si="16"/>
        <v>59500</v>
      </c>
      <c r="G3916" s="440"/>
      <c r="H3916" s="450"/>
    </row>
    <row r="3917" spans="1:8" ht="13.2">
      <c r="A3917" s="454" t="s">
        <v>1586</v>
      </c>
      <c r="B3917" s="452" t="str">
        <f>VLOOKUP(A3917,'Thống kê'!$C$3:$D$669,2,0)</f>
        <v>Thỏ ú hoa</v>
      </c>
      <c r="C3917" s="436" t="str">
        <f>VLOOKUP(A3917,'Thống kê'!$C$3:$E$682,3,0)</f>
        <v>cái</v>
      </c>
      <c r="D3917" s="437">
        <f>VLOOKUP(A3917,'Thống kê'!$C$3:$M$682,4,0)</f>
        <v>64500</v>
      </c>
      <c r="E3917" s="438">
        <v>1</v>
      </c>
      <c r="F3917" s="439">
        <f t="shared" si="16"/>
        <v>64500</v>
      </c>
      <c r="G3917" s="440"/>
      <c r="H3917" s="450"/>
    </row>
    <row r="3918" spans="1:8" ht="13.2">
      <c r="A3918" s="454" t="s">
        <v>1597</v>
      </c>
      <c r="B3918" s="452" t="str">
        <f>VLOOKUP(A3918,'Thống kê'!$C$3:$D$669,2,0)</f>
        <v>Dao rọc giấy 12</v>
      </c>
      <c r="C3918" s="436" t="str">
        <f>VLOOKUP(A3918,'Thống kê'!$C$3:$E$682,3,0)</f>
        <v>cái</v>
      </c>
      <c r="D3918" s="437">
        <f>VLOOKUP(A3918,'Thống kê'!$C$3:$M$682,4,0)</f>
        <v>12000</v>
      </c>
      <c r="E3918" s="438">
        <v>1</v>
      </c>
      <c r="F3918" s="439">
        <f t="shared" si="16"/>
        <v>12000</v>
      </c>
      <c r="G3918" s="440"/>
      <c r="H3918" s="447">
        <v>208803</v>
      </c>
    </row>
    <row r="3919" spans="1:8" ht="13.2">
      <c r="A3919" s="454" t="s">
        <v>1594</v>
      </c>
      <c r="B3919" s="452" t="str">
        <f>VLOOKUP(A3919,'Thống kê'!$C$3:$D$669,2,0)</f>
        <v>Móc khóa đôi heo</v>
      </c>
      <c r="C3919" s="436" t="str">
        <f>VLOOKUP(A3919,'Thống kê'!$C$3:$E$682,3,0)</f>
        <v>cái</v>
      </c>
      <c r="D3919" s="437">
        <f>VLOOKUP(A3919,'Thống kê'!$C$3:$M$682,4,0)</f>
        <v>56580</v>
      </c>
      <c r="E3919" s="438">
        <v>1</v>
      </c>
      <c r="F3919" s="439">
        <f t="shared" si="16"/>
        <v>56580</v>
      </c>
      <c r="G3919" s="440"/>
      <c r="H3919" s="450"/>
    </row>
    <row r="3920" spans="1:8" ht="13.2">
      <c r="A3920" s="454" t="s">
        <v>1923</v>
      </c>
      <c r="B3920" s="452" t="str">
        <f>VLOOKUP(A3920,'Thống kê'!$C$3:$D$669,2,0)</f>
        <v>Trâm cài 04</v>
      </c>
      <c r="C3920" s="436" t="str">
        <f>VLOOKUP(A3920,'Thống kê'!$C$3:$E$682,3,0)</f>
        <v>cây</v>
      </c>
      <c r="D3920" s="437">
        <f>VLOOKUP(A3920,'Thống kê'!$C$3:$M$682,4,0)</f>
        <v>11040</v>
      </c>
      <c r="E3920" s="438">
        <v>1</v>
      </c>
      <c r="F3920" s="439">
        <f t="shared" si="16"/>
        <v>11040</v>
      </c>
      <c r="G3920" s="440"/>
      <c r="H3920" s="450"/>
    </row>
    <row r="3921" spans="1:8" ht="13.2">
      <c r="A3921" s="454" t="s">
        <v>113</v>
      </c>
      <c r="B3921" s="452" t="str">
        <f>VLOOKUP(A3921,'Thống kê'!$C$3:$D$669,2,0)</f>
        <v>Móc khoá Dimoo size mini (hàng remake)</v>
      </c>
      <c r="C3921" s="436" t="str">
        <f>VLOOKUP(A3921,'Thống kê'!$C$3:$E$682,3,0)</f>
        <v>cái</v>
      </c>
      <c r="D3921" s="437">
        <f>VLOOKUP(A3921,'Thống kê'!$C$3:$M$682,4,0)</f>
        <v>0</v>
      </c>
      <c r="E3921" s="438">
        <v>1</v>
      </c>
      <c r="F3921" s="439">
        <f t="shared" si="16"/>
        <v>0</v>
      </c>
      <c r="G3921" s="440"/>
      <c r="H3921" s="450"/>
    </row>
    <row r="3922" spans="1:8" ht="13.2">
      <c r="A3922" s="454" t="s">
        <v>245</v>
      </c>
      <c r="B3922" s="452" t="str">
        <f>VLOOKUP(A3922,'Thống kê'!$C$3:$D$669,2,0)</f>
        <v>Móc khóa Popbean</v>
      </c>
      <c r="C3922" s="436" t="str">
        <f>VLOOKUP(A3922,'Thống kê'!$C$3:$E$682,3,0)</f>
        <v>cái</v>
      </c>
      <c r="D3922" s="437">
        <f>VLOOKUP(A3922,'Thống kê'!$C$3:$M$682,4,0)</f>
        <v>148000</v>
      </c>
      <c r="E3922" s="438">
        <v>1</v>
      </c>
      <c r="F3922" s="439">
        <f t="shared" si="16"/>
        <v>148000</v>
      </c>
      <c r="G3922" s="440"/>
      <c r="H3922" s="447">
        <v>381136</v>
      </c>
    </row>
    <row r="3923" spans="1:8" ht="13.2">
      <c r="A3923" s="454" t="s">
        <v>1660</v>
      </c>
      <c r="B3923" s="452" t="str">
        <f>VLOOKUP(A3923,'Thống kê'!$C$3:$D$669,2,0)</f>
        <v>Móc khóa Popbean Skull Panda</v>
      </c>
      <c r="C3923" s="436" t="str">
        <f>VLOOKUP(A3923,'Thống kê'!$C$3:$E$682,3,0)</f>
        <v>cái</v>
      </c>
      <c r="D3923" s="437">
        <f>VLOOKUP(A3923,'Thống kê'!$C$3:$M$682,4,0)</f>
        <v>155000</v>
      </c>
      <c r="E3923" s="438">
        <v>1</v>
      </c>
      <c r="F3923" s="439">
        <f t="shared" si="16"/>
        <v>155000</v>
      </c>
      <c r="G3923" s="440"/>
      <c r="H3923" s="450"/>
    </row>
    <row r="3924" spans="1:8" ht="13.2">
      <c r="A3924" s="454" t="s">
        <v>1687</v>
      </c>
      <c r="B3924" s="452">
        <f>VLOOKUP(A3924,'Thống kê'!$C$3:$D$669,2,0)</f>
        <v>0</v>
      </c>
      <c r="C3924" s="436">
        <f>VLOOKUP(A3924,'Thống kê'!$C$3:$E$682,3,0)</f>
        <v>0</v>
      </c>
      <c r="D3924" s="437">
        <f>VLOOKUP(A3924,'Thống kê'!$C$3:$M$682,4,0)</f>
        <v>0</v>
      </c>
      <c r="E3924" s="438">
        <v>1</v>
      </c>
      <c r="F3924" s="439">
        <f t="shared" si="16"/>
        <v>0</v>
      </c>
      <c r="G3924" s="440"/>
      <c r="H3924" s="450"/>
    </row>
    <row r="3925" spans="1:8" ht="13.2">
      <c r="A3925" s="454" t="s">
        <v>113</v>
      </c>
      <c r="B3925" s="452" t="str">
        <f>VLOOKUP(A3925,'Thống kê'!$C$3:$D$669,2,0)</f>
        <v>Móc khoá Dimoo size mini (hàng remake)</v>
      </c>
      <c r="C3925" s="436" t="str">
        <f>VLOOKUP(A3925,'Thống kê'!$C$3:$E$682,3,0)</f>
        <v>cái</v>
      </c>
      <c r="D3925" s="437">
        <f>VLOOKUP(A3925,'Thống kê'!$C$3:$M$682,4,0)</f>
        <v>0</v>
      </c>
      <c r="E3925" s="438">
        <v>1</v>
      </c>
      <c r="F3925" s="439">
        <f t="shared" si="16"/>
        <v>0</v>
      </c>
      <c r="G3925" s="440"/>
      <c r="H3925" s="447">
        <v>263738</v>
      </c>
    </row>
    <row r="3926" spans="1:8" ht="13.2">
      <c r="A3926" s="454" t="s">
        <v>1387</v>
      </c>
      <c r="B3926" s="452" t="str">
        <f>VLOOKUP(A3926,'Thống kê'!$C$3:$D$669,2,0)</f>
        <v>Móc khoá Crybaby mini Popmart</v>
      </c>
      <c r="C3926" s="436" t="str">
        <f>VLOOKUP(A3926,'Thống kê'!$C$3:$E$682,3,0)</f>
        <v>cái</v>
      </c>
      <c r="D3926" s="437">
        <f>VLOOKUP(A3926,'Thống kê'!$C$3:$M$682,4,0)</f>
        <v>0</v>
      </c>
      <c r="E3926" s="438">
        <v>1</v>
      </c>
      <c r="F3926" s="439">
        <f t="shared" si="16"/>
        <v>0</v>
      </c>
      <c r="G3926" s="440"/>
      <c r="H3926" s="450"/>
    </row>
    <row r="3927" spans="1:8" ht="13.2">
      <c r="A3927" s="454" t="s">
        <v>150</v>
      </c>
      <c r="B3927" s="452" t="str">
        <f>VLOOKUP(A3927,'Thống kê'!$C$3:$D$669,2,0)</f>
        <v>Móc khóa có chuông</v>
      </c>
      <c r="C3927" s="436" t="str">
        <f>VLOOKUP(A3927,'Thống kê'!$C$3:$E$682,3,0)</f>
        <v>cái</v>
      </c>
      <c r="D3927" s="437">
        <f>VLOOKUP(A3927,'Thống kê'!$C$3:$M$682,4,0)</f>
        <v>59000</v>
      </c>
      <c r="E3927" s="438">
        <v>1</v>
      </c>
      <c r="F3927" s="439">
        <f t="shared" si="16"/>
        <v>59000</v>
      </c>
      <c r="G3927" s="440"/>
      <c r="H3927" s="448">
        <v>44435</v>
      </c>
    </row>
    <row r="3928" spans="1:8" ht="13.2">
      <c r="A3928" s="454" t="s">
        <v>143</v>
      </c>
      <c r="B3928" s="452" t="str">
        <f>VLOOKUP(A3928,'Thống kê'!$C$3:$D$669,2,0)</f>
        <v>Mèo ú</v>
      </c>
      <c r="C3928" s="436" t="str">
        <f>VLOOKUP(A3928,'Thống kê'!$C$3:$E$682,3,0)</f>
        <v>cái</v>
      </c>
      <c r="D3928" s="437">
        <f>VLOOKUP(A3928,'Thống kê'!$C$3:$M$682,4,0)</f>
        <v>59500</v>
      </c>
      <c r="E3928" s="438">
        <v>1</v>
      </c>
      <c r="F3928" s="439">
        <f t="shared" si="16"/>
        <v>59500</v>
      </c>
      <c r="G3928" s="440"/>
      <c r="H3928" s="448">
        <v>52608</v>
      </c>
    </row>
    <row r="3929" spans="1:8" ht="13.2">
      <c r="A3929" s="454" t="s">
        <v>143</v>
      </c>
      <c r="B3929" s="452" t="str">
        <f>VLOOKUP(A3929,'Thống kê'!$C$3:$D$669,2,0)</f>
        <v>Mèo ú</v>
      </c>
      <c r="C3929" s="436" t="str">
        <f>VLOOKUP(A3929,'Thống kê'!$C$3:$E$682,3,0)</f>
        <v>cái</v>
      </c>
      <c r="D3929" s="437">
        <f>VLOOKUP(A3929,'Thống kê'!$C$3:$M$682,4,0)</f>
        <v>59500</v>
      </c>
      <c r="E3929" s="438">
        <v>1</v>
      </c>
      <c r="F3929" s="439">
        <f t="shared" si="16"/>
        <v>59500</v>
      </c>
      <c r="G3929" s="440"/>
      <c r="H3929" s="447">
        <v>105616</v>
      </c>
    </row>
    <row r="3930" spans="1:8" ht="13.2">
      <c r="A3930" s="454" t="s">
        <v>1591</v>
      </c>
      <c r="B3930" s="452" t="str">
        <f>VLOOKUP(A3930,'Thống kê'!$C$3:$D$669,2,0)</f>
        <v>Thỏ ú</v>
      </c>
      <c r="C3930" s="436" t="str">
        <f>VLOOKUP(A3930,'Thống kê'!$C$3:$E$682,3,0)</f>
        <v>cái</v>
      </c>
      <c r="D3930" s="437">
        <f>VLOOKUP(A3930,'Thống kê'!$C$3:$M$682,4,0)</f>
        <v>59500</v>
      </c>
      <c r="E3930" s="438">
        <v>1</v>
      </c>
      <c r="F3930" s="439">
        <f t="shared" si="16"/>
        <v>59500</v>
      </c>
      <c r="G3930" s="440"/>
      <c r="H3930" s="450"/>
    </row>
    <row r="3931" spans="1:8" ht="13.2">
      <c r="A3931" s="454" t="s">
        <v>1591</v>
      </c>
      <c r="B3931" s="452" t="str">
        <f>VLOOKUP(A3931,'Thống kê'!$C$3:$D$669,2,0)</f>
        <v>Thỏ ú</v>
      </c>
      <c r="C3931" s="436" t="str">
        <f>VLOOKUP(A3931,'Thống kê'!$C$3:$E$682,3,0)</f>
        <v>cái</v>
      </c>
      <c r="D3931" s="437">
        <f>VLOOKUP(A3931,'Thống kê'!$C$3:$M$682,4,0)</f>
        <v>59500</v>
      </c>
      <c r="E3931" s="438">
        <v>1</v>
      </c>
      <c r="F3931" s="439">
        <f t="shared" si="16"/>
        <v>59500</v>
      </c>
      <c r="G3931" s="440"/>
      <c r="H3931" s="448">
        <v>51908</v>
      </c>
    </row>
    <row r="3932" spans="1:8" ht="13.2">
      <c r="A3932" s="454" t="s">
        <v>1384</v>
      </c>
      <c r="B3932" s="452" t="str">
        <f>VLOOKUP(A3932,'Thống kê'!$C$3:$D$669,2,0)</f>
        <v>Móc khoá Crybaby mini Popmart</v>
      </c>
      <c r="C3932" s="436" t="str">
        <f>VLOOKUP(A3932,'Thống kê'!$C$3:$E$682,3,0)</f>
        <v>cái</v>
      </c>
      <c r="D3932" s="437">
        <f>VLOOKUP(A3932,'Thống kê'!$C$3:$M$682,4,0)</f>
        <v>0</v>
      </c>
      <c r="E3932" s="438">
        <v>1</v>
      </c>
      <c r="F3932" s="439">
        <f t="shared" si="16"/>
        <v>0</v>
      </c>
      <c r="G3932" s="440"/>
      <c r="H3932" s="448">
        <v>128248</v>
      </c>
    </row>
    <row r="3933" spans="1:8" ht="13.2">
      <c r="A3933" s="454" t="s">
        <v>1387</v>
      </c>
      <c r="B3933" s="452" t="str">
        <f>VLOOKUP(A3933,'Thống kê'!$C$3:$D$669,2,0)</f>
        <v>Móc khoá Crybaby mini Popmart</v>
      </c>
      <c r="C3933" s="436" t="str">
        <f>VLOOKUP(A3933,'Thống kê'!$C$3:$E$682,3,0)</f>
        <v>cái</v>
      </c>
      <c r="D3933" s="437">
        <f>VLOOKUP(A3933,'Thống kê'!$C$3:$M$682,4,0)</f>
        <v>0</v>
      </c>
      <c r="E3933" s="438">
        <v>1</v>
      </c>
      <c r="F3933" s="439">
        <f t="shared" si="16"/>
        <v>0</v>
      </c>
      <c r="G3933" s="440"/>
      <c r="H3933" s="447">
        <v>1001384</v>
      </c>
    </row>
    <row r="3934" spans="1:8" ht="13.2">
      <c r="A3934" s="454" t="s">
        <v>258</v>
      </c>
      <c r="B3934" s="452" t="str">
        <f>VLOOKUP(A3934,'Thống kê'!$C$3:$D$669,2,0)</f>
        <v>Móc khoá Crybaby mini Popmart</v>
      </c>
      <c r="C3934" s="436" t="str">
        <f>VLOOKUP(A3934,'Thống kê'!$C$3:$E$682,3,0)</f>
        <v>cái</v>
      </c>
      <c r="D3934" s="437">
        <f>VLOOKUP(A3934,'Thống kê'!$C$3:$M$682,4,0)</f>
        <v>0</v>
      </c>
      <c r="E3934" s="438">
        <v>1</v>
      </c>
      <c r="F3934" s="439">
        <f t="shared" si="16"/>
        <v>0</v>
      </c>
      <c r="G3934" s="440"/>
      <c r="H3934" s="450"/>
    </row>
    <row r="3935" spans="1:8" ht="13.2">
      <c r="A3935" s="454" t="s">
        <v>230</v>
      </c>
      <c r="B3935" s="452" t="str">
        <f>VLOOKUP(A3935,'Thống kê'!$C$3:$D$669,2,0)</f>
        <v>Móc khoá Crybaby mini Popmart</v>
      </c>
      <c r="C3935" s="436" t="str">
        <f>VLOOKUP(A3935,'Thống kê'!$C$3:$E$682,3,0)</f>
        <v>cái</v>
      </c>
      <c r="D3935" s="437">
        <f>VLOOKUP(A3935,'Thống kê'!$C$3:$M$682,4,0)</f>
        <v>0</v>
      </c>
      <c r="E3935" s="438">
        <v>1</v>
      </c>
      <c r="F3935" s="439">
        <f t="shared" si="16"/>
        <v>0</v>
      </c>
      <c r="G3935" s="440"/>
      <c r="H3935" s="450"/>
    </row>
    <row r="3936" spans="1:8" ht="13.2">
      <c r="A3936" s="454" t="s">
        <v>1384</v>
      </c>
      <c r="B3936" s="452" t="str">
        <f>VLOOKUP(A3936,'Thống kê'!$C$3:$D$669,2,0)</f>
        <v>Móc khoá Crybaby mini Popmart</v>
      </c>
      <c r="C3936" s="436" t="str">
        <f>VLOOKUP(A3936,'Thống kê'!$C$3:$E$682,3,0)</f>
        <v>cái</v>
      </c>
      <c r="D3936" s="437">
        <f>VLOOKUP(A3936,'Thống kê'!$C$3:$M$682,4,0)</f>
        <v>0</v>
      </c>
      <c r="E3936" s="438">
        <v>1</v>
      </c>
      <c r="F3936" s="439">
        <f t="shared" si="16"/>
        <v>0</v>
      </c>
      <c r="G3936" s="440"/>
      <c r="H3936" s="450"/>
    </row>
    <row r="3937" spans="1:8" ht="13.2">
      <c r="A3937" s="454" t="s">
        <v>1386</v>
      </c>
      <c r="B3937" s="452" t="str">
        <f>VLOOKUP(A3937,'Thống kê'!$C$3:$D$669,2,0)</f>
        <v>Móc khoá Crybaby mini Popmart</v>
      </c>
      <c r="C3937" s="436" t="str">
        <f>VLOOKUP(A3937,'Thống kê'!$C$3:$E$682,3,0)</f>
        <v>cái</v>
      </c>
      <c r="D3937" s="437">
        <f>VLOOKUP(A3937,'Thống kê'!$C$3:$M$682,4,0)</f>
        <v>0</v>
      </c>
      <c r="E3937" s="438">
        <v>1</v>
      </c>
      <c r="F3937" s="439">
        <f t="shared" si="16"/>
        <v>0</v>
      </c>
      <c r="G3937" s="440"/>
      <c r="H3937" s="450"/>
    </row>
    <row r="3938" spans="1:8" ht="13.2">
      <c r="A3938" s="454" t="s">
        <v>1388</v>
      </c>
      <c r="B3938" s="452" t="str">
        <f>VLOOKUP(A3938,'Thống kê'!$C$3:$D$669,2,0)</f>
        <v>Móc khoá Crybaby mini Popmart</v>
      </c>
      <c r="C3938" s="436" t="str">
        <f>VLOOKUP(A3938,'Thống kê'!$C$3:$E$682,3,0)</f>
        <v>cái</v>
      </c>
      <c r="D3938" s="437">
        <f>VLOOKUP(A3938,'Thống kê'!$C$3:$M$682,4,0)</f>
        <v>0</v>
      </c>
      <c r="E3938" s="438">
        <v>1</v>
      </c>
      <c r="F3938" s="439">
        <f t="shared" si="16"/>
        <v>0</v>
      </c>
      <c r="G3938" s="440"/>
      <c r="H3938" s="450"/>
    </row>
    <row r="3939" spans="1:8" ht="13.2">
      <c r="A3939" s="454" t="s">
        <v>138</v>
      </c>
      <c r="B3939" s="452" t="str">
        <f>VLOOKUP(A3939,'Thống kê'!$C$3:$D$669,2,0)</f>
        <v>Móc khoá Crybaby mini Popmart</v>
      </c>
      <c r="C3939" s="436" t="str">
        <f>VLOOKUP(A3939,'Thống kê'!$C$3:$E$682,3,0)</f>
        <v>cái</v>
      </c>
      <c r="D3939" s="437">
        <f>VLOOKUP(A3939,'Thống kê'!$C$3:$M$682,4,0)</f>
        <v>0</v>
      </c>
      <c r="E3939" s="438">
        <v>1</v>
      </c>
      <c r="F3939" s="439">
        <f t="shared" si="16"/>
        <v>0</v>
      </c>
      <c r="G3939" s="440"/>
      <c r="H3939" s="450"/>
    </row>
    <row r="3940" spans="1:8" ht="13.2">
      <c r="A3940" s="454" t="s">
        <v>1389</v>
      </c>
      <c r="B3940" s="452" t="str">
        <f>VLOOKUP(A3940,'Thống kê'!$C$3:$D$669,2,0)</f>
        <v>Móc khoá Crybaby mini Popmart</v>
      </c>
      <c r="C3940" s="436" t="str">
        <f>VLOOKUP(A3940,'Thống kê'!$C$3:$E$682,3,0)</f>
        <v>cái</v>
      </c>
      <c r="D3940" s="437">
        <f>VLOOKUP(A3940,'Thống kê'!$C$3:$M$682,4,0)</f>
        <v>0</v>
      </c>
      <c r="E3940" s="438">
        <v>1</v>
      </c>
      <c r="F3940" s="439">
        <f t="shared" si="16"/>
        <v>0</v>
      </c>
      <c r="G3940" s="440"/>
      <c r="H3940" s="450"/>
    </row>
    <row r="3941" spans="1:8" ht="13.2">
      <c r="A3941" s="454" t="s">
        <v>150</v>
      </c>
      <c r="B3941" s="452" t="str">
        <f>VLOOKUP(A3941,'Thống kê'!$C$3:$D$669,2,0)</f>
        <v>Móc khóa có chuông</v>
      </c>
      <c r="C3941" s="436" t="str">
        <f>VLOOKUP(A3941,'Thống kê'!$C$3:$E$682,3,0)</f>
        <v>cái</v>
      </c>
      <c r="D3941" s="437">
        <f>VLOOKUP(A3941,'Thống kê'!$C$3:$M$682,4,0)</f>
        <v>59000</v>
      </c>
      <c r="E3941" s="438">
        <v>1</v>
      </c>
      <c r="F3941" s="439">
        <f t="shared" si="16"/>
        <v>59000</v>
      </c>
      <c r="G3941" s="440"/>
      <c r="H3941" s="448">
        <v>44110</v>
      </c>
    </row>
    <row r="3942" spans="1:8" ht="13.2">
      <c r="A3942" s="454" t="s">
        <v>1691</v>
      </c>
      <c r="B3942" s="452">
        <f>VLOOKUP(A3942,'Thống kê'!$C$3:$D$669,2,0)</f>
        <v>0</v>
      </c>
      <c r="C3942" s="436" t="str">
        <f>VLOOKUP(A3942,'Thống kê'!$C$3:$E$682,3,0)</f>
        <v>cái</v>
      </c>
      <c r="D3942" s="437">
        <f>VLOOKUP(A3942,'Thống kê'!$C$3:$M$682,4,0)</f>
        <v>0</v>
      </c>
      <c r="E3942" s="438">
        <v>1</v>
      </c>
      <c r="F3942" s="439">
        <f t="shared" si="16"/>
        <v>0</v>
      </c>
      <c r="G3942" s="440"/>
      <c r="H3942" s="447">
        <v>41235</v>
      </c>
    </row>
    <row r="3943" spans="1:8" ht="13.2">
      <c r="A3943" s="454" t="s">
        <v>1688</v>
      </c>
      <c r="B3943" s="452">
        <f>VLOOKUP(A3943,'Thống kê'!$C$3:$D$669,2,0)</f>
        <v>0</v>
      </c>
      <c r="C3943" s="436" t="str">
        <f>VLOOKUP(A3943,'Thống kê'!$C$3:$E$682,3,0)</f>
        <v>cái</v>
      </c>
      <c r="D3943" s="437">
        <f>VLOOKUP(A3943,'Thống kê'!$C$3:$M$682,4,0)</f>
        <v>0</v>
      </c>
      <c r="E3943" s="438">
        <v>1</v>
      </c>
      <c r="F3943" s="439">
        <f t="shared" si="16"/>
        <v>0</v>
      </c>
      <c r="G3943" s="440"/>
      <c r="H3943" s="450"/>
    </row>
    <row r="3944" spans="1:8" ht="13.2">
      <c r="A3944" s="454" t="s">
        <v>1418</v>
      </c>
      <c r="B3944" s="452" t="str">
        <f>VLOOKUP(A3944,'Thống kê'!$C$3:$D$669,2,0)</f>
        <v>gấu</v>
      </c>
      <c r="C3944" s="436" t="str">
        <f>VLOOKUP(A3944,'Thống kê'!$C$3:$E$682,3,0)</f>
        <v>cái</v>
      </c>
      <c r="D3944" s="437">
        <f>VLOOKUP(A3944,'Thống kê'!$C$3:$M$682,4,0)</f>
        <v>35000</v>
      </c>
      <c r="E3944" s="438">
        <v>1</v>
      </c>
      <c r="F3944" s="439">
        <f t="shared" si="16"/>
        <v>35000</v>
      </c>
      <c r="G3944" s="440"/>
      <c r="H3944" s="447">
        <v>52583</v>
      </c>
    </row>
    <row r="3945" spans="1:8" ht="13.2">
      <c r="A3945" s="454" t="s">
        <v>1421</v>
      </c>
      <c r="B3945" s="452" t="str">
        <f>VLOOKUP(A3945,'Thống kê'!$C$3:$D$669,2,0)</f>
        <v>thỏ</v>
      </c>
      <c r="C3945" s="436" t="str">
        <f>VLOOKUP(A3945,'Thống kê'!$C$3:$E$682,3,0)</f>
        <v>cái</v>
      </c>
      <c r="D3945" s="437">
        <f>VLOOKUP(A3945,'Thống kê'!$C$3:$M$682,4,0)</f>
        <v>35000</v>
      </c>
      <c r="E3945" s="438">
        <v>1</v>
      </c>
      <c r="F3945" s="439">
        <f t="shared" si="16"/>
        <v>35000</v>
      </c>
      <c r="G3945" s="440"/>
      <c r="H3945" s="450"/>
    </row>
    <row r="3946" spans="1:8" ht="13.2">
      <c r="A3946" s="454" t="s">
        <v>1596</v>
      </c>
      <c r="B3946" s="452" t="str">
        <f>VLOOKUP(A3946,'Thống kê'!$C$3:$D$669,2,0)</f>
        <v>Dao rọc giấy 11</v>
      </c>
      <c r="C3946" s="436" t="str">
        <f>VLOOKUP(A3946,'Thống kê'!$C$3:$E$682,3,0)</f>
        <v>cái</v>
      </c>
      <c r="D3946" s="437">
        <f>VLOOKUP(A3946,'Thống kê'!$C$3:$M$682,4,0)</f>
        <v>12000</v>
      </c>
      <c r="E3946" s="438">
        <v>1</v>
      </c>
      <c r="F3946" s="439">
        <f t="shared" si="16"/>
        <v>12000</v>
      </c>
      <c r="G3946" s="440"/>
      <c r="H3946" s="447">
        <v>31735</v>
      </c>
    </row>
    <row r="3947" spans="1:8" ht="13.2">
      <c r="A3947" s="454" t="s">
        <v>1382</v>
      </c>
      <c r="B3947" s="452" t="str">
        <f>VLOOKUP(A3947,'Thống kê'!$C$3:$D$669,2,0)</f>
        <v>miếng dán silicon điện thoại</v>
      </c>
      <c r="C3947" s="436" t="str">
        <f>VLOOKUP(A3947,'Thống kê'!$C$3:$E$682,3,0)</f>
        <v>cái</v>
      </c>
      <c r="D3947" s="437">
        <f>VLOOKUP(A3947,'Thống kê'!$C$3:$M$682,4,0)</f>
        <v>0</v>
      </c>
      <c r="E3947" s="438">
        <v>1</v>
      </c>
      <c r="F3947" s="439">
        <f t="shared" si="16"/>
        <v>0</v>
      </c>
      <c r="G3947" s="440"/>
      <c r="H3947" s="450"/>
    </row>
    <row r="3948" spans="1:8" ht="13.2">
      <c r="A3948" s="454" t="s">
        <v>1688</v>
      </c>
      <c r="B3948" s="452">
        <f>VLOOKUP(A3948,'Thống kê'!$C$3:$D$669,2,0)</f>
        <v>0</v>
      </c>
      <c r="C3948" s="436" t="str">
        <f>VLOOKUP(A3948,'Thống kê'!$C$3:$E$682,3,0)</f>
        <v>cái</v>
      </c>
      <c r="D3948" s="437">
        <f>VLOOKUP(A3948,'Thống kê'!$C$3:$M$682,4,0)</f>
        <v>0</v>
      </c>
      <c r="E3948" s="438">
        <v>1</v>
      </c>
      <c r="F3948" s="439">
        <f t="shared" si="16"/>
        <v>0</v>
      </c>
      <c r="G3948" s="440"/>
      <c r="H3948" s="450"/>
    </row>
    <row r="3949" spans="1:8" ht="13.2">
      <c r="A3949" s="454" t="s">
        <v>245</v>
      </c>
      <c r="B3949" s="452" t="str">
        <f>VLOOKUP(A3949,'Thống kê'!$C$3:$D$669,2,0)</f>
        <v>Móc khóa Popbean</v>
      </c>
      <c r="C3949" s="436" t="str">
        <f>VLOOKUP(A3949,'Thống kê'!$C$3:$E$682,3,0)</f>
        <v>cái</v>
      </c>
      <c r="D3949" s="437">
        <f>VLOOKUP(A3949,'Thống kê'!$C$3:$M$682,4,0)</f>
        <v>148000</v>
      </c>
      <c r="E3949" s="438">
        <v>1</v>
      </c>
      <c r="F3949" s="439">
        <f t="shared" si="16"/>
        <v>148000</v>
      </c>
      <c r="G3949" s="440"/>
      <c r="H3949" s="448">
        <v>143500</v>
      </c>
    </row>
    <row r="3950" spans="1:8" ht="13.2">
      <c r="A3950" s="454" t="s">
        <v>150</v>
      </c>
      <c r="B3950" s="452" t="str">
        <f>VLOOKUP(A3950,'Thống kê'!$C$3:$D$669,2,0)</f>
        <v>Móc khóa có chuông</v>
      </c>
      <c r="C3950" s="436" t="str">
        <f>VLOOKUP(A3950,'Thống kê'!$C$3:$E$682,3,0)</f>
        <v>cái</v>
      </c>
      <c r="D3950" s="437">
        <f>VLOOKUP(A3950,'Thống kê'!$C$3:$M$682,4,0)</f>
        <v>59000</v>
      </c>
      <c r="E3950" s="438">
        <v>1</v>
      </c>
      <c r="F3950" s="439">
        <f t="shared" si="16"/>
        <v>59000</v>
      </c>
      <c r="G3950" s="440"/>
      <c r="H3950" s="448">
        <v>44435</v>
      </c>
    </row>
    <row r="3951" spans="1:8" ht="13.2">
      <c r="A3951" s="454" t="s">
        <v>186</v>
      </c>
      <c r="B3951" s="452" t="str">
        <f>VLOOKUP(A3951,'Thống kê'!$C$3:$D$669,2,0)</f>
        <v>Thỏ ú bay</v>
      </c>
      <c r="C3951" s="436" t="str">
        <f>VLOOKUP(A3951,'Thống kê'!$C$3:$E$682,3,0)</f>
        <v>cái</v>
      </c>
      <c r="D3951" s="437">
        <f>VLOOKUP(A3951,'Thống kê'!$C$3:$M$682,4,0)</f>
        <v>64500</v>
      </c>
      <c r="E3951" s="438">
        <v>1</v>
      </c>
      <c r="F3951" s="439">
        <f t="shared" si="16"/>
        <v>64500</v>
      </c>
      <c r="G3951" s="440"/>
      <c r="H3951" s="448">
        <v>63749</v>
      </c>
    </row>
    <row r="3952" spans="1:8" ht="13.2">
      <c r="A3952" s="454" t="s">
        <v>1382</v>
      </c>
      <c r="B3952" s="452" t="str">
        <f>VLOOKUP(A3952,'Thống kê'!$C$3:$D$669,2,0)</f>
        <v>miếng dán silicon điện thoại</v>
      </c>
      <c r="C3952" s="436" t="str">
        <f>VLOOKUP(A3952,'Thống kê'!$C$3:$E$682,3,0)</f>
        <v>cái</v>
      </c>
      <c r="D3952" s="437">
        <f>VLOOKUP(A3952,'Thống kê'!$C$3:$M$682,4,0)</f>
        <v>0</v>
      </c>
      <c r="E3952" s="438">
        <v>2</v>
      </c>
      <c r="F3952" s="439">
        <f t="shared" si="16"/>
        <v>0</v>
      </c>
      <c r="G3952" s="440"/>
      <c r="H3952" s="448">
        <v>4555</v>
      </c>
    </row>
    <row r="3953" spans="1:8" ht="13.2">
      <c r="A3953" s="454" t="s">
        <v>143</v>
      </c>
      <c r="B3953" s="452" t="str">
        <f>VLOOKUP(A3953,'Thống kê'!$C$3:$D$669,2,0)</f>
        <v>Mèo ú</v>
      </c>
      <c r="C3953" s="436" t="str">
        <f>VLOOKUP(A3953,'Thống kê'!$C$3:$E$682,3,0)</f>
        <v>cái</v>
      </c>
      <c r="D3953" s="437">
        <f>VLOOKUP(A3953,'Thống kê'!$C$3:$M$682,4,0)</f>
        <v>59500</v>
      </c>
      <c r="E3953" s="438">
        <v>1</v>
      </c>
      <c r="F3953" s="439">
        <f t="shared" si="16"/>
        <v>59500</v>
      </c>
      <c r="G3953" s="440"/>
      <c r="H3953" s="448">
        <v>52158</v>
      </c>
    </row>
    <row r="3954" spans="1:8" ht="13.2">
      <c r="A3954" s="454" t="s">
        <v>1387</v>
      </c>
      <c r="B3954" s="452" t="str">
        <f>VLOOKUP(A3954,'Thống kê'!$C$3:$D$669,2,0)</f>
        <v>Móc khoá Crybaby mini Popmart</v>
      </c>
      <c r="C3954" s="436" t="str">
        <f>VLOOKUP(A3954,'Thống kê'!$C$3:$E$682,3,0)</f>
        <v>cái</v>
      </c>
      <c r="D3954" s="437">
        <f>VLOOKUP(A3954,'Thống kê'!$C$3:$M$682,4,0)</f>
        <v>0</v>
      </c>
      <c r="E3954" s="438">
        <v>1</v>
      </c>
      <c r="F3954" s="439">
        <f t="shared" si="16"/>
        <v>0</v>
      </c>
      <c r="G3954" s="440"/>
      <c r="H3954" s="447">
        <v>235976</v>
      </c>
    </row>
    <row r="3955" spans="1:8" ht="13.2">
      <c r="A3955" s="454" t="s">
        <v>1388</v>
      </c>
      <c r="B3955" s="452" t="str">
        <f>VLOOKUP(A3955,'Thống kê'!$C$3:$D$669,2,0)</f>
        <v>Móc khoá Crybaby mini Popmart</v>
      </c>
      <c r="C3955" s="436" t="str">
        <f>VLOOKUP(A3955,'Thống kê'!$C$3:$E$682,3,0)</f>
        <v>cái</v>
      </c>
      <c r="D3955" s="437">
        <f>VLOOKUP(A3955,'Thống kê'!$C$3:$M$682,4,0)</f>
        <v>0</v>
      </c>
      <c r="E3955" s="438">
        <v>1</v>
      </c>
      <c r="F3955" s="439">
        <f t="shared" si="16"/>
        <v>0</v>
      </c>
      <c r="G3955" s="440"/>
      <c r="H3955" s="450"/>
    </row>
    <row r="3956" spans="1:8" ht="13.2">
      <c r="A3956" s="454" t="s">
        <v>115</v>
      </c>
      <c r="B3956" s="452" t="str">
        <f>VLOOKUP(A3956,'Thống kê'!$C$3:$D$669,2,0)</f>
        <v>Heo ú</v>
      </c>
      <c r="C3956" s="436" t="str">
        <f>VLOOKUP(A3956,'Thống kê'!$C$3:$E$682,3,0)</f>
        <v>cái</v>
      </c>
      <c r="D3956" s="437">
        <f>VLOOKUP(A3956,'Thống kê'!$C$3:$M$682,4,0)</f>
        <v>59500</v>
      </c>
      <c r="E3956" s="438">
        <v>2</v>
      </c>
      <c r="F3956" s="439">
        <f t="shared" si="16"/>
        <v>119000</v>
      </c>
      <c r="G3956" s="440"/>
      <c r="H3956" s="448">
        <v>105616</v>
      </c>
    </row>
    <row r="3957" spans="1:8" ht="13.2">
      <c r="A3957" s="454" t="s">
        <v>2087</v>
      </c>
      <c r="B3957" s="452" t="e">
        <f>VLOOKUP(A3957,'Thống kê'!$C$3:$D$669,2,0)</f>
        <v>#N/A</v>
      </c>
      <c r="C3957" s="436" t="e">
        <f>VLOOKUP(A3957,'Thống kê'!$C$3:$E$682,3,0)</f>
        <v>#N/A</v>
      </c>
      <c r="D3957" s="437" t="e">
        <f>VLOOKUP(A3957,'Thống kê'!$C$3:$M$682,4,0)</f>
        <v>#N/A</v>
      </c>
      <c r="E3957" s="438">
        <v>3</v>
      </c>
      <c r="F3957" s="439" t="e">
        <f t="shared" si="16"/>
        <v>#N/A</v>
      </c>
      <c r="G3957" s="440"/>
      <c r="H3957" s="448">
        <v>158424</v>
      </c>
    </row>
    <row r="3958" spans="1:8" ht="13.2">
      <c r="A3958" s="454" t="s">
        <v>259</v>
      </c>
      <c r="B3958" s="452" t="str">
        <f>VLOOKUP(A3958,'Thống kê'!$C$3:$D$669,2,0)</f>
        <v>Móc khoá Crybaby mini Popmart</v>
      </c>
      <c r="C3958" s="436" t="str">
        <f>VLOOKUP(A3958,'Thống kê'!$C$3:$E$682,3,0)</f>
        <v>cái</v>
      </c>
      <c r="D3958" s="437">
        <f>VLOOKUP(A3958,'Thống kê'!$C$3:$M$682,4,0)</f>
        <v>0</v>
      </c>
      <c r="E3958" s="438">
        <v>1</v>
      </c>
      <c r="F3958" s="439">
        <f t="shared" si="16"/>
        <v>0</v>
      </c>
      <c r="G3958" s="440"/>
      <c r="H3958" s="448">
        <v>121688</v>
      </c>
    </row>
    <row r="3959" spans="1:8" ht="13.2">
      <c r="A3959" s="454" t="s">
        <v>1591</v>
      </c>
      <c r="B3959" s="452" t="str">
        <f>VLOOKUP(A3959,'Thống kê'!$C$3:$D$669,2,0)</f>
        <v>Thỏ ú</v>
      </c>
      <c r="C3959" s="436" t="str">
        <f>VLOOKUP(A3959,'Thống kê'!$C$3:$E$682,3,0)</f>
        <v>cái</v>
      </c>
      <c r="D3959" s="437">
        <f>VLOOKUP(A3959,'Thống kê'!$C$3:$M$682,4,0)</f>
        <v>59500</v>
      </c>
      <c r="E3959" s="438">
        <v>1</v>
      </c>
      <c r="F3959" s="439">
        <f t="shared" si="16"/>
        <v>59500</v>
      </c>
      <c r="G3959" s="440"/>
      <c r="H3959" s="448">
        <v>48708</v>
      </c>
    </row>
    <row r="3960" spans="1:8" ht="13.2">
      <c r="A3960" s="454" t="s">
        <v>1384</v>
      </c>
      <c r="B3960" s="452" t="str">
        <f>VLOOKUP(A3960,'Thống kê'!$C$3:$D$669,2,0)</f>
        <v>Móc khoá Crybaby mini Popmart</v>
      </c>
      <c r="C3960" s="436" t="str">
        <f>VLOOKUP(A3960,'Thống kê'!$C$3:$E$682,3,0)</f>
        <v>cái</v>
      </c>
      <c r="D3960" s="437">
        <f>VLOOKUP(A3960,'Thống kê'!$C$3:$M$682,4,0)</f>
        <v>0</v>
      </c>
      <c r="E3960" s="438">
        <v>1</v>
      </c>
      <c r="F3960" s="439">
        <f t="shared" si="16"/>
        <v>0</v>
      </c>
      <c r="G3960" s="440"/>
      <c r="H3960" s="448">
        <v>121688</v>
      </c>
    </row>
    <row r="3961" spans="1:8" ht="13.2">
      <c r="A3961" s="454" t="s">
        <v>1685</v>
      </c>
      <c r="B3961" s="452" t="str">
        <f>VLOOKUP(A3961,'Thống kê'!$C$3:$D$669,2,0)</f>
        <v>Capy</v>
      </c>
      <c r="C3961" s="436" t="str">
        <f>VLOOKUP(A3961,'Thống kê'!$C$3:$E$682,3,0)</f>
        <v>cái</v>
      </c>
      <c r="D3961" s="437">
        <f>VLOOKUP(A3961,'Thống kê'!$C$3:$M$682,4,0)</f>
        <v>62000</v>
      </c>
      <c r="E3961" s="438">
        <v>1</v>
      </c>
      <c r="F3961" s="439">
        <f t="shared" si="16"/>
        <v>62000</v>
      </c>
      <c r="G3961" s="440"/>
      <c r="H3961" s="448">
        <v>48708</v>
      </c>
    </row>
    <row r="3962" spans="1:8" ht="13.2">
      <c r="A3962" s="454" t="s">
        <v>1382</v>
      </c>
      <c r="B3962" s="452" t="str">
        <f>VLOOKUP(A3962,'Thống kê'!$C$3:$D$669,2,0)</f>
        <v>miếng dán silicon điện thoại</v>
      </c>
      <c r="C3962" s="436" t="str">
        <f>VLOOKUP(A3962,'Thống kê'!$C$3:$E$682,3,0)</f>
        <v>cái</v>
      </c>
      <c r="D3962" s="437">
        <f>VLOOKUP(A3962,'Thống kê'!$C$3:$M$682,4,0)</f>
        <v>0</v>
      </c>
      <c r="E3962" s="438">
        <v>2</v>
      </c>
      <c r="F3962" s="439">
        <f t="shared" si="16"/>
        <v>0</v>
      </c>
      <c r="G3962" s="440"/>
      <c r="H3962" s="447">
        <v>125965</v>
      </c>
    </row>
    <row r="3963" spans="1:8" ht="13.2">
      <c r="A3963" s="454" t="s">
        <v>1387</v>
      </c>
      <c r="B3963" s="452" t="str">
        <f>VLOOKUP(A3963,'Thống kê'!$C$3:$D$669,2,0)</f>
        <v>Móc khoá Crybaby mini Popmart</v>
      </c>
      <c r="C3963" s="436" t="str">
        <f>VLOOKUP(A3963,'Thống kê'!$C$3:$E$682,3,0)</f>
        <v>cái</v>
      </c>
      <c r="D3963" s="437">
        <f>VLOOKUP(A3963,'Thống kê'!$C$3:$M$682,4,0)</f>
        <v>0</v>
      </c>
      <c r="E3963" s="438">
        <v>1</v>
      </c>
      <c r="F3963" s="439">
        <f t="shared" si="16"/>
        <v>0</v>
      </c>
      <c r="G3963" s="440"/>
      <c r="H3963" s="450"/>
    </row>
    <row r="3964" spans="1:8" ht="13.2">
      <c r="A3964" s="454" t="s">
        <v>1588</v>
      </c>
      <c r="B3964" s="452" t="str">
        <f>VLOOKUP(A3964,'Thống kê'!$C$3:$D$669,2,0)</f>
        <v>Heo ú hoa</v>
      </c>
      <c r="C3964" s="436" t="str">
        <f>VLOOKUP(A3964,'Thống kê'!$C$3:$E$682,3,0)</f>
        <v>cái</v>
      </c>
      <c r="D3964" s="437">
        <f>VLOOKUP(A3964,'Thống kê'!$C$3:$M$682,4,0)</f>
        <v>64500</v>
      </c>
      <c r="E3964" s="438">
        <v>1</v>
      </c>
      <c r="F3964" s="439">
        <f t="shared" si="16"/>
        <v>64500</v>
      </c>
      <c r="G3964" s="440"/>
      <c r="H3964" s="447">
        <v>121688</v>
      </c>
    </row>
    <row r="3965" spans="1:8" ht="13.2">
      <c r="A3965" s="454" t="s">
        <v>1210</v>
      </c>
      <c r="B3965" s="452" t="str">
        <f>VLOOKUP(A3965,'Thống kê'!$C$3:$D$669,2,0)</f>
        <v>Shiba ú cầm hoa</v>
      </c>
      <c r="C3965" s="436" t="str">
        <f>VLOOKUP(A3965,'Thống kê'!$C$3:$E$682,3,0)</f>
        <v>cái</v>
      </c>
      <c r="D3965" s="437">
        <f>VLOOKUP(A3965,'Thống kê'!$C$3:$M$682,4,0)</f>
        <v>64500</v>
      </c>
      <c r="E3965" s="438">
        <v>1</v>
      </c>
      <c r="F3965" s="439">
        <f t="shared" si="16"/>
        <v>64500</v>
      </c>
      <c r="G3965" s="440"/>
      <c r="H3965" s="450"/>
    </row>
    <row r="3966" spans="1:8" ht="13.2">
      <c r="A3966" s="454" t="s">
        <v>1382</v>
      </c>
      <c r="B3966" s="452" t="str">
        <f>VLOOKUP(A3966,'Thống kê'!$C$3:$D$669,2,0)</f>
        <v>miếng dán silicon điện thoại</v>
      </c>
      <c r="C3966" s="436" t="str">
        <f>VLOOKUP(A3966,'Thống kê'!$C$3:$E$682,3,0)</f>
        <v>cái</v>
      </c>
      <c r="D3966" s="437">
        <f>VLOOKUP(A3966,'Thống kê'!$C$3:$M$682,4,0)</f>
        <v>0</v>
      </c>
      <c r="E3966" s="438">
        <v>2</v>
      </c>
      <c r="F3966" s="439">
        <f t="shared" si="16"/>
        <v>0</v>
      </c>
      <c r="G3966" s="440"/>
      <c r="H3966" s="447">
        <v>125965</v>
      </c>
    </row>
    <row r="3967" spans="1:8" ht="13.2">
      <c r="A3967" s="454" t="s">
        <v>1387</v>
      </c>
      <c r="B3967" s="452" t="str">
        <f>VLOOKUP(A3967,'Thống kê'!$C$3:$D$669,2,0)</f>
        <v>Móc khoá Crybaby mini Popmart</v>
      </c>
      <c r="C3967" s="436" t="str">
        <f>VLOOKUP(A3967,'Thống kê'!$C$3:$E$682,3,0)</f>
        <v>cái</v>
      </c>
      <c r="D3967" s="437">
        <f>VLOOKUP(A3967,'Thống kê'!$C$3:$M$682,4,0)</f>
        <v>0</v>
      </c>
      <c r="E3967" s="438">
        <v>1</v>
      </c>
      <c r="F3967" s="439">
        <f t="shared" si="16"/>
        <v>0</v>
      </c>
      <c r="G3967" s="440"/>
      <c r="H3967" s="450"/>
    </row>
    <row r="3968" spans="1:8" ht="13.2">
      <c r="A3968" s="454" t="s">
        <v>1382</v>
      </c>
      <c r="B3968" s="452" t="str">
        <f>VLOOKUP(A3968,'Thống kê'!$C$3:$D$669,2,0)</f>
        <v>miếng dán silicon điện thoại</v>
      </c>
      <c r="C3968" s="436" t="str">
        <f>VLOOKUP(A3968,'Thống kê'!$C$3:$E$682,3,0)</f>
        <v>cái</v>
      </c>
      <c r="D3968" s="437">
        <f>VLOOKUP(A3968,'Thống kê'!$C$3:$M$682,4,0)</f>
        <v>0</v>
      </c>
      <c r="E3968" s="438">
        <v>6</v>
      </c>
      <c r="F3968" s="439">
        <f t="shared" si="16"/>
        <v>0</v>
      </c>
      <c r="G3968" s="440"/>
      <c r="H3968" s="448">
        <v>14865</v>
      </c>
    </row>
    <row r="3969" spans="1:8" ht="13.2">
      <c r="A3969" s="454" t="s">
        <v>115</v>
      </c>
      <c r="B3969" s="452" t="str">
        <f>VLOOKUP(A3969,'Thống kê'!$C$3:$D$669,2,0)</f>
        <v>Heo ú</v>
      </c>
      <c r="C3969" s="436" t="str">
        <f>VLOOKUP(A3969,'Thống kê'!$C$3:$E$682,3,0)</f>
        <v>cái</v>
      </c>
      <c r="D3969" s="437">
        <f>VLOOKUP(A3969,'Thống kê'!$C$3:$M$682,4,0)</f>
        <v>59500</v>
      </c>
      <c r="E3969" s="438">
        <v>1</v>
      </c>
      <c r="F3969" s="439">
        <f t="shared" si="16"/>
        <v>59500</v>
      </c>
      <c r="G3969" s="440"/>
      <c r="H3969" s="448">
        <v>48708</v>
      </c>
    </row>
    <row r="3970" spans="1:8" ht="13.2">
      <c r="A3970" s="454" t="s">
        <v>258</v>
      </c>
      <c r="B3970" s="452" t="str">
        <f>VLOOKUP(A3970,'Thống kê'!$C$3:$D$669,2,0)</f>
        <v>Móc khoá Crybaby mini Popmart</v>
      </c>
      <c r="C3970" s="436" t="str">
        <f>VLOOKUP(A3970,'Thống kê'!$C$3:$E$682,3,0)</f>
        <v>cái</v>
      </c>
      <c r="D3970" s="437">
        <f>VLOOKUP(A3970,'Thống kê'!$C$3:$M$682,4,0)</f>
        <v>0</v>
      </c>
      <c r="E3970" s="438">
        <v>1</v>
      </c>
      <c r="F3970" s="439">
        <f t="shared" si="16"/>
        <v>0</v>
      </c>
      <c r="G3970" s="440"/>
      <c r="H3970" s="448">
        <v>121688</v>
      </c>
    </row>
    <row r="3971" spans="1:8" ht="13.2">
      <c r="A3971" s="454" t="s">
        <v>119</v>
      </c>
      <c r="B3971" s="452" t="str">
        <f>VLOOKUP(A3971,'Thống kê'!$C$3:$D$669,2,0)</f>
        <v>Thỏ chạy xe gắn xe</v>
      </c>
      <c r="C3971" s="436" t="str">
        <f>VLOOKUP(A3971,'Thống kê'!$C$3:$E$682,3,0)</f>
        <v>cái</v>
      </c>
      <c r="D3971" s="437">
        <f>VLOOKUP(A3971,'Thống kê'!$C$3:$M$682,4,0)</f>
        <v>45000</v>
      </c>
      <c r="E3971" s="438">
        <v>1</v>
      </c>
      <c r="F3971" s="439">
        <f t="shared" si="16"/>
        <v>45000</v>
      </c>
      <c r="G3971" s="440"/>
      <c r="H3971" s="447">
        <v>82615</v>
      </c>
    </row>
    <row r="3972" spans="1:8" ht="13.2">
      <c r="A3972" s="454" t="s">
        <v>1792</v>
      </c>
      <c r="B3972" s="452" t="str">
        <f>VLOOKUP(A3972,'Thống kê'!$C$3:$D$669,2,0)</f>
        <v>Mèo da treo gương</v>
      </c>
      <c r="C3972" s="436" t="str">
        <f>VLOOKUP(A3972,'Thống kê'!$C$3:$E$682,3,0)</f>
        <v>cái</v>
      </c>
      <c r="D3972" s="437">
        <f>VLOOKUP(A3972,'Thống kê'!$C$3:$M$682,4,0)</f>
        <v>71500</v>
      </c>
      <c r="E3972" s="438">
        <v>1</v>
      </c>
      <c r="F3972" s="439">
        <f t="shared" si="16"/>
        <v>71500</v>
      </c>
      <c r="G3972" s="440"/>
      <c r="H3972" s="450"/>
    </row>
    <row r="3973" spans="1:8" ht="13.2">
      <c r="A3973" s="454" t="s">
        <v>1382</v>
      </c>
      <c r="B3973" s="452" t="str">
        <f>VLOOKUP(A3973,'Thống kê'!$C$3:$D$669,2,0)</f>
        <v>miếng dán silicon điện thoại</v>
      </c>
      <c r="C3973" s="436" t="str">
        <f>VLOOKUP(A3973,'Thống kê'!$C$3:$E$682,3,0)</f>
        <v>cái</v>
      </c>
      <c r="D3973" s="437">
        <f>VLOOKUP(A3973,'Thống kê'!$C$3:$M$682,4,0)</f>
        <v>0</v>
      </c>
      <c r="E3973" s="438">
        <v>10</v>
      </c>
      <c r="F3973" s="439">
        <f t="shared" si="16"/>
        <v>0</v>
      </c>
      <c r="G3973" s="440"/>
      <c r="H3973" s="448">
        <v>24825</v>
      </c>
    </row>
    <row r="3974" spans="1:8" ht="13.2">
      <c r="A3974" s="454" t="s">
        <v>245</v>
      </c>
      <c r="B3974" s="452" t="str">
        <f>VLOOKUP(A3974,'Thống kê'!$C$3:$D$669,2,0)</f>
        <v>Móc khóa Popbean</v>
      </c>
      <c r="C3974" s="436" t="str">
        <f>VLOOKUP(A3974,'Thống kê'!$C$3:$E$682,3,0)</f>
        <v>cái</v>
      </c>
      <c r="D3974" s="437">
        <f>VLOOKUP(A3974,'Thống kê'!$C$3:$M$682,4,0)</f>
        <v>148000</v>
      </c>
      <c r="E3974" s="438">
        <v>1</v>
      </c>
      <c r="F3974" s="439">
        <f t="shared" si="16"/>
        <v>148000</v>
      </c>
      <c r="G3974" s="440"/>
      <c r="H3974" s="448">
        <v>136040</v>
      </c>
    </row>
    <row r="3975" spans="1:8" ht="13.2">
      <c r="A3975" s="454" t="s">
        <v>1789</v>
      </c>
      <c r="B3975" s="452" t="str">
        <f>VLOOKUP(A3975,'Thống kê'!$C$3:$D$669,2,0)</f>
        <v>Ống 50 dây cột tóc đen</v>
      </c>
      <c r="C3975" s="436" t="str">
        <f>VLOOKUP(A3975,'Thống kê'!$C$3:$E$682,3,0)</f>
        <v>ống</v>
      </c>
      <c r="D3975" s="437">
        <f>VLOOKUP(A3975,'Thống kê'!$C$3:$M$682,4,0)</f>
        <v>20000</v>
      </c>
      <c r="E3975" s="438">
        <v>1</v>
      </c>
      <c r="F3975" s="439">
        <f t="shared" si="16"/>
        <v>20000</v>
      </c>
      <c r="G3975" s="440"/>
      <c r="H3975" s="447">
        <v>52186</v>
      </c>
    </row>
    <row r="3976" spans="1:8" ht="13.2">
      <c r="A3976" s="454" t="s">
        <v>1690</v>
      </c>
      <c r="B3976" s="452">
        <f>VLOOKUP(A3976,'Thống kê'!$C$3:$D$669,2,0)</f>
        <v>0</v>
      </c>
      <c r="C3976" s="436" t="str">
        <f>VLOOKUP(A3976,'Thống kê'!$C$3:$E$682,3,0)</f>
        <v>cái</v>
      </c>
      <c r="D3976" s="437">
        <f>VLOOKUP(A3976,'Thống kê'!$C$3:$M$682,4,0)</f>
        <v>0</v>
      </c>
      <c r="E3976" s="438">
        <v>1</v>
      </c>
      <c r="F3976" s="439">
        <f t="shared" si="16"/>
        <v>0</v>
      </c>
      <c r="G3976" s="440"/>
      <c r="H3976" s="450"/>
    </row>
    <row r="3977" spans="1:8" ht="13.2">
      <c r="A3977" s="454" t="s">
        <v>1691</v>
      </c>
      <c r="B3977" s="452">
        <f>VLOOKUP(A3977,'Thống kê'!$C$3:$D$669,2,0)</f>
        <v>0</v>
      </c>
      <c r="C3977" s="436" t="str">
        <f>VLOOKUP(A3977,'Thống kê'!$C$3:$E$682,3,0)</f>
        <v>cái</v>
      </c>
      <c r="D3977" s="437">
        <f>VLOOKUP(A3977,'Thống kê'!$C$3:$M$682,4,0)</f>
        <v>0</v>
      </c>
      <c r="E3977" s="438">
        <v>1</v>
      </c>
      <c r="F3977" s="439">
        <f t="shared" si="16"/>
        <v>0</v>
      </c>
      <c r="G3977" s="440"/>
      <c r="H3977" s="450"/>
    </row>
    <row r="3978" spans="1:8" ht="13.2">
      <c r="A3978" s="454" t="s">
        <v>1384</v>
      </c>
      <c r="B3978" s="452" t="str">
        <f>VLOOKUP(A3978,'Thống kê'!$C$3:$D$669,2,0)</f>
        <v>Móc khoá Crybaby mini Popmart</v>
      </c>
      <c r="C3978" s="436" t="str">
        <f>VLOOKUP(A3978,'Thống kê'!$C$3:$E$682,3,0)</f>
        <v>cái</v>
      </c>
      <c r="D3978" s="437">
        <f>VLOOKUP(A3978,'Thống kê'!$C$3:$M$682,4,0)</f>
        <v>0</v>
      </c>
      <c r="E3978" s="438">
        <v>1</v>
      </c>
      <c r="F3978" s="439">
        <f t="shared" si="16"/>
        <v>0</v>
      </c>
      <c r="G3978" s="440"/>
      <c r="H3978" s="448">
        <v>121688</v>
      </c>
    </row>
    <row r="3979" spans="1:8" ht="13.2">
      <c r="A3979" s="454" t="s">
        <v>115</v>
      </c>
      <c r="B3979" s="452" t="str">
        <f>VLOOKUP(A3979,'Thống kê'!$C$3:$D$669,2,0)</f>
        <v>Heo ú</v>
      </c>
      <c r="C3979" s="436" t="str">
        <f>VLOOKUP(A3979,'Thống kê'!$C$3:$E$682,3,0)</f>
        <v>cái</v>
      </c>
      <c r="D3979" s="437">
        <f>VLOOKUP(A3979,'Thống kê'!$C$3:$M$682,4,0)</f>
        <v>59500</v>
      </c>
      <c r="E3979" s="438">
        <v>1</v>
      </c>
      <c r="F3979" s="439">
        <f t="shared" si="16"/>
        <v>59500</v>
      </c>
      <c r="G3979" s="440"/>
      <c r="H3979" s="447">
        <v>81475</v>
      </c>
    </row>
    <row r="3980" spans="1:8" ht="13.2">
      <c r="A3980" s="454" t="s">
        <v>1593</v>
      </c>
      <c r="B3980" s="452" t="str">
        <f>VLOOKUP(A3980,'Thống kê'!$C$3:$D$669,2,0)</f>
        <v>Heo cưỡi kì lân gắn xe</v>
      </c>
      <c r="C3980" s="436" t="str">
        <f>VLOOKUP(A3980,'Thống kê'!$C$3:$E$682,3,0)</f>
        <v>cái</v>
      </c>
      <c r="D3980" s="437">
        <f>VLOOKUP(A3980,'Thống kê'!$C$3:$M$682,4,0)</f>
        <v>45000</v>
      </c>
      <c r="E3980" s="438">
        <v>1</v>
      </c>
      <c r="F3980" s="439">
        <f t="shared" si="16"/>
        <v>45000</v>
      </c>
      <c r="G3980" s="440"/>
      <c r="H3980" s="450"/>
    </row>
    <row r="3981" spans="1:8" ht="13.2">
      <c r="A3981" s="454" t="s">
        <v>1591</v>
      </c>
      <c r="B3981" s="452" t="str">
        <f>VLOOKUP(A3981,'Thống kê'!$C$3:$D$669,2,0)</f>
        <v>Thỏ ú</v>
      </c>
      <c r="C3981" s="436" t="str">
        <f>VLOOKUP(A3981,'Thống kê'!$C$3:$E$682,3,0)</f>
        <v>cái</v>
      </c>
      <c r="D3981" s="437">
        <f>VLOOKUP(A3981,'Thống kê'!$C$3:$M$682,4,0)</f>
        <v>59500</v>
      </c>
      <c r="E3981" s="438">
        <v>1</v>
      </c>
      <c r="F3981" s="439">
        <f t="shared" si="16"/>
        <v>59500</v>
      </c>
      <c r="G3981" s="440"/>
      <c r="H3981" s="448">
        <v>48308</v>
      </c>
    </row>
    <row r="3982" spans="1:8" ht="13.2">
      <c r="A3982" s="454" t="s">
        <v>1591</v>
      </c>
      <c r="B3982" s="452" t="str">
        <f>VLOOKUP(A3982,'Thống kê'!$C$3:$D$669,2,0)</f>
        <v>Thỏ ú</v>
      </c>
      <c r="C3982" s="436" t="str">
        <f>VLOOKUP(A3982,'Thống kê'!$C$3:$E$682,3,0)</f>
        <v>cái</v>
      </c>
      <c r="D3982" s="437">
        <f>VLOOKUP(A3982,'Thống kê'!$C$3:$M$682,4,0)</f>
        <v>59500</v>
      </c>
      <c r="E3982" s="438">
        <v>1</v>
      </c>
      <c r="F3982" s="439">
        <f t="shared" si="16"/>
        <v>59500</v>
      </c>
      <c r="G3982" s="440"/>
      <c r="H3982" s="448">
        <v>48633</v>
      </c>
    </row>
    <row r="3983" spans="1:8" ht="13.2">
      <c r="A3983" s="454" t="s">
        <v>1384</v>
      </c>
      <c r="B3983" s="452" t="str">
        <f>VLOOKUP(A3983,'Thống kê'!$C$3:$D$669,2,0)</f>
        <v>Móc khoá Crybaby mini Popmart</v>
      </c>
      <c r="C3983" s="436" t="str">
        <f>VLOOKUP(A3983,'Thống kê'!$C$3:$E$682,3,0)</f>
        <v>cái</v>
      </c>
      <c r="D3983" s="437">
        <f>VLOOKUP(A3983,'Thống kê'!$C$3:$M$682,4,0)</f>
        <v>0</v>
      </c>
      <c r="E3983" s="438">
        <v>1</v>
      </c>
      <c r="F3983" s="439">
        <f t="shared" si="16"/>
        <v>0</v>
      </c>
      <c r="G3983" s="440"/>
      <c r="H3983" s="448">
        <v>121688</v>
      </c>
    </row>
    <row r="3984" spans="1:8" ht="13.2">
      <c r="A3984" s="454" t="s">
        <v>1659</v>
      </c>
      <c r="B3984" s="452" t="str">
        <f>VLOOKUP(A3984,'Thống kê'!$C$3:$D$669,2,0)</f>
        <v>Móc khóa Popbean Molly</v>
      </c>
      <c r="C3984" s="436" t="str">
        <f>VLOOKUP(A3984,'Thống kê'!$C$3:$E$682,3,0)</f>
        <v>cái</v>
      </c>
      <c r="D3984" s="437">
        <f>VLOOKUP(A3984,'Thống kê'!$C$3:$M$682,4,0)</f>
        <v>155000</v>
      </c>
      <c r="E3984" s="438">
        <v>1</v>
      </c>
      <c r="F3984" s="439">
        <f t="shared" si="16"/>
        <v>155000</v>
      </c>
      <c r="G3984" s="440"/>
      <c r="H3984" s="448">
        <v>110372</v>
      </c>
    </row>
    <row r="3985" spans="1:8" ht="13.2">
      <c r="A3985" s="454" t="s">
        <v>1384</v>
      </c>
      <c r="B3985" s="452" t="str">
        <f>VLOOKUP(A3985,'Thống kê'!$C$3:$D$669,2,0)</f>
        <v>Móc khoá Crybaby mini Popmart</v>
      </c>
      <c r="C3985" s="436" t="str">
        <f>VLOOKUP(A3985,'Thống kê'!$C$3:$E$682,3,0)</f>
        <v>cái</v>
      </c>
      <c r="D3985" s="437">
        <f>VLOOKUP(A3985,'Thống kê'!$C$3:$M$682,4,0)</f>
        <v>0</v>
      </c>
      <c r="E3985" s="438">
        <v>1</v>
      </c>
      <c r="F3985" s="439">
        <f t="shared" si="16"/>
        <v>0</v>
      </c>
      <c r="G3985" s="440"/>
      <c r="H3985" s="448">
        <v>121688</v>
      </c>
    </row>
    <row r="3986" spans="1:8" ht="13.2">
      <c r="A3986" s="454" t="s">
        <v>1691</v>
      </c>
      <c r="B3986" s="452">
        <f>VLOOKUP(A3986,'Thống kê'!$C$3:$D$669,2,0)</f>
        <v>0</v>
      </c>
      <c r="C3986" s="436" t="str">
        <f>VLOOKUP(A3986,'Thống kê'!$C$3:$E$682,3,0)</f>
        <v>cái</v>
      </c>
      <c r="D3986" s="437">
        <f>VLOOKUP(A3986,'Thống kê'!$C$3:$M$682,4,0)</f>
        <v>0</v>
      </c>
      <c r="E3986" s="438">
        <v>1</v>
      </c>
      <c r="F3986" s="439">
        <f t="shared" si="16"/>
        <v>0</v>
      </c>
      <c r="G3986" s="440"/>
      <c r="H3986" s="447">
        <v>40335</v>
      </c>
    </row>
    <row r="3987" spans="1:8" ht="13.2">
      <c r="A3987" s="454" t="s">
        <v>1688</v>
      </c>
      <c r="B3987" s="452">
        <f>VLOOKUP(A3987,'Thống kê'!$C$3:$D$669,2,0)</f>
        <v>0</v>
      </c>
      <c r="C3987" s="436" t="str">
        <f>VLOOKUP(A3987,'Thống kê'!$C$3:$E$682,3,0)</f>
        <v>cái</v>
      </c>
      <c r="D3987" s="437">
        <f>VLOOKUP(A3987,'Thống kê'!$C$3:$M$682,4,0)</f>
        <v>0</v>
      </c>
      <c r="E3987" s="438">
        <v>1</v>
      </c>
      <c r="F3987" s="439">
        <f t="shared" si="16"/>
        <v>0</v>
      </c>
      <c r="G3987" s="440"/>
      <c r="H3987" s="450"/>
    </row>
    <row r="3988" spans="1:8" ht="13.2">
      <c r="A3988" s="454" t="s">
        <v>1384</v>
      </c>
      <c r="B3988" s="452" t="str">
        <f>VLOOKUP(A3988,'Thống kê'!$C$3:$D$669,2,0)</f>
        <v>Móc khoá Crybaby mini Popmart</v>
      </c>
      <c r="C3988" s="436" t="str">
        <f>VLOOKUP(A3988,'Thống kê'!$C$3:$E$682,3,0)</f>
        <v>cái</v>
      </c>
      <c r="D3988" s="437">
        <f>VLOOKUP(A3988,'Thống kê'!$C$3:$M$682,4,0)</f>
        <v>0</v>
      </c>
      <c r="E3988" s="438">
        <v>1</v>
      </c>
      <c r="F3988" s="439">
        <f t="shared" si="16"/>
        <v>0</v>
      </c>
      <c r="G3988" s="440"/>
      <c r="H3988" s="448">
        <v>112340</v>
      </c>
    </row>
    <row r="3989" spans="1:8" ht="13.2">
      <c r="A3989" s="454" t="s">
        <v>258</v>
      </c>
      <c r="B3989" s="452" t="str">
        <f>VLOOKUP(A3989,'Thống kê'!$C$3:$D$669,2,0)</f>
        <v>Móc khoá Crybaby mini Popmart</v>
      </c>
      <c r="C3989" s="436" t="str">
        <f>VLOOKUP(A3989,'Thống kê'!$C$3:$E$682,3,0)</f>
        <v>cái</v>
      </c>
      <c r="D3989" s="437">
        <f>VLOOKUP(A3989,'Thống kê'!$C$3:$M$682,4,0)</f>
        <v>0</v>
      </c>
      <c r="E3989" s="438">
        <v>1</v>
      </c>
      <c r="F3989" s="439">
        <f t="shared" si="16"/>
        <v>0</v>
      </c>
      <c r="G3989" s="440"/>
      <c r="H3989" s="448">
        <v>112340</v>
      </c>
    </row>
    <row r="3990" spans="1:8" ht="13.2">
      <c r="A3990" s="454" t="s">
        <v>1351</v>
      </c>
      <c r="B3990" s="452" t="str">
        <f>VLOOKUP(A3990,'Thống kê'!$C$3:$D$669,2,0)</f>
        <v>Trang trí mô hình Heo</v>
      </c>
      <c r="C3990" s="436" t="str">
        <f>VLOOKUP(A3990,'Thống kê'!$C$3:$E$682,3,0)</f>
        <v>cái</v>
      </c>
      <c r="D3990" s="437">
        <f>VLOOKUP(A3990,'Thống kê'!$C$3:$M$682,4,0)</f>
        <v>39000</v>
      </c>
      <c r="E3990" s="438">
        <v>1</v>
      </c>
      <c r="F3990" s="439">
        <f t="shared" si="16"/>
        <v>39000</v>
      </c>
      <c r="G3990" s="440"/>
      <c r="H3990" s="447">
        <v>82969</v>
      </c>
    </row>
    <row r="3991" spans="1:8" ht="13.2">
      <c r="A3991" s="454" t="s">
        <v>1357</v>
      </c>
      <c r="B3991" s="452" t="str">
        <f>VLOOKUP(A3991,'Thống kê'!$C$3:$D$669,2,0)</f>
        <v>Trang trí mô hình Thỏ</v>
      </c>
      <c r="C3991" s="436" t="str">
        <f>VLOOKUP(A3991,'Thống kê'!$C$3:$E$682,3,0)</f>
        <v>cái</v>
      </c>
      <c r="D3991" s="437">
        <f>VLOOKUP(A3991,'Thống kê'!$C$3:$M$682,4,0)</f>
        <v>39000</v>
      </c>
      <c r="E3991" s="438">
        <v>1</v>
      </c>
      <c r="F3991" s="439">
        <f t="shared" si="16"/>
        <v>39000</v>
      </c>
      <c r="G3991" s="440"/>
      <c r="H3991" s="450"/>
    </row>
    <row r="3992" spans="1:8" ht="13.2">
      <c r="A3992" s="454" t="s">
        <v>1359</v>
      </c>
      <c r="B3992" s="452" t="str">
        <f>VLOOKUP(A3992,'Thống kê'!$C$3:$D$669,2,0)</f>
        <v>Trang trí mô hình Cún</v>
      </c>
      <c r="C3992" s="436" t="str">
        <f>VLOOKUP(A3992,'Thống kê'!$C$3:$E$682,3,0)</f>
        <v>cái</v>
      </c>
      <c r="D3992" s="437">
        <f>VLOOKUP(A3992,'Thống kê'!$C$3:$M$682,4,0)</f>
        <v>39000</v>
      </c>
      <c r="E3992" s="438">
        <v>1</v>
      </c>
      <c r="F3992" s="439">
        <f t="shared" si="16"/>
        <v>39000</v>
      </c>
      <c r="G3992" s="440"/>
      <c r="H3992" s="450"/>
    </row>
    <row r="3993" spans="1:8" ht="13.2">
      <c r="A3993" s="454" t="s">
        <v>1624</v>
      </c>
      <c r="B3993" s="452" t="str">
        <f>VLOOKUP(A3993,'Thống kê'!$C$3:$D$669,2,0)</f>
        <v>Móc khóa mèo trái tim</v>
      </c>
      <c r="C3993" s="436" t="str">
        <f>VLOOKUP(A3993,'Thống kê'!$C$3:$E$682,3,0)</f>
        <v>cái</v>
      </c>
      <c r="D3993" s="437">
        <f>VLOOKUP(A3993,'Thống kê'!$C$3:$M$682,4,0)</f>
        <v>59000</v>
      </c>
      <c r="E3993" s="438">
        <v>1</v>
      </c>
      <c r="F3993" s="439">
        <f t="shared" si="16"/>
        <v>59000</v>
      </c>
      <c r="G3993" s="440"/>
      <c r="H3993" s="448">
        <v>44310</v>
      </c>
    </row>
    <row r="3994" spans="1:8" ht="13.2">
      <c r="A3994" s="454" t="s">
        <v>119</v>
      </c>
      <c r="B3994" s="452" t="str">
        <f>VLOOKUP(A3994,'Thống kê'!$C$3:$D$669,2,0)</f>
        <v>Thỏ chạy xe gắn xe</v>
      </c>
      <c r="C3994" s="436" t="str">
        <f>VLOOKUP(A3994,'Thống kê'!$C$3:$E$682,3,0)</f>
        <v>cái</v>
      </c>
      <c r="D3994" s="437">
        <f>VLOOKUP(A3994,'Thống kê'!$C$3:$M$682,4,0)</f>
        <v>45000</v>
      </c>
      <c r="E3994" s="438">
        <v>1</v>
      </c>
      <c r="F3994" s="439">
        <f t="shared" si="16"/>
        <v>45000</v>
      </c>
      <c r="G3994" s="440"/>
      <c r="H3994" s="447">
        <v>50371</v>
      </c>
    </row>
    <row r="3995" spans="1:8" ht="13.2">
      <c r="A3995" s="454" t="s">
        <v>1691</v>
      </c>
      <c r="B3995" s="452">
        <f>VLOOKUP(A3995,'Thống kê'!$C$3:$D$669,2,0)</f>
        <v>0</v>
      </c>
      <c r="C3995" s="436" t="str">
        <f>VLOOKUP(A3995,'Thống kê'!$C$3:$E$682,3,0)</f>
        <v>cái</v>
      </c>
      <c r="D3995" s="437">
        <f>VLOOKUP(A3995,'Thống kê'!$C$3:$M$682,4,0)</f>
        <v>0</v>
      </c>
      <c r="E3995" s="438">
        <v>1</v>
      </c>
      <c r="F3995" s="439">
        <f t="shared" si="16"/>
        <v>0</v>
      </c>
      <c r="G3995" s="440"/>
      <c r="H3995" s="450"/>
    </row>
    <row r="3996" spans="1:8" ht="13.2">
      <c r="A3996" s="454" t="s">
        <v>150</v>
      </c>
      <c r="B3996" s="452" t="str">
        <f>VLOOKUP(A3996,'Thống kê'!$C$3:$D$669,2,0)</f>
        <v>Móc khóa có chuông</v>
      </c>
      <c r="C3996" s="436" t="str">
        <f>VLOOKUP(A3996,'Thống kê'!$C$3:$E$682,3,0)</f>
        <v>cái</v>
      </c>
      <c r="D3996" s="437">
        <f>VLOOKUP(A3996,'Thống kê'!$C$3:$M$682,4,0)</f>
        <v>59000</v>
      </c>
      <c r="E3996" s="438">
        <v>1</v>
      </c>
      <c r="F3996" s="439">
        <f t="shared" si="16"/>
        <v>59000</v>
      </c>
      <c r="G3996" s="440"/>
      <c r="H3996" s="447">
        <v>89243</v>
      </c>
    </row>
    <row r="3997" spans="1:8" ht="13.2">
      <c r="A3997" s="454" t="s">
        <v>1594</v>
      </c>
      <c r="B3997" s="452" t="str">
        <f>VLOOKUP(A3997,'Thống kê'!$C$3:$D$669,2,0)</f>
        <v>Móc khóa đôi heo</v>
      </c>
      <c r="C3997" s="436" t="str">
        <f>VLOOKUP(A3997,'Thống kê'!$C$3:$E$682,3,0)</f>
        <v>cái</v>
      </c>
      <c r="D3997" s="437">
        <f>VLOOKUP(A3997,'Thống kê'!$C$3:$M$682,4,0)</f>
        <v>56580</v>
      </c>
      <c r="E3997" s="438">
        <v>1</v>
      </c>
      <c r="F3997" s="439">
        <f t="shared" si="16"/>
        <v>56580</v>
      </c>
      <c r="G3997" s="440"/>
      <c r="H3997" s="450"/>
    </row>
    <row r="3998" spans="1:8" ht="13.2">
      <c r="A3998" s="454" t="s">
        <v>1375</v>
      </c>
      <c r="B3998" s="452" t="str">
        <f>VLOOKUP(A3998,'Thống kê'!$C$3:$D$669,2,0)</f>
        <v>Mô hình thần tài</v>
      </c>
      <c r="C3998" s="436" t="str">
        <f>VLOOKUP(A3998,'Thống kê'!$C$3:$E$682,3,0)</f>
        <v>cái</v>
      </c>
      <c r="D3998" s="437">
        <f>VLOOKUP(A3998,'Thống kê'!$C$3:$M$682,4,0)</f>
        <v>59800</v>
      </c>
      <c r="E3998" s="438">
        <v>1</v>
      </c>
      <c r="F3998" s="439">
        <f t="shared" si="16"/>
        <v>59800</v>
      </c>
      <c r="G3998" s="440"/>
      <c r="H3998" s="448">
        <v>44936</v>
      </c>
    </row>
    <row r="3999" spans="1:8" ht="13.2">
      <c r="A3999" s="454" t="s">
        <v>1384</v>
      </c>
      <c r="B3999" s="452" t="str">
        <f>VLOOKUP(A3999,'Thống kê'!$C$3:$D$669,2,0)</f>
        <v>Móc khoá Crybaby mini Popmart</v>
      </c>
      <c r="C3999" s="436" t="str">
        <f>VLOOKUP(A3999,'Thống kê'!$C$3:$E$682,3,0)</f>
        <v>cái</v>
      </c>
      <c r="D3999" s="437">
        <f>VLOOKUP(A3999,'Thống kê'!$C$3:$M$682,4,0)</f>
        <v>0</v>
      </c>
      <c r="E3999" s="438">
        <v>1</v>
      </c>
      <c r="F3999" s="439">
        <f t="shared" si="16"/>
        <v>0</v>
      </c>
      <c r="G3999" s="440"/>
      <c r="H3999" s="448">
        <v>111940</v>
      </c>
    </row>
    <row r="4000" spans="1:8" ht="13.2">
      <c r="A4000" s="454" t="s">
        <v>1384</v>
      </c>
      <c r="B4000" s="452" t="str">
        <f>VLOOKUP(A4000,'Thống kê'!$C$3:$D$669,2,0)</f>
        <v>Móc khoá Crybaby mini Popmart</v>
      </c>
      <c r="C4000" s="436" t="str">
        <f>VLOOKUP(A4000,'Thống kê'!$C$3:$E$682,3,0)</f>
        <v>cái</v>
      </c>
      <c r="D4000" s="437">
        <f>VLOOKUP(A4000,'Thống kê'!$C$3:$M$682,4,0)</f>
        <v>0</v>
      </c>
      <c r="E4000" s="438">
        <v>1</v>
      </c>
      <c r="F4000" s="439">
        <f t="shared" si="16"/>
        <v>0</v>
      </c>
      <c r="G4000" s="440"/>
      <c r="H4000" s="448">
        <v>112340</v>
      </c>
    </row>
    <row r="4001" spans="1:8" ht="13.2">
      <c r="A4001" s="454" t="s">
        <v>1640</v>
      </c>
      <c r="B4001" s="452" t="str">
        <f>VLOOKUP(A4001,'Thống kê'!$C$3:$D$669,2,0)</f>
        <v>Móc khóa đôi Capypara</v>
      </c>
      <c r="C4001" s="436" t="str">
        <f>VLOOKUP(A4001,'Thống kê'!$C$3:$E$682,3,0)</f>
        <v>cái</v>
      </c>
      <c r="D4001" s="437">
        <f>VLOOKUP(A4001,'Thống kê'!$C$3:$M$682,4,0)</f>
        <v>59000</v>
      </c>
      <c r="E4001" s="438">
        <v>1</v>
      </c>
      <c r="F4001" s="439">
        <f t="shared" si="16"/>
        <v>59000</v>
      </c>
      <c r="G4001" s="440"/>
      <c r="H4001" s="447">
        <v>97151</v>
      </c>
    </row>
    <row r="4002" spans="1:8" ht="13.2">
      <c r="A4002" s="454" t="s">
        <v>310</v>
      </c>
      <c r="B4002" s="452" t="str">
        <f>VLOOKUP(A4002,'Thống kê'!$C$3:$D$669,2,0)</f>
        <v>Trang trí mô hình Heo</v>
      </c>
      <c r="C4002" s="436" t="str">
        <f>VLOOKUP(A4002,'Thống kê'!$C$3:$E$682,3,0)</f>
        <v>cái</v>
      </c>
      <c r="D4002" s="437">
        <f>VLOOKUP(A4002,'Thống kê'!$C$3:$M$682,4,0)</f>
        <v>39000</v>
      </c>
      <c r="E4002" s="438">
        <v>1</v>
      </c>
      <c r="F4002" s="439">
        <f t="shared" si="16"/>
        <v>39000</v>
      </c>
      <c r="G4002" s="440"/>
      <c r="H4002" s="450"/>
    </row>
    <row r="4003" spans="1:8" ht="13.2">
      <c r="A4003" s="454" t="s">
        <v>1357</v>
      </c>
      <c r="B4003" s="452" t="str">
        <f>VLOOKUP(A4003,'Thống kê'!$C$3:$D$669,2,0)</f>
        <v>Trang trí mô hình Thỏ</v>
      </c>
      <c r="C4003" s="436" t="str">
        <f>VLOOKUP(A4003,'Thống kê'!$C$3:$E$682,3,0)</f>
        <v>cái</v>
      </c>
      <c r="D4003" s="437">
        <f>VLOOKUP(A4003,'Thống kê'!$C$3:$M$682,4,0)</f>
        <v>39000</v>
      </c>
      <c r="E4003" s="438">
        <v>1</v>
      </c>
      <c r="F4003" s="439">
        <f t="shared" si="16"/>
        <v>39000</v>
      </c>
      <c r="G4003" s="440"/>
      <c r="H4003" s="450"/>
    </row>
    <row r="4004" spans="1:8" ht="13.2">
      <c r="A4004" s="454" t="s">
        <v>258</v>
      </c>
      <c r="B4004" s="452" t="str">
        <f>VLOOKUP(A4004,'Thống kê'!$C$3:$D$669,2,0)</f>
        <v>Móc khoá Crybaby mini Popmart</v>
      </c>
      <c r="C4004" s="436" t="str">
        <f>VLOOKUP(A4004,'Thống kê'!$C$3:$E$682,3,0)</f>
        <v>cái</v>
      </c>
      <c r="D4004" s="437">
        <f>VLOOKUP(A4004,'Thống kê'!$C$3:$M$682,4,0)</f>
        <v>0</v>
      </c>
      <c r="E4004" s="438">
        <v>1</v>
      </c>
      <c r="F4004" s="439">
        <f t="shared" si="16"/>
        <v>0</v>
      </c>
      <c r="G4004" s="440"/>
      <c r="H4004" s="447">
        <v>218776</v>
      </c>
    </row>
    <row r="4005" spans="1:8" ht="13.2">
      <c r="A4005" s="454" t="s">
        <v>1384</v>
      </c>
      <c r="B4005" s="452" t="str">
        <f>VLOOKUP(A4005,'Thống kê'!$C$3:$D$669,2,0)</f>
        <v>Móc khoá Crybaby mini Popmart</v>
      </c>
      <c r="C4005" s="436" t="str">
        <f>VLOOKUP(A4005,'Thống kê'!$C$3:$E$682,3,0)</f>
        <v>cái</v>
      </c>
      <c r="D4005" s="437">
        <f>VLOOKUP(A4005,'Thống kê'!$C$3:$M$682,4,0)</f>
        <v>0</v>
      </c>
      <c r="E4005" s="438">
        <v>1</v>
      </c>
      <c r="F4005" s="439">
        <f t="shared" si="16"/>
        <v>0</v>
      </c>
      <c r="G4005" s="440"/>
      <c r="H4005" s="450"/>
    </row>
    <row r="4006" spans="1:8" ht="13.2">
      <c r="A4006" s="454" t="s">
        <v>1384</v>
      </c>
      <c r="B4006" s="452" t="str">
        <f>VLOOKUP(A4006,'Thống kê'!$C$3:$D$669,2,0)</f>
        <v>Móc khoá Crybaby mini Popmart</v>
      </c>
      <c r="C4006" s="436" t="str">
        <f>VLOOKUP(A4006,'Thống kê'!$C$3:$E$682,3,0)</f>
        <v>cái</v>
      </c>
      <c r="D4006" s="437">
        <f>VLOOKUP(A4006,'Thống kê'!$C$3:$M$682,4,0)</f>
        <v>0</v>
      </c>
      <c r="E4006" s="438">
        <v>1</v>
      </c>
      <c r="F4006" s="439">
        <f t="shared" si="16"/>
        <v>0</v>
      </c>
      <c r="G4006" s="440"/>
      <c r="H4006" s="448">
        <v>112340</v>
      </c>
    </row>
    <row r="4007" spans="1:8" ht="13.2">
      <c r="A4007" s="454" t="s">
        <v>115</v>
      </c>
      <c r="B4007" s="452" t="str">
        <f>VLOOKUP(A4007,'Thống kê'!$C$3:$D$669,2,0)</f>
        <v>Heo ú</v>
      </c>
      <c r="C4007" s="436" t="str">
        <f>VLOOKUP(A4007,'Thống kê'!$C$3:$E$682,3,0)</f>
        <v>cái</v>
      </c>
      <c r="D4007" s="437">
        <f>VLOOKUP(A4007,'Thống kê'!$C$3:$M$682,4,0)</f>
        <v>59500</v>
      </c>
      <c r="E4007" s="438">
        <v>1</v>
      </c>
      <c r="F4007" s="439">
        <f t="shared" si="16"/>
        <v>59500</v>
      </c>
      <c r="G4007" s="440"/>
      <c r="H4007" s="448">
        <v>48708</v>
      </c>
    </row>
    <row r="4008" spans="1:8" ht="13.2">
      <c r="A4008" s="454" t="s">
        <v>1594</v>
      </c>
      <c r="B4008" s="452" t="str">
        <f>VLOOKUP(A4008,'Thống kê'!$C$3:$D$669,2,0)</f>
        <v>Móc khóa đôi heo</v>
      </c>
      <c r="C4008" s="436" t="str">
        <f>VLOOKUP(A4008,'Thống kê'!$C$3:$E$682,3,0)</f>
        <v>cái</v>
      </c>
      <c r="D4008" s="437">
        <f>VLOOKUP(A4008,'Thống kê'!$C$3:$M$682,4,0)</f>
        <v>56580</v>
      </c>
      <c r="E4008" s="438">
        <v>1</v>
      </c>
      <c r="F4008" s="439">
        <f t="shared" si="16"/>
        <v>56580</v>
      </c>
      <c r="G4008" s="440"/>
      <c r="H4008" s="448">
        <v>46330</v>
      </c>
    </row>
    <row r="4009" spans="1:8" ht="13.2">
      <c r="A4009" s="454" t="s">
        <v>1640</v>
      </c>
      <c r="B4009" s="452" t="str">
        <f>VLOOKUP(A4009,'Thống kê'!$C$3:$D$669,2,0)</f>
        <v>Móc khóa đôi Capypara</v>
      </c>
      <c r="C4009" s="436" t="str">
        <f>VLOOKUP(A4009,'Thống kê'!$C$3:$E$682,3,0)</f>
        <v>cái</v>
      </c>
      <c r="D4009" s="437">
        <f>VLOOKUP(A4009,'Thống kê'!$C$3:$M$682,4,0)</f>
        <v>59000</v>
      </c>
      <c r="E4009" s="438">
        <v>1</v>
      </c>
      <c r="F4009" s="439">
        <f t="shared" si="16"/>
        <v>59000</v>
      </c>
      <c r="G4009" s="440"/>
      <c r="H4009" s="448">
        <v>40410</v>
      </c>
    </row>
    <row r="4010" spans="1:8" ht="13.2">
      <c r="A4010" s="454" t="s">
        <v>1716</v>
      </c>
      <c r="B4010" s="452" t="str">
        <f>VLOOKUP(A4010,'Thống kê'!$C$3:$D$669,2,0)</f>
        <v>Móc khóa đôi 2 quả lê có nam châm</v>
      </c>
      <c r="C4010" s="436" t="str">
        <f>VLOOKUP(A4010,'Thống kê'!$C$3:$E$682,3,0)</f>
        <v>cái</v>
      </c>
      <c r="D4010" s="437">
        <f>VLOOKUP(A4010,'Thống kê'!$C$3:$M$682,4,0)</f>
        <v>59000</v>
      </c>
      <c r="E4010" s="438">
        <v>1</v>
      </c>
      <c r="F4010" s="439">
        <f t="shared" si="16"/>
        <v>59000</v>
      </c>
      <c r="G4010" s="440"/>
      <c r="H4010" s="448">
        <v>40260</v>
      </c>
    </row>
    <row r="4011" spans="1:8" ht="13.2">
      <c r="A4011" s="454" t="s">
        <v>258</v>
      </c>
      <c r="B4011" s="452" t="str">
        <f>VLOOKUP(A4011,'Thống kê'!$C$3:$D$669,2,0)</f>
        <v>Móc khoá Crybaby mini Popmart</v>
      </c>
      <c r="C4011" s="436" t="str">
        <f>VLOOKUP(A4011,'Thống kê'!$C$3:$E$682,3,0)</f>
        <v>cái</v>
      </c>
      <c r="D4011" s="437">
        <f>VLOOKUP(A4011,'Thống kê'!$C$3:$M$682,4,0)</f>
        <v>0</v>
      </c>
      <c r="E4011" s="438">
        <v>1</v>
      </c>
      <c r="F4011" s="439">
        <f t="shared" si="16"/>
        <v>0</v>
      </c>
      <c r="G4011" s="440"/>
      <c r="H4011" s="448">
        <v>112340</v>
      </c>
    </row>
    <row r="4012" spans="1:8" ht="13.2">
      <c r="A4012" s="454" t="s">
        <v>138</v>
      </c>
      <c r="B4012" s="452" t="str">
        <f>VLOOKUP(A4012,'Thống kê'!$C$3:$D$669,2,0)</f>
        <v>Móc khoá Crybaby mini Popmart</v>
      </c>
      <c r="C4012" s="436" t="str">
        <f>VLOOKUP(A4012,'Thống kê'!$C$3:$E$682,3,0)</f>
        <v>cái</v>
      </c>
      <c r="D4012" s="437">
        <f>VLOOKUP(A4012,'Thống kê'!$C$3:$M$682,4,0)</f>
        <v>0</v>
      </c>
      <c r="E4012" s="438">
        <v>1</v>
      </c>
      <c r="F4012" s="439">
        <f t="shared" si="16"/>
        <v>0</v>
      </c>
      <c r="G4012" s="440"/>
      <c r="H4012" s="448">
        <v>112340</v>
      </c>
    </row>
    <row r="4013" spans="1:8" ht="13.2">
      <c r="A4013" s="454" t="s">
        <v>245</v>
      </c>
      <c r="B4013" s="452" t="str">
        <f>VLOOKUP(A4013,'Thống kê'!$C$3:$D$669,2,0)</f>
        <v>Móc khóa Popbean</v>
      </c>
      <c r="C4013" s="436" t="str">
        <f>VLOOKUP(A4013,'Thống kê'!$C$3:$E$682,3,0)</f>
        <v>cái</v>
      </c>
      <c r="D4013" s="437">
        <f>VLOOKUP(A4013,'Thống kê'!$C$3:$M$682,4,0)</f>
        <v>148000</v>
      </c>
      <c r="E4013" s="438">
        <v>4</v>
      </c>
      <c r="F4013" s="439">
        <f t="shared" si="16"/>
        <v>592000</v>
      </c>
      <c r="G4013" s="440"/>
      <c r="H4013" s="447">
        <v>2923000</v>
      </c>
    </row>
    <row r="4014" spans="1:8" ht="13.2">
      <c r="A4014" s="454" t="s">
        <v>1364</v>
      </c>
      <c r="B4014" s="452" t="str">
        <f>VLOOKUP(A4014,'Thống kê'!$C$3:$D$669,2,0)</f>
        <v>Móc khóa Popbean</v>
      </c>
      <c r="C4014" s="436" t="str">
        <f>VLOOKUP(A4014,'Thống kê'!$C$3:$E$682,3,0)</f>
        <v>cái</v>
      </c>
      <c r="D4014" s="437">
        <f>VLOOKUP(A4014,'Thống kê'!$C$3:$M$682,4,0)</f>
        <v>148000</v>
      </c>
      <c r="E4014" s="438">
        <v>4</v>
      </c>
      <c r="F4014" s="439">
        <f t="shared" si="16"/>
        <v>592000</v>
      </c>
      <c r="G4014" s="440"/>
      <c r="H4014" s="450"/>
    </row>
    <row r="4015" spans="1:8" ht="13.2">
      <c r="A4015" s="454" t="s">
        <v>1660</v>
      </c>
      <c r="B4015" s="452" t="str">
        <f>VLOOKUP(A4015,'Thống kê'!$C$3:$D$669,2,0)</f>
        <v>Móc khóa Popbean Skull Panda</v>
      </c>
      <c r="C4015" s="436" t="str">
        <f>VLOOKUP(A4015,'Thống kê'!$C$3:$E$682,3,0)</f>
        <v>cái</v>
      </c>
      <c r="D4015" s="437">
        <f>VLOOKUP(A4015,'Thống kê'!$C$3:$M$682,4,0)</f>
        <v>155000</v>
      </c>
      <c r="E4015" s="438">
        <v>4</v>
      </c>
      <c r="F4015" s="439">
        <f t="shared" si="16"/>
        <v>620000</v>
      </c>
      <c r="G4015" s="440"/>
      <c r="H4015" s="450"/>
    </row>
    <row r="4016" spans="1:8" ht="13.2">
      <c r="A4016" s="454" t="s">
        <v>1687</v>
      </c>
      <c r="B4016" s="452">
        <f>VLOOKUP(A4016,'Thống kê'!$C$3:$D$669,2,0)</f>
        <v>0</v>
      </c>
      <c r="C4016" s="436">
        <f>VLOOKUP(A4016,'Thống kê'!$C$3:$E$682,3,0)</f>
        <v>0</v>
      </c>
      <c r="D4016" s="437">
        <f>VLOOKUP(A4016,'Thống kê'!$C$3:$M$682,4,0)</f>
        <v>0</v>
      </c>
      <c r="E4016" s="438">
        <v>2</v>
      </c>
      <c r="F4016" s="439">
        <f t="shared" si="16"/>
        <v>0</v>
      </c>
      <c r="G4016" s="440"/>
      <c r="H4016" s="450"/>
    </row>
    <row r="4017" spans="1:8" ht="13.2">
      <c r="A4017" s="454" t="s">
        <v>1703</v>
      </c>
      <c r="B4017" s="452">
        <f>VLOOKUP(A4017,'Thống kê'!$C$3:$D$669,2,0)</f>
        <v>0</v>
      </c>
      <c r="C4017" s="436">
        <f>VLOOKUP(A4017,'Thống kê'!$C$3:$E$682,3,0)</f>
        <v>0</v>
      </c>
      <c r="D4017" s="437">
        <f>VLOOKUP(A4017,'Thống kê'!$C$3:$M$682,4,0)</f>
        <v>0</v>
      </c>
      <c r="E4017" s="438">
        <v>1</v>
      </c>
      <c r="F4017" s="439">
        <f t="shared" si="16"/>
        <v>0</v>
      </c>
      <c r="G4017" s="440"/>
      <c r="H4017" s="450"/>
    </row>
    <row r="4018" spans="1:8" ht="13.2">
      <c r="A4018" s="454" t="s">
        <v>1369</v>
      </c>
      <c r="B4018" s="452" t="str">
        <f>VLOOKUP(A4018,'Thống kê'!$C$3:$D$669,2,0)</f>
        <v>Móc khóa Popbean</v>
      </c>
      <c r="C4018" s="436" t="str">
        <f>VLOOKUP(A4018,'Thống kê'!$C$3:$E$682,3,0)</f>
        <v>cái</v>
      </c>
      <c r="D4018" s="437">
        <f>VLOOKUP(A4018,'Thống kê'!$C$3:$M$682,4,0)</f>
        <v>148000</v>
      </c>
      <c r="E4018" s="438">
        <v>1</v>
      </c>
      <c r="F4018" s="439">
        <f t="shared" si="16"/>
        <v>148000</v>
      </c>
      <c r="G4018" s="440"/>
      <c r="H4018" s="450"/>
    </row>
    <row r="4019" spans="1:8" ht="13.2">
      <c r="A4019" s="454" t="s">
        <v>165</v>
      </c>
      <c r="B4019" s="452" t="str">
        <f>VLOOKUP(A4019,'Thống kê'!$C$3:$D$669,2,0)</f>
        <v>Móc khóa Popbean</v>
      </c>
      <c r="C4019" s="436" t="str">
        <f>VLOOKUP(A4019,'Thống kê'!$C$3:$E$682,3,0)</f>
        <v>cái</v>
      </c>
      <c r="D4019" s="437">
        <f>VLOOKUP(A4019,'Thống kê'!$C$3:$M$682,4,0)</f>
        <v>148000</v>
      </c>
      <c r="E4019" s="438">
        <v>2</v>
      </c>
      <c r="F4019" s="439">
        <f t="shared" si="16"/>
        <v>296000</v>
      </c>
      <c r="G4019" s="440"/>
      <c r="H4019" s="450"/>
    </row>
    <row r="4020" spans="1:8" ht="13.2">
      <c r="A4020" s="454" t="s">
        <v>1366</v>
      </c>
      <c r="B4020" s="452" t="str">
        <f>VLOOKUP(A4020,'Thống kê'!$C$3:$D$669,2,0)</f>
        <v>Móc khóa Popbean</v>
      </c>
      <c r="C4020" s="436" t="str">
        <f>VLOOKUP(A4020,'Thống kê'!$C$3:$E$682,3,0)</f>
        <v>cái</v>
      </c>
      <c r="D4020" s="437">
        <f>VLOOKUP(A4020,'Thống kê'!$C$3:$M$682,4,0)</f>
        <v>148000</v>
      </c>
      <c r="E4020" s="438">
        <v>2</v>
      </c>
      <c r="F4020" s="439">
        <f t="shared" si="16"/>
        <v>296000</v>
      </c>
      <c r="G4020" s="440"/>
      <c r="H4020" s="450"/>
    </row>
    <row r="4021" spans="1:8" ht="13.2">
      <c r="A4021" s="454" t="s">
        <v>1659</v>
      </c>
      <c r="B4021" s="452" t="str">
        <f>VLOOKUP(A4021,'Thống kê'!$C$3:$D$669,2,0)</f>
        <v>Móc khóa Popbean Molly</v>
      </c>
      <c r="C4021" s="436" t="str">
        <f>VLOOKUP(A4021,'Thống kê'!$C$3:$E$682,3,0)</f>
        <v>cái</v>
      </c>
      <c r="D4021" s="437">
        <f>VLOOKUP(A4021,'Thống kê'!$C$3:$M$682,4,0)</f>
        <v>155000</v>
      </c>
      <c r="E4021" s="438">
        <v>2</v>
      </c>
      <c r="F4021" s="439">
        <f t="shared" si="16"/>
        <v>310000</v>
      </c>
      <c r="G4021" s="440"/>
      <c r="H4021" s="450"/>
    </row>
    <row r="4022" spans="1:8" ht="13.2">
      <c r="A4022" s="454" t="s">
        <v>1365</v>
      </c>
      <c r="B4022" s="452" t="str">
        <f>VLOOKUP(A4022,'Thống kê'!$C$3:$D$669,2,0)</f>
        <v>Móc khóa Popbean</v>
      </c>
      <c r="C4022" s="436" t="str">
        <f>VLOOKUP(A4022,'Thống kê'!$C$3:$E$682,3,0)</f>
        <v>cái</v>
      </c>
      <c r="D4022" s="437">
        <f>VLOOKUP(A4022,'Thống kê'!$C$3:$M$682,4,0)</f>
        <v>148000</v>
      </c>
      <c r="E4022" s="438">
        <v>1</v>
      </c>
      <c r="F4022" s="439">
        <f t="shared" si="16"/>
        <v>148000</v>
      </c>
      <c r="G4022" s="440"/>
      <c r="H4022" s="450"/>
    </row>
    <row r="4023" spans="1:8" ht="13.2">
      <c r="A4023" s="454" t="s">
        <v>1368</v>
      </c>
      <c r="B4023" s="452" t="str">
        <f>VLOOKUP(A4023,'Thống kê'!$C$3:$D$669,2,0)</f>
        <v>Móc khóa Popbean</v>
      </c>
      <c r="C4023" s="436" t="str">
        <f>VLOOKUP(A4023,'Thống kê'!$C$3:$E$682,3,0)</f>
        <v>cái</v>
      </c>
      <c r="D4023" s="437">
        <f>VLOOKUP(A4023,'Thống kê'!$C$3:$M$682,4,0)</f>
        <v>148000</v>
      </c>
      <c r="E4023" s="438">
        <v>1</v>
      </c>
      <c r="F4023" s="439">
        <f t="shared" si="16"/>
        <v>148000</v>
      </c>
      <c r="G4023" s="440"/>
      <c r="H4023" s="450"/>
    </row>
    <row r="4024" spans="1:8" ht="13.2">
      <c r="A4024" s="454" t="s">
        <v>1390</v>
      </c>
      <c r="B4024" s="452" t="str">
        <f>VLOOKUP(A4024,'Thống kê'!$C$3:$D$669,2,0)</f>
        <v>Móc khoá Labubu mini Popmart</v>
      </c>
      <c r="C4024" s="436" t="str">
        <f>VLOOKUP(A4024,'Thống kê'!$C$3:$E$682,3,0)</f>
        <v>cái</v>
      </c>
      <c r="D4024" s="437">
        <f>VLOOKUP(A4024,'Thống kê'!$C$3:$M$682,4,0)</f>
        <v>0</v>
      </c>
      <c r="E4024" s="438">
        <v>1</v>
      </c>
      <c r="F4024" s="439">
        <f t="shared" si="16"/>
        <v>0</v>
      </c>
      <c r="G4024" s="440"/>
      <c r="H4024" s="448">
        <v>92421</v>
      </c>
    </row>
    <row r="4025" spans="1:8" ht="13.2">
      <c r="A4025" s="454" t="s">
        <v>150</v>
      </c>
      <c r="B4025" s="452" t="str">
        <f>VLOOKUP(A4025,'Thống kê'!$C$3:$D$669,2,0)</f>
        <v>Móc khóa có chuông</v>
      </c>
      <c r="C4025" s="436" t="str">
        <f>VLOOKUP(A4025,'Thống kê'!$C$3:$E$682,3,0)</f>
        <v>cái</v>
      </c>
      <c r="D4025" s="437">
        <f>VLOOKUP(A4025,'Thống kê'!$C$3:$M$682,4,0)</f>
        <v>59000</v>
      </c>
      <c r="E4025" s="438">
        <v>1</v>
      </c>
      <c r="F4025" s="439">
        <f t="shared" si="16"/>
        <v>59000</v>
      </c>
      <c r="G4025" s="440"/>
      <c r="H4025" s="448">
        <v>40410</v>
      </c>
    </row>
    <row r="4026" spans="1:8" ht="13.2">
      <c r="A4026" s="454" t="s">
        <v>2043</v>
      </c>
      <c r="B4026" s="452" t="str">
        <f>VLOOKUP(A4026,'Thống kê'!$C$3:$D$669,2,0)</f>
        <v>Ống 50 dây cột tóc đen be nâu</v>
      </c>
      <c r="C4026" s="436" t="str">
        <f>VLOOKUP(A4026,'Thống kê'!$C$3:$E$682,3,0)</f>
        <v>ống</v>
      </c>
      <c r="D4026" s="437">
        <f>VLOOKUP(A4026,'Thống kê'!$C$3:$M$682,4,0)</f>
        <v>23000</v>
      </c>
      <c r="E4026" s="438">
        <v>1</v>
      </c>
      <c r="F4026" s="439">
        <f t="shared" si="16"/>
        <v>23000</v>
      </c>
      <c r="G4026" s="440"/>
      <c r="H4026" s="447">
        <v>132542</v>
      </c>
    </row>
    <row r="4027" spans="1:8" ht="13.2">
      <c r="A4027" s="454" t="s">
        <v>1384</v>
      </c>
      <c r="B4027" s="452" t="str">
        <f>VLOOKUP(A4027,'Thống kê'!$C$3:$D$669,2,0)</f>
        <v>Móc khoá Crybaby mini Popmart</v>
      </c>
      <c r="C4027" s="436" t="str">
        <f>VLOOKUP(A4027,'Thống kê'!$C$3:$E$682,3,0)</f>
        <v>cái</v>
      </c>
      <c r="D4027" s="437">
        <f>VLOOKUP(A4027,'Thống kê'!$C$3:$M$682,4,0)</f>
        <v>0</v>
      </c>
      <c r="E4027" s="438">
        <v>1</v>
      </c>
      <c r="F4027" s="439">
        <f t="shared" si="16"/>
        <v>0</v>
      </c>
      <c r="G4027" s="440"/>
      <c r="H4027" s="450"/>
    </row>
    <row r="4028" spans="1:8" ht="13.2">
      <c r="A4028" s="454" t="s">
        <v>1387</v>
      </c>
      <c r="B4028" s="452" t="str">
        <f>VLOOKUP(A4028,'Thống kê'!$C$3:$D$669,2,0)</f>
        <v>Móc khoá Crybaby mini Popmart</v>
      </c>
      <c r="C4028" s="436" t="str">
        <f>VLOOKUP(A4028,'Thống kê'!$C$3:$E$682,3,0)</f>
        <v>cái</v>
      </c>
      <c r="D4028" s="437">
        <f>VLOOKUP(A4028,'Thống kê'!$C$3:$M$682,4,0)</f>
        <v>0</v>
      </c>
      <c r="E4028" s="438">
        <v>2</v>
      </c>
      <c r="F4028" s="439">
        <f t="shared" si="16"/>
        <v>0</v>
      </c>
      <c r="G4028" s="440"/>
      <c r="H4028" s="448">
        <v>217951</v>
      </c>
    </row>
    <row r="4029" spans="1:8" ht="13.2">
      <c r="A4029" s="454" t="s">
        <v>138</v>
      </c>
      <c r="B4029" s="452" t="str">
        <f>VLOOKUP(A4029,'Thống kê'!$C$3:$D$669,2,0)</f>
        <v>Móc khoá Crybaby mini Popmart</v>
      </c>
      <c r="C4029" s="436" t="str">
        <f>VLOOKUP(A4029,'Thống kê'!$C$3:$E$682,3,0)</f>
        <v>cái</v>
      </c>
      <c r="D4029" s="437">
        <f>VLOOKUP(A4029,'Thống kê'!$C$3:$M$682,4,0)</f>
        <v>0</v>
      </c>
      <c r="E4029" s="438">
        <v>1</v>
      </c>
      <c r="F4029" s="439">
        <f t="shared" si="16"/>
        <v>0</v>
      </c>
      <c r="G4029" s="440"/>
      <c r="H4029" s="448">
        <v>217951</v>
      </c>
    </row>
    <row r="4030" spans="1:8" ht="13.2">
      <c r="A4030" s="454" t="s">
        <v>1371</v>
      </c>
      <c r="B4030" s="452" t="str">
        <f>VLOOKUP(A4030,'Thống kê'!$C$3:$D$669,2,0)</f>
        <v>Móc khóa Popbean</v>
      </c>
      <c r="C4030" s="436" t="str">
        <f>VLOOKUP(A4030,'Thống kê'!$C$3:$E$682,3,0)</f>
        <v>cái</v>
      </c>
      <c r="D4030" s="437">
        <f>VLOOKUP(A4030,'Thống kê'!$C$3:$M$682,4,0)</f>
        <v>148000</v>
      </c>
      <c r="E4030" s="438">
        <v>4</v>
      </c>
      <c r="F4030" s="439">
        <f t="shared" si="16"/>
        <v>592000</v>
      </c>
      <c r="G4030" s="440"/>
      <c r="H4030" s="448">
        <v>496095</v>
      </c>
    </row>
    <row r="4031" spans="1:8" ht="13.2">
      <c r="A4031" s="454" t="s">
        <v>119</v>
      </c>
      <c r="B4031" s="452" t="str">
        <f>VLOOKUP(A4031,'Thống kê'!$C$3:$D$669,2,0)</f>
        <v>Thỏ chạy xe gắn xe</v>
      </c>
      <c r="C4031" s="436" t="str">
        <f>VLOOKUP(A4031,'Thống kê'!$C$3:$E$682,3,0)</f>
        <v>cái</v>
      </c>
      <c r="D4031" s="437">
        <f>VLOOKUP(A4031,'Thống kê'!$C$3:$M$682,4,0)</f>
        <v>45000</v>
      </c>
      <c r="E4031" s="438">
        <v>1</v>
      </c>
      <c r="F4031" s="439">
        <f t="shared" si="16"/>
        <v>45000</v>
      </c>
      <c r="G4031" s="440"/>
      <c r="H4031" s="447">
        <v>43428</v>
      </c>
    </row>
    <row r="4032" spans="1:8" ht="13.2">
      <c r="A4032" s="454" t="s">
        <v>1913</v>
      </c>
      <c r="B4032" s="452" t="str">
        <f>VLOOKUP(A4032,'Thống kê'!$C$3:$D$669,2,0)</f>
        <v>Kẹp càng cua lông hình gấu nâu gấu trắng</v>
      </c>
      <c r="C4032" s="436" t="str">
        <f>VLOOKUP(A4032,'Thống kê'!$C$3:$E$682,3,0)</f>
        <v>cái</v>
      </c>
      <c r="D4032" s="437">
        <f>VLOOKUP(A4032,'Thống kê'!$C$3:$M$682,4,0)</f>
        <v>18000</v>
      </c>
      <c r="E4032" s="438">
        <v>1</v>
      </c>
      <c r="F4032" s="439">
        <f t="shared" si="16"/>
        <v>18000</v>
      </c>
      <c r="G4032" s="440"/>
      <c r="H4032" s="450"/>
    </row>
    <row r="4033" spans="1:8" ht="13.2">
      <c r="A4033" s="454" t="s">
        <v>1591</v>
      </c>
      <c r="B4033" s="452" t="str">
        <f>VLOOKUP(A4033,'Thống kê'!$C$3:$D$669,2,0)</f>
        <v>Thỏ ú</v>
      </c>
      <c r="C4033" s="436" t="str">
        <f>VLOOKUP(A4033,'Thống kê'!$C$3:$E$682,3,0)</f>
        <v>cái</v>
      </c>
      <c r="D4033" s="437">
        <f>VLOOKUP(A4033,'Thống kê'!$C$3:$M$682,4,0)</f>
        <v>59500</v>
      </c>
      <c r="E4033" s="438">
        <v>1</v>
      </c>
      <c r="F4033" s="439">
        <f t="shared" si="16"/>
        <v>59500</v>
      </c>
      <c r="G4033" s="440"/>
      <c r="H4033" s="448">
        <v>48708</v>
      </c>
    </row>
    <row r="4034" spans="1:8" ht="13.2">
      <c r="A4034" s="454" t="s">
        <v>1648</v>
      </c>
      <c r="B4034" s="452" t="str">
        <f>VLOOKUP(A4034,'Thống kê'!$C$3:$D$669,2,0)</f>
        <v>Túi chườm bụng thỏ và dứa 1000ml</v>
      </c>
      <c r="C4034" s="436" t="str">
        <f>VLOOKUP(A4034,'Thống kê'!$C$3:$E$682,3,0)</f>
        <v>túi</v>
      </c>
      <c r="D4034" s="437">
        <f>VLOOKUP(A4034,'Thống kê'!$C$3:$M$682,4,0)</f>
        <v>101500</v>
      </c>
      <c r="E4034" s="438">
        <v>1</v>
      </c>
      <c r="F4034" s="439">
        <f t="shared" si="16"/>
        <v>101500</v>
      </c>
      <c r="G4034" s="440"/>
      <c r="H4034" s="448">
        <v>84387</v>
      </c>
    </row>
    <row r="4035" spans="1:8" ht="13.2">
      <c r="A4035" s="454" t="s">
        <v>1661</v>
      </c>
      <c r="B4035" s="452" t="str">
        <f>VLOOKUP(A4035,'Thống kê'!$C$3:$D$669,2,0)</f>
        <v>Móc khóa Popbean Kubo</v>
      </c>
      <c r="C4035" s="436" t="str">
        <f>VLOOKUP(A4035,'Thống kê'!$C$3:$E$682,3,0)</f>
        <v>cái</v>
      </c>
      <c r="D4035" s="437">
        <f>VLOOKUP(A4035,'Thống kê'!$C$3:$M$682,4,0)</f>
        <v>148000</v>
      </c>
      <c r="E4035" s="438">
        <v>1</v>
      </c>
      <c r="F4035" s="439">
        <f t="shared" si="16"/>
        <v>148000</v>
      </c>
      <c r="G4035" s="440"/>
      <c r="H4035" s="448">
        <v>105092</v>
      </c>
    </row>
    <row r="4036" spans="1:8" ht="13.2">
      <c r="A4036" s="454" t="s">
        <v>1387</v>
      </c>
      <c r="B4036" s="452" t="str">
        <f>VLOOKUP(A4036,'Thống kê'!$C$3:$D$669,2,0)</f>
        <v>Móc khoá Crybaby mini Popmart</v>
      </c>
      <c r="C4036" s="436" t="str">
        <f>VLOOKUP(A4036,'Thống kê'!$C$3:$E$682,3,0)</f>
        <v>cái</v>
      </c>
      <c r="D4036" s="437">
        <f>VLOOKUP(A4036,'Thống kê'!$C$3:$M$682,4,0)</f>
        <v>0</v>
      </c>
      <c r="E4036" s="438">
        <v>1</v>
      </c>
      <c r="F4036" s="439">
        <f t="shared" si="16"/>
        <v>0</v>
      </c>
      <c r="G4036" s="440"/>
      <c r="H4036" s="447">
        <v>218776</v>
      </c>
    </row>
    <row r="4037" spans="1:8" ht="13.2">
      <c r="A4037" s="454" t="s">
        <v>1389</v>
      </c>
      <c r="B4037" s="452" t="str">
        <f>VLOOKUP(A4037,'Thống kê'!$C$3:$D$669,2,0)</f>
        <v>Móc khoá Crybaby mini Popmart</v>
      </c>
      <c r="C4037" s="436" t="str">
        <f>VLOOKUP(A4037,'Thống kê'!$C$3:$E$682,3,0)</f>
        <v>cái</v>
      </c>
      <c r="D4037" s="437">
        <f>VLOOKUP(A4037,'Thống kê'!$C$3:$M$682,4,0)</f>
        <v>0</v>
      </c>
      <c r="E4037" s="438">
        <v>1</v>
      </c>
      <c r="F4037" s="439">
        <f t="shared" si="16"/>
        <v>0</v>
      </c>
      <c r="G4037" s="440"/>
      <c r="H4037" s="450"/>
    </row>
    <row r="4038" spans="1:8" ht="13.2">
      <c r="A4038" s="454" t="s">
        <v>170</v>
      </c>
      <c r="B4038" s="452" t="str">
        <f>VLOOKUP(A4038,'Thống kê'!$C$3:$D$669,2,0)</f>
        <v>Móc khóa chuối</v>
      </c>
      <c r="C4038" s="436" t="str">
        <f>VLOOKUP(A4038,'Thống kê'!$C$3:$E$682,3,0)</f>
        <v>cái</v>
      </c>
      <c r="D4038" s="437">
        <f>VLOOKUP(A4038,'Thống kê'!$C$3:$M$682,4,0)</f>
        <v>148000</v>
      </c>
      <c r="E4038" s="438">
        <v>1</v>
      </c>
      <c r="F4038" s="439">
        <f t="shared" si="16"/>
        <v>148000</v>
      </c>
      <c r="G4038" s="440"/>
      <c r="H4038" s="447">
        <v>81396</v>
      </c>
    </row>
    <row r="4039" spans="1:8" ht="13.2">
      <c r="A4039" s="454" t="s">
        <v>1605</v>
      </c>
      <c r="B4039" s="452" t="str">
        <f>VLOOKUP(A4039,'Thống kê'!$C$3:$D$669,2,0)</f>
        <v>Thước dây xanh</v>
      </c>
      <c r="C4039" s="436" t="str">
        <f>VLOOKUP(A4039,'Thống kê'!$C$3:$E$682,3,0)</f>
        <v>cái</v>
      </c>
      <c r="D4039" s="437">
        <f>VLOOKUP(A4039,'Thống kê'!$C$3:$M$682,4,0)</f>
        <v>9000</v>
      </c>
      <c r="E4039" s="438">
        <v>1</v>
      </c>
      <c r="F4039" s="439">
        <f t="shared" si="16"/>
        <v>9000</v>
      </c>
      <c r="G4039" s="440"/>
      <c r="H4039" s="450"/>
    </row>
    <row r="4040" spans="1:8" ht="13.2">
      <c r="A4040" s="454" t="s">
        <v>1835</v>
      </c>
      <c r="B4040" s="452" t="str">
        <f>VLOOKUP(A4040,'Thống kê'!$C$3:$D$669,2,0)</f>
        <v>Móc khoá cún Chanh vàng</v>
      </c>
      <c r="C4040" s="436" t="str">
        <f>VLOOKUP(A4040,'Thống kê'!$C$3:$E$682,3,0)</f>
        <v>cái</v>
      </c>
      <c r="D4040" s="437">
        <f>VLOOKUP(A4040,'Thống kê'!$C$3:$M$682,4,0)</f>
        <v>38000</v>
      </c>
      <c r="E4040" s="438">
        <v>1</v>
      </c>
      <c r="F4040" s="439">
        <f t="shared" si="16"/>
        <v>38000</v>
      </c>
      <c r="G4040" s="440"/>
      <c r="H4040" s="447">
        <v>100930</v>
      </c>
    </row>
    <row r="4041" spans="1:8" ht="13.2">
      <c r="A4041" s="454" t="s">
        <v>1805</v>
      </c>
      <c r="B4041" s="452" t="str">
        <f>VLOOKUP(A4041,'Thống kê'!$C$3:$D$669,2,0)</f>
        <v>Móc khoá cún Dưa hấu</v>
      </c>
      <c r="C4041" s="436" t="str">
        <f>VLOOKUP(A4041,'Thống kê'!$C$3:$E$682,3,0)</f>
        <v>cái</v>
      </c>
      <c r="D4041" s="437">
        <f>VLOOKUP(A4041,'Thống kê'!$C$3:$M$682,4,0)</f>
        <v>38000</v>
      </c>
      <c r="E4041" s="438">
        <v>1</v>
      </c>
      <c r="F4041" s="439">
        <f t="shared" si="16"/>
        <v>38000</v>
      </c>
      <c r="G4041" s="440"/>
      <c r="H4041" s="450"/>
    </row>
    <row r="4042" spans="1:8" ht="13.2">
      <c r="A4042" s="454" t="s">
        <v>1359</v>
      </c>
      <c r="B4042" s="452" t="str">
        <f>VLOOKUP(A4042,'Thống kê'!$C$3:$D$669,2,0)</f>
        <v>Trang trí mô hình Cún</v>
      </c>
      <c r="C4042" s="436" t="str">
        <f>VLOOKUP(A4042,'Thống kê'!$C$3:$E$682,3,0)</f>
        <v>cái</v>
      </c>
      <c r="D4042" s="437">
        <f>VLOOKUP(A4042,'Thống kê'!$C$3:$M$682,4,0)</f>
        <v>39000</v>
      </c>
      <c r="E4042" s="438">
        <v>1</v>
      </c>
      <c r="F4042" s="439">
        <f t="shared" si="16"/>
        <v>39000</v>
      </c>
      <c r="G4042" s="440"/>
      <c r="H4042" s="450"/>
    </row>
    <row r="4043" spans="1:8" ht="13.2">
      <c r="A4043" s="454" t="s">
        <v>1691</v>
      </c>
      <c r="B4043" s="452">
        <f>VLOOKUP(A4043,'Thống kê'!$C$3:$D$669,2,0)</f>
        <v>0</v>
      </c>
      <c r="C4043" s="436" t="str">
        <f>VLOOKUP(A4043,'Thống kê'!$C$3:$E$682,3,0)</f>
        <v>cái</v>
      </c>
      <c r="D4043" s="437">
        <f>VLOOKUP(A4043,'Thống kê'!$C$3:$M$682,4,0)</f>
        <v>0</v>
      </c>
      <c r="E4043" s="438">
        <v>1</v>
      </c>
      <c r="F4043" s="439">
        <f t="shared" si="16"/>
        <v>0</v>
      </c>
      <c r="G4043" s="440"/>
      <c r="H4043" s="450"/>
    </row>
    <row r="4044" spans="1:8" ht="13.2">
      <c r="A4044" s="454" t="s">
        <v>138</v>
      </c>
      <c r="B4044" s="452" t="str">
        <f>VLOOKUP(A4044,'Thống kê'!$C$3:$D$669,2,0)</f>
        <v>Móc khoá Crybaby mini Popmart</v>
      </c>
      <c r="C4044" s="436" t="str">
        <f>VLOOKUP(A4044,'Thống kê'!$C$3:$E$682,3,0)</f>
        <v>cái</v>
      </c>
      <c r="D4044" s="437">
        <f>VLOOKUP(A4044,'Thống kê'!$C$3:$M$682,4,0)</f>
        <v>0</v>
      </c>
      <c r="E4044" s="438">
        <v>1</v>
      </c>
      <c r="F4044" s="439">
        <f t="shared" si="16"/>
        <v>0</v>
      </c>
      <c r="G4044" s="440"/>
      <c r="H4044" s="448">
        <v>112340</v>
      </c>
    </row>
    <row r="4045" spans="1:8" ht="13.2">
      <c r="A4045" s="454" t="s">
        <v>1353</v>
      </c>
      <c r="B4045" s="452" t="str">
        <f>VLOOKUP(A4045,'Thống kê'!$C$3:$D$669,2,0)</f>
        <v>Trang trí mô hình Vịt</v>
      </c>
      <c r="C4045" s="436" t="str">
        <f>VLOOKUP(A4045,'Thống kê'!$C$3:$E$682,3,0)</f>
        <v>cái</v>
      </c>
      <c r="D4045" s="437">
        <f>VLOOKUP(A4045,'Thống kê'!$C$3:$M$682,4,0)</f>
        <v>39000</v>
      </c>
      <c r="E4045" s="438">
        <v>1</v>
      </c>
      <c r="F4045" s="439">
        <f t="shared" si="16"/>
        <v>39000</v>
      </c>
      <c r="G4045" s="440"/>
      <c r="H4045" s="447">
        <v>301464</v>
      </c>
    </row>
    <row r="4046" spans="1:8" ht="13.2">
      <c r="A4046" s="454" t="s">
        <v>1357</v>
      </c>
      <c r="B4046" s="452" t="str">
        <f>VLOOKUP(A4046,'Thống kê'!$C$3:$D$669,2,0)</f>
        <v>Trang trí mô hình Thỏ</v>
      </c>
      <c r="C4046" s="436" t="str">
        <f>VLOOKUP(A4046,'Thống kê'!$C$3:$E$682,3,0)</f>
        <v>cái</v>
      </c>
      <c r="D4046" s="437">
        <f>VLOOKUP(A4046,'Thống kê'!$C$3:$M$682,4,0)</f>
        <v>39000</v>
      </c>
      <c r="E4046" s="438">
        <v>2</v>
      </c>
      <c r="F4046" s="439">
        <f t="shared" si="16"/>
        <v>78000</v>
      </c>
      <c r="G4046" s="440"/>
      <c r="H4046" s="450"/>
    </row>
    <row r="4047" spans="1:8" ht="13.2">
      <c r="A4047" s="454" t="s">
        <v>230</v>
      </c>
      <c r="B4047" s="452" t="str">
        <f>VLOOKUP(A4047,'Thống kê'!$C$3:$D$669,2,0)</f>
        <v>Móc khoá Crybaby mini Popmart</v>
      </c>
      <c r="C4047" s="436" t="str">
        <f>VLOOKUP(A4047,'Thống kê'!$C$3:$E$682,3,0)</f>
        <v>cái</v>
      </c>
      <c r="D4047" s="437">
        <f>VLOOKUP(A4047,'Thống kê'!$C$3:$M$682,4,0)</f>
        <v>0</v>
      </c>
      <c r="E4047" s="438">
        <v>1</v>
      </c>
      <c r="F4047" s="439">
        <f t="shared" si="16"/>
        <v>0</v>
      </c>
      <c r="G4047" s="440"/>
      <c r="H4047" s="450"/>
    </row>
    <row r="4048" spans="1:8" ht="13.2">
      <c r="A4048" s="454" t="s">
        <v>138</v>
      </c>
      <c r="B4048" s="452" t="str">
        <f>VLOOKUP(A4048,'Thống kê'!$C$3:$D$669,2,0)</f>
        <v>Móc khoá Crybaby mini Popmart</v>
      </c>
      <c r="C4048" s="436" t="str">
        <f>VLOOKUP(A4048,'Thống kê'!$C$3:$E$682,3,0)</f>
        <v>cái</v>
      </c>
      <c r="D4048" s="437">
        <f>VLOOKUP(A4048,'Thống kê'!$C$3:$M$682,4,0)</f>
        <v>0</v>
      </c>
      <c r="E4048" s="438">
        <v>1</v>
      </c>
      <c r="F4048" s="439">
        <f t="shared" si="16"/>
        <v>0</v>
      </c>
      <c r="G4048" s="440"/>
      <c r="H4048" s="450"/>
    </row>
    <row r="4049" spans="1:8" ht="13.2">
      <c r="A4049" s="454" t="s">
        <v>1589</v>
      </c>
      <c r="B4049" s="452" t="str">
        <f>VLOOKUP(A4049,'Thống kê'!$C$3:$D$669,2,0)</f>
        <v>Heo ú bay</v>
      </c>
      <c r="C4049" s="436" t="str">
        <f>VLOOKUP(A4049,'Thống kê'!$C$3:$E$682,3,0)</f>
        <v>cái</v>
      </c>
      <c r="D4049" s="437">
        <f>VLOOKUP(A4049,'Thống kê'!$C$3:$M$682,4,0)</f>
        <v>64500</v>
      </c>
      <c r="E4049" s="438">
        <v>1</v>
      </c>
      <c r="F4049" s="439">
        <f t="shared" si="16"/>
        <v>64500</v>
      </c>
      <c r="G4049" s="440"/>
      <c r="H4049" s="448">
        <v>63824</v>
      </c>
    </row>
    <row r="4050" spans="1:8" ht="13.2">
      <c r="A4050" s="454" t="s">
        <v>115</v>
      </c>
      <c r="B4050" s="452" t="str">
        <f>VLOOKUP(A4050,'Thống kê'!$C$3:$D$669,2,0)</f>
        <v>Heo ú</v>
      </c>
      <c r="C4050" s="436" t="str">
        <f>VLOOKUP(A4050,'Thống kê'!$C$3:$E$682,3,0)</f>
        <v>cái</v>
      </c>
      <c r="D4050" s="437">
        <f>VLOOKUP(A4050,'Thống kê'!$C$3:$M$682,4,0)</f>
        <v>59500</v>
      </c>
      <c r="E4050" s="438">
        <v>1</v>
      </c>
      <c r="F4050" s="439">
        <f t="shared" si="16"/>
        <v>59500</v>
      </c>
      <c r="G4050" s="440"/>
      <c r="H4050" s="447">
        <v>99279</v>
      </c>
    </row>
    <row r="4051" spans="1:8" ht="13.2">
      <c r="A4051" s="454" t="s">
        <v>1591</v>
      </c>
      <c r="B4051" s="452" t="str">
        <f>VLOOKUP(A4051,'Thống kê'!$C$3:$D$669,2,0)</f>
        <v>Thỏ ú</v>
      </c>
      <c r="C4051" s="436" t="str">
        <f>VLOOKUP(A4051,'Thống kê'!$C$3:$E$682,3,0)</f>
        <v>cái</v>
      </c>
      <c r="D4051" s="437">
        <f>VLOOKUP(A4051,'Thống kê'!$C$3:$M$682,4,0)</f>
        <v>59500</v>
      </c>
      <c r="E4051" s="438">
        <v>1</v>
      </c>
      <c r="F4051" s="439">
        <f t="shared" si="16"/>
        <v>59500</v>
      </c>
      <c r="G4051" s="440"/>
      <c r="H4051" s="450"/>
    </row>
    <row r="4052" spans="1:8" ht="13.2">
      <c r="A4052" s="454" t="s">
        <v>1691</v>
      </c>
      <c r="B4052" s="452">
        <f>VLOOKUP(A4052,'Thống kê'!$C$3:$D$669,2,0)</f>
        <v>0</v>
      </c>
      <c r="C4052" s="436" t="str">
        <f>VLOOKUP(A4052,'Thống kê'!$C$3:$E$682,3,0)</f>
        <v>cái</v>
      </c>
      <c r="D4052" s="437">
        <f>VLOOKUP(A4052,'Thống kê'!$C$3:$M$682,4,0)</f>
        <v>0</v>
      </c>
      <c r="E4052" s="438">
        <v>1</v>
      </c>
      <c r="F4052" s="439">
        <f t="shared" si="16"/>
        <v>0</v>
      </c>
      <c r="G4052" s="440"/>
      <c r="H4052" s="448">
        <v>18732</v>
      </c>
    </row>
    <row r="4053" spans="1:8" ht="13.2">
      <c r="A4053" s="454" t="s">
        <v>1690</v>
      </c>
      <c r="B4053" s="452">
        <f>VLOOKUP(A4053,'Thống kê'!$C$3:$D$669,2,0)</f>
        <v>0</v>
      </c>
      <c r="C4053" s="436" t="str">
        <f>VLOOKUP(A4053,'Thống kê'!$C$3:$E$682,3,0)</f>
        <v>cái</v>
      </c>
      <c r="D4053" s="437">
        <f>VLOOKUP(A4053,'Thống kê'!$C$3:$M$682,4,0)</f>
        <v>0</v>
      </c>
      <c r="E4053" s="438">
        <v>1</v>
      </c>
      <c r="F4053" s="439">
        <f t="shared" si="16"/>
        <v>0</v>
      </c>
      <c r="G4053" s="440"/>
      <c r="H4053" s="447">
        <v>96902</v>
      </c>
    </row>
    <row r="4054" spans="1:8" ht="13.2">
      <c r="A4054" s="454" t="s">
        <v>1691</v>
      </c>
      <c r="B4054" s="452">
        <f>VLOOKUP(A4054,'Thống kê'!$C$3:$D$669,2,0)</f>
        <v>0</v>
      </c>
      <c r="C4054" s="436" t="str">
        <f>VLOOKUP(A4054,'Thống kê'!$C$3:$E$682,3,0)</f>
        <v>cái</v>
      </c>
      <c r="D4054" s="437">
        <f>VLOOKUP(A4054,'Thống kê'!$C$3:$M$682,4,0)</f>
        <v>0</v>
      </c>
      <c r="E4054" s="438">
        <v>2</v>
      </c>
      <c r="F4054" s="439">
        <f t="shared" si="16"/>
        <v>0</v>
      </c>
      <c r="G4054" s="440"/>
      <c r="H4054" s="450"/>
    </row>
    <row r="4055" spans="1:8" ht="13.2">
      <c r="A4055" s="454" t="s">
        <v>1688</v>
      </c>
      <c r="B4055" s="452">
        <f>VLOOKUP(A4055,'Thống kê'!$C$3:$D$669,2,0)</f>
        <v>0</v>
      </c>
      <c r="C4055" s="436" t="str">
        <f>VLOOKUP(A4055,'Thống kê'!$C$3:$E$682,3,0)</f>
        <v>cái</v>
      </c>
      <c r="D4055" s="437">
        <f>VLOOKUP(A4055,'Thống kê'!$C$3:$M$682,4,0)</f>
        <v>0</v>
      </c>
      <c r="E4055" s="438">
        <v>2</v>
      </c>
      <c r="F4055" s="439">
        <f t="shared" si="16"/>
        <v>0</v>
      </c>
      <c r="G4055" s="440"/>
      <c r="H4055" s="450"/>
    </row>
    <row r="4056" spans="1:8" ht="13.2">
      <c r="A4056" s="454" t="s">
        <v>1632</v>
      </c>
      <c r="B4056" s="452" t="str">
        <f>VLOOKUP(A4056,'Thống kê'!$C$3:$D$669,2,0)</f>
        <v>Móc khóa đôi mèo trắng</v>
      </c>
      <c r="C4056" s="436" t="str">
        <f>VLOOKUP(A4056,'Thống kê'!$C$3:$E$682,3,0)</f>
        <v>cái</v>
      </c>
      <c r="D4056" s="437">
        <f>VLOOKUP(A4056,'Thống kê'!$C$3:$M$682,4,0)</f>
        <v>59000</v>
      </c>
      <c r="E4056" s="438">
        <v>1</v>
      </c>
      <c r="F4056" s="439">
        <f t="shared" si="16"/>
        <v>59000</v>
      </c>
      <c r="G4056" s="440"/>
      <c r="H4056" s="448">
        <v>38545</v>
      </c>
    </row>
    <row r="4057" spans="1:8" ht="13.2">
      <c r="A4057" s="454" t="s">
        <v>183</v>
      </c>
      <c r="B4057" s="452" t="str">
        <f>VLOOKUP(A4057,'Thống kê'!$C$3:$D$669,2,0)</f>
        <v>Thỏ máy bay gắn xe</v>
      </c>
      <c r="C4057" s="436" t="str">
        <f>VLOOKUP(A4057,'Thống kê'!$C$3:$E$682,3,0)</f>
        <v>cái</v>
      </c>
      <c r="D4057" s="437">
        <f>VLOOKUP(A4057,'Thống kê'!$C$3:$M$682,4,0)</f>
        <v>45000</v>
      </c>
      <c r="E4057" s="438">
        <v>1</v>
      </c>
      <c r="F4057" s="439">
        <f t="shared" si="16"/>
        <v>45000</v>
      </c>
      <c r="G4057" s="440"/>
      <c r="H4057" s="447">
        <v>120180</v>
      </c>
    </row>
    <row r="4058" spans="1:8" ht="13.2">
      <c r="A4058" s="454" t="s">
        <v>119</v>
      </c>
      <c r="B4058" s="452" t="str">
        <f>VLOOKUP(A4058,'Thống kê'!$C$3:$D$669,2,0)</f>
        <v>Thỏ chạy xe gắn xe</v>
      </c>
      <c r="C4058" s="436" t="str">
        <f>VLOOKUP(A4058,'Thống kê'!$C$3:$E$682,3,0)</f>
        <v>cái</v>
      </c>
      <c r="D4058" s="437">
        <f>VLOOKUP(A4058,'Thống kê'!$C$3:$M$682,4,0)</f>
        <v>45000</v>
      </c>
      <c r="E4058" s="438">
        <v>1</v>
      </c>
      <c r="F4058" s="439">
        <f t="shared" si="16"/>
        <v>45000</v>
      </c>
      <c r="G4058" s="440"/>
      <c r="H4058" s="450"/>
    </row>
    <row r="4059" spans="1:8" ht="13.2">
      <c r="A4059" s="454" t="s">
        <v>1353</v>
      </c>
      <c r="B4059" s="452" t="str">
        <f>VLOOKUP(A4059,'Thống kê'!$C$3:$D$669,2,0)</f>
        <v>Trang trí mô hình Vịt</v>
      </c>
      <c r="C4059" s="436" t="str">
        <f>VLOOKUP(A4059,'Thống kê'!$C$3:$E$682,3,0)</f>
        <v>cái</v>
      </c>
      <c r="D4059" s="437">
        <f>VLOOKUP(A4059,'Thống kê'!$C$3:$M$682,4,0)</f>
        <v>39000</v>
      </c>
      <c r="E4059" s="438">
        <v>1</v>
      </c>
      <c r="F4059" s="439">
        <f t="shared" si="16"/>
        <v>39000</v>
      </c>
      <c r="G4059" s="440"/>
      <c r="H4059" s="450"/>
    </row>
    <row r="4060" spans="1:8" ht="13.2">
      <c r="A4060" s="454" t="s">
        <v>1357</v>
      </c>
      <c r="B4060" s="452" t="str">
        <f>VLOOKUP(A4060,'Thống kê'!$C$3:$D$669,2,0)</f>
        <v>Trang trí mô hình Thỏ</v>
      </c>
      <c r="C4060" s="436" t="str">
        <f>VLOOKUP(A4060,'Thống kê'!$C$3:$E$682,3,0)</f>
        <v>cái</v>
      </c>
      <c r="D4060" s="437">
        <f>VLOOKUP(A4060,'Thống kê'!$C$3:$M$682,4,0)</f>
        <v>39000</v>
      </c>
      <c r="E4060" s="438">
        <v>1</v>
      </c>
      <c r="F4060" s="439">
        <f t="shared" si="16"/>
        <v>39000</v>
      </c>
      <c r="G4060" s="440"/>
      <c r="H4060" s="450"/>
    </row>
    <row r="4061" spans="1:8" ht="13.2">
      <c r="A4061" s="454" t="s">
        <v>330</v>
      </c>
      <c r="B4061" s="452" t="str">
        <f>VLOOKUP(A4061,'Thống kê'!$C$3:$D$669,2,0)</f>
        <v>Túi chườm bụng thỏ xám  500ml</v>
      </c>
      <c r="C4061" s="436" t="str">
        <f>VLOOKUP(A4061,'Thống kê'!$C$3:$E$682,3,0)</f>
        <v>túi</v>
      </c>
      <c r="D4061" s="437">
        <f>VLOOKUP(A4061,'Thống kê'!$C$3:$M$682,4,0)</f>
        <v>81000</v>
      </c>
      <c r="E4061" s="438">
        <v>1</v>
      </c>
      <c r="F4061" s="439">
        <f t="shared" si="16"/>
        <v>81000</v>
      </c>
      <c r="G4061" s="440"/>
      <c r="H4061" s="448">
        <v>56606</v>
      </c>
    </row>
    <row r="4062" spans="1:8" ht="13.2">
      <c r="A4062" s="454" t="s">
        <v>1591</v>
      </c>
      <c r="B4062" s="452" t="str">
        <f>VLOOKUP(A4062,'Thống kê'!$C$3:$D$669,2,0)</f>
        <v>Thỏ ú</v>
      </c>
      <c r="C4062" s="436" t="str">
        <f>VLOOKUP(A4062,'Thống kê'!$C$3:$E$682,3,0)</f>
        <v>cái</v>
      </c>
      <c r="D4062" s="437">
        <f>VLOOKUP(A4062,'Thống kê'!$C$3:$M$682,4,0)</f>
        <v>59500</v>
      </c>
      <c r="E4062" s="438">
        <v>1</v>
      </c>
      <c r="F4062" s="439">
        <f t="shared" si="16"/>
        <v>59500</v>
      </c>
      <c r="G4062" s="440"/>
      <c r="H4062" s="448">
        <v>48633</v>
      </c>
    </row>
    <row r="4063" spans="1:8" ht="13.2">
      <c r="A4063" s="454" t="s">
        <v>2030</v>
      </c>
      <c r="B4063" s="452" t="str">
        <f>VLOOKUP(A4063,'Thống kê'!$C$3:$D$669,2,0)</f>
        <v>Kẹp càng cua lông hình gấu nâu đậm</v>
      </c>
      <c r="C4063" s="436" t="str">
        <f>VLOOKUP(A4063,'Thống kê'!$C$3:$E$682,3,0)</f>
        <v>cái</v>
      </c>
      <c r="D4063" s="437">
        <f>VLOOKUP(A4063,'Thống kê'!$C$3:$M$682,4,0)</f>
        <v>18000</v>
      </c>
      <c r="E4063" s="438">
        <v>1</v>
      </c>
      <c r="F4063" s="439">
        <f t="shared" si="16"/>
        <v>18000</v>
      </c>
      <c r="G4063" s="440"/>
      <c r="H4063" s="447">
        <v>118998</v>
      </c>
    </row>
    <row r="4064" spans="1:8" ht="13.2">
      <c r="A4064" s="454" t="s">
        <v>1967</v>
      </c>
      <c r="B4064" s="452" t="str">
        <f>VLOOKUP(A4064,'Thống kê'!$C$3:$D$669,2,0)</f>
        <v>Kẹp càng cua lông hình gấu nâu gấu nâu</v>
      </c>
      <c r="C4064" s="436" t="str">
        <f>VLOOKUP(A4064,'Thống kê'!$C$3:$E$682,3,0)</f>
        <v>cái</v>
      </c>
      <c r="D4064" s="437">
        <f>VLOOKUP(A4064,'Thống kê'!$C$3:$M$682,4,0)</f>
        <v>18000</v>
      </c>
      <c r="E4064" s="438">
        <v>1</v>
      </c>
      <c r="F4064" s="439">
        <f t="shared" si="16"/>
        <v>18000</v>
      </c>
      <c r="G4064" s="440"/>
      <c r="H4064" s="450"/>
    </row>
    <row r="4065" spans="1:8" ht="13.2">
      <c r="A4065" s="454" t="s">
        <v>1390</v>
      </c>
      <c r="B4065" s="452" t="str">
        <f>VLOOKUP(A4065,'Thống kê'!$C$3:$D$669,2,0)</f>
        <v>Móc khoá Labubu mini Popmart</v>
      </c>
      <c r="C4065" s="436" t="str">
        <f>VLOOKUP(A4065,'Thống kê'!$C$3:$E$682,3,0)</f>
        <v>cái</v>
      </c>
      <c r="D4065" s="437">
        <f>VLOOKUP(A4065,'Thống kê'!$C$3:$M$682,4,0)</f>
        <v>0</v>
      </c>
      <c r="E4065" s="438">
        <v>1</v>
      </c>
      <c r="F4065" s="439">
        <f t="shared" si="16"/>
        <v>0</v>
      </c>
      <c r="G4065" s="440"/>
      <c r="H4065" s="450"/>
    </row>
    <row r="4066" spans="1:8" ht="13.2">
      <c r="A4066" s="454" t="s">
        <v>1403</v>
      </c>
      <c r="B4066" s="452" t="str">
        <f>VLOOKUP(A4066,'Thống kê'!$C$3:$D$669,2,0)</f>
        <v>Móc khoá Dimoo size mini (hàng remake) hồng</v>
      </c>
      <c r="C4066" s="436" t="str">
        <f>VLOOKUP(A4066,'Thống kê'!$C$3:$E$682,3,0)</f>
        <v>cái</v>
      </c>
      <c r="D4066" s="437">
        <f>VLOOKUP(A4066,'Thống kê'!$C$3:$M$682,4,0)</f>
        <v>0</v>
      </c>
      <c r="E4066" s="438">
        <v>1</v>
      </c>
      <c r="F4066" s="439">
        <f t="shared" si="16"/>
        <v>0</v>
      </c>
      <c r="G4066" s="440"/>
      <c r="H4066" s="447">
        <v>658296</v>
      </c>
    </row>
    <row r="4067" spans="1:8" ht="13.2">
      <c r="A4067" s="454" t="s">
        <v>113</v>
      </c>
      <c r="B4067" s="452" t="str">
        <f>VLOOKUP(A4067,'Thống kê'!$C$3:$D$669,2,0)</f>
        <v>Móc khoá Dimoo size mini (hàng remake)</v>
      </c>
      <c r="C4067" s="436" t="str">
        <f>VLOOKUP(A4067,'Thống kê'!$C$3:$E$682,3,0)</f>
        <v>cái</v>
      </c>
      <c r="D4067" s="437">
        <f>VLOOKUP(A4067,'Thống kê'!$C$3:$M$682,4,0)</f>
        <v>0</v>
      </c>
      <c r="E4067" s="438">
        <v>2</v>
      </c>
      <c r="F4067" s="439">
        <f t="shared" si="16"/>
        <v>0</v>
      </c>
      <c r="G4067" s="440"/>
      <c r="H4067" s="450"/>
    </row>
    <row r="4068" spans="1:8" ht="13.2">
      <c r="A4068" s="454" t="s">
        <v>1387</v>
      </c>
      <c r="B4068" s="452" t="str">
        <f>VLOOKUP(A4068,'Thống kê'!$C$3:$D$669,2,0)</f>
        <v>Móc khoá Crybaby mini Popmart</v>
      </c>
      <c r="C4068" s="436" t="str">
        <f>VLOOKUP(A4068,'Thống kê'!$C$3:$E$682,3,0)</f>
        <v>cái</v>
      </c>
      <c r="D4068" s="437">
        <f>VLOOKUP(A4068,'Thống kê'!$C$3:$M$682,4,0)</f>
        <v>0</v>
      </c>
      <c r="E4068" s="438">
        <v>1</v>
      </c>
      <c r="F4068" s="439">
        <f t="shared" si="16"/>
        <v>0</v>
      </c>
      <c r="G4068" s="440"/>
      <c r="H4068" s="450"/>
    </row>
    <row r="4069" spans="1:8" ht="13.2">
      <c r="A4069" s="454" t="s">
        <v>258</v>
      </c>
      <c r="B4069" s="452" t="str">
        <f>VLOOKUP(A4069,'Thống kê'!$C$3:$D$669,2,0)</f>
        <v>Móc khoá Crybaby mini Popmart</v>
      </c>
      <c r="C4069" s="436" t="str">
        <f>VLOOKUP(A4069,'Thống kê'!$C$3:$E$682,3,0)</f>
        <v>cái</v>
      </c>
      <c r="D4069" s="437">
        <f>VLOOKUP(A4069,'Thống kê'!$C$3:$M$682,4,0)</f>
        <v>0</v>
      </c>
      <c r="E4069" s="438">
        <v>1</v>
      </c>
      <c r="F4069" s="439">
        <f t="shared" si="16"/>
        <v>0</v>
      </c>
      <c r="G4069" s="440"/>
      <c r="H4069" s="450"/>
    </row>
    <row r="4070" spans="1:8" ht="13.2">
      <c r="A4070" s="454" t="s">
        <v>1600</v>
      </c>
      <c r="B4070" s="452" t="str">
        <f>VLOOKUP(A4070,'Thống kê'!$C$3:$D$669,2,0)</f>
        <v>Dao rọc giấy 18</v>
      </c>
      <c r="C4070" s="436" t="str">
        <f>VLOOKUP(A4070,'Thống kê'!$C$3:$E$682,3,0)</f>
        <v>cái</v>
      </c>
      <c r="D4070" s="437">
        <f>VLOOKUP(A4070,'Thống kê'!$C$3:$M$682,4,0)</f>
        <v>12000</v>
      </c>
      <c r="E4070" s="438">
        <v>1</v>
      </c>
      <c r="F4070" s="439">
        <f t="shared" si="16"/>
        <v>12000</v>
      </c>
      <c r="G4070" s="440"/>
      <c r="H4070" s="447">
        <v>66561</v>
      </c>
    </row>
    <row r="4071" spans="1:8" ht="13.2">
      <c r="A4071" s="454" t="s">
        <v>1690</v>
      </c>
      <c r="B4071" s="452">
        <f>VLOOKUP(A4071,'Thống kê'!$C$3:$D$669,2,0)</f>
        <v>0</v>
      </c>
      <c r="C4071" s="436" t="str">
        <f>VLOOKUP(A4071,'Thống kê'!$C$3:$E$682,3,0)</f>
        <v>cái</v>
      </c>
      <c r="D4071" s="437">
        <f>VLOOKUP(A4071,'Thống kê'!$C$3:$M$682,4,0)</f>
        <v>0</v>
      </c>
      <c r="E4071" s="438">
        <v>1</v>
      </c>
      <c r="F4071" s="439">
        <f t="shared" si="16"/>
        <v>0</v>
      </c>
      <c r="G4071" s="440"/>
      <c r="H4071" s="450"/>
    </row>
    <row r="4072" spans="1:8" ht="13.2">
      <c r="A4072" s="454" t="s">
        <v>1691</v>
      </c>
      <c r="B4072" s="452">
        <f>VLOOKUP(A4072,'Thống kê'!$C$3:$D$669,2,0)</f>
        <v>0</v>
      </c>
      <c r="C4072" s="436" t="str">
        <f>VLOOKUP(A4072,'Thống kê'!$C$3:$E$682,3,0)</f>
        <v>cái</v>
      </c>
      <c r="D4072" s="437">
        <f>VLOOKUP(A4072,'Thống kê'!$C$3:$M$682,4,0)</f>
        <v>0</v>
      </c>
      <c r="E4072" s="438">
        <v>1</v>
      </c>
      <c r="F4072" s="439">
        <f t="shared" si="16"/>
        <v>0</v>
      </c>
      <c r="G4072" s="440"/>
      <c r="H4072" s="450"/>
    </row>
    <row r="4073" spans="1:8" ht="13.2">
      <c r="A4073" s="454" t="s">
        <v>1688</v>
      </c>
      <c r="B4073" s="452">
        <f>VLOOKUP(A4073,'Thống kê'!$C$3:$D$669,2,0)</f>
        <v>0</v>
      </c>
      <c r="C4073" s="436" t="str">
        <f>VLOOKUP(A4073,'Thống kê'!$C$3:$E$682,3,0)</f>
        <v>cái</v>
      </c>
      <c r="D4073" s="437">
        <f>VLOOKUP(A4073,'Thống kê'!$C$3:$M$682,4,0)</f>
        <v>0</v>
      </c>
      <c r="E4073" s="438">
        <v>1</v>
      </c>
      <c r="F4073" s="439">
        <f t="shared" si="16"/>
        <v>0</v>
      </c>
      <c r="G4073" s="440"/>
      <c r="H4073" s="450"/>
    </row>
    <row r="4074" spans="1:8" ht="13.2">
      <c r="A4074" s="454" t="s">
        <v>1703</v>
      </c>
      <c r="B4074" s="452">
        <f>VLOOKUP(A4074,'Thống kê'!$C$3:$D$669,2,0)</f>
        <v>0</v>
      </c>
      <c r="C4074" s="436">
        <f>VLOOKUP(A4074,'Thống kê'!$C$3:$E$682,3,0)</f>
        <v>0</v>
      </c>
      <c r="D4074" s="437">
        <f>VLOOKUP(A4074,'Thống kê'!$C$3:$M$682,4,0)</f>
        <v>0</v>
      </c>
      <c r="E4074" s="438">
        <v>1</v>
      </c>
      <c r="F4074" s="439">
        <f t="shared" si="16"/>
        <v>0</v>
      </c>
      <c r="G4074" s="440"/>
      <c r="H4074" s="447">
        <v>488720</v>
      </c>
    </row>
    <row r="4075" spans="1:8" ht="13.2">
      <c r="A4075" s="454" t="s">
        <v>1687</v>
      </c>
      <c r="B4075" s="452">
        <f>VLOOKUP(A4075,'Thống kê'!$C$3:$D$669,2,0)</f>
        <v>0</v>
      </c>
      <c r="C4075" s="436">
        <f>VLOOKUP(A4075,'Thống kê'!$C$3:$E$682,3,0)</f>
        <v>0</v>
      </c>
      <c r="D4075" s="437">
        <f>VLOOKUP(A4075,'Thống kê'!$C$3:$M$682,4,0)</f>
        <v>0</v>
      </c>
      <c r="E4075" s="438">
        <v>1</v>
      </c>
      <c r="F4075" s="439">
        <f t="shared" si="16"/>
        <v>0</v>
      </c>
      <c r="G4075" s="440"/>
      <c r="H4075" s="450"/>
    </row>
    <row r="4076" spans="1:8" ht="13.2">
      <c r="A4076" s="454" t="s">
        <v>1387</v>
      </c>
      <c r="B4076" s="452" t="str">
        <f>VLOOKUP(A4076,'Thống kê'!$C$3:$D$669,2,0)</f>
        <v>Móc khoá Crybaby mini Popmart</v>
      </c>
      <c r="C4076" s="436" t="str">
        <f>VLOOKUP(A4076,'Thống kê'!$C$3:$E$682,3,0)</f>
        <v>cái</v>
      </c>
      <c r="D4076" s="437">
        <f>VLOOKUP(A4076,'Thống kê'!$C$3:$M$682,4,0)</f>
        <v>0</v>
      </c>
      <c r="E4076" s="438">
        <v>1</v>
      </c>
      <c r="F4076" s="439">
        <f t="shared" si="16"/>
        <v>0</v>
      </c>
      <c r="G4076" s="440"/>
      <c r="H4076" s="450"/>
    </row>
    <row r="4077" spans="1:8" ht="13.2">
      <c r="A4077" s="454" t="s">
        <v>1388</v>
      </c>
      <c r="B4077" s="452" t="str">
        <f>VLOOKUP(A4077,'Thống kê'!$C$3:$D$669,2,0)</f>
        <v>Móc khoá Crybaby mini Popmart</v>
      </c>
      <c r="C4077" s="436" t="str">
        <f>VLOOKUP(A4077,'Thống kê'!$C$3:$E$682,3,0)</f>
        <v>cái</v>
      </c>
      <c r="D4077" s="437">
        <f>VLOOKUP(A4077,'Thống kê'!$C$3:$M$682,4,0)</f>
        <v>0</v>
      </c>
      <c r="E4077" s="438">
        <v>1</v>
      </c>
      <c r="F4077" s="439">
        <f t="shared" si="16"/>
        <v>0</v>
      </c>
      <c r="G4077" s="440"/>
      <c r="H4077" s="450"/>
    </row>
    <row r="4078" spans="1:8" ht="13.2">
      <c r="A4078" s="454" t="s">
        <v>1690</v>
      </c>
      <c r="B4078" s="452">
        <f>VLOOKUP(A4078,'Thống kê'!$C$3:$D$669,2,0)</f>
        <v>0</v>
      </c>
      <c r="C4078" s="436" t="str">
        <f>VLOOKUP(A4078,'Thống kê'!$C$3:$E$682,3,0)</f>
        <v>cái</v>
      </c>
      <c r="D4078" s="437">
        <f>VLOOKUP(A4078,'Thống kê'!$C$3:$M$682,4,0)</f>
        <v>0</v>
      </c>
      <c r="E4078" s="438">
        <v>1</v>
      </c>
      <c r="F4078" s="439">
        <f t="shared" si="16"/>
        <v>0</v>
      </c>
      <c r="G4078" s="440"/>
      <c r="H4078" s="447">
        <v>41235</v>
      </c>
    </row>
    <row r="4079" spans="1:8" ht="13.2">
      <c r="A4079" s="454" t="s">
        <v>1688</v>
      </c>
      <c r="B4079" s="452">
        <f>VLOOKUP(A4079,'Thống kê'!$C$3:$D$669,2,0)</f>
        <v>0</v>
      </c>
      <c r="C4079" s="436" t="str">
        <f>VLOOKUP(A4079,'Thống kê'!$C$3:$E$682,3,0)</f>
        <v>cái</v>
      </c>
      <c r="D4079" s="437">
        <f>VLOOKUP(A4079,'Thống kê'!$C$3:$M$682,4,0)</f>
        <v>0</v>
      </c>
      <c r="E4079" s="438">
        <v>1</v>
      </c>
      <c r="F4079" s="439">
        <f t="shared" si="16"/>
        <v>0</v>
      </c>
      <c r="G4079" s="440"/>
      <c r="H4079" s="450"/>
    </row>
    <row r="4080" spans="1:8" ht="13.2">
      <c r="A4080" s="454" t="s">
        <v>170</v>
      </c>
      <c r="B4080" s="452" t="str">
        <f>VLOOKUP(A4080,'Thống kê'!$C$3:$D$669,2,0)</f>
        <v>Móc khóa chuối</v>
      </c>
      <c r="C4080" s="436" t="str">
        <f>VLOOKUP(A4080,'Thống kê'!$C$3:$E$682,3,0)</f>
        <v>cái</v>
      </c>
      <c r="D4080" s="437">
        <f>VLOOKUP(A4080,'Thống kê'!$C$3:$M$682,4,0)</f>
        <v>148000</v>
      </c>
      <c r="E4080" s="438">
        <v>1</v>
      </c>
      <c r="F4080" s="439">
        <f t="shared" si="16"/>
        <v>148000</v>
      </c>
      <c r="G4080" s="440"/>
      <c r="H4080" s="447">
        <v>93838</v>
      </c>
    </row>
    <row r="4081" spans="1:8" ht="13.2">
      <c r="A4081" s="454" t="s">
        <v>1690</v>
      </c>
      <c r="B4081" s="452">
        <f>VLOOKUP(A4081,'Thống kê'!$C$3:$D$669,2,0)</f>
        <v>0</v>
      </c>
      <c r="C4081" s="436" t="str">
        <f>VLOOKUP(A4081,'Thống kê'!$C$3:$E$682,3,0)</f>
        <v>cái</v>
      </c>
      <c r="D4081" s="437">
        <f>VLOOKUP(A4081,'Thống kê'!$C$3:$M$682,4,0)</f>
        <v>0</v>
      </c>
      <c r="E4081" s="438">
        <v>1</v>
      </c>
      <c r="F4081" s="439">
        <f t="shared" si="16"/>
        <v>0</v>
      </c>
      <c r="G4081" s="440"/>
      <c r="H4081" s="450"/>
    </row>
    <row r="4082" spans="1:8" ht="13.2">
      <c r="A4082" s="454" t="s">
        <v>138</v>
      </c>
      <c r="B4082" s="452" t="str">
        <f>VLOOKUP(A4082,'Thống kê'!$C$3:$D$669,2,0)</f>
        <v>Móc khoá Crybaby mini Popmart</v>
      </c>
      <c r="C4082" s="436" t="str">
        <f>VLOOKUP(A4082,'Thống kê'!$C$3:$E$682,3,0)</f>
        <v>cái</v>
      </c>
      <c r="D4082" s="437">
        <f>VLOOKUP(A4082,'Thống kê'!$C$3:$M$682,4,0)</f>
        <v>0</v>
      </c>
      <c r="E4082" s="438">
        <v>1</v>
      </c>
      <c r="F4082" s="439">
        <f t="shared" si="16"/>
        <v>0</v>
      </c>
      <c r="G4082" s="440"/>
      <c r="H4082" s="448">
        <v>112340</v>
      </c>
    </row>
    <row r="4083" spans="1:8" ht="13.2">
      <c r="A4083" s="454" t="s">
        <v>150</v>
      </c>
      <c r="B4083" s="452" t="str">
        <f>VLOOKUP(A4083,'Thống kê'!$C$3:$D$669,2,0)</f>
        <v>Móc khóa có chuông</v>
      </c>
      <c r="C4083" s="436" t="str">
        <f>VLOOKUP(A4083,'Thống kê'!$C$3:$E$682,3,0)</f>
        <v>cái</v>
      </c>
      <c r="D4083" s="437">
        <f>VLOOKUP(A4083,'Thống kê'!$C$3:$M$682,4,0)</f>
        <v>59000</v>
      </c>
      <c r="E4083" s="438">
        <v>1</v>
      </c>
      <c r="F4083" s="439">
        <f t="shared" si="16"/>
        <v>59000</v>
      </c>
      <c r="G4083" s="440"/>
      <c r="H4083" s="448">
        <v>40260</v>
      </c>
    </row>
    <row r="4084" spans="1:8" ht="13.2">
      <c r="A4084" s="454" t="s">
        <v>1382</v>
      </c>
      <c r="B4084" s="452" t="str">
        <f>VLOOKUP(A4084,'Thống kê'!$C$3:$D$669,2,0)</f>
        <v>miếng dán silicon điện thoại</v>
      </c>
      <c r="C4084" s="436" t="str">
        <f>VLOOKUP(A4084,'Thống kê'!$C$3:$E$682,3,0)</f>
        <v>cái</v>
      </c>
      <c r="D4084" s="437">
        <f>VLOOKUP(A4084,'Thống kê'!$C$3:$M$682,4,0)</f>
        <v>0</v>
      </c>
      <c r="E4084" s="438">
        <v>1</v>
      </c>
      <c r="F4084" s="439">
        <f t="shared" si="16"/>
        <v>0</v>
      </c>
      <c r="G4084" s="440"/>
      <c r="H4084" s="447">
        <v>39575</v>
      </c>
    </row>
    <row r="4085" spans="1:8" ht="13.2">
      <c r="A4085" s="454" t="s">
        <v>1690</v>
      </c>
      <c r="B4085" s="452">
        <f>VLOOKUP(A4085,'Thống kê'!$C$3:$D$669,2,0)</f>
        <v>0</v>
      </c>
      <c r="C4085" s="436" t="str">
        <f>VLOOKUP(A4085,'Thống kê'!$C$3:$E$682,3,0)</f>
        <v>cái</v>
      </c>
      <c r="D4085" s="437">
        <f>VLOOKUP(A4085,'Thống kê'!$C$3:$M$682,4,0)</f>
        <v>0</v>
      </c>
      <c r="E4085" s="438">
        <v>1</v>
      </c>
      <c r="F4085" s="439">
        <f t="shared" si="16"/>
        <v>0</v>
      </c>
      <c r="G4085" s="440"/>
      <c r="H4085" s="450"/>
    </row>
    <row r="4086" spans="1:8" ht="13.2">
      <c r="A4086" s="454" t="s">
        <v>1691</v>
      </c>
      <c r="B4086" s="452">
        <f>VLOOKUP(A4086,'Thống kê'!$C$3:$D$669,2,0)</f>
        <v>0</v>
      </c>
      <c r="C4086" s="436" t="str">
        <f>VLOOKUP(A4086,'Thống kê'!$C$3:$E$682,3,0)</f>
        <v>cái</v>
      </c>
      <c r="D4086" s="437">
        <f>VLOOKUP(A4086,'Thống kê'!$C$3:$M$682,4,0)</f>
        <v>0</v>
      </c>
      <c r="E4086" s="438">
        <v>1</v>
      </c>
      <c r="F4086" s="439">
        <f t="shared" si="16"/>
        <v>0</v>
      </c>
      <c r="G4086" s="440"/>
      <c r="H4086" s="450"/>
    </row>
    <row r="4087" spans="1:8" ht="13.2">
      <c r="A4087" s="454" t="s">
        <v>1688</v>
      </c>
      <c r="B4087" s="452">
        <f>VLOOKUP(A4087,'Thống kê'!$C$3:$D$669,2,0)</f>
        <v>0</v>
      </c>
      <c r="C4087" s="436" t="str">
        <f>VLOOKUP(A4087,'Thống kê'!$C$3:$E$682,3,0)</f>
        <v>cái</v>
      </c>
      <c r="D4087" s="437">
        <f>VLOOKUP(A4087,'Thống kê'!$C$3:$M$682,4,0)</f>
        <v>0</v>
      </c>
      <c r="E4087" s="438">
        <v>1</v>
      </c>
      <c r="F4087" s="439">
        <f t="shared" si="16"/>
        <v>0</v>
      </c>
      <c r="G4087" s="440"/>
      <c r="H4087" s="448">
        <v>40410</v>
      </c>
    </row>
    <row r="4088" spans="1:8" ht="13.2">
      <c r="A4088" s="454" t="s">
        <v>1389</v>
      </c>
      <c r="B4088" s="452" t="str">
        <f>VLOOKUP(A4088,'Thống kê'!$C$3:$D$669,2,0)</f>
        <v>Móc khoá Crybaby mini Popmart</v>
      </c>
      <c r="C4088" s="436" t="str">
        <f>VLOOKUP(A4088,'Thống kê'!$C$3:$E$682,3,0)</f>
        <v>cái</v>
      </c>
      <c r="D4088" s="437">
        <f>VLOOKUP(A4088,'Thống kê'!$C$3:$M$682,4,0)</f>
        <v>0</v>
      </c>
      <c r="E4088" s="438">
        <v>1</v>
      </c>
      <c r="F4088" s="439">
        <f t="shared" si="16"/>
        <v>0</v>
      </c>
      <c r="G4088" s="440"/>
      <c r="H4088" s="448">
        <v>111515</v>
      </c>
    </row>
    <row r="4089" spans="1:8" ht="13.2">
      <c r="A4089" s="454" t="s">
        <v>150</v>
      </c>
      <c r="B4089" s="452" t="str">
        <f>VLOOKUP(A4089,'Thống kê'!$C$3:$D$669,2,0)</f>
        <v>Móc khóa có chuông</v>
      </c>
      <c r="C4089" s="436" t="str">
        <f>VLOOKUP(A4089,'Thống kê'!$C$3:$E$682,3,0)</f>
        <v>cái</v>
      </c>
      <c r="D4089" s="437">
        <f>VLOOKUP(A4089,'Thống kê'!$C$3:$M$682,4,0)</f>
        <v>59000</v>
      </c>
      <c r="E4089" s="438">
        <v>1</v>
      </c>
      <c r="F4089" s="439">
        <f t="shared" si="16"/>
        <v>59000</v>
      </c>
      <c r="G4089" s="440"/>
      <c r="H4089" s="448">
        <v>40410</v>
      </c>
    </row>
    <row r="4090" spans="1:8" ht="13.2">
      <c r="A4090" s="454" t="s">
        <v>1367</v>
      </c>
      <c r="B4090" s="452" t="str">
        <f>VLOOKUP(A4090,'Thống kê'!$C$3:$D$669,2,0)</f>
        <v>Móc khóa Popbean</v>
      </c>
      <c r="C4090" s="436" t="str">
        <f>VLOOKUP(A4090,'Thống kê'!$C$3:$E$682,3,0)</f>
        <v>cái</v>
      </c>
      <c r="D4090" s="437">
        <f>VLOOKUP(A4090,'Thống kê'!$C$3:$M$682,4,0)</f>
        <v>148000</v>
      </c>
      <c r="E4090" s="438">
        <v>1</v>
      </c>
      <c r="F4090" s="439">
        <f t="shared" si="16"/>
        <v>148000</v>
      </c>
      <c r="G4090" s="440"/>
      <c r="H4090" s="447">
        <v>229338</v>
      </c>
    </row>
    <row r="4091" spans="1:8" ht="13.2">
      <c r="A4091" s="454" t="s">
        <v>1388</v>
      </c>
      <c r="B4091" s="452" t="str">
        <f>VLOOKUP(A4091,'Thống kê'!$C$3:$D$669,2,0)</f>
        <v>Móc khoá Crybaby mini Popmart</v>
      </c>
      <c r="C4091" s="436" t="str">
        <f>VLOOKUP(A4091,'Thống kê'!$C$3:$E$682,3,0)</f>
        <v>cái</v>
      </c>
      <c r="D4091" s="437">
        <f>VLOOKUP(A4091,'Thống kê'!$C$3:$M$682,4,0)</f>
        <v>0</v>
      </c>
      <c r="E4091" s="438">
        <v>1</v>
      </c>
      <c r="F4091" s="439">
        <f t="shared" si="16"/>
        <v>0</v>
      </c>
      <c r="G4091" s="440"/>
      <c r="H4091" s="450"/>
    </row>
    <row r="4092" spans="1:8" ht="13.2">
      <c r="A4092" s="454" t="s">
        <v>1382</v>
      </c>
      <c r="B4092" s="452" t="str">
        <f>VLOOKUP(A4092,'Thống kê'!$C$3:$D$669,2,0)</f>
        <v>miếng dán silicon điện thoại</v>
      </c>
      <c r="C4092" s="436" t="str">
        <f>VLOOKUP(A4092,'Thống kê'!$C$3:$E$682,3,0)</f>
        <v>cái</v>
      </c>
      <c r="D4092" s="437">
        <f>VLOOKUP(A4092,'Thống kê'!$C$3:$M$682,4,0)</f>
        <v>0</v>
      </c>
      <c r="E4092" s="438">
        <v>10</v>
      </c>
      <c r="F4092" s="439">
        <f t="shared" si="16"/>
        <v>0</v>
      </c>
      <c r="G4092" s="440"/>
      <c r="H4092" s="448">
        <v>24475</v>
      </c>
    </row>
    <row r="4093" spans="1:8" ht="13.2">
      <c r="A4093" s="454" t="s">
        <v>1632</v>
      </c>
      <c r="B4093" s="452" t="str">
        <f>VLOOKUP(A4093,'Thống kê'!$C$3:$D$669,2,0)</f>
        <v>Móc khóa đôi mèo trắng</v>
      </c>
      <c r="C4093" s="436" t="str">
        <f>VLOOKUP(A4093,'Thống kê'!$C$3:$E$682,3,0)</f>
        <v>cái</v>
      </c>
      <c r="D4093" s="437">
        <f>VLOOKUP(A4093,'Thống kê'!$C$3:$M$682,4,0)</f>
        <v>59000</v>
      </c>
      <c r="E4093" s="438">
        <v>1</v>
      </c>
      <c r="F4093" s="439">
        <f t="shared" si="16"/>
        <v>59000</v>
      </c>
      <c r="G4093" s="440"/>
      <c r="H4093" s="448">
        <v>39835</v>
      </c>
    </row>
    <row r="4094" spans="1:8" ht="13.2">
      <c r="A4094" s="454" t="s">
        <v>1645</v>
      </c>
      <c r="B4094" s="452" t="str">
        <f>VLOOKUP(A4094,'Thống kê'!$C$3:$D$669,2,0)</f>
        <v>Túi chườm bụng trái bơ 500ml</v>
      </c>
      <c r="C4094" s="436" t="str">
        <f>VLOOKUP(A4094,'Thống kê'!$C$3:$E$682,3,0)</f>
        <v>túi</v>
      </c>
      <c r="D4094" s="437">
        <f>VLOOKUP(A4094,'Thống kê'!$C$3:$M$682,4,0)</f>
        <v>78200</v>
      </c>
      <c r="E4094" s="438">
        <v>1</v>
      </c>
      <c r="F4094" s="439">
        <f t="shared" si="16"/>
        <v>78200</v>
      </c>
      <c r="G4094" s="440"/>
      <c r="H4094" s="448">
        <v>65304</v>
      </c>
    </row>
    <row r="4095" spans="1:8" ht="13.2">
      <c r="A4095" s="454" t="s">
        <v>1947</v>
      </c>
      <c r="B4095" s="452" t="str">
        <f>VLOOKUP(A4095,'Thống kê'!$C$3:$D$669,2,0)</f>
        <v>Kẹp nơ trắng</v>
      </c>
      <c r="C4095" s="436" t="str">
        <f>VLOOKUP(A4095,'Thống kê'!$C$3:$E$682,3,0)</f>
        <v>cái</v>
      </c>
      <c r="D4095" s="437">
        <f>VLOOKUP(A4095,'Thống kê'!$C$3:$M$682,4,0)</f>
        <v>22000</v>
      </c>
      <c r="E4095" s="438">
        <v>1</v>
      </c>
      <c r="F4095" s="439">
        <f t="shared" si="16"/>
        <v>22000</v>
      </c>
      <c r="G4095" s="440"/>
      <c r="H4095" s="448">
        <v>15771</v>
      </c>
    </row>
    <row r="4096" spans="1:8" ht="13.2">
      <c r="A4096" s="454" t="s">
        <v>1588</v>
      </c>
      <c r="B4096" s="452" t="str">
        <f>VLOOKUP(A4096,'Thống kê'!$C$3:$D$669,2,0)</f>
        <v>Heo ú hoa</v>
      </c>
      <c r="C4096" s="436" t="str">
        <f>VLOOKUP(A4096,'Thống kê'!$C$3:$E$682,3,0)</f>
        <v>cái</v>
      </c>
      <c r="D4096" s="437">
        <f>VLOOKUP(A4096,'Thống kê'!$C$3:$M$682,4,0)</f>
        <v>64500</v>
      </c>
      <c r="E4096" s="438">
        <v>1</v>
      </c>
      <c r="F4096" s="439">
        <f t="shared" si="16"/>
        <v>64500</v>
      </c>
      <c r="G4096" s="440"/>
      <c r="H4096" s="447">
        <v>92188</v>
      </c>
    </row>
    <row r="4097" spans="1:8" ht="13.2">
      <c r="A4097" s="454" t="s">
        <v>145</v>
      </c>
      <c r="B4097" s="452" t="str">
        <f>VLOOKUP(A4097,'Thống kê'!$C$3:$D$669,2,0)</f>
        <v>Thỏ đi vịt gắn xe</v>
      </c>
      <c r="C4097" s="436" t="str">
        <f>VLOOKUP(A4097,'Thống kê'!$C$3:$E$682,3,0)</f>
        <v>cái</v>
      </c>
      <c r="D4097" s="437">
        <f>VLOOKUP(A4097,'Thống kê'!$C$3:$M$682,4,0)</f>
        <v>45000</v>
      </c>
      <c r="E4097" s="438">
        <v>1</v>
      </c>
      <c r="F4097" s="439">
        <f t="shared" si="16"/>
        <v>45000</v>
      </c>
      <c r="G4097" s="440"/>
      <c r="H4097" s="450"/>
    </row>
    <row r="4098" spans="1:8" ht="13.2">
      <c r="A4098" s="454" t="s">
        <v>230</v>
      </c>
      <c r="B4098" s="452" t="str">
        <f>VLOOKUP(A4098,'Thống kê'!$C$3:$D$669,2,0)</f>
        <v>Móc khoá Crybaby mini Popmart</v>
      </c>
      <c r="C4098" s="436" t="str">
        <f>VLOOKUP(A4098,'Thống kê'!$C$3:$E$682,3,0)</f>
        <v>cái</v>
      </c>
      <c r="D4098" s="437">
        <f>VLOOKUP(A4098,'Thống kê'!$C$3:$M$682,4,0)</f>
        <v>0</v>
      </c>
      <c r="E4098" s="438">
        <v>1</v>
      </c>
      <c r="F4098" s="439">
        <f t="shared" si="16"/>
        <v>0</v>
      </c>
      <c r="G4098" s="440"/>
      <c r="H4098" s="448">
        <v>112340</v>
      </c>
    </row>
    <row r="4099" spans="1:8" ht="13.2">
      <c r="A4099" s="454" t="s">
        <v>181</v>
      </c>
      <c r="B4099" s="452" t="str">
        <f>VLOOKUP(A4099,'Thống kê'!$C$3:$D$669,2,0)</f>
        <v>Thỏ mặt trăng gắn xe</v>
      </c>
      <c r="C4099" s="436" t="str">
        <f>VLOOKUP(A4099,'Thống kê'!$C$3:$E$682,3,0)</f>
        <v>cái</v>
      </c>
      <c r="D4099" s="437">
        <f>VLOOKUP(A4099,'Thống kê'!$C$3:$M$682,4,0)</f>
        <v>45000</v>
      </c>
      <c r="E4099" s="438">
        <v>1</v>
      </c>
      <c r="F4099" s="439">
        <f t="shared" si="16"/>
        <v>45000</v>
      </c>
      <c r="G4099" s="440"/>
      <c r="H4099" s="447">
        <v>150880</v>
      </c>
    </row>
    <row r="4100" spans="1:8" ht="13.2">
      <c r="A4100" s="454" t="s">
        <v>1593</v>
      </c>
      <c r="B4100" s="452" t="str">
        <f>VLOOKUP(A4100,'Thống kê'!$C$3:$D$669,2,0)</f>
        <v>Heo cưỡi kì lân gắn xe</v>
      </c>
      <c r="C4100" s="436" t="str">
        <f>VLOOKUP(A4100,'Thống kê'!$C$3:$E$682,3,0)</f>
        <v>cái</v>
      </c>
      <c r="D4100" s="437">
        <f>VLOOKUP(A4100,'Thống kê'!$C$3:$M$682,4,0)</f>
        <v>45000</v>
      </c>
      <c r="E4100" s="438">
        <v>1</v>
      </c>
      <c r="F4100" s="439">
        <f t="shared" si="16"/>
        <v>45000</v>
      </c>
      <c r="G4100" s="440"/>
      <c r="H4100" s="450"/>
    </row>
    <row r="4101" spans="1:8" ht="13.2">
      <c r="A4101" s="454" t="s">
        <v>145</v>
      </c>
      <c r="B4101" s="452" t="str">
        <f>VLOOKUP(A4101,'Thống kê'!$C$3:$D$669,2,0)</f>
        <v>Thỏ đi vịt gắn xe</v>
      </c>
      <c r="C4101" s="436" t="str">
        <f>VLOOKUP(A4101,'Thống kê'!$C$3:$E$682,3,0)</f>
        <v>cái</v>
      </c>
      <c r="D4101" s="437">
        <f>VLOOKUP(A4101,'Thống kê'!$C$3:$M$682,4,0)</f>
        <v>45000</v>
      </c>
      <c r="E4101" s="438">
        <v>1</v>
      </c>
      <c r="F4101" s="439">
        <f t="shared" si="16"/>
        <v>45000</v>
      </c>
      <c r="G4101" s="440"/>
      <c r="H4101" s="450"/>
    </row>
    <row r="4102" spans="1:8" ht="13.2">
      <c r="A4102" s="454" t="s">
        <v>119</v>
      </c>
      <c r="B4102" s="452" t="str">
        <f>VLOOKUP(A4102,'Thống kê'!$C$3:$D$669,2,0)</f>
        <v>Thỏ chạy xe gắn xe</v>
      </c>
      <c r="C4102" s="436" t="str">
        <f>VLOOKUP(A4102,'Thống kê'!$C$3:$E$682,3,0)</f>
        <v>cái</v>
      </c>
      <c r="D4102" s="437">
        <f>VLOOKUP(A4102,'Thống kê'!$C$3:$M$682,4,0)</f>
        <v>45000</v>
      </c>
      <c r="E4102" s="438">
        <v>1</v>
      </c>
      <c r="F4102" s="439">
        <f t="shared" si="16"/>
        <v>45000</v>
      </c>
      <c r="G4102" s="440"/>
      <c r="H4102" s="450"/>
    </row>
    <row r="4103" spans="1:8" ht="13.2">
      <c r="A4103" s="454" t="s">
        <v>189</v>
      </c>
      <c r="B4103" s="452" t="str">
        <f>VLOOKUP(A4103,'Thống kê'!$C$3:$D$669,2,0)</f>
        <v>Gấu nâu gắn xe</v>
      </c>
      <c r="C4103" s="436" t="str">
        <f>VLOOKUP(A4103,'Thống kê'!$C$3:$E$682,3,0)</f>
        <v>cái</v>
      </c>
      <c r="D4103" s="437">
        <f>VLOOKUP(A4103,'Thống kê'!$C$3:$M$682,4,0)</f>
        <v>45000</v>
      </c>
      <c r="E4103" s="438">
        <v>1</v>
      </c>
      <c r="F4103" s="439">
        <f t="shared" si="16"/>
        <v>45000</v>
      </c>
      <c r="G4103" s="440"/>
      <c r="H4103" s="450"/>
    </row>
    <row r="4104" spans="1:8" ht="13.2">
      <c r="A4104" s="454" t="s">
        <v>1603</v>
      </c>
      <c r="B4104" s="452" t="str">
        <f>VLOOKUP(A4104,'Thống kê'!$C$3:$D$669,2,0)</f>
        <v>Thước dây hồng phấn</v>
      </c>
      <c r="C4104" s="436" t="str">
        <f>VLOOKUP(A4104,'Thống kê'!$C$3:$E$682,3,0)</f>
        <v>cái</v>
      </c>
      <c r="D4104" s="437">
        <f>VLOOKUP(A4104,'Thống kê'!$C$3:$M$682,4,0)</f>
        <v>9000</v>
      </c>
      <c r="E4104" s="438">
        <v>1</v>
      </c>
      <c r="F4104" s="439">
        <f t="shared" si="16"/>
        <v>9000</v>
      </c>
      <c r="G4104" s="440"/>
      <c r="H4104" s="447">
        <v>44397</v>
      </c>
    </row>
    <row r="4105" spans="1:8" ht="13.2">
      <c r="A4105" s="454" t="s">
        <v>1691</v>
      </c>
      <c r="B4105" s="452">
        <f>VLOOKUP(A4105,'Thống kê'!$C$3:$D$669,2,0)</f>
        <v>0</v>
      </c>
      <c r="C4105" s="436" t="str">
        <f>VLOOKUP(A4105,'Thống kê'!$C$3:$E$682,3,0)</f>
        <v>cái</v>
      </c>
      <c r="D4105" s="437">
        <f>VLOOKUP(A4105,'Thống kê'!$C$3:$M$682,4,0)</f>
        <v>0</v>
      </c>
      <c r="E4105" s="438">
        <v>1</v>
      </c>
      <c r="F4105" s="439">
        <f t="shared" si="16"/>
        <v>0</v>
      </c>
      <c r="G4105" s="440"/>
      <c r="H4105" s="450"/>
    </row>
    <row r="4106" spans="1:8" ht="13.2">
      <c r="A4106" s="454" t="s">
        <v>1688</v>
      </c>
      <c r="B4106" s="452">
        <f>VLOOKUP(A4106,'Thống kê'!$C$3:$D$669,2,0)</f>
        <v>0</v>
      </c>
      <c r="C4106" s="436" t="str">
        <f>VLOOKUP(A4106,'Thống kê'!$C$3:$E$682,3,0)</f>
        <v>cái</v>
      </c>
      <c r="D4106" s="437">
        <f>VLOOKUP(A4106,'Thống kê'!$C$3:$M$682,4,0)</f>
        <v>0</v>
      </c>
      <c r="E4106" s="438">
        <v>1</v>
      </c>
      <c r="F4106" s="439">
        <f t="shared" si="16"/>
        <v>0</v>
      </c>
      <c r="G4106" s="440"/>
      <c r="H4106" s="450"/>
    </row>
    <row r="4107" spans="1:8" ht="13.2">
      <c r="A4107" s="454" t="s">
        <v>1691</v>
      </c>
      <c r="B4107" s="452">
        <f>VLOOKUP(A4107,'Thống kê'!$C$3:$D$669,2,0)</f>
        <v>0</v>
      </c>
      <c r="C4107" s="436" t="str">
        <f>VLOOKUP(A4107,'Thống kê'!$C$3:$E$682,3,0)</f>
        <v>cái</v>
      </c>
      <c r="D4107" s="437">
        <f>VLOOKUP(A4107,'Thống kê'!$C$3:$M$682,4,0)</f>
        <v>0</v>
      </c>
      <c r="E4107" s="438">
        <v>1</v>
      </c>
      <c r="F4107" s="439">
        <f t="shared" si="16"/>
        <v>0</v>
      </c>
      <c r="G4107" s="440"/>
      <c r="H4107" s="448">
        <v>19917</v>
      </c>
    </row>
    <row r="4108" spans="1:8" ht="13.2">
      <c r="A4108" s="454" t="s">
        <v>2044</v>
      </c>
      <c r="B4108" s="452" t="str">
        <f>VLOOKUP(A4108,'Thống kê'!$C$3:$D$669,2,0)</f>
        <v>Túi chườm bụng chó trắng 500ml</v>
      </c>
      <c r="C4108" s="436" t="str">
        <f>VLOOKUP(A4108,'Thống kê'!$C$3:$E$682,3,0)</f>
        <v>túi</v>
      </c>
      <c r="D4108" s="437">
        <f>VLOOKUP(A4108,'Thống kê'!$C$3:$M$682,4,0)</f>
        <v>81000</v>
      </c>
      <c r="E4108" s="438">
        <v>2</v>
      </c>
      <c r="F4108" s="439">
        <f t="shared" si="16"/>
        <v>162000</v>
      </c>
      <c r="G4108" s="440"/>
      <c r="H4108" s="448">
        <v>115652</v>
      </c>
    </row>
    <row r="4109" spans="1:8" ht="13.2">
      <c r="A4109" s="454" t="s">
        <v>1701</v>
      </c>
      <c r="B4109" s="452" t="str">
        <f>VLOOKUP(A4109,'Thống kê'!$C$3:$D$669,2,0)</f>
        <v>Đôi cún</v>
      </c>
      <c r="C4109" s="436" t="str">
        <f>VLOOKUP(A4109,'Thống kê'!$C$3:$E$682,3,0)</f>
        <v>cái</v>
      </c>
      <c r="D4109" s="437">
        <f>VLOOKUP(A4109,'Thống kê'!$C$3:$M$682,4,0)</f>
        <v>62000</v>
      </c>
      <c r="E4109" s="438">
        <v>1</v>
      </c>
      <c r="F4109" s="439">
        <f t="shared" si="16"/>
        <v>62000</v>
      </c>
      <c r="G4109" s="440"/>
      <c r="H4109" s="448">
        <v>48633</v>
      </c>
    </row>
    <row r="4110" spans="1:8" ht="13.2">
      <c r="A4110" s="454" t="s">
        <v>2049</v>
      </c>
      <c r="B4110" s="452" t="str">
        <f>VLOOKUP(A4110,'Thống kê'!$C$3:$D$669,2,0)</f>
        <v>Trâm cài 11</v>
      </c>
      <c r="C4110" s="436" t="str">
        <f>VLOOKUP(A4110,'Thống kê'!$C$3:$E$682,3,0)</f>
        <v>cây</v>
      </c>
      <c r="D4110" s="437">
        <f>VLOOKUP(A4110,'Thống kê'!$C$3:$M$682,4,0)</f>
        <v>32200</v>
      </c>
      <c r="E4110" s="438">
        <v>1</v>
      </c>
      <c r="F4110" s="439">
        <f t="shared" si="16"/>
        <v>32200</v>
      </c>
      <c r="G4110" s="440"/>
      <c r="H4110" s="448">
        <v>26329</v>
      </c>
    </row>
    <row r="4111" spans="1:8" ht="13.2">
      <c r="A4111" s="454" t="s">
        <v>1386</v>
      </c>
      <c r="B4111" s="452" t="str">
        <f>VLOOKUP(A4111,'Thống kê'!$C$3:$D$669,2,0)</f>
        <v>Móc khoá Crybaby mini Popmart</v>
      </c>
      <c r="C4111" s="436" t="str">
        <f>VLOOKUP(A4111,'Thống kê'!$C$3:$E$682,3,0)</f>
        <v>cái</v>
      </c>
      <c r="D4111" s="437">
        <f>VLOOKUP(A4111,'Thống kê'!$C$3:$M$682,4,0)</f>
        <v>0</v>
      </c>
      <c r="E4111" s="438">
        <v>1</v>
      </c>
      <c r="F4111" s="439">
        <f t="shared" si="16"/>
        <v>0</v>
      </c>
      <c r="G4111" s="440"/>
      <c r="H4111" s="447">
        <v>218776</v>
      </c>
    </row>
    <row r="4112" spans="1:8" ht="13.2">
      <c r="A4112" s="454" t="s">
        <v>138</v>
      </c>
      <c r="B4112" s="452" t="str">
        <f>VLOOKUP(A4112,'Thống kê'!$C$3:$D$669,2,0)</f>
        <v>Móc khoá Crybaby mini Popmart</v>
      </c>
      <c r="C4112" s="436" t="str">
        <f>VLOOKUP(A4112,'Thống kê'!$C$3:$E$682,3,0)</f>
        <v>cái</v>
      </c>
      <c r="D4112" s="437">
        <f>VLOOKUP(A4112,'Thống kê'!$C$3:$M$682,4,0)</f>
        <v>0</v>
      </c>
      <c r="E4112" s="438">
        <v>1</v>
      </c>
      <c r="F4112" s="439">
        <f t="shared" si="16"/>
        <v>0</v>
      </c>
      <c r="G4112" s="440"/>
      <c r="H4112" s="450"/>
    </row>
    <row r="4113" spans="1:8" ht="13.2">
      <c r="A4113" s="454" t="s">
        <v>1341</v>
      </c>
      <c r="B4113" s="452" t="str">
        <f>VLOOKUP(A4113,'Thống kê'!$C$3:$D$669,2,0)</f>
        <v>Móc khóa chuối</v>
      </c>
      <c r="C4113" s="436" t="str">
        <f>VLOOKUP(A4113,'Thống kê'!$C$3:$E$682,3,0)</f>
        <v>cái</v>
      </c>
      <c r="D4113" s="437">
        <f>VLOOKUP(A4113,'Thống kê'!$C$3:$M$682,4,0)</f>
        <v>148000</v>
      </c>
      <c r="E4113" s="438">
        <v>1</v>
      </c>
      <c r="F4113" s="439">
        <f t="shared" si="16"/>
        <v>148000</v>
      </c>
      <c r="G4113" s="440"/>
      <c r="H4113" s="448">
        <v>80725</v>
      </c>
    </row>
    <row r="4114" spans="1:8" ht="13.2">
      <c r="A4114" s="454" t="s">
        <v>181</v>
      </c>
      <c r="B4114" s="452" t="str">
        <f>VLOOKUP(A4114,'Thống kê'!$C$3:$D$669,2,0)</f>
        <v>Thỏ mặt trăng gắn xe</v>
      </c>
      <c r="C4114" s="436" t="str">
        <f>VLOOKUP(A4114,'Thống kê'!$C$3:$E$682,3,0)</f>
        <v>cái</v>
      </c>
      <c r="D4114" s="437">
        <f>VLOOKUP(A4114,'Thống kê'!$C$3:$M$682,4,0)</f>
        <v>45000</v>
      </c>
      <c r="E4114" s="438">
        <v>1</v>
      </c>
      <c r="F4114" s="439">
        <f t="shared" si="16"/>
        <v>45000</v>
      </c>
      <c r="G4114" s="440"/>
      <c r="H4114" s="447">
        <v>129232</v>
      </c>
    </row>
    <row r="4115" spans="1:8" ht="13.2">
      <c r="A4115" s="454" t="s">
        <v>183</v>
      </c>
      <c r="B4115" s="452" t="str">
        <f>VLOOKUP(A4115,'Thống kê'!$C$3:$D$669,2,0)</f>
        <v>Thỏ máy bay gắn xe</v>
      </c>
      <c r="C4115" s="436" t="str">
        <f>VLOOKUP(A4115,'Thống kê'!$C$3:$E$682,3,0)</f>
        <v>cái</v>
      </c>
      <c r="D4115" s="437">
        <f>VLOOKUP(A4115,'Thống kê'!$C$3:$M$682,4,0)</f>
        <v>45000</v>
      </c>
      <c r="E4115" s="438">
        <v>1</v>
      </c>
      <c r="F4115" s="439">
        <f t="shared" si="16"/>
        <v>45000</v>
      </c>
      <c r="G4115" s="440"/>
      <c r="H4115" s="450"/>
    </row>
    <row r="4116" spans="1:8" ht="13.2">
      <c r="A4116" s="454" t="s">
        <v>145</v>
      </c>
      <c r="B4116" s="452" t="str">
        <f>VLOOKUP(A4116,'Thống kê'!$C$3:$D$669,2,0)</f>
        <v>Thỏ đi vịt gắn xe</v>
      </c>
      <c r="C4116" s="436" t="str">
        <f>VLOOKUP(A4116,'Thống kê'!$C$3:$E$682,3,0)</f>
        <v>cái</v>
      </c>
      <c r="D4116" s="437">
        <f>VLOOKUP(A4116,'Thống kê'!$C$3:$M$682,4,0)</f>
        <v>45000</v>
      </c>
      <c r="E4116" s="438">
        <v>1</v>
      </c>
      <c r="F4116" s="439">
        <f t="shared" si="16"/>
        <v>45000</v>
      </c>
      <c r="G4116" s="440"/>
      <c r="H4116" s="450"/>
    </row>
    <row r="4117" spans="1:8" ht="13.2">
      <c r="A4117" s="454" t="s">
        <v>119</v>
      </c>
      <c r="B4117" s="452" t="str">
        <f>VLOOKUP(A4117,'Thống kê'!$C$3:$D$669,2,0)</f>
        <v>Thỏ chạy xe gắn xe</v>
      </c>
      <c r="C4117" s="436" t="str">
        <f>VLOOKUP(A4117,'Thống kê'!$C$3:$E$682,3,0)</f>
        <v>cái</v>
      </c>
      <c r="D4117" s="437">
        <f>VLOOKUP(A4117,'Thống kê'!$C$3:$M$682,4,0)</f>
        <v>45000</v>
      </c>
      <c r="E4117" s="438">
        <v>1</v>
      </c>
      <c r="F4117" s="439">
        <f t="shared" si="16"/>
        <v>45000</v>
      </c>
      <c r="G4117" s="440"/>
      <c r="H4117" s="450"/>
    </row>
    <row r="4118" spans="1:8" ht="13.2">
      <c r="A4118" s="454" t="s">
        <v>1632</v>
      </c>
      <c r="B4118" s="452" t="str">
        <f>VLOOKUP(A4118,'Thống kê'!$C$3:$D$669,2,0)</f>
        <v>Móc khóa đôi mèo trắng</v>
      </c>
      <c r="C4118" s="436" t="str">
        <f>VLOOKUP(A4118,'Thống kê'!$C$3:$E$682,3,0)</f>
        <v>cái</v>
      </c>
      <c r="D4118" s="437">
        <f>VLOOKUP(A4118,'Thống kê'!$C$3:$M$682,4,0)</f>
        <v>59000</v>
      </c>
      <c r="E4118" s="438">
        <v>1</v>
      </c>
      <c r="F4118" s="439">
        <f t="shared" si="16"/>
        <v>59000</v>
      </c>
      <c r="G4118" s="440"/>
      <c r="H4118" s="448">
        <v>38770</v>
      </c>
    </row>
    <row r="4119" spans="1:8" ht="13.2">
      <c r="A4119" s="454" t="s">
        <v>113</v>
      </c>
      <c r="B4119" s="452" t="str">
        <f>VLOOKUP(A4119,'Thống kê'!$C$3:$D$669,2,0)</f>
        <v>Móc khoá Dimoo size mini (hàng remake)</v>
      </c>
      <c r="C4119" s="436" t="str">
        <f>VLOOKUP(A4119,'Thống kê'!$C$3:$E$682,3,0)</f>
        <v>cái</v>
      </c>
      <c r="D4119" s="437">
        <f>VLOOKUP(A4119,'Thống kê'!$C$3:$M$682,4,0)</f>
        <v>0</v>
      </c>
      <c r="E4119" s="438">
        <v>1</v>
      </c>
      <c r="F4119" s="439">
        <f t="shared" si="16"/>
        <v>0</v>
      </c>
      <c r="G4119" s="440"/>
      <c r="H4119" s="448">
        <v>151864</v>
      </c>
    </row>
    <row r="4120" spans="1:8" ht="13.2">
      <c r="A4120" s="454" t="s">
        <v>115</v>
      </c>
      <c r="B4120" s="452" t="str">
        <f>VLOOKUP(A4120,'Thống kê'!$C$3:$D$669,2,0)</f>
        <v>Heo ú</v>
      </c>
      <c r="C4120" s="436" t="str">
        <f>VLOOKUP(A4120,'Thống kê'!$C$3:$E$682,3,0)</f>
        <v>cái</v>
      </c>
      <c r="D4120" s="437">
        <f>VLOOKUP(A4120,'Thống kê'!$C$3:$M$682,4,0)</f>
        <v>59500</v>
      </c>
      <c r="E4120" s="438">
        <v>1</v>
      </c>
      <c r="F4120" s="439">
        <f t="shared" si="16"/>
        <v>59500</v>
      </c>
      <c r="G4120" s="440"/>
      <c r="H4120" s="448">
        <v>48308</v>
      </c>
    </row>
    <row r="4121" spans="1:8" ht="13.2">
      <c r="A4121" s="454" t="s">
        <v>1353</v>
      </c>
      <c r="B4121" s="452" t="str">
        <f>VLOOKUP(A4121,'Thống kê'!$C$3:$D$669,2,0)</f>
        <v>Trang trí mô hình Vịt</v>
      </c>
      <c r="C4121" s="436" t="str">
        <f>VLOOKUP(A4121,'Thống kê'!$C$3:$E$682,3,0)</f>
        <v>cái</v>
      </c>
      <c r="D4121" s="437">
        <f>VLOOKUP(A4121,'Thống kê'!$C$3:$M$682,4,0)</f>
        <v>39000</v>
      </c>
      <c r="E4121" s="438">
        <v>1</v>
      </c>
      <c r="F4121" s="439">
        <f t="shared" si="16"/>
        <v>39000</v>
      </c>
      <c r="G4121" s="440"/>
      <c r="H4121" s="447">
        <v>54744</v>
      </c>
    </row>
    <row r="4122" spans="1:8" ht="13.2">
      <c r="A4122" s="454" t="s">
        <v>1357</v>
      </c>
      <c r="B4122" s="452" t="str">
        <f>VLOOKUP(A4122,'Thống kê'!$C$3:$D$669,2,0)</f>
        <v>Trang trí mô hình Thỏ</v>
      </c>
      <c r="C4122" s="436" t="str">
        <f>VLOOKUP(A4122,'Thống kê'!$C$3:$E$682,3,0)</f>
        <v>cái</v>
      </c>
      <c r="D4122" s="437">
        <f>VLOOKUP(A4122,'Thống kê'!$C$3:$M$682,4,0)</f>
        <v>39000</v>
      </c>
      <c r="E4122" s="438">
        <v>1</v>
      </c>
      <c r="F4122" s="439">
        <f t="shared" si="16"/>
        <v>39000</v>
      </c>
      <c r="G4122" s="440"/>
      <c r="H4122" s="450"/>
    </row>
    <row r="4123" spans="1:8" ht="13.2">
      <c r="A4123" s="454" t="s">
        <v>1388</v>
      </c>
      <c r="B4123" s="452" t="str">
        <f>VLOOKUP(A4123,'Thống kê'!$C$3:$D$669,2,0)</f>
        <v>Móc khoá Crybaby mini Popmart</v>
      </c>
      <c r="C4123" s="436" t="str">
        <f>VLOOKUP(A4123,'Thống kê'!$C$3:$E$682,3,0)</f>
        <v>cái</v>
      </c>
      <c r="D4123" s="437">
        <f>VLOOKUP(A4123,'Thống kê'!$C$3:$M$682,4,0)</f>
        <v>0</v>
      </c>
      <c r="E4123" s="438">
        <v>1</v>
      </c>
      <c r="F4123" s="439">
        <f t="shared" si="16"/>
        <v>0</v>
      </c>
      <c r="G4123" s="440"/>
      <c r="H4123" s="448">
        <v>112340</v>
      </c>
    </row>
    <row r="4124" spans="1:8" ht="13.2">
      <c r="A4124" s="454" t="s">
        <v>1624</v>
      </c>
      <c r="B4124" s="452" t="str">
        <f>VLOOKUP(A4124,'Thống kê'!$C$3:$D$669,2,0)</f>
        <v>Móc khóa mèo trái tim</v>
      </c>
      <c r="C4124" s="436" t="str">
        <f>VLOOKUP(A4124,'Thống kê'!$C$3:$E$682,3,0)</f>
        <v>cái</v>
      </c>
      <c r="D4124" s="437">
        <f>VLOOKUP(A4124,'Thống kê'!$C$3:$M$682,4,0)</f>
        <v>59000</v>
      </c>
      <c r="E4124" s="438">
        <v>1</v>
      </c>
      <c r="F4124" s="439">
        <f t="shared" si="16"/>
        <v>59000</v>
      </c>
      <c r="G4124" s="440"/>
      <c r="H4124" s="448">
        <v>40410</v>
      </c>
    </row>
    <row r="4125" spans="1:8" ht="13.2">
      <c r="A4125" s="454" t="s">
        <v>1397</v>
      </c>
      <c r="B4125" s="452" t="str">
        <f>VLOOKUP(A4125,'Thống kê'!$C$3:$D$669,2,0)</f>
        <v>Móc khoá Labubu mini Popmart</v>
      </c>
      <c r="C4125" s="436" t="str">
        <f>VLOOKUP(A4125,'Thống kê'!$C$3:$E$682,3,0)</f>
        <v>cái</v>
      </c>
      <c r="D4125" s="437">
        <f>VLOOKUP(A4125,'Thống kê'!$C$3:$M$682,4,0)</f>
        <v>0</v>
      </c>
      <c r="E4125" s="438">
        <v>1</v>
      </c>
      <c r="F4125" s="439">
        <f t="shared" si="16"/>
        <v>0</v>
      </c>
      <c r="G4125" s="440"/>
      <c r="H4125" s="448">
        <v>92496</v>
      </c>
    </row>
    <row r="4126" spans="1:8" ht="13.2">
      <c r="A4126" s="454" t="s">
        <v>1688</v>
      </c>
      <c r="B4126" s="452">
        <f>VLOOKUP(A4126,'Thống kê'!$C$3:$D$669,2,0)</f>
        <v>0</v>
      </c>
      <c r="C4126" s="436" t="str">
        <f>VLOOKUP(A4126,'Thống kê'!$C$3:$E$682,3,0)</f>
        <v>cái</v>
      </c>
      <c r="D4126" s="437">
        <f>VLOOKUP(A4126,'Thống kê'!$C$3:$M$682,4,0)</f>
        <v>0</v>
      </c>
      <c r="E4126" s="438">
        <v>1</v>
      </c>
      <c r="F4126" s="439">
        <f t="shared" si="16"/>
        <v>0</v>
      </c>
      <c r="G4126" s="440"/>
      <c r="H4126" s="448">
        <v>20542</v>
      </c>
    </row>
    <row r="4127" spans="1:8" ht="13.2">
      <c r="A4127" s="454" t="s">
        <v>165</v>
      </c>
      <c r="B4127" s="452" t="str">
        <f>VLOOKUP(A4127,'Thống kê'!$C$3:$D$669,2,0)</f>
        <v>Móc khóa Popbean</v>
      </c>
      <c r="C4127" s="436" t="str">
        <f>VLOOKUP(A4127,'Thống kê'!$C$3:$E$682,3,0)</f>
        <v>cái</v>
      </c>
      <c r="D4127" s="437">
        <f>VLOOKUP(A4127,'Thống kê'!$C$3:$M$682,4,0)</f>
        <v>148000</v>
      </c>
      <c r="E4127" s="438">
        <v>1</v>
      </c>
      <c r="F4127" s="439">
        <f t="shared" si="16"/>
        <v>148000</v>
      </c>
      <c r="G4127" s="440"/>
      <c r="H4127" s="448">
        <v>131200</v>
      </c>
    </row>
    <row r="4128" spans="1:8" ht="13.2">
      <c r="A4128" s="454" t="s">
        <v>1639</v>
      </c>
      <c r="B4128" s="452" t="str">
        <f>VLOOKUP(A4128,'Thống kê'!$C$3:$D$669,2,0)</f>
        <v>Móc khóa đôi Puppy</v>
      </c>
      <c r="C4128" s="436" t="str">
        <f>VLOOKUP(A4128,'Thống kê'!$C$3:$E$682,3,0)</f>
        <v>cái</v>
      </c>
      <c r="D4128" s="437">
        <f>VLOOKUP(A4128,'Thống kê'!$C$3:$M$682,4,0)</f>
        <v>59000</v>
      </c>
      <c r="E4128" s="438">
        <v>1</v>
      </c>
      <c r="F4128" s="439">
        <f t="shared" si="16"/>
        <v>59000</v>
      </c>
      <c r="G4128" s="440"/>
      <c r="H4128" s="448">
        <v>40410</v>
      </c>
    </row>
    <row r="4129" spans="1:8" ht="13.2">
      <c r="A4129" s="454" t="s">
        <v>177</v>
      </c>
      <c r="B4129" s="452" t="str">
        <f>VLOOKUP(A4129,'Thống kê'!$C$3:$D$669,2,0)</f>
        <v>Dao rọc giấy 15</v>
      </c>
      <c r="C4129" s="436" t="str">
        <f>VLOOKUP(A4129,'Thống kê'!$C$3:$E$682,3,0)</f>
        <v>cái</v>
      </c>
      <c r="D4129" s="437">
        <f>VLOOKUP(A4129,'Thống kê'!$C$3:$M$682,4,0)</f>
        <v>12000</v>
      </c>
      <c r="E4129" s="438">
        <v>1</v>
      </c>
      <c r="F4129" s="439">
        <f t="shared" si="16"/>
        <v>12000</v>
      </c>
      <c r="G4129" s="440"/>
      <c r="H4129" s="447">
        <v>57535</v>
      </c>
    </row>
    <row r="4130" spans="1:8" ht="13.2">
      <c r="A4130" s="454" t="s">
        <v>325</v>
      </c>
      <c r="B4130" s="452" t="str">
        <f>VLOOKUP(A4130,'Thống kê'!$C$3:$D$669,2,0)</f>
        <v>Gấu ú</v>
      </c>
      <c r="C4130" s="436" t="str">
        <f>VLOOKUP(A4130,'Thống kê'!$C$3:$E$682,3,0)</f>
        <v>cái</v>
      </c>
      <c r="D4130" s="437">
        <f>VLOOKUP(A4130,'Thống kê'!$C$3:$M$682,4,0)</f>
        <v>59500</v>
      </c>
      <c r="E4130" s="438">
        <v>1</v>
      </c>
      <c r="F4130" s="439">
        <f t="shared" si="16"/>
        <v>59500</v>
      </c>
      <c r="G4130" s="440"/>
      <c r="H4130" s="450"/>
    </row>
    <row r="4131" spans="1:8" ht="13.2">
      <c r="A4131" s="454" t="s">
        <v>115</v>
      </c>
      <c r="B4131" s="452" t="str">
        <f>VLOOKUP(A4131,'Thống kê'!$C$3:$D$669,2,0)</f>
        <v>Heo ú</v>
      </c>
      <c r="C4131" s="436" t="str">
        <f>VLOOKUP(A4131,'Thống kê'!$C$3:$E$682,3,0)</f>
        <v>cái</v>
      </c>
      <c r="D4131" s="437">
        <f>VLOOKUP(A4131,'Thống kê'!$C$3:$M$682,4,0)</f>
        <v>59500</v>
      </c>
      <c r="E4131" s="438">
        <v>1</v>
      </c>
      <c r="F4131" s="439">
        <f t="shared" si="16"/>
        <v>59500</v>
      </c>
      <c r="G4131" s="440"/>
      <c r="H4131" s="448">
        <v>48533</v>
      </c>
    </row>
    <row r="4132" spans="1:8" ht="13.2">
      <c r="A4132" s="454" t="s">
        <v>1387</v>
      </c>
      <c r="B4132" s="452" t="str">
        <f>VLOOKUP(A4132,'Thống kê'!$C$3:$D$669,2,0)</f>
        <v>Móc khoá Crybaby mini Popmart</v>
      </c>
      <c r="C4132" s="436" t="str">
        <f>VLOOKUP(A4132,'Thống kê'!$C$3:$E$682,3,0)</f>
        <v>cái</v>
      </c>
      <c r="D4132" s="437">
        <f>VLOOKUP(A4132,'Thống kê'!$C$3:$M$682,4,0)</f>
        <v>0</v>
      </c>
      <c r="E4132" s="438">
        <v>1</v>
      </c>
      <c r="F4132" s="439">
        <f t="shared" si="16"/>
        <v>0</v>
      </c>
      <c r="G4132" s="440"/>
      <c r="H4132" s="448">
        <v>112340</v>
      </c>
    </row>
    <row r="4133" spans="1:8" ht="13.2">
      <c r="A4133" s="454" t="s">
        <v>115</v>
      </c>
      <c r="B4133" s="452" t="str">
        <f>VLOOKUP(A4133,'Thống kê'!$C$3:$D$669,2,0)</f>
        <v>Heo ú</v>
      </c>
      <c r="C4133" s="436" t="str">
        <f>VLOOKUP(A4133,'Thống kê'!$C$3:$E$682,3,0)</f>
        <v>cái</v>
      </c>
      <c r="D4133" s="437">
        <f>VLOOKUP(A4133,'Thống kê'!$C$3:$M$682,4,0)</f>
        <v>59500</v>
      </c>
      <c r="E4133" s="438">
        <v>1</v>
      </c>
      <c r="F4133" s="439">
        <f t="shared" si="16"/>
        <v>59500</v>
      </c>
      <c r="G4133" s="440"/>
      <c r="H4133" s="447">
        <v>304844</v>
      </c>
    </row>
    <row r="4134" spans="1:8" ht="13.2">
      <c r="A4134" s="454" t="s">
        <v>1589</v>
      </c>
      <c r="B4134" s="452" t="str">
        <f>VLOOKUP(A4134,'Thống kê'!$C$3:$D$669,2,0)</f>
        <v>Heo ú bay</v>
      </c>
      <c r="C4134" s="436" t="str">
        <f>VLOOKUP(A4134,'Thống kê'!$C$3:$E$682,3,0)</f>
        <v>cái</v>
      </c>
      <c r="D4134" s="437">
        <f>VLOOKUP(A4134,'Thống kê'!$C$3:$M$682,4,0)</f>
        <v>64500</v>
      </c>
      <c r="E4134" s="438">
        <v>1</v>
      </c>
      <c r="F4134" s="439">
        <f t="shared" si="16"/>
        <v>64500</v>
      </c>
      <c r="G4134" s="440"/>
      <c r="H4134" s="450"/>
    </row>
    <row r="4135" spans="1:8" ht="13.2">
      <c r="A4135" s="454" t="s">
        <v>1698</v>
      </c>
      <c r="B4135" s="452" t="str">
        <f>VLOOKUP(A4135,'Thống kê'!$C$3:$D$669,2,0)</f>
        <v>Mô hình động vật thần tài - Heo hồng</v>
      </c>
      <c r="C4135" s="436" t="str">
        <f>VLOOKUP(A4135,'Thống kê'!$C$3:$E$682,3,0)</f>
        <v>cái</v>
      </c>
      <c r="D4135" s="437">
        <f>VLOOKUP(A4135,'Thống kê'!$C$3:$M$682,4,0)</f>
        <v>59000</v>
      </c>
      <c r="E4135" s="438">
        <v>1</v>
      </c>
      <c r="F4135" s="439">
        <f t="shared" ref="F4135:F4389" si="17">D4135*E4135</f>
        <v>59000</v>
      </c>
      <c r="G4135" s="440"/>
      <c r="H4135" s="450"/>
    </row>
    <row r="4136" spans="1:8" ht="13.2">
      <c r="A4136" s="454" t="s">
        <v>1594</v>
      </c>
      <c r="B4136" s="452" t="str">
        <f>VLOOKUP(A4136,'Thống kê'!$C$3:$D$669,2,0)</f>
        <v>Móc khóa đôi heo</v>
      </c>
      <c r="C4136" s="436" t="str">
        <f>VLOOKUP(A4136,'Thống kê'!$C$3:$E$682,3,0)</f>
        <v>cái</v>
      </c>
      <c r="D4136" s="437">
        <f>VLOOKUP(A4136,'Thống kê'!$C$3:$M$682,4,0)</f>
        <v>56580</v>
      </c>
      <c r="E4136" s="438">
        <v>1</v>
      </c>
      <c r="F4136" s="439">
        <f t="shared" si="17"/>
        <v>56580</v>
      </c>
      <c r="G4136" s="440"/>
      <c r="H4136" s="450"/>
    </row>
    <row r="4137" spans="1:8" ht="13.2">
      <c r="A4137" s="454" t="s">
        <v>1351</v>
      </c>
      <c r="B4137" s="452" t="str">
        <f>VLOOKUP(A4137,'Thống kê'!$C$3:$D$669,2,0)</f>
        <v>Trang trí mô hình Heo</v>
      </c>
      <c r="C4137" s="436" t="str">
        <f>VLOOKUP(A4137,'Thống kê'!$C$3:$E$682,3,0)</f>
        <v>cái</v>
      </c>
      <c r="D4137" s="437">
        <f>VLOOKUP(A4137,'Thống kê'!$C$3:$M$682,4,0)</f>
        <v>39000</v>
      </c>
      <c r="E4137" s="438">
        <v>1</v>
      </c>
      <c r="F4137" s="439">
        <f t="shared" si="17"/>
        <v>39000</v>
      </c>
      <c r="G4137" s="440"/>
      <c r="H4137" s="450"/>
    </row>
    <row r="4138" spans="1:8" ht="13.2">
      <c r="A4138" s="454" t="s">
        <v>310</v>
      </c>
      <c r="B4138" s="452" t="str">
        <f>VLOOKUP(A4138,'Thống kê'!$C$3:$D$669,2,0)</f>
        <v>Trang trí mô hình Heo</v>
      </c>
      <c r="C4138" s="436" t="str">
        <f>VLOOKUP(A4138,'Thống kê'!$C$3:$E$682,3,0)</f>
        <v>cái</v>
      </c>
      <c r="D4138" s="437">
        <f>VLOOKUP(A4138,'Thống kê'!$C$3:$M$682,4,0)</f>
        <v>39000</v>
      </c>
      <c r="E4138" s="438">
        <v>1</v>
      </c>
      <c r="F4138" s="439">
        <f t="shared" si="17"/>
        <v>39000</v>
      </c>
      <c r="G4138" s="440"/>
      <c r="H4138" s="450"/>
    </row>
    <row r="4139" spans="1:8" ht="13.2">
      <c r="A4139" s="454" t="s">
        <v>1624</v>
      </c>
      <c r="B4139" s="452" t="str">
        <f>VLOOKUP(A4139,'Thống kê'!$C$3:$D$669,2,0)</f>
        <v>Móc khóa mèo trái tim</v>
      </c>
      <c r="C4139" s="436" t="str">
        <f>VLOOKUP(A4139,'Thống kê'!$C$3:$E$682,3,0)</f>
        <v>cái</v>
      </c>
      <c r="D4139" s="437">
        <f>VLOOKUP(A4139,'Thống kê'!$C$3:$M$682,4,0)</f>
        <v>59000</v>
      </c>
      <c r="E4139" s="438">
        <v>1</v>
      </c>
      <c r="F4139" s="439">
        <f t="shared" si="17"/>
        <v>59000</v>
      </c>
      <c r="G4139" s="440"/>
      <c r="H4139" s="448">
        <v>40210</v>
      </c>
    </row>
    <row r="4140" spans="1:8" ht="13.2">
      <c r="A4140" s="454" t="s">
        <v>1389</v>
      </c>
      <c r="B4140" s="452" t="str">
        <f>VLOOKUP(A4140,'Thống kê'!$C$3:$D$669,2,0)</f>
        <v>Móc khoá Crybaby mini Popmart</v>
      </c>
      <c r="C4140" s="436" t="str">
        <f>VLOOKUP(A4140,'Thống kê'!$C$3:$E$682,3,0)</f>
        <v>cái</v>
      </c>
      <c r="D4140" s="437">
        <f>VLOOKUP(A4140,'Thống kê'!$C$3:$M$682,4,0)</f>
        <v>0</v>
      </c>
      <c r="E4140" s="438">
        <v>1</v>
      </c>
      <c r="F4140" s="439">
        <f t="shared" si="17"/>
        <v>0</v>
      </c>
      <c r="G4140" s="440"/>
      <c r="H4140" s="448">
        <v>112340</v>
      </c>
    </row>
    <row r="4141" spans="1:8" ht="13.2">
      <c r="A4141" s="454" t="s">
        <v>1639</v>
      </c>
      <c r="B4141" s="452" t="str">
        <f>VLOOKUP(A4141,'Thống kê'!$C$3:$D$669,2,0)</f>
        <v>Móc khóa đôi Puppy</v>
      </c>
      <c r="C4141" s="436" t="str">
        <f>VLOOKUP(A4141,'Thống kê'!$C$3:$E$682,3,0)</f>
        <v>cái</v>
      </c>
      <c r="D4141" s="437">
        <f>VLOOKUP(A4141,'Thống kê'!$C$3:$M$682,4,0)</f>
        <v>59000</v>
      </c>
      <c r="E4141" s="438">
        <v>1</v>
      </c>
      <c r="F4141" s="439">
        <f t="shared" si="17"/>
        <v>59000</v>
      </c>
      <c r="G4141" s="440"/>
      <c r="H4141" s="448">
        <v>40410</v>
      </c>
    </row>
    <row r="4142" spans="1:8" ht="13.2">
      <c r="A4142" s="454" t="s">
        <v>115</v>
      </c>
      <c r="B4142" s="452" t="str">
        <f>VLOOKUP(A4142,'Thống kê'!$C$3:$D$669,2,0)</f>
        <v>Heo ú</v>
      </c>
      <c r="C4142" s="436" t="str">
        <f>VLOOKUP(A4142,'Thống kê'!$C$3:$E$682,3,0)</f>
        <v>cái</v>
      </c>
      <c r="D4142" s="437">
        <f>VLOOKUP(A4142,'Thống kê'!$C$3:$M$682,4,0)</f>
        <v>59500</v>
      </c>
      <c r="E4142" s="438">
        <v>1</v>
      </c>
      <c r="F4142" s="439">
        <f t="shared" si="17"/>
        <v>59500</v>
      </c>
      <c r="G4142" s="440"/>
      <c r="H4142" s="448">
        <v>48308</v>
      </c>
    </row>
    <row r="4143" spans="1:8" ht="13.2">
      <c r="A4143" s="454" t="s">
        <v>150</v>
      </c>
      <c r="B4143" s="452" t="str">
        <f>VLOOKUP(A4143,'Thống kê'!$C$3:$D$669,2,0)</f>
        <v>Móc khóa có chuông</v>
      </c>
      <c r="C4143" s="436" t="str">
        <f>VLOOKUP(A4143,'Thống kê'!$C$3:$E$682,3,0)</f>
        <v>cái</v>
      </c>
      <c r="D4143" s="437">
        <f>VLOOKUP(A4143,'Thống kê'!$C$3:$M$682,4,0)</f>
        <v>59000</v>
      </c>
      <c r="E4143" s="438">
        <v>1</v>
      </c>
      <c r="F4143" s="439">
        <f t="shared" si="17"/>
        <v>59000</v>
      </c>
      <c r="G4143" s="440"/>
      <c r="H4143" s="448">
        <v>40410</v>
      </c>
    </row>
    <row r="4144" spans="1:8" ht="13.2">
      <c r="A4144" s="454" t="s">
        <v>230</v>
      </c>
      <c r="B4144" s="452" t="str">
        <f>VLOOKUP(A4144,'Thống kê'!$C$3:$D$669,2,0)</f>
        <v>Móc khoá Crybaby mini Popmart</v>
      </c>
      <c r="C4144" s="436" t="str">
        <f>VLOOKUP(A4144,'Thống kê'!$C$3:$E$682,3,0)</f>
        <v>cái</v>
      </c>
      <c r="D4144" s="437">
        <f>VLOOKUP(A4144,'Thống kê'!$C$3:$M$682,4,0)</f>
        <v>0</v>
      </c>
      <c r="E4144" s="438">
        <v>1</v>
      </c>
      <c r="F4144" s="439">
        <f t="shared" si="17"/>
        <v>0</v>
      </c>
      <c r="G4144" s="440"/>
      <c r="H4144" s="447">
        <v>332100</v>
      </c>
    </row>
    <row r="4145" spans="1:8" ht="13.2">
      <c r="A4145" s="454" t="s">
        <v>1386</v>
      </c>
      <c r="B4145" s="452" t="str">
        <f>VLOOKUP(A4145,'Thống kê'!$C$3:$D$669,2,0)</f>
        <v>Móc khoá Crybaby mini Popmart</v>
      </c>
      <c r="C4145" s="436" t="str">
        <f>VLOOKUP(A4145,'Thống kê'!$C$3:$E$682,3,0)</f>
        <v>cái</v>
      </c>
      <c r="D4145" s="437">
        <f>VLOOKUP(A4145,'Thống kê'!$C$3:$M$682,4,0)</f>
        <v>0</v>
      </c>
      <c r="E4145" s="438">
        <v>1</v>
      </c>
      <c r="F4145" s="439">
        <f t="shared" si="17"/>
        <v>0</v>
      </c>
      <c r="G4145" s="440"/>
      <c r="H4145" s="450"/>
    </row>
    <row r="4146" spans="1:8" ht="13.2">
      <c r="A4146" s="454" t="s">
        <v>138</v>
      </c>
      <c r="B4146" s="452" t="str">
        <f>VLOOKUP(A4146,'Thống kê'!$C$3:$D$669,2,0)</f>
        <v>Móc khoá Crybaby mini Popmart</v>
      </c>
      <c r="C4146" s="436" t="str">
        <f>VLOOKUP(A4146,'Thống kê'!$C$3:$E$682,3,0)</f>
        <v>cái</v>
      </c>
      <c r="D4146" s="437">
        <f>VLOOKUP(A4146,'Thống kê'!$C$3:$M$682,4,0)</f>
        <v>0</v>
      </c>
      <c r="E4146" s="438">
        <v>1</v>
      </c>
      <c r="F4146" s="439">
        <f t="shared" si="17"/>
        <v>0</v>
      </c>
      <c r="G4146" s="440"/>
      <c r="H4146" s="450"/>
    </row>
    <row r="4147" spans="1:8" ht="13.2">
      <c r="A4147" s="454" t="s">
        <v>115</v>
      </c>
      <c r="B4147" s="452" t="str">
        <f>VLOOKUP(A4147,'Thống kê'!$C$3:$D$669,2,0)</f>
        <v>Heo ú</v>
      </c>
      <c r="C4147" s="436" t="str">
        <f>VLOOKUP(A4147,'Thống kê'!$C$3:$E$682,3,0)</f>
        <v>cái</v>
      </c>
      <c r="D4147" s="437">
        <f>VLOOKUP(A4147,'Thống kê'!$C$3:$M$682,4,0)</f>
        <v>59500</v>
      </c>
      <c r="E4147" s="438">
        <v>1</v>
      </c>
      <c r="F4147" s="439">
        <f t="shared" si="17"/>
        <v>59500</v>
      </c>
      <c r="G4147" s="440"/>
      <c r="H4147" s="448">
        <v>48708</v>
      </c>
    </row>
    <row r="4148" spans="1:8" ht="13.2">
      <c r="A4148" s="454" t="s">
        <v>1387</v>
      </c>
      <c r="B4148" s="452" t="str">
        <f>VLOOKUP(A4148,'Thống kê'!$C$3:$D$669,2,0)</f>
        <v>Móc khoá Crybaby mini Popmart</v>
      </c>
      <c r="C4148" s="436" t="str">
        <f>VLOOKUP(A4148,'Thống kê'!$C$3:$E$682,3,0)</f>
        <v>cái</v>
      </c>
      <c r="D4148" s="437">
        <f>VLOOKUP(A4148,'Thống kê'!$C$3:$M$682,4,0)</f>
        <v>0</v>
      </c>
      <c r="E4148" s="438">
        <v>1</v>
      </c>
      <c r="F4148" s="439">
        <f t="shared" si="17"/>
        <v>0</v>
      </c>
      <c r="G4148" s="440"/>
      <c r="H4148" s="448">
        <v>112340</v>
      </c>
    </row>
    <row r="4149" spans="1:8" ht="13.2">
      <c r="A4149" s="454" t="s">
        <v>1947</v>
      </c>
      <c r="B4149" s="452" t="str">
        <f>VLOOKUP(A4149,'Thống kê'!$C$3:$D$669,2,0)</f>
        <v>Kẹp nơ trắng</v>
      </c>
      <c r="C4149" s="436" t="str">
        <f>VLOOKUP(A4149,'Thống kê'!$C$3:$E$682,3,0)</f>
        <v>cái</v>
      </c>
      <c r="D4149" s="437">
        <f>VLOOKUP(A4149,'Thống kê'!$C$3:$M$682,4,0)</f>
        <v>22000</v>
      </c>
      <c r="E4149" s="438">
        <v>1</v>
      </c>
      <c r="F4149" s="439">
        <f t="shared" si="17"/>
        <v>22000</v>
      </c>
      <c r="G4149" s="440"/>
      <c r="H4149" s="448">
        <v>16596</v>
      </c>
    </row>
    <row r="4150" spans="1:8" ht="13.2">
      <c r="A4150" s="454" t="s">
        <v>258</v>
      </c>
      <c r="B4150" s="452" t="str">
        <f>VLOOKUP(A4150,'Thống kê'!$C$3:$D$669,2,0)</f>
        <v>Móc khoá Crybaby mini Popmart</v>
      </c>
      <c r="C4150" s="436" t="str">
        <f>VLOOKUP(A4150,'Thống kê'!$C$3:$E$682,3,0)</f>
        <v>cái</v>
      </c>
      <c r="D4150" s="437">
        <f>VLOOKUP(A4150,'Thống kê'!$C$3:$M$682,4,0)</f>
        <v>0</v>
      </c>
      <c r="E4150" s="438">
        <v>1</v>
      </c>
      <c r="F4150" s="439">
        <f t="shared" si="17"/>
        <v>0</v>
      </c>
      <c r="G4150" s="440"/>
      <c r="H4150" s="447">
        <v>218776</v>
      </c>
    </row>
    <row r="4151" spans="1:8" ht="13.2">
      <c r="A4151" s="454" t="s">
        <v>1389</v>
      </c>
      <c r="B4151" s="452" t="str">
        <f>VLOOKUP(A4151,'Thống kê'!$C$3:$D$669,2,0)</f>
        <v>Móc khoá Crybaby mini Popmart</v>
      </c>
      <c r="C4151" s="436" t="str">
        <f>VLOOKUP(A4151,'Thống kê'!$C$3:$E$682,3,0)</f>
        <v>cái</v>
      </c>
      <c r="D4151" s="437">
        <f>VLOOKUP(A4151,'Thống kê'!$C$3:$M$682,4,0)</f>
        <v>0</v>
      </c>
      <c r="E4151" s="438">
        <v>1</v>
      </c>
      <c r="F4151" s="439">
        <f t="shared" si="17"/>
        <v>0</v>
      </c>
      <c r="G4151" s="440"/>
      <c r="H4151" s="450"/>
    </row>
    <row r="4152" spans="1:8" ht="13.2">
      <c r="A4152" s="454" t="s">
        <v>150</v>
      </c>
      <c r="B4152" s="452" t="str">
        <f>VLOOKUP(A4152,'Thống kê'!$C$3:$D$669,2,0)</f>
        <v>Móc khóa có chuông</v>
      </c>
      <c r="C4152" s="436" t="str">
        <f>VLOOKUP(A4152,'Thống kê'!$C$3:$E$682,3,0)</f>
        <v>cái</v>
      </c>
      <c r="D4152" s="437">
        <f>VLOOKUP(A4152,'Thống kê'!$C$3:$M$682,4,0)</f>
        <v>59000</v>
      </c>
      <c r="E4152" s="438">
        <v>1</v>
      </c>
      <c r="F4152" s="439">
        <f t="shared" si="17"/>
        <v>59000</v>
      </c>
      <c r="G4152" s="440"/>
      <c r="H4152" s="448">
        <v>40010</v>
      </c>
    </row>
    <row r="4153" spans="1:8" ht="13.2">
      <c r="A4153" s="454" t="s">
        <v>230</v>
      </c>
      <c r="B4153" s="452" t="str">
        <f>VLOOKUP(A4153,'Thống kê'!$C$3:$D$669,2,0)</f>
        <v>Móc khoá Crybaby mini Popmart</v>
      </c>
      <c r="C4153" s="436" t="str">
        <f>VLOOKUP(A4153,'Thống kê'!$C$3:$E$682,3,0)</f>
        <v>cái</v>
      </c>
      <c r="D4153" s="437">
        <f>VLOOKUP(A4153,'Thống kê'!$C$3:$M$682,4,0)</f>
        <v>0</v>
      </c>
      <c r="E4153" s="438">
        <v>1</v>
      </c>
      <c r="F4153" s="439">
        <f t="shared" si="17"/>
        <v>0</v>
      </c>
      <c r="G4153" s="440"/>
      <c r="H4153" s="448">
        <v>112340</v>
      </c>
    </row>
    <row r="4154" spans="1:8" ht="13.2">
      <c r="A4154" s="454" t="s">
        <v>1696</v>
      </c>
      <c r="B4154" s="452" t="str">
        <f>VLOOKUP(A4154,'Thống kê'!$C$3:$D$669,2,0)</f>
        <v>gấu</v>
      </c>
      <c r="C4154" s="436" t="str">
        <f>VLOOKUP(A4154,'Thống kê'!$C$3:$E$682,3,0)</f>
        <v>cái</v>
      </c>
      <c r="D4154" s="437">
        <f>VLOOKUP(A4154,'Thống kê'!$C$3:$M$682,4,0)</f>
        <v>35000</v>
      </c>
      <c r="E4154" s="438">
        <v>1</v>
      </c>
      <c r="F4154" s="439">
        <f t="shared" si="17"/>
        <v>35000</v>
      </c>
      <c r="G4154" s="440"/>
      <c r="H4154" s="447">
        <v>69311</v>
      </c>
    </row>
    <row r="4155" spans="1:8" ht="13.2">
      <c r="A4155" s="454" t="s">
        <v>94</v>
      </c>
      <c r="B4155" s="452" t="str">
        <f>VLOOKUP(A4155,'Thống kê'!$C$3:$D$669,2,0)</f>
        <v>thỏ</v>
      </c>
      <c r="C4155" s="436" t="str">
        <f>VLOOKUP(A4155,'Thống kê'!$C$3:$E$682,3,0)</f>
        <v>cái</v>
      </c>
      <c r="D4155" s="437">
        <f>VLOOKUP(A4155,'Thống kê'!$C$3:$M$682,4,0)</f>
        <v>35000</v>
      </c>
      <c r="E4155" s="438">
        <v>1</v>
      </c>
      <c r="F4155" s="439">
        <f t="shared" si="17"/>
        <v>35000</v>
      </c>
      <c r="G4155" s="440"/>
      <c r="H4155" s="450"/>
    </row>
    <row r="4156" spans="1:8" ht="13.2">
      <c r="A4156" s="454" t="s">
        <v>1688</v>
      </c>
      <c r="B4156" s="452">
        <f>VLOOKUP(A4156,'Thống kê'!$C$3:$D$669,2,0)</f>
        <v>0</v>
      </c>
      <c r="C4156" s="436" t="str">
        <f>VLOOKUP(A4156,'Thống kê'!$C$3:$E$682,3,0)</f>
        <v>cái</v>
      </c>
      <c r="D4156" s="437">
        <f>VLOOKUP(A4156,'Thống kê'!$C$3:$M$682,4,0)</f>
        <v>0</v>
      </c>
      <c r="E4156" s="438">
        <v>1</v>
      </c>
      <c r="F4156" s="439">
        <f t="shared" si="17"/>
        <v>0</v>
      </c>
      <c r="G4156" s="440"/>
      <c r="H4156" s="450"/>
    </row>
    <row r="4157" spans="1:8" ht="13.2">
      <c r="A4157" s="454" t="s">
        <v>1387</v>
      </c>
      <c r="B4157" s="452" t="str">
        <f>VLOOKUP(A4157,'Thống kê'!$C$3:$D$669,2,0)</f>
        <v>Móc khoá Crybaby mini Popmart</v>
      </c>
      <c r="C4157" s="436" t="str">
        <f>VLOOKUP(A4157,'Thống kê'!$C$3:$E$682,3,0)</f>
        <v>cái</v>
      </c>
      <c r="D4157" s="437">
        <f>VLOOKUP(A4157,'Thống kê'!$C$3:$M$682,4,0)</f>
        <v>0</v>
      </c>
      <c r="E4157" s="438">
        <v>1</v>
      </c>
      <c r="F4157" s="439">
        <f t="shared" si="17"/>
        <v>0</v>
      </c>
      <c r="G4157" s="440"/>
      <c r="H4157" s="448">
        <v>111440</v>
      </c>
    </row>
    <row r="4158" spans="1:8" ht="13.2">
      <c r="A4158" s="454" t="s">
        <v>1375</v>
      </c>
      <c r="B4158" s="452" t="str">
        <f>VLOOKUP(A4158,'Thống kê'!$C$3:$D$669,2,0)</f>
        <v>Mô hình thần tài</v>
      </c>
      <c r="C4158" s="436" t="str">
        <f>VLOOKUP(A4158,'Thống kê'!$C$3:$E$682,3,0)</f>
        <v>cái</v>
      </c>
      <c r="D4158" s="437">
        <f>VLOOKUP(A4158,'Thống kê'!$C$3:$M$682,4,0)</f>
        <v>59800</v>
      </c>
      <c r="E4158" s="438">
        <v>1</v>
      </c>
      <c r="F4158" s="439">
        <f t="shared" si="17"/>
        <v>59800</v>
      </c>
      <c r="G4158" s="440"/>
      <c r="H4158" s="447">
        <v>129986</v>
      </c>
    </row>
    <row r="4159" spans="1:8" ht="13.2">
      <c r="A4159" s="454" t="s">
        <v>1373</v>
      </c>
      <c r="B4159" s="452" t="str">
        <f>VLOOKUP(A4159,'Thống kê'!$C$3:$D$669,2,0)</f>
        <v>Mô hình xương rồng</v>
      </c>
      <c r="C4159" s="436" t="str">
        <f>VLOOKUP(A4159,'Thống kê'!$C$3:$E$682,3,0)</f>
        <v>cái</v>
      </c>
      <c r="D4159" s="437">
        <f>VLOOKUP(A4159,'Thống kê'!$C$3:$M$682,4,0)</f>
        <v>53360</v>
      </c>
      <c r="E4159" s="438">
        <v>2</v>
      </c>
      <c r="F4159" s="439">
        <f t="shared" si="17"/>
        <v>106720</v>
      </c>
      <c r="G4159" s="440"/>
      <c r="H4159" s="450"/>
    </row>
    <row r="4160" spans="1:8" ht="13.2">
      <c r="A4160" s="454" t="s">
        <v>150</v>
      </c>
      <c r="B4160" s="452" t="str">
        <f>VLOOKUP(A4160,'Thống kê'!$C$3:$D$669,2,0)</f>
        <v>Móc khóa có chuông</v>
      </c>
      <c r="C4160" s="436" t="str">
        <f>VLOOKUP(A4160,'Thống kê'!$C$3:$E$682,3,0)</f>
        <v>cái</v>
      </c>
      <c r="D4160" s="437">
        <f>VLOOKUP(A4160,'Thống kê'!$C$3:$M$682,4,0)</f>
        <v>59000</v>
      </c>
      <c r="E4160" s="438">
        <v>1</v>
      </c>
      <c r="F4160" s="439">
        <f t="shared" si="17"/>
        <v>59000</v>
      </c>
      <c r="G4160" s="440"/>
      <c r="H4160" s="448">
        <v>40210</v>
      </c>
    </row>
    <row r="4161" spans="1:8" ht="13.2">
      <c r="A4161" s="454" t="s">
        <v>150</v>
      </c>
      <c r="B4161" s="452" t="str">
        <f>VLOOKUP(A4161,'Thống kê'!$C$3:$D$669,2,0)</f>
        <v>Móc khóa có chuông</v>
      </c>
      <c r="C4161" s="436" t="str">
        <f>VLOOKUP(A4161,'Thống kê'!$C$3:$E$682,3,0)</f>
        <v>cái</v>
      </c>
      <c r="D4161" s="437">
        <f>VLOOKUP(A4161,'Thống kê'!$C$3:$M$682,4,0)</f>
        <v>59000</v>
      </c>
      <c r="E4161" s="438">
        <v>1</v>
      </c>
      <c r="F4161" s="439">
        <f t="shared" si="17"/>
        <v>59000</v>
      </c>
      <c r="G4161" s="440"/>
      <c r="H4161" s="448">
        <v>44210</v>
      </c>
    </row>
    <row r="4162" spans="1:8" ht="13.2">
      <c r="A4162" s="454" t="s">
        <v>1387</v>
      </c>
      <c r="B4162" s="452" t="str">
        <f>VLOOKUP(A4162,'Thống kê'!$C$3:$D$669,2,0)</f>
        <v>Móc khoá Crybaby mini Popmart</v>
      </c>
      <c r="C4162" s="436" t="str">
        <f>VLOOKUP(A4162,'Thống kê'!$C$3:$E$682,3,0)</f>
        <v>cái</v>
      </c>
      <c r="D4162" s="437">
        <f>VLOOKUP(A4162,'Thống kê'!$C$3:$M$682,4,0)</f>
        <v>0</v>
      </c>
      <c r="E4162" s="438">
        <v>1</v>
      </c>
      <c r="F4162" s="439">
        <f t="shared" si="17"/>
        <v>0</v>
      </c>
      <c r="G4162" s="440"/>
      <c r="H4162" s="447">
        <v>112340</v>
      </c>
    </row>
    <row r="4163" spans="1:8" ht="13.2">
      <c r="A4163" s="454" t="s">
        <v>2066</v>
      </c>
      <c r="B4163" s="452" t="str">
        <f>VLOOKUP(A4163,'Thống kê'!$C$3:$D$669,2,0)</f>
        <v>Kẹp tóc bướm hồng đỏ</v>
      </c>
      <c r="C4163" s="436" t="str">
        <f>VLOOKUP(A4163,'Thống kê'!$C$3:$E$682,3,0)</f>
        <v>cái</v>
      </c>
      <c r="D4163" s="437">
        <f>VLOOKUP(A4163,'Thống kê'!$C$3:$M$682,4,0)</f>
        <v>19000</v>
      </c>
      <c r="E4163" s="438">
        <v>1</v>
      </c>
      <c r="F4163" s="439">
        <f t="shared" si="17"/>
        <v>19000</v>
      </c>
      <c r="G4163" s="440"/>
      <c r="H4163" s="450"/>
    </row>
    <row r="4164" spans="1:8" ht="13.2">
      <c r="A4164" s="454" t="s">
        <v>115</v>
      </c>
      <c r="B4164" s="452" t="str">
        <f>VLOOKUP(A4164,'Thống kê'!$C$3:$D$669,2,0)</f>
        <v>Heo ú</v>
      </c>
      <c r="C4164" s="436" t="str">
        <f>VLOOKUP(A4164,'Thống kê'!$C$3:$E$682,3,0)</f>
        <v>cái</v>
      </c>
      <c r="D4164" s="437">
        <f>VLOOKUP(A4164,'Thống kê'!$C$3:$M$682,4,0)</f>
        <v>59500</v>
      </c>
      <c r="E4164" s="438">
        <v>1</v>
      </c>
      <c r="F4164" s="439">
        <f t="shared" si="17"/>
        <v>59500</v>
      </c>
      <c r="G4164" s="440"/>
      <c r="H4164" s="448">
        <v>48558</v>
      </c>
    </row>
    <row r="4165" spans="1:8" ht="13.2">
      <c r="A4165" s="454" t="s">
        <v>1688</v>
      </c>
      <c r="B4165" s="452">
        <f>VLOOKUP(A4165,'Thống kê'!$C$3:$D$669,2,0)</f>
        <v>0</v>
      </c>
      <c r="C4165" s="436" t="str">
        <f>VLOOKUP(A4165,'Thống kê'!$C$3:$E$682,3,0)</f>
        <v>cái</v>
      </c>
      <c r="D4165" s="437">
        <f>VLOOKUP(A4165,'Thống kê'!$C$3:$M$682,4,0)</f>
        <v>0</v>
      </c>
      <c r="E4165" s="438">
        <v>1</v>
      </c>
      <c r="F4165" s="439">
        <f t="shared" si="17"/>
        <v>0</v>
      </c>
      <c r="G4165" s="440"/>
      <c r="H4165" s="448">
        <v>20192</v>
      </c>
    </row>
    <row r="4166" spans="1:8" ht="13.2">
      <c r="A4166" s="454" t="s">
        <v>1382</v>
      </c>
      <c r="B4166" s="452" t="str">
        <f>VLOOKUP(A4166,'Thống kê'!$C$3:$D$669,2,0)</f>
        <v>miếng dán silicon điện thoại</v>
      </c>
      <c r="C4166" s="436" t="str">
        <f>VLOOKUP(A4166,'Thống kê'!$C$3:$E$682,3,0)</f>
        <v>cái</v>
      </c>
      <c r="D4166" s="437">
        <f>VLOOKUP(A4166,'Thống kê'!$C$3:$M$682,4,0)</f>
        <v>0</v>
      </c>
      <c r="E4166" s="438">
        <v>1</v>
      </c>
      <c r="F4166" s="439">
        <f t="shared" si="17"/>
        <v>0</v>
      </c>
      <c r="G4166" s="440"/>
      <c r="H4166" s="447">
        <v>24475</v>
      </c>
    </row>
    <row r="4167" spans="1:8" ht="13.2">
      <c r="A4167" s="454" t="s">
        <v>1704</v>
      </c>
      <c r="B4167" s="452" t="str">
        <f>VLOOKUP(A4167,'Thống kê'!$C$3:$D$669,2,0)</f>
        <v>Dây treo điện thoại có charm xinh xắn</v>
      </c>
      <c r="C4167" s="436" t="str">
        <f>VLOOKUP(A4167,'Thống kê'!$C$3:$E$682,3,0)</f>
        <v>cái</v>
      </c>
      <c r="D4167" s="437">
        <f>VLOOKUP(A4167,'Thống kê'!$C$3:$M$682,4,0)</f>
        <v>27000</v>
      </c>
      <c r="E4167" s="438">
        <v>1</v>
      </c>
      <c r="F4167" s="439">
        <f t="shared" si="17"/>
        <v>27000</v>
      </c>
      <c r="G4167" s="440"/>
      <c r="H4167" s="450"/>
    </row>
    <row r="4168" spans="1:8" ht="13.2">
      <c r="A4168" s="454" t="s">
        <v>1688</v>
      </c>
      <c r="B4168" s="452">
        <f>VLOOKUP(A4168,'Thống kê'!$C$3:$D$669,2,0)</f>
        <v>0</v>
      </c>
      <c r="C4168" s="436" t="str">
        <f>VLOOKUP(A4168,'Thống kê'!$C$3:$E$682,3,0)</f>
        <v>cái</v>
      </c>
      <c r="D4168" s="437">
        <f>VLOOKUP(A4168,'Thống kê'!$C$3:$M$682,4,0)</f>
        <v>0</v>
      </c>
      <c r="E4168" s="438">
        <v>1</v>
      </c>
      <c r="F4168" s="439">
        <f t="shared" si="17"/>
        <v>0</v>
      </c>
      <c r="G4168" s="440"/>
      <c r="H4168" s="448">
        <v>20192</v>
      </c>
    </row>
    <row r="4169" spans="1:8" ht="13.2">
      <c r="A4169" s="454" t="s">
        <v>2069</v>
      </c>
      <c r="B4169" s="452" t="str">
        <f>VLOOKUP(A4169,'Thống kê'!$C$3:$D$669,2,0)</f>
        <v>Cánh cụt nơ xanh treo gương</v>
      </c>
      <c r="C4169" s="436" t="str">
        <f>VLOOKUP(A4169,'Thống kê'!$C$3:$E$682,3,0)</f>
        <v>cái</v>
      </c>
      <c r="D4169" s="437">
        <f>VLOOKUP(A4169,'Thống kê'!$C$3:$M$682,4,0)</f>
        <v>155000</v>
      </c>
      <c r="E4169" s="438">
        <v>1</v>
      </c>
      <c r="F4169" s="439">
        <f t="shared" si="17"/>
        <v>155000</v>
      </c>
      <c r="G4169" s="440"/>
      <c r="H4169" s="448">
        <v>110372</v>
      </c>
    </row>
    <row r="4170" spans="1:8" ht="13.2">
      <c r="A4170" s="454" t="s">
        <v>1364</v>
      </c>
      <c r="B4170" s="452" t="str">
        <f>VLOOKUP(A4170,'Thống kê'!$C$3:$D$669,2,0)</f>
        <v>Móc khóa Popbean</v>
      </c>
      <c r="C4170" s="436" t="str">
        <f>VLOOKUP(A4170,'Thống kê'!$C$3:$E$682,3,0)</f>
        <v>cái</v>
      </c>
      <c r="D4170" s="437">
        <f>VLOOKUP(A4170,'Thống kê'!$C$3:$M$682,4,0)</f>
        <v>148000</v>
      </c>
      <c r="E4170" s="438">
        <v>1</v>
      </c>
      <c r="F4170" s="439">
        <f t="shared" si="17"/>
        <v>148000</v>
      </c>
      <c r="G4170" s="440"/>
      <c r="H4170" s="447">
        <v>386876</v>
      </c>
    </row>
    <row r="4171" spans="1:8" ht="13.2">
      <c r="A4171" s="454" t="s">
        <v>245</v>
      </c>
      <c r="B4171" s="452" t="str">
        <f>VLOOKUP(A4171,'Thống kê'!$C$3:$D$669,2,0)</f>
        <v>Móc khóa Popbean</v>
      </c>
      <c r="C4171" s="436" t="str">
        <f>VLOOKUP(A4171,'Thống kê'!$C$3:$E$682,3,0)</f>
        <v>cái</v>
      </c>
      <c r="D4171" s="437">
        <f>VLOOKUP(A4171,'Thống kê'!$C$3:$M$682,4,0)</f>
        <v>148000</v>
      </c>
      <c r="E4171" s="438">
        <v>1</v>
      </c>
      <c r="F4171" s="439">
        <f t="shared" si="17"/>
        <v>148000</v>
      </c>
      <c r="G4171" s="440"/>
      <c r="H4171" s="450"/>
    </row>
    <row r="4172" spans="1:8" ht="13.2">
      <c r="A4172" s="454" t="s">
        <v>1660</v>
      </c>
      <c r="B4172" s="452" t="str">
        <f>VLOOKUP(A4172,'Thống kê'!$C$3:$D$669,2,0)</f>
        <v>Móc khóa Popbean Skull Panda</v>
      </c>
      <c r="C4172" s="436" t="str">
        <f>VLOOKUP(A4172,'Thống kê'!$C$3:$E$682,3,0)</f>
        <v>cái</v>
      </c>
      <c r="D4172" s="437">
        <f>VLOOKUP(A4172,'Thống kê'!$C$3:$M$682,4,0)</f>
        <v>155000</v>
      </c>
      <c r="E4172" s="438">
        <v>1</v>
      </c>
      <c r="F4172" s="439">
        <f t="shared" si="17"/>
        <v>155000</v>
      </c>
      <c r="G4172" s="440"/>
      <c r="H4172" s="450"/>
    </row>
    <row r="4173" spans="1:8" ht="13.2">
      <c r="A4173" s="454" t="s">
        <v>2044</v>
      </c>
      <c r="B4173" s="452" t="str">
        <f>VLOOKUP(A4173,'Thống kê'!$C$3:$D$669,2,0)</f>
        <v>Túi chườm bụng chó trắng 500ml</v>
      </c>
      <c r="C4173" s="436" t="str">
        <f>VLOOKUP(A4173,'Thống kê'!$C$3:$E$682,3,0)</f>
        <v>túi</v>
      </c>
      <c r="D4173" s="437">
        <f>VLOOKUP(A4173,'Thống kê'!$C$3:$M$682,4,0)</f>
        <v>81000</v>
      </c>
      <c r="E4173" s="438">
        <v>1</v>
      </c>
      <c r="F4173" s="439">
        <f t="shared" si="17"/>
        <v>81000</v>
      </c>
      <c r="G4173" s="440"/>
      <c r="H4173" s="448">
        <v>56106</v>
      </c>
    </row>
    <row r="4174" spans="1:8" ht="13.2">
      <c r="A4174" s="454" t="s">
        <v>1688</v>
      </c>
      <c r="B4174" s="452">
        <f>VLOOKUP(A4174,'Thống kê'!$C$3:$D$669,2,0)</f>
        <v>0</v>
      </c>
      <c r="C4174" s="436" t="str">
        <f>VLOOKUP(A4174,'Thống kê'!$C$3:$E$682,3,0)</f>
        <v>cái</v>
      </c>
      <c r="D4174" s="437">
        <f>VLOOKUP(A4174,'Thống kê'!$C$3:$M$682,4,0)</f>
        <v>0</v>
      </c>
      <c r="E4174" s="438">
        <v>1</v>
      </c>
      <c r="F4174" s="439">
        <f t="shared" si="17"/>
        <v>0</v>
      </c>
      <c r="G4174" s="440"/>
      <c r="H4174" s="447">
        <v>38877</v>
      </c>
    </row>
    <row r="4175" spans="1:8" ht="13.2">
      <c r="A4175" s="454" t="s">
        <v>1705</v>
      </c>
      <c r="B4175" s="452" t="str">
        <f>VLOOKUP(A4175,'Thống kê'!$C$3:$D$669,2,0)</f>
        <v>Dây treo điện thoại có charm xinh xắn</v>
      </c>
      <c r="C4175" s="436" t="str">
        <f>VLOOKUP(A4175,'Thống kê'!$C$3:$E$682,3,0)</f>
        <v>cái</v>
      </c>
      <c r="D4175" s="437">
        <f>VLOOKUP(A4175,'Thống kê'!$C$3:$M$682,4,0)</f>
        <v>27000</v>
      </c>
      <c r="E4175" s="438">
        <v>1</v>
      </c>
      <c r="F4175" s="439">
        <f t="shared" si="17"/>
        <v>27000</v>
      </c>
      <c r="G4175" s="440"/>
      <c r="H4175" s="450"/>
    </row>
    <row r="4176" spans="1:8" ht="13.2">
      <c r="A4176" s="454" t="s">
        <v>1366</v>
      </c>
      <c r="B4176" s="452" t="str">
        <f>VLOOKUP(A4176,'Thống kê'!$C$3:$D$669,2,0)</f>
        <v>Móc khóa Popbean</v>
      </c>
      <c r="C4176" s="436" t="str">
        <f>VLOOKUP(A4176,'Thống kê'!$C$3:$E$682,3,0)</f>
        <v>cái</v>
      </c>
      <c r="D4176" s="437">
        <f>VLOOKUP(A4176,'Thống kê'!$C$3:$M$682,4,0)</f>
        <v>148000</v>
      </c>
      <c r="E4176" s="438">
        <v>1</v>
      </c>
      <c r="F4176" s="439">
        <f t="shared" si="17"/>
        <v>148000</v>
      </c>
      <c r="G4176" s="440"/>
      <c r="H4176" s="447">
        <v>251970</v>
      </c>
    </row>
    <row r="4177" spans="1:8" ht="13.2">
      <c r="A4177" s="454" t="s">
        <v>245</v>
      </c>
      <c r="B4177" s="452" t="str">
        <f>VLOOKUP(A4177,'Thống kê'!$C$3:$D$669,2,0)</f>
        <v>Móc khóa Popbean</v>
      </c>
      <c r="C4177" s="436" t="str">
        <f>VLOOKUP(A4177,'Thống kê'!$C$3:$E$682,3,0)</f>
        <v>cái</v>
      </c>
      <c r="D4177" s="437">
        <f>VLOOKUP(A4177,'Thống kê'!$C$3:$M$682,4,0)</f>
        <v>148000</v>
      </c>
      <c r="E4177" s="438">
        <v>1</v>
      </c>
      <c r="F4177" s="439">
        <f t="shared" si="17"/>
        <v>148000</v>
      </c>
      <c r="G4177" s="440"/>
      <c r="H4177" s="450"/>
    </row>
    <row r="4178" spans="1:8" ht="13.2">
      <c r="A4178" s="454" t="s">
        <v>150</v>
      </c>
      <c r="B4178" s="452" t="str">
        <f>VLOOKUP(A4178,'Thống kê'!$C$3:$D$669,2,0)</f>
        <v>Móc khóa có chuông</v>
      </c>
      <c r="C4178" s="436" t="str">
        <f>VLOOKUP(A4178,'Thống kê'!$C$3:$E$682,3,0)</f>
        <v>cái</v>
      </c>
      <c r="D4178" s="437">
        <f>VLOOKUP(A4178,'Thống kê'!$C$3:$M$682,4,0)</f>
        <v>59000</v>
      </c>
      <c r="E4178" s="438">
        <v>1</v>
      </c>
      <c r="F4178" s="439">
        <f t="shared" si="17"/>
        <v>59000</v>
      </c>
      <c r="G4178" s="440"/>
      <c r="H4178" s="448">
        <v>40010</v>
      </c>
    </row>
    <row r="4179" spans="1:8" ht="13.2">
      <c r="A4179" s="454" t="s">
        <v>1594</v>
      </c>
      <c r="B4179" s="452" t="str">
        <f>VLOOKUP(A4179,'Thống kê'!$C$3:$D$669,2,0)</f>
        <v>Móc khóa đôi heo</v>
      </c>
      <c r="C4179" s="436" t="str">
        <f>VLOOKUP(A4179,'Thống kê'!$C$3:$E$682,3,0)</f>
        <v>cái</v>
      </c>
      <c r="D4179" s="437">
        <f>VLOOKUP(A4179,'Thống kê'!$C$3:$M$682,4,0)</f>
        <v>56580</v>
      </c>
      <c r="E4179" s="438">
        <v>1</v>
      </c>
      <c r="F4179" s="439">
        <f t="shared" si="17"/>
        <v>56580</v>
      </c>
      <c r="G4179" s="440"/>
      <c r="H4179" s="448">
        <v>46330</v>
      </c>
    </row>
    <row r="4180" spans="1:8" ht="13.2">
      <c r="A4180" s="454" t="s">
        <v>138</v>
      </c>
      <c r="B4180" s="452" t="str">
        <f>VLOOKUP(A4180,'Thống kê'!$C$3:$D$669,2,0)</f>
        <v>Móc khoá Crybaby mini Popmart</v>
      </c>
      <c r="C4180" s="436" t="str">
        <f>VLOOKUP(A4180,'Thống kê'!$C$3:$E$682,3,0)</f>
        <v>cái</v>
      </c>
      <c r="D4180" s="437">
        <f>VLOOKUP(A4180,'Thống kê'!$C$3:$M$682,4,0)</f>
        <v>0</v>
      </c>
      <c r="E4180" s="438">
        <v>1</v>
      </c>
      <c r="F4180" s="439">
        <f t="shared" si="17"/>
        <v>0</v>
      </c>
      <c r="G4180" s="440"/>
      <c r="H4180" s="447">
        <v>112340</v>
      </c>
    </row>
    <row r="4181" spans="1:8" ht="13.2">
      <c r="A4181" s="454" t="s">
        <v>2066</v>
      </c>
      <c r="B4181" s="452" t="str">
        <f>VLOOKUP(A4181,'Thống kê'!$C$3:$D$669,2,0)</f>
        <v>Kẹp tóc bướm hồng đỏ</v>
      </c>
      <c r="C4181" s="436" t="str">
        <f>VLOOKUP(A4181,'Thống kê'!$C$3:$E$682,3,0)</f>
        <v>cái</v>
      </c>
      <c r="D4181" s="437">
        <f>VLOOKUP(A4181,'Thống kê'!$C$3:$M$682,4,0)</f>
        <v>19000</v>
      </c>
      <c r="E4181" s="438">
        <v>1</v>
      </c>
      <c r="F4181" s="439">
        <f t="shared" si="17"/>
        <v>19000</v>
      </c>
      <c r="G4181" s="440"/>
      <c r="H4181" s="450"/>
    </row>
    <row r="4182" spans="1:8" ht="13.2">
      <c r="A4182" s="454" t="s">
        <v>2044</v>
      </c>
      <c r="B4182" s="452" t="str">
        <f>VLOOKUP(A4182,'Thống kê'!$C$3:$D$669,2,0)</f>
        <v>Túi chườm bụng chó trắng 500ml</v>
      </c>
      <c r="C4182" s="436" t="str">
        <f>VLOOKUP(A4182,'Thống kê'!$C$3:$E$682,3,0)</f>
        <v>túi</v>
      </c>
      <c r="D4182" s="437">
        <f>VLOOKUP(A4182,'Thống kê'!$C$3:$M$682,4,0)</f>
        <v>81000</v>
      </c>
      <c r="E4182" s="438">
        <v>1</v>
      </c>
      <c r="F4182" s="439">
        <f t="shared" si="17"/>
        <v>81000</v>
      </c>
      <c r="G4182" s="440"/>
      <c r="H4182" s="448">
        <v>57006</v>
      </c>
    </row>
    <row r="4183" spans="1:8" ht="13.2">
      <c r="A4183" s="454" t="s">
        <v>1392</v>
      </c>
      <c r="B4183" s="452" t="str">
        <f>VLOOKUP(A4183,'Thống kê'!$C$3:$D$669,2,0)</f>
        <v>Móc khoá Labubu mini Popmart</v>
      </c>
      <c r="C4183" s="436" t="str">
        <f>VLOOKUP(A4183,'Thống kê'!$C$3:$E$682,3,0)</f>
        <v>cái</v>
      </c>
      <c r="D4183" s="437">
        <f>VLOOKUP(A4183,'Thống kê'!$C$3:$M$682,4,0)</f>
        <v>0</v>
      </c>
      <c r="E4183" s="438">
        <v>1</v>
      </c>
      <c r="F4183" s="439">
        <f t="shared" si="17"/>
        <v>0</v>
      </c>
      <c r="G4183" s="440"/>
      <c r="H4183" s="447">
        <v>94836</v>
      </c>
    </row>
    <row r="4184" spans="1:8" ht="13.2">
      <c r="A4184" s="454" t="s">
        <v>1915</v>
      </c>
      <c r="B4184" s="452" t="str">
        <f>VLOOKUP(A4184,'Thống kê'!$C$3:$D$669,2,0)</f>
        <v>Kẹp tóc bướm trắng</v>
      </c>
      <c r="C4184" s="436" t="str">
        <f>VLOOKUP(A4184,'Thống kê'!$C$3:$E$682,3,0)</f>
        <v>cái</v>
      </c>
      <c r="D4184" s="437">
        <f>VLOOKUP(A4184,'Thống kê'!$C$3:$M$682,4,0)</f>
        <v>19000</v>
      </c>
      <c r="E4184" s="438">
        <v>1</v>
      </c>
      <c r="F4184" s="439">
        <f t="shared" si="17"/>
        <v>19000</v>
      </c>
      <c r="G4184" s="440"/>
      <c r="H4184" s="450"/>
    </row>
    <row r="4185" spans="1:8" ht="13.2">
      <c r="A4185" s="454" t="s">
        <v>1382</v>
      </c>
      <c r="B4185" s="452" t="str">
        <f>VLOOKUP(A4185,'Thống kê'!$C$3:$D$669,2,0)</f>
        <v>miếng dán silicon điện thoại</v>
      </c>
      <c r="C4185" s="436" t="str">
        <f>VLOOKUP(A4185,'Thống kê'!$C$3:$E$682,3,0)</f>
        <v>cái</v>
      </c>
      <c r="D4185" s="437">
        <f>VLOOKUP(A4185,'Thống kê'!$C$3:$M$682,4,0)</f>
        <v>0</v>
      </c>
      <c r="E4185" s="438">
        <v>1</v>
      </c>
      <c r="F4185" s="439">
        <f t="shared" si="17"/>
        <v>0</v>
      </c>
      <c r="G4185" s="440"/>
      <c r="H4185" s="450"/>
    </row>
    <row r="4186" spans="1:8" ht="13.2">
      <c r="A4186" s="454" t="s">
        <v>115</v>
      </c>
      <c r="B4186" s="452" t="str">
        <f>VLOOKUP(A4186,'Thống kê'!$C$3:$D$669,2,0)</f>
        <v>Heo ú</v>
      </c>
      <c r="C4186" s="436" t="str">
        <f>VLOOKUP(A4186,'Thống kê'!$C$3:$E$682,3,0)</f>
        <v>cái</v>
      </c>
      <c r="D4186" s="437">
        <f>VLOOKUP(A4186,'Thống kê'!$C$3:$M$682,4,0)</f>
        <v>59500</v>
      </c>
      <c r="E4186" s="438">
        <v>1</v>
      </c>
      <c r="F4186" s="439">
        <f t="shared" si="17"/>
        <v>59500</v>
      </c>
      <c r="G4186" s="440"/>
      <c r="H4186" s="448">
        <v>52158</v>
      </c>
    </row>
    <row r="4187" spans="1:8" ht="13.2">
      <c r="A4187" s="454" t="s">
        <v>183</v>
      </c>
      <c r="B4187" s="452" t="str">
        <f>VLOOKUP(A4187,'Thống kê'!$C$3:$D$669,2,0)</f>
        <v>Thỏ máy bay gắn xe</v>
      </c>
      <c r="C4187" s="436" t="str">
        <f>VLOOKUP(A4187,'Thống kê'!$C$3:$E$682,3,0)</f>
        <v>cái</v>
      </c>
      <c r="D4187" s="437">
        <f>VLOOKUP(A4187,'Thống kê'!$C$3:$M$682,4,0)</f>
        <v>45000</v>
      </c>
      <c r="E4187" s="438">
        <v>2</v>
      </c>
      <c r="F4187" s="439">
        <f t="shared" si="17"/>
        <v>90000</v>
      </c>
      <c r="G4187" s="440"/>
      <c r="H4187" s="447">
        <v>63796</v>
      </c>
    </row>
    <row r="4188" spans="1:8" ht="13.2">
      <c r="A4188" s="454" t="s">
        <v>2066</v>
      </c>
      <c r="B4188" s="452" t="str">
        <f>VLOOKUP(A4188,'Thống kê'!$C$3:$D$669,2,0)</f>
        <v>Kẹp tóc bướm hồng đỏ</v>
      </c>
      <c r="C4188" s="436" t="str">
        <f>VLOOKUP(A4188,'Thống kê'!$C$3:$E$682,3,0)</f>
        <v>cái</v>
      </c>
      <c r="D4188" s="437">
        <f>VLOOKUP(A4188,'Thống kê'!$C$3:$M$682,4,0)</f>
        <v>19000</v>
      </c>
      <c r="E4188" s="438">
        <v>1</v>
      </c>
      <c r="F4188" s="439">
        <f t="shared" si="17"/>
        <v>19000</v>
      </c>
      <c r="G4188" s="440"/>
      <c r="H4188" s="450"/>
    </row>
    <row r="4189" spans="1:8" ht="13.2">
      <c r="A4189" s="454" t="s">
        <v>138</v>
      </c>
      <c r="B4189" s="452" t="str">
        <f>VLOOKUP(A4189,'Thống kê'!$C$3:$D$669,2,0)</f>
        <v>Móc khoá Crybaby mini Popmart</v>
      </c>
      <c r="C4189" s="436" t="str">
        <f>VLOOKUP(A4189,'Thống kê'!$C$3:$E$682,3,0)</f>
        <v>cái</v>
      </c>
      <c r="D4189" s="437">
        <f>VLOOKUP(A4189,'Thống kê'!$C$3:$M$682,4,0)</f>
        <v>0</v>
      </c>
      <c r="E4189" s="438">
        <v>1</v>
      </c>
      <c r="F4189" s="439">
        <f t="shared" si="17"/>
        <v>0</v>
      </c>
      <c r="G4189" s="440"/>
      <c r="H4189" s="447">
        <v>112340</v>
      </c>
    </row>
    <row r="4190" spans="1:8" ht="13.2">
      <c r="A4190" s="454" t="s">
        <v>1969</v>
      </c>
      <c r="B4190" s="452" t="str">
        <f>VLOOKUP(A4190,'Thống kê'!$C$3:$D$669,2,0)</f>
        <v>Kẹp tóc kem</v>
      </c>
      <c r="C4190" s="436" t="str">
        <f>VLOOKUP(A4190,'Thống kê'!$C$3:$E$682,3,0)</f>
        <v>cái</v>
      </c>
      <c r="D4190" s="437">
        <f>VLOOKUP(A4190,'Thống kê'!$C$3:$M$682,4,0)</f>
        <v>14000</v>
      </c>
      <c r="E4190" s="438">
        <v>1</v>
      </c>
      <c r="F4190" s="439">
        <f t="shared" si="17"/>
        <v>14000</v>
      </c>
      <c r="G4190" s="440"/>
      <c r="H4190" s="450"/>
    </row>
    <row r="4191" spans="1:8" ht="13.2">
      <c r="A4191" s="454" t="s">
        <v>269</v>
      </c>
      <c r="B4191" s="452" t="str">
        <f>VLOOKUP(A4191,'Thống kê'!$C$3:$D$669,2,0)</f>
        <v>Dao rọc giấy 17</v>
      </c>
      <c r="C4191" s="436" t="str">
        <f>VLOOKUP(A4191,'Thống kê'!$C$3:$E$682,3,0)</f>
        <v>cái</v>
      </c>
      <c r="D4191" s="437">
        <f>VLOOKUP(A4191,'Thống kê'!$C$3:$M$682,4,0)</f>
        <v>12000</v>
      </c>
      <c r="E4191" s="438">
        <v>1</v>
      </c>
      <c r="F4191" s="439">
        <f t="shared" si="17"/>
        <v>12000</v>
      </c>
      <c r="G4191" s="440"/>
      <c r="H4191" s="447">
        <v>82259</v>
      </c>
    </row>
    <row r="4192" spans="1:8" ht="13.2">
      <c r="A4192" s="454" t="s">
        <v>1640</v>
      </c>
      <c r="B4192" s="452" t="str">
        <f>VLOOKUP(A4192,'Thống kê'!$C$3:$D$669,2,0)</f>
        <v>Móc khóa đôi Capypara</v>
      </c>
      <c r="C4192" s="436" t="str">
        <f>VLOOKUP(A4192,'Thống kê'!$C$3:$E$682,3,0)</f>
        <v>cái</v>
      </c>
      <c r="D4192" s="437">
        <f>VLOOKUP(A4192,'Thống kê'!$C$3:$M$682,4,0)</f>
        <v>59000</v>
      </c>
      <c r="E4192" s="438">
        <v>1</v>
      </c>
      <c r="F4192" s="439">
        <f t="shared" si="17"/>
        <v>59000</v>
      </c>
      <c r="G4192" s="440"/>
      <c r="H4192" s="450"/>
    </row>
    <row r="4193" spans="1:8" ht="13.2">
      <c r="A4193" s="454" t="s">
        <v>145</v>
      </c>
      <c r="B4193" s="452" t="str">
        <f>VLOOKUP(A4193,'Thống kê'!$C$3:$D$669,2,0)</f>
        <v>Thỏ đi vịt gắn xe</v>
      </c>
      <c r="C4193" s="436" t="str">
        <f>VLOOKUP(A4193,'Thống kê'!$C$3:$E$682,3,0)</f>
        <v>cái</v>
      </c>
      <c r="D4193" s="437">
        <f>VLOOKUP(A4193,'Thống kê'!$C$3:$M$682,4,0)</f>
        <v>45000</v>
      </c>
      <c r="E4193" s="438">
        <v>1</v>
      </c>
      <c r="F4193" s="439">
        <f t="shared" si="17"/>
        <v>45000</v>
      </c>
      <c r="G4193" s="440"/>
      <c r="H4193" s="450"/>
    </row>
    <row r="4194" spans="1:8" ht="13.2">
      <c r="A4194" s="454" t="s">
        <v>2066</v>
      </c>
      <c r="B4194" s="452" t="str">
        <f>VLOOKUP(A4194,'Thống kê'!$C$3:$D$669,2,0)</f>
        <v>Kẹp tóc bướm hồng đỏ</v>
      </c>
      <c r="C4194" s="436" t="str">
        <f>VLOOKUP(A4194,'Thống kê'!$C$3:$E$682,3,0)</f>
        <v>cái</v>
      </c>
      <c r="D4194" s="437">
        <f>VLOOKUP(A4194,'Thống kê'!$C$3:$M$682,4,0)</f>
        <v>19000</v>
      </c>
      <c r="E4194" s="438">
        <v>1</v>
      </c>
      <c r="F4194" s="439">
        <f t="shared" si="17"/>
        <v>19000</v>
      </c>
      <c r="G4194" s="440"/>
      <c r="H4194" s="450"/>
    </row>
    <row r="4195" spans="1:8" ht="13.2">
      <c r="A4195" s="454" t="s">
        <v>150</v>
      </c>
      <c r="B4195" s="452" t="str">
        <f>VLOOKUP(A4195,'Thống kê'!$C$3:$D$669,2,0)</f>
        <v>Móc khóa có chuông</v>
      </c>
      <c r="C4195" s="436" t="str">
        <f>VLOOKUP(A4195,'Thống kê'!$C$3:$E$682,3,0)</f>
        <v>cái</v>
      </c>
      <c r="D4195" s="437">
        <f>VLOOKUP(A4195,'Thống kê'!$C$3:$M$682,4,0)</f>
        <v>59000</v>
      </c>
      <c r="E4195" s="438">
        <v>1</v>
      </c>
      <c r="F4195" s="439">
        <f t="shared" si="17"/>
        <v>59000</v>
      </c>
      <c r="G4195" s="440"/>
      <c r="H4195" s="447">
        <v>54744</v>
      </c>
    </row>
    <row r="4196" spans="1:8" ht="13.2">
      <c r="A4196" s="454" t="s">
        <v>2088</v>
      </c>
      <c r="B4196" s="452" t="str">
        <f>VLOOKUP(A4196,'Thống kê'!$C$3:$D$669,2,0)</f>
        <v>Kẹp tóc bướm hồng nhạt</v>
      </c>
      <c r="C4196" s="436" t="str">
        <f>VLOOKUP(A4196,'Thống kê'!$C$3:$E$682,3,0)</f>
        <v>cái</v>
      </c>
      <c r="D4196" s="437">
        <f>VLOOKUP(A4196,'Thống kê'!$C$3:$M$682,4,0)</f>
        <v>18000</v>
      </c>
      <c r="E4196" s="438">
        <v>1</v>
      </c>
      <c r="F4196" s="439">
        <f t="shared" si="17"/>
        <v>18000</v>
      </c>
      <c r="G4196" s="440"/>
      <c r="H4196" s="450"/>
    </row>
    <row r="4197" spans="1:8" ht="13.2">
      <c r="A4197" s="454" t="s">
        <v>1382</v>
      </c>
      <c r="B4197" s="452" t="str">
        <f>VLOOKUP(A4197,'Thống kê'!$C$3:$D$669,2,0)</f>
        <v>miếng dán silicon điện thoại</v>
      </c>
      <c r="C4197" s="436" t="str">
        <f>VLOOKUP(A4197,'Thống kê'!$C$3:$E$682,3,0)</f>
        <v>cái</v>
      </c>
      <c r="D4197" s="437">
        <f>VLOOKUP(A4197,'Thống kê'!$C$3:$M$682,4,0)</f>
        <v>0</v>
      </c>
      <c r="E4197" s="438">
        <v>-30</v>
      </c>
      <c r="F4197" s="439">
        <f t="shared" si="17"/>
        <v>0</v>
      </c>
      <c r="G4197" s="440"/>
      <c r="H4197" s="448">
        <v>-30000</v>
      </c>
    </row>
    <row r="4198" spans="1:8" ht="13.2">
      <c r="A4198" s="454" t="s">
        <v>1700</v>
      </c>
      <c r="B4198" s="452" t="str">
        <f>VLOOKUP(A4198,'Thống kê'!$C$3:$D$669,2,0)</f>
        <v>Mô hình động vật thần tài - Gấu trúc</v>
      </c>
      <c r="C4198" s="436" t="str">
        <f>VLOOKUP(A4198,'Thống kê'!$C$3:$E$682,3,0)</f>
        <v>cái</v>
      </c>
      <c r="D4198" s="437">
        <f>VLOOKUP(A4198,'Thống kê'!$C$3:$M$682,4,0)</f>
        <v>59000</v>
      </c>
      <c r="E4198" s="438">
        <v>2</v>
      </c>
      <c r="F4198" s="439">
        <f t="shared" si="17"/>
        <v>118000</v>
      </c>
      <c r="G4198" s="440"/>
      <c r="H4198" s="447">
        <v>144730</v>
      </c>
    </row>
    <row r="4199" spans="1:8" ht="13.2">
      <c r="A4199" s="454" t="s">
        <v>1698</v>
      </c>
      <c r="B4199" s="452" t="str">
        <f>VLOOKUP(A4199,'Thống kê'!$C$3:$D$669,2,0)</f>
        <v>Mô hình động vật thần tài - Heo hồng</v>
      </c>
      <c r="C4199" s="436" t="str">
        <f>VLOOKUP(A4199,'Thống kê'!$C$3:$E$682,3,0)</f>
        <v>cái</v>
      </c>
      <c r="D4199" s="437">
        <f>VLOOKUP(A4199,'Thống kê'!$C$3:$M$682,4,0)</f>
        <v>59000</v>
      </c>
      <c r="E4199" s="438">
        <v>1</v>
      </c>
      <c r="F4199" s="439">
        <f t="shared" si="17"/>
        <v>59000</v>
      </c>
      <c r="G4199" s="440"/>
      <c r="H4199" s="450"/>
    </row>
    <row r="4200" spans="1:8" ht="13.2">
      <c r="A4200" s="454" t="s">
        <v>1648</v>
      </c>
      <c r="B4200" s="452" t="str">
        <f>VLOOKUP(A4200,'Thống kê'!$C$3:$D$669,2,0)</f>
        <v>Túi chườm bụng thỏ và dứa 1000ml</v>
      </c>
      <c r="C4200" s="436" t="str">
        <f>VLOOKUP(A4200,'Thống kê'!$C$3:$E$682,3,0)</f>
        <v>túi</v>
      </c>
      <c r="D4200" s="437">
        <f>VLOOKUP(A4200,'Thống kê'!$C$3:$M$682,4,0)</f>
        <v>101500</v>
      </c>
      <c r="E4200" s="438">
        <v>1</v>
      </c>
      <c r="F4200" s="439">
        <f t="shared" si="17"/>
        <v>101500</v>
      </c>
      <c r="G4200" s="440"/>
      <c r="H4200" s="447">
        <v>152618</v>
      </c>
    </row>
    <row r="4201" spans="1:8" ht="13.2">
      <c r="A4201" s="454" t="s">
        <v>1645</v>
      </c>
      <c r="B4201" s="452" t="str">
        <f>VLOOKUP(A4201,'Thống kê'!$C$3:$D$669,2,0)</f>
        <v>Túi chườm bụng trái bơ 500ml</v>
      </c>
      <c r="C4201" s="436" t="str">
        <f>VLOOKUP(A4201,'Thống kê'!$C$3:$E$682,3,0)</f>
        <v>túi</v>
      </c>
      <c r="D4201" s="437">
        <f>VLOOKUP(A4201,'Thống kê'!$C$3:$M$682,4,0)</f>
        <v>78200</v>
      </c>
      <c r="E4201" s="438">
        <v>1</v>
      </c>
      <c r="F4201" s="439">
        <f t="shared" si="17"/>
        <v>78200</v>
      </c>
      <c r="G4201" s="440"/>
      <c r="H4201" s="450"/>
    </row>
    <row r="4202" spans="1:8" ht="13.2">
      <c r="A4202" s="454" t="s">
        <v>1660</v>
      </c>
      <c r="B4202" s="452" t="str">
        <f>VLOOKUP(A4202,'Thống kê'!$C$3:$D$669,2,0)</f>
        <v>Móc khóa Popbean Skull Panda</v>
      </c>
      <c r="C4202" s="436" t="str">
        <f>VLOOKUP(A4202,'Thống kê'!$C$3:$E$682,3,0)</f>
        <v>cái</v>
      </c>
      <c r="D4202" s="437">
        <f>VLOOKUP(A4202,'Thống kê'!$C$3:$M$682,4,0)</f>
        <v>155000</v>
      </c>
      <c r="E4202" s="438">
        <v>1</v>
      </c>
      <c r="F4202" s="439">
        <f t="shared" si="17"/>
        <v>155000</v>
      </c>
      <c r="G4202" s="440"/>
      <c r="H4202" s="448">
        <v>117741</v>
      </c>
    </row>
    <row r="4203" spans="1:8" ht="13.2">
      <c r="A4203" s="454" t="s">
        <v>1382</v>
      </c>
      <c r="B4203" s="452" t="str">
        <f>VLOOKUP(A4203,'Thống kê'!$C$3:$D$669,2,0)</f>
        <v>miếng dán silicon điện thoại</v>
      </c>
      <c r="C4203" s="436" t="str">
        <f>VLOOKUP(A4203,'Thống kê'!$C$3:$E$682,3,0)</f>
        <v>cái</v>
      </c>
      <c r="D4203" s="437">
        <f>VLOOKUP(A4203,'Thống kê'!$C$3:$M$682,4,0)</f>
        <v>0</v>
      </c>
      <c r="E4203" s="438">
        <v>1</v>
      </c>
      <c r="F4203" s="439">
        <f t="shared" si="17"/>
        <v>0</v>
      </c>
      <c r="G4203" s="440"/>
      <c r="H4203" s="448">
        <v>2065</v>
      </c>
    </row>
    <row r="4204" spans="1:8" ht="13.2">
      <c r="A4204" s="454" t="s">
        <v>259</v>
      </c>
      <c r="B4204" s="452" t="str">
        <f>VLOOKUP(A4204,'Thống kê'!$C$3:$D$669,2,0)</f>
        <v>Móc khoá Crybaby mini Popmart</v>
      </c>
      <c r="C4204" s="436" t="str">
        <f>VLOOKUP(A4204,'Thống kê'!$C$3:$E$682,3,0)</f>
        <v>cái</v>
      </c>
      <c r="D4204" s="437">
        <f>VLOOKUP(A4204,'Thống kê'!$C$3:$M$682,4,0)</f>
        <v>0</v>
      </c>
      <c r="E4204" s="438">
        <v>1</v>
      </c>
      <c r="F4204" s="439">
        <f t="shared" si="17"/>
        <v>0</v>
      </c>
      <c r="G4204" s="440"/>
      <c r="H4204" s="447">
        <v>112340</v>
      </c>
    </row>
    <row r="4205" spans="1:8" ht="13.2">
      <c r="A4205" s="454" t="s">
        <v>2066</v>
      </c>
      <c r="B4205" s="452" t="str">
        <f>VLOOKUP(A4205,'Thống kê'!$C$3:$D$669,2,0)</f>
        <v>Kẹp tóc bướm hồng đỏ</v>
      </c>
      <c r="C4205" s="436" t="str">
        <f>VLOOKUP(A4205,'Thống kê'!$C$3:$E$682,3,0)</f>
        <v>cái</v>
      </c>
      <c r="D4205" s="437">
        <f>VLOOKUP(A4205,'Thống kê'!$C$3:$M$682,4,0)</f>
        <v>19000</v>
      </c>
      <c r="E4205" s="438">
        <v>1</v>
      </c>
      <c r="F4205" s="439">
        <f t="shared" si="17"/>
        <v>19000</v>
      </c>
      <c r="G4205" s="440"/>
      <c r="H4205" s="450"/>
    </row>
    <row r="4206" spans="1:8" ht="13.2">
      <c r="A4206" s="454" t="s">
        <v>1696</v>
      </c>
      <c r="B4206" s="452" t="str">
        <f>VLOOKUP(A4206,'Thống kê'!$C$3:$D$669,2,0)</f>
        <v>gấu</v>
      </c>
      <c r="C4206" s="436" t="str">
        <f>VLOOKUP(A4206,'Thống kê'!$C$3:$E$682,3,0)</f>
        <v>cái</v>
      </c>
      <c r="D4206" s="437">
        <f>VLOOKUP(A4206,'Thống kê'!$C$3:$M$682,4,0)</f>
        <v>35000</v>
      </c>
      <c r="E4206" s="438">
        <v>1</v>
      </c>
      <c r="F4206" s="439">
        <f t="shared" si="17"/>
        <v>35000</v>
      </c>
      <c r="G4206" s="440"/>
      <c r="H4206" s="447">
        <v>26329</v>
      </c>
    </row>
    <row r="4207" spans="1:8" ht="13.2">
      <c r="A4207" s="454" t="s">
        <v>2089</v>
      </c>
      <c r="B4207" s="452" t="str">
        <f>VLOOKUP(A4207,'Thống kê'!$C$3:$D$669,2,0)</f>
        <v>Kẹp tóc bướm cam</v>
      </c>
      <c r="C4207" s="436" t="str">
        <f>VLOOKUP(A4207,'Thống kê'!$C$3:$E$682,3,0)</f>
        <v>cái</v>
      </c>
      <c r="D4207" s="437">
        <f>VLOOKUP(A4207,'Thống kê'!$C$3:$M$682,4,0)</f>
        <v>19000</v>
      </c>
      <c r="E4207" s="438">
        <v>1</v>
      </c>
      <c r="F4207" s="439">
        <f t="shared" si="17"/>
        <v>19000</v>
      </c>
      <c r="G4207" s="440"/>
      <c r="H4207" s="450"/>
    </row>
    <row r="4208" spans="1:8" ht="13.2">
      <c r="A4208" s="454" t="s">
        <v>150</v>
      </c>
      <c r="B4208" s="452" t="str">
        <f>VLOOKUP(A4208,'Thống kê'!$C$3:$D$669,2,0)</f>
        <v>Móc khóa có chuông</v>
      </c>
      <c r="C4208" s="436" t="str">
        <f>VLOOKUP(A4208,'Thống kê'!$C$3:$E$682,3,0)</f>
        <v>cái</v>
      </c>
      <c r="D4208" s="437">
        <f>VLOOKUP(A4208,'Thống kê'!$C$3:$M$682,4,0)</f>
        <v>59000</v>
      </c>
      <c r="E4208" s="438">
        <v>1</v>
      </c>
      <c r="F4208" s="439">
        <f t="shared" si="17"/>
        <v>59000</v>
      </c>
      <c r="G4208" s="440"/>
      <c r="H4208" s="448">
        <v>48010</v>
      </c>
    </row>
    <row r="4209" spans="1:8" ht="13.2">
      <c r="A4209" s="454" t="s">
        <v>1398</v>
      </c>
      <c r="B4209" s="452" t="str">
        <f>VLOOKUP(A4209,'Thống kê'!$C$3:$D$669,2,0)</f>
        <v>Móc khoá Labubu mini Popmart</v>
      </c>
      <c r="C4209" s="436" t="str">
        <f>VLOOKUP(A4209,'Thống kê'!$C$3:$E$682,3,0)</f>
        <v>cái</v>
      </c>
      <c r="D4209" s="437">
        <f>VLOOKUP(A4209,'Thống kê'!$C$3:$M$682,4,0)</f>
        <v>0</v>
      </c>
      <c r="E4209" s="438">
        <v>1</v>
      </c>
      <c r="F4209" s="439">
        <f t="shared" si="17"/>
        <v>0</v>
      </c>
      <c r="G4209" s="440"/>
      <c r="H4209" s="448">
        <v>98400</v>
      </c>
    </row>
    <row r="4210" spans="1:8" ht="13.2">
      <c r="A4210" s="454" t="s">
        <v>1688</v>
      </c>
      <c r="B4210" s="452">
        <f>VLOOKUP(A4210,'Thống kê'!$C$3:$D$669,2,0)</f>
        <v>0</v>
      </c>
      <c r="C4210" s="436" t="str">
        <f>VLOOKUP(A4210,'Thống kê'!$C$3:$E$682,3,0)</f>
        <v>cái</v>
      </c>
      <c r="D4210" s="437">
        <f>VLOOKUP(A4210,'Thống kê'!$C$3:$M$682,4,0)</f>
        <v>0</v>
      </c>
      <c r="E4210" s="438">
        <v>1</v>
      </c>
      <c r="F4210" s="439">
        <f t="shared" si="17"/>
        <v>0</v>
      </c>
      <c r="G4210" s="440"/>
      <c r="H4210" s="448">
        <v>20542</v>
      </c>
    </row>
    <row r="4211" spans="1:8" ht="13.2">
      <c r="A4211" s="454" t="s">
        <v>115</v>
      </c>
      <c r="B4211" s="452" t="str">
        <f>VLOOKUP(A4211,'Thống kê'!$C$3:$D$669,2,0)</f>
        <v>Heo ú</v>
      </c>
      <c r="C4211" s="436" t="str">
        <f>VLOOKUP(A4211,'Thống kê'!$C$3:$E$682,3,0)</f>
        <v>cái</v>
      </c>
      <c r="D4211" s="437">
        <f>VLOOKUP(A4211,'Thống kê'!$C$3:$M$682,4,0)</f>
        <v>59500</v>
      </c>
      <c r="E4211" s="438">
        <v>1</v>
      </c>
      <c r="F4211" s="439">
        <f t="shared" si="17"/>
        <v>59500</v>
      </c>
      <c r="G4211" s="440"/>
      <c r="H4211" s="448">
        <v>48708</v>
      </c>
    </row>
    <row r="4212" spans="1:8" ht="13.2">
      <c r="A4212" s="454" t="s">
        <v>150</v>
      </c>
      <c r="B4212" s="452" t="str">
        <f>VLOOKUP(A4212,'Thống kê'!$C$3:$D$669,2,0)</f>
        <v>Móc khóa có chuông</v>
      </c>
      <c r="C4212" s="436" t="str">
        <f>VLOOKUP(A4212,'Thống kê'!$C$3:$E$682,3,0)</f>
        <v>cái</v>
      </c>
      <c r="D4212" s="437">
        <f>VLOOKUP(A4212,'Thống kê'!$C$3:$M$682,4,0)</f>
        <v>59000</v>
      </c>
      <c r="E4212" s="438">
        <v>1</v>
      </c>
      <c r="F4212" s="439">
        <f t="shared" si="17"/>
        <v>59000</v>
      </c>
      <c r="G4212" s="440"/>
      <c r="H4212" s="447">
        <v>98570</v>
      </c>
    </row>
    <row r="4213" spans="1:8" ht="13.2">
      <c r="A4213" s="454" t="s">
        <v>1639</v>
      </c>
      <c r="B4213" s="452" t="str">
        <f>VLOOKUP(A4213,'Thống kê'!$C$3:$D$669,2,0)</f>
        <v>Móc khóa đôi Puppy</v>
      </c>
      <c r="C4213" s="436" t="str">
        <f>VLOOKUP(A4213,'Thống kê'!$C$3:$E$682,3,0)</f>
        <v>cái</v>
      </c>
      <c r="D4213" s="437">
        <f>VLOOKUP(A4213,'Thống kê'!$C$3:$M$682,4,0)</f>
        <v>59000</v>
      </c>
      <c r="E4213" s="438">
        <v>1</v>
      </c>
      <c r="F4213" s="439">
        <f t="shared" si="17"/>
        <v>59000</v>
      </c>
      <c r="G4213" s="440"/>
      <c r="H4213" s="450"/>
    </row>
    <row r="4214" spans="1:8" ht="13.2">
      <c r="A4214" s="454" t="s">
        <v>236</v>
      </c>
      <c r="B4214" s="452" t="str">
        <f>VLOOKUP(A4214,'Thống kê'!$C$3:$D$669,2,0)</f>
        <v>Cài tóc nâu</v>
      </c>
      <c r="C4214" s="436" t="str">
        <f>VLOOKUP(A4214,'Thống kê'!$C$3:$E$682,3,0)</f>
        <v>cái</v>
      </c>
      <c r="D4214" s="437">
        <f>VLOOKUP(A4214,'Thống kê'!$C$3:$M$682,4,0)</f>
        <v>21000</v>
      </c>
      <c r="E4214" s="438">
        <v>1</v>
      </c>
      <c r="F4214" s="439">
        <f t="shared" si="17"/>
        <v>21000</v>
      </c>
      <c r="G4214" s="440"/>
      <c r="H4214" s="450"/>
    </row>
    <row r="4215" spans="1:8" ht="13.2">
      <c r="A4215" s="454" t="s">
        <v>115</v>
      </c>
      <c r="B4215" s="452" t="str">
        <f>VLOOKUP(A4215,'Thống kê'!$C$3:$D$669,2,0)</f>
        <v>Heo ú</v>
      </c>
      <c r="C4215" s="436" t="str">
        <f>VLOOKUP(A4215,'Thống kê'!$C$3:$E$682,3,0)</f>
        <v>cái</v>
      </c>
      <c r="D4215" s="437">
        <f>VLOOKUP(A4215,'Thống kê'!$C$3:$M$682,4,0)</f>
        <v>59500</v>
      </c>
      <c r="E4215" s="438">
        <v>1</v>
      </c>
      <c r="F4215" s="439">
        <f t="shared" si="17"/>
        <v>59500</v>
      </c>
      <c r="G4215" s="440"/>
      <c r="H4215" s="448">
        <v>48633</v>
      </c>
    </row>
    <row r="4216" spans="1:8" ht="13.2">
      <c r="A4216" s="454" t="s">
        <v>325</v>
      </c>
      <c r="B4216" s="452" t="str">
        <f>VLOOKUP(A4216,'Thống kê'!$C$3:$D$669,2,0)</f>
        <v>Gấu ú</v>
      </c>
      <c r="C4216" s="436" t="str">
        <f>VLOOKUP(A4216,'Thống kê'!$C$3:$E$682,3,0)</f>
        <v>cái</v>
      </c>
      <c r="D4216" s="437">
        <f>VLOOKUP(A4216,'Thống kê'!$C$3:$M$682,4,0)</f>
        <v>59500</v>
      </c>
      <c r="E4216" s="438">
        <v>1</v>
      </c>
      <c r="F4216" s="439">
        <f t="shared" si="17"/>
        <v>59500</v>
      </c>
      <c r="G4216" s="440"/>
      <c r="H4216" s="448">
        <v>48708</v>
      </c>
    </row>
    <row r="4217" spans="1:8" ht="13.2">
      <c r="A4217" s="454" t="s">
        <v>1614</v>
      </c>
      <c r="B4217" s="452" t="str">
        <f>VLOOKUP(A4217,'Thống kê'!$C$3:$D$669,2,0)</f>
        <v>Kẹp tóc bướm xanh ngọc</v>
      </c>
      <c r="C4217" s="436" t="str">
        <f>VLOOKUP(A4217,'Thống kê'!$C$3:$E$682,3,0)</f>
        <v>cái</v>
      </c>
      <c r="D4217" s="437">
        <f>VLOOKUP(A4217,'Thống kê'!$C$3:$M$682,4,0)</f>
        <v>38000</v>
      </c>
      <c r="E4217" s="438">
        <v>1</v>
      </c>
      <c r="F4217" s="439">
        <f t="shared" si="17"/>
        <v>38000</v>
      </c>
      <c r="G4217" s="440"/>
      <c r="H4217" s="447">
        <v>56077</v>
      </c>
    </row>
    <row r="4218" spans="1:8" ht="13.2">
      <c r="A4218" s="454" t="s">
        <v>1615</v>
      </c>
      <c r="B4218" s="452" t="str">
        <f>VLOOKUP(A4218,'Thống kê'!$C$3:$D$669,2,0)</f>
        <v>Kẹp tóc bướm tím</v>
      </c>
      <c r="C4218" s="436" t="str">
        <f>VLOOKUP(A4218,'Thống kê'!$C$3:$E$682,3,0)</f>
        <v>cái</v>
      </c>
      <c r="D4218" s="437">
        <f>VLOOKUP(A4218,'Thống kê'!$C$3:$M$682,4,0)</f>
        <v>40000</v>
      </c>
      <c r="E4218" s="438">
        <v>1</v>
      </c>
      <c r="F4218" s="439">
        <f t="shared" si="17"/>
        <v>40000</v>
      </c>
      <c r="G4218" s="440"/>
      <c r="H4218" s="450"/>
    </row>
    <row r="4219" spans="1:8" ht="13.2">
      <c r="A4219" s="454" t="s">
        <v>1687</v>
      </c>
      <c r="B4219" s="452">
        <f>VLOOKUP(A4219,'Thống kê'!$C$3:$D$669,2,0)</f>
        <v>0</v>
      </c>
      <c r="C4219" s="436">
        <f>VLOOKUP(A4219,'Thống kê'!$C$3:$E$682,3,0)</f>
        <v>0</v>
      </c>
      <c r="D4219" s="437">
        <f>VLOOKUP(A4219,'Thống kê'!$C$3:$M$682,4,0)</f>
        <v>0</v>
      </c>
      <c r="E4219" s="438">
        <v>1</v>
      </c>
      <c r="F4219" s="439">
        <f t="shared" si="17"/>
        <v>0</v>
      </c>
      <c r="G4219" s="440"/>
      <c r="H4219" s="448">
        <v>131200</v>
      </c>
    </row>
    <row r="4220" spans="1:8" ht="13.2">
      <c r="A4220" s="454" t="s">
        <v>1210</v>
      </c>
      <c r="B4220" s="452" t="str">
        <f>VLOOKUP(A4220,'Thống kê'!$C$3:$D$669,2,0)</f>
        <v>Shiba ú cầm hoa</v>
      </c>
      <c r="C4220" s="436" t="str">
        <f>VLOOKUP(A4220,'Thống kê'!$C$3:$E$682,3,0)</f>
        <v>cái</v>
      </c>
      <c r="D4220" s="437">
        <f>VLOOKUP(A4220,'Thống kê'!$C$3:$M$682,4,0)</f>
        <v>64500</v>
      </c>
      <c r="E4220" s="438">
        <v>2</v>
      </c>
      <c r="F4220" s="439">
        <f t="shared" si="17"/>
        <v>129000</v>
      </c>
      <c r="G4220" s="440"/>
      <c r="H4220" s="448">
        <v>121688</v>
      </c>
    </row>
    <row r="4221" spans="1:8" ht="13.2">
      <c r="A4221" s="454" t="s">
        <v>1639</v>
      </c>
      <c r="B4221" s="452" t="str">
        <f>VLOOKUP(A4221,'Thống kê'!$C$3:$D$669,2,0)</f>
        <v>Móc khóa đôi Puppy</v>
      </c>
      <c r="C4221" s="436" t="str">
        <f>VLOOKUP(A4221,'Thống kê'!$C$3:$E$682,3,0)</f>
        <v>cái</v>
      </c>
      <c r="D4221" s="437">
        <f>VLOOKUP(A4221,'Thống kê'!$C$3:$M$682,4,0)</f>
        <v>59000</v>
      </c>
      <c r="E4221" s="438">
        <v>1</v>
      </c>
      <c r="F4221" s="439">
        <f t="shared" si="17"/>
        <v>59000</v>
      </c>
      <c r="G4221" s="440"/>
      <c r="H4221" s="448">
        <v>39585</v>
      </c>
    </row>
    <row r="4222" spans="1:8" ht="13.2">
      <c r="A4222" s="454" t="s">
        <v>1691</v>
      </c>
      <c r="B4222" s="452">
        <f>VLOOKUP(A4222,'Thống kê'!$C$3:$D$669,2,0)</f>
        <v>0</v>
      </c>
      <c r="C4222" s="436" t="str">
        <f>VLOOKUP(A4222,'Thống kê'!$C$3:$E$682,3,0)</f>
        <v>cái</v>
      </c>
      <c r="D4222" s="437">
        <f>VLOOKUP(A4222,'Thống kê'!$C$3:$M$682,4,0)</f>
        <v>0</v>
      </c>
      <c r="E4222" s="438">
        <v>1</v>
      </c>
      <c r="F4222" s="439">
        <f t="shared" si="17"/>
        <v>0</v>
      </c>
      <c r="G4222" s="440"/>
      <c r="H4222" s="448">
        <v>20192</v>
      </c>
    </row>
    <row r="4223" spans="1:8" ht="13.2">
      <c r="A4223" s="454" t="s">
        <v>1399</v>
      </c>
      <c r="B4223" s="452" t="str">
        <f>VLOOKUP(A4223,'Thống kê'!$C$3:$D$669,2,0)</f>
        <v>Móc khoá Labubu mini Popmart</v>
      </c>
      <c r="C4223" s="436" t="str">
        <f>VLOOKUP(A4223,'Thống kê'!$C$3:$E$682,3,0)</f>
        <v>cái</v>
      </c>
      <c r="D4223" s="437">
        <f>VLOOKUP(A4223,'Thống kê'!$C$3:$M$682,4,0)</f>
        <v>0</v>
      </c>
      <c r="E4223" s="438">
        <v>3</v>
      </c>
      <c r="F4223" s="439">
        <f t="shared" si="17"/>
        <v>0</v>
      </c>
      <c r="G4223" s="440"/>
      <c r="H4223" s="447">
        <v>271584</v>
      </c>
    </row>
    <row r="4224" spans="1:8" ht="13.2">
      <c r="A4224" s="454" t="s">
        <v>1927</v>
      </c>
      <c r="B4224" s="452" t="str">
        <f>VLOOKUP(A4224,'Thống kê'!$C$3:$D$669,2,0)</f>
        <v>Kẹp tóc bướm tím</v>
      </c>
      <c r="C4224" s="436" t="str">
        <f>VLOOKUP(A4224,'Thống kê'!$C$3:$E$682,3,0)</f>
        <v>cái</v>
      </c>
      <c r="D4224" s="437">
        <f>VLOOKUP(A4224,'Thống kê'!$C$3:$M$682,4,0)</f>
        <v>19000</v>
      </c>
      <c r="E4224" s="438">
        <v>1</v>
      </c>
      <c r="F4224" s="439">
        <f t="shared" si="17"/>
        <v>19000</v>
      </c>
      <c r="G4224" s="440"/>
      <c r="H4224" s="450"/>
    </row>
    <row r="4225" spans="1:8" ht="13.2">
      <c r="A4225" s="454" t="s">
        <v>1622</v>
      </c>
      <c r="B4225" s="452" t="str">
        <f>VLOOKUP(A4225,'Thống kê'!$C$3:$D$669,2,0)</f>
        <v>Mô hình mèo 1</v>
      </c>
      <c r="C4225" s="436" t="str">
        <f>VLOOKUP(A4225,'Thống kê'!$C$3:$E$682,3,0)</f>
        <v>cái</v>
      </c>
      <c r="D4225" s="437">
        <f>VLOOKUP(A4225,'Thống kê'!$C$3:$M$682,4,0)</f>
        <v>37800</v>
      </c>
      <c r="E4225" s="438">
        <v>1</v>
      </c>
      <c r="F4225" s="439">
        <f t="shared" si="17"/>
        <v>37800</v>
      </c>
      <c r="G4225" s="440"/>
      <c r="H4225" s="447">
        <v>185582</v>
      </c>
    </row>
    <row r="4226" spans="1:8" ht="13.2">
      <c r="A4226" s="454" t="s">
        <v>1621</v>
      </c>
      <c r="B4226" s="452" t="str">
        <f>VLOOKUP(A4226,'Thống kê'!$C$3:$D$669,2,0)</f>
        <v>Mô hình mèo 2</v>
      </c>
      <c r="C4226" s="436" t="str">
        <f>VLOOKUP(A4226,'Thống kê'!$C$3:$E$682,3,0)</f>
        <v>cái</v>
      </c>
      <c r="D4226" s="437">
        <f>VLOOKUP(A4226,'Thống kê'!$C$3:$M$682,4,0)</f>
        <v>37800</v>
      </c>
      <c r="E4226" s="438">
        <v>1</v>
      </c>
      <c r="F4226" s="439">
        <f t="shared" si="17"/>
        <v>37800</v>
      </c>
      <c r="G4226" s="440"/>
      <c r="H4226" s="450"/>
    </row>
    <row r="4227" spans="1:8" ht="13.2">
      <c r="A4227" s="454" t="s">
        <v>1623</v>
      </c>
      <c r="B4227" s="452" t="str">
        <f>VLOOKUP(A4227,'Thống kê'!$C$3:$D$669,2,0)</f>
        <v>Mô hình mèo 5</v>
      </c>
      <c r="C4227" s="436" t="str">
        <f>VLOOKUP(A4227,'Thống kê'!$C$3:$E$682,3,0)</f>
        <v>cái</v>
      </c>
      <c r="D4227" s="437">
        <f>VLOOKUP(A4227,'Thống kê'!$C$3:$M$682,4,0)</f>
        <v>37800</v>
      </c>
      <c r="E4227" s="438">
        <v>2</v>
      </c>
      <c r="F4227" s="439">
        <f t="shared" si="17"/>
        <v>75600</v>
      </c>
      <c r="G4227" s="440"/>
      <c r="H4227" s="450"/>
    </row>
    <row r="4228" spans="1:8" ht="13.2">
      <c r="A4228" s="454" t="s">
        <v>2060</v>
      </c>
      <c r="B4228" s="452" t="str">
        <f>VLOOKUP(A4228,'Thống kê'!$C$3:$D$669,2,0)</f>
        <v>Mô hình trái cây 08</v>
      </c>
      <c r="C4228" s="436" t="str">
        <f>VLOOKUP(A4228,'Thống kê'!$C$3:$E$682,3,0)</f>
        <v>cái</v>
      </c>
      <c r="D4228" s="437">
        <f>VLOOKUP(A4228,'Thống kê'!$C$3:$M$682,4,0)</f>
        <v>39000</v>
      </c>
      <c r="E4228" s="438">
        <v>1</v>
      </c>
      <c r="F4228" s="439">
        <f t="shared" si="17"/>
        <v>39000</v>
      </c>
      <c r="G4228" s="440"/>
      <c r="H4228" s="450"/>
    </row>
    <row r="4229" spans="1:8" ht="13.2">
      <c r="A4229" s="454" t="s">
        <v>2090</v>
      </c>
      <c r="B4229" s="452" t="str">
        <f>VLOOKUP(A4229,'Thống kê'!$C$3:$D$669,2,0)</f>
        <v>Mô hình trái cây 09</v>
      </c>
      <c r="C4229" s="436" t="str">
        <f>VLOOKUP(A4229,'Thống kê'!$C$3:$E$682,3,0)</f>
        <v>cái</v>
      </c>
      <c r="D4229" s="437">
        <f>VLOOKUP(A4229,'Thống kê'!$C$3:$M$682,4,0)</f>
        <v>39000</v>
      </c>
      <c r="E4229" s="438">
        <v>1</v>
      </c>
      <c r="F4229" s="439">
        <f t="shared" si="17"/>
        <v>39000</v>
      </c>
      <c r="G4229" s="440"/>
      <c r="H4229" s="450"/>
    </row>
    <row r="4230" spans="1:8" ht="13.2">
      <c r="A4230" s="454" t="s">
        <v>259</v>
      </c>
      <c r="B4230" s="452" t="str">
        <f>VLOOKUP(A4230,'Thống kê'!$C$3:$D$669,2,0)</f>
        <v>Móc khoá Crybaby mini Popmart</v>
      </c>
      <c r="C4230" s="436" t="str">
        <f>VLOOKUP(A4230,'Thống kê'!$C$3:$E$682,3,0)</f>
        <v>cái</v>
      </c>
      <c r="D4230" s="437">
        <f>VLOOKUP(A4230,'Thống kê'!$C$3:$M$682,4,0)</f>
        <v>0</v>
      </c>
      <c r="E4230" s="438">
        <v>1</v>
      </c>
      <c r="F4230" s="439">
        <f t="shared" si="17"/>
        <v>0</v>
      </c>
      <c r="G4230" s="440"/>
      <c r="H4230" s="447">
        <v>112265</v>
      </c>
    </row>
    <row r="4231" spans="1:8" ht="13.2">
      <c r="A4231" s="454" t="s">
        <v>2089</v>
      </c>
      <c r="B4231" s="452" t="str">
        <f>VLOOKUP(A4231,'Thống kê'!$C$3:$D$669,2,0)</f>
        <v>Kẹp tóc bướm cam</v>
      </c>
      <c r="C4231" s="436" t="str">
        <f>VLOOKUP(A4231,'Thống kê'!$C$3:$E$682,3,0)</f>
        <v>cái</v>
      </c>
      <c r="D4231" s="437">
        <f>VLOOKUP(A4231,'Thống kê'!$C$3:$M$682,4,0)</f>
        <v>19000</v>
      </c>
      <c r="E4231" s="438">
        <v>1</v>
      </c>
      <c r="F4231" s="439">
        <f t="shared" si="17"/>
        <v>19000</v>
      </c>
      <c r="G4231" s="440"/>
      <c r="H4231" s="450"/>
    </row>
    <row r="4232" spans="1:8" ht="13.2">
      <c r="A4232" s="454" t="s">
        <v>1396</v>
      </c>
      <c r="B4232" s="452" t="str">
        <f>VLOOKUP(A4232,'Thống kê'!$C$3:$D$669,2,0)</f>
        <v>Móc khoá Labubu mini Popmart</v>
      </c>
      <c r="C4232" s="436" t="str">
        <f>VLOOKUP(A4232,'Thống kê'!$C$3:$E$682,3,0)</f>
        <v>cái</v>
      </c>
      <c r="D4232" s="437">
        <f>VLOOKUP(A4232,'Thống kê'!$C$3:$M$682,4,0)</f>
        <v>0</v>
      </c>
      <c r="E4232" s="438">
        <v>1</v>
      </c>
      <c r="F4232" s="439">
        <f t="shared" si="17"/>
        <v>0</v>
      </c>
      <c r="G4232" s="440"/>
      <c r="H4232" s="447">
        <v>92496</v>
      </c>
    </row>
    <row r="4233" spans="1:8" ht="13.2">
      <c r="A4233" s="454" t="s">
        <v>1927</v>
      </c>
      <c r="B4233" s="452" t="str">
        <f>VLOOKUP(A4233,'Thống kê'!$C$3:$D$669,2,0)</f>
        <v>Kẹp tóc bướm tím</v>
      </c>
      <c r="C4233" s="436" t="str">
        <f>VLOOKUP(A4233,'Thống kê'!$C$3:$E$682,3,0)</f>
        <v>cái</v>
      </c>
      <c r="D4233" s="437">
        <f>VLOOKUP(A4233,'Thống kê'!$C$3:$M$682,4,0)</f>
        <v>19000</v>
      </c>
      <c r="E4233" s="438">
        <v>1</v>
      </c>
      <c r="F4233" s="439">
        <f t="shared" si="17"/>
        <v>19000</v>
      </c>
      <c r="G4233" s="440"/>
      <c r="H4233" s="450"/>
    </row>
    <row r="4234" spans="1:8" ht="13.2">
      <c r="A4234" s="454" t="s">
        <v>1390</v>
      </c>
      <c r="B4234" s="452" t="str">
        <f>VLOOKUP(A4234,'Thống kê'!$C$3:$D$669,2,0)</f>
        <v>Móc khoá Labubu mini Popmart</v>
      </c>
      <c r="C4234" s="436" t="str">
        <f>VLOOKUP(A4234,'Thống kê'!$C$3:$E$682,3,0)</f>
        <v>cái</v>
      </c>
      <c r="D4234" s="437">
        <f>VLOOKUP(A4234,'Thống kê'!$C$3:$M$682,4,0)</f>
        <v>0</v>
      </c>
      <c r="E4234" s="438">
        <v>1</v>
      </c>
      <c r="F4234" s="439">
        <f t="shared" si="17"/>
        <v>0</v>
      </c>
      <c r="G4234" s="440"/>
      <c r="H4234" s="447">
        <v>92496</v>
      </c>
    </row>
    <row r="4235" spans="1:8" ht="13.2">
      <c r="A4235" s="454" t="s">
        <v>1955</v>
      </c>
      <c r="B4235" s="452" t="str">
        <f>VLOOKUP(A4235,'Thống kê'!$C$3:$D$669,2,0)</f>
        <v>Kẹp tóc bướm xanh da trời</v>
      </c>
      <c r="C4235" s="436" t="str">
        <f>VLOOKUP(A4235,'Thống kê'!$C$3:$E$682,3,0)</f>
        <v>cái</v>
      </c>
      <c r="D4235" s="437">
        <f>VLOOKUP(A4235,'Thống kê'!$C$3:$M$682,4,0)</f>
        <v>18000</v>
      </c>
      <c r="E4235" s="438">
        <v>1</v>
      </c>
      <c r="F4235" s="439">
        <f t="shared" si="17"/>
        <v>18000</v>
      </c>
      <c r="G4235" s="440"/>
      <c r="H4235" s="450"/>
    </row>
    <row r="4236" spans="1:8" ht="13.2">
      <c r="A4236" s="454" t="s">
        <v>230</v>
      </c>
      <c r="B4236" s="452" t="str">
        <f>VLOOKUP(A4236,'Thống kê'!$C$3:$D$669,2,0)</f>
        <v>Móc khoá Crybaby mini Popmart</v>
      </c>
      <c r="C4236" s="436" t="str">
        <f>VLOOKUP(A4236,'Thống kê'!$C$3:$E$682,3,0)</f>
        <v>cái</v>
      </c>
      <c r="D4236" s="437">
        <f>VLOOKUP(A4236,'Thống kê'!$C$3:$M$682,4,0)</f>
        <v>0</v>
      </c>
      <c r="E4236" s="438">
        <v>1</v>
      </c>
      <c r="F4236" s="439">
        <f t="shared" si="17"/>
        <v>0</v>
      </c>
      <c r="G4236" s="440"/>
      <c r="H4236" s="447">
        <v>112340</v>
      </c>
    </row>
    <row r="4237" spans="1:8" ht="13.2">
      <c r="A4237" s="454" t="s">
        <v>1981</v>
      </c>
      <c r="B4237" s="452" t="str">
        <f>VLOOKUP(A4237,'Thống kê'!$C$3:$D$669,2,0)</f>
        <v>Kẹp tóc bướm xanh lá</v>
      </c>
      <c r="C4237" s="436" t="str">
        <f>VLOOKUP(A4237,'Thống kê'!$C$3:$E$682,3,0)</f>
        <v>cái</v>
      </c>
      <c r="D4237" s="437">
        <f>VLOOKUP(A4237,'Thống kê'!$C$3:$M$682,4,0)</f>
        <v>18000</v>
      </c>
      <c r="E4237" s="438">
        <v>1</v>
      </c>
      <c r="F4237" s="439">
        <f t="shared" si="17"/>
        <v>18000</v>
      </c>
      <c r="G4237" s="440"/>
      <c r="H4237" s="450"/>
    </row>
    <row r="4238" spans="1:8" ht="13.2">
      <c r="A4238" s="454" t="s">
        <v>150</v>
      </c>
      <c r="B4238" s="452" t="str">
        <f>VLOOKUP(A4238,'Thống kê'!$C$3:$D$669,2,0)</f>
        <v>Móc khóa có chuông</v>
      </c>
      <c r="C4238" s="436" t="str">
        <f>VLOOKUP(A4238,'Thống kê'!$C$3:$E$682,3,0)</f>
        <v>cái</v>
      </c>
      <c r="D4238" s="437">
        <f>VLOOKUP(A4238,'Thống kê'!$C$3:$M$682,4,0)</f>
        <v>59000</v>
      </c>
      <c r="E4238" s="438">
        <v>1</v>
      </c>
      <c r="F4238" s="439">
        <f t="shared" si="17"/>
        <v>59000</v>
      </c>
      <c r="G4238" s="440"/>
      <c r="H4238" s="448">
        <v>40210</v>
      </c>
    </row>
    <row r="4239" spans="1:8" ht="13.2">
      <c r="A4239" s="454" t="s">
        <v>1703</v>
      </c>
      <c r="B4239" s="452">
        <f>VLOOKUP(A4239,'Thống kê'!$C$3:$D$669,2,0)</f>
        <v>0</v>
      </c>
      <c r="C4239" s="436">
        <f>VLOOKUP(A4239,'Thống kê'!$C$3:$E$682,3,0)</f>
        <v>0</v>
      </c>
      <c r="D4239" s="437">
        <f>VLOOKUP(A4239,'Thống kê'!$C$3:$M$682,4,0)</f>
        <v>0</v>
      </c>
      <c r="E4239" s="438">
        <v>1</v>
      </c>
      <c r="F4239" s="439">
        <f t="shared" si="17"/>
        <v>0</v>
      </c>
      <c r="G4239" s="440"/>
      <c r="H4239" s="447">
        <v>253478</v>
      </c>
    </row>
    <row r="4240" spans="1:8" ht="13.2">
      <c r="A4240" s="454" t="s">
        <v>1687</v>
      </c>
      <c r="B4240" s="452">
        <f>VLOOKUP(A4240,'Thống kê'!$C$3:$D$669,2,0)</f>
        <v>0</v>
      </c>
      <c r="C4240" s="436">
        <f>VLOOKUP(A4240,'Thống kê'!$C$3:$E$682,3,0)</f>
        <v>0</v>
      </c>
      <c r="D4240" s="437">
        <f>VLOOKUP(A4240,'Thống kê'!$C$3:$M$682,4,0)</f>
        <v>0</v>
      </c>
      <c r="E4240" s="438">
        <v>1</v>
      </c>
      <c r="F4240" s="439">
        <f t="shared" si="17"/>
        <v>0</v>
      </c>
      <c r="G4240" s="440"/>
      <c r="H4240" s="450"/>
    </row>
    <row r="4241" spans="1:8" ht="13.2">
      <c r="A4241" s="454" t="s">
        <v>183</v>
      </c>
      <c r="B4241" s="452" t="str">
        <f>VLOOKUP(A4241,'Thống kê'!$C$3:$D$669,2,0)</f>
        <v>Thỏ máy bay gắn xe</v>
      </c>
      <c r="C4241" s="436" t="str">
        <f>VLOOKUP(A4241,'Thống kê'!$C$3:$E$682,3,0)</f>
        <v>cái</v>
      </c>
      <c r="D4241" s="437">
        <f>VLOOKUP(A4241,'Thống kê'!$C$3:$M$682,4,0)</f>
        <v>45000</v>
      </c>
      <c r="E4241" s="438">
        <v>1</v>
      </c>
      <c r="F4241" s="439">
        <f t="shared" si="17"/>
        <v>45000</v>
      </c>
      <c r="G4241" s="440"/>
      <c r="H4241" s="447">
        <v>63446</v>
      </c>
    </row>
    <row r="4242" spans="1:8" ht="13.2">
      <c r="A4242" s="454" t="s">
        <v>145</v>
      </c>
      <c r="B4242" s="452" t="str">
        <f>VLOOKUP(A4242,'Thống kê'!$C$3:$D$669,2,0)</f>
        <v>Thỏ đi vịt gắn xe</v>
      </c>
      <c r="C4242" s="436" t="str">
        <f>VLOOKUP(A4242,'Thống kê'!$C$3:$E$682,3,0)</f>
        <v>cái</v>
      </c>
      <c r="D4242" s="437">
        <f>VLOOKUP(A4242,'Thống kê'!$C$3:$M$682,4,0)</f>
        <v>45000</v>
      </c>
      <c r="E4242" s="438">
        <v>1</v>
      </c>
      <c r="F4242" s="439">
        <f t="shared" si="17"/>
        <v>45000</v>
      </c>
      <c r="G4242" s="440"/>
      <c r="H4242" s="450"/>
    </row>
    <row r="4243" spans="1:8" ht="13.2">
      <c r="A4243" s="454" t="s">
        <v>2091</v>
      </c>
      <c r="B4243" s="452" t="str">
        <f>VLOOKUP(A4243,'Thống kê'!$C$3:$D$669,2,0)</f>
        <v>Kẹp tóc bướm tím</v>
      </c>
      <c r="C4243" s="436" t="str">
        <f>VLOOKUP(A4243,'Thống kê'!$C$3:$E$682,3,0)</f>
        <v>cái</v>
      </c>
      <c r="D4243" s="437">
        <f>VLOOKUP(A4243,'Thống kê'!$C$3:$M$682,4,0)</f>
        <v>18000</v>
      </c>
      <c r="E4243" s="438">
        <v>1</v>
      </c>
      <c r="F4243" s="439">
        <f t="shared" si="17"/>
        <v>18000</v>
      </c>
      <c r="G4243" s="440"/>
      <c r="H4243" s="450"/>
    </row>
    <row r="4244" spans="1:8" ht="13.2">
      <c r="A4244" s="454" t="s">
        <v>115</v>
      </c>
      <c r="B4244" s="452" t="str">
        <f>VLOOKUP(A4244,'Thống kê'!$C$3:$D$669,2,0)</f>
        <v>Heo ú</v>
      </c>
      <c r="C4244" s="436" t="str">
        <f>VLOOKUP(A4244,'Thống kê'!$C$3:$E$682,3,0)</f>
        <v>cái</v>
      </c>
      <c r="D4244" s="437">
        <f>VLOOKUP(A4244,'Thống kê'!$C$3:$M$682,4,0)</f>
        <v>59500</v>
      </c>
      <c r="E4244" s="438">
        <v>1</v>
      </c>
      <c r="F4244" s="439">
        <f t="shared" si="17"/>
        <v>59500</v>
      </c>
      <c r="G4244" s="440"/>
      <c r="H4244" s="448">
        <v>48633</v>
      </c>
    </row>
    <row r="4245" spans="1:8" ht="13.2">
      <c r="A4245" s="454" t="s">
        <v>1342</v>
      </c>
      <c r="B4245" s="452" t="str">
        <f>VLOOKUP(A4245,'Thống kê'!$C$3:$D$669,2,0)</f>
        <v>Móc khóa chuối</v>
      </c>
      <c r="C4245" s="436" t="str">
        <f>VLOOKUP(A4245,'Thống kê'!$C$3:$E$682,3,0)</f>
        <v>cái</v>
      </c>
      <c r="D4245" s="437">
        <f>VLOOKUP(A4245,'Thống kê'!$C$3:$M$682,4,0)</f>
        <v>148000</v>
      </c>
      <c r="E4245" s="438">
        <v>1</v>
      </c>
      <c r="F4245" s="439">
        <f t="shared" si="17"/>
        <v>148000</v>
      </c>
      <c r="G4245" s="440"/>
      <c r="H4245" s="448">
        <v>79212</v>
      </c>
    </row>
    <row r="4246" spans="1:8" ht="13.2">
      <c r="A4246" s="454" t="s">
        <v>245</v>
      </c>
      <c r="B4246" s="452" t="str">
        <f>VLOOKUP(A4246,'Thống kê'!$C$3:$D$669,2,0)</f>
        <v>Móc khóa Popbean</v>
      </c>
      <c r="C4246" s="436" t="str">
        <f>VLOOKUP(A4246,'Thống kê'!$C$3:$E$682,3,0)</f>
        <v>cái</v>
      </c>
      <c r="D4246" s="437">
        <f>VLOOKUP(A4246,'Thống kê'!$C$3:$M$682,4,0)</f>
        <v>148000</v>
      </c>
      <c r="E4246" s="438">
        <v>1</v>
      </c>
      <c r="F4246" s="439">
        <f t="shared" si="17"/>
        <v>148000</v>
      </c>
      <c r="G4246" s="440"/>
      <c r="H4246" s="448">
        <v>136940</v>
      </c>
    </row>
    <row r="4247" spans="1:8" ht="13.2">
      <c r="A4247" s="454" t="s">
        <v>1930</v>
      </c>
      <c r="B4247" s="452" t="str">
        <f>VLOOKUP(A4247,'Thống kê'!$C$3:$D$669,2,0)</f>
        <v>Kẹp nơ hồng</v>
      </c>
      <c r="C4247" s="436" t="str">
        <f>VLOOKUP(A4247,'Thống kê'!$C$3:$E$682,3,0)</f>
        <v>cái</v>
      </c>
      <c r="D4247" s="437">
        <f>VLOOKUP(A4247,'Thống kê'!$C$3:$M$682,4,0)</f>
        <v>22000</v>
      </c>
      <c r="E4247" s="438">
        <v>1</v>
      </c>
      <c r="F4247" s="439">
        <f t="shared" si="17"/>
        <v>22000</v>
      </c>
      <c r="G4247" s="440"/>
      <c r="H4247" s="448">
        <v>16596</v>
      </c>
    </row>
    <row r="4248" spans="1:8" ht="13.2">
      <c r="A4248" s="454" t="s">
        <v>1640</v>
      </c>
      <c r="B4248" s="452" t="str">
        <f>VLOOKUP(A4248,'Thống kê'!$C$3:$D$669,2,0)</f>
        <v>Móc khóa đôi Capypara</v>
      </c>
      <c r="C4248" s="436" t="str">
        <f>VLOOKUP(A4248,'Thống kê'!$C$3:$E$682,3,0)</f>
        <v>cái</v>
      </c>
      <c r="D4248" s="437">
        <f>VLOOKUP(A4248,'Thống kê'!$C$3:$M$682,4,0)</f>
        <v>59000</v>
      </c>
      <c r="E4248" s="438">
        <v>1</v>
      </c>
      <c r="F4248" s="439">
        <f t="shared" si="17"/>
        <v>59000</v>
      </c>
      <c r="G4248" s="440"/>
      <c r="H4248" s="448">
        <v>39510</v>
      </c>
    </row>
    <row r="4249" spans="1:8" ht="13.2">
      <c r="A4249" s="454" t="s">
        <v>119</v>
      </c>
      <c r="B4249" s="452" t="str">
        <f>VLOOKUP(A4249,'Thống kê'!$C$3:$D$669,2,0)</f>
        <v>Thỏ chạy xe gắn xe</v>
      </c>
      <c r="C4249" s="436" t="str">
        <f>VLOOKUP(A4249,'Thống kê'!$C$3:$E$682,3,0)</f>
        <v>cái</v>
      </c>
      <c r="D4249" s="437">
        <f>VLOOKUP(A4249,'Thống kê'!$C$3:$M$682,4,0)</f>
        <v>45000</v>
      </c>
      <c r="E4249" s="438">
        <v>1</v>
      </c>
      <c r="F4249" s="439">
        <f t="shared" si="17"/>
        <v>45000</v>
      </c>
      <c r="G4249" s="440"/>
      <c r="H4249" s="447">
        <v>33523</v>
      </c>
    </row>
    <row r="4250" spans="1:8" ht="13.2">
      <c r="A4250" s="454" t="s">
        <v>2091</v>
      </c>
      <c r="B4250" s="452" t="str">
        <f>VLOOKUP(A4250,'Thống kê'!$C$3:$D$669,2,0)</f>
        <v>Kẹp tóc bướm tím</v>
      </c>
      <c r="C4250" s="436" t="str">
        <f>VLOOKUP(A4250,'Thống kê'!$C$3:$E$682,3,0)</f>
        <v>cái</v>
      </c>
      <c r="D4250" s="437">
        <f>VLOOKUP(A4250,'Thống kê'!$C$3:$M$682,4,0)</f>
        <v>18000</v>
      </c>
      <c r="E4250" s="438">
        <v>1</v>
      </c>
      <c r="F4250" s="439">
        <f t="shared" si="17"/>
        <v>18000</v>
      </c>
      <c r="G4250" s="440"/>
      <c r="H4250" s="450"/>
    </row>
    <row r="4251" spans="1:8" ht="13.2">
      <c r="A4251" s="454" t="s">
        <v>1384</v>
      </c>
      <c r="B4251" s="452" t="str">
        <f>VLOOKUP(A4251,'Thống kê'!$C$3:$D$669,2,0)</f>
        <v>Móc khoá Crybaby mini Popmart</v>
      </c>
      <c r="C4251" s="436" t="str">
        <f>VLOOKUP(A4251,'Thống kê'!$C$3:$E$682,3,0)</f>
        <v>cái</v>
      </c>
      <c r="D4251" s="437">
        <f>VLOOKUP(A4251,'Thống kê'!$C$3:$M$682,4,0)</f>
        <v>0</v>
      </c>
      <c r="E4251" s="438">
        <v>1</v>
      </c>
      <c r="F4251" s="439">
        <f t="shared" si="17"/>
        <v>0</v>
      </c>
      <c r="G4251" s="440"/>
      <c r="H4251" s="447">
        <v>112340</v>
      </c>
    </row>
    <row r="4252" spans="1:8" ht="13.2">
      <c r="A4252" s="454" t="s">
        <v>2088</v>
      </c>
      <c r="B4252" s="452" t="str">
        <f>VLOOKUP(A4252,'Thống kê'!$C$3:$D$669,2,0)</f>
        <v>Kẹp tóc bướm hồng nhạt</v>
      </c>
      <c r="C4252" s="436" t="str">
        <f>VLOOKUP(A4252,'Thống kê'!$C$3:$E$682,3,0)</f>
        <v>cái</v>
      </c>
      <c r="D4252" s="437">
        <f>VLOOKUP(A4252,'Thống kê'!$C$3:$M$682,4,0)</f>
        <v>18000</v>
      </c>
      <c r="E4252" s="438">
        <v>1</v>
      </c>
      <c r="F4252" s="439">
        <f t="shared" si="17"/>
        <v>18000</v>
      </c>
      <c r="G4252" s="440"/>
      <c r="H4252" s="450"/>
    </row>
    <row r="4253" spans="1:8" ht="13.2">
      <c r="A4253" s="454" t="s">
        <v>258</v>
      </c>
      <c r="B4253" s="452" t="str">
        <f>VLOOKUP(A4253,'Thống kê'!$C$3:$D$669,2,0)</f>
        <v>Móc khoá Crybaby mini Popmart</v>
      </c>
      <c r="C4253" s="436" t="str">
        <f>VLOOKUP(A4253,'Thống kê'!$C$3:$E$682,3,0)</f>
        <v>cái</v>
      </c>
      <c r="D4253" s="437">
        <f>VLOOKUP(A4253,'Thống kê'!$C$3:$M$682,4,0)</f>
        <v>0</v>
      </c>
      <c r="E4253" s="438">
        <v>1</v>
      </c>
      <c r="F4253" s="439">
        <f t="shared" si="17"/>
        <v>0</v>
      </c>
      <c r="G4253" s="440"/>
      <c r="H4253" s="447">
        <v>451000</v>
      </c>
    </row>
    <row r="4254" spans="1:8" ht="13.2">
      <c r="A4254" s="454" t="s">
        <v>1384</v>
      </c>
      <c r="B4254" s="452" t="str">
        <f>VLOOKUP(A4254,'Thống kê'!$C$3:$D$669,2,0)</f>
        <v>Móc khoá Crybaby mini Popmart</v>
      </c>
      <c r="C4254" s="436" t="str">
        <f>VLOOKUP(A4254,'Thống kê'!$C$3:$E$682,3,0)</f>
        <v>cái</v>
      </c>
      <c r="D4254" s="437">
        <f>VLOOKUP(A4254,'Thống kê'!$C$3:$M$682,4,0)</f>
        <v>0</v>
      </c>
      <c r="E4254" s="438">
        <v>1</v>
      </c>
      <c r="F4254" s="439">
        <f t="shared" si="17"/>
        <v>0</v>
      </c>
      <c r="G4254" s="440"/>
      <c r="H4254" s="450"/>
    </row>
    <row r="4255" spans="1:8" ht="13.2">
      <c r="A4255" s="454" t="s">
        <v>1386</v>
      </c>
      <c r="B4255" s="452" t="str">
        <f>VLOOKUP(A4255,'Thống kê'!$C$3:$D$669,2,0)</f>
        <v>Móc khoá Crybaby mini Popmart</v>
      </c>
      <c r="C4255" s="436" t="str">
        <f>VLOOKUP(A4255,'Thống kê'!$C$3:$E$682,3,0)</f>
        <v>cái</v>
      </c>
      <c r="D4255" s="437">
        <f>VLOOKUP(A4255,'Thống kê'!$C$3:$M$682,4,0)</f>
        <v>0</v>
      </c>
      <c r="E4255" s="438">
        <v>1</v>
      </c>
      <c r="F4255" s="439">
        <f t="shared" si="17"/>
        <v>0</v>
      </c>
      <c r="G4255" s="440"/>
      <c r="H4255" s="450"/>
    </row>
    <row r="4256" spans="1:8" ht="13.2">
      <c r="A4256" s="454" t="s">
        <v>259</v>
      </c>
      <c r="B4256" s="452" t="str">
        <f>VLOOKUP(A4256,'Thống kê'!$C$3:$D$669,2,0)</f>
        <v>Móc khoá Crybaby mini Popmart</v>
      </c>
      <c r="C4256" s="436" t="str">
        <f>VLOOKUP(A4256,'Thống kê'!$C$3:$E$682,3,0)</f>
        <v>cái</v>
      </c>
      <c r="D4256" s="437">
        <f>VLOOKUP(A4256,'Thống kê'!$C$3:$M$682,4,0)</f>
        <v>0</v>
      </c>
      <c r="E4256" s="438">
        <v>1</v>
      </c>
      <c r="F4256" s="439">
        <f t="shared" si="17"/>
        <v>0</v>
      </c>
      <c r="G4256" s="440"/>
      <c r="H4256" s="450"/>
    </row>
    <row r="4257" spans="1:8" ht="13.2">
      <c r="A4257" s="454" t="s">
        <v>2092</v>
      </c>
      <c r="B4257" s="452" t="str">
        <f>VLOOKUP(A4257,'Thống kê'!$C$3:$D$669,2,0)</f>
        <v>Kẹp tóc bướm đen</v>
      </c>
      <c r="C4257" s="436" t="str">
        <f>VLOOKUP(A4257,'Thống kê'!$C$3:$E$682,3,0)</f>
        <v>cái</v>
      </c>
      <c r="D4257" s="437">
        <f>VLOOKUP(A4257,'Thống kê'!$C$3:$M$682,4,0)</f>
        <v>18000</v>
      </c>
      <c r="E4257" s="438">
        <v>1</v>
      </c>
      <c r="F4257" s="439">
        <f t="shared" si="17"/>
        <v>18000</v>
      </c>
      <c r="G4257" s="440"/>
      <c r="H4257" s="450"/>
    </row>
    <row r="4258" spans="1:8" ht="13.2">
      <c r="A4258" s="454" t="s">
        <v>186</v>
      </c>
      <c r="B4258" s="452" t="str">
        <f>VLOOKUP(A4258,'Thống kê'!$C$3:$D$669,2,0)</f>
        <v>Thỏ ú bay</v>
      </c>
      <c r="C4258" s="436" t="str">
        <f>VLOOKUP(A4258,'Thống kê'!$C$3:$E$682,3,0)</f>
        <v>cái</v>
      </c>
      <c r="D4258" s="437">
        <f>VLOOKUP(A4258,'Thống kê'!$C$3:$M$682,4,0)</f>
        <v>64500</v>
      </c>
      <c r="E4258" s="438">
        <v>1</v>
      </c>
      <c r="F4258" s="439">
        <f t="shared" si="17"/>
        <v>64500</v>
      </c>
      <c r="G4258" s="440"/>
      <c r="H4258" s="448">
        <v>59674</v>
      </c>
    </row>
    <row r="4259" spans="1:8" ht="13.2">
      <c r="A4259" s="454" t="s">
        <v>115</v>
      </c>
      <c r="B4259" s="452" t="str">
        <f>VLOOKUP(A4259,'Thống kê'!$C$3:$D$669,2,0)</f>
        <v>Heo ú</v>
      </c>
      <c r="C4259" s="436" t="str">
        <f>VLOOKUP(A4259,'Thống kê'!$C$3:$E$682,3,0)</f>
        <v>cái</v>
      </c>
      <c r="D4259" s="437">
        <f>VLOOKUP(A4259,'Thống kê'!$C$3:$M$682,4,0)</f>
        <v>59500</v>
      </c>
      <c r="E4259" s="438">
        <v>1</v>
      </c>
      <c r="F4259" s="439">
        <f t="shared" si="17"/>
        <v>59500</v>
      </c>
      <c r="G4259" s="440"/>
      <c r="H4259" s="447">
        <v>97044</v>
      </c>
    </row>
    <row r="4260" spans="1:8" ht="13.2">
      <c r="A4260" s="454" t="s">
        <v>1699</v>
      </c>
      <c r="B4260" s="452" t="str">
        <f>VLOOKUP(A4260,'Thống kê'!$C$3:$D$669,2,0)</f>
        <v>Mô hình động vật thần tài - Capy</v>
      </c>
      <c r="C4260" s="436" t="str">
        <f>VLOOKUP(A4260,'Thống kê'!$C$3:$E$682,3,0)</f>
        <v>cái</v>
      </c>
      <c r="D4260" s="437">
        <f>VLOOKUP(A4260,'Thống kê'!$C$3:$M$682,4,0)</f>
        <v>59000</v>
      </c>
      <c r="E4260" s="438">
        <v>1</v>
      </c>
      <c r="F4260" s="439">
        <f t="shared" si="17"/>
        <v>59000</v>
      </c>
      <c r="G4260" s="440"/>
      <c r="H4260" s="450"/>
    </row>
    <row r="4261" spans="1:8" ht="13.2">
      <c r="A4261" s="454" t="s">
        <v>1622</v>
      </c>
      <c r="B4261" s="452" t="str">
        <f>VLOOKUP(A4261,'Thống kê'!$C$3:$D$669,2,0)</f>
        <v>Mô hình mèo 1</v>
      </c>
      <c r="C4261" s="436" t="str">
        <f>VLOOKUP(A4261,'Thống kê'!$C$3:$E$682,3,0)</f>
        <v>cái</v>
      </c>
      <c r="D4261" s="437">
        <f>VLOOKUP(A4261,'Thống kê'!$C$3:$M$682,4,0)</f>
        <v>37800</v>
      </c>
      <c r="E4261" s="438">
        <v>1</v>
      </c>
      <c r="F4261" s="439">
        <f t="shared" si="17"/>
        <v>37800</v>
      </c>
      <c r="G4261" s="440"/>
      <c r="H4261" s="447">
        <v>165000</v>
      </c>
    </row>
    <row r="4262" spans="1:8" ht="13.2">
      <c r="A4262" s="454" t="s">
        <v>1621</v>
      </c>
      <c r="B4262" s="452" t="str">
        <f>VLOOKUP(A4262,'Thống kê'!$C$3:$D$669,2,0)</f>
        <v>Mô hình mèo 2</v>
      </c>
      <c r="C4262" s="436" t="str">
        <f>VLOOKUP(A4262,'Thống kê'!$C$3:$E$682,3,0)</f>
        <v>cái</v>
      </c>
      <c r="D4262" s="437">
        <f>VLOOKUP(A4262,'Thống kê'!$C$3:$M$682,4,0)</f>
        <v>37800</v>
      </c>
      <c r="E4262" s="438">
        <v>1</v>
      </c>
      <c r="F4262" s="439">
        <f t="shared" si="17"/>
        <v>37800</v>
      </c>
      <c r="G4262" s="440"/>
      <c r="H4262" s="450"/>
    </row>
    <row r="4263" spans="1:8" ht="13.2">
      <c r="A4263" s="454" t="s">
        <v>1636</v>
      </c>
      <c r="B4263" s="452" t="str">
        <f>VLOOKUP(A4263,'Thống kê'!$C$3:$D$669,2,0)</f>
        <v>Mô hình mèo 3</v>
      </c>
      <c r="C4263" s="436" t="str">
        <f>VLOOKUP(A4263,'Thống kê'!$C$3:$E$682,3,0)</f>
        <v>cái</v>
      </c>
      <c r="D4263" s="437">
        <f>VLOOKUP(A4263,'Thống kê'!$C$3:$M$682,4,0)</f>
        <v>37800</v>
      </c>
      <c r="E4263" s="438">
        <v>1</v>
      </c>
      <c r="F4263" s="439">
        <f t="shared" si="17"/>
        <v>37800</v>
      </c>
      <c r="G4263" s="440"/>
      <c r="H4263" s="450"/>
    </row>
    <row r="4264" spans="1:8" ht="13.2">
      <c r="A4264" s="454" t="s">
        <v>1635</v>
      </c>
      <c r="B4264" s="452" t="str">
        <f>VLOOKUP(A4264,'Thống kê'!$C$3:$D$669,2,0)</f>
        <v>Mô hình mèo 4</v>
      </c>
      <c r="C4264" s="436" t="str">
        <f>VLOOKUP(A4264,'Thống kê'!$C$3:$E$682,3,0)</f>
        <v>cái</v>
      </c>
      <c r="D4264" s="437">
        <f>VLOOKUP(A4264,'Thống kê'!$C$3:$M$682,4,0)</f>
        <v>37800</v>
      </c>
      <c r="E4264" s="438">
        <v>1</v>
      </c>
      <c r="F4264" s="439">
        <f t="shared" si="17"/>
        <v>37800</v>
      </c>
      <c r="G4264" s="440"/>
      <c r="H4264" s="450"/>
    </row>
    <row r="4265" spans="1:8" ht="13.2">
      <c r="A4265" s="454" t="s">
        <v>1623</v>
      </c>
      <c r="B4265" s="452" t="str">
        <f>VLOOKUP(A4265,'Thống kê'!$C$3:$D$669,2,0)</f>
        <v>Mô hình mèo 5</v>
      </c>
      <c r="C4265" s="436" t="str">
        <f>VLOOKUP(A4265,'Thống kê'!$C$3:$E$682,3,0)</f>
        <v>cái</v>
      </c>
      <c r="D4265" s="437">
        <f>VLOOKUP(A4265,'Thống kê'!$C$3:$M$682,4,0)</f>
        <v>37800</v>
      </c>
      <c r="E4265" s="438">
        <v>1</v>
      </c>
      <c r="F4265" s="439">
        <f t="shared" si="17"/>
        <v>37800</v>
      </c>
      <c r="G4265" s="440"/>
      <c r="H4265" s="450"/>
    </row>
    <row r="4266" spans="1:8" ht="13.2">
      <c r="A4266" s="454" t="s">
        <v>119</v>
      </c>
      <c r="B4266" s="452" t="str">
        <f>VLOOKUP(A4266,'Thống kê'!$C$3:$D$669,2,0)</f>
        <v>Thỏ chạy xe gắn xe</v>
      </c>
      <c r="C4266" s="436" t="str">
        <f>VLOOKUP(A4266,'Thống kê'!$C$3:$E$682,3,0)</f>
        <v>cái</v>
      </c>
      <c r="D4266" s="437">
        <f>VLOOKUP(A4266,'Thống kê'!$C$3:$M$682,4,0)</f>
        <v>45000</v>
      </c>
      <c r="E4266" s="438">
        <v>1</v>
      </c>
      <c r="F4266" s="439">
        <f t="shared" si="17"/>
        <v>45000</v>
      </c>
      <c r="G4266" s="440"/>
      <c r="H4266" s="447">
        <v>-50000</v>
      </c>
    </row>
    <row r="4267" spans="1:8" ht="13.2">
      <c r="A4267" s="454" t="s">
        <v>2091</v>
      </c>
      <c r="B4267" s="452" t="str">
        <f>VLOOKUP(A4267,'Thống kê'!$C$3:$D$669,2,0)</f>
        <v>Kẹp tóc bướm tím</v>
      </c>
      <c r="C4267" s="436" t="str">
        <f>VLOOKUP(A4267,'Thống kê'!$C$3:$E$682,3,0)</f>
        <v>cái</v>
      </c>
      <c r="D4267" s="437">
        <f>VLOOKUP(A4267,'Thống kê'!$C$3:$M$682,4,0)</f>
        <v>18000</v>
      </c>
      <c r="E4267" s="438">
        <v>1</v>
      </c>
      <c r="F4267" s="439">
        <f t="shared" si="17"/>
        <v>18000</v>
      </c>
      <c r="G4267" s="440"/>
      <c r="H4267" s="450"/>
    </row>
    <row r="4268" spans="1:8" ht="13.2">
      <c r="A4268" s="454" t="s">
        <v>150</v>
      </c>
      <c r="B4268" s="452" t="str">
        <f>VLOOKUP(A4268,'Thống kê'!$C$3:$D$669,2,0)</f>
        <v>Móc khóa có chuông</v>
      </c>
      <c r="C4268" s="436" t="str">
        <f>VLOOKUP(A4268,'Thống kê'!$C$3:$E$682,3,0)</f>
        <v>cái</v>
      </c>
      <c r="D4268" s="437">
        <f>VLOOKUP(A4268,'Thống kê'!$C$3:$M$682,4,0)</f>
        <v>59000</v>
      </c>
      <c r="E4268" s="438">
        <v>1</v>
      </c>
      <c r="F4268" s="439">
        <f t="shared" si="17"/>
        <v>59000</v>
      </c>
      <c r="G4268" s="440"/>
      <c r="H4268" s="448">
        <v>44110</v>
      </c>
    </row>
    <row r="4269" spans="1:8" ht="13.2">
      <c r="A4269" s="454" t="s">
        <v>258</v>
      </c>
      <c r="B4269" s="452" t="str">
        <f>VLOOKUP(A4269,'Thống kê'!$C$3:$D$669,2,0)</f>
        <v>Móc khoá Crybaby mini Popmart</v>
      </c>
      <c r="C4269" s="436" t="str">
        <f>VLOOKUP(A4269,'Thống kê'!$C$3:$E$682,3,0)</f>
        <v>cái</v>
      </c>
      <c r="D4269" s="437">
        <f>VLOOKUP(A4269,'Thống kê'!$C$3:$M$682,4,0)</f>
        <v>0</v>
      </c>
      <c r="E4269" s="438">
        <v>1</v>
      </c>
      <c r="F4269" s="439">
        <f t="shared" si="17"/>
        <v>0</v>
      </c>
      <c r="G4269" s="440"/>
      <c r="H4269" s="447">
        <v>112340</v>
      </c>
    </row>
    <row r="4270" spans="1:8" ht="13.2">
      <c r="A4270" s="454" t="s">
        <v>2091</v>
      </c>
      <c r="B4270" s="452" t="str">
        <f>VLOOKUP(A4270,'Thống kê'!$C$3:$D$669,2,0)</f>
        <v>Kẹp tóc bướm tím</v>
      </c>
      <c r="C4270" s="436" t="str">
        <f>VLOOKUP(A4270,'Thống kê'!$C$3:$E$682,3,0)</f>
        <v>cái</v>
      </c>
      <c r="D4270" s="437">
        <f>VLOOKUP(A4270,'Thống kê'!$C$3:$M$682,4,0)</f>
        <v>18000</v>
      </c>
      <c r="E4270" s="438">
        <v>1</v>
      </c>
      <c r="F4270" s="439">
        <f t="shared" si="17"/>
        <v>18000</v>
      </c>
      <c r="G4270" s="440"/>
      <c r="H4270" s="450"/>
    </row>
    <row r="4271" spans="1:8" ht="13.2">
      <c r="A4271" s="454" t="s">
        <v>115</v>
      </c>
      <c r="B4271" s="452" t="str">
        <f>VLOOKUP(A4271,'Thống kê'!$C$3:$D$669,2,0)</f>
        <v>Heo ú</v>
      </c>
      <c r="C4271" s="436" t="str">
        <f>VLOOKUP(A4271,'Thống kê'!$C$3:$E$682,3,0)</f>
        <v>cái</v>
      </c>
      <c r="D4271" s="437">
        <f>VLOOKUP(A4271,'Thống kê'!$C$3:$M$682,4,0)</f>
        <v>59500</v>
      </c>
      <c r="E4271" s="438">
        <v>1</v>
      </c>
      <c r="F4271" s="439">
        <f t="shared" si="17"/>
        <v>59500</v>
      </c>
      <c r="G4271" s="440"/>
      <c r="H4271" s="448">
        <v>48558</v>
      </c>
    </row>
    <row r="4272" spans="1:8" ht="13.2">
      <c r="A4272" s="454" t="s">
        <v>1382</v>
      </c>
      <c r="B4272" s="452" t="str">
        <f>VLOOKUP(A4272,'Thống kê'!$C$3:$D$669,2,0)</f>
        <v>miếng dán silicon điện thoại</v>
      </c>
      <c r="C4272" s="436" t="str">
        <f>VLOOKUP(A4272,'Thống kê'!$C$3:$E$682,3,0)</f>
        <v>cái</v>
      </c>
      <c r="D4272" s="437">
        <f>VLOOKUP(A4272,'Thống kê'!$C$3:$M$682,4,0)</f>
        <v>0</v>
      </c>
      <c r="E4272" s="438">
        <v>1</v>
      </c>
      <c r="F4272" s="439">
        <f t="shared" si="17"/>
        <v>0</v>
      </c>
      <c r="G4272" s="440"/>
      <c r="H4272" s="447">
        <v>133689</v>
      </c>
    </row>
    <row r="4273" spans="1:8" ht="13.2">
      <c r="A4273" s="454" t="s">
        <v>1687</v>
      </c>
      <c r="B4273" s="452">
        <f>VLOOKUP(A4273,'Thống kê'!$C$3:$D$669,2,0)</f>
        <v>0</v>
      </c>
      <c r="C4273" s="436">
        <f>VLOOKUP(A4273,'Thống kê'!$C$3:$E$682,3,0)</f>
        <v>0</v>
      </c>
      <c r="D4273" s="437">
        <f>VLOOKUP(A4273,'Thống kê'!$C$3:$M$682,4,0)</f>
        <v>0</v>
      </c>
      <c r="E4273" s="438">
        <v>1</v>
      </c>
      <c r="F4273" s="439">
        <f t="shared" si="17"/>
        <v>0</v>
      </c>
      <c r="G4273" s="440"/>
      <c r="H4273" s="450"/>
    </row>
    <row r="4274" spans="1:8" ht="13.2">
      <c r="A4274" s="454" t="s">
        <v>1330</v>
      </c>
      <c r="B4274" s="452" t="str">
        <f>VLOOKUP(A4274,'Thống kê'!$C$3:$D$669,2,0)</f>
        <v>Móc khóa Popbean</v>
      </c>
      <c r="C4274" s="436" t="str">
        <f>VLOOKUP(A4274,'Thống kê'!$C$3:$E$682,3,0)</f>
        <v>cái</v>
      </c>
      <c r="D4274" s="437">
        <f>VLOOKUP(A4274,'Thống kê'!$C$3:$M$682,4,0)</f>
        <v>148000</v>
      </c>
      <c r="E4274" s="438">
        <v>1</v>
      </c>
      <c r="F4274" s="439">
        <f t="shared" si="17"/>
        <v>148000</v>
      </c>
      <c r="G4274" s="440"/>
      <c r="H4274" s="448">
        <v>110372</v>
      </c>
    </row>
    <row r="4275" spans="1:8" ht="13.2">
      <c r="A4275" s="454" t="s">
        <v>150</v>
      </c>
      <c r="B4275" s="452" t="str">
        <f>VLOOKUP(A4275,'Thống kê'!$C$3:$D$669,2,0)</f>
        <v>Móc khóa có chuông</v>
      </c>
      <c r="C4275" s="436" t="str">
        <f>VLOOKUP(A4275,'Thống kê'!$C$3:$E$682,3,0)</f>
        <v>cái</v>
      </c>
      <c r="D4275" s="437">
        <f>VLOOKUP(A4275,'Thống kê'!$C$3:$M$682,4,0)</f>
        <v>59000</v>
      </c>
      <c r="E4275" s="438">
        <v>1</v>
      </c>
      <c r="F4275" s="439">
        <f t="shared" si="17"/>
        <v>59000</v>
      </c>
      <c r="G4275" s="440"/>
      <c r="H4275" s="448">
        <v>40410</v>
      </c>
    </row>
    <row r="4276" spans="1:8" ht="13.2">
      <c r="A4276" s="454" t="s">
        <v>177</v>
      </c>
      <c r="B4276" s="452" t="str">
        <f>VLOOKUP(A4276,'Thống kê'!$C$3:$D$669,2,0)</f>
        <v>Dao rọc giấy 15</v>
      </c>
      <c r="C4276" s="436" t="str">
        <f>VLOOKUP(A4276,'Thống kê'!$C$3:$E$682,3,0)</f>
        <v>cái</v>
      </c>
      <c r="D4276" s="437">
        <f>VLOOKUP(A4276,'Thống kê'!$C$3:$M$682,4,0)</f>
        <v>12000</v>
      </c>
      <c r="E4276" s="438">
        <v>1</v>
      </c>
      <c r="F4276" s="439">
        <f t="shared" si="17"/>
        <v>12000</v>
      </c>
      <c r="G4276" s="440"/>
      <c r="H4276" s="447">
        <v>140252</v>
      </c>
    </row>
    <row r="4277" spans="1:8" ht="13.2">
      <c r="A4277" s="454" t="s">
        <v>1703</v>
      </c>
      <c r="B4277" s="452">
        <f>VLOOKUP(A4277,'Thống kê'!$C$3:$D$669,2,0)</f>
        <v>0</v>
      </c>
      <c r="C4277" s="436">
        <f>VLOOKUP(A4277,'Thống kê'!$C$3:$E$682,3,0)</f>
        <v>0</v>
      </c>
      <c r="D4277" s="437">
        <f>VLOOKUP(A4277,'Thống kê'!$C$3:$M$682,4,0)</f>
        <v>0</v>
      </c>
      <c r="E4277" s="438">
        <v>1</v>
      </c>
      <c r="F4277" s="439">
        <f t="shared" si="17"/>
        <v>0</v>
      </c>
      <c r="G4277" s="440"/>
      <c r="H4277" s="450"/>
    </row>
    <row r="4278" spans="1:8" ht="13.2">
      <c r="A4278" s="454" t="s">
        <v>1384</v>
      </c>
      <c r="B4278" s="452" t="str">
        <f>VLOOKUP(A4278,'Thống kê'!$C$3:$D$669,2,0)</f>
        <v>Móc khoá Crybaby mini Popmart</v>
      </c>
      <c r="C4278" s="436" t="str">
        <f>VLOOKUP(A4278,'Thống kê'!$C$3:$E$682,3,0)</f>
        <v>cái</v>
      </c>
      <c r="D4278" s="437">
        <f>VLOOKUP(A4278,'Thống kê'!$C$3:$M$682,4,0)</f>
        <v>0</v>
      </c>
      <c r="E4278" s="438">
        <v>1</v>
      </c>
      <c r="F4278" s="439">
        <f t="shared" si="17"/>
        <v>0</v>
      </c>
      <c r="G4278" s="440"/>
      <c r="H4278" s="447">
        <v>217666</v>
      </c>
    </row>
    <row r="4279" spans="1:8" ht="13.2">
      <c r="A4279" s="454" t="s">
        <v>259</v>
      </c>
      <c r="B4279" s="452" t="str">
        <f>VLOOKUP(A4279,'Thống kê'!$C$3:$D$669,2,0)</f>
        <v>Móc khoá Crybaby mini Popmart</v>
      </c>
      <c r="C4279" s="436" t="str">
        <f>VLOOKUP(A4279,'Thống kê'!$C$3:$E$682,3,0)</f>
        <v>cái</v>
      </c>
      <c r="D4279" s="437">
        <f>VLOOKUP(A4279,'Thống kê'!$C$3:$M$682,4,0)</f>
        <v>0</v>
      </c>
      <c r="E4279" s="438">
        <v>1</v>
      </c>
      <c r="F4279" s="439">
        <f t="shared" si="17"/>
        <v>0</v>
      </c>
      <c r="G4279" s="440"/>
      <c r="H4279" s="450"/>
    </row>
    <row r="4280" spans="1:8" ht="13.2">
      <c r="A4280" s="454" t="s">
        <v>138</v>
      </c>
      <c r="B4280" s="452" t="str">
        <f>VLOOKUP(A4280,'Thống kê'!$C$3:$D$669,2,0)</f>
        <v>Móc khoá Crybaby mini Popmart</v>
      </c>
      <c r="C4280" s="436" t="str">
        <f>VLOOKUP(A4280,'Thống kê'!$C$3:$E$682,3,0)</f>
        <v>cái</v>
      </c>
      <c r="D4280" s="437">
        <f>VLOOKUP(A4280,'Thống kê'!$C$3:$M$682,4,0)</f>
        <v>0</v>
      </c>
      <c r="E4280" s="438">
        <v>1</v>
      </c>
      <c r="F4280" s="439">
        <f t="shared" si="17"/>
        <v>0</v>
      </c>
      <c r="G4280" s="440"/>
      <c r="H4280" s="447">
        <v>112340</v>
      </c>
    </row>
    <row r="4281" spans="1:8" ht="13.2">
      <c r="A4281" s="454" t="s">
        <v>2093</v>
      </c>
      <c r="B4281" s="452" t="str">
        <f>VLOOKUP(A4281,'Thống kê'!$C$3:$D$669,2,0)</f>
        <v>Kẹp tóc xám đậm</v>
      </c>
      <c r="C4281" s="436" t="str">
        <f>VLOOKUP(A4281,'Thống kê'!$C$3:$E$682,3,0)</f>
        <v>cái</v>
      </c>
      <c r="D4281" s="437">
        <f>VLOOKUP(A4281,'Thống kê'!$C$3:$M$682,4,0)</f>
        <v>15000</v>
      </c>
      <c r="E4281" s="438">
        <v>1</v>
      </c>
      <c r="F4281" s="439">
        <f t="shared" si="17"/>
        <v>15000</v>
      </c>
      <c r="G4281" s="440"/>
      <c r="H4281" s="450"/>
    </row>
    <row r="4282" spans="1:8" ht="13.2">
      <c r="A4282" s="454" t="s">
        <v>1386</v>
      </c>
      <c r="B4282" s="452" t="str">
        <f>VLOOKUP(A4282,'Thống kê'!$C$3:$D$669,2,0)</f>
        <v>Móc khoá Crybaby mini Popmart</v>
      </c>
      <c r="C4282" s="436" t="str">
        <f>VLOOKUP(A4282,'Thống kê'!$C$3:$E$682,3,0)</f>
        <v>cái</v>
      </c>
      <c r="D4282" s="437">
        <f>VLOOKUP(A4282,'Thống kê'!$C$3:$M$682,4,0)</f>
        <v>0</v>
      </c>
      <c r="E4282" s="438">
        <v>1</v>
      </c>
      <c r="F4282" s="439">
        <f t="shared" si="17"/>
        <v>0</v>
      </c>
      <c r="G4282" s="440"/>
      <c r="H4282" s="447">
        <v>112340</v>
      </c>
    </row>
    <row r="4283" spans="1:8" ht="13.2">
      <c r="A4283" s="454" t="s">
        <v>2092</v>
      </c>
      <c r="B4283" s="452" t="str">
        <f>VLOOKUP(A4283,'Thống kê'!$C$3:$D$669,2,0)</f>
        <v>Kẹp tóc bướm đen</v>
      </c>
      <c r="C4283" s="436" t="str">
        <f>VLOOKUP(A4283,'Thống kê'!$C$3:$E$682,3,0)</f>
        <v>cái</v>
      </c>
      <c r="D4283" s="437">
        <f>VLOOKUP(A4283,'Thống kê'!$C$3:$M$682,4,0)</f>
        <v>18000</v>
      </c>
      <c r="E4283" s="438">
        <v>1</v>
      </c>
      <c r="F4283" s="439">
        <f t="shared" si="17"/>
        <v>18000</v>
      </c>
      <c r="G4283" s="440"/>
      <c r="H4283" s="450"/>
    </row>
    <row r="4284" spans="1:8" ht="13.2">
      <c r="A4284" s="454" t="s">
        <v>1384</v>
      </c>
      <c r="B4284" s="452" t="str">
        <f>VLOOKUP(A4284,'Thống kê'!$C$3:$D$669,2,0)</f>
        <v>Móc khoá Crybaby mini Popmart</v>
      </c>
      <c r="C4284" s="436" t="str">
        <f>VLOOKUP(A4284,'Thống kê'!$C$3:$E$682,3,0)</f>
        <v>cái</v>
      </c>
      <c r="D4284" s="437">
        <f>VLOOKUP(A4284,'Thống kê'!$C$3:$M$682,4,0)</f>
        <v>0</v>
      </c>
      <c r="E4284" s="438">
        <v>1</v>
      </c>
      <c r="F4284" s="439">
        <f t="shared" si="17"/>
        <v>0</v>
      </c>
      <c r="G4284" s="440"/>
      <c r="H4284" s="447">
        <v>112265</v>
      </c>
    </row>
    <row r="4285" spans="1:8" ht="13.2">
      <c r="A4285" s="454" t="s">
        <v>1939</v>
      </c>
      <c r="B4285" s="452" t="str">
        <f>VLOOKUP(A4285,'Thống kê'!$C$3:$D$669,2,0)</f>
        <v>Kẹp tóc hoa sứ đỏ hồng đậm</v>
      </c>
      <c r="C4285" s="436" t="str">
        <f>VLOOKUP(A4285,'Thống kê'!$C$3:$E$682,3,0)</f>
        <v>cái</v>
      </c>
      <c r="D4285" s="437">
        <f>VLOOKUP(A4285,'Thống kê'!$C$3:$M$682,4,0)</f>
        <v>18500</v>
      </c>
      <c r="E4285" s="438">
        <v>1</v>
      </c>
      <c r="F4285" s="439">
        <f t="shared" si="17"/>
        <v>18500</v>
      </c>
      <c r="G4285" s="440"/>
      <c r="H4285" s="450"/>
    </row>
    <row r="4286" spans="1:8" ht="13.2">
      <c r="A4286" s="454" t="s">
        <v>1707</v>
      </c>
      <c r="B4286" s="452" t="str">
        <f>VLOOKUP(A4286,'Thống kê'!$C$3:$D$669,2,0)</f>
        <v xml:space="preserve">Bao lì xì </v>
      </c>
      <c r="C4286" s="436" t="str">
        <f>VLOOKUP(A4286,'Thống kê'!$C$3:$E$682,3,0)</f>
        <v>túi 4 cái</v>
      </c>
      <c r="D4286" s="437">
        <f>VLOOKUP(A4286,'Thống kê'!$C$3:$M$682,4,0)</f>
        <v>14500</v>
      </c>
      <c r="E4286" s="438">
        <v>1</v>
      </c>
      <c r="F4286" s="439">
        <f t="shared" si="17"/>
        <v>14500</v>
      </c>
      <c r="G4286" s="440"/>
      <c r="H4286" s="447">
        <v>126444</v>
      </c>
    </row>
    <row r="4287" spans="1:8" ht="13.2">
      <c r="A4287" s="454" t="s">
        <v>1708</v>
      </c>
      <c r="B4287" s="452" t="str">
        <f>VLOOKUP(A4287,'Thống kê'!$C$3:$D$669,2,0)</f>
        <v xml:space="preserve">Bao lì xì </v>
      </c>
      <c r="C4287" s="436" t="str">
        <f>VLOOKUP(A4287,'Thống kê'!$C$3:$E$682,3,0)</f>
        <v>set 6 cái</v>
      </c>
      <c r="D4287" s="437">
        <f>VLOOKUP(A4287,'Thống kê'!$C$3:$M$682,4,0)</f>
        <v>14500</v>
      </c>
      <c r="E4287" s="438">
        <v>1</v>
      </c>
      <c r="F4287" s="439">
        <f t="shared" si="17"/>
        <v>14500</v>
      </c>
      <c r="G4287" s="440"/>
      <c r="H4287" s="450"/>
    </row>
    <row r="4288" spans="1:8" ht="13.2">
      <c r="A4288" s="454" t="s">
        <v>1711</v>
      </c>
      <c r="B4288" s="452" t="str">
        <f>VLOOKUP(A4288,'Thống kê'!$C$3:$D$669,2,0)</f>
        <v xml:space="preserve">Bao lì xì </v>
      </c>
      <c r="C4288" s="436" t="str">
        <f>VLOOKUP(A4288,'Thống kê'!$C$3:$E$682,3,0)</f>
        <v>set 6 cái</v>
      </c>
      <c r="D4288" s="437">
        <f>VLOOKUP(A4288,'Thống kê'!$C$3:$M$682,4,0)</f>
        <v>14500</v>
      </c>
      <c r="E4288" s="438">
        <v>2</v>
      </c>
      <c r="F4288" s="439">
        <f t="shared" si="17"/>
        <v>29000</v>
      </c>
      <c r="G4288" s="440"/>
      <c r="H4288" s="450"/>
    </row>
    <row r="4289" spans="1:8" ht="13.2">
      <c r="A4289" s="454" t="s">
        <v>150</v>
      </c>
      <c r="B4289" s="452" t="str">
        <f>VLOOKUP(A4289,'Thống kê'!$C$3:$D$669,2,0)</f>
        <v>Móc khóa có chuông</v>
      </c>
      <c r="C4289" s="436" t="str">
        <f>VLOOKUP(A4289,'Thống kê'!$C$3:$E$682,3,0)</f>
        <v>cái</v>
      </c>
      <c r="D4289" s="437">
        <f>VLOOKUP(A4289,'Thống kê'!$C$3:$M$682,4,0)</f>
        <v>59000</v>
      </c>
      <c r="E4289" s="438">
        <v>1</v>
      </c>
      <c r="F4289" s="439">
        <f t="shared" si="17"/>
        <v>59000</v>
      </c>
      <c r="G4289" s="440"/>
      <c r="H4289" s="450"/>
    </row>
    <row r="4290" spans="1:8" ht="13.2">
      <c r="A4290" s="454" t="s">
        <v>1804</v>
      </c>
      <c r="B4290" s="452" t="str">
        <f>VLOOKUP(A4290,'Thống kê'!$C$3:$D$669,2,0)</f>
        <v>Móc khoá cún Chuối</v>
      </c>
      <c r="C4290" s="436" t="str">
        <f>VLOOKUP(A4290,'Thống kê'!$C$3:$E$682,3,0)</f>
        <v>cái</v>
      </c>
      <c r="D4290" s="437">
        <f>VLOOKUP(A4290,'Thống kê'!$C$3:$M$682,4,0)</f>
        <v>38000</v>
      </c>
      <c r="E4290" s="438">
        <v>1</v>
      </c>
      <c r="F4290" s="439">
        <f t="shared" si="17"/>
        <v>38000</v>
      </c>
      <c r="G4290" s="440"/>
      <c r="H4290" s="450"/>
    </row>
    <row r="4291" spans="1:8" ht="13.2">
      <c r="A4291" s="454" t="s">
        <v>1805</v>
      </c>
      <c r="B4291" s="452" t="str">
        <f>VLOOKUP(A4291,'Thống kê'!$C$3:$D$669,2,0)</f>
        <v>Móc khoá cún Dưa hấu</v>
      </c>
      <c r="C4291" s="436" t="str">
        <f>VLOOKUP(A4291,'Thống kê'!$C$3:$E$682,3,0)</f>
        <v>cái</v>
      </c>
      <c r="D4291" s="437">
        <f>VLOOKUP(A4291,'Thống kê'!$C$3:$M$682,4,0)</f>
        <v>38000</v>
      </c>
      <c r="E4291" s="438">
        <v>1</v>
      </c>
      <c r="F4291" s="439">
        <f t="shared" si="17"/>
        <v>38000</v>
      </c>
      <c r="G4291" s="440"/>
      <c r="H4291" s="450"/>
    </row>
    <row r="4292" spans="1:8" ht="13.2">
      <c r="A4292" s="454" t="s">
        <v>162</v>
      </c>
      <c r="B4292" s="452" t="str">
        <f>VLOOKUP(A4292,'Thống kê'!$C$3:$D$669,2,0)</f>
        <v>Móc khoá cún Donut</v>
      </c>
      <c r="C4292" s="436" t="str">
        <f>VLOOKUP(A4292,'Thống kê'!$C$3:$E$682,3,0)</f>
        <v>cái</v>
      </c>
      <c r="D4292" s="437">
        <f>VLOOKUP(A4292,'Thống kê'!$C$3:$M$682,4,0)</f>
        <v>38000</v>
      </c>
      <c r="E4292" s="438">
        <v>1</v>
      </c>
      <c r="F4292" s="439">
        <f t="shared" si="17"/>
        <v>38000</v>
      </c>
      <c r="G4292" s="440"/>
      <c r="H4292" s="448">
        <v>28493</v>
      </c>
    </row>
    <row r="4293" spans="1:8" ht="13.2">
      <c r="A4293" s="454" t="s">
        <v>115</v>
      </c>
      <c r="B4293" s="452" t="str">
        <f>VLOOKUP(A4293,'Thống kê'!$C$3:$D$669,2,0)</f>
        <v>Heo ú</v>
      </c>
      <c r="C4293" s="436" t="str">
        <f>VLOOKUP(A4293,'Thống kê'!$C$3:$E$682,3,0)</f>
        <v>cái</v>
      </c>
      <c r="D4293" s="437">
        <f>VLOOKUP(A4293,'Thống kê'!$C$3:$M$682,4,0)</f>
        <v>59500</v>
      </c>
      <c r="E4293" s="438">
        <v>1</v>
      </c>
      <c r="F4293" s="439">
        <f t="shared" si="17"/>
        <v>59500</v>
      </c>
      <c r="G4293" s="440"/>
      <c r="H4293" s="447">
        <f>59000+120000+120000</f>
        <v>299000</v>
      </c>
    </row>
    <row r="4294" spans="1:8" ht="13.2">
      <c r="A4294" s="454" t="s">
        <v>1396</v>
      </c>
      <c r="B4294" s="452" t="str">
        <f>VLOOKUP(A4294,'Thống kê'!$C$3:$D$669,2,0)</f>
        <v>Móc khoá Labubu mini Popmart</v>
      </c>
      <c r="C4294" s="436" t="str">
        <f>VLOOKUP(A4294,'Thống kê'!$C$3:$E$682,3,0)</f>
        <v>cái</v>
      </c>
      <c r="D4294" s="437">
        <f>VLOOKUP(A4294,'Thống kê'!$C$3:$M$682,4,0)</f>
        <v>0</v>
      </c>
      <c r="E4294" s="438">
        <v>1</v>
      </c>
      <c r="F4294" s="439">
        <f t="shared" si="17"/>
        <v>0</v>
      </c>
      <c r="G4294" s="440"/>
      <c r="H4294" s="450"/>
    </row>
    <row r="4295" spans="1:8" ht="13.2">
      <c r="A4295" s="454" t="s">
        <v>1393</v>
      </c>
      <c r="B4295" s="452" t="str">
        <f>VLOOKUP(A4295,'Thống kê'!$C$3:$D$669,2,0)</f>
        <v>Móc khoá Labubu mini Popmart</v>
      </c>
      <c r="C4295" s="436" t="str">
        <f>VLOOKUP(A4295,'Thống kê'!$C$3:$E$682,3,0)</f>
        <v>cái</v>
      </c>
      <c r="D4295" s="437">
        <f>VLOOKUP(A4295,'Thống kê'!$C$3:$M$682,4,0)</f>
        <v>0</v>
      </c>
      <c r="E4295" s="438">
        <v>1</v>
      </c>
      <c r="F4295" s="439">
        <f t="shared" si="17"/>
        <v>0</v>
      </c>
      <c r="G4295" s="440"/>
      <c r="H4295" s="450"/>
    </row>
    <row r="4296" spans="1:8" ht="13.2">
      <c r="A4296" s="454" t="s">
        <v>2094</v>
      </c>
      <c r="B4296" s="452" t="str">
        <f>VLOOKUP(A4296,'Thống kê'!$C$3:$D$669,2,0)</f>
        <v>Kẹp tóc nâu lạnh</v>
      </c>
      <c r="C4296" s="436" t="str">
        <f>VLOOKUP(A4296,'Thống kê'!$C$3:$E$682,3,0)</f>
        <v>cái</v>
      </c>
      <c r="D4296" s="437">
        <f>VLOOKUP(A4296,'Thống kê'!$C$3:$M$682,4,0)</f>
        <v>15000</v>
      </c>
      <c r="E4296" s="438">
        <v>1</v>
      </c>
      <c r="F4296" s="439">
        <f t="shared" si="17"/>
        <v>15000</v>
      </c>
      <c r="G4296" s="440"/>
      <c r="H4296" s="450"/>
    </row>
    <row r="4297" spans="1:8" ht="13.2">
      <c r="A4297" s="454" t="s">
        <v>1953</v>
      </c>
      <c r="B4297" s="452" t="str">
        <f>VLOOKUP(A4297,'Thống kê'!$C$3:$D$669,2,0)</f>
        <v>Móc khóa capybara 1 - hồng áo tennis</v>
      </c>
      <c r="C4297" s="436" t="str">
        <f>VLOOKUP(A4297,'Thống kê'!$C$3:$E$682,3,0)</f>
        <v>cái</v>
      </c>
      <c r="D4297" s="437">
        <f>VLOOKUP(A4297,'Thống kê'!$C$3:$M$682,4,0)</f>
        <v>58800</v>
      </c>
      <c r="E4297" s="438">
        <v>1</v>
      </c>
      <c r="F4297" s="439">
        <f t="shared" si="17"/>
        <v>58800</v>
      </c>
      <c r="G4297" s="440"/>
      <c r="H4297" s="447">
        <v>112340</v>
      </c>
    </row>
    <row r="4298" spans="1:8" ht="13.2">
      <c r="A4298" s="454" t="s">
        <v>2094</v>
      </c>
      <c r="B4298" s="452" t="str">
        <f>VLOOKUP(A4298,'Thống kê'!$C$3:$D$669,2,0)</f>
        <v>Kẹp tóc nâu lạnh</v>
      </c>
      <c r="C4298" s="436" t="str">
        <f>VLOOKUP(A4298,'Thống kê'!$C$3:$E$682,3,0)</f>
        <v>cái</v>
      </c>
      <c r="D4298" s="437">
        <f>VLOOKUP(A4298,'Thống kê'!$C$3:$M$682,4,0)</f>
        <v>15000</v>
      </c>
      <c r="E4298" s="438">
        <v>1</v>
      </c>
      <c r="F4298" s="439">
        <f t="shared" si="17"/>
        <v>15000</v>
      </c>
      <c r="G4298" s="440"/>
      <c r="H4298" s="450"/>
    </row>
    <row r="4299" spans="1:8" ht="13.2">
      <c r="A4299" s="454" t="s">
        <v>150</v>
      </c>
      <c r="B4299" s="452" t="str">
        <f>VLOOKUP(A4299,'Thống kê'!$C$3:$D$669,2,0)</f>
        <v>Móc khóa có chuông</v>
      </c>
      <c r="C4299" s="436" t="str">
        <f>VLOOKUP(A4299,'Thống kê'!$C$3:$E$682,3,0)</f>
        <v>cái</v>
      </c>
      <c r="D4299" s="437">
        <f>VLOOKUP(A4299,'Thống kê'!$C$3:$M$682,4,0)</f>
        <v>59000</v>
      </c>
      <c r="E4299" s="438">
        <v>1</v>
      </c>
      <c r="F4299" s="439">
        <f t="shared" si="17"/>
        <v>59000</v>
      </c>
      <c r="G4299" s="440"/>
      <c r="H4299" s="448">
        <v>40210</v>
      </c>
    </row>
    <row r="4300" spans="1:8" ht="13.2">
      <c r="A4300" s="454" t="s">
        <v>1382</v>
      </c>
      <c r="B4300" s="452" t="str">
        <f>VLOOKUP(A4300,'Thống kê'!$C$3:$D$669,2,0)</f>
        <v>miếng dán silicon điện thoại</v>
      </c>
      <c r="C4300" s="436" t="str">
        <f>VLOOKUP(A4300,'Thống kê'!$C$3:$E$682,3,0)</f>
        <v>cái</v>
      </c>
      <c r="D4300" s="437">
        <f>VLOOKUP(A4300,'Thống kê'!$C$3:$M$682,4,0)</f>
        <v>0</v>
      </c>
      <c r="E4300" s="438">
        <v>1</v>
      </c>
      <c r="F4300" s="439">
        <f t="shared" si="17"/>
        <v>0</v>
      </c>
      <c r="G4300" s="440"/>
      <c r="H4300" s="447">
        <v>114828</v>
      </c>
    </row>
    <row r="4301" spans="1:8" ht="13.2">
      <c r="A4301" s="454" t="s">
        <v>1384</v>
      </c>
      <c r="B4301" s="452" t="str">
        <f>VLOOKUP(A4301,'Thống kê'!$C$3:$D$669,2,0)</f>
        <v>Móc khoá Crybaby mini Popmart</v>
      </c>
      <c r="C4301" s="436" t="str">
        <f>VLOOKUP(A4301,'Thống kê'!$C$3:$E$682,3,0)</f>
        <v>cái</v>
      </c>
      <c r="D4301" s="437">
        <f>VLOOKUP(A4301,'Thống kê'!$C$3:$M$682,4,0)</f>
        <v>0</v>
      </c>
      <c r="E4301" s="438">
        <v>1</v>
      </c>
      <c r="F4301" s="439">
        <f t="shared" si="17"/>
        <v>0</v>
      </c>
      <c r="G4301" s="440"/>
      <c r="H4301" s="450"/>
    </row>
    <row r="4302" spans="1:8" ht="13.2">
      <c r="A4302" s="454" t="s">
        <v>2094</v>
      </c>
      <c r="B4302" s="452" t="str">
        <f>VLOOKUP(A4302,'Thống kê'!$C$3:$D$669,2,0)</f>
        <v>Kẹp tóc nâu lạnh</v>
      </c>
      <c r="C4302" s="436" t="str">
        <f>VLOOKUP(A4302,'Thống kê'!$C$3:$E$682,3,0)</f>
        <v>cái</v>
      </c>
      <c r="D4302" s="437">
        <f>VLOOKUP(A4302,'Thống kê'!$C$3:$M$682,4,0)</f>
        <v>15000</v>
      </c>
      <c r="E4302" s="438">
        <v>1</v>
      </c>
      <c r="F4302" s="439">
        <f t="shared" si="17"/>
        <v>15000</v>
      </c>
      <c r="G4302" s="440"/>
      <c r="H4302" s="450"/>
    </row>
    <row r="4303" spans="1:8" ht="13.2">
      <c r="A4303" s="454" t="s">
        <v>145</v>
      </c>
      <c r="B4303" s="452" t="str">
        <f>VLOOKUP(A4303,'Thống kê'!$C$3:$D$669,2,0)</f>
        <v>Thỏ đi vịt gắn xe</v>
      </c>
      <c r="C4303" s="436" t="str">
        <f>VLOOKUP(A4303,'Thống kê'!$C$3:$E$682,3,0)</f>
        <v>cái</v>
      </c>
      <c r="D4303" s="437">
        <f>VLOOKUP(A4303,'Thống kê'!$C$3:$M$682,4,0)</f>
        <v>45000</v>
      </c>
      <c r="E4303" s="438">
        <v>1</v>
      </c>
      <c r="F4303" s="439">
        <f t="shared" si="17"/>
        <v>45000</v>
      </c>
      <c r="G4303" s="440"/>
      <c r="H4303" s="447">
        <v>63621</v>
      </c>
    </row>
    <row r="4304" spans="1:8" ht="13.2">
      <c r="A4304" s="454" t="s">
        <v>119</v>
      </c>
      <c r="B4304" s="452" t="str">
        <f>VLOOKUP(A4304,'Thống kê'!$C$3:$D$669,2,0)</f>
        <v>Thỏ chạy xe gắn xe</v>
      </c>
      <c r="C4304" s="436" t="str">
        <f>VLOOKUP(A4304,'Thống kê'!$C$3:$E$682,3,0)</f>
        <v>cái</v>
      </c>
      <c r="D4304" s="437">
        <f>VLOOKUP(A4304,'Thống kê'!$C$3:$M$682,4,0)</f>
        <v>45000</v>
      </c>
      <c r="E4304" s="438">
        <v>1</v>
      </c>
      <c r="F4304" s="439">
        <f t="shared" si="17"/>
        <v>45000</v>
      </c>
      <c r="G4304" s="440"/>
      <c r="H4304" s="450"/>
    </row>
    <row r="4305" spans="1:8" ht="13.2">
      <c r="A4305" s="454" t="s">
        <v>2094</v>
      </c>
      <c r="B4305" s="452" t="str">
        <f>VLOOKUP(A4305,'Thống kê'!$C$3:$D$669,2,0)</f>
        <v>Kẹp tóc nâu lạnh</v>
      </c>
      <c r="C4305" s="436" t="str">
        <f>VLOOKUP(A4305,'Thống kê'!$C$3:$E$682,3,0)</f>
        <v>cái</v>
      </c>
      <c r="D4305" s="437">
        <f>VLOOKUP(A4305,'Thống kê'!$C$3:$M$682,4,0)</f>
        <v>15000</v>
      </c>
      <c r="E4305" s="438">
        <v>1</v>
      </c>
      <c r="F4305" s="439">
        <f t="shared" si="17"/>
        <v>15000</v>
      </c>
      <c r="G4305" s="440"/>
      <c r="H4305" s="450"/>
    </row>
    <row r="4306" spans="1:8" ht="13.2">
      <c r="A4306" s="454" t="s">
        <v>1688</v>
      </c>
      <c r="B4306" s="452">
        <f>VLOOKUP(A4306,'Thống kê'!$C$3:$D$669,2,0)</f>
        <v>0</v>
      </c>
      <c r="C4306" s="436" t="str">
        <f>VLOOKUP(A4306,'Thống kê'!$C$3:$E$682,3,0)</f>
        <v>cái</v>
      </c>
      <c r="D4306" s="437">
        <f>VLOOKUP(A4306,'Thống kê'!$C$3:$M$682,4,0)</f>
        <v>0</v>
      </c>
      <c r="E4306" s="438">
        <v>1</v>
      </c>
      <c r="F4306" s="439">
        <f t="shared" si="17"/>
        <v>0</v>
      </c>
      <c r="G4306" s="440"/>
      <c r="H4306" s="448">
        <v>20467</v>
      </c>
    </row>
    <row r="4307" spans="1:8" ht="13.2">
      <c r="A4307" s="454" t="s">
        <v>1589</v>
      </c>
      <c r="B4307" s="452" t="str">
        <f>VLOOKUP(A4307,'Thống kê'!$C$3:$D$669,2,0)</f>
        <v>Heo ú bay</v>
      </c>
      <c r="C4307" s="436" t="str">
        <f>VLOOKUP(A4307,'Thống kê'!$C$3:$E$682,3,0)</f>
        <v>cái</v>
      </c>
      <c r="D4307" s="437">
        <f>VLOOKUP(A4307,'Thống kê'!$C$3:$M$682,4,0)</f>
        <v>64500</v>
      </c>
      <c r="E4307" s="438">
        <v>1</v>
      </c>
      <c r="F4307" s="439">
        <f t="shared" si="17"/>
        <v>64500</v>
      </c>
      <c r="G4307" s="440"/>
      <c r="H4307" s="448">
        <v>60024</v>
      </c>
    </row>
    <row r="4308" spans="1:8" ht="13.2">
      <c r="A4308" s="454" t="s">
        <v>1639</v>
      </c>
      <c r="B4308" s="452" t="str">
        <f>VLOOKUP(A4308,'Thống kê'!$C$3:$D$669,2,0)</f>
        <v>Móc khóa đôi Puppy</v>
      </c>
      <c r="C4308" s="436" t="str">
        <f>VLOOKUP(A4308,'Thống kê'!$C$3:$E$682,3,0)</f>
        <v>cái</v>
      </c>
      <c r="D4308" s="437">
        <f>VLOOKUP(A4308,'Thống kê'!$C$3:$M$682,4,0)</f>
        <v>59000</v>
      </c>
      <c r="E4308" s="438">
        <v>1</v>
      </c>
      <c r="F4308" s="439">
        <f t="shared" si="17"/>
        <v>59000</v>
      </c>
      <c r="G4308" s="440"/>
      <c r="H4308" s="448">
        <v>39585</v>
      </c>
    </row>
    <row r="4309" spans="1:8" ht="13.2">
      <c r="A4309" s="454" t="s">
        <v>2023</v>
      </c>
      <c r="B4309" s="452" t="str">
        <f>VLOOKUP(A4309,'Thống kê'!$C$3:$D$669,2,0)</f>
        <v>Túi chườm bụng gấu nâu 500ml</v>
      </c>
      <c r="C4309" s="436" t="str">
        <f>VLOOKUP(A4309,'Thống kê'!$C$3:$E$682,3,0)</f>
        <v>túi</v>
      </c>
      <c r="D4309" s="437">
        <f>VLOOKUP(A4309,'Thống kê'!$C$3:$M$682,4,0)</f>
        <v>81000</v>
      </c>
      <c r="E4309" s="438">
        <v>1</v>
      </c>
      <c r="F4309" s="439">
        <f t="shared" si="17"/>
        <v>81000</v>
      </c>
      <c r="G4309" s="440"/>
      <c r="H4309" s="448">
        <v>57006</v>
      </c>
    </row>
    <row r="4310" spans="1:8" ht="13.2">
      <c r="A4310" s="454" t="s">
        <v>1688</v>
      </c>
      <c r="B4310" s="452">
        <f>VLOOKUP(A4310,'Thống kê'!$C$3:$D$669,2,0)</f>
        <v>0</v>
      </c>
      <c r="C4310" s="436" t="str">
        <f>VLOOKUP(A4310,'Thống kê'!$C$3:$E$682,3,0)</f>
        <v>cái</v>
      </c>
      <c r="D4310" s="437">
        <f>VLOOKUP(A4310,'Thống kê'!$C$3:$M$682,4,0)</f>
        <v>0</v>
      </c>
      <c r="E4310" s="438">
        <v>1</v>
      </c>
      <c r="F4310" s="439">
        <f t="shared" si="17"/>
        <v>0</v>
      </c>
      <c r="G4310" s="440"/>
      <c r="H4310" s="448">
        <v>20542</v>
      </c>
    </row>
    <row r="4311" spans="1:8" ht="13.2">
      <c r="A4311" s="454" t="s">
        <v>2094</v>
      </c>
      <c r="B4311" s="452" t="str">
        <f>VLOOKUP(A4311,'Thống kê'!$C$3:$D$669,2,0)</f>
        <v>Kẹp tóc nâu lạnh</v>
      </c>
      <c r="C4311" s="436" t="str">
        <f>VLOOKUP(A4311,'Thống kê'!$C$3:$E$682,3,0)</f>
        <v>cái</v>
      </c>
      <c r="D4311" s="437">
        <f>VLOOKUP(A4311,'Thống kê'!$C$3:$M$682,4,0)</f>
        <v>15000</v>
      </c>
      <c r="E4311" s="438">
        <v>1</v>
      </c>
      <c r="F4311" s="439">
        <f t="shared" si="17"/>
        <v>15000</v>
      </c>
      <c r="G4311" s="440"/>
      <c r="H4311" s="447">
        <v>71340</v>
      </c>
    </row>
    <row r="4312" spans="1:8" ht="13.2">
      <c r="A4312" s="454" t="s">
        <v>1210</v>
      </c>
      <c r="B4312" s="452" t="str">
        <f>VLOOKUP(A4312,'Thống kê'!$C$3:$D$669,2,0)</f>
        <v>Shiba ú cầm hoa</v>
      </c>
      <c r="C4312" s="436" t="str">
        <f>VLOOKUP(A4312,'Thống kê'!$C$3:$E$682,3,0)</f>
        <v>cái</v>
      </c>
      <c r="D4312" s="437">
        <f>VLOOKUP(A4312,'Thống kê'!$C$3:$M$682,4,0)</f>
        <v>64500</v>
      </c>
      <c r="E4312" s="438">
        <v>1</v>
      </c>
      <c r="F4312" s="439">
        <f t="shared" si="17"/>
        <v>64500</v>
      </c>
      <c r="G4312" s="440"/>
      <c r="H4312" s="450"/>
    </row>
    <row r="4313" spans="1:8" ht="13.2">
      <c r="A4313" s="454" t="s">
        <v>1624</v>
      </c>
      <c r="B4313" s="452" t="str">
        <f>VLOOKUP(A4313,'Thống kê'!$C$3:$D$669,2,0)</f>
        <v>Móc khóa mèo trái tim</v>
      </c>
      <c r="C4313" s="436" t="str">
        <f>VLOOKUP(A4313,'Thống kê'!$C$3:$E$682,3,0)</f>
        <v>cái</v>
      </c>
      <c r="D4313" s="437">
        <f>VLOOKUP(A4313,'Thống kê'!$C$3:$M$682,4,0)</f>
        <v>59000</v>
      </c>
      <c r="E4313" s="438">
        <v>1</v>
      </c>
      <c r="F4313" s="439">
        <f t="shared" si="17"/>
        <v>59000</v>
      </c>
      <c r="G4313" s="440"/>
      <c r="H4313" s="448">
        <v>40410</v>
      </c>
    </row>
    <row r="4314" spans="1:8" ht="13.2">
      <c r="A4314" s="454" t="s">
        <v>1624</v>
      </c>
      <c r="B4314" s="452" t="str">
        <f>VLOOKUP(A4314,'Thống kê'!$C$3:$D$669,2,0)</f>
        <v>Móc khóa mèo trái tim</v>
      </c>
      <c r="C4314" s="436" t="str">
        <f>VLOOKUP(A4314,'Thống kê'!$C$3:$E$682,3,0)</f>
        <v>cái</v>
      </c>
      <c r="D4314" s="437">
        <f>VLOOKUP(A4314,'Thống kê'!$C$3:$M$682,4,0)</f>
        <v>59000</v>
      </c>
      <c r="E4314" s="438">
        <v>1</v>
      </c>
      <c r="F4314" s="439">
        <f t="shared" si="17"/>
        <v>59000</v>
      </c>
      <c r="G4314" s="440"/>
      <c r="H4314" s="447">
        <v>105846</v>
      </c>
    </row>
    <row r="4315" spans="1:8" ht="13.2">
      <c r="A4315" s="454" t="s">
        <v>119</v>
      </c>
      <c r="B4315" s="452" t="str">
        <f>VLOOKUP(A4315,'Thống kê'!$C$3:$D$669,2,0)</f>
        <v>Thỏ chạy xe gắn xe</v>
      </c>
      <c r="C4315" s="436" t="str">
        <f>VLOOKUP(A4315,'Thống kê'!$C$3:$E$682,3,0)</f>
        <v>cái</v>
      </c>
      <c r="D4315" s="437">
        <f>VLOOKUP(A4315,'Thống kê'!$C$3:$M$682,4,0)</f>
        <v>45000</v>
      </c>
      <c r="E4315" s="438">
        <v>1</v>
      </c>
      <c r="F4315" s="439">
        <f t="shared" si="17"/>
        <v>45000</v>
      </c>
      <c r="G4315" s="440"/>
      <c r="H4315" s="450"/>
    </row>
    <row r="4316" spans="1:8" ht="13.2">
      <c r="A4316" s="454" t="s">
        <v>232</v>
      </c>
      <c r="B4316" s="452" t="str">
        <f>VLOOKUP(A4316,'Thống kê'!$C$3:$D$669,2,0)</f>
        <v>Cáo gắn xe</v>
      </c>
      <c r="C4316" s="436" t="str">
        <f>VLOOKUP(A4316,'Thống kê'!$C$3:$E$682,3,0)</f>
        <v>cái</v>
      </c>
      <c r="D4316" s="437">
        <f>VLOOKUP(A4316,'Thống kê'!$C$3:$M$682,4,0)</f>
        <v>45000</v>
      </c>
      <c r="E4316" s="438">
        <v>1</v>
      </c>
      <c r="F4316" s="439">
        <f t="shared" si="17"/>
        <v>45000</v>
      </c>
      <c r="G4316" s="440"/>
      <c r="H4316" s="450"/>
    </row>
    <row r="4317" spans="1:8" ht="13.2">
      <c r="A4317" s="454" t="s">
        <v>2003</v>
      </c>
      <c r="B4317" s="452" t="str">
        <f>VLOOKUP(A4317,'Thống kê'!$C$3:$D$669,2,0)</f>
        <v>Kẹp tóc kem</v>
      </c>
      <c r="C4317" s="436" t="str">
        <f>VLOOKUP(A4317,'Thống kê'!$C$3:$E$682,3,0)</f>
        <v>cái</v>
      </c>
      <c r="D4317" s="437">
        <f>VLOOKUP(A4317,'Thống kê'!$C$3:$M$682,4,0)</f>
        <v>15000</v>
      </c>
      <c r="E4317" s="438">
        <v>1</v>
      </c>
      <c r="F4317" s="439">
        <f t="shared" si="17"/>
        <v>15000</v>
      </c>
      <c r="G4317" s="440"/>
      <c r="H4317" s="450"/>
    </row>
    <row r="4318" spans="1:8" ht="13.2">
      <c r="A4318" s="454" t="s">
        <v>1687</v>
      </c>
      <c r="B4318" s="452">
        <f>VLOOKUP(A4318,'Thống kê'!$C$3:$D$669,2,0)</f>
        <v>0</v>
      </c>
      <c r="C4318" s="436">
        <f>VLOOKUP(A4318,'Thống kê'!$C$3:$E$682,3,0)</f>
        <v>0</v>
      </c>
      <c r="D4318" s="437">
        <f>VLOOKUP(A4318,'Thống kê'!$C$3:$M$682,4,0)</f>
        <v>0</v>
      </c>
      <c r="E4318" s="438">
        <v>1</v>
      </c>
      <c r="F4318" s="439">
        <f t="shared" si="17"/>
        <v>0</v>
      </c>
      <c r="G4318" s="440"/>
      <c r="H4318" s="448">
        <v>131200</v>
      </c>
    </row>
    <row r="4319" spans="1:8" ht="13.2">
      <c r="A4319" s="454" t="s">
        <v>1382</v>
      </c>
      <c r="B4319" s="452" t="str">
        <f>VLOOKUP(A4319,'Thống kê'!$C$3:$D$669,2,0)</f>
        <v>miếng dán silicon điện thoại</v>
      </c>
      <c r="C4319" s="436" t="str">
        <f>VLOOKUP(A4319,'Thống kê'!$C$3:$E$682,3,0)</f>
        <v>cái</v>
      </c>
      <c r="D4319" s="437">
        <f>VLOOKUP(A4319,'Thống kê'!$C$3:$M$682,4,0)</f>
        <v>0</v>
      </c>
      <c r="E4319" s="438">
        <v>2</v>
      </c>
      <c r="F4319" s="439">
        <f t="shared" si="17"/>
        <v>0</v>
      </c>
      <c r="G4319" s="440"/>
      <c r="H4319" s="448">
        <v>4905</v>
      </c>
    </row>
    <row r="4320" spans="1:8" ht="13.2">
      <c r="A4320" s="454" t="s">
        <v>186</v>
      </c>
      <c r="B4320" s="452" t="str">
        <f>VLOOKUP(A4320,'Thống kê'!$C$3:$D$669,2,0)</f>
        <v>Thỏ ú bay</v>
      </c>
      <c r="C4320" s="436" t="str">
        <f>VLOOKUP(A4320,'Thống kê'!$C$3:$E$682,3,0)</f>
        <v>cái</v>
      </c>
      <c r="D4320" s="437">
        <f>VLOOKUP(A4320,'Thống kê'!$C$3:$M$682,4,0)</f>
        <v>64500</v>
      </c>
      <c r="E4320" s="438">
        <v>1</v>
      </c>
      <c r="F4320" s="439">
        <f t="shared" si="17"/>
        <v>64500</v>
      </c>
      <c r="G4320" s="440"/>
      <c r="H4320" s="448">
        <v>59824</v>
      </c>
    </row>
    <row r="4321" spans="1:8" ht="13.2">
      <c r="A4321" s="454" t="s">
        <v>1953</v>
      </c>
      <c r="B4321" s="452" t="str">
        <f>VLOOKUP(A4321,'Thống kê'!$C$3:$D$669,2,0)</f>
        <v>Móc khóa capybara 1 - hồng áo tennis</v>
      </c>
      <c r="C4321" s="436" t="str">
        <f>VLOOKUP(A4321,'Thống kê'!$C$3:$E$682,3,0)</f>
        <v>cái</v>
      </c>
      <c r="D4321" s="437">
        <f>VLOOKUP(A4321,'Thống kê'!$C$3:$M$682,4,0)</f>
        <v>58800</v>
      </c>
      <c r="E4321" s="438">
        <v>1</v>
      </c>
      <c r="F4321" s="439">
        <f t="shared" si="17"/>
        <v>58800</v>
      </c>
      <c r="G4321" s="440"/>
      <c r="H4321" s="447">
        <v>112340</v>
      </c>
    </row>
    <row r="4322" spans="1:8" ht="13.2">
      <c r="A4322" s="454" t="s">
        <v>2003</v>
      </c>
      <c r="B4322" s="452" t="str">
        <f>VLOOKUP(A4322,'Thống kê'!$C$3:$D$669,2,0)</f>
        <v>Kẹp tóc kem</v>
      </c>
      <c r="C4322" s="436" t="str">
        <f>VLOOKUP(A4322,'Thống kê'!$C$3:$E$682,3,0)</f>
        <v>cái</v>
      </c>
      <c r="D4322" s="437">
        <f>VLOOKUP(A4322,'Thống kê'!$C$3:$M$682,4,0)</f>
        <v>15000</v>
      </c>
      <c r="E4322" s="438">
        <v>1</v>
      </c>
      <c r="F4322" s="439">
        <f t="shared" si="17"/>
        <v>15000</v>
      </c>
      <c r="G4322" s="440"/>
      <c r="H4322" s="450"/>
    </row>
    <row r="4323" spans="1:8" ht="13.2">
      <c r="A4323" s="454" t="s">
        <v>1645</v>
      </c>
      <c r="B4323" s="452" t="str">
        <f>VLOOKUP(A4323,'Thống kê'!$C$3:$D$669,2,0)</f>
        <v>Túi chườm bụng trái bơ 500ml</v>
      </c>
      <c r="C4323" s="436" t="str">
        <f>VLOOKUP(A4323,'Thống kê'!$C$3:$E$682,3,0)</f>
        <v>túi</v>
      </c>
      <c r="D4323" s="437">
        <f>VLOOKUP(A4323,'Thống kê'!$C$3:$M$682,4,0)</f>
        <v>78200</v>
      </c>
      <c r="E4323" s="438">
        <v>1</v>
      </c>
      <c r="F4323" s="439">
        <f t="shared" si="17"/>
        <v>78200</v>
      </c>
      <c r="G4323" s="440"/>
      <c r="H4323" s="447">
        <v>152618</v>
      </c>
    </row>
    <row r="4324" spans="1:8" ht="13.2">
      <c r="A4324" s="454" t="s">
        <v>1349</v>
      </c>
      <c r="B4324" s="452" t="str">
        <f>VLOOKUP(A4324,'Thống kê'!$C$3:$D$669,2,0)</f>
        <v>Túi chườm bụng 1000ml</v>
      </c>
      <c r="C4324" s="436" t="str">
        <f>VLOOKUP(A4324,'Thống kê'!$C$3:$E$682,3,0)</f>
        <v>túi</v>
      </c>
      <c r="D4324" s="437">
        <f>VLOOKUP(A4324,'Thống kê'!$C$3:$M$682,4,0)</f>
        <v>119000</v>
      </c>
      <c r="E4324" s="438">
        <v>1</v>
      </c>
      <c r="F4324" s="439">
        <f t="shared" si="17"/>
        <v>119000</v>
      </c>
      <c r="G4324" s="440"/>
      <c r="H4324" s="450"/>
    </row>
    <row r="4325" spans="1:8" ht="13.2">
      <c r="A4325" s="454" t="s">
        <v>1384</v>
      </c>
      <c r="B4325" s="452" t="str">
        <f>VLOOKUP(A4325,'Thống kê'!$C$3:$D$669,2,0)</f>
        <v>Móc khoá Crybaby mini Popmart</v>
      </c>
      <c r="C4325" s="436" t="str">
        <f>VLOOKUP(A4325,'Thống kê'!$C$3:$E$682,3,0)</f>
        <v>cái</v>
      </c>
      <c r="D4325" s="437">
        <f>VLOOKUP(A4325,'Thống kê'!$C$3:$M$682,4,0)</f>
        <v>0</v>
      </c>
      <c r="E4325" s="438">
        <v>1</v>
      </c>
      <c r="F4325" s="439">
        <f t="shared" si="17"/>
        <v>0</v>
      </c>
      <c r="G4325" s="440"/>
      <c r="H4325" s="447">
        <v>112340</v>
      </c>
    </row>
    <row r="4326" spans="1:8" ht="13.2">
      <c r="A4326" s="454" t="s">
        <v>2064</v>
      </c>
      <c r="B4326" s="452" t="str">
        <f>VLOOKUP(A4326,'Thống kê'!$C$3:$D$669,2,0)</f>
        <v>Kẹp tóc nâu đậm</v>
      </c>
      <c r="C4326" s="436" t="str">
        <f>VLOOKUP(A4326,'Thống kê'!$C$3:$E$682,3,0)</f>
        <v>cái</v>
      </c>
      <c r="D4326" s="437">
        <f>VLOOKUP(A4326,'Thống kê'!$C$3:$M$682,4,0)</f>
        <v>14000</v>
      </c>
      <c r="E4326" s="438">
        <v>1</v>
      </c>
      <c r="F4326" s="439">
        <f t="shared" si="17"/>
        <v>14000</v>
      </c>
      <c r="G4326" s="440"/>
      <c r="H4326" s="450"/>
    </row>
    <row r="4327" spans="1:8" ht="13.2">
      <c r="A4327" s="454" t="s">
        <v>1690</v>
      </c>
      <c r="B4327" s="452">
        <f>VLOOKUP(A4327,'Thống kê'!$C$3:$D$669,2,0)</f>
        <v>0</v>
      </c>
      <c r="C4327" s="436" t="str">
        <f>VLOOKUP(A4327,'Thống kê'!$C$3:$E$682,3,0)</f>
        <v>cái</v>
      </c>
      <c r="D4327" s="437">
        <f>VLOOKUP(A4327,'Thống kê'!$C$3:$M$682,4,0)</f>
        <v>0</v>
      </c>
      <c r="E4327" s="438">
        <v>1</v>
      </c>
      <c r="F4327" s="439">
        <f t="shared" si="17"/>
        <v>0</v>
      </c>
      <c r="G4327" s="440"/>
      <c r="H4327" s="447">
        <v>57501</v>
      </c>
    </row>
    <row r="4328" spans="1:8" ht="13.2">
      <c r="A4328" s="454" t="s">
        <v>1691</v>
      </c>
      <c r="B4328" s="452">
        <f>VLOOKUP(A4328,'Thống kê'!$C$3:$D$669,2,0)</f>
        <v>0</v>
      </c>
      <c r="C4328" s="436" t="str">
        <f>VLOOKUP(A4328,'Thống kê'!$C$3:$E$682,3,0)</f>
        <v>cái</v>
      </c>
      <c r="D4328" s="437">
        <f>VLOOKUP(A4328,'Thống kê'!$C$3:$M$682,4,0)</f>
        <v>0</v>
      </c>
      <c r="E4328" s="438">
        <v>1</v>
      </c>
      <c r="F4328" s="439">
        <f t="shared" si="17"/>
        <v>0</v>
      </c>
      <c r="G4328" s="440"/>
      <c r="H4328" s="450"/>
    </row>
    <row r="4329" spans="1:8" ht="13.2">
      <c r="A4329" s="454" t="s">
        <v>1688</v>
      </c>
      <c r="B4329" s="452">
        <f>VLOOKUP(A4329,'Thống kê'!$C$3:$D$669,2,0)</f>
        <v>0</v>
      </c>
      <c r="C4329" s="436" t="str">
        <f>VLOOKUP(A4329,'Thống kê'!$C$3:$E$682,3,0)</f>
        <v>cái</v>
      </c>
      <c r="D4329" s="437">
        <f>VLOOKUP(A4329,'Thống kê'!$C$3:$M$682,4,0)</f>
        <v>0</v>
      </c>
      <c r="E4329" s="438">
        <v>1</v>
      </c>
      <c r="F4329" s="439">
        <f t="shared" si="17"/>
        <v>0</v>
      </c>
      <c r="G4329" s="440"/>
      <c r="H4329" s="450"/>
    </row>
    <row r="4330" spans="1:8" ht="13.2">
      <c r="A4330" s="454" t="s">
        <v>2044</v>
      </c>
      <c r="B4330" s="452" t="str">
        <f>VLOOKUP(A4330,'Thống kê'!$C$3:$D$669,2,0)</f>
        <v>Túi chườm bụng chó trắng 500ml</v>
      </c>
      <c r="C4330" s="436" t="str">
        <f>VLOOKUP(A4330,'Thống kê'!$C$3:$E$682,3,0)</f>
        <v>túi</v>
      </c>
      <c r="D4330" s="437">
        <f>VLOOKUP(A4330,'Thống kê'!$C$3:$M$682,4,0)</f>
        <v>81000</v>
      </c>
      <c r="E4330" s="438">
        <v>2</v>
      </c>
      <c r="F4330" s="439">
        <f t="shared" si="17"/>
        <v>162000</v>
      </c>
      <c r="G4330" s="440"/>
      <c r="H4330" s="447">
        <v>224871</v>
      </c>
    </row>
    <row r="4331" spans="1:8" ht="13.2">
      <c r="A4331" s="454" t="s">
        <v>1788</v>
      </c>
      <c r="B4331" s="452" t="str">
        <f>VLOOKUP(A4331,'Thống kê'!$C$3:$D$669,2,0)</f>
        <v>Túi chườm bụng thỏ hồng 500ml</v>
      </c>
      <c r="C4331" s="436" t="str">
        <f>VLOOKUP(A4331,'Thống kê'!$C$3:$E$682,3,0)</f>
        <v>túi</v>
      </c>
      <c r="D4331" s="437">
        <f>VLOOKUP(A4331,'Thống kê'!$C$3:$M$682,4,0)</f>
        <v>81000</v>
      </c>
      <c r="E4331" s="438">
        <v>2</v>
      </c>
      <c r="F4331" s="439">
        <f t="shared" si="17"/>
        <v>162000</v>
      </c>
      <c r="G4331" s="440"/>
      <c r="H4331" s="450"/>
    </row>
    <row r="4332" spans="1:8" ht="13.2">
      <c r="A4332" s="454" t="s">
        <v>1346</v>
      </c>
      <c r="B4332" s="452" t="str">
        <f>VLOOKUP(A4332,'Thống kê'!$C$3:$D$669,2,0)</f>
        <v>Móc khóa chuối</v>
      </c>
      <c r="C4332" s="436" t="str">
        <f>VLOOKUP(A4332,'Thống kê'!$C$3:$E$682,3,0)</f>
        <v>cái</v>
      </c>
      <c r="D4332" s="437">
        <f>VLOOKUP(A4332,'Thống kê'!$C$3:$M$682,4,0)</f>
        <v>148000</v>
      </c>
      <c r="E4332" s="438">
        <v>1</v>
      </c>
      <c r="F4332" s="439">
        <f t="shared" si="17"/>
        <v>148000</v>
      </c>
      <c r="G4332" s="440"/>
      <c r="H4332" s="447">
        <v>102616</v>
      </c>
    </row>
    <row r="4333" spans="1:8" ht="13.2">
      <c r="A4333" s="454" t="s">
        <v>1705</v>
      </c>
      <c r="B4333" s="452" t="str">
        <f>VLOOKUP(A4333,'Thống kê'!$C$3:$D$669,2,0)</f>
        <v>Dây treo điện thoại có charm xinh xắn</v>
      </c>
      <c r="C4333" s="436" t="str">
        <f>VLOOKUP(A4333,'Thống kê'!$C$3:$E$682,3,0)</f>
        <v>cái</v>
      </c>
      <c r="D4333" s="437">
        <f>VLOOKUP(A4333,'Thống kê'!$C$3:$M$682,4,0)</f>
        <v>27000</v>
      </c>
      <c r="E4333" s="438">
        <v>1</v>
      </c>
      <c r="F4333" s="439">
        <f t="shared" si="17"/>
        <v>27000</v>
      </c>
      <c r="G4333" s="440"/>
      <c r="H4333" s="450"/>
    </row>
    <row r="4334" spans="1:8" ht="13.2">
      <c r="A4334" s="454" t="s">
        <v>1688</v>
      </c>
      <c r="B4334" s="452">
        <f>VLOOKUP(A4334,'Thống kê'!$C$3:$D$669,2,0)</f>
        <v>0</v>
      </c>
      <c r="C4334" s="436" t="str">
        <f>VLOOKUP(A4334,'Thống kê'!$C$3:$E$682,3,0)</f>
        <v>cái</v>
      </c>
      <c r="D4334" s="437">
        <f>VLOOKUP(A4334,'Thống kê'!$C$3:$M$682,4,0)</f>
        <v>0</v>
      </c>
      <c r="E4334" s="438">
        <v>1</v>
      </c>
      <c r="F4334" s="439">
        <f t="shared" si="17"/>
        <v>0</v>
      </c>
      <c r="G4334" s="440"/>
      <c r="H4334" s="448">
        <v>19242</v>
      </c>
    </row>
    <row r="4335" spans="1:8" ht="13.2">
      <c r="A4335" s="454" t="s">
        <v>115</v>
      </c>
      <c r="B4335" s="452" t="str">
        <f>VLOOKUP(A4335,'Thống kê'!$C$3:$D$669,2,0)</f>
        <v>Heo ú</v>
      </c>
      <c r="C4335" s="436" t="str">
        <f>VLOOKUP(A4335,'Thống kê'!$C$3:$E$682,3,0)</f>
        <v>cái</v>
      </c>
      <c r="D4335" s="437">
        <f>VLOOKUP(A4335,'Thống kê'!$C$3:$M$682,4,0)</f>
        <v>59500</v>
      </c>
      <c r="E4335" s="438">
        <v>1</v>
      </c>
      <c r="F4335" s="439">
        <f t="shared" si="17"/>
        <v>59500</v>
      </c>
      <c r="G4335" s="440"/>
      <c r="H4335" s="448">
        <v>48308</v>
      </c>
    </row>
    <row r="4336" spans="1:8" ht="13.2">
      <c r="A4336" s="454" t="s">
        <v>1698</v>
      </c>
      <c r="B4336" s="452" t="str">
        <f>VLOOKUP(A4336,'Thống kê'!$C$3:$D$669,2,0)</f>
        <v>Mô hình động vật thần tài - Heo hồng</v>
      </c>
      <c r="C4336" s="436" t="str">
        <f>VLOOKUP(A4336,'Thống kê'!$C$3:$E$682,3,0)</f>
        <v>cái</v>
      </c>
      <c r="D4336" s="437">
        <f>VLOOKUP(A4336,'Thống kê'!$C$3:$M$682,4,0)</f>
        <v>59000</v>
      </c>
      <c r="E4336" s="438">
        <v>1</v>
      </c>
      <c r="F4336" s="439">
        <f t="shared" si="17"/>
        <v>59000</v>
      </c>
      <c r="G4336" s="440"/>
      <c r="H4336" s="447">
        <v>88534</v>
      </c>
    </row>
    <row r="4337" spans="1:8" ht="13.2">
      <c r="A4337" s="454" t="s">
        <v>1373</v>
      </c>
      <c r="B4337" s="452" t="str">
        <f>VLOOKUP(A4337,'Thống kê'!$C$3:$D$669,2,0)</f>
        <v>Mô hình xương rồng</v>
      </c>
      <c r="C4337" s="436" t="str">
        <f>VLOOKUP(A4337,'Thống kê'!$C$3:$E$682,3,0)</f>
        <v>cái</v>
      </c>
      <c r="D4337" s="437">
        <f>VLOOKUP(A4337,'Thống kê'!$C$3:$M$682,4,0)</f>
        <v>53360</v>
      </c>
      <c r="E4337" s="438">
        <v>1</v>
      </c>
      <c r="F4337" s="439">
        <f t="shared" si="17"/>
        <v>53360</v>
      </c>
      <c r="G4337" s="440"/>
      <c r="H4337" s="450"/>
    </row>
    <row r="4338" spans="1:8" ht="13.2">
      <c r="A4338" s="454" t="s">
        <v>115</v>
      </c>
      <c r="B4338" s="452" t="str">
        <f>VLOOKUP(A4338,'Thống kê'!$C$3:$D$669,2,0)</f>
        <v>Heo ú</v>
      </c>
      <c r="C4338" s="436" t="str">
        <f>VLOOKUP(A4338,'Thống kê'!$C$3:$E$682,3,0)</f>
        <v>cái</v>
      </c>
      <c r="D4338" s="437">
        <f>VLOOKUP(A4338,'Thống kê'!$C$3:$M$682,4,0)</f>
        <v>59500</v>
      </c>
      <c r="E4338" s="438">
        <v>1</v>
      </c>
      <c r="F4338" s="439">
        <f t="shared" si="17"/>
        <v>59500</v>
      </c>
      <c r="G4338" s="440"/>
      <c r="H4338" s="447">
        <v>99279</v>
      </c>
    </row>
    <row r="4339" spans="1:8" ht="13.2">
      <c r="A4339" s="454" t="s">
        <v>325</v>
      </c>
      <c r="B4339" s="452" t="str">
        <f>VLOOKUP(A4339,'Thống kê'!$C$3:$D$669,2,0)</f>
        <v>Gấu ú</v>
      </c>
      <c r="C4339" s="436" t="str">
        <f>VLOOKUP(A4339,'Thống kê'!$C$3:$E$682,3,0)</f>
        <v>cái</v>
      </c>
      <c r="D4339" s="437">
        <f>VLOOKUP(A4339,'Thống kê'!$C$3:$M$682,4,0)</f>
        <v>59500</v>
      </c>
      <c r="E4339" s="438">
        <v>1</v>
      </c>
      <c r="F4339" s="439">
        <f t="shared" si="17"/>
        <v>59500</v>
      </c>
      <c r="G4339" s="440"/>
      <c r="H4339" s="450"/>
    </row>
    <row r="4340" spans="1:8" ht="13.2">
      <c r="A4340" s="454" t="s">
        <v>1386</v>
      </c>
      <c r="B4340" s="452" t="str">
        <f>VLOOKUP(A4340,'Thống kê'!$C$3:$D$669,2,0)</f>
        <v>Móc khoá Crybaby mini Popmart</v>
      </c>
      <c r="C4340" s="436" t="str">
        <f>VLOOKUP(A4340,'Thống kê'!$C$3:$E$682,3,0)</f>
        <v>cái</v>
      </c>
      <c r="D4340" s="437">
        <f>VLOOKUP(A4340,'Thống kê'!$C$3:$M$682,4,0)</f>
        <v>0</v>
      </c>
      <c r="E4340" s="438">
        <v>1</v>
      </c>
      <c r="F4340" s="439">
        <f t="shared" si="17"/>
        <v>0</v>
      </c>
      <c r="G4340" s="440"/>
      <c r="H4340" s="447">
        <v>112340</v>
      </c>
    </row>
    <row r="4341" spans="1:8" ht="13.2">
      <c r="A4341" s="454" t="s">
        <v>2064</v>
      </c>
      <c r="B4341" s="452" t="str">
        <f>VLOOKUP(A4341,'Thống kê'!$C$3:$D$669,2,0)</f>
        <v>Kẹp tóc nâu đậm</v>
      </c>
      <c r="C4341" s="436" t="str">
        <f>VLOOKUP(A4341,'Thống kê'!$C$3:$E$682,3,0)</f>
        <v>cái</v>
      </c>
      <c r="D4341" s="437">
        <f>VLOOKUP(A4341,'Thống kê'!$C$3:$M$682,4,0)</f>
        <v>14000</v>
      </c>
      <c r="E4341" s="438">
        <v>1</v>
      </c>
      <c r="F4341" s="439">
        <f t="shared" si="17"/>
        <v>14000</v>
      </c>
      <c r="G4341" s="440"/>
      <c r="H4341" s="450"/>
    </row>
    <row r="4342" spans="1:8" ht="13.2">
      <c r="A4342" s="454" t="s">
        <v>186</v>
      </c>
      <c r="B4342" s="452" t="str">
        <f>VLOOKUP(A4342,'Thống kê'!$C$3:$D$669,2,0)</f>
        <v>Thỏ ú bay</v>
      </c>
      <c r="C4342" s="436" t="str">
        <f>VLOOKUP(A4342,'Thống kê'!$C$3:$E$682,3,0)</f>
        <v>cái</v>
      </c>
      <c r="D4342" s="437">
        <f>VLOOKUP(A4342,'Thống kê'!$C$3:$M$682,4,0)</f>
        <v>64500</v>
      </c>
      <c r="E4342" s="438">
        <v>1</v>
      </c>
      <c r="F4342" s="439">
        <f t="shared" si="17"/>
        <v>64500</v>
      </c>
      <c r="G4342" s="440"/>
      <c r="H4342" s="447">
        <v>131496</v>
      </c>
    </row>
    <row r="4343" spans="1:8" ht="13.2">
      <c r="A4343" s="454" t="s">
        <v>1624</v>
      </c>
      <c r="B4343" s="452" t="str">
        <f>VLOOKUP(A4343,'Thống kê'!$C$3:$D$669,2,0)</f>
        <v>Móc khóa mèo trái tim</v>
      </c>
      <c r="C4343" s="436" t="str">
        <f>VLOOKUP(A4343,'Thống kê'!$C$3:$E$682,3,0)</f>
        <v>cái</v>
      </c>
      <c r="D4343" s="437">
        <f>VLOOKUP(A4343,'Thống kê'!$C$3:$M$682,4,0)</f>
        <v>59000</v>
      </c>
      <c r="E4343" s="438">
        <v>1</v>
      </c>
      <c r="F4343" s="439">
        <f t="shared" si="17"/>
        <v>59000</v>
      </c>
      <c r="G4343" s="440"/>
      <c r="H4343" s="450"/>
    </row>
    <row r="4344" spans="1:8" ht="13.2">
      <c r="A4344" s="454" t="s">
        <v>1351</v>
      </c>
      <c r="B4344" s="452" t="str">
        <f>VLOOKUP(A4344,'Thống kê'!$C$3:$D$669,2,0)</f>
        <v>Trang trí mô hình Heo</v>
      </c>
      <c r="C4344" s="436" t="str">
        <f>VLOOKUP(A4344,'Thống kê'!$C$3:$E$682,3,0)</f>
        <v>cái</v>
      </c>
      <c r="D4344" s="437">
        <f>VLOOKUP(A4344,'Thống kê'!$C$3:$M$682,4,0)</f>
        <v>39000</v>
      </c>
      <c r="E4344" s="438">
        <v>1</v>
      </c>
      <c r="F4344" s="439">
        <f t="shared" si="17"/>
        <v>39000</v>
      </c>
      <c r="G4344" s="440"/>
      <c r="H4344" s="450"/>
    </row>
    <row r="4345" spans="1:8" ht="13.2">
      <c r="A4345" s="454" t="s">
        <v>1996</v>
      </c>
      <c r="B4345" s="452" t="str">
        <f>VLOOKUP(A4345,'Thống kê'!$C$3:$D$669,2,0)</f>
        <v>Kẹp tóc nâu</v>
      </c>
      <c r="C4345" s="436" t="str">
        <f>VLOOKUP(A4345,'Thống kê'!$C$3:$E$682,3,0)</f>
        <v>cái</v>
      </c>
      <c r="D4345" s="437">
        <f>VLOOKUP(A4345,'Thống kê'!$C$3:$M$682,4,0)</f>
        <v>14000</v>
      </c>
      <c r="E4345" s="438">
        <v>1</v>
      </c>
      <c r="F4345" s="439">
        <f t="shared" si="17"/>
        <v>14000</v>
      </c>
      <c r="G4345" s="440"/>
      <c r="H4345" s="450"/>
    </row>
    <row r="4346" spans="1:8" ht="13.2">
      <c r="A4346" s="454" t="s">
        <v>1622</v>
      </c>
      <c r="B4346" s="452" t="str">
        <f>VLOOKUP(A4346,'Thống kê'!$C$3:$D$669,2,0)</f>
        <v>Mô hình mèo 1</v>
      </c>
      <c r="C4346" s="436" t="str">
        <f>VLOOKUP(A4346,'Thống kê'!$C$3:$E$682,3,0)</f>
        <v>cái</v>
      </c>
      <c r="D4346" s="437">
        <f>VLOOKUP(A4346,'Thống kê'!$C$3:$M$682,4,0)</f>
        <v>37800</v>
      </c>
      <c r="E4346" s="438">
        <v>1</v>
      </c>
      <c r="F4346" s="439">
        <f t="shared" si="17"/>
        <v>37800</v>
      </c>
      <c r="G4346" s="440"/>
      <c r="H4346" s="447">
        <v>56744</v>
      </c>
    </row>
    <row r="4347" spans="1:8" ht="13.2">
      <c r="A4347" s="454" t="s">
        <v>149</v>
      </c>
      <c r="B4347" s="452" t="str">
        <f>VLOOKUP(A4347,'Thống kê'!$C$3:$D$669,2,0)</f>
        <v>ếch</v>
      </c>
      <c r="C4347" s="436" t="str">
        <f>VLOOKUP(A4347,'Thống kê'!$C$3:$E$682,3,0)</f>
        <v>cái</v>
      </c>
      <c r="D4347" s="437">
        <f>VLOOKUP(A4347,'Thống kê'!$C$3:$M$682,4,0)</f>
        <v>35000</v>
      </c>
      <c r="E4347" s="438">
        <v>1</v>
      </c>
      <c r="F4347" s="439">
        <f t="shared" si="17"/>
        <v>35000</v>
      </c>
      <c r="G4347" s="440"/>
      <c r="H4347" s="450"/>
    </row>
    <row r="4348" spans="1:8" ht="13.2">
      <c r="A4348" s="454" t="s">
        <v>1996</v>
      </c>
      <c r="B4348" s="452" t="str">
        <f>VLOOKUP(A4348,'Thống kê'!$C$3:$D$669,2,0)</f>
        <v>Kẹp tóc nâu</v>
      </c>
      <c r="C4348" s="436" t="str">
        <f>VLOOKUP(A4348,'Thống kê'!$C$3:$E$682,3,0)</f>
        <v>cái</v>
      </c>
      <c r="D4348" s="437">
        <f>VLOOKUP(A4348,'Thống kê'!$C$3:$M$682,4,0)</f>
        <v>14000</v>
      </c>
      <c r="E4348" s="438">
        <v>1</v>
      </c>
      <c r="F4348" s="439">
        <f t="shared" si="17"/>
        <v>14000</v>
      </c>
      <c r="G4348" s="440"/>
      <c r="H4348" s="450"/>
    </row>
    <row r="4349" spans="1:8" ht="13.2">
      <c r="A4349" s="454" t="s">
        <v>1370</v>
      </c>
      <c r="B4349" s="452" t="str">
        <f>VLOOKUP(A4349,'Thống kê'!$C$3:$D$669,2,0)</f>
        <v>Móc khóa Popbean</v>
      </c>
      <c r="C4349" s="436" t="str">
        <f>VLOOKUP(A4349,'Thống kê'!$C$3:$E$682,3,0)</f>
        <v>cái</v>
      </c>
      <c r="D4349" s="437">
        <f>VLOOKUP(A4349,'Thống kê'!$C$3:$M$682,4,0)</f>
        <v>148000</v>
      </c>
      <c r="E4349" s="438">
        <v>1</v>
      </c>
      <c r="F4349" s="439">
        <f t="shared" si="17"/>
        <v>148000</v>
      </c>
      <c r="G4349" s="440"/>
      <c r="H4349" s="448">
        <v>123820</v>
      </c>
    </row>
    <row r="4350" spans="1:8" ht="13.2">
      <c r="A4350" s="454" t="s">
        <v>1624</v>
      </c>
      <c r="B4350" s="452" t="str">
        <f>VLOOKUP(A4350,'Thống kê'!$C$3:$D$669,2,0)</f>
        <v>Móc khóa mèo trái tim</v>
      </c>
      <c r="C4350" s="436" t="str">
        <f>VLOOKUP(A4350,'Thống kê'!$C$3:$E$682,3,0)</f>
        <v>cái</v>
      </c>
      <c r="D4350" s="437">
        <f>VLOOKUP(A4350,'Thống kê'!$C$3:$M$682,4,0)</f>
        <v>59000</v>
      </c>
      <c r="E4350" s="438">
        <v>1</v>
      </c>
      <c r="F4350" s="439">
        <f t="shared" si="17"/>
        <v>59000</v>
      </c>
      <c r="G4350" s="440"/>
      <c r="H4350" s="448">
        <v>40410</v>
      </c>
    </row>
    <row r="4351" spans="1:8" ht="13.2">
      <c r="A4351" s="454" t="s">
        <v>1367</v>
      </c>
      <c r="B4351" s="452" t="str">
        <f>VLOOKUP(A4351,'Thống kê'!$C$3:$D$669,2,0)</f>
        <v>Móc khóa Popbean</v>
      </c>
      <c r="C4351" s="436" t="str">
        <f>VLOOKUP(A4351,'Thống kê'!$C$3:$E$682,3,0)</f>
        <v>cái</v>
      </c>
      <c r="D4351" s="437">
        <f>VLOOKUP(A4351,'Thống kê'!$C$3:$M$682,4,0)</f>
        <v>148000</v>
      </c>
      <c r="E4351" s="438">
        <v>1</v>
      </c>
      <c r="F4351" s="439">
        <f t="shared" si="17"/>
        <v>148000</v>
      </c>
      <c r="G4351" s="440"/>
      <c r="H4351" s="447">
        <v>239900</v>
      </c>
    </row>
    <row r="4352" spans="1:8" ht="13.2">
      <c r="A4352" s="454" t="s">
        <v>1366</v>
      </c>
      <c r="B4352" s="452" t="str">
        <f>VLOOKUP(A4352,'Thống kê'!$C$3:$D$669,2,0)</f>
        <v>Móc khóa Popbean</v>
      </c>
      <c r="C4352" s="436" t="str">
        <f>VLOOKUP(A4352,'Thống kê'!$C$3:$E$682,3,0)</f>
        <v>cái</v>
      </c>
      <c r="D4352" s="437">
        <f>VLOOKUP(A4352,'Thống kê'!$C$3:$M$682,4,0)</f>
        <v>148000</v>
      </c>
      <c r="E4352" s="438">
        <v>1</v>
      </c>
      <c r="F4352" s="439">
        <f t="shared" si="17"/>
        <v>148000</v>
      </c>
      <c r="G4352" s="440"/>
      <c r="H4352" s="450"/>
    </row>
    <row r="4353" spans="1:8" ht="13.2">
      <c r="A4353" s="454" t="s">
        <v>1384</v>
      </c>
      <c r="B4353" s="452" t="str">
        <f>VLOOKUP(A4353,'Thống kê'!$C$3:$D$669,2,0)</f>
        <v>Móc khoá Crybaby mini Popmart</v>
      </c>
      <c r="C4353" s="436" t="str">
        <f>VLOOKUP(A4353,'Thống kê'!$C$3:$E$682,3,0)</f>
        <v>cái</v>
      </c>
      <c r="D4353" s="437">
        <f>VLOOKUP(A4353,'Thống kê'!$C$3:$M$682,4,0)</f>
        <v>0</v>
      </c>
      <c r="E4353" s="438">
        <v>1</v>
      </c>
      <c r="F4353" s="439">
        <f t="shared" si="17"/>
        <v>0</v>
      </c>
      <c r="G4353" s="440"/>
      <c r="H4353" s="447">
        <v>112340</v>
      </c>
    </row>
    <row r="4354" spans="1:8" ht="13.2">
      <c r="A4354" s="454" t="s">
        <v>1996</v>
      </c>
      <c r="B4354" s="452" t="str">
        <f>VLOOKUP(A4354,'Thống kê'!$C$3:$D$669,2,0)</f>
        <v>Kẹp tóc nâu</v>
      </c>
      <c r="C4354" s="436" t="str">
        <f>VLOOKUP(A4354,'Thống kê'!$C$3:$E$682,3,0)</f>
        <v>cái</v>
      </c>
      <c r="D4354" s="437">
        <f>VLOOKUP(A4354,'Thống kê'!$C$3:$M$682,4,0)</f>
        <v>14000</v>
      </c>
      <c r="E4354" s="438">
        <v>1</v>
      </c>
      <c r="F4354" s="439">
        <f t="shared" si="17"/>
        <v>14000</v>
      </c>
      <c r="G4354" s="440"/>
      <c r="H4354" s="450"/>
    </row>
    <row r="4355" spans="1:8" ht="13.2">
      <c r="A4355" s="454" t="s">
        <v>330</v>
      </c>
      <c r="B4355" s="452" t="str">
        <f>VLOOKUP(A4355,'Thống kê'!$C$3:$D$669,2,0)</f>
        <v>Túi chườm bụng thỏ xám  500ml</v>
      </c>
      <c r="C4355" s="436" t="str">
        <f>VLOOKUP(A4355,'Thống kê'!$C$3:$E$682,3,0)</f>
        <v>túi</v>
      </c>
      <c r="D4355" s="437">
        <f>VLOOKUP(A4355,'Thống kê'!$C$3:$M$682,4,0)</f>
        <v>81000</v>
      </c>
      <c r="E4355" s="438">
        <v>1</v>
      </c>
      <c r="F4355" s="439">
        <f t="shared" si="17"/>
        <v>81000</v>
      </c>
      <c r="G4355" s="440"/>
      <c r="H4355" s="448">
        <v>61106</v>
      </c>
    </row>
    <row r="4356" spans="1:8" ht="13.2">
      <c r="A4356" s="454" t="s">
        <v>1594</v>
      </c>
      <c r="B4356" s="452" t="str">
        <f>VLOOKUP(A4356,'Thống kê'!$C$3:$D$669,2,0)</f>
        <v>Móc khóa đôi heo</v>
      </c>
      <c r="C4356" s="436" t="str">
        <f>VLOOKUP(A4356,'Thống kê'!$C$3:$E$682,3,0)</f>
        <v>cái</v>
      </c>
      <c r="D4356" s="437">
        <f>VLOOKUP(A4356,'Thống kê'!$C$3:$M$682,4,0)</f>
        <v>56580</v>
      </c>
      <c r="E4356" s="438">
        <v>1</v>
      </c>
      <c r="F4356" s="439">
        <f t="shared" si="17"/>
        <v>56580</v>
      </c>
      <c r="G4356" s="440"/>
      <c r="H4356" s="448">
        <v>46180</v>
      </c>
    </row>
    <row r="4357" spans="1:8" ht="13.2">
      <c r="A4357" s="454" t="s">
        <v>115</v>
      </c>
      <c r="B4357" s="452" t="str">
        <f>VLOOKUP(A4357,'Thống kê'!$C$3:$D$669,2,0)</f>
        <v>Heo ú</v>
      </c>
      <c r="C4357" s="436" t="str">
        <f>VLOOKUP(A4357,'Thống kê'!$C$3:$E$682,3,0)</f>
        <v>cái</v>
      </c>
      <c r="D4357" s="437">
        <f>VLOOKUP(A4357,'Thống kê'!$C$3:$M$682,4,0)</f>
        <v>59500</v>
      </c>
      <c r="E4357" s="438">
        <v>1</v>
      </c>
      <c r="F4357" s="439">
        <f t="shared" si="17"/>
        <v>59500</v>
      </c>
      <c r="G4357" s="440"/>
      <c r="H4357" s="447">
        <v>110372</v>
      </c>
    </row>
    <row r="4358" spans="1:8" ht="13.2">
      <c r="A4358" s="454" t="s">
        <v>1210</v>
      </c>
      <c r="B4358" s="452" t="str">
        <f>VLOOKUP(A4358,'Thống kê'!$C$3:$D$669,2,0)</f>
        <v>Shiba ú cầm hoa</v>
      </c>
      <c r="C4358" s="436" t="str">
        <f>VLOOKUP(A4358,'Thống kê'!$C$3:$E$682,3,0)</f>
        <v>cái</v>
      </c>
      <c r="D4358" s="437">
        <f>VLOOKUP(A4358,'Thống kê'!$C$3:$M$682,4,0)</f>
        <v>64500</v>
      </c>
      <c r="E4358" s="438">
        <v>1</v>
      </c>
      <c r="F4358" s="439">
        <f t="shared" si="17"/>
        <v>64500</v>
      </c>
      <c r="G4358" s="440"/>
      <c r="H4358" s="450"/>
    </row>
    <row r="4359" spans="1:8" ht="13.2">
      <c r="A4359" s="454" t="s">
        <v>2044</v>
      </c>
      <c r="B4359" s="452" t="str">
        <f>VLOOKUP(A4359,'Thống kê'!$C$3:$D$669,2,0)</f>
        <v>Túi chườm bụng chó trắng 500ml</v>
      </c>
      <c r="C4359" s="436" t="str">
        <f>VLOOKUP(A4359,'Thống kê'!$C$3:$E$682,3,0)</f>
        <v>túi</v>
      </c>
      <c r="D4359" s="437">
        <f>VLOOKUP(A4359,'Thống kê'!$C$3:$M$682,4,0)</f>
        <v>81000</v>
      </c>
      <c r="E4359" s="438">
        <v>1</v>
      </c>
      <c r="F4359" s="439">
        <f t="shared" si="17"/>
        <v>81000</v>
      </c>
      <c r="G4359" s="440"/>
      <c r="H4359" s="448">
        <v>56631</v>
      </c>
    </row>
    <row r="4360" spans="1:8" ht="13.2">
      <c r="A4360" s="454" t="s">
        <v>1386</v>
      </c>
      <c r="B4360" s="452" t="str">
        <f>VLOOKUP(A4360,'Thống kê'!$C$3:$D$669,2,0)</f>
        <v>Móc khoá Crybaby mini Popmart</v>
      </c>
      <c r="C4360" s="436" t="str">
        <f>VLOOKUP(A4360,'Thống kê'!$C$3:$E$682,3,0)</f>
        <v>cái</v>
      </c>
      <c r="D4360" s="437">
        <f>VLOOKUP(A4360,'Thống kê'!$C$3:$M$682,4,0)</f>
        <v>0</v>
      </c>
      <c r="E4360" s="438">
        <v>1</v>
      </c>
      <c r="F4360" s="439">
        <f t="shared" si="17"/>
        <v>0</v>
      </c>
      <c r="G4360" s="440"/>
      <c r="H4360" s="447">
        <v>112340</v>
      </c>
    </row>
    <row r="4361" spans="1:8" ht="13.2">
      <c r="A4361" s="454" t="s">
        <v>1996</v>
      </c>
      <c r="B4361" s="452" t="str">
        <f>VLOOKUP(A4361,'Thống kê'!$C$3:$D$669,2,0)</f>
        <v>Kẹp tóc nâu</v>
      </c>
      <c r="C4361" s="436" t="str">
        <f>VLOOKUP(A4361,'Thống kê'!$C$3:$E$682,3,0)</f>
        <v>cái</v>
      </c>
      <c r="D4361" s="437">
        <f>VLOOKUP(A4361,'Thống kê'!$C$3:$M$682,4,0)</f>
        <v>14000</v>
      </c>
      <c r="E4361" s="438">
        <v>1</v>
      </c>
      <c r="F4361" s="439">
        <f t="shared" si="17"/>
        <v>14000</v>
      </c>
      <c r="G4361" s="440"/>
      <c r="H4361" s="450"/>
    </row>
    <row r="4362" spans="1:8" ht="13.2">
      <c r="A4362" s="454" t="s">
        <v>1621</v>
      </c>
      <c r="B4362" s="452" t="str">
        <f>VLOOKUP(A4362,'Thống kê'!$C$3:$D$669,2,0)</f>
        <v>Mô hình mèo 2</v>
      </c>
      <c r="C4362" s="436" t="str">
        <f>VLOOKUP(A4362,'Thống kê'!$C$3:$E$682,3,0)</f>
        <v>cái</v>
      </c>
      <c r="D4362" s="437">
        <f>VLOOKUP(A4362,'Thống kê'!$C$3:$M$682,4,0)</f>
        <v>37800</v>
      </c>
      <c r="E4362" s="438">
        <v>1</v>
      </c>
      <c r="F4362" s="439">
        <f t="shared" si="17"/>
        <v>37800</v>
      </c>
      <c r="G4362" s="440"/>
      <c r="H4362" s="447">
        <v>97120</v>
      </c>
    </row>
    <row r="4363" spans="1:8" ht="13.2">
      <c r="A4363" s="454" t="s">
        <v>1635</v>
      </c>
      <c r="B4363" s="452" t="str">
        <f>VLOOKUP(A4363,'Thống kê'!$C$3:$D$669,2,0)</f>
        <v>Mô hình mèo 4</v>
      </c>
      <c r="C4363" s="436" t="str">
        <f>VLOOKUP(A4363,'Thống kê'!$C$3:$E$682,3,0)</f>
        <v>cái</v>
      </c>
      <c r="D4363" s="437">
        <f>VLOOKUP(A4363,'Thống kê'!$C$3:$M$682,4,0)</f>
        <v>37800</v>
      </c>
      <c r="E4363" s="438">
        <v>1</v>
      </c>
      <c r="F4363" s="439">
        <f t="shared" si="17"/>
        <v>37800</v>
      </c>
      <c r="G4363" s="440"/>
      <c r="H4363" s="450"/>
    </row>
    <row r="4364" spans="1:8" ht="13.2">
      <c r="A4364" s="454" t="s">
        <v>1623</v>
      </c>
      <c r="B4364" s="452" t="str">
        <f>VLOOKUP(A4364,'Thống kê'!$C$3:$D$669,2,0)</f>
        <v>Mô hình mèo 5</v>
      </c>
      <c r="C4364" s="436" t="str">
        <f>VLOOKUP(A4364,'Thống kê'!$C$3:$E$682,3,0)</f>
        <v>cái</v>
      </c>
      <c r="D4364" s="437">
        <f>VLOOKUP(A4364,'Thống kê'!$C$3:$M$682,4,0)</f>
        <v>37800</v>
      </c>
      <c r="E4364" s="438">
        <v>1</v>
      </c>
      <c r="F4364" s="439">
        <f t="shared" si="17"/>
        <v>37800</v>
      </c>
      <c r="G4364" s="440"/>
      <c r="H4364" s="450"/>
    </row>
    <row r="4365" spans="1:8" ht="13.2">
      <c r="A4365" s="454" t="s">
        <v>1370</v>
      </c>
      <c r="B4365" s="452" t="str">
        <f>VLOOKUP(A4365,'Thống kê'!$C$3:$D$669,2,0)</f>
        <v>Móc khóa Popbean</v>
      </c>
      <c r="C4365" s="436" t="str">
        <f>VLOOKUP(A4365,'Thống kê'!$C$3:$E$682,3,0)</f>
        <v>cái</v>
      </c>
      <c r="D4365" s="437">
        <f>VLOOKUP(A4365,'Thống kê'!$C$3:$M$682,4,0)</f>
        <v>148000</v>
      </c>
      <c r="E4365" s="438">
        <v>1</v>
      </c>
      <c r="F4365" s="439">
        <f t="shared" si="17"/>
        <v>148000</v>
      </c>
      <c r="G4365" s="440"/>
      <c r="H4365" s="448">
        <v>123820</v>
      </c>
    </row>
    <row r="4366" spans="1:8" ht="13.2">
      <c r="A4366" s="454" t="s">
        <v>1594</v>
      </c>
      <c r="B4366" s="452" t="str">
        <f>VLOOKUP(A4366,'Thống kê'!$C$3:$D$669,2,0)</f>
        <v>Móc khóa đôi heo</v>
      </c>
      <c r="C4366" s="436" t="str">
        <f>VLOOKUP(A4366,'Thống kê'!$C$3:$E$682,3,0)</f>
        <v>cái</v>
      </c>
      <c r="D4366" s="437">
        <f>VLOOKUP(A4366,'Thống kê'!$C$3:$M$682,4,0)</f>
        <v>56580</v>
      </c>
      <c r="E4366" s="438">
        <v>1</v>
      </c>
      <c r="F4366" s="439">
        <f t="shared" si="17"/>
        <v>56580</v>
      </c>
      <c r="G4366" s="440"/>
      <c r="H4366" s="448">
        <v>46130</v>
      </c>
    </row>
    <row r="4367" spans="1:8" ht="13.2">
      <c r="A4367" s="454" t="s">
        <v>1688</v>
      </c>
      <c r="B4367" s="452">
        <f>VLOOKUP(A4367,'Thống kê'!$C$3:$D$669,2,0)</f>
        <v>0</v>
      </c>
      <c r="C4367" s="436" t="str">
        <f>VLOOKUP(A4367,'Thống kê'!$C$3:$E$682,3,0)</f>
        <v>cái</v>
      </c>
      <c r="D4367" s="437">
        <f>VLOOKUP(A4367,'Thống kê'!$C$3:$M$682,4,0)</f>
        <v>0</v>
      </c>
      <c r="E4367" s="438">
        <v>1</v>
      </c>
      <c r="F4367" s="439">
        <f t="shared" si="17"/>
        <v>0</v>
      </c>
      <c r="G4367" s="440"/>
      <c r="H4367" s="448">
        <v>19967</v>
      </c>
    </row>
    <row r="4368" spans="1:8" ht="13.2">
      <c r="A4368" s="454" t="s">
        <v>1603</v>
      </c>
      <c r="B4368" s="452" t="str">
        <f>VLOOKUP(A4368,'Thống kê'!$C$3:$D$669,2,0)</f>
        <v>Thước dây hồng phấn</v>
      </c>
      <c r="C4368" s="436" t="str">
        <f>VLOOKUP(A4368,'Thống kê'!$C$3:$E$682,3,0)</f>
        <v>cái</v>
      </c>
      <c r="D4368" s="437">
        <f>VLOOKUP(A4368,'Thống kê'!$C$3:$M$682,4,0)</f>
        <v>9000</v>
      </c>
      <c r="E4368" s="438">
        <v>1</v>
      </c>
      <c r="F4368" s="439">
        <f t="shared" si="17"/>
        <v>9000</v>
      </c>
      <c r="G4368" s="440"/>
      <c r="H4368" s="447">
        <v>11935</v>
      </c>
    </row>
    <row r="4369" spans="1:8" ht="13.2">
      <c r="A4369" s="454" t="s">
        <v>1382</v>
      </c>
      <c r="B4369" s="452" t="str">
        <f>VLOOKUP(A4369,'Thống kê'!$C$3:$D$669,2,0)</f>
        <v>miếng dán silicon điện thoại</v>
      </c>
      <c r="C4369" s="436" t="str">
        <f>VLOOKUP(A4369,'Thống kê'!$C$3:$E$682,3,0)</f>
        <v>cái</v>
      </c>
      <c r="D4369" s="437">
        <f>VLOOKUP(A4369,'Thống kê'!$C$3:$M$682,4,0)</f>
        <v>0</v>
      </c>
      <c r="E4369" s="438">
        <v>2</v>
      </c>
      <c r="F4369" s="439">
        <f t="shared" si="17"/>
        <v>0</v>
      </c>
      <c r="G4369" s="440"/>
      <c r="H4369" s="450"/>
    </row>
    <row r="4370" spans="1:8" ht="13.2">
      <c r="A4370" s="454" t="s">
        <v>119</v>
      </c>
      <c r="B4370" s="452" t="str">
        <f>VLOOKUP(A4370,'Thống kê'!$C$3:$D$669,2,0)</f>
        <v>Thỏ chạy xe gắn xe</v>
      </c>
      <c r="C4370" s="436" t="str">
        <f>VLOOKUP(A4370,'Thống kê'!$C$3:$E$682,3,0)</f>
        <v>cái</v>
      </c>
      <c r="D4370" s="437">
        <f>VLOOKUP(A4370,'Thống kê'!$C$3:$M$682,4,0)</f>
        <v>45000</v>
      </c>
      <c r="E4370" s="438">
        <v>1</v>
      </c>
      <c r="F4370" s="439">
        <f t="shared" si="17"/>
        <v>45000</v>
      </c>
      <c r="G4370" s="440"/>
      <c r="H4370" s="447">
        <v>58116</v>
      </c>
    </row>
    <row r="4371" spans="1:8" ht="13.2">
      <c r="A4371" s="454" t="s">
        <v>162</v>
      </c>
      <c r="B4371" s="452" t="str">
        <f>VLOOKUP(A4371,'Thống kê'!$C$3:$D$669,2,0)</f>
        <v>Móc khoá cún Donut</v>
      </c>
      <c r="C4371" s="436" t="str">
        <f>VLOOKUP(A4371,'Thống kê'!$C$3:$E$682,3,0)</f>
        <v>cái</v>
      </c>
      <c r="D4371" s="437">
        <f>VLOOKUP(A4371,'Thống kê'!$C$3:$M$682,4,0)</f>
        <v>38000</v>
      </c>
      <c r="E4371" s="438">
        <v>1</v>
      </c>
      <c r="F4371" s="439">
        <f t="shared" si="17"/>
        <v>38000</v>
      </c>
      <c r="G4371" s="440"/>
      <c r="H4371" s="450"/>
    </row>
    <row r="4372" spans="1:8" ht="13.2">
      <c r="A4372" s="454" t="s">
        <v>1586</v>
      </c>
      <c r="B4372" s="452" t="str">
        <f>VLOOKUP(A4372,'Thống kê'!$C$3:$D$669,2,0)</f>
        <v>Thỏ ú hoa</v>
      </c>
      <c r="C4372" s="436" t="str">
        <f>VLOOKUP(A4372,'Thống kê'!$C$3:$E$682,3,0)</f>
        <v>cái</v>
      </c>
      <c r="D4372" s="437">
        <f>VLOOKUP(A4372,'Thống kê'!$C$3:$M$682,4,0)</f>
        <v>64500</v>
      </c>
      <c r="E4372" s="438">
        <v>1</v>
      </c>
      <c r="F4372" s="439">
        <f t="shared" si="17"/>
        <v>64500</v>
      </c>
      <c r="G4372" s="440"/>
      <c r="H4372" s="448">
        <v>60024</v>
      </c>
    </row>
    <row r="4373" spans="1:8" ht="13.2">
      <c r="A4373" s="454" t="s">
        <v>1663</v>
      </c>
      <c r="B4373" s="452" t="str">
        <f>VLOOKUP(A4373,'Thống kê'!$C$3:$D$669,2,0)</f>
        <v>Móc khóa Popbean Zsiga</v>
      </c>
      <c r="C4373" s="436" t="str">
        <f>VLOOKUP(A4373,'Thống kê'!$C$3:$E$682,3,0)</f>
        <v>cái</v>
      </c>
      <c r="D4373" s="437">
        <f>VLOOKUP(A4373,'Thống kê'!$C$3:$M$682,4,0)</f>
        <v>148000</v>
      </c>
      <c r="E4373" s="438">
        <v>1</v>
      </c>
      <c r="F4373" s="439">
        <f t="shared" si="17"/>
        <v>148000</v>
      </c>
      <c r="G4373" s="440"/>
      <c r="H4373" s="448">
        <v>105092</v>
      </c>
    </row>
    <row r="4374" spans="1:8" ht="13.2">
      <c r="A4374" s="454" t="s">
        <v>1341</v>
      </c>
      <c r="B4374" s="452" t="str">
        <f>VLOOKUP(A4374,'Thống kê'!$C$3:$D$669,2,0)</f>
        <v>Móc khóa chuối</v>
      </c>
      <c r="C4374" s="436" t="str">
        <f>VLOOKUP(A4374,'Thống kê'!$C$3:$E$682,3,0)</f>
        <v>cái</v>
      </c>
      <c r="D4374" s="437">
        <f>VLOOKUP(A4374,'Thống kê'!$C$3:$M$682,4,0)</f>
        <v>148000</v>
      </c>
      <c r="E4374" s="438">
        <v>1</v>
      </c>
      <c r="F4374" s="439">
        <f t="shared" si="17"/>
        <v>148000</v>
      </c>
      <c r="G4374" s="440"/>
      <c r="H4374" s="447">
        <v>152691</v>
      </c>
    </row>
    <row r="4375" spans="1:8" ht="13.2">
      <c r="A4375" s="454" t="s">
        <v>1337</v>
      </c>
      <c r="B4375" s="452" t="str">
        <f>VLOOKUP(A4375,'Thống kê'!$C$3:$D$669,2,0)</f>
        <v>Móc khóa chuối</v>
      </c>
      <c r="C4375" s="436" t="str">
        <f>VLOOKUP(A4375,'Thống kê'!$C$3:$E$682,3,0)</f>
        <v>cái</v>
      </c>
      <c r="D4375" s="437">
        <f>VLOOKUP(A4375,'Thống kê'!$C$3:$M$682,4,0)</f>
        <v>148000</v>
      </c>
      <c r="E4375" s="438">
        <v>1</v>
      </c>
      <c r="F4375" s="439">
        <f t="shared" si="17"/>
        <v>148000</v>
      </c>
      <c r="G4375" s="440"/>
      <c r="H4375" s="450"/>
    </row>
    <row r="4376" spans="1:8" ht="13.2">
      <c r="A4376" s="454" t="s">
        <v>1382</v>
      </c>
      <c r="B4376" s="452" t="str">
        <f>VLOOKUP(A4376,'Thống kê'!$C$3:$D$669,2,0)</f>
        <v>miếng dán silicon điện thoại</v>
      </c>
      <c r="C4376" s="436" t="str">
        <f>VLOOKUP(A4376,'Thống kê'!$C$3:$E$682,3,0)</f>
        <v>cái</v>
      </c>
      <c r="D4376" s="437">
        <f>VLOOKUP(A4376,'Thống kê'!$C$3:$M$682,4,0)</f>
        <v>0</v>
      </c>
      <c r="E4376" s="438">
        <v>1</v>
      </c>
      <c r="F4376" s="439">
        <f t="shared" si="17"/>
        <v>0</v>
      </c>
      <c r="G4376" s="440"/>
      <c r="H4376" s="447">
        <v>24825</v>
      </c>
    </row>
    <row r="4377" spans="1:8" ht="13.2">
      <c r="A4377" s="454" t="s">
        <v>1705</v>
      </c>
      <c r="B4377" s="452" t="str">
        <f>VLOOKUP(A4377,'Thống kê'!$C$3:$D$669,2,0)</f>
        <v>Dây treo điện thoại có charm xinh xắn</v>
      </c>
      <c r="C4377" s="436" t="str">
        <f>VLOOKUP(A4377,'Thống kê'!$C$3:$E$682,3,0)</f>
        <v>cái</v>
      </c>
      <c r="D4377" s="437">
        <f>VLOOKUP(A4377,'Thống kê'!$C$3:$M$682,4,0)</f>
        <v>27000</v>
      </c>
      <c r="E4377" s="438">
        <v>1</v>
      </c>
      <c r="F4377" s="439">
        <f t="shared" si="17"/>
        <v>27000</v>
      </c>
      <c r="G4377" s="440"/>
      <c r="H4377" s="450"/>
    </row>
    <row r="4378" spans="1:8" ht="13.2">
      <c r="A4378" s="454" t="s">
        <v>113</v>
      </c>
      <c r="B4378" s="452" t="str">
        <f>VLOOKUP(A4378,'Thống kê'!$C$3:$D$669,2,0)</f>
        <v>Móc khoá Dimoo size mini (hàng remake)</v>
      </c>
      <c r="C4378" s="436" t="str">
        <f>VLOOKUP(A4378,'Thống kê'!$C$3:$E$682,3,0)</f>
        <v>cái</v>
      </c>
      <c r="D4378" s="437">
        <f>VLOOKUP(A4378,'Thống kê'!$C$3:$M$682,4,0)</f>
        <v>0</v>
      </c>
      <c r="E4378" s="438">
        <v>1</v>
      </c>
      <c r="F4378" s="439">
        <f t="shared" si="17"/>
        <v>0</v>
      </c>
      <c r="G4378" s="440"/>
      <c r="H4378" s="447">
        <v>120540</v>
      </c>
    </row>
    <row r="4379" spans="1:8" ht="13.2">
      <c r="A4379" s="454" t="s">
        <v>1996</v>
      </c>
      <c r="B4379" s="452" t="str">
        <f>VLOOKUP(A4379,'Thống kê'!$C$3:$D$669,2,0)</f>
        <v>Kẹp tóc nâu</v>
      </c>
      <c r="C4379" s="436" t="str">
        <f>VLOOKUP(A4379,'Thống kê'!$C$3:$E$682,3,0)</f>
        <v>cái</v>
      </c>
      <c r="D4379" s="437">
        <f>VLOOKUP(A4379,'Thống kê'!$C$3:$M$682,4,0)</f>
        <v>14000</v>
      </c>
      <c r="E4379" s="438">
        <v>1</v>
      </c>
      <c r="F4379" s="439">
        <f t="shared" si="17"/>
        <v>14000</v>
      </c>
      <c r="G4379" s="440"/>
      <c r="H4379" s="450"/>
    </row>
    <row r="4380" spans="1:8" ht="13.2">
      <c r="A4380" s="454" t="s">
        <v>1382</v>
      </c>
      <c r="B4380" s="452" t="str">
        <f>VLOOKUP(A4380,'Thống kê'!$C$3:$D$669,2,0)</f>
        <v>miếng dán silicon điện thoại</v>
      </c>
      <c r="C4380" s="436" t="str">
        <f>VLOOKUP(A4380,'Thống kê'!$C$3:$E$682,3,0)</f>
        <v>cái</v>
      </c>
      <c r="D4380" s="437">
        <f>VLOOKUP(A4380,'Thống kê'!$C$3:$M$682,4,0)</f>
        <v>0</v>
      </c>
      <c r="E4380" s="438">
        <v>2</v>
      </c>
      <c r="F4380" s="439">
        <f t="shared" si="17"/>
        <v>0</v>
      </c>
      <c r="G4380" s="440"/>
      <c r="H4380" s="447">
        <v>43857</v>
      </c>
    </row>
    <row r="4381" spans="1:8" ht="13.2">
      <c r="A4381" s="454" t="s">
        <v>1688</v>
      </c>
      <c r="B4381" s="452">
        <f>VLOOKUP(A4381,'Thống kê'!$C$3:$D$669,2,0)</f>
        <v>0</v>
      </c>
      <c r="C4381" s="436" t="str">
        <f>VLOOKUP(A4381,'Thống kê'!$C$3:$E$682,3,0)</f>
        <v>cái</v>
      </c>
      <c r="D4381" s="437">
        <f>VLOOKUP(A4381,'Thống kê'!$C$3:$M$682,4,0)</f>
        <v>0</v>
      </c>
      <c r="E4381" s="438">
        <v>1</v>
      </c>
      <c r="F4381" s="439">
        <f t="shared" si="17"/>
        <v>0</v>
      </c>
      <c r="G4381" s="440"/>
      <c r="H4381" s="450"/>
    </row>
    <row r="4382" spans="1:8" ht="13.2">
      <c r="A4382" s="454" t="s">
        <v>1704</v>
      </c>
      <c r="B4382" s="452" t="str">
        <f>VLOOKUP(A4382,'Thống kê'!$C$3:$D$669,2,0)</f>
        <v>Dây treo điện thoại có charm xinh xắn</v>
      </c>
      <c r="C4382" s="436" t="str">
        <f>VLOOKUP(A4382,'Thống kê'!$C$3:$E$682,3,0)</f>
        <v>cái</v>
      </c>
      <c r="D4382" s="437">
        <f>VLOOKUP(A4382,'Thống kê'!$C$3:$M$682,4,0)</f>
        <v>27000</v>
      </c>
      <c r="E4382" s="438">
        <v>1</v>
      </c>
      <c r="F4382" s="439">
        <f t="shared" si="17"/>
        <v>27000</v>
      </c>
      <c r="G4382" s="440"/>
      <c r="H4382" s="450"/>
    </row>
    <row r="4383" spans="1:8" ht="13.2">
      <c r="A4383" s="454" t="s">
        <v>2042</v>
      </c>
      <c r="B4383" s="452" t="str">
        <f>VLOOKUP(A4383,'Thống kê'!$C$3:$D$669,2,0)</f>
        <v>Vớ cổ cao trắng cỏ ba lá xanh</v>
      </c>
      <c r="C4383" s="436" t="str">
        <f>VLOOKUP(A4383,'Thống kê'!$C$3:$E$682,3,0)</f>
        <v>đôi</v>
      </c>
      <c r="D4383" s="437">
        <f>VLOOKUP(A4383,'Thống kê'!$C$3:$M$682,4,0)</f>
        <v>19800</v>
      </c>
      <c r="E4383" s="438">
        <v>1</v>
      </c>
      <c r="F4383" s="439">
        <f t="shared" si="17"/>
        <v>19800</v>
      </c>
      <c r="G4383" s="440"/>
      <c r="H4383" s="447">
        <v>51959</v>
      </c>
    </row>
    <row r="4384" spans="1:8" ht="13.2">
      <c r="A4384" s="454" t="s">
        <v>1690</v>
      </c>
      <c r="B4384" s="452">
        <f>VLOOKUP(A4384,'Thống kê'!$C$3:$D$669,2,0)</f>
        <v>0</v>
      </c>
      <c r="C4384" s="436" t="str">
        <f>VLOOKUP(A4384,'Thống kê'!$C$3:$E$682,3,0)</f>
        <v>cái</v>
      </c>
      <c r="D4384" s="437">
        <f>VLOOKUP(A4384,'Thống kê'!$C$3:$M$682,4,0)</f>
        <v>0</v>
      </c>
      <c r="E4384" s="438">
        <v>1</v>
      </c>
      <c r="F4384" s="439">
        <f t="shared" si="17"/>
        <v>0</v>
      </c>
      <c r="G4384" s="440"/>
      <c r="H4384" s="450"/>
    </row>
    <row r="4385" spans="1:8" ht="13.2">
      <c r="A4385" s="454" t="s">
        <v>1688</v>
      </c>
      <c r="B4385" s="452">
        <f>VLOOKUP(A4385,'Thống kê'!$C$3:$D$669,2,0)</f>
        <v>0</v>
      </c>
      <c r="C4385" s="436" t="str">
        <f>VLOOKUP(A4385,'Thống kê'!$C$3:$E$682,3,0)</f>
        <v>cái</v>
      </c>
      <c r="D4385" s="437">
        <f>VLOOKUP(A4385,'Thống kê'!$C$3:$M$682,4,0)</f>
        <v>0</v>
      </c>
      <c r="E4385" s="438">
        <v>1</v>
      </c>
      <c r="F4385" s="439">
        <f t="shared" si="17"/>
        <v>0</v>
      </c>
      <c r="G4385" s="440"/>
      <c r="H4385" s="450"/>
    </row>
    <row r="4386" spans="1:8" ht="13.2">
      <c r="A4386" s="454" t="s">
        <v>115</v>
      </c>
      <c r="B4386" s="452" t="str">
        <f>VLOOKUP(A4386,'Thống kê'!$C$3:$D$669,2,0)</f>
        <v>Heo ú</v>
      </c>
      <c r="C4386" s="436" t="str">
        <f>VLOOKUP(A4386,'Thống kê'!$C$3:$E$682,3,0)</f>
        <v>cái</v>
      </c>
      <c r="D4386" s="437">
        <f>VLOOKUP(A4386,'Thống kê'!$C$3:$M$682,4,0)</f>
        <v>59500</v>
      </c>
      <c r="E4386" s="438">
        <v>1</v>
      </c>
      <c r="F4386" s="439">
        <f t="shared" si="17"/>
        <v>59500</v>
      </c>
      <c r="G4386" s="440"/>
      <c r="H4386" s="448">
        <v>48308</v>
      </c>
    </row>
    <row r="4387" spans="1:8" ht="13.2">
      <c r="A4387" s="454" t="s">
        <v>143</v>
      </c>
      <c r="B4387" s="452" t="str">
        <f>VLOOKUP(A4387,'Thống kê'!$C$3:$D$669,2,0)</f>
        <v>Mèo ú</v>
      </c>
      <c r="C4387" s="436" t="str">
        <f>VLOOKUP(A4387,'Thống kê'!$C$3:$E$682,3,0)</f>
        <v>cái</v>
      </c>
      <c r="D4387" s="437">
        <f>VLOOKUP(A4387,'Thống kê'!$C$3:$M$682,4,0)</f>
        <v>59500</v>
      </c>
      <c r="E4387" s="438">
        <v>1</v>
      </c>
      <c r="F4387" s="439">
        <f t="shared" si="17"/>
        <v>59500</v>
      </c>
      <c r="G4387" s="440"/>
      <c r="H4387" s="448">
        <v>47598</v>
      </c>
    </row>
    <row r="4388" spans="1:8" ht="13.2">
      <c r="A4388" s="454" t="s">
        <v>1697</v>
      </c>
      <c r="B4388" s="452" t="str">
        <f>VLOOKUP(A4388,'Thống kê'!$C$3:$D$669,2,0)</f>
        <v>heo</v>
      </c>
      <c r="C4388" s="436" t="str">
        <f>VLOOKUP(A4388,'Thống kê'!$C$3:$E$682,3,0)</f>
        <v>cái</v>
      </c>
      <c r="D4388" s="437">
        <f>VLOOKUP(A4388,'Thống kê'!$C$3:$M$682,4,0)</f>
        <v>35000</v>
      </c>
      <c r="E4388" s="438">
        <v>1</v>
      </c>
      <c r="F4388" s="439">
        <f t="shared" si="17"/>
        <v>35000</v>
      </c>
      <c r="G4388" s="440"/>
      <c r="H4388" s="447">
        <v>48633</v>
      </c>
    </row>
    <row r="4389" spans="1:8" ht="13.2">
      <c r="A4389" s="454" t="s">
        <v>1696</v>
      </c>
      <c r="B4389" s="452" t="str">
        <f>VLOOKUP(A4389,'Thống kê'!$C$3:$D$669,2,0)</f>
        <v>gấu</v>
      </c>
      <c r="C4389" s="436" t="str">
        <f>VLOOKUP(A4389,'Thống kê'!$C$3:$E$682,3,0)</f>
        <v>cái</v>
      </c>
      <c r="D4389" s="437">
        <f>VLOOKUP(A4389,'Thống kê'!$C$3:$M$682,4,0)</f>
        <v>35000</v>
      </c>
      <c r="E4389" s="438">
        <v>1</v>
      </c>
      <c r="F4389" s="439">
        <f t="shared" si="17"/>
        <v>35000</v>
      </c>
      <c r="G4389" s="440"/>
      <c r="H4389" s="450"/>
    </row>
    <row r="4390" spans="1:8" ht="13.2">
      <c r="A4390" s="454" t="s">
        <v>1969</v>
      </c>
      <c r="B4390" s="452" t="str">
        <f>VLOOKUP(A4390,'Thống kê'!$C$3:$D$669,2,0)</f>
        <v>Kẹp tóc kem</v>
      </c>
      <c r="C4390" s="436" t="str">
        <f>VLOOKUP(A4390,'Thống kê'!$C$3:$E$682,3,0)</f>
        <v>cái</v>
      </c>
      <c r="D4390" s="437">
        <f>VLOOKUP(A4390,'Thống kê'!$C$3:$M$682,4,0)</f>
        <v>14000</v>
      </c>
      <c r="E4390" s="438">
        <v>1</v>
      </c>
      <c r="F4390" s="439">
        <f t="shared" ref="F4390:F4644" si="18">D4390*E4390</f>
        <v>14000</v>
      </c>
      <c r="G4390" s="440"/>
      <c r="H4390" s="450"/>
    </row>
    <row r="4391" spans="1:8" ht="13.2">
      <c r="A4391" s="454" t="s">
        <v>1384</v>
      </c>
      <c r="B4391" s="452" t="str">
        <f>VLOOKUP(A4391,'Thống kê'!$C$3:$D$669,2,0)</f>
        <v>Móc khoá Crybaby mini Popmart</v>
      </c>
      <c r="C4391" s="436" t="str">
        <f>VLOOKUP(A4391,'Thống kê'!$C$3:$E$682,3,0)</f>
        <v>cái</v>
      </c>
      <c r="D4391" s="437">
        <f>VLOOKUP(A4391,'Thống kê'!$C$3:$M$682,4,0)</f>
        <v>0</v>
      </c>
      <c r="E4391" s="438">
        <v>1</v>
      </c>
      <c r="F4391" s="439">
        <f t="shared" si="18"/>
        <v>0</v>
      </c>
      <c r="G4391" s="440"/>
      <c r="H4391" s="447">
        <v>112340</v>
      </c>
    </row>
    <row r="4392" spans="1:8" ht="13.2">
      <c r="A4392" s="454" t="s">
        <v>1965</v>
      </c>
      <c r="B4392" s="452" t="str">
        <f>VLOOKUP(A4392,'Thống kê'!$C$3:$D$669,2,0)</f>
        <v>Kẹp tóc nâu lạnh</v>
      </c>
      <c r="C4392" s="436" t="str">
        <f>VLOOKUP(A4392,'Thống kê'!$C$3:$E$682,3,0)</f>
        <v>cái</v>
      </c>
      <c r="D4392" s="437">
        <f>VLOOKUP(A4392,'Thống kê'!$C$3:$M$682,4,0)</f>
        <v>14000</v>
      </c>
      <c r="E4392" s="438">
        <v>1</v>
      </c>
      <c r="F4392" s="439">
        <f t="shared" si="18"/>
        <v>14000</v>
      </c>
      <c r="G4392" s="440"/>
      <c r="H4392" s="450"/>
    </row>
    <row r="4393" spans="1:8" ht="13.2">
      <c r="A4393" s="454" t="s">
        <v>1384</v>
      </c>
      <c r="B4393" s="452" t="str">
        <f>VLOOKUP(A4393,'Thống kê'!$C$3:$D$669,2,0)</f>
        <v>Móc khoá Crybaby mini Popmart</v>
      </c>
      <c r="C4393" s="436" t="str">
        <f>VLOOKUP(A4393,'Thống kê'!$C$3:$E$682,3,0)</f>
        <v>cái</v>
      </c>
      <c r="D4393" s="437">
        <f>VLOOKUP(A4393,'Thống kê'!$C$3:$M$682,4,0)</f>
        <v>0</v>
      </c>
      <c r="E4393" s="438">
        <v>1</v>
      </c>
      <c r="F4393" s="439">
        <f t="shared" si="18"/>
        <v>0</v>
      </c>
      <c r="G4393" s="440"/>
      <c r="H4393" s="447">
        <v>112340</v>
      </c>
    </row>
    <row r="4394" spans="1:8" ht="13.2">
      <c r="A4394" s="454" t="s">
        <v>1922</v>
      </c>
      <c r="B4394" s="452" t="str">
        <f>VLOOKUP(A4394,'Thống kê'!$C$3:$D$669,2,0)</f>
        <v>Kẹp tóc trắng sữa</v>
      </c>
      <c r="C4394" s="436" t="str">
        <f>VLOOKUP(A4394,'Thống kê'!$C$3:$E$682,3,0)</f>
        <v>cái</v>
      </c>
      <c r="D4394" s="437">
        <f>VLOOKUP(A4394,'Thống kê'!$C$3:$M$682,4,0)</f>
        <v>14000</v>
      </c>
      <c r="E4394" s="438">
        <v>1</v>
      </c>
      <c r="F4394" s="439">
        <f t="shared" si="18"/>
        <v>14000</v>
      </c>
      <c r="G4394" s="440"/>
      <c r="H4394" s="450"/>
    </row>
    <row r="4395" spans="1:8" ht="13.2">
      <c r="A4395" s="454" t="s">
        <v>1789</v>
      </c>
      <c r="B4395" s="452" t="str">
        <f>VLOOKUP(A4395,'Thống kê'!$C$3:$D$669,2,0)</f>
        <v>Ống 50 dây cột tóc đen</v>
      </c>
      <c r="C4395" s="436" t="str">
        <f>VLOOKUP(A4395,'Thống kê'!$C$3:$E$682,3,0)</f>
        <v>ống</v>
      </c>
      <c r="D4395" s="437">
        <f>VLOOKUP(A4395,'Thống kê'!$C$3:$M$682,4,0)</f>
        <v>20000</v>
      </c>
      <c r="E4395" s="438">
        <v>1</v>
      </c>
      <c r="F4395" s="439">
        <f t="shared" si="18"/>
        <v>20000</v>
      </c>
      <c r="G4395" s="440"/>
      <c r="H4395" s="447">
        <v>142516</v>
      </c>
    </row>
    <row r="4396" spans="1:8" ht="13.2">
      <c r="A4396" s="454" t="s">
        <v>1833</v>
      </c>
      <c r="B4396" s="452" t="str">
        <f>VLOOKUP(A4396,'Thống kê'!$C$3:$D$669,2,0)</f>
        <v>Ống 8 dây cột tóc đen xoắn</v>
      </c>
      <c r="C4396" s="436" t="str">
        <f>VLOOKUP(A4396,'Thống kê'!$C$3:$E$682,3,0)</f>
        <v>ống</v>
      </c>
      <c r="D4396" s="437">
        <f>VLOOKUP(A4396,'Thống kê'!$C$3:$M$682,4,0)</f>
        <v>28000</v>
      </c>
      <c r="E4396" s="438">
        <v>1</v>
      </c>
      <c r="F4396" s="439">
        <f t="shared" si="18"/>
        <v>28000</v>
      </c>
      <c r="G4396" s="440"/>
      <c r="H4396" s="450"/>
    </row>
    <row r="4397" spans="1:8" ht="13.2">
      <c r="A4397" s="454" t="s">
        <v>1384</v>
      </c>
      <c r="B4397" s="452" t="str">
        <f>VLOOKUP(A4397,'Thống kê'!$C$3:$D$669,2,0)</f>
        <v>Móc khoá Crybaby mini Popmart</v>
      </c>
      <c r="C4397" s="436" t="str">
        <f>VLOOKUP(A4397,'Thống kê'!$C$3:$E$682,3,0)</f>
        <v>cái</v>
      </c>
      <c r="D4397" s="437">
        <f>VLOOKUP(A4397,'Thống kê'!$C$3:$M$682,4,0)</f>
        <v>0</v>
      </c>
      <c r="E4397" s="438">
        <v>1</v>
      </c>
      <c r="F4397" s="439">
        <f t="shared" si="18"/>
        <v>0</v>
      </c>
      <c r="G4397" s="440"/>
      <c r="H4397" s="450"/>
    </row>
    <row r="4398" spans="1:8" ht="13.2">
      <c r="A4398" s="454" t="s">
        <v>1922</v>
      </c>
      <c r="B4398" s="452" t="str">
        <f>VLOOKUP(A4398,'Thống kê'!$C$3:$D$669,2,0)</f>
        <v>Kẹp tóc trắng sữa</v>
      </c>
      <c r="C4398" s="436" t="str">
        <f>VLOOKUP(A4398,'Thống kê'!$C$3:$E$682,3,0)</f>
        <v>cái</v>
      </c>
      <c r="D4398" s="437">
        <f>VLOOKUP(A4398,'Thống kê'!$C$3:$M$682,4,0)</f>
        <v>14000</v>
      </c>
      <c r="E4398" s="438">
        <v>1</v>
      </c>
      <c r="F4398" s="439">
        <f t="shared" si="18"/>
        <v>14000</v>
      </c>
      <c r="G4398" s="440"/>
      <c r="H4398" s="450"/>
    </row>
    <row r="4399" spans="1:8" ht="13.2">
      <c r="A4399" s="454" t="s">
        <v>1688</v>
      </c>
      <c r="B4399" s="452">
        <f>VLOOKUP(A4399,'Thống kê'!$C$3:$D$669,2,0)</f>
        <v>0</v>
      </c>
      <c r="C4399" s="436" t="str">
        <f>VLOOKUP(A4399,'Thống kê'!$C$3:$E$682,3,0)</f>
        <v>cái</v>
      </c>
      <c r="D4399" s="437">
        <f>VLOOKUP(A4399,'Thống kê'!$C$3:$M$682,4,0)</f>
        <v>0</v>
      </c>
      <c r="E4399" s="438">
        <v>1</v>
      </c>
      <c r="F4399" s="439">
        <f t="shared" si="18"/>
        <v>0</v>
      </c>
      <c r="G4399" s="440"/>
      <c r="H4399" s="448">
        <v>19917</v>
      </c>
    </row>
    <row r="4400" spans="1:8" ht="13.2">
      <c r="A4400" s="454" t="s">
        <v>2095</v>
      </c>
      <c r="B4400" s="452" t="str">
        <f>VLOOKUP(A4400,'Thống kê'!$C$3:$D$669,2,0)</f>
        <v>Kẹp tóc nhựa đen</v>
      </c>
      <c r="C4400" s="436" t="str">
        <f>VLOOKUP(A4400,'Thống kê'!$C$3:$E$682,3,0)</f>
        <v>cái</v>
      </c>
      <c r="D4400" s="437">
        <f>VLOOKUP(A4400,'Thống kê'!$C$3:$M$682,4,0)</f>
        <v>13000</v>
      </c>
      <c r="E4400" s="438">
        <v>1</v>
      </c>
      <c r="F4400" s="439">
        <f t="shared" si="18"/>
        <v>13000</v>
      </c>
      <c r="G4400" s="440"/>
      <c r="H4400" s="447">
        <v>49566</v>
      </c>
    </row>
    <row r="4401" spans="1:8" ht="13.2">
      <c r="A4401" s="454" t="s">
        <v>1716</v>
      </c>
      <c r="B4401" s="452" t="str">
        <f>VLOOKUP(A4401,'Thống kê'!$C$3:$D$669,2,0)</f>
        <v>Móc khóa đôi 2 quả lê có nam châm</v>
      </c>
      <c r="C4401" s="436" t="str">
        <f>VLOOKUP(A4401,'Thống kê'!$C$3:$E$682,3,0)</f>
        <v>cái</v>
      </c>
      <c r="D4401" s="437">
        <f>VLOOKUP(A4401,'Thống kê'!$C$3:$M$682,4,0)</f>
        <v>59000</v>
      </c>
      <c r="E4401" s="438">
        <v>1</v>
      </c>
      <c r="F4401" s="439">
        <f t="shared" si="18"/>
        <v>59000</v>
      </c>
      <c r="G4401" s="440"/>
      <c r="H4401" s="450"/>
    </row>
    <row r="4402" spans="1:8" ht="13.2">
      <c r="A4402" s="454" t="s">
        <v>115</v>
      </c>
      <c r="B4402" s="452" t="str">
        <f>VLOOKUP(A4402,'Thống kê'!$C$3:$D$669,2,0)</f>
        <v>Heo ú</v>
      </c>
      <c r="C4402" s="436" t="str">
        <f>VLOOKUP(A4402,'Thống kê'!$C$3:$E$682,3,0)</f>
        <v>cái</v>
      </c>
      <c r="D4402" s="437">
        <f>VLOOKUP(A4402,'Thống kê'!$C$3:$M$682,4,0)</f>
        <v>59500</v>
      </c>
      <c r="E4402" s="438">
        <v>1</v>
      </c>
      <c r="F4402" s="439">
        <f t="shared" si="18"/>
        <v>59500</v>
      </c>
      <c r="G4402" s="440"/>
      <c r="H4402" s="447">
        <v>180681</v>
      </c>
    </row>
    <row r="4403" spans="1:8" ht="13.2">
      <c r="A4403" s="454" t="s">
        <v>1589</v>
      </c>
      <c r="B4403" s="452" t="str">
        <f>VLOOKUP(A4403,'Thống kê'!$C$3:$D$669,2,0)</f>
        <v>Heo ú bay</v>
      </c>
      <c r="C4403" s="436" t="str">
        <f>VLOOKUP(A4403,'Thống kê'!$C$3:$E$682,3,0)</f>
        <v>cái</v>
      </c>
      <c r="D4403" s="437">
        <f>VLOOKUP(A4403,'Thống kê'!$C$3:$M$682,4,0)</f>
        <v>64500</v>
      </c>
      <c r="E4403" s="438">
        <v>1</v>
      </c>
      <c r="F4403" s="439">
        <f t="shared" si="18"/>
        <v>64500</v>
      </c>
      <c r="G4403" s="440"/>
      <c r="H4403" s="450"/>
    </row>
    <row r="4404" spans="1:8" ht="13.2">
      <c r="A4404" s="454" t="s">
        <v>1351</v>
      </c>
      <c r="B4404" s="452" t="str">
        <f>VLOOKUP(A4404,'Thống kê'!$C$3:$D$669,2,0)</f>
        <v>Trang trí mô hình Heo</v>
      </c>
      <c r="C4404" s="436" t="str">
        <f>VLOOKUP(A4404,'Thống kê'!$C$3:$E$682,3,0)</f>
        <v>cái</v>
      </c>
      <c r="D4404" s="437">
        <f>VLOOKUP(A4404,'Thống kê'!$C$3:$M$682,4,0)</f>
        <v>39000</v>
      </c>
      <c r="E4404" s="438">
        <v>1</v>
      </c>
      <c r="F4404" s="439">
        <f t="shared" si="18"/>
        <v>39000</v>
      </c>
      <c r="G4404" s="440"/>
      <c r="H4404" s="450"/>
    </row>
    <row r="4405" spans="1:8" ht="13.2">
      <c r="A4405" s="454" t="s">
        <v>310</v>
      </c>
      <c r="B4405" s="452" t="str">
        <f>VLOOKUP(A4405,'Thống kê'!$C$3:$D$669,2,0)</f>
        <v>Trang trí mô hình Heo</v>
      </c>
      <c r="C4405" s="436" t="str">
        <f>VLOOKUP(A4405,'Thống kê'!$C$3:$E$682,3,0)</f>
        <v>cái</v>
      </c>
      <c r="D4405" s="437">
        <f>VLOOKUP(A4405,'Thống kê'!$C$3:$M$682,4,0)</f>
        <v>39000</v>
      </c>
      <c r="E4405" s="438">
        <v>1</v>
      </c>
      <c r="F4405" s="439">
        <f t="shared" si="18"/>
        <v>39000</v>
      </c>
      <c r="G4405" s="440"/>
      <c r="H4405" s="450"/>
    </row>
    <row r="4406" spans="1:8" ht="13.2">
      <c r="A4406" s="454" t="s">
        <v>1995</v>
      </c>
      <c r="B4406" s="452" t="str">
        <f>VLOOKUP(A4406,'Thống kê'!$C$3:$D$669,2,0)</f>
        <v>Kẹp tóc be</v>
      </c>
      <c r="C4406" s="436" t="str">
        <f>VLOOKUP(A4406,'Thống kê'!$C$3:$E$682,3,0)</f>
        <v>cái</v>
      </c>
      <c r="D4406" s="437">
        <f>VLOOKUP(A4406,'Thống kê'!$C$3:$M$682,4,0)</f>
        <v>14000</v>
      </c>
      <c r="E4406" s="438">
        <v>1</v>
      </c>
      <c r="F4406" s="439">
        <f t="shared" si="18"/>
        <v>14000</v>
      </c>
      <c r="G4406" s="440"/>
      <c r="H4406" s="450"/>
    </row>
    <row r="4407" spans="1:8" ht="13.2">
      <c r="A4407" s="454" t="s">
        <v>115</v>
      </c>
      <c r="B4407" s="452" t="str">
        <f>VLOOKUP(A4407,'Thống kê'!$C$3:$D$669,2,0)</f>
        <v>Heo ú</v>
      </c>
      <c r="C4407" s="436" t="str">
        <f>VLOOKUP(A4407,'Thống kê'!$C$3:$E$682,3,0)</f>
        <v>cái</v>
      </c>
      <c r="D4407" s="437">
        <f>VLOOKUP(A4407,'Thống kê'!$C$3:$M$682,4,0)</f>
        <v>59500</v>
      </c>
      <c r="E4407" s="438">
        <v>1</v>
      </c>
      <c r="F4407" s="439">
        <f t="shared" si="18"/>
        <v>59500</v>
      </c>
      <c r="G4407" s="440"/>
      <c r="H4407" s="448">
        <v>48508</v>
      </c>
    </row>
    <row r="4408" spans="1:8" ht="13.2">
      <c r="A4408" s="454" t="s">
        <v>1645</v>
      </c>
      <c r="B4408" s="452" t="str">
        <f>VLOOKUP(A4408,'Thống kê'!$C$3:$D$669,2,0)</f>
        <v>Túi chườm bụng trái bơ 500ml</v>
      </c>
      <c r="C4408" s="436" t="str">
        <f>VLOOKUP(A4408,'Thống kê'!$C$3:$E$682,3,0)</f>
        <v>túi</v>
      </c>
      <c r="D4408" s="437">
        <f>VLOOKUP(A4408,'Thống kê'!$C$3:$M$682,4,0)</f>
        <v>78200</v>
      </c>
      <c r="E4408" s="438">
        <v>1</v>
      </c>
      <c r="F4408" s="439">
        <f t="shared" si="18"/>
        <v>78200</v>
      </c>
      <c r="G4408" s="440"/>
      <c r="H4408" s="448">
        <v>65304</v>
      </c>
    </row>
    <row r="4409" spans="1:8" ht="13.2">
      <c r="A4409" s="454" t="s">
        <v>115</v>
      </c>
      <c r="B4409" s="452" t="str">
        <f>VLOOKUP(A4409,'Thống kê'!$C$3:$D$669,2,0)</f>
        <v>Heo ú</v>
      </c>
      <c r="C4409" s="436" t="str">
        <f>VLOOKUP(A4409,'Thống kê'!$C$3:$E$682,3,0)</f>
        <v>cái</v>
      </c>
      <c r="D4409" s="437">
        <f>VLOOKUP(A4409,'Thống kê'!$C$3:$M$682,4,0)</f>
        <v>59500</v>
      </c>
      <c r="E4409" s="438">
        <v>1</v>
      </c>
      <c r="F4409" s="439">
        <f t="shared" si="18"/>
        <v>59500</v>
      </c>
      <c r="G4409" s="440"/>
      <c r="H4409" s="448">
        <v>48708</v>
      </c>
    </row>
    <row r="4410" spans="1:8" ht="13.2">
      <c r="A4410" s="454" t="s">
        <v>1589</v>
      </c>
      <c r="B4410" s="452" t="str">
        <f>VLOOKUP(A4410,'Thống kê'!$C$3:$D$669,2,0)</f>
        <v>Heo ú bay</v>
      </c>
      <c r="C4410" s="436" t="str">
        <f>VLOOKUP(A4410,'Thống kê'!$C$3:$E$682,3,0)</f>
        <v>cái</v>
      </c>
      <c r="D4410" s="437">
        <f>VLOOKUP(A4410,'Thống kê'!$C$3:$M$682,4,0)</f>
        <v>64500</v>
      </c>
      <c r="E4410" s="438">
        <v>2</v>
      </c>
      <c r="F4410" s="439">
        <f t="shared" si="18"/>
        <v>129000</v>
      </c>
      <c r="G4410" s="440"/>
      <c r="H4410" s="448">
        <v>121688</v>
      </c>
    </row>
    <row r="4411" spans="1:8" ht="13.2">
      <c r="A4411" s="454" t="s">
        <v>115</v>
      </c>
      <c r="B4411" s="452" t="str">
        <f>VLOOKUP(A4411,'Thống kê'!$C$3:$D$669,2,0)</f>
        <v>Heo ú</v>
      </c>
      <c r="C4411" s="436" t="str">
        <f>VLOOKUP(A4411,'Thống kê'!$C$3:$E$682,3,0)</f>
        <v>cái</v>
      </c>
      <c r="D4411" s="437">
        <f>VLOOKUP(A4411,'Thống kê'!$C$3:$M$682,4,0)</f>
        <v>59500</v>
      </c>
      <c r="E4411" s="438">
        <v>1</v>
      </c>
      <c r="F4411" s="439">
        <f t="shared" si="18"/>
        <v>59500</v>
      </c>
      <c r="G4411" s="440"/>
      <c r="H4411" s="448">
        <v>48708</v>
      </c>
    </row>
    <row r="4412" spans="1:8" ht="13.2">
      <c r="A4412" s="454" t="s">
        <v>1364</v>
      </c>
      <c r="B4412" s="452" t="str">
        <f>VLOOKUP(A4412,'Thống kê'!$C$3:$D$669,2,0)</f>
        <v>Móc khóa Popbean</v>
      </c>
      <c r="C4412" s="436" t="str">
        <f>VLOOKUP(A4412,'Thống kê'!$C$3:$E$682,3,0)</f>
        <v>cái</v>
      </c>
      <c r="D4412" s="437">
        <f>VLOOKUP(A4412,'Thống kê'!$C$3:$M$682,4,0)</f>
        <v>148000</v>
      </c>
      <c r="E4412" s="438">
        <v>1</v>
      </c>
      <c r="F4412" s="439">
        <f t="shared" si="18"/>
        <v>148000</v>
      </c>
      <c r="G4412" s="440"/>
      <c r="H4412" s="448">
        <v>136940</v>
      </c>
    </row>
    <row r="4413" spans="1:8" ht="13.2">
      <c r="A4413" s="454" t="s">
        <v>1364</v>
      </c>
      <c r="B4413" s="452" t="str">
        <f>VLOOKUP(A4413,'Thống kê'!$C$3:$D$669,2,0)</f>
        <v>Móc khóa Popbean</v>
      </c>
      <c r="C4413" s="436" t="str">
        <f>VLOOKUP(A4413,'Thống kê'!$C$3:$E$682,3,0)</f>
        <v>cái</v>
      </c>
      <c r="D4413" s="437">
        <f>VLOOKUP(A4413,'Thống kê'!$C$3:$M$682,4,0)</f>
        <v>148000</v>
      </c>
      <c r="E4413" s="438">
        <v>1</v>
      </c>
      <c r="F4413" s="439">
        <f t="shared" si="18"/>
        <v>148000</v>
      </c>
      <c r="G4413" s="440"/>
      <c r="H4413" s="448">
        <v>136940</v>
      </c>
    </row>
    <row r="4414" spans="1:8" ht="13.2">
      <c r="A4414" s="454" t="s">
        <v>119</v>
      </c>
      <c r="B4414" s="452" t="str">
        <f>VLOOKUP(A4414,'Thống kê'!$C$3:$D$669,2,0)</f>
        <v>Thỏ chạy xe gắn xe</v>
      </c>
      <c r="C4414" s="436" t="str">
        <f>VLOOKUP(A4414,'Thống kê'!$C$3:$E$682,3,0)</f>
        <v>cái</v>
      </c>
      <c r="D4414" s="437">
        <f>VLOOKUP(A4414,'Thống kê'!$C$3:$M$682,4,0)</f>
        <v>45000</v>
      </c>
      <c r="E4414" s="438">
        <v>1</v>
      </c>
      <c r="F4414" s="439">
        <f t="shared" si="18"/>
        <v>45000</v>
      </c>
      <c r="G4414" s="440"/>
      <c r="H4414" s="447">
        <v>33048</v>
      </c>
    </row>
    <row r="4415" spans="1:8" ht="13.2">
      <c r="A4415" s="454" t="s">
        <v>2070</v>
      </c>
      <c r="B4415" s="452" t="str">
        <f>VLOOKUP(A4415,'Thống kê'!$C$3:$D$669,2,0)</f>
        <v>Kẹp tóc nhựa kem</v>
      </c>
      <c r="C4415" s="436" t="str">
        <f>VLOOKUP(A4415,'Thống kê'!$C$3:$E$682,3,0)</f>
        <v>cái</v>
      </c>
      <c r="D4415" s="437">
        <f>VLOOKUP(A4415,'Thống kê'!$C$3:$M$682,4,0)</f>
        <v>13000</v>
      </c>
      <c r="E4415" s="438">
        <v>1</v>
      </c>
      <c r="F4415" s="439">
        <f t="shared" si="18"/>
        <v>13000</v>
      </c>
      <c r="G4415" s="440"/>
      <c r="H4415" s="450"/>
    </row>
    <row r="4416" spans="1:8" ht="13.2">
      <c r="A4416" s="454" t="s">
        <v>1341</v>
      </c>
      <c r="B4416" s="452" t="str">
        <f>VLOOKUP(A4416,'Thống kê'!$C$3:$D$669,2,0)</f>
        <v>Móc khóa chuối</v>
      </c>
      <c r="C4416" s="436" t="str">
        <f>VLOOKUP(A4416,'Thống kê'!$C$3:$E$682,3,0)</f>
        <v>cái</v>
      </c>
      <c r="D4416" s="437">
        <f>VLOOKUP(A4416,'Thống kê'!$C$3:$M$682,4,0)</f>
        <v>148000</v>
      </c>
      <c r="E4416" s="438">
        <v>1</v>
      </c>
      <c r="F4416" s="439">
        <f t="shared" si="18"/>
        <v>148000</v>
      </c>
      <c r="G4416" s="440"/>
      <c r="H4416" s="448">
        <v>81550</v>
      </c>
    </row>
    <row r="4417" spans="1:8" ht="13.2">
      <c r="A4417" s="454" t="s">
        <v>1691</v>
      </c>
      <c r="B4417" s="452">
        <f>VLOOKUP(A4417,'Thống kê'!$C$3:$D$669,2,0)</f>
        <v>0</v>
      </c>
      <c r="C4417" s="436" t="str">
        <f>VLOOKUP(A4417,'Thống kê'!$C$3:$E$682,3,0)</f>
        <v>cái</v>
      </c>
      <c r="D4417" s="437">
        <f>VLOOKUP(A4417,'Thống kê'!$C$3:$M$682,4,0)</f>
        <v>0</v>
      </c>
      <c r="E4417" s="438">
        <v>1</v>
      </c>
      <c r="F4417" s="439">
        <f t="shared" si="18"/>
        <v>0</v>
      </c>
      <c r="G4417" s="440"/>
      <c r="H4417" s="447">
        <v>38877</v>
      </c>
    </row>
    <row r="4418" spans="1:8" ht="13.2">
      <c r="A4418" s="454" t="s">
        <v>1705</v>
      </c>
      <c r="B4418" s="452" t="str">
        <f>VLOOKUP(A4418,'Thống kê'!$C$3:$D$669,2,0)</f>
        <v>Dây treo điện thoại có charm xinh xắn</v>
      </c>
      <c r="C4418" s="436" t="str">
        <f>VLOOKUP(A4418,'Thống kê'!$C$3:$E$682,3,0)</f>
        <v>cái</v>
      </c>
      <c r="D4418" s="437">
        <f>VLOOKUP(A4418,'Thống kê'!$C$3:$M$682,4,0)</f>
        <v>27000</v>
      </c>
      <c r="E4418" s="438">
        <v>1</v>
      </c>
      <c r="F4418" s="439">
        <f t="shared" si="18"/>
        <v>27000</v>
      </c>
      <c r="G4418" s="440"/>
      <c r="H4418" s="450"/>
    </row>
    <row r="4419" spans="1:8" ht="13.2">
      <c r="A4419" s="454" t="s">
        <v>1364</v>
      </c>
      <c r="B4419" s="452" t="str">
        <f>VLOOKUP(A4419,'Thống kê'!$C$3:$D$669,2,0)</f>
        <v>Móc khóa Popbean</v>
      </c>
      <c r="C4419" s="436" t="str">
        <f>VLOOKUP(A4419,'Thống kê'!$C$3:$E$682,3,0)</f>
        <v>cái</v>
      </c>
      <c r="D4419" s="437">
        <f>VLOOKUP(A4419,'Thống kê'!$C$3:$M$682,4,0)</f>
        <v>148000</v>
      </c>
      <c r="E4419" s="438">
        <v>1</v>
      </c>
      <c r="F4419" s="439">
        <f t="shared" si="18"/>
        <v>148000</v>
      </c>
      <c r="G4419" s="440"/>
      <c r="H4419" s="448">
        <v>143500</v>
      </c>
    </row>
    <row r="4420" spans="1:8" ht="13.2">
      <c r="A4420" s="454" t="s">
        <v>1690</v>
      </c>
      <c r="B4420" s="452">
        <f>VLOOKUP(A4420,'Thống kê'!$C$3:$D$669,2,0)</f>
        <v>0</v>
      </c>
      <c r="C4420" s="436" t="str">
        <f>VLOOKUP(A4420,'Thống kê'!$C$3:$E$682,3,0)</f>
        <v>cái</v>
      </c>
      <c r="D4420" s="437">
        <f>VLOOKUP(A4420,'Thống kê'!$C$3:$M$682,4,0)</f>
        <v>0</v>
      </c>
      <c r="E4420" s="438">
        <v>1</v>
      </c>
      <c r="F4420" s="439">
        <f t="shared" si="18"/>
        <v>0</v>
      </c>
      <c r="G4420" s="440"/>
      <c r="H4420" s="447">
        <v>37977</v>
      </c>
    </row>
    <row r="4421" spans="1:8" ht="13.2">
      <c r="A4421" s="454" t="s">
        <v>1705</v>
      </c>
      <c r="B4421" s="452" t="str">
        <f>VLOOKUP(A4421,'Thống kê'!$C$3:$D$669,2,0)</f>
        <v>Dây treo điện thoại có charm xinh xắn</v>
      </c>
      <c r="C4421" s="436" t="str">
        <f>VLOOKUP(A4421,'Thống kê'!$C$3:$E$682,3,0)</f>
        <v>cái</v>
      </c>
      <c r="D4421" s="437">
        <f>VLOOKUP(A4421,'Thống kê'!$C$3:$M$682,4,0)</f>
        <v>27000</v>
      </c>
      <c r="E4421" s="438">
        <v>1</v>
      </c>
      <c r="F4421" s="439">
        <f t="shared" si="18"/>
        <v>27000</v>
      </c>
      <c r="G4421" s="440"/>
      <c r="H4421" s="450"/>
    </row>
    <row r="4422" spans="1:8" ht="13.2">
      <c r="A4422" s="454" t="s">
        <v>1396</v>
      </c>
      <c r="B4422" s="452" t="str">
        <f>VLOOKUP(A4422,'Thống kê'!$C$3:$D$669,2,0)</f>
        <v>Móc khoá Labubu mini Popmart</v>
      </c>
      <c r="C4422" s="436" t="str">
        <f>VLOOKUP(A4422,'Thống kê'!$C$3:$E$682,3,0)</f>
        <v>cái</v>
      </c>
      <c r="D4422" s="437">
        <f>VLOOKUP(A4422,'Thống kê'!$C$3:$M$682,4,0)</f>
        <v>0</v>
      </c>
      <c r="E4422" s="438">
        <v>1</v>
      </c>
      <c r="F4422" s="439">
        <f t="shared" si="18"/>
        <v>0</v>
      </c>
      <c r="G4422" s="440"/>
      <c r="H4422" s="448">
        <v>92496</v>
      </c>
    </row>
    <row r="4423" spans="1:8" ht="13.2">
      <c r="A4423" s="454" t="s">
        <v>1382</v>
      </c>
      <c r="B4423" s="452" t="str">
        <f>VLOOKUP(A4423,'Thống kê'!$C$3:$D$669,2,0)</f>
        <v>miếng dán silicon điện thoại</v>
      </c>
      <c r="C4423" s="436" t="str">
        <f>VLOOKUP(A4423,'Thống kê'!$C$3:$E$682,3,0)</f>
        <v>cái</v>
      </c>
      <c r="D4423" s="437">
        <f>VLOOKUP(A4423,'Thống kê'!$C$3:$M$682,4,0)</f>
        <v>0</v>
      </c>
      <c r="E4423" s="438">
        <v>1</v>
      </c>
      <c r="F4423" s="439">
        <f t="shared" si="18"/>
        <v>0</v>
      </c>
      <c r="G4423" s="440"/>
      <c r="H4423" s="447">
        <v>23032</v>
      </c>
    </row>
    <row r="4424" spans="1:8" ht="13.2">
      <c r="A4424" s="454" t="s">
        <v>1688</v>
      </c>
      <c r="B4424" s="452">
        <f>VLOOKUP(A4424,'Thống kê'!$C$3:$D$669,2,0)</f>
        <v>0</v>
      </c>
      <c r="C4424" s="436" t="str">
        <f>VLOOKUP(A4424,'Thống kê'!$C$3:$E$682,3,0)</f>
        <v>cái</v>
      </c>
      <c r="D4424" s="437">
        <f>VLOOKUP(A4424,'Thống kê'!$C$3:$M$682,4,0)</f>
        <v>0</v>
      </c>
      <c r="E4424" s="438">
        <v>1</v>
      </c>
      <c r="F4424" s="439">
        <f t="shared" si="18"/>
        <v>0</v>
      </c>
      <c r="G4424" s="440"/>
      <c r="H4424" s="450"/>
    </row>
    <row r="4425" spans="1:8" ht="13.2">
      <c r="A4425" s="454" t="s">
        <v>1424</v>
      </c>
      <c r="B4425" s="452" t="str">
        <f>VLOOKUP(A4425,'Thống kê'!$C$3:$D$669,2,0)</f>
        <v>Móc khoá Crybaby mini Popmart</v>
      </c>
      <c r="C4425" s="436" t="str">
        <f>VLOOKUP(A4425,'Thống kê'!$C$3:$E$682,3,0)</f>
        <v>cái</v>
      </c>
      <c r="D4425" s="437">
        <f>VLOOKUP(A4425,'Thống kê'!$C$3:$M$682,4,0)</f>
        <v>145000</v>
      </c>
      <c r="E4425" s="438">
        <v>1</v>
      </c>
      <c r="F4425" s="439">
        <f t="shared" si="18"/>
        <v>145000</v>
      </c>
      <c r="G4425" s="440"/>
      <c r="H4425" s="447">
        <v>112340</v>
      </c>
    </row>
    <row r="4426" spans="1:8" ht="13.2">
      <c r="A4426" s="454" t="s">
        <v>1922</v>
      </c>
      <c r="B4426" s="452" t="str">
        <f>VLOOKUP(A4426,'Thống kê'!$C$3:$D$669,2,0)</f>
        <v>Kẹp tóc trắng sữa</v>
      </c>
      <c r="C4426" s="436" t="str">
        <f>VLOOKUP(A4426,'Thống kê'!$C$3:$E$682,3,0)</f>
        <v>cái</v>
      </c>
      <c r="D4426" s="437">
        <f>VLOOKUP(A4426,'Thống kê'!$C$3:$M$682,4,0)</f>
        <v>14000</v>
      </c>
      <c r="E4426" s="438">
        <v>1</v>
      </c>
      <c r="F4426" s="439">
        <f t="shared" si="18"/>
        <v>14000</v>
      </c>
      <c r="G4426" s="440"/>
      <c r="H4426" s="450"/>
    </row>
    <row r="4427" spans="1:8" ht="13.2">
      <c r="A4427" s="454" t="s">
        <v>256</v>
      </c>
      <c r="B4427" s="452">
        <f>VLOOKUP(A4427,'Thống kê'!$C$3:$D$669,2,0)</f>
        <v>0</v>
      </c>
      <c r="C4427" s="436">
        <f>VLOOKUP(A4427,'Thống kê'!$C$3:$E$682,3,0)</f>
        <v>0</v>
      </c>
      <c r="D4427" s="437">
        <f>VLOOKUP(A4427,'Thống kê'!$C$3:$M$682,4,0)</f>
        <v>0</v>
      </c>
      <c r="E4427" s="438">
        <v>1</v>
      </c>
      <c r="F4427" s="439">
        <f t="shared" si="18"/>
        <v>0</v>
      </c>
      <c r="G4427" s="440"/>
      <c r="H4427" s="447">
        <v>253478</v>
      </c>
    </row>
    <row r="4428" spans="1:8" ht="13.2">
      <c r="A4428" s="454" t="s">
        <v>1687</v>
      </c>
      <c r="B4428" s="452">
        <f>VLOOKUP(A4428,'Thống kê'!$C$3:$D$669,2,0)</f>
        <v>0</v>
      </c>
      <c r="C4428" s="436">
        <f>VLOOKUP(A4428,'Thống kê'!$C$3:$E$682,3,0)</f>
        <v>0</v>
      </c>
      <c r="D4428" s="437">
        <f>VLOOKUP(A4428,'Thống kê'!$C$3:$M$682,4,0)</f>
        <v>0</v>
      </c>
      <c r="E4428" s="438">
        <v>1</v>
      </c>
      <c r="F4428" s="439">
        <f t="shared" si="18"/>
        <v>0</v>
      </c>
      <c r="G4428" s="440"/>
      <c r="H4428" s="450"/>
    </row>
    <row r="4429" spans="1:8" ht="13.2">
      <c r="A4429" s="454" t="s">
        <v>183</v>
      </c>
      <c r="B4429" s="452" t="str">
        <f>VLOOKUP(A4429,'Thống kê'!$C$3:$D$669,2,0)</f>
        <v>Thỏ máy bay gắn xe</v>
      </c>
      <c r="C4429" s="436" t="str">
        <f>VLOOKUP(A4429,'Thống kê'!$C$3:$E$682,3,0)</f>
        <v>cái</v>
      </c>
      <c r="D4429" s="437">
        <f>VLOOKUP(A4429,'Thống kê'!$C$3:$M$682,4,0)</f>
        <v>45000</v>
      </c>
      <c r="E4429" s="438">
        <v>1</v>
      </c>
      <c r="F4429" s="439">
        <f t="shared" si="18"/>
        <v>45000</v>
      </c>
      <c r="G4429" s="440"/>
      <c r="H4429" s="447">
        <v>95734</v>
      </c>
    </row>
    <row r="4430" spans="1:8" ht="13.2">
      <c r="A4430" s="454" t="s">
        <v>145</v>
      </c>
      <c r="B4430" s="452" t="str">
        <f>VLOOKUP(A4430,'Thống kê'!$C$3:$D$669,2,0)</f>
        <v>Thỏ đi vịt gắn xe</v>
      </c>
      <c r="C4430" s="436" t="str">
        <f>VLOOKUP(A4430,'Thống kê'!$C$3:$E$682,3,0)</f>
        <v>cái</v>
      </c>
      <c r="D4430" s="437">
        <f>VLOOKUP(A4430,'Thống kê'!$C$3:$M$682,4,0)</f>
        <v>45000</v>
      </c>
      <c r="E4430" s="438">
        <v>1</v>
      </c>
      <c r="F4430" s="439">
        <f t="shared" si="18"/>
        <v>45000</v>
      </c>
      <c r="G4430" s="440"/>
      <c r="H4430" s="450"/>
    </row>
    <row r="4431" spans="1:8" ht="13.2">
      <c r="A4431" s="454" t="s">
        <v>119</v>
      </c>
      <c r="B4431" s="452" t="str">
        <f>VLOOKUP(A4431,'Thống kê'!$C$3:$D$669,2,0)</f>
        <v>Thỏ chạy xe gắn xe</v>
      </c>
      <c r="C4431" s="436" t="str">
        <f>VLOOKUP(A4431,'Thống kê'!$C$3:$E$682,3,0)</f>
        <v>cái</v>
      </c>
      <c r="D4431" s="437">
        <f>VLOOKUP(A4431,'Thống kê'!$C$3:$M$682,4,0)</f>
        <v>45000</v>
      </c>
      <c r="E4431" s="438">
        <v>1</v>
      </c>
      <c r="F4431" s="439">
        <f t="shared" si="18"/>
        <v>45000</v>
      </c>
      <c r="G4431" s="440"/>
      <c r="H4431" s="450"/>
    </row>
    <row r="4432" spans="1:8" ht="13.2">
      <c r="A4432" s="454" t="s">
        <v>119</v>
      </c>
      <c r="B4432" s="452" t="str">
        <f>VLOOKUP(A4432,'Thống kê'!$C$3:$D$669,2,0)</f>
        <v>Thỏ chạy xe gắn xe</v>
      </c>
      <c r="C4432" s="436" t="str">
        <f>VLOOKUP(A4432,'Thống kê'!$C$3:$E$682,3,0)</f>
        <v>cái</v>
      </c>
      <c r="D4432" s="437">
        <f>VLOOKUP(A4432,'Thống kê'!$C$3:$M$682,4,0)</f>
        <v>45000</v>
      </c>
      <c r="E4432" s="438">
        <v>1</v>
      </c>
      <c r="F4432" s="439">
        <f t="shared" si="18"/>
        <v>45000</v>
      </c>
      <c r="G4432" s="440"/>
      <c r="H4432" s="447">
        <v>86078</v>
      </c>
    </row>
    <row r="4433" spans="1:8" ht="13.2">
      <c r="A4433" s="454" t="s">
        <v>2070</v>
      </c>
      <c r="B4433" s="452" t="str">
        <f>VLOOKUP(A4433,'Thống kê'!$C$3:$D$669,2,0)</f>
        <v>Kẹp tóc nhựa kem</v>
      </c>
      <c r="C4433" s="436" t="str">
        <f>VLOOKUP(A4433,'Thống kê'!$C$3:$E$682,3,0)</f>
        <v>cái</v>
      </c>
      <c r="D4433" s="437">
        <f>VLOOKUP(A4433,'Thống kê'!$C$3:$M$682,4,0)</f>
        <v>13000</v>
      </c>
      <c r="E4433" s="438">
        <v>1</v>
      </c>
      <c r="F4433" s="439">
        <f t="shared" si="18"/>
        <v>13000</v>
      </c>
      <c r="G4433" s="440"/>
      <c r="H4433" s="450"/>
    </row>
    <row r="4434" spans="1:8" ht="13.2">
      <c r="A4434" s="454" t="s">
        <v>2096</v>
      </c>
      <c r="B4434" s="452" t="str">
        <f>VLOOKUP(A4434,'Thống kê'!$C$3:$D$669,2,0)</f>
        <v>Ống 8 dây cột tóc đen nâu be</v>
      </c>
      <c r="C4434" s="436" t="str">
        <f>VLOOKUP(A4434,'Thống kê'!$C$3:$E$682,3,0)</f>
        <v>ống</v>
      </c>
      <c r="D4434" s="437">
        <f>VLOOKUP(A4434,'Thống kê'!$C$3:$M$682,4,0)</f>
        <v>28000</v>
      </c>
      <c r="E4434" s="438">
        <v>1</v>
      </c>
      <c r="F4434" s="439">
        <f t="shared" si="18"/>
        <v>28000</v>
      </c>
      <c r="G4434" s="440"/>
      <c r="H4434" s="450"/>
    </row>
    <row r="4435" spans="1:8" ht="13.2">
      <c r="A4435" s="454" t="s">
        <v>1382</v>
      </c>
      <c r="B4435" s="452" t="str">
        <f>VLOOKUP(A4435,'Thống kê'!$C$3:$D$669,2,0)</f>
        <v>miếng dán silicon điện thoại</v>
      </c>
      <c r="C4435" s="436" t="str">
        <f>VLOOKUP(A4435,'Thống kê'!$C$3:$E$682,3,0)</f>
        <v>cái</v>
      </c>
      <c r="D4435" s="437">
        <f>VLOOKUP(A4435,'Thống kê'!$C$3:$M$682,4,0)</f>
        <v>0</v>
      </c>
      <c r="E4435" s="438">
        <v>2</v>
      </c>
      <c r="F4435" s="439">
        <f t="shared" si="18"/>
        <v>0</v>
      </c>
      <c r="G4435" s="440"/>
      <c r="H4435" s="450"/>
    </row>
    <row r="4436" spans="1:8" ht="13.2">
      <c r="A4436" s="454" t="s">
        <v>2097</v>
      </c>
      <c r="B4436" s="452" t="str">
        <f>VLOOKUP(A4436,'Thống kê'!$C$3:$D$669,2,0)</f>
        <v>Thiệp</v>
      </c>
      <c r="C4436" s="436" t="str">
        <f>VLOOKUP(A4436,'Thống kê'!$C$3:$E$682,3,0)</f>
        <v>cái</v>
      </c>
      <c r="D4436" s="437">
        <f>VLOOKUP(A4436,'Thống kê'!$C$3:$M$682,4,0)</f>
        <v>0</v>
      </c>
      <c r="E4436" s="438">
        <v>1</v>
      </c>
      <c r="F4436" s="439">
        <f t="shared" si="18"/>
        <v>0</v>
      </c>
      <c r="G4436" s="440"/>
      <c r="H4436" s="450"/>
    </row>
    <row r="4437" spans="1:8" ht="13.2">
      <c r="A4437" s="454" t="s">
        <v>2098</v>
      </c>
      <c r="B4437" s="452" t="str">
        <f>VLOOKUP(A4437,'Thống kê'!$C$3:$D$669,2,0)</f>
        <v>Thiệp</v>
      </c>
      <c r="C4437" s="436" t="str">
        <f>VLOOKUP(A4437,'Thống kê'!$C$3:$E$682,3,0)</f>
        <v>cái</v>
      </c>
      <c r="D4437" s="437">
        <f>VLOOKUP(A4437,'Thống kê'!$C$3:$M$682,4,0)</f>
        <v>0</v>
      </c>
      <c r="E4437" s="438">
        <v>1</v>
      </c>
      <c r="F4437" s="439">
        <f t="shared" si="18"/>
        <v>0</v>
      </c>
      <c r="G4437" s="440"/>
      <c r="H4437" s="450"/>
    </row>
    <row r="4438" spans="1:8" ht="13.2">
      <c r="A4438" s="454" t="s">
        <v>1705</v>
      </c>
      <c r="B4438" s="452" t="str">
        <f>VLOOKUP(A4438,'Thống kê'!$C$3:$D$669,2,0)</f>
        <v>Dây treo điện thoại có charm xinh xắn</v>
      </c>
      <c r="C4438" s="436" t="str">
        <f>VLOOKUP(A4438,'Thống kê'!$C$3:$E$682,3,0)</f>
        <v>cái</v>
      </c>
      <c r="D4438" s="437">
        <f>VLOOKUP(A4438,'Thống kê'!$C$3:$M$682,4,0)</f>
        <v>27000</v>
      </c>
      <c r="E4438" s="438">
        <v>1</v>
      </c>
      <c r="F4438" s="439">
        <f t="shared" si="18"/>
        <v>27000</v>
      </c>
      <c r="G4438" s="440"/>
      <c r="H4438" s="448">
        <v>21710</v>
      </c>
    </row>
    <row r="4439" spans="1:8" ht="13.2">
      <c r="A4439" s="454" t="s">
        <v>1624</v>
      </c>
      <c r="B4439" s="452" t="str">
        <f>VLOOKUP(A4439,'Thống kê'!$C$3:$D$669,2,0)</f>
        <v>Móc khóa mèo trái tim</v>
      </c>
      <c r="C4439" s="436" t="str">
        <f>VLOOKUP(A4439,'Thống kê'!$C$3:$E$682,3,0)</f>
        <v>cái</v>
      </c>
      <c r="D4439" s="437">
        <f>VLOOKUP(A4439,'Thống kê'!$C$3:$M$682,4,0)</f>
        <v>59000</v>
      </c>
      <c r="E4439" s="438">
        <v>1</v>
      </c>
      <c r="F4439" s="439">
        <f t="shared" si="18"/>
        <v>59000</v>
      </c>
      <c r="G4439" s="440"/>
      <c r="H4439" s="448">
        <v>48010</v>
      </c>
    </row>
    <row r="4440" spans="1:8" ht="13.2">
      <c r="A4440" s="454" t="s">
        <v>1384</v>
      </c>
      <c r="B4440" s="452" t="str">
        <f>VLOOKUP(A4440,'Thống kê'!$C$3:$D$669,2,0)</f>
        <v>Móc khoá Crybaby mini Popmart</v>
      </c>
      <c r="C4440" s="436" t="str">
        <f>VLOOKUP(A4440,'Thống kê'!$C$3:$E$682,3,0)</f>
        <v>cái</v>
      </c>
      <c r="D4440" s="437">
        <f>VLOOKUP(A4440,'Thống kê'!$C$3:$M$682,4,0)</f>
        <v>0</v>
      </c>
      <c r="E4440" s="438">
        <v>1</v>
      </c>
      <c r="F4440" s="439">
        <f t="shared" si="18"/>
        <v>0</v>
      </c>
      <c r="G4440" s="440"/>
      <c r="H4440" s="448">
        <v>112340</v>
      </c>
    </row>
    <row r="4441" spans="1:8" ht="13.2">
      <c r="A4441" s="454" t="s">
        <v>1600</v>
      </c>
      <c r="B4441" s="452" t="str">
        <f>VLOOKUP(A4441,'Thống kê'!$C$3:$D$669,2,0)</f>
        <v>Dao rọc giấy 18</v>
      </c>
      <c r="C4441" s="436" t="str">
        <f>VLOOKUP(A4441,'Thống kê'!$C$3:$E$682,3,0)</f>
        <v>cái</v>
      </c>
      <c r="D4441" s="437">
        <f>VLOOKUP(A4441,'Thống kê'!$C$3:$M$682,4,0)</f>
        <v>12000</v>
      </c>
      <c r="E4441" s="438">
        <v>1</v>
      </c>
      <c r="F4441" s="439">
        <f t="shared" si="18"/>
        <v>12000</v>
      </c>
      <c r="G4441" s="440"/>
      <c r="H4441" s="447">
        <v>80842</v>
      </c>
    </row>
    <row r="4442" spans="1:8" ht="13.2">
      <c r="A4442" s="454" t="s">
        <v>1598</v>
      </c>
      <c r="B4442" s="452" t="str">
        <f>VLOOKUP(A4442,'Thống kê'!$C$3:$D$669,2,0)</f>
        <v>Dao rọc giấy 13</v>
      </c>
      <c r="C4442" s="436" t="str">
        <f>VLOOKUP(A4442,'Thống kê'!$C$3:$E$682,3,0)</f>
        <v>cái</v>
      </c>
      <c r="D4442" s="437">
        <f>VLOOKUP(A4442,'Thống kê'!$C$3:$M$682,4,0)</f>
        <v>12000</v>
      </c>
      <c r="E4442" s="438">
        <v>1</v>
      </c>
      <c r="F4442" s="439">
        <f t="shared" si="18"/>
        <v>12000</v>
      </c>
      <c r="G4442" s="440"/>
      <c r="H4442" s="450"/>
    </row>
    <row r="4443" spans="1:8" ht="13.2">
      <c r="A4443" s="454" t="s">
        <v>183</v>
      </c>
      <c r="B4443" s="452" t="str">
        <f>VLOOKUP(A4443,'Thống kê'!$C$3:$D$669,2,0)</f>
        <v>Thỏ máy bay gắn xe</v>
      </c>
      <c r="C4443" s="436" t="str">
        <f>VLOOKUP(A4443,'Thống kê'!$C$3:$E$682,3,0)</f>
        <v>cái</v>
      </c>
      <c r="D4443" s="437">
        <f>VLOOKUP(A4443,'Thống kê'!$C$3:$M$682,4,0)</f>
        <v>45000</v>
      </c>
      <c r="E4443" s="438">
        <v>1</v>
      </c>
      <c r="F4443" s="439">
        <f t="shared" si="18"/>
        <v>45000</v>
      </c>
      <c r="G4443" s="440"/>
      <c r="H4443" s="450"/>
    </row>
    <row r="4444" spans="1:8" ht="13.2">
      <c r="A4444" s="454" t="s">
        <v>119</v>
      </c>
      <c r="B4444" s="452" t="str">
        <f>VLOOKUP(A4444,'Thống kê'!$C$3:$D$669,2,0)</f>
        <v>Thỏ chạy xe gắn xe</v>
      </c>
      <c r="C4444" s="436" t="str">
        <f>VLOOKUP(A4444,'Thống kê'!$C$3:$E$682,3,0)</f>
        <v>cái</v>
      </c>
      <c r="D4444" s="437">
        <f>VLOOKUP(A4444,'Thống kê'!$C$3:$M$682,4,0)</f>
        <v>45000</v>
      </c>
      <c r="E4444" s="438">
        <v>1</v>
      </c>
      <c r="F4444" s="439">
        <f t="shared" si="18"/>
        <v>45000</v>
      </c>
      <c r="G4444" s="440"/>
      <c r="H4444" s="450"/>
    </row>
    <row r="4445" spans="1:8" ht="13.2">
      <c r="A4445" s="454" t="s">
        <v>1691</v>
      </c>
      <c r="B4445" s="452">
        <f>VLOOKUP(A4445,'Thống kê'!$C$3:$D$669,2,0)</f>
        <v>0</v>
      </c>
      <c r="C4445" s="436" t="str">
        <f>VLOOKUP(A4445,'Thống kê'!$C$3:$E$682,3,0)</f>
        <v>cái</v>
      </c>
      <c r="D4445" s="437">
        <f>VLOOKUP(A4445,'Thống kê'!$C$3:$M$682,4,0)</f>
        <v>0</v>
      </c>
      <c r="E4445" s="438">
        <v>1</v>
      </c>
      <c r="F4445" s="439">
        <f t="shared" si="18"/>
        <v>0</v>
      </c>
      <c r="G4445" s="440"/>
      <c r="H4445" s="448">
        <v>19717</v>
      </c>
    </row>
    <row r="4446" spans="1:8" ht="13.2">
      <c r="A4446" s="454" t="s">
        <v>1396</v>
      </c>
      <c r="B4446" s="452" t="str">
        <f>VLOOKUP(A4446,'Thống kê'!$C$3:$D$669,2,0)</f>
        <v>Móc khoá Labubu mini Popmart</v>
      </c>
      <c r="C4446" s="436" t="str">
        <f>VLOOKUP(A4446,'Thống kê'!$C$3:$E$682,3,0)</f>
        <v>cái</v>
      </c>
      <c r="D4446" s="437">
        <f>VLOOKUP(A4446,'Thống kê'!$C$3:$M$682,4,0)</f>
        <v>0</v>
      </c>
      <c r="E4446" s="438">
        <v>1</v>
      </c>
      <c r="F4446" s="439">
        <f t="shared" si="18"/>
        <v>0</v>
      </c>
      <c r="G4446" s="440"/>
      <c r="H4446" s="447">
        <v>181056</v>
      </c>
    </row>
    <row r="4447" spans="1:8" ht="13.2">
      <c r="A4447" s="454" t="s">
        <v>1392</v>
      </c>
      <c r="B4447" s="452" t="str">
        <f>VLOOKUP(A4447,'Thống kê'!$C$3:$D$669,2,0)</f>
        <v>Móc khoá Labubu mini Popmart</v>
      </c>
      <c r="C4447" s="436" t="str">
        <f>VLOOKUP(A4447,'Thống kê'!$C$3:$E$682,3,0)</f>
        <v>cái</v>
      </c>
      <c r="D4447" s="437">
        <f>VLOOKUP(A4447,'Thống kê'!$C$3:$M$682,4,0)</f>
        <v>0</v>
      </c>
      <c r="E4447" s="438">
        <v>1</v>
      </c>
      <c r="F4447" s="439">
        <f t="shared" si="18"/>
        <v>0</v>
      </c>
      <c r="G4447" s="440"/>
      <c r="H4447" s="450"/>
    </row>
    <row r="4448" spans="1:8" ht="13.2">
      <c r="A4448" s="454" t="s">
        <v>258</v>
      </c>
      <c r="B4448" s="452" t="str">
        <f>VLOOKUP(A4448,'Thống kê'!$C$3:$D$669,2,0)</f>
        <v>Móc khoá Crybaby mini Popmart</v>
      </c>
      <c r="C4448" s="436" t="str">
        <f>VLOOKUP(A4448,'Thống kê'!$C$3:$E$682,3,0)</f>
        <v>cái</v>
      </c>
      <c r="D4448" s="437">
        <f>VLOOKUP(A4448,'Thống kê'!$C$3:$M$682,4,0)</f>
        <v>0</v>
      </c>
      <c r="E4448" s="438">
        <v>1</v>
      </c>
      <c r="F4448" s="439">
        <f t="shared" si="18"/>
        <v>0</v>
      </c>
      <c r="G4448" s="440"/>
      <c r="H4448" s="448">
        <v>112340</v>
      </c>
    </row>
    <row r="4449" spans="1:8" ht="13.2">
      <c r="A4449" s="454" t="s">
        <v>1393</v>
      </c>
      <c r="B4449" s="452" t="str">
        <f>VLOOKUP(A4449,'Thống kê'!$C$3:$D$669,2,0)</f>
        <v>Móc khoá Labubu mini Popmart</v>
      </c>
      <c r="C4449" s="436" t="str">
        <f>VLOOKUP(A4449,'Thống kê'!$C$3:$E$682,3,0)</f>
        <v>cái</v>
      </c>
      <c r="D4449" s="437">
        <f>VLOOKUP(A4449,'Thống kê'!$C$3:$M$682,4,0)</f>
        <v>0</v>
      </c>
      <c r="E4449" s="438">
        <v>1</v>
      </c>
      <c r="F4449" s="439">
        <f t="shared" si="18"/>
        <v>0</v>
      </c>
      <c r="G4449" s="440"/>
      <c r="H4449" s="448">
        <v>92496</v>
      </c>
    </row>
    <row r="4450" spans="1:8" ht="13.2">
      <c r="A4450" s="454" t="s">
        <v>1591</v>
      </c>
      <c r="B4450" s="452" t="str">
        <f>VLOOKUP(A4450,'Thống kê'!$C$3:$D$669,2,0)</f>
        <v>Thỏ ú</v>
      </c>
      <c r="C4450" s="436" t="str">
        <f>VLOOKUP(A4450,'Thống kê'!$C$3:$E$682,3,0)</f>
        <v>cái</v>
      </c>
      <c r="D4450" s="437">
        <f>VLOOKUP(A4450,'Thống kê'!$C$3:$M$682,4,0)</f>
        <v>59500</v>
      </c>
      <c r="E4450" s="438">
        <v>1</v>
      </c>
      <c r="F4450" s="439">
        <f t="shared" si="18"/>
        <v>59500</v>
      </c>
      <c r="G4450" s="440"/>
      <c r="H4450" s="448">
        <v>48508</v>
      </c>
    </row>
    <row r="4451" spans="1:8" ht="13.2">
      <c r="A4451" s="454" t="s">
        <v>244</v>
      </c>
      <c r="B4451" s="452" t="str">
        <f>VLOOKUP(A4451,'Thống kê'!$C$3:$D$669,2,0)</f>
        <v>Móc khóa chuối</v>
      </c>
      <c r="C4451" s="436" t="str">
        <f>VLOOKUP(A4451,'Thống kê'!$C$3:$E$682,3,0)</f>
        <v>cái</v>
      </c>
      <c r="D4451" s="437">
        <f>VLOOKUP(A4451,'Thống kê'!$C$3:$M$682,4,0)</f>
        <v>148000</v>
      </c>
      <c r="E4451" s="438">
        <v>1</v>
      </c>
      <c r="F4451" s="439">
        <f t="shared" si="18"/>
        <v>148000</v>
      </c>
      <c r="G4451" s="440"/>
      <c r="H4451" s="447">
        <v>151864</v>
      </c>
    </row>
    <row r="4452" spans="1:8" ht="13.2">
      <c r="A4452" s="454" t="s">
        <v>1337</v>
      </c>
      <c r="B4452" s="452" t="str">
        <f>VLOOKUP(A4452,'Thống kê'!$C$3:$D$669,2,0)</f>
        <v>Móc khóa chuối</v>
      </c>
      <c r="C4452" s="436" t="str">
        <f>VLOOKUP(A4452,'Thống kê'!$C$3:$E$682,3,0)</f>
        <v>cái</v>
      </c>
      <c r="D4452" s="437">
        <f>VLOOKUP(A4452,'Thống kê'!$C$3:$M$682,4,0)</f>
        <v>148000</v>
      </c>
      <c r="E4452" s="438">
        <v>1</v>
      </c>
      <c r="F4452" s="439">
        <f t="shared" si="18"/>
        <v>148000</v>
      </c>
      <c r="G4452" s="440"/>
      <c r="H4452" s="450"/>
    </row>
    <row r="4453" spans="1:8" ht="13.2">
      <c r="A4453" s="454" t="s">
        <v>230</v>
      </c>
      <c r="B4453" s="452" t="str">
        <f>VLOOKUP(A4453,'Thống kê'!$C$3:$D$669,2,0)</f>
        <v>Móc khoá Crybaby mini Popmart</v>
      </c>
      <c r="C4453" s="436" t="str">
        <f>VLOOKUP(A4453,'Thống kê'!$C$3:$E$682,3,0)</f>
        <v>cái</v>
      </c>
      <c r="D4453" s="437">
        <f>VLOOKUP(A4453,'Thống kê'!$C$3:$M$682,4,0)</f>
        <v>0</v>
      </c>
      <c r="E4453" s="438">
        <v>1</v>
      </c>
      <c r="F4453" s="439">
        <f t="shared" si="18"/>
        <v>0</v>
      </c>
      <c r="G4453" s="440"/>
      <c r="H4453" s="447">
        <v>226651</v>
      </c>
    </row>
    <row r="4454" spans="1:8" ht="13.2">
      <c r="A4454" s="454" t="s">
        <v>1388</v>
      </c>
      <c r="B4454" s="452" t="str">
        <f>VLOOKUP(A4454,'Thống kê'!$C$3:$D$669,2,0)</f>
        <v>Móc khoá Crybaby mini Popmart</v>
      </c>
      <c r="C4454" s="436" t="str">
        <f>VLOOKUP(A4454,'Thống kê'!$C$3:$E$682,3,0)</f>
        <v>cái</v>
      </c>
      <c r="D4454" s="437">
        <f>VLOOKUP(A4454,'Thống kê'!$C$3:$M$682,4,0)</f>
        <v>0</v>
      </c>
      <c r="E4454" s="438">
        <v>1</v>
      </c>
      <c r="F4454" s="439">
        <f t="shared" si="18"/>
        <v>0</v>
      </c>
      <c r="G4454" s="440"/>
      <c r="H4454" s="450"/>
    </row>
    <row r="4455" spans="1:8" ht="13.2">
      <c r="A4455" s="454" t="s">
        <v>1390</v>
      </c>
      <c r="B4455" s="452" t="str">
        <f>VLOOKUP(A4455,'Thống kê'!$C$3:$D$669,2,0)</f>
        <v>Móc khoá Labubu mini Popmart</v>
      </c>
      <c r="C4455" s="436" t="str">
        <f>VLOOKUP(A4455,'Thống kê'!$C$3:$E$682,3,0)</f>
        <v>cái</v>
      </c>
      <c r="D4455" s="437">
        <f>VLOOKUP(A4455,'Thống kê'!$C$3:$M$682,4,0)</f>
        <v>0</v>
      </c>
      <c r="E4455" s="438">
        <v>1</v>
      </c>
      <c r="F4455" s="439">
        <f t="shared" si="18"/>
        <v>0</v>
      </c>
      <c r="G4455" s="440"/>
      <c r="H4455" s="448">
        <v>121688</v>
      </c>
    </row>
    <row r="4456" spans="1:8" ht="13.2">
      <c r="A4456" s="454" t="s">
        <v>1687</v>
      </c>
      <c r="B4456" s="452">
        <f>VLOOKUP(A4456,'Thống kê'!$C$3:$D$669,2,0)</f>
        <v>0</v>
      </c>
      <c r="C4456" s="436">
        <f>VLOOKUP(A4456,'Thống kê'!$C$3:$E$682,3,0)</f>
        <v>0</v>
      </c>
      <c r="D4456" s="437">
        <f>VLOOKUP(A4456,'Thống kê'!$C$3:$M$682,4,0)</f>
        <v>0</v>
      </c>
      <c r="E4456" s="438">
        <v>1</v>
      </c>
      <c r="F4456" s="439">
        <f t="shared" si="18"/>
        <v>0</v>
      </c>
      <c r="G4456" s="440"/>
      <c r="H4456" s="448">
        <v>131200</v>
      </c>
    </row>
    <row r="4457" spans="1:8" ht="13.2">
      <c r="A4457" s="454" t="s">
        <v>1691</v>
      </c>
      <c r="B4457" s="452">
        <f>VLOOKUP(A4457,'Thống kê'!$C$3:$D$669,2,0)</f>
        <v>0</v>
      </c>
      <c r="C4457" s="436" t="str">
        <f>VLOOKUP(A4457,'Thống kê'!$C$3:$E$682,3,0)</f>
        <v>cái</v>
      </c>
      <c r="D4457" s="437">
        <f>VLOOKUP(A4457,'Thống kê'!$C$3:$M$682,4,0)</f>
        <v>0</v>
      </c>
      <c r="E4457" s="438">
        <v>1</v>
      </c>
      <c r="F4457" s="439">
        <f t="shared" si="18"/>
        <v>0</v>
      </c>
      <c r="G4457" s="440"/>
      <c r="H4457" s="448">
        <v>19467</v>
      </c>
    </row>
    <row r="4458" spans="1:8" ht="13.2">
      <c r="A4458" s="454" t="s">
        <v>1364</v>
      </c>
      <c r="B4458" s="452" t="str">
        <f>VLOOKUP(A4458,'Thống kê'!$C$3:$D$669,2,0)</f>
        <v>Móc khóa Popbean</v>
      </c>
      <c r="C4458" s="436" t="str">
        <f>VLOOKUP(A4458,'Thống kê'!$C$3:$E$682,3,0)</f>
        <v>cái</v>
      </c>
      <c r="D4458" s="437">
        <f>VLOOKUP(A4458,'Thống kê'!$C$3:$M$682,4,0)</f>
        <v>148000</v>
      </c>
      <c r="E4458" s="438">
        <v>1</v>
      </c>
      <c r="F4458" s="439">
        <f t="shared" si="18"/>
        <v>148000</v>
      </c>
      <c r="G4458" s="440"/>
      <c r="H4458" s="448">
        <v>136940</v>
      </c>
    </row>
    <row r="4459" spans="1:8" ht="13.2">
      <c r="A4459" s="454" t="s">
        <v>281</v>
      </c>
      <c r="B4459" s="452">
        <f>VLOOKUP(A4459,'Thống kê'!$C$3:$D$669,2,0)</f>
        <v>0</v>
      </c>
      <c r="C4459" s="436" t="str">
        <f>VLOOKUP(A4459,'Thống kê'!$C$3:$E$682,3,0)</f>
        <v>cái</v>
      </c>
      <c r="D4459" s="437">
        <f>VLOOKUP(A4459,'Thống kê'!$C$3:$M$682,4,0)</f>
        <v>0</v>
      </c>
      <c r="E4459" s="438">
        <v>1</v>
      </c>
      <c r="F4459" s="439">
        <f t="shared" si="18"/>
        <v>0</v>
      </c>
      <c r="G4459" s="440"/>
      <c r="H4459" s="447">
        <v>246387</v>
      </c>
    </row>
    <row r="4460" spans="1:8" ht="13.2">
      <c r="A4460" s="454" t="s">
        <v>1714</v>
      </c>
      <c r="B4460" s="452">
        <f>VLOOKUP(A4460,'Thống kê'!$C$3:$D$669,2,0)</f>
        <v>0</v>
      </c>
      <c r="C4460" s="436" t="str">
        <f>VLOOKUP(A4460,'Thống kê'!$C$3:$E$682,3,0)</f>
        <v>cái</v>
      </c>
      <c r="D4460" s="437">
        <f>VLOOKUP(A4460,'Thống kê'!$C$3:$M$682,4,0)</f>
        <v>0</v>
      </c>
      <c r="E4460" s="438">
        <v>1</v>
      </c>
      <c r="F4460" s="439">
        <f t="shared" si="18"/>
        <v>0</v>
      </c>
      <c r="G4460" s="440"/>
      <c r="H4460" s="450"/>
    </row>
    <row r="4461" spans="1:8" ht="13.2">
      <c r="A4461" s="454" t="s">
        <v>1715</v>
      </c>
      <c r="B4461" s="452">
        <f>VLOOKUP(A4461,'Thống kê'!$C$3:$D$669,2,0)</f>
        <v>0</v>
      </c>
      <c r="C4461" s="436" t="str">
        <f>VLOOKUP(A4461,'Thống kê'!$C$3:$E$682,3,0)</f>
        <v>cái</v>
      </c>
      <c r="D4461" s="437">
        <f>VLOOKUP(A4461,'Thống kê'!$C$3:$M$682,4,0)</f>
        <v>0</v>
      </c>
      <c r="E4461" s="438">
        <v>1</v>
      </c>
      <c r="F4461" s="439">
        <f t="shared" si="18"/>
        <v>0</v>
      </c>
      <c r="G4461" s="440"/>
      <c r="H4461" s="450"/>
    </row>
    <row r="4462" spans="1:8" ht="13.2">
      <c r="A4462" s="454" t="s">
        <v>1589</v>
      </c>
      <c r="B4462" s="452" t="str">
        <f>VLOOKUP(A4462,'Thống kê'!$C$3:$D$669,2,0)</f>
        <v>Heo ú bay</v>
      </c>
      <c r="C4462" s="436" t="str">
        <f>VLOOKUP(A4462,'Thống kê'!$C$3:$E$682,3,0)</f>
        <v>cái</v>
      </c>
      <c r="D4462" s="437">
        <f>VLOOKUP(A4462,'Thống kê'!$C$3:$M$682,4,0)</f>
        <v>64500</v>
      </c>
      <c r="E4462" s="438">
        <v>1</v>
      </c>
      <c r="F4462" s="439">
        <f t="shared" si="18"/>
        <v>64500</v>
      </c>
      <c r="G4462" s="440"/>
      <c r="H4462" s="447">
        <v>121688</v>
      </c>
    </row>
    <row r="4463" spans="1:8" ht="13.2">
      <c r="A4463" s="454" t="s">
        <v>186</v>
      </c>
      <c r="B4463" s="452" t="str">
        <f>VLOOKUP(A4463,'Thống kê'!$C$3:$D$669,2,0)</f>
        <v>Thỏ ú bay</v>
      </c>
      <c r="C4463" s="436" t="str">
        <f>VLOOKUP(A4463,'Thống kê'!$C$3:$E$682,3,0)</f>
        <v>cái</v>
      </c>
      <c r="D4463" s="437">
        <f>VLOOKUP(A4463,'Thống kê'!$C$3:$M$682,4,0)</f>
        <v>64500</v>
      </c>
      <c r="E4463" s="438">
        <v>1</v>
      </c>
      <c r="F4463" s="439">
        <f t="shared" si="18"/>
        <v>64500</v>
      </c>
      <c r="G4463" s="440"/>
      <c r="H4463" s="450"/>
    </row>
    <row r="4464" spans="1:8" ht="13.2">
      <c r="A4464" s="454" t="s">
        <v>1687</v>
      </c>
      <c r="B4464" s="452">
        <f>VLOOKUP(A4464,'Thống kê'!$C$3:$D$669,2,0)</f>
        <v>0</v>
      </c>
      <c r="C4464" s="436">
        <f>VLOOKUP(A4464,'Thống kê'!$C$3:$E$682,3,0)</f>
        <v>0</v>
      </c>
      <c r="D4464" s="437">
        <f>VLOOKUP(A4464,'Thống kê'!$C$3:$M$682,4,0)</f>
        <v>0</v>
      </c>
      <c r="E4464" s="438">
        <v>1</v>
      </c>
      <c r="F4464" s="439">
        <f t="shared" si="18"/>
        <v>0</v>
      </c>
      <c r="G4464" s="440"/>
      <c r="H4464" s="448">
        <v>131200</v>
      </c>
    </row>
    <row r="4465" spans="1:8" ht="13.2">
      <c r="A4465" s="454" t="s">
        <v>1384</v>
      </c>
      <c r="B4465" s="452" t="str">
        <f>VLOOKUP(A4465,'Thống kê'!$C$3:$D$669,2,0)</f>
        <v>Móc khoá Crybaby mini Popmart</v>
      </c>
      <c r="C4465" s="436" t="str">
        <f>VLOOKUP(A4465,'Thống kê'!$C$3:$E$682,3,0)</f>
        <v>cái</v>
      </c>
      <c r="D4465" s="437">
        <f>VLOOKUP(A4465,'Thống kê'!$C$3:$M$682,4,0)</f>
        <v>0</v>
      </c>
      <c r="E4465" s="438">
        <v>1</v>
      </c>
      <c r="F4465" s="439">
        <f t="shared" si="18"/>
        <v>0</v>
      </c>
      <c r="G4465" s="440"/>
      <c r="H4465" s="447">
        <v>218776</v>
      </c>
    </row>
    <row r="4466" spans="1:8" ht="13.2">
      <c r="A4466" s="454" t="s">
        <v>1424</v>
      </c>
      <c r="B4466" s="452" t="str">
        <f>VLOOKUP(A4466,'Thống kê'!$C$3:$D$669,2,0)</f>
        <v>Móc khoá Crybaby mini Popmart</v>
      </c>
      <c r="C4466" s="436" t="str">
        <f>VLOOKUP(A4466,'Thống kê'!$C$3:$E$682,3,0)</f>
        <v>cái</v>
      </c>
      <c r="D4466" s="437">
        <f>VLOOKUP(A4466,'Thống kê'!$C$3:$M$682,4,0)</f>
        <v>145000</v>
      </c>
      <c r="E4466" s="438">
        <v>1</v>
      </c>
      <c r="F4466" s="439">
        <f t="shared" si="18"/>
        <v>145000</v>
      </c>
      <c r="G4466" s="440"/>
      <c r="H4466" s="450"/>
    </row>
    <row r="4467" spans="1:8" ht="13.2">
      <c r="A4467" s="454" t="s">
        <v>1384</v>
      </c>
      <c r="B4467" s="452" t="str">
        <f>VLOOKUP(A4467,'Thống kê'!$C$3:$D$669,2,0)</f>
        <v>Móc khoá Crybaby mini Popmart</v>
      </c>
      <c r="C4467" s="436" t="str">
        <f>VLOOKUP(A4467,'Thống kê'!$C$3:$E$682,3,0)</f>
        <v>cái</v>
      </c>
      <c r="D4467" s="437">
        <f>VLOOKUP(A4467,'Thống kê'!$C$3:$M$682,4,0)</f>
        <v>0</v>
      </c>
      <c r="E4467" s="438">
        <v>1</v>
      </c>
      <c r="F4467" s="439">
        <f t="shared" si="18"/>
        <v>0</v>
      </c>
      <c r="G4467" s="440"/>
      <c r="H4467" s="448">
        <v>112340</v>
      </c>
    </row>
    <row r="4468" spans="1:8" ht="13.2">
      <c r="A4468" s="454" t="s">
        <v>1384</v>
      </c>
      <c r="B4468" s="452" t="str">
        <f>VLOOKUP(A4468,'Thống kê'!$C$3:$D$669,2,0)</f>
        <v>Móc khoá Crybaby mini Popmart</v>
      </c>
      <c r="C4468" s="436" t="str">
        <f>VLOOKUP(A4468,'Thống kê'!$C$3:$E$682,3,0)</f>
        <v>cái</v>
      </c>
      <c r="D4468" s="437">
        <f>VLOOKUP(A4468,'Thống kê'!$C$3:$M$682,4,0)</f>
        <v>0</v>
      </c>
      <c r="E4468" s="438">
        <v>1</v>
      </c>
      <c r="F4468" s="439">
        <f t="shared" si="18"/>
        <v>0</v>
      </c>
      <c r="G4468" s="440"/>
      <c r="H4468" s="448">
        <v>112340</v>
      </c>
    </row>
    <row r="4469" spans="1:8" ht="13.2">
      <c r="A4469" s="454" t="s">
        <v>281</v>
      </c>
      <c r="B4469" s="452">
        <f>VLOOKUP(A4469,'Thống kê'!$C$3:$D$669,2,0)</f>
        <v>0</v>
      </c>
      <c r="C4469" s="436" t="str">
        <f>VLOOKUP(A4469,'Thống kê'!$C$3:$E$682,3,0)</f>
        <v>cái</v>
      </c>
      <c r="D4469" s="437">
        <f>VLOOKUP(A4469,'Thống kê'!$C$3:$M$682,4,0)</f>
        <v>0</v>
      </c>
      <c r="E4469" s="438">
        <v>1</v>
      </c>
      <c r="F4469" s="439">
        <f t="shared" si="18"/>
        <v>0</v>
      </c>
      <c r="G4469" s="440"/>
      <c r="H4469" s="448">
        <v>88642</v>
      </c>
    </row>
    <row r="4470" spans="1:8" ht="13.2">
      <c r="A4470" s="454" t="s">
        <v>1687</v>
      </c>
      <c r="B4470" s="452">
        <f>VLOOKUP(A4470,'Thống kê'!$C$3:$D$669,2,0)</f>
        <v>0</v>
      </c>
      <c r="C4470" s="436">
        <f>VLOOKUP(A4470,'Thống kê'!$C$3:$E$682,3,0)</f>
        <v>0</v>
      </c>
      <c r="D4470" s="437">
        <f>VLOOKUP(A4470,'Thống kê'!$C$3:$M$682,4,0)</f>
        <v>0</v>
      </c>
      <c r="E4470" s="438">
        <v>1</v>
      </c>
      <c r="F4470" s="439">
        <f t="shared" si="18"/>
        <v>0</v>
      </c>
      <c r="G4470" s="440"/>
      <c r="H4470" s="448">
        <v>131200</v>
      </c>
    </row>
    <row r="4471" spans="1:8" ht="13.2">
      <c r="A4471" s="454" t="s">
        <v>1622</v>
      </c>
      <c r="B4471" s="452" t="str">
        <f>VLOOKUP(A4471,'Thống kê'!$C$3:$D$669,2,0)</f>
        <v>Mô hình mèo 1</v>
      </c>
      <c r="C4471" s="436" t="str">
        <f>VLOOKUP(A4471,'Thống kê'!$C$3:$E$682,3,0)</f>
        <v>cái</v>
      </c>
      <c r="D4471" s="437">
        <f>VLOOKUP(A4471,'Thống kê'!$C$3:$M$682,4,0)</f>
        <v>37800</v>
      </c>
      <c r="E4471" s="438">
        <v>1</v>
      </c>
      <c r="F4471" s="439">
        <f t="shared" si="18"/>
        <v>37800</v>
      </c>
      <c r="G4471" s="440"/>
      <c r="H4471" s="447">
        <v>64780</v>
      </c>
    </row>
    <row r="4472" spans="1:8" ht="13.2">
      <c r="A4472" s="454" t="s">
        <v>1621</v>
      </c>
      <c r="B4472" s="452" t="str">
        <f>VLOOKUP(A4472,'Thống kê'!$C$3:$D$669,2,0)</f>
        <v>Mô hình mèo 2</v>
      </c>
      <c r="C4472" s="436" t="str">
        <f>VLOOKUP(A4472,'Thống kê'!$C$3:$E$682,3,0)</f>
        <v>cái</v>
      </c>
      <c r="D4472" s="437">
        <f>VLOOKUP(A4472,'Thống kê'!$C$3:$M$682,4,0)</f>
        <v>37800</v>
      </c>
      <c r="E4472" s="438">
        <v>1</v>
      </c>
      <c r="F4472" s="439">
        <f t="shared" si="18"/>
        <v>37800</v>
      </c>
      <c r="G4472" s="440"/>
      <c r="H4472" s="450"/>
    </row>
    <row r="4473" spans="1:8" ht="13.2">
      <c r="A4473" s="454" t="s">
        <v>1387</v>
      </c>
      <c r="B4473" s="452" t="str">
        <f>VLOOKUP(A4473,'Thống kê'!$C$3:$D$669,2,0)</f>
        <v>Móc khoá Crybaby mini Popmart</v>
      </c>
      <c r="C4473" s="436" t="str">
        <f>VLOOKUP(A4473,'Thống kê'!$C$3:$E$682,3,0)</f>
        <v>cái</v>
      </c>
      <c r="D4473" s="437">
        <f>VLOOKUP(A4473,'Thống kê'!$C$3:$M$682,4,0)</f>
        <v>0</v>
      </c>
      <c r="E4473" s="438">
        <v>1</v>
      </c>
      <c r="F4473" s="439">
        <f t="shared" si="18"/>
        <v>0</v>
      </c>
      <c r="G4473" s="440"/>
      <c r="H4473" s="447">
        <v>218776</v>
      </c>
    </row>
    <row r="4474" spans="1:8" ht="13.2">
      <c r="A4474" s="454" t="s">
        <v>1384</v>
      </c>
      <c r="B4474" s="452" t="str">
        <f>VLOOKUP(A4474,'Thống kê'!$C$3:$D$669,2,0)</f>
        <v>Móc khoá Crybaby mini Popmart</v>
      </c>
      <c r="C4474" s="436" t="str">
        <f>VLOOKUP(A4474,'Thống kê'!$C$3:$E$682,3,0)</f>
        <v>cái</v>
      </c>
      <c r="D4474" s="437">
        <f>VLOOKUP(A4474,'Thống kê'!$C$3:$M$682,4,0)</f>
        <v>0</v>
      </c>
      <c r="E4474" s="438">
        <v>1</v>
      </c>
      <c r="F4474" s="439">
        <f t="shared" si="18"/>
        <v>0</v>
      </c>
      <c r="G4474" s="440"/>
      <c r="H4474" s="450"/>
    </row>
    <row r="4475" spans="1:8" ht="13.2">
      <c r="A4475" s="454" t="s">
        <v>1699</v>
      </c>
      <c r="B4475" s="452" t="str">
        <f>VLOOKUP(A4475,'Thống kê'!$C$3:$D$669,2,0)</f>
        <v>Mô hình động vật thần tài - Capy</v>
      </c>
      <c r="C4475" s="436" t="str">
        <f>VLOOKUP(A4475,'Thống kê'!$C$3:$E$682,3,0)</f>
        <v>cái</v>
      </c>
      <c r="D4475" s="437">
        <f>VLOOKUP(A4475,'Thống kê'!$C$3:$M$682,4,0)</f>
        <v>59000</v>
      </c>
      <c r="E4475" s="438">
        <v>1</v>
      </c>
      <c r="F4475" s="439">
        <f t="shared" si="18"/>
        <v>59000</v>
      </c>
      <c r="G4475" s="440"/>
      <c r="H4475" s="447">
        <v>94808</v>
      </c>
    </row>
    <row r="4476" spans="1:8" ht="13.2">
      <c r="A4476" s="454" t="s">
        <v>1698</v>
      </c>
      <c r="B4476" s="452" t="str">
        <f>VLOOKUP(A4476,'Thống kê'!$C$3:$D$669,2,0)</f>
        <v>Mô hình động vật thần tài - Heo hồng</v>
      </c>
      <c r="C4476" s="436" t="str">
        <f>VLOOKUP(A4476,'Thống kê'!$C$3:$E$682,3,0)</f>
        <v>cái</v>
      </c>
      <c r="D4476" s="437">
        <f>VLOOKUP(A4476,'Thống kê'!$C$3:$M$682,4,0)</f>
        <v>59000</v>
      </c>
      <c r="E4476" s="438">
        <v>1</v>
      </c>
      <c r="F4476" s="439">
        <f t="shared" si="18"/>
        <v>59000</v>
      </c>
      <c r="G4476" s="440"/>
      <c r="H4476" s="450"/>
    </row>
    <row r="4477" spans="1:8" ht="13.2">
      <c r="A4477" s="454" t="s">
        <v>150</v>
      </c>
      <c r="B4477" s="452" t="str">
        <f>VLOOKUP(A4477,'Thống kê'!$C$3:$D$669,2,0)</f>
        <v>Móc khóa có chuông</v>
      </c>
      <c r="C4477" s="436" t="str">
        <f>VLOOKUP(A4477,'Thống kê'!$C$3:$E$682,3,0)</f>
        <v>cái</v>
      </c>
      <c r="D4477" s="437">
        <f>VLOOKUP(A4477,'Thống kê'!$C$3:$M$682,4,0)</f>
        <v>59000</v>
      </c>
      <c r="E4477" s="438">
        <v>1</v>
      </c>
      <c r="F4477" s="439">
        <f t="shared" si="18"/>
        <v>59000</v>
      </c>
      <c r="G4477" s="440"/>
      <c r="H4477" s="448">
        <v>40010</v>
      </c>
    </row>
    <row r="4478" spans="1:8" ht="13.2">
      <c r="A4478" s="454" t="s">
        <v>1342</v>
      </c>
      <c r="B4478" s="452" t="str">
        <f>VLOOKUP(A4478,'Thống kê'!$C$3:$D$669,2,0)</f>
        <v>Móc khóa chuối</v>
      </c>
      <c r="C4478" s="436" t="str">
        <f>VLOOKUP(A4478,'Thống kê'!$C$3:$E$682,3,0)</f>
        <v>cái</v>
      </c>
      <c r="D4478" s="437">
        <f>VLOOKUP(A4478,'Thống kê'!$C$3:$M$682,4,0)</f>
        <v>148000</v>
      </c>
      <c r="E4478" s="438">
        <v>1</v>
      </c>
      <c r="F4478" s="439">
        <f t="shared" si="18"/>
        <v>148000</v>
      </c>
      <c r="G4478" s="440"/>
      <c r="H4478" s="448">
        <v>75037</v>
      </c>
    </row>
    <row r="4479" spans="1:8" ht="13.2">
      <c r="A4479" s="454" t="s">
        <v>1398</v>
      </c>
      <c r="B4479" s="452" t="str">
        <f>VLOOKUP(A4479,'Thống kê'!$C$3:$D$669,2,0)</f>
        <v>Móc khoá Labubu mini Popmart</v>
      </c>
      <c r="C4479" s="436" t="str">
        <f>VLOOKUP(A4479,'Thống kê'!$C$3:$E$682,3,0)</f>
        <v>cái</v>
      </c>
      <c r="D4479" s="437">
        <f>VLOOKUP(A4479,'Thống kê'!$C$3:$M$682,4,0)</f>
        <v>0</v>
      </c>
      <c r="E4479" s="438">
        <v>1</v>
      </c>
      <c r="F4479" s="439">
        <f t="shared" si="18"/>
        <v>0</v>
      </c>
      <c r="G4479" s="440"/>
      <c r="H4479" s="448">
        <v>92496</v>
      </c>
    </row>
    <row r="4480" spans="1:8" ht="13.2">
      <c r="A4480" s="454" t="s">
        <v>1423</v>
      </c>
      <c r="B4480" s="452">
        <f>VLOOKUP(A4480,'Thống kê'!$C$3:$D$669,2,0)</f>
        <v>0</v>
      </c>
      <c r="C4480" s="436" t="str">
        <f>VLOOKUP(A4480,'Thống kê'!$C$3:$E$682,3,0)</f>
        <v>cái</v>
      </c>
      <c r="D4480" s="437">
        <f>VLOOKUP(A4480,'Thống kê'!$C$3:$M$682,4,0)</f>
        <v>0</v>
      </c>
      <c r="E4480" s="438">
        <v>1</v>
      </c>
      <c r="F4480" s="439">
        <f t="shared" si="18"/>
        <v>0</v>
      </c>
      <c r="G4480" s="440"/>
      <c r="H4480" s="448">
        <v>123820</v>
      </c>
    </row>
    <row r="4481" spans="1:8" ht="13.2">
      <c r="A4481" s="454" t="s">
        <v>281</v>
      </c>
      <c r="B4481" s="452">
        <f>VLOOKUP(A4481,'Thống kê'!$C$3:$D$669,2,0)</f>
        <v>0</v>
      </c>
      <c r="C4481" s="436" t="str">
        <f>VLOOKUP(A4481,'Thống kê'!$C$3:$E$682,3,0)</f>
        <v>cái</v>
      </c>
      <c r="D4481" s="437">
        <f>VLOOKUP(A4481,'Thống kê'!$C$3:$M$682,4,0)</f>
        <v>0</v>
      </c>
      <c r="E4481" s="438">
        <v>1</v>
      </c>
      <c r="F4481" s="439">
        <f t="shared" si="18"/>
        <v>0</v>
      </c>
      <c r="G4481" s="440"/>
      <c r="H4481" s="448">
        <v>88642</v>
      </c>
    </row>
    <row r="4482" spans="1:8" ht="13.2">
      <c r="A4482" s="454" t="s">
        <v>138</v>
      </c>
      <c r="B4482" s="452" t="str">
        <f>VLOOKUP(A4482,'Thống kê'!$C$3:$D$669,2,0)</f>
        <v>Móc khoá Crybaby mini Popmart</v>
      </c>
      <c r="C4482" s="436" t="str">
        <f>VLOOKUP(A4482,'Thống kê'!$C$3:$E$682,3,0)</f>
        <v>cái</v>
      </c>
      <c r="D4482" s="437">
        <f>VLOOKUP(A4482,'Thống kê'!$C$3:$M$682,4,0)</f>
        <v>0</v>
      </c>
      <c r="E4482" s="438">
        <v>2</v>
      </c>
      <c r="F4482" s="439">
        <f t="shared" si="18"/>
        <v>0</v>
      </c>
      <c r="G4482" s="440"/>
      <c r="H4482" s="448">
        <v>218776</v>
      </c>
    </row>
    <row r="4483" spans="1:8" ht="13.2">
      <c r="A4483" s="454" t="s">
        <v>1382</v>
      </c>
      <c r="B4483" s="452" t="str">
        <f>VLOOKUP(A4483,'Thống kê'!$C$3:$D$669,2,0)</f>
        <v>miếng dán silicon điện thoại</v>
      </c>
      <c r="C4483" s="436" t="str">
        <f>VLOOKUP(A4483,'Thống kê'!$C$3:$E$682,3,0)</f>
        <v>cái</v>
      </c>
      <c r="D4483" s="437">
        <f>VLOOKUP(A4483,'Thống kê'!$C$3:$M$682,4,0)</f>
        <v>0</v>
      </c>
      <c r="E4483" s="438">
        <v>1</v>
      </c>
      <c r="F4483" s="439">
        <f t="shared" si="18"/>
        <v>0</v>
      </c>
      <c r="G4483" s="440"/>
      <c r="H4483" s="447">
        <v>22682</v>
      </c>
    </row>
    <row r="4484" spans="1:8" ht="13.2">
      <c r="A4484" s="454" t="s">
        <v>1691</v>
      </c>
      <c r="B4484" s="452">
        <f>VLOOKUP(A4484,'Thống kê'!$C$3:$D$669,2,0)</f>
        <v>0</v>
      </c>
      <c r="C4484" s="436" t="str">
        <f>VLOOKUP(A4484,'Thống kê'!$C$3:$E$682,3,0)</f>
        <v>cái</v>
      </c>
      <c r="D4484" s="437">
        <f>VLOOKUP(A4484,'Thống kê'!$C$3:$M$682,4,0)</f>
        <v>0</v>
      </c>
      <c r="E4484" s="438">
        <v>1</v>
      </c>
      <c r="F4484" s="439">
        <f t="shared" si="18"/>
        <v>0</v>
      </c>
      <c r="G4484" s="440"/>
      <c r="H4484" s="450"/>
    </row>
    <row r="4485" spans="1:8" ht="13.2">
      <c r="A4485" s="454" t="s">
        <v>1713</v>
      </c>
      <c r="B4485" s="452">
        <f>VLOOKUP(A4485,'Thống kê'!$C$3:$D$669,2,0)</f>
        <v>0</v>
      </c>
      <c r="C4485" s="436" t="str">
        <f>VLOOKUP(A4485,'Thống kê'!$C$3:$E$682,3,0)</f>
        <v>cái</v>
      </c>
      <c r="D4485" s="437">
        <f>VLOOKUP(A4485,'Thống kê'!$C$3:$M$682,4,0)</f>
        <v>0</v>
      </c>
      <c r="E4485" s="438">
        <v>1</v>
      </c>
      <c r="F4485" s="439">
        <f t="shared" si="18"/>
        <v>0</v>
      </c>
      <c r="G4485" s="440"/>
      <c r="H4485" s="448">
        <v>67568</v>
      </c>
    </row>
    <row r="4486" spans="1:8" ht="13.2">
      <c r="A4486" s="454" t="s">
        <v>259</v>
      </c>
      <c r="B4486" s="452" t="str">
        <f>VLOOKUP(A4486,'Thống kê'!$C$3:$D$669,2,0)</f>
        <v>Móc khoá Crybaby mini Popmart</v>
      </c>
      <c r="C4486" s="436" t="str">
        <f>VLOOKUP(A4486,'Thống kê'!$C$3:$E$682,3,0)</f>
        <v>cái</v>
      </c>
      <c r="D4486" s="437">
        <f>VLOOKUP(A4486,'Thống kê'!$C$3:$M$682,4,0)</f>
        <v>0</v>
      </c>
      <c r="E4486" s="438">
        <v>1</v>
      </c>
      <c r="F4486" s="439">
        <f t="shared" si="18"/>
        <v>0</v>
      </c>
      <c r="G4486" s="440"/>
      <c r="H4486" s="448">
        <v>112340</v>
      </c>
    </row>
    <row r="4487" spans="1:8" ht="13.2">
      <c r="A4487" s="454" t="s">
        <v>325</v>
      </c>
      <c r="B4487" s="452" t="str">
        <f>VLOOKUP(A4487,'Thống kê'!$C$3:$D$669,2,0)</f>
        <v>Gấu ú</v>
      </c>
      <c r="C4487" s="436" t="str">
        <f>VLOOKUP(A4487,'Thống kê'!$C$3:$E$682,3,0)</f>
        <v>cái</v>
      </c>
      <c r="D4487" s="437">
        <f>VLOOKUP(A4487,'Thống kê'!$C$3:$M$682,4,0)</f>
        <v>59500</v>
      </c>
      <c r="E4487" s="438">
        <v>1</v>
      </c>
      <c r="F4487" s="439">
        <f t="shared" si="18"/>
        <v>59500</v>
      </c>
      <c r="G4487" s="440"/>
      <c r="H4487" s="448">
        <v>48633</v>
      </c>
    </row>
    <row r="4488" spans="1:8" ht="13.2">
      <c r="A4488" s="454" t="s">
        <v>1387</v>
      </c>
      <c r="B4488" s="452" t="str">
        <f>VLOOKUP(A4488,'Thống kê'!$C$3:$D$669,2,0)</f>
        <v>Móc khoá Crybaby mini Popmart</v>
      </c>
      <c r="C4488" s="436" t="str">
        <f>VLOOKUP(A4488,'Thống kê'!$C$3:$E$682,3,0)</f>
        <v>cái</v>
      </c>
      <c r="D4488" s="437">
        <f>VLOOKUP(A4488,'Thống kê'!$C$3:$M$682,4,0)</f>
        <v>0</v>
      </c>
      <c r="E4488" s="438">
        <v>1</v>
      </c>
      <c r="F4488" s="439">
        <f t="shared" si="18"/>
        <v>0</v>
      </c>
      <c r="G4488" s="440"/>
      <c r="H4488" s="447">
        <v>450148</v>
      </c>
    </row>
    <row r="4489" spans="1:8" ht="13.2">
      <c r="A4489" s="454" t="s">
        <v>1386</v>
      </c>
      <c r="B4489" s="452" t="str">
        <f>VLOOKUP(A4489,'Thống kê'!$C$3:$D$669,2,0)</f>
        <v>Móc khoá Crybaby mini Popmart</v>
      </c>
      <c r="C4489" s="436" t="str">
        <f>VLOOKUP(A4489,'Thống kê'!$C$3:$E$682,3,0)</f>
        <v>cái</v>
      </c>
      <c r="D4489" s="437">
        <f>VLOOKUP(A4489,'Thống kê'!$C$3:$M$682,4,0)</f>
        <v>0</v>
      </c>
      <c r="E4489" s="438">
        <v>1</v>
      </c>
      <c r="F4489" s="439">
        <f t="shared" si="18"/>
        <v>0</v>
      </c>
      <c r="G4489" s="440"/>
      <c r="H4489" s="450"/>
    </row>
    <row r="4490" spans="1:8" ht="13.2">
      <c r="A4490" s="454" t="s">
        <v>1424</v>
      </c>
      <c r="B4490" s="452" t="str">
        <f>VLOOKUP(A4490,'Thống kê'!$C$3:$D$669,2,0)</f>
        <v>Móc khoá Crybaby mini Popmart</v>
      </c>
      <c r="C4490" s="436" t="str">
        <f>VLOOKUP(A4490,'Thống kê'!$C$3:$E$682,3,0)</f>
        <v>cái</v>
      </c>
      <c r="D4490" s="437">
        <f>VLOOKUP(A4490,'Thống kê'!$C$3:$M$682,4,0)</f>
        <v>145000</v>
      </c>
      <c r="E4490" s="438">
        <v>1</v>
      </c>
      <c r="F4490" s="439">
        <f t="shared" si="18"/>
        <v>145000</v>
      </c>
      <c r="G4490" s="440"/>
      <c r="H4490" s="450"/>
    </row>
    <row r="4491" spans="1:8" ht="13.2">
      <c r="A4491" s="454" t="s">
        <v>1425</v>
      </c>
      <c r="B4491" s="452" t="str">
        <f>VLOOKUP(A4491,'Thống kê'!$C$3:$D$669,2,0)</f>
        <v>Móc khoá Crybaby mini Popmart</v>
      </c>
      <c r="C4491" s="436" t="str">
        <f>VLOOKUP(A4491,'Thống kê'!$C$3:$E$682,3,0)</f>
        <v>cái</v>
      </c>
      <c r="D4491" s="437">
        <f>VLOOKUP(A4491,'Thống kê'!$C$3:$M$682,4,0)</f>
        <v>145000</v>
      </c>
      <c r="E4491" s="438">
        <v>1</v>
      </c>
      <c r="F4491" s="439">
        <f t="shared" si="18"/>
        <v>145000</v>
      </c>
      <c r="G4491" s="440"/>
      <c r="H4491" s="450"/>
    </row>
    <row r="4492" spans="1:8" ht="13.2">
      <c r="A4492" s="454" t="s">
        <v>1788</v>
      </c>
      <c r="B4492" s="452" t="str">
        <f>VLOOKUP(A4492,'Thống kê'!$C$3:$D$669,2,0)</f>
        <v>Túi chườm bụng thỏ hồng 500ml</v>
      </c>
      <c r="C4492" s="436" t="str">
        <f>VLOOKUP(A4492,'Thống kê'!$C$3:$E$682,3,0)</f>
        <v>túi</v>
      </c>
      <c r="D4492" s="437">
        <f>VLOOKUP(A4492,'Thống kê'!$C$3:$M$682,4,0)</f>
        <v>81000</v>
      </c>
      <c r="E4492" s="438">
        <v>1</v>
      </c>
      <c r="F4492" s="439">
        <f t="shared" si="18"/>
        <v>81000</v>
      </c>
      <c r="G4492" s="440"/>
      <c r="H4492" s="448">
        <v>56806</v>
      </c>
    </row>
    <row r="4493" spans="1:8" ht="13.2">
      <c r="A4493" s="454" t="s">
        <v>2023</v>
      </c>
      <c r="B4493" s="452" t="str">
        <f>VLOOKUP(A4493,'Thống kê'!$C$3:$D$669,2,0)</f>
        <v>Túi chườm bụng gấu nâu 500ml</v>
      </c>
      <c r="C4493" s="436" t="str">
        <f>VLOOKUP(A4493,'Thống kê'!$C$3:$E$682,3,0)</f>
        <v>túi</v>
      </c>
      <c r="D4493" s="437">
        <f>VLOOKUP(A4493,'Thống kê'!$C$3:$M$682,4,0)</f>
        <v>81000</v>
      </c>
      <c r="E4493" s="438">
        <v>2</v>
      </c>
      <c r="F4493" s="439">
        <f t="shared" si="18"/>
        <v>162000</v>
      </c>
      <c r="G4493" s="440"/>
      <c r="H4493" s="448">
        <v>115652</v>
      </c>
    </row>
    <row r="4494" spans="1:8" ht="13.2">
      <c r="A4494" s="454" t="s">
        <v>258</v>
      </c>
      <c r="B4494" s="452" t="str">
        <f>VLOOKUP(A4494,'Thống kê'!$C$3:$D$669,2,0)</f>
        <v>Móc khoá Crybaby mini Popmart</v>
      </c>
      <c r="C4494" s="436" t="str">
        <f>VLOOKUP(A4494,'Thống kê'!$C$3:$E$682,3,0)</f>
        <v>cái</v>
      </c>
      <c r="D4494" s="437">
        <f>VLOOKUP(A4494,'Thống kê'!$C$3:$M$682,4,0)</f>
        <v>0</v>
      </c>
      <c r="E4494" s="438">
        <v>1</v>
      </c>
      <c r="F4494" s="439">
        <f t="shared" si="18"/>
        <v>0</v>
      </c>
      <c r="G4494" s="440"/>
      <c r="H4494" s="448">
        <v>112340</v>
      </c>
    </row>
    <row r="4495" spans="1:8" ht="13.2">
      <c r="A4495" s="454" t="s">
        <v>1632</v>
      </c>
      <c r="B4495" s="452" t="str">
        <f>VLOOKUP(A4495,'Thống kê'!$C$3:$D$669,2,0)</f>
        <v>Móc khóa đôi mèo trắng</v>
      </c>
      <c r="C4495" s="436" t="str">
        <f>VLOOKUP(A4495,'Thống kê'!$C$3:$E$682,3,0)</f>
        <v>cái</v>
      </c>
      <c r="D4495" s="437">
        <f>VLOOKUP(A4495,'Thống kê'!$C$3:$M$682,4,0)</f>
        <v>59000</v>
      </c>
      <c r="E4495" s="438">
        <v>1</v>
      </c>
      <c r="F4495" s="439">
        <f t="shared" si="18"/>
        <v>59000</v>
      </c>
      <c r="G4495" s="440"/>
      <c r="H4495" s="448">
        <v>40210</v>
      </c>
    </row>
    <row r="4496" spans="1:8" ht="13.2">
      <c r="A4496" s="454" t="s">
        <v>150</v>
      </c>
      <c r="B4496" s="452" t="str">
        <f>VLOOKUP(A4496,'Thống kê'!$C$3:$D$669,2,0)</f>
        <v>Móc khóa có chuông</v>
      </c>
      <c r="C4496" s="436" t="str">
        <f>VLOOKUP(A4496,'Thống kê'!$C$3:$E$682,3,0)</f>
        <v>cái</v>
      </c>
      <c r="D4496" s="437">
        <f>VLOOKUP(A4496,'Thống kê'!$C$3:$M$682,4,0)</f>
        <v>59000</v>
      </c>
      <c r="E4496" s="438">
        <v>1</v>
      </c>
      <c r="F4496" s="439">
        <f t="shared" si="18"/>
        <v>59000</v>
      </c>
      <c r="G4496" s="440"/>
      <c r="H4496" s="448">
        <v>40410</v>
      </c>
    </row>
    <row r="4497" spans="1:8" ht="13.2">
      <c r="A4497" s="454" t="s">
        <v>317</v>
      </c>
      <c r="B4497" s="452" t="str">
        <f>VLOOKUP(A4497,'Thống kê'!$C$3:$D$669,2,0)</f>
        <v>Dao rọc giấy 10</v>
      </c>
      <c r="C4497" s="436" t="str">
        <f>VLOOKUP(A4497,'Thống kê'!$C$3:$E$682,3,0)</f>
        <v>cái</v>
      </c>
      <c r="D4497" s="437">
        <f>VLOOKUP(A4497,'Thống kê'!$C$3:$M$682,4,0)</f>
        <v>12000</v>
      </c>
      <c r="E4497" s="438">
        <v>1</v>
      </c>
      <c r="F4497" s="439">
        <f t="shared" si="18"/>
        <v>12000</v>
      </c>
      <c r="G4497" s="440"/>
      <c r="H4497" s="447">
        <v>62762</v>
      </c>
    </row>
    <row r="4498" spans="1:8" ht="13.2">
      <c r="A4498" s="454" t="s">
        <v>1698</v>
      </c>
      <c r="B4498" s="452" t="str">
        <f>VLOOKUP(A4498,'Thống kê'!$C$3:$D$669,2,0)</f>
        <v>Mô hình động vật thần tài - Heo hồng</v>
      </c>
      <c r="C4498" s="436" t="str">
        <f>VLOOKUP(A4498,'Thống kê'!$C$3:$E$682,3,0)</f>
        <v>cái</v>
      </c>
      <c r="D4498" s="437">
        <f>VLOOKUP(A4498,'Thống kê'!$C$3:$M$682,4,0)</f>
        <v>59000</v>
      </c>
      <c r="E4498" s="438">
        <v>1</v>
      </c>
      <c r="F4498" s="439">
        <f t="shared" si="18"/>
        <v>59000</v>
      </c>
      <c r="G4498" s="440"/>
      <c r="H4498" s="450"/>
    </row>
    <row r="4499" spans="1:8" ht="13.2">
      <c r="A4499" s="454" t="s">
        <v>1605</v>
      </c>
      <c r="B4499" s="452" t="str">
        <f>VLOOKUP(A4499,'Thống kê'!$C$3:$D$669,2,0)</f>
        <v>Thước dây xanh</v>
      </c>
      <c r="C4499" s="436" t="str">
        <f>VLOOKUP(A4499,'Thống kê'!$C$3:$E$682,3,0)</f>
        <v>cái</v>
      </c>
      <c r="D4499" s="437">
        <f>VLOOKUP(A4499,'Thống kê'!$C$3:$M$682,4,0)</f>
        <v>9000</v>
      </c>
      <c r="E4499" s="438">
        <v>1</v>
      </c>
      <c r="F4499" s="439">
        <f t="shared" si="18"/>
        <v>9000</v>
      </c>
      <c r="G4499" s="440"/>
      <c r="H4499" s="450"/>
    </row>
    <row r="4500" spans="1:8" ht="13.2">
      <c r="A4500" s="454" t="s">
        <v>281</v>
      </c>
      <c r="B4500" s="452">
        <f>VLOOKUP(A4500,'Thống kê'!$C$3:$D$669,2,0)</f>
        <v>0</v>
      </c>
      <c r="C4500" s="436" t="str">
        <f>VLOOKUP(A4500,'Thống kê'!$C$3:$E$682,3,0)</f>
        <v>cái</v>
      </c>
      <c r="D4500" s="437">
        <f>VLOOKUP(A4500,'Thống kê'!$C$3:$M$682,4,0)</f>
        <v>0</v>
      </c>
      <c r="E4500" s="438">
        <v>1</v>
      </c>
      <c r="F4500" s="439">
        <f t="shared" si="18"/>
        <v>0</v>
      </c>
      <c r="G4500" s="440"/>
      <c r="H4500" s="447">
        <v>116408</v>
      </c>
    </row>
    <row r="4501" spans="1:8" ht="13.2">
      <c r="A4501" s="454" t="s">
        <v>1804</v>
      </c>
      <c r="B4501" s="452" t="str">
        <f>VLOOKUP(A4501,'Thống kê'!$C$3:$D$669,2,0)</f>
        <v>Móc khoá cún Chuối</v>
      </c>
      <c r="C4501" s="436" t="str">
        <f>VLOOKUP(A4501,'Thống kê'!$C$3:$E$682,3,0)</f>
        <v>cái</v>
      </c>
      <c r="D4501" s="437">
        <f>VLOOKUP(A4501,'Thống kê'!$C$3:$M$682,4,0)</f>
        <v>38000</v>
      </c>
      <c r="E4501" s="438">
        <v>1</v>
      </c>
      <c r="F4501" s="439">
        <f t="shared" si="18"/>
        <v>38000</v>
      </c>
      <c r="G4501" s="440"/>
      <c r="H4501" s="450"/>
    </row>
    <row r="4502" spans="1:8" ht="13.2">
      <c r="A4502" s="454" t="s">
        <v>259</v>
      </c>
      <c r="B4502" s="452" t="str">
        <f>VLOOKUP(A4502,'Thống kê'!$C$3:$D$669,2,0)</f>
        <v>Móc khoá Crybaby mini Popmart</v>
      </c>
      <c r="C4502" s="436" t="str">
        <f>VLOOKUP(A4502,'Thống kê'!$C$3:$E$682,3,0)</f>
        <v>cái</v>
      </c>
      <c r="D4502" s="437">
        <f>VLOOKUP(A4502,'Thống kê'!$C$3:$M$682,4,0)</f>
        <v>0</v>
      </c>
      <c r="E4502" s="438">
        <v>1</v>
      </c>
      <c r="F4502" s="439">
        <f t="shared" si="18"/>
        <v>0</v>
      </c>
      <c r="G4502" s="440"/>
      <c r="H4502" s="448">
        <v>112340</v>
      </c>
    </row>
    <row r="4503" spans="1:8" ht="13.2">
      <c r="A4503" s="454" t="s">
        <v>1389</v>
      </c>
      <c r="B4503" s="452" t="str">
        <f>VLOOKUP(A4503,'Thống kê'!$C$3:$D$669,2,0)</f>
        <v>Móc khoá Crybaby mini Popmart</v>
      </c>
      <c r="C4503" s="436" t="str">
        <f>VLOOKUP(A4503,'Thống kê'!$C$3:$E$682,3,0)</f>
        <v>cái</v>
      </c>
      <c r="D4503" s="437">
        <f>VLOOKUP(A4503,'Thống kê'!$C$3:$M$682,4,0)</f>
        <v>0</v>
      </c>
      <c r="E4503" s="438">
        <v>1</v>
      </c>
      <c r="F4503" s="439">
        <f t="shared" si="18"/>
        <v>0</v>
      </c>
      <c r="G4503" s="440"/>
      <c r="H4503" s="448">
        <v>112340</v>
      </c>
    </row>
    <row r="4504" spans="1:8" ht="13.2">
      <c r="A4504" s="454" t="s">
        <v>1210</v>
      </c>
      <c r="B4504" s="452" t="str">
        <f>VLOOKUP(A4504,'Thống kê'!$C$3:$D$669,2,0)</f>
        <v>Shiba ú cầm hoa</v>
      </c>
      <c r="C4504" s="436" t="str">
        <f>VLOOKUP(A4504,'Thống kê'!$C$3:$E$682,3,0)</f>
        <v>cái</v>
      </c>
      <c r="D4504" s="437">
        <f>VLOOKUP(A4504,'Thống kê'!$C$3:$M$682,4,0)</f>
        <v>64500</v>
      </c>
      <c r="E4504" s="438">
        <v>1</v>
      </c>
      <c r="F4504" s="439">
        <f t="shared" si="18"/>
        <v>64500</v>
      </c>
      <c r="G4504" s="440"/>
      <c r="H4504" s="448">
        <v>59849</v>
      </c>
    </row>
    <row r="4505" spans="1:8" ht="13.2">
      <c r="A4505" s="454" t="s">
        <v>150</v>
      </c>
      <c r="B4505" s="452" t="str">
        <f>VLOOKUP(A4505,'Thống kê'!$C$3:$D$669,2,0)</f>
        <v>Móc khóa có chuông</v>
      </c>
      <c r="C4505" s="436" t="str">
        <f>VLOOKUP(A4505,'Thống kê'!$C$3:$E$682,3,0)</f>
        <v>cái</v>
      </c>
      <c r="D4505" s="437">
        <f>VLOOKUP(A4505,'Thống kê'!$C$3:$M$682,4,0)</f>
        <v>59000</v>
      </c>
      <c r="E4505" s="438">
        <v>1</v>
      </c>
      <c r="F4505" s="439">
        <f t="shared" si="18"/>
        <v>59000</v>
      </c>
      <c r="G4505" s="440"/>
      <c r="H4505" s="448">
        <v>39985</v>
      </c>
    </row>
    <row r="4506" spans="1:8" ht="13.2">
      <c r="A4506" s="454" t="s">
        <v>1698</v>
      </c>
      <c r="B4506" s="452" t="str">
        <f>VLOOKUP(A4506,'Thống kê'!$C$3:$D$669,2,0)</f>
        <v>Mô hình động vật thần tài - Heo hồng</v>
      </c>
      <c r="C4506" s="436" t="str">
        <f>VLOOKUP(A4506,'Thống kê'!$C$3:$E$682,3,0)</f>
        <v>cái</v>
      </c>
      <c r="D4506" s="437">
        <f>VLOOKUP(A4506,'Thống kê'!$C$3:$M$682,4,0)</f>
        <v>59000</v>
      </c>
      <c r="E4506" s="438">
        <v>1</v>
      </c>
      <c r="F4506" s="439">
        <f t="shared" si="18"/>
        <v>59000</v>
      </c>
      <c r="G4506" s="440"/>
      <c r="H4506" s="448">
        <v>45930</v>
      </c>
    </row>
    <row r="4507" spans="1:8" ht="13.2">
      <c r="A4507" s="454" t="s">
        <v>165</v>
      </c>
      <c r="B4507" s="452" t="str">
        <f>VLOOKUP(A4507,'Thống kê'!$C$3:$D$669,2,0)</f>
        <v>Móc khóa Popbean</v>
      </c>
      <c r="C4507" s="436" t="str">
        <f>VLOOKUP(A4507,'Thống kê'!$C$3:$E$682,3,0)</f>
        <v>cái</v>
      </c>
      <c r="D4507" s="437">
        <f>VLOOKUP(A4507,'Thống kê'!$C$3:$M$682,4,0)</f>
        <v>148000</v>
      </c>
      <c r="E4507" s="438">
        <v>1</v>
      </c>
      <c r="F4507" s="439">
        <f t="shared" si="18"/>
        <v>148000</v>
      </c>
      <c r="G4507" s="440"/>
      <c r="H4507" s="448">
        <v>158424</v>
      </c>
    </row>
    <row r="4508" spans="1:8" ht="13.2">
      <c r="A4508" s="454" t="s">
        <v>1388</v>
      </c>
      <c r="B4508" s="452" t="str">
        <f>VLOOKUP(A4508,'Thống kê'!$C$3:$D$669,2,0)</f>
        <v>Móc khoá Crybaby mini Popmart</v>
      </c>
      <c r="C4508" s="436" t="str">
        <f>VLOOKUP(A4508,'Thống kê'!$C$3:$E$682,3,0)</f>
        <v>cái</v>
      </c>
      <c r="D4508" s="437">
        <f>VLOOKUP(A4508,'Thống kê'!$C$3:$M$682,4,0)</f>
        <v>0</v>
      </c>
      <c r="E4508" s="438">
        <v>1</v>
      </c>
      <c r="F4508" s="439">
        <f t="shared" si="18"/>
        <v>0</v>
      </c>
      <c r="G4508" s="440"/>
      <c r="H4508" s="448">
        <v>132840</v>
      </c>
    </row>
    <row r="4509" spans="1:8" ht="13.2">
      <c r="A4509" s="454" t="s">
        <v>1624</v>
      </c>
      <c r="B4509" s="452" t="str">
        <f>VLOOKUP(A4509,'Thống kê'!$C$3:$D$669,2,0)</f>
        <v>Móc khóa mèo trái tim</v>
      </c>
      <c r="C4509" s="436" t="str">
        <f>VLOOKUP(A4509,'Thống kê'!$C$3:$E$682,3,0)</f>
        <v>cái</v>
      </c>
      <c r="D4509" s="437">
        <f>VLOOKUP(A4509,'Thống kê'!$C$3:$M$682,4,0)</f>
        <v>59000</v>
      </c>
      <c r="E4509" s="438">
        <v>1</v>
      </c>
      <c r="F4509" s="439">
        <f t="shared" si="18"/>
        <v>59000</v>
      </c>
      <c r="G4509" s="440"/>
      <c r="H4509" s="448">
        <v>44280</v>
      </c>
    </row>
    <row r="4510" spans="1:8" ht="13.2">
      <c r="A4510" s="454" t="s">
        <v>1691</v>
      </c>
      <c r="B4510" s="452">
        <f>VLOOKUP(A4510,'Thống kê'!$C$3:$D$669,2,0)</f>
        <v>0</v>
      </c>
      <c r="C4510" s="436" t="str">
        <f>VLOOKUP(A4510,'Thống kê'!$C$3:$E$682,3,0)</f>
        <v>cái</v>
      </c>
      <c r="D4510" s="437">
        <f>VLOOKUP(A4510,'Thống kê'!$C$3:$M$682,4,0)</f>
        <v>0</v>
      </c>
      <c r="E4510" s="438">
        <v>1</v>
      </c>
      <c r="F4510" s="439">
        <f t="shared" si="18"/>
        <v>0</v>
      </c>
      <c r="G4510" s="440"/>
      <c r="H4510" s="447">
        <v>40595</v>
      </c>
    </row>
    <row r="4511" spans="1:8" ht="13.2">
      <c r="A4511" s="454" t="s">
        <v>1704</v>
      </c>
      <c r="B4511" s="452" t="str">
        <f>VLOOKUP(A4511,'Thống kê'!$C$3:$D$669,2,0)</f>
        <v>Dây treo điện thoại có charm xinh xắn</v>
      </c>
      <c r="C4511" s="436" t="str">
        <f>VLOOKUP(A4511,'Thống kê'!$C$3:$E$682,3,0)</f>
        <v>cái</v>
      </c>
      <c r="D4511" s="437">
        <f>VLOOKUP(A4511,'Thống kê'!$C$3:$M$682,4,0)</f>
        <v>27000</v>
      </c>
      <c r="E4511" s="438">
        <v>1</v>
      </c>
      <c r="F4511" s="439">
        <f t="shared" si="18"/>
        <v>27000</v>
      </c>
      <c r="G4511" s="440"/>
      <c r="H4511" s="450"/>
    </row>
    <row r="4512" spans="1:8" ht="13.2">
      <c r="A4512" s="454" t="s">
        <v>1685</v>
      </c>
      <c r="B4512" s="452" t="str">
        <f>VLOOKUP(A4512,'Thống kê'!$C$3:$D$669,2,0)</f>
        <v>Capy</v>
      </c>
      <c r="C4512" s="436" t="str">
        <f>VLOOKUP(A4512,'Thống kê'!$C$3:$E$682,3,0)</f>
        <v>cái</v>
      </c>
      <c r="D4512" s="437">
        <f>VLOOKUP(A4512,'Thống kê'!$C$3:$M$682,4,0)</f>
        <v>62000</v>
      </c>
      <c r="E4512" s="438">
        <v>1</v>
      </c>
      <c r="F4512" s="439">
        <f t="shared" si="18"/>
        <v>62000</v>
      </c>
      <c r="G4512" s="440"/>
      <c r="H4512" s="448">
        <v>53300</v>
      </c>
    </row>
    <row r="4513" spans="1:8" ht="13.2">
      <c r="A4513" s="454" t="s">
        <v>1364</v>
      </c>
      <c r="B4513" s="452" t="str">
        <f>VLOOKUP(A4513,'Thống kê'!$C$3:$D$669,2,0)</f>
        <v>Móc khóa Popbean</v>
      </c>
      <c r="C4513" s="436" t="str">
        <f>VLOOKUP(A4513,'Thống kê'!$C$3:$E$682,3,0)</f>
        <v>cái</v>
      </c>
      <c r="D4513" s="437">
        <f>VLOOKUP(A4513,'Thống kê'!$C$3:$M$682,4,0)</f>
        <v>148000</v>
      </c>
      <c r="E4513" s="438">
        <v>1</v>
      </c>
      <c r="F4513" s="439">
        <f t="shared" si="18"/>
        <v>148000</v>
      </c>
      <c r="G4513" s="440"/>
      <c r="H4513" s="447">
        <v>319800</v>
      </c>
    </row>
    <row r="4514" spans="1:8" ht="13.2">
      <c r="A4514" s="454" t="s">
        <v>245</v>
      </c>
      <c r="B4514" s="452" t="str">
        <f>VLOOKUP(A4514,'Thống kê'!$C$3:$D$669,2,0)</f>
        <v>Móc khóa Popbean</v>
      </c>
      <c r="C4514" s="436" t="str">
        <f>VLOOKUP(A4514,'Thống kê'!$C$3:$E$682,3,0)</f>
        <v>cái</v>
      </c>
      <c r="D4514" s="437">
        <f>VLOOKUP(A4514,'Thống kê'!$C$3:$M$682,4,0)</f>
        <v>148000</v>
      </c>
      <c r="E4514" s="438">
        <v>1</v>
      </c>
      <c r="F4514" s="439">
        <f t="shared" si="18"/>
        <v>148000</v>
      </c>
      <c r="G4514" s="440"/>
      <c r="H4514" s="450"/>
    </row>
    <row r="4515" spans="1:8" ht="13.2">
      <c r="A4515" s="454" t="s">
        <v>150</v>
      </c>
      <c r="B4515" s="452" t="str">
        <f>VLOOKUP(A4515,'Thống kê'!$C$3:$D$669,2,0)</f>
        <v>Móc khóa có chuông</v>
      </c>
      <c r="C4515" s="436" t="str">
        <f>VLOOKUP(A4515,'Thống kê'!$C$3:$E$682,3,0)</f>
        <v>cái</v>
      </c>
      <c r="D4515" s="437">
        <f>VLOOKUP(A4515,'Thống kê'!$C$3:$M$682,4,0)</f>
        <v>59000</v>
      </c>
      <c r="E4515" s="438">
        <v>1</v>
      </c>
      <c r="F4515" s="439">
        <f t="shared" si="18"/>
        <v>59000</v>
      </c>
      <c r="G4515" s="440"/>
      <c r="H4515" s="448">
        <v>44205</v>
      </c>
    </row>
    <row r="4516" spans="1:8" ht="13.2">
      <c r="A4516" s="454" t="s">
        <v>150</v>
      </c>
      <c r="B4516" s="452" t="str">
        <f>VLOOKUP(A4516,'Thống kê'!$C$3:$D$669,2,0)</f>
        <v>Móc khóa có chuông</v>
      </c>
      <c r="C4516" s="436" t="str">
        <f>VLOOKUP(A4516,'Thống kê'!$C$3:$E$682,3,0)</f>
        <v>cái</v>
      </c>
      <c r="D4516" s="437">
        <f>VLOOKUP(A4516,'Thống kê'!$C$3:$M$682,4,0)</f>
        <v>59000</v>
      </c>
      <c r="E4516" s="438">
        <v>1</v>
      </c>
      <c r="F4516" s="439">
        <f t="shared" si="18"/>
        <v>59000</v>
      </c>
      <c r="G4516" s="440"/>
      <c r="H4516" s="448">
        <v>44280</v>
      </c>
    </row>
    <row r="4517" spans="1:8" ht="13.2">
      <c r="A4517" s="454" t="s">
        <v>1698</v>
      </c>
      <c r="B4517" s="452" t="str">
        <f>VLOOKUP(A4517,'Thống kê'!$C$3:$D$669,2,0)</f>
        <v>Mô hình động vật thần tài - Heo hồng</v>
      </c>
      <c r="C4517" s="436" t="str">
        <f>VLOOKUP(A4517,'Thống kê'!$C$3:$E$682,3,0)</f>
        <v>cái</v>
      </c>
      <c r="D4517" s="437">
        <f>VLOOKUP(A4517,'Thống kê'!$C$3:$M$682,4,0)</f>
        <v>59000</v>
      </c>
      <c r="E4517" s="438">
        <v>1</v>
      </c>
      <c r="F4517" s="439">
        <f t="shared" si="18"/>
        <v>59000</v>
      </c>
      <c r="G4517" s="440"/>
      <c r="H4517" s="448">
        <v>53125</v>
      </c>
    </row>
    <row r="4518" spans="1:8" ht="13.2">
      <c r="A4518" s="454" t="s">
        <v>1382</v>
      </c>
      <c r="B4518" s="452" t="str">
        <f>VLOOKUP(A4518,'Thống kê'!$C$3:$D$669,2,0)</f>
        <v>miếng dán silicon điện thoại</v>
      </c>
      <c r="C4518" s="436" t="str">
        <f>VLOOKUP(A4518,'Thống kê'!$C$3:$E$682,3,0)</f>
        <v>cái</v>
      </c>
      <c r="D4518" s="437">
        <f>VLOOKUP(A4518,'Thống kê'!$C$3:$M$682,4,0)</f>
        <v>0</v>
      </c>
      <c r="E4518" s="438">
        <v>1</v>
      </c>
      <c r="F4518" s="439">
        <f t="shared" si="18"/>
        <v>0</v>
      </c>
      <c r="G4518" s="440"/>
      <c r="H4518" s="447">
        <v>140306</v>
      </c>
    </row>
    <row r="4519" spans="1:8" ht="13.2">
      <c r="A4519" s="454" t="s">
        <v>230</v>
      </c>
      <c r="B4519" s="452" t="str">
        <f>VLOOKUP(A4519,'Thống kê'!$C$3:$D$669,2,0)</f>
        <v>Móc khoá Crybaby mini Popmart</v>
      </c>
      <c r="C4519" s="436" t="str">
        <f>VLOOKUP(A4519,'Thống kê'!$C$3:$E$682,3,0)</f>
        <v>cái</v>
      </c>
      <c r="D4519" s="437">
        <f>VLOOKUP(A4519,'Thống kê'!$C$3:$M$682,4,0)</f>
        <v>0</v>
      </c>
      <c r="E4519" s="438">
        <v>1</v>
      </c>
      <c r="F4519" s="439">
        <f t="shared" si="18"/>
        <v>0</v>
      </c>
      <c r="G4519" s="440"/>
      <c r="H4519" s="450"/>
    </row>
    <row r="4520" spans="1:8" ht="13.2">
      <c r="A4520" s="454" t="s">
        <v>1595</v>
      </c>
      <c r="B4520" s="452" t="str">
        <f>VLOOKUP(A4520,'Thống kê'!$C$3:$D$669,2,0)</f>
        <v>Dao rọc giấy 08</v>
      </c>
      <c r="C4520" s="436" t="str">
        <f>VLOOKUP(A4520,'Thống kê'!$C$3:$E$682,3,0)</f>
        <v>cái</v>
      </c>
      <c r="D4520" s="437">
        <f>VLOOKUP(A4520,'Thống kê'!$C$3:$M$682,4,0)</f>
        <v>12000</v>
      </c>
      <c r="E4520" s="438">
        <v>1</v>
      </c>
      <c r="F4520" s="439">
        <f t="shared" si="18"/>
        <v>12000</v>
      </c>
      <c r="G4520" s="440"/>
      <c r="H4520" s="447">
        <v>101746</v>
      </c>
    </row>
    <row r="4521" spans="1:8" ht="13.2">
      <c r="A4521" s="454" t="s">
        <v>116</v>
      </c>
      <c r="B4521" s="452" t="str">
        <f>VLOOKUP(A4521,'Thống kê'!$C$3:$D$669,2,0)</f>
        <v>heo ú cầm hoa</v>
      </c>
      <c r="C4521" s="436" t="str">
        <f>VLOOKUP(A4521,'Thống kê'!$C$3:$E$682,3,0)</f>
        <v>cái</v>
      </c>
      <c r="D4521" s="437">
        <f>VLOOKUP(A4521,'Thống kê'!$C$3:$M$682,4,0)</f>
        <v>64500</v>
      </c>
      <c r="E4521" s="438">
        <v>1</v>
      </c>
      <c r="F4521" s="439">
        <f t="shared" si="18"/>
        <v>64500</v>
      </c>
      <c r="G4521" s="440"/>
      <c r="H4521" s="450"/>
    </row>
    <row r="4522" spans="1:8" ht="13.2">
      <c r="A4522" s="454" t="s">
        <v>94</v>
      </c>
      <c r="B4522" s="452" t="str">
        <f>VLOOKUP(A4522,'Thống kê'!$C$3:$D$669,2,0)</f>
        <v>thỏ</v>
      </c>
      <c r="C4522" s="436" t="str">
        <f>VLOOKUP(A4522,'Thống kê'!$C$3:$E$682,3,0)</f>
        <v>cái</v>
      </c>
      <c r="D4522" s="437">
        <f>VLOOKUP(A4522,'Thống kê'!$C$3:$M$682,4,0)</f>
        <v>35000</v>
      </c>
      <c r="E4522" s="438">
        <v>1</v>
      </c>
      <c r="F4522" s="439">
        <f t="shared" si="18"/>
        <v>35000</v>
      </c>
      <c r="G4522" s="440"/>
      <c r="H4522" s="450"/>
    </row>
    <row r="4523" spans="1:8" ht="13.2">
      <c r="A4523" s="454" t="s">
        <v>1387</v>
      </c>
      <c r="B4523" s="452" t="str">
        <f>VLOOKUP(A4523,'Thống kê'!$C$3:$D$669,2,0)</f>
        <v>Móc khoá Crybaby mini Popmart</v>
      </c>
      <c r="C4523" s="436" t="str">
        <f>VLOOKUP(A4523,'Thống kê'!$C$3:$E$682,3,0)</f>
        <v>cái</v>
      </c>
      <c r="D4523" s="437">
        <f>VLOOKUP(A4523,'Thống kê'!$C$3:$M$682,4,0)</f>
        <v>0</v>
      </c>
      <c r="E4523" s="438">
        <v>1</v>
      </c>
      <c r="F4523" s="439">
        <f t="shared" si="18"/>
        <v>0</v>
      </c>
      <c r="G4523" s="440"/>
      <c r="H4523" s="447">
        <v>533000</v>
      </c>
    </row>
    <row r="4524" spans="1:8" ht="13.2">
      <c r="A4524" s="454" t="s">
        <v>258</v>
      </c>
      <c r="B4524" s="452" t="str">
        <f>VLOOKUP(A4524,'Thống kê'!$C$3:$D$669,2,0)</f>
        <v>Móc khoá Crybaby mini Popmart</v>
      </c>
      <c r="C4524" s="436" t="str">
        <f>VLOOKUP(A4524,'Thống kê'!$C$3:$E$682,3,0)</f>
        <v>cái</v>
      </c>
      <c r="D4524" s="437">
        <f>VLOOKUP(A4524,'Thống kê'!$C$3:$M$682,4,0)</f>
        <v>0</v>
      </c>
      <c r="E4524" s="438">
        <v>1</v>
      </c>
      <c r="F4524" s="439">
        <f t="shared" si="18"/>
        <v>0</v>
      </c>
      <c r="G4524" s="440"/>
      <c r="H4524" s="450"/>
    </row>
    <row r="4525" spans="1:8" ht="13.2">
      <c r="A4525" s="454" t="s">
        <v>1384</v>
      </c>
      <c r="B4525" s="452" t="str">
        <f>VLOOKUP(A4525,'Thống kê'!$C$3:$D$669,2,0)</f>
        <v>Móc khoá Crybaby mini Popmart</v>
      </c>
      <c r="C4525" s="436" t="str">
        <f>VLOOKUP(A4525,'Thống kê'!$C$3:$E$682,3,0)</f>
        <v>cái</v>
      </c>
      <c r="D4525" s="437">
        <f>VLOOKUP(A4525,'Thống kê'!$C$3:$M$682,4,0)</f>
        <v>0</v>
      </c>
      <c r="E4525" s="438">
        <v>1</v>
      </c>
      <c r="F4525" s="439">
        <f t="shared" si="18"/>
        <v>0</v>
      </c>
      <c r="G4525" s="440"/>
      <c r="H4525" s="450"/>
    </row>
    <row r="4526" spans="1:8" ht="13.2">
      <c r="A4526" s="454" t="s">
        <v>1388</v>
      </c>
      <c r="B4526" s="452" t="str">
        <f>VLOOKUP(A4526,'Thống kê'!$C$3:$D$669,2,0)</f>
        <v>Móc khoá Crybaby mini Popmart</v>
      </c>
      <c r="C4526" s="436" t="str">
        <f>VLOOKUP(A4526,'Thống kê'!$C$3:$E$682,3,0)</f>
        <v>cái</v>
      </c>
      <c r="D4526" s="437">
        <f>VLOOKUP(A4526,'Thống kê'!$C$3:$M$682,4,0)</f>
        <v>0</v>
      </c>
      <c r="E4526" s="438">
        <v>1</v>
      </c>
      <c r="F4526" s="439">
        <f t="shared" si="18"/>
        <v>0</v>
      </c>
      <c r="G4526" s="440"/>
      <c r="H4526" s="450"/>
    </row>
    <row r="4527" spans="1:8" ht="13.2">
      <c r="A4527" s="454" t="s">
        <v>1660</v>
      </c>
      <c r="B4527" s="452" t="str">
        <f>VLOOKUP(A4527,'Thống kê'!$C$3:$D$669,2,0)</f>
        <v>Móc khóa Popbean Skull Panda</v>
      </c>
      <c r="C4527" s="436" t="str">
        <f>VLOOKUP(A4527,'Thống kê'!$C$3:$E$682,3,0)</f>
        <v>cái</v>
      </c>
      <c r="D4527" s="437">
        <f>VLOOKUP(A4527,'Thống kê'!$C$3:$M$682,4,0)</f>
        <v>155000</v>
      </c>
      <c r="E4527" s="438">
        <v>1</v>
      </c>
      <c r="F4527" s="439">
        <f t="shared" si="18"/>
        <v>155000</v>
      </c>
      <c r="G4527" s="440"/>
      <c r="H4527" s="447">
        <v>233864</v>
      </c>
    </row>
    <row r="4528" spans="1:8" ht="13.2">
      <c r="A4528" s="454" t="s">
        <v>1424</v>
      </c>
      <c r="B4528" s="452" t="str">
        <f>VLOOKUP(A4528,'Thống kê'!$C$3:$D$669,2,0)</f>
        <v>Móc khoá Crybaby mini Popmart</v>
      </c>
      <c r="C4528" s="436" t="str">
        <f>VLOOKUP(A4528,'Thống kê'!$C$3:$E$682,3,0)</f>
        <v>cái</v>
      </c>
      <c r="D4528" s="437">
        <f>VLOOKUP(A4528,'Thống kê'!$C$3:$M$682,4,0)</f>
        <v>145000</v>
      </c>
      <c r="E4528" s="438">
        <v>1</v>
      </c>
      <c r="F4528" s="439">
        <f t="shared" si="18"/>
        <v>145000</v>
      </c>
      <c r="G4528" s="440"/>
      <c r="H4528" s="450"/>
    </row>
    <row r="4529" spans="1:8" ht="13.2">
      <c r="A4529" s="454" t="s">
        <v>1716</v>
      </c>
      <c r="B4529" s="452" t="str">
        <f>VLOOKUP(A4529,'Thống kê'!$C$3:$D$669,2,0)</f>
        <v>Móc khóa đôi 2 quả lê có nam châm</v>
      </c>
      <c r="C4529" s="436" t="str">
        <f>VLOOKUP(A4529,'Thống kê'!$C$3:$E$682,3,0)</f>
        <v>cái</v>
      </c>
      <c r="D4529" s="437">
        <f>VLOOKUP(A4529,'Thống kê'!$C$3:$M$682,4,0)</f>
        <v>59000</v>
      </c>
      <c r="E4529" s="438">
        <v>1</v>
      </c>
      <c r="F4529" s="439">
        <f t="shared" si="18"/>
        <v>59000</v>
      </c>
      <c r="G4529" s="440"/>
      <c r="H4529" s="448">
        <v>44280</v>
      </c>
    </row>
    <row r="4530" spans="1:8" ht="13.2">
      <c r="A4530" s="454" t="s">
        <v>170</v>
      </c>
      <c r="B4530" s="452" t="str">
        <f>VLOOKUP(A4530,'Thống kê'!$C$3:$D$669,2,0)</f>
        <v>Móc khóa chuối</v>
      </c>
      <c r="C4530" s="436" t="str">
        <f>VLOOKUP(A4530,'Thống kê'!$C$3:$E$682,3,0)</f>
        <v>cái</v>
      </c>
      <c r="D4530" s="437">
        <f>VLOOKUP(A4530,'Thống kê'!$C$3:$M$682,4,0)</f>
        <v>148000</v>
      </c>
      <c r="E4530" s="438">
        <v>1</v>
      </c>
      <c r="F4530" s="439">
        <f t="shared" si="18"/>
        <v>148000</v>
      </c>
      <c r="G4530" s="440"/>
      <c r="H4530" s="448">
        <v>80284</v>
      </c>
    </row>
    <row r="4531" spans="1:8" ht="13.2">
      <c r="A4531" s="454" t="s">
        <v>1403</v>
      </c>
      <c r="B4531" s="452" t="str">
        <f>VLOOKUP(A4531,'Thống kê'!$C$3:$D$669,2,0)</f>
        <v>Móc khoá Dimoo size mini (hàng remake) hồng</v>
      </c>
      <c r="C4531" s="436" t="str">
        <f>VLOOKUP(A4531,'Thống kê'!$C$3:$E$682,3,0)</f>
        <v>cái</v>
      </c>
      <c r="D4531" s="437">
        <f>VLOOKUP(A4531,'Thống kê'!$C$3:$M$682,4,0)</f>
        <v>0</v>
      </c>
      <c r="E4531" s="438">
        <v>1</v>
      </c>
      <c r="F4531" s="439">
        <f t="shared" si="18"/>
        <v>0</v>
      </c>
      <c r="G4531" s="440"/>
      <c r="H4531" s="447">
        <v>556780</v>
      </c>
    </row>
    <row r="4532" spans="1:8" ht="13.2">
      <c r="A4532" s="454" t="s">
        <v>113</v>
      </c>
      <c r="B4532" s="452" t="str">
        <f>VLOOKUP(A4532,'Thống kê'!$C$3:$D$669,2,0)</f>
        <v>Móc khoá Dimoo size mini (hàng remake)</v>
      </c>
      <c r="C4532" s="436" t="str">
        <f>VLOOKUP(A4532,'Thống kê'!$C$3:$E$682,3,0)</f>
        <v>cái</v>
      </c>
      <c r="D4532" s="437">
        <f>VLOOKUP(A4532,'Thống kê'!$C$3:$M$682,4,0)</f>
        <v>0</v>
      </c>
      <c r="E4532" s="438">
        <v>1</v>
      </c>
      <c r="F4532" s="439">
        <f t="shared" si="18"/>
        <v>0</v>
      </c>
      <c r="G4532" s="440"/>
      <c r="H4532" s="450"/>
    </row>
    <row r="4533" spans="1:8" ht="13.2">
      <c r="A4533" s="454" t="s">
        <v>1384</v>
      </c>
      <c r="B4533" s="452" t="str">
        <f>VLOOKUP(A4533,'Thống kê'!$C$3:$D$669,2,0)</f>
        <v>Móc khoá Crybaby mini Popmart</v>
      </c>
      <c r="C4533" s="436" t="str">
        <f>VLOOKUP(A4533,'Thống kê'!$C$3:$E$682,3,0)</f>
        <v>cái</v>
      </c>
      <c r="D4533" s="437">
        <f>VLOOKUP(A4533,'Thống kê'!$C$3:$M$682,4,0)</f>
        <v>0</v>
      </c>
      <c r="E4533" s="438">
        <v>1</v>
      </c>
      <c r="F4533" s="439">
        <f t="shared" si="18"/>
        <v>0</v>
      </c>
      <c r="G4533" s="440"/>
      <c r="H4533" s="450"/>
    </row>
    <row r="4534" spans="1:8" ht="13.2">
      <c r="A4534" s="454" t="s">
        <v>1386</v>
      </c>
      <c r="B4534" s="452" t="str">
        <f>VLOOKUP(A4534,'Thống kê'!$C$3:$D$669,2,0)</f>
        <v>Móc khoá Crybaby mini Popmart</v>
      </c>
      <c r="C4534" s="436" t="str">
        <f>VLOOKUP(A4534,'Thống kê'!$C$3:$E$682,3,0)</f>
        <v>cái</v>
      </c>
      <c r="D4534" s="437">
        <f>VLOOKUP(A4534,'Thống kê'!$C$3:$M$682,4,0)</f>
        <v>0</v>
      </c>
      <c r="E4534" s="438">
        <v>1</v>
      </c>
      <c r="F4534" s="439">
        <f t="shared" si="18"/>
        <v>0</v>
      </c>
      <c r="G4534" s="440"/>
      <c r="H4534" s="450"/>
    </row>
    <row r="4535" spans="1:8" ht="13.2">
      <c r="A4535" s="454" t="s">
        <v>259</v>
      </c>
      <c r="B4535" s="452" t="str">
        <f>VLOOKUP(A4535,'Thống kê'!$C$3:$D$669,2,0)</f>
        <v>Móc khoá Crybaby mini Popmart</v>
      </c>
      <c r="C4535" s="436" t="str">
        <f>VLOOKUP(A4535,'Thống kê'!$C$3:$E$682,3,0)</f>
        <v>cái</v>
      </c>
      <c r="D4535" s="437">
        <f>VLOOKUP(A4535,'Thống kê'!$C$3:$M$682,4,0)</f>
        <v>0</v>
      </c>
      <c r="E4535" s="438">
        <v>1</v>
      </c>
      <c r="F4535" s="439">
        <f t="shared" si="18"/>
        <v>0</v>
      </c>
      <c r="G4535" s="440"/>
      <c r="H4535" s="450"/>
    </row>
    <row r="4536" spans="1:8" ht="13.2">
      <c r="A4536" s="454" t="s">
        <v>1690</v>
      </c>
      <c r="B4536" s="452">
        <f>VLOOKUP(A4536,'Thống kê'!$C$3:$D$669,2,0)</f>
        <v>0</v>
      </c>
      <c r="C4536" s="436" t="str">
        <f>VLOOKUP(A4536,'Thống kê'!$C$3:$E$682,3,0)</f>
        <v>cái</v>
      </c>
      <c r="D4536" s="437">
        <f>VLOOKUP(A4536,'Thống kê'!$C$3:$M$682,4,0)</f>
        <v>0</v>
      </c>
      <c r="E4536" s="438">
        <v>1</v>
      </c>
      <c r="F4536" s="439">
        <f t="shared" si="18"/>
        <v>0</v>
      </c>
      <c r="G4536" s="440"/>
      <c r="H4536" s="448">
        <v>20192</v>
      </c>
    </row>
    <row r="4537" spans="1:8" ht="13.2">
      <c r="A4537" s="454" t="s">
        <v>281</v>
      </c>
      <c r="B4537" s="452">
        <f>VLOOKUP(A4537,'Thống kê'!$C$3:$D$669,2,0)</f>
        <v>0</v>
      </c>
      <c r="C4537" s="436" t="str">
        <f>VLOOKUP(A4537,'Thống kê'!$C$3:$E$682,3,0)</f>
        <v>cái</v>
      </c>
      <c r="D4537" s="437">
        <f>VLOOKUP(A4537,'Thống kê'!$C$3:$M$682,4,0)</f>
        <v>0</v>
      </c>
      <c r="E4537" s="438">
        <v>2</v>
      </c>
      <c r="F4537" s="439">
        <f t="shared" si="18"/>
        <v>0</v>
      </c>
      <c r="G4537" s="440"/>
      <c r="H4537" s="447">
        <v>575000</v>
      </c>
    </row>
    <row r="4538" spans="1:8" ht="13.2">
      <c r="A4538" s="454" t="s">
        <v>1713</v>
      </c>
      <c r="B4538" s="452">
        <f>VLOOKUP(A4538,'Thống kê'!$C$3:$D$669,2,0)</f>
        <v>0</v>
      </c>
      <c r="C4538" s="436" t="str">
        <f>VLOOKUP(A4538,'Thống kê'!$C$3:$E$682,3,0)</f>
        <v>cái</v>
      </c>
      <c r="D4538" s="437">
        <f>VLOOKUP(A4538,'Thống kê'!$C$3:$M$682,4,0)</f>
        <v>0</v>
      </c>
      <c r="E4538" s="438">
        <v>2</v>
      </c>
      <c r="F4538" s="439">
        <f t="shared" si="18"/>
        <v>0</v>
      </c>
      <c r="G4538" s="440"/>
      <c r="H4538" s="450"/>
    </row>
    <row r="4539" spans="1:8" ht="13.2">
      <c r="A4539" s="454" t="s">
        <v>1714</v>
      </c>
      <c r="B4539" s="452">
        <f>VLOOKUP(A4539,'Thống kê'!$C$3:$D$669,2,0)</f>
        <v>0</v>
      </c>
      <c r="C4539" s="436" t="str">
        <f>VLOOKUP(A4539,'Thống kê'!$C$3:$E$682,3,0)</f>
        <v>cái</v>
      </c>
      <c r="D4539" s="437">
        <f>VLOOKUP(A4539,'Thống kê'!$C$3:$M$682,4,0)</f>
        <v>0</v>
      </c>
      <c r="E4539" s="438">
        <v>2</v>
      </c>
      <c r="F4539" s="439">
        <f t="shared" si="18"/>
        <v>0</v>
      </c>
      <c r="G4539" s="440"/>
      <c r="H4539" s="450"/>
    </row>
    <row r="4540" spans="1:8" ht="13.2">
      <c r="A4540" s="454" t="s">
        <v>1714</v>
      </c>
      <c r="B4540" s="452">
        <f>VLOOKUP(A4540,'Thống kê'!$C$3:$D$669,2,0)</f>
        <v>0</v>
      </c>
      <c r="C4540" s="436" t="str">
        <f>VLOOKUP(A4540,'Thống kê'!$C$3:$E$682,3,0)</f>
        <v>cái</v>
      </c>
      <c r="D4540" s="437">
        <f>VLOOKUP(A4540,'Thống kê'!$C$3:$M$682,4,0)</f>
        <v>0</v>
      </c>
      <c r="E4540" s="438">
        <v>1</v>
      </c>
      <c r="F4540" s="439">
        <f t="shared" si="18"/>
        <v>0</v>
      </c>
      <c r="G4540" s="440"/>
      <c r="H4540" s="447">
        <v>221040</v>
      </c>
    </row>
    <row r="4541" spans="1:8" ht="13.2">
      <c r="A4541" s="454" t="s">
        <v>1401</v>
      </c>
      <c r="B4541" s="452" t="str">
        <f>VLOOKUP(A4541,'Thống kê'!$C$3:$D$669,2,0)</f>
        <v>Móc khoá Dimoo size mini (hàng remake)</v>
      </c>
      <c r="C4541" s="436" t="str">
        <f>VLOOKUP(A4541,'Thống kê'!$C$3:$E$682,3,0)</f>
        <v>cái</v>
      </c>
      <c r="D4541" s="437">
        <f>VLOOKUP(A4541,'Thống kê'!$C$3:$M$682,4,0)</f>
        <v>0</v>
      </c>
      <c r="E4541" s="438">
        <v>1</v>
      </c>
      <c r="F4541" s="439">
        <f t="shared" si="18"/>
        <v>0</v>
      </c>
      <c r="G4541" s="440"/>
      <c r="H4541" s="450"/>
    </row>
    <row r="4542" spans="1:8" ht="13.2">
      <c r="A4542" s="454" t="s">
        <v>1696</v>
      </c>
      <c r="B4542" s="452" t="str">
        <f>VLOOKUP(A4542,'Thống kê'!$C$3:$D$669,2,0)</f>
        <v>gấu</v>
      </c>
      <c r="C4542" s="436" t="str">
        <f>VLOOKUP(A4542,'Thống kê'!$C$3:$E$682,3,0)</f>
        <v>cái</v>
      </c>
      <c r="D4542" s="437">
        <f>VLOOKUP(A4542,'Thống kê'!$C$3:$M$682,4,0)</f>
        <v>35000</v>
      </c>
      <c r="E4542" s="438">
        <v>1</v>
      </c>
      <c r="F4542" s="439">
        <f t="shared" si="18"/>
        <v>35000</v>
      </c>
      <c r="G4542" s="440"/>
      <c r="H4542" s="450"/>
    </row>
    <row r="4543" spans="1:8" ht="13.2">
      <c r="A4543" s="454" t="s">
        <v>1388</v>
      </c>
      <c r="B4543" s="452" t="str">
        <f>VLOOKUP(A4543,'Thống kê'!$C$3:$D$669,2,0)</f>
        <v>Móc khoá Crybaby mini Popmart</v>
      </c>
      <c r="C4543" s="436" t="str">
        <f>VLOOKUP(A4543,'Thống kê'!$C$3:$E$682,3,0)</f>
        <v>cái</v>
      </c>
      <c r="D4543" s="437">
        <f>VLOOKUP(A4543,'Thống kê'!$C$3:$M$682,4,0)</f>
        <v>0</v>
      </c>
      <c r="E4543" s="438">
        <v>1</v>
      </c>
      <c r="F4543" s="439">
        <f t="shared" si="18"/>
        <v>0</v>
      </c>
      <c r="G4543" s="440"/>
      <c r="H4543" s="448">
        <v>102516</v>
      </c>
    </row>
    <row r="4544" spans="1:8" ht="13.2">
      <c r="A4544" s="454" t="s">
        <v>1349</v>
      </c>
      <c r="B4544" s="452" t="str">
        <f>VLOOKUP(A4544,'Thống kê'!$C$3:$D$669,2,0)</f>
        <v>Túi chườm bụng 1000ml</v>
      </c>
      <c r="C4544" s="436" t="str">
        <f>VLOOKUP(A4544,'Thống kê'!$C$3:$E$682,3,0)</f>
        <v>túi</v>
      </c>
      <c r="D4544" s="437">
        <f>VLOOKUP(A4544,'Thống kê'!$C$3:$M$682,4,0)</f>
        <v>119000</v>
      </c>
      <c r="E4544" s="438">
        <v>1</v>
      </c>
      <c r="F4544" s="439">
        <f t="shared" si="18"/>
        <v>119000</v>
      </c>
      <c r="G4544" s="440"/>
      <c r="H4544" s="448">
        <v>84387</v>
      </c>
    </row>
    <row r="4545" spans="1:8" ht="13.2">
      <c r="A4545" s="454" t="s">
        <v>1389</v>
      </c>
      <c r="B4545" s="452" t="str">
        <f>VLOOKUP(A4545,'Thống kê'!$C$3:$D$669,2,0)</f>
        <v>Móc khoá Crybaby mini Popmart</v>
      </c>
      <c r="C4545" s="436" t="str">
        <f>VLOOKUP(A4545,'Thống kê'!$C$3:$E$682,3,0)</f>
        <v>cái</v>
      </c>
      <c r="D4545" s="437">
        <f>VLOOKUP(A4545,'Thống kê'!$C$3:$M$682,4,0)</f>
        <v>0</v>
      </c>
      <c r="E4545" s="438">
        <v>1</v>
      </c>
      <c r="F4545" s="439">
        <f t="shared" si="18"/>
        <v>0</v>
      </c>
      <c r="G4545" s="440"/>
      <c r="H4545" s="448">
        <v>109060</v>
      </c>
    </row>
    <row r="4546" spans="1:8" ht="13.2">
      <c r="A4546" s="454" t="s">
        <v>259</v>
      </c>
      <c r="B4546" s="452" t="str">
        <f>VLOOKUP(A4546,'Thống kê'!$C$3:$D$669,2,0)</f>
        <v>Móc khoá Crybaby mini Popmart</v>
      </c>
      <c r="C4546" s="436" t="str">
        <f>VLOOKUP(A4546,'Thống kê'!$C$3:$E$682,3,0)</f>
        <v>cái</v>
      </c>
      <c r="D4546" s="437">
        <f>VLOOKUP(A4546,'Thống kê'!$C$3:$M$682,4,0)</f>
        <v>0</v>
      </c>
      <c r="E4546" s="438">
        <v>1</v>
      </c>
      <c r="F4546" s="439">
        <f t="shared" si="18"/>
        <v>0</v>
      </c>
      <c r="G4546" s="440"/>
      <c r="H4546" s="448">
        <v>102516</v>
      </c>
    </row>
    <row r="4547" spans="1:8" ht="13.2">
      <c r="A4547" s="454" t="s">
        <v>1396</v>
      </c>
      <c r="B4547" s="452" t="str">
        <f>VLOOKUP(A4547,'Thống kê'!$C$3:$D$669,2,0)</f>
        <v>Móc khoá Labubu mini Popmart</v>
      </c>
      <c r="C4547" s="436" t="str">
        <f>VLOOKUP(A4547,'Thống kê'!$C$3:$E$682,3,0)</f>
        <v>cái</v>
      </c>
      <c r="D4547" s="437">
        <f>VLOOKUP(A4547,'Thống kê'!$C$3:$M$682,4,0)</f>
        <v>0</v>
      </c>
      <c r="E4547" s="438">
        <v>1</v>
      </c>
      <c r="F4547" s="439">
        <f t="shared" si="18"/>
        <v>0</v>
      </c>
      <c r="G4547" s="440"/>
      <c r="H4547" s="448">
        <v>92496</v>
      </c>
    </row>
    <row r="4548" spans="1:8" ht="13.2">
      <c r="A4548" s="454" t="s">
        <v>1210</v>
      </c>
      <c r="B4548" s="452" t="str">
        <f>VLOOKUP(A4548,'Thống kê'!$C$3:$D$669,2,0)</f>
        <v>Shiba ú cầm hoa</v>
      </c>
      <c r="C4548" s="436" t="str">
        <f>VLOOKUP(A4548,'Thống kê'!$C$3:$E$682,3,0)</f>
        <v>cái</v>
      </c>
      <c r="D4548" s="437">
        <f>VLOOKUP(A4548,'Thống kê'!$C$3:$M$682,4,0)</f>
        <v>64500</v>
      </c>
      <c r="E4548" s="438">
        <v>1</v>
      </c>
      <c r="F4548" s="439">
        <f t="shared" si="18"/>
        <v>64500</v>
      </c>
      <c r="G4548" s="440"/>
      <c r="H4548" s="448">
        <v>63824</v>
      </c>
    </row>
    <row r="4549" spans="1:8" ht="13.2">
      <c r="A4549" s="454" t="s">
        <v>1964</v>
      </c>
      <c r="B4549" s="452" t="str">
        <f>VLOOKUP(A4549,'Thống kê'!$C$3:$D$669,2,0)</f>
        <v>Túi chườm bụng gấu trúc 500ml</v>
      </c>
      <c r="C4549" s="436" t="str">
        <f>VLOOKUP(A4549,'Thống kê'!$C$3:$E$682,3,0)</f>
        <v>túi</v>
      </c>
      <c r="D4549" s="437">
        <f>VLOOKUP(A4549,'Thống kê'!$C$3:$M$682,4,0)</f>
        <v>81000</v>
      </c>
      <c r="E4549" s="438">
        <v>1</v>
      </c>
      <c r="F4549" s="439">
        <f t="shared" si="18"/>
        <v>81000</v>
      </c>
      <c r="G4549" s="440"/>
      <c r="H4549" s="448">
        <v>56106</v>
      </c>
    </row>
    <row r="4550" spans="1:8" ht="13.2">
      <c r="A4550" s="454" t="s">
        <v>1788</v>
      </c>
      <c r="B4550" s="452" t="str">
        <f>VLOOKUP(A4550,'Thống kê'!$C$3:$D$669,2,0)</f>
        <v>Túi chườm bụng thỏ hồng 500ml</v>
      </c>
      <c r="C4550" s="436" t="str">
        <f>VLOOKUP(A4550,'Thống kê'!$C$3:$E$682,3,0)</f>
        <v>túi</v>
      </c>
      <c r="D4550" s="437">
        <f>VLOOKUP(A4550,'Thống kê'!$C$3:$M$682,4,0)</f>
        <v>81000</v>
      </c>
      <c r="E4550" s="438">
        <v>1</v>
      </c>
      <c r="F4550" s="439">
        <f t="shared" si="18"/>
        <v>81000</v>
      </c>
      <c r="G4550" s="440"/>
      <c r="H4550" s="448">
        <v>56806</v>
      </c>
    </row>
    <row r="4551" spans="1:8" ht="13.2">
      <c r="A4551" s="454" t="s">
        <v>2099</v>
      </c>
      <c r="B4551" s="452" t="str">
        <f>VLOOKUP(A4551,'Thống kê'!$C$3:$D$669,2,0)</f>
        <v>Buộc tóc trắng vải</v>
      </c>
      <c r="C4551" s="436" t="str">
        <f>VLOOKUP(A4551,'Thống kê'!$C$3:$E$682,3,0)</f>
        <v>cái</v>
      </c>
      <c r="D4551" s="437">
        <f>VLOOKUP(A4551,'Thống kê'!$C$3:$M$682,4,0)</f>
        <v>13000</v>
      </c>
      <c r="E4551" s="438">
        <v>1</v>
      </c>
      <c r="F4551" s="439">
        <f t="shared" si="18"/>
        <v>13000</v>
      </c>
      <c r="G4551" s="440"/>
      <c r="H4551" s="447">
        <v>97860</v>
      </c>
    </row>
    <row r="4552" spans="1:8" ht="13.2">
      <c r="A4552" s="454" t="s">
        <v>281</v>
      </c>
      <c r="B4552" s="452">
        <f>VLOOKUP(A4552,'Thống kê'!$C$3:$D$669,2,0)</f>
        <v>0</v>
      </c>
      <c r="C4552" s="436" t="str">
        <f>VLOOKUP(A4552,'Thống kê'!$C$3:$E$682,3,0)</f>
        <v>cái</v>
      </c>
      <c r="D4552" s="437">
        <f>VLOOKUP(A4552,'Thống kê'!$C$3:$M$682,4,0)</f>
        <v>0</v>
      </c>
      <c r="E4552" s="438">
        <v>1</v>
      </c>
      <c r="F4552" s="439">
        <f t="shared" si="18"/>
        <v>0</v>
      </c>
      <c r="G4552" s="440"/>
      <c r="H4552" s="450"/>
    </row>
    <row r="4553" spans="1:8" ht="13.2">
      <c r="A4553" s="454" t="s">
        <v>1595</v>
      </c>
      <c r="B4553" s="452" t="str">
        <f>VLOOKUP(A4553,'Thống kê'!$C$3:$D$669,2,0)</f>
        <v>Dao rọc giấy 08</v>
      </c>
      <c r="C4553" s="436" t="str">
        <f>VLOOKUP(A4553,'Thống kê'!$C$3:$E$682,3,0)</f>
        <v>cái</v>
      </c>
      <c r="D4553" s="437">
        <f>VLOOKUP(A4553,'Thống kê'!$C$3:$M$682,4,0)</f>
        <v>12000</v>
      </c>
      <c r="E4553" s="438">
        <v>1</v>
      </c>
      <c r="F4553" s="439">
        <f t="shared" si="18"/>
        <v>12000</v>
      </c>
      <c r="G4553" s="440"/>
      <c r="H4553" s="447">
        <v>46146</v>
      </c>
    </row>
    <row r="4554" spans="1:8" ht="13.2">
      <c r="A4554" s="454" t="s">
        <v>1690</v>
      </c>
      <c r="B4554" s="452">
        <f>VLOOKUP(A4554,'Thống kê'!$C$3:$D$669,2,0)</f>
        <v>0</v>
      </c>
      <c r="C4554" s="436" t="str">
        <f>VLOOKUP(A4554,'Thống kê'!$C$3:$E$682,3,0)</f>
        <v>cái</v>
      </c>
      <c r="D4554" s="437">
        <f>VLOOKUP(A4554,'Thống kê'!$C$3:$M$682,4,0)</f>
        <v>0</v>
      </c>
      <c r="E4554" s="438">
        <v>2</v>
      </c>
      <c r="F4554" s="439">
        <f t="shared" si="18"/>
        <v>0</v>
      </c>
      <c r="G4554" s="440"/>
      <c r="H4554" s="450"/>
    </row>
    <row r="4555" spans="1:8" ht="13.2">
      <c r="A4555" s="454" t="s">
        <v>325</v>
      </c>
      <c r="B4555" s="452" t="str">
        <f>VLOOKUP(A4555,'Thống kê'!$C$3:$D$669,2,0)</f>
        <v>Gấu ú</v>
      </c>
      <c r="C4555" s="436" t="str">
        <f>VLOOKUP(A4555,'Thống kê'!$C$3:$E$682,3,0)</f>
        <v>cái</v>
      </c>
      <c r="D4555" s="437">
        <f>VLOOKUP(A4555,'Thống kê'!$C$3:$M$682,4,0)</f>
        <v>59500</v>
      </c>
      <c r="E4555" s="438">
        <v>1</v>
      </c>
      <c r="F4555" s="439">
        <f t="shared" si="18"/>
        <v>59500</v>
      </c>
      <c r="G4555" s="440"/>
      <c r="H4555" s="448">
        <v>48708</v>
      </c>
    </row>
    <row r="4556" spans="1:8" ht="13.2">
      <c r="A4556" s="454" t="s">
        <v>1387</v>
      </c>
      <c r="B4556" s="452" t="str">
        <f>VLOOKUP(A4556,'Thống kê'!$C$3:$D$669,2,0)</f>
        <v>Móc khoá Crybaby mini Popmart</v>
      </c>
      <c r="C4556" s="436" t="str">
        <f>VLOOKUP(A4556,'Thống kê'!$C$3:$E$682,3,0)</f>
        <v>cái</v>
      </c>
      <c r="D4556" s="437">
        <f>VLOOKUP(A4556,'Thống kê'!$C$3:$M$682,4,0)</f>
        <v>0</v>
      </c>
      <c r="E4556" s="438">
        <v>1</v>
      </c>
      <c r="F4556" s="439">
        <f t="shared" si="18"/>
        <v>0</v>
      </c>
      <c r="G4556" s="440"/>
      <c r="H4556" s="448">
        <v>102516</v>
      </c>
    </row>
    <row r="4557" spans="1:8" ht="13.2">
      <c r="A4557" s="454" t="s">
        <v>1389</v>
      </c>
      <c r="B4557" s="452" t="str">
        <f>VLOOKUP(A4557,'Thống kê'!$C$3:$D$669,2,0)</f>
        <v>Móc khoá Crybaby mini Popmart</v>
      </c>
      <c r="C4557" s="436" t="str">
        <f>VLOOKUP(A4557,'Thống kê'!$C$3:$E$682,3,0)</f>
        <v>cái</v>
      </c>
      <c r="D4557" s="437">
        <f>VLOOKUP(A4557,'Thống kê'!$C$3:$M$682,4,0)</f>
        <v>0</v>
      </c>
      <c r="E4557" s="438">
        <v>1</v>
      </c>
      <c r="F4557" s="439">
        <f t="shared" si="18"/>
        <v>0</v>
      </c>
      <c r="G4557" s="440"/>
      <c r="H4557" s="448">
        <v>101691</v>
      </c>
    </row>
    <row r="4558" spans="1:8" ht="13.2">
      <c r="A4558" s="454" t="s">
        <v>128</v>
      </c>
      <c r="B4558" s="452" t="str">
        <f>VLOOKUP(A4558,'Thống kê'!$C$3:$D$669,2,0)</f>
        <v>Mèo ú bay</v>
      </c>
      <c r="C4558" s="436" t="str">
        <f>VLOOKUP(A4558,'Thống kê'!$C$3:$E$682,3,0)</f>
        <v>cái</v>
      </c>
      <c r="D4558" s="437">
        <f>VLOOKUP(A4558,'Thống kê'!$C$3:$M$682,4,0)</f>
        <v>64500</v>
      </c>
      <c r="E4558" s="438">
        <v>1</v>
      </c>
      <c r="F4558" s="439">
        <f t="shared" si="18"/>
        <v>64500</v>
      </c>
      <c r="G4558" s="440"/>
      <c r="H4558" s="447">
        <v>121688</v>
      </c>
    </row>
    <row r="4559" spans="1:8" ht="13.2">
      <c r="A4559" s="454" t="s">
        <v>186</v>
      </c>
      <c r="B4559" s="452" t="str">
        <f>VLOOKUP(A4559,'Thống kê'!$C$3:$D$669,2,0)</f>
        <v>Thỏ ú bay</v>
      </c>
      <c r="C4559" s="436" t="str">
        <f>VLOOKUP(A4559,'Thống kê'!$C$3:$E$682,3,0)</f>
        <v>cái</v>
      </c>
      <c r="D4559" s="437">
        <f>VLOOKUP(A4559,'Thống kê'!$C$3:$M$682,4,0)</f>
        <v>64500</v>
      </c>
      <c r="E4559" s="438">
        <v>1</v>
      </c>
      <c r="F4559" s="439">
        <f t="shared" si="18"/>
        <v>64500</v>
      </c>
      <c r="G4559" s="440"/>
      <c r="H4559" s="450"/>
    </row>
    <row r="4560" spans="1:8" ht="13.2">
      <c r="A4560" s="454" t="s">
        <v>1351</v>
      </c>
      <c r="B4560" s="452" t="str">
        <f>VLOOKUP(A4560,'Thống kê'!$C$3:$D$669,2,0)</f>
        <v>Trang trí mô hình Heo</v>
      </c>
      <c r="C4560" s="436" t="str">
        <f>VLOOKUP(A4560,'Thống kê'!$C$3:$E$682,3,0)</f>
        <v>cái</v>
      </c>
      <c r="D4560" s="437">
        <f>VLOOKUP(A4560,'Thống kê'!$C$3:$M$682,4,0)</f>
        <v>39000</v>
      </c>
      <c r="E4560" s="438">
        <v>1</v>
      </c>
      <c r="F4560" s="439">
        <f t="shared" si="18"/>
        <v>39000</v>
      </c>
      <c r="G4560" s="440"/>
      <c r="H4560" s="447">
        <v>100000</v>
      </c>
    </row>
    <row r="4561" spans="1:8" ht="13.2">
      <c r="A4561" s="454" t="s">
        <v>310</v>
      </c>
      <c r="B4561" s="452" t="str">
        <f>VLOOKUP(A4561,'Thống kê'!$C$3:$D$669,2,0)</f>
        <v>Trang trí mô hình Heo</v>
      </c>
      <c r="C4561" s="436" t="str">
        <f>VLOOKUP(A4561,'Thống kê'!$C$3:$E$682,3,0)</f>
        <v>cái</v>
      </c>
      <c r="D4561" s="437">
        <f>VLOOKUP(A4561,'Thống kê'!$C$3:$M$682,4,0)</f>
        <v>39000</v>
      </c>
      <c r="E4561" s="438">
        <v>1</v>
      </c>
      <c r="F4561" s="439">
        <f t="shared" si="18"/>
        <v>39000</v>
      </c>
      <c r="G4561" s="440"/>
      <c r="H4561" s="450"/>
    </row>
    <row r="4562" spans="1:8" ht="13.2">
      <c r="A4562" s="454" t="s">
        <v>1353</v>
      </c>
      <c r="B4562" s="452" t="str">
        <f>VLOOKUP(A4562,'Thống kê'!$C$3:$D$669,2,0)</f>
        <v>Trang trí mô hình Vịt</v>
      </c>
      <c r="C4562" s="436" t="str">
        <f>VLOOKUP(A4562,'Thống kê'!$C$3:$E$682,3,0)</f>
        <v>cái</v>
      </c>
      <c r="D4562" s="437">
        <f>VLOOKUP(A4562,'Thống kê'!$C$3:$M$682,4,0)</f>
        <v>39000</v>
      </c>
      <c r="E4562" s="438">
        <v>1</v>
      </c>
      <c r="F4562" s="439">
        <f t="shared" si="18"/>
        <v>39000</v>
      </c>
      <c r="G4562" s="440"/>
      <c r="H4562" s="450"/>
    </row>
    <row r="4563" spans="1:8" ht="13.2">
      <c r="A4563" s="454" t="s">
        <v>1357</v>
      </c>
      <c r="B4563" s="452" t="str">
        <f>VLOOKUP(A4563,'Thống kê'!$C$3:$D$669,2,0)</f>
        <v>Trang trí mô hình Thỏ</v>
      </c>
      <c r="C4563" s="436" t="str">
        <f>VLOOKUP(A4563,'Thống kê'!$C$3:$E$682,3,0)</f>
        <v>cái</v>
      </c>
      <c r="D4563" s="437">
        <f>VLOOKUP(A4563,'Thống kê'!$C$3:$M$682,4,0)</f>
        <v>39000</v>
      </c>
      <c r="E4563" s="438">
        <v>1</v>
      </c>
      <c r="F4563" s="439">
        <f t="shared" si="18"/>
        <v>39000</v>
      </c>
      <c r="G4563" s="440"/>
      <c r="H4563" s="450"/>
    </row>
    <row r="4564" spans="1:8" ht="13.2">
      <c r="A4564" s="454" t="s">
        <v>1346</v>
      </c>
      <c r="B4564" s="452" t="str">
        <f>VLOOKUP(A4564,'Thống kê'!$C$3:$D$669,2,0)</f>
        <v>Móc khóa chuối</v>
      </c>
      <c r="C4564" s="436" t="str">
        <f>VLOOKUP(A4564,'Thống kê'!$C$3:$E$682,3,0)</f>
        <v>cái</v>
      </c>
      <c r="D4564" s="437">
        <f>VLOOKUP(A4564,'Thống kê'!$C$3:$M$682,4,0)</f>
        <v>148000</v>
      </c>
      <c r="E4564" s="438">
        <v>1</v>
      </c>
      <c r="F4564" s="439">
        <f t="shared" si="18"/>
        <v>148000</v>
      </c>
      <c r="G4564" s="440"/>
      <c r="H4564" s="448">
        <v>81550</v>
      </c>
    </row>
    <row r="4565" spans="1:8" ht="13.2">
      <c r="A4565" s="454" t="s">
        <v>258</v>
      </c>
      <c r="B4565" s="452" t="str">
        <f>VLOOKUP(A4565,'Thống kê'!$C$3:$D$669,2,0)</f>
        <v>Móc khoá Crybaby mini Popmart</v>
      </c>
      <c r="C4565" s="436" t="str">
        <f>VLOOKUP(A4565,'Thống kê'!$C$3:$E$682,3,0)</f>
        <v>cái</v>
      </c>
      <c r="D4565" s="437">
        <f>VLOOKUP(A4565,'Thống kê'!$C$3:$M$682,4,0)</f>
        <v>0</v>
      </c>
      <c r="E4565" s="438">
        <v>1</v>
      </c>
      <c r="F4565" s="439">
        <f t="shared" si="18"/>
        <v>0</v>
      </c>
      <c r="G4565" s="440"/>
      <c r="H4565" s="447">
        <v>302580</v>
      </c>
    </row>
    <row r="4566" spans="1:8" ht="13.2">
      <c r="A4566" s="454" t="s">
        <v>1384</v>
      </c>
      <c r="B4566" s="452" t="str">
        <f>VLOOKUP(A4566,'Thống kê'!$C$3:$D$669,2,0)</f>
        <v>Móc khoá Crybaby mini Popmart</v>
      </c>
      <c r="C4566" s="436" t="str">
        <f>VLOOKUP(A4566,'Thống kê'!$C$3:$E$682,3,0)</f>
        <v>cái</v>
      </c>
      <c r="D4566" s="437">
        <f>VLOOKUP(A4566,'Thống kê'!$C$3:$M$682,4,0)</f>
        <v>0</v>
      </c>
      <c r="E4566" s="438">
        <v>1</v>
      </c>
      <c r="F4566" s="439">
        <f t="shared" si="18"/>
        <v>0</v>
      </c>
      <c r="G4566" s="440"/>
      <c r="H4566" s="450"/>
    </row>
    <row r="4567" spans="1:8" ht="13.2">
      <c r="A4567" s="454" t="s">
        <v>259</v>
      </c>
      <c r="B4567" s="452" t="str">
        <f>VLOOKUP(A4567,'Thống kê'!$C$3:$D$669,2,0)</f>
        <v>Móc khoá Crybaby mini Popmart</v>
      </c>
      <c r="C4567" s="436" t="str">
        <f>VLOOKUP(A4567,'Thống kê'!$C$3:$E$682,3,0)</f>
        <v>cái</v>
      </c>
      <c r="D4567" s="437">
        <f>VLOOKUP(A4567,'Thống kê'!$C$3:$M$682,4,0)</f>
        <v>0</v>
      </c>
      <c r="E4567" s="438">
        <v>1</v>
      </c>
      <c r="F4567" s="439">
        <f t="shared" si="18"/>
        <v>0</v>
      </c>
      <c r="G4567" s="440"/>
      <c r="H4567" s="450"/>
    </row>
    <row r="4568" spans="1:8" ht="13.2">
      <c r="A4568" s="454" t="s">
        <v>128</v>
      </c>
      <c r="B4568" s="452" t="str">
        <f>VLOOKUP(A4568,'Thống kê'!$C$3:$D$669,2,0)</f>
        <v>Mèo ú bay</v>
      </c>
      <c r="C4568" s="436" t="str">
        <f>VLOOKUP(A4568,'Thống kê'!$C$3:$E$682,3,0)</f>
        <v>cái</v>
      </c>
      <c r="D4568" s="437">
        <f>VLOOKUP(A4568,'Thống kê'!$C$3:$M$682,4,0)</f>
        <v>64500</v>
      </c>
      <c r="E4568" s="438">
        <v>1</v>
      </c>
      <c r="F4568" s="439">
        <f t="shared" si="18"/>
        <v>64500</v>
      </c>
      <c r="G4568" s="440"/>
      <c r="H4568" s="448">
        <v>60024</v>
      </c>
    </row>
    <row r="4569" spans="1:8" ht="13.2">
      <c r="A4569" s="454" t="s">
        <v>1714</v>
      </c>
      <c r="B4569" s="452">
        <f>VLOOKUP(A4569,'Thống kê'!$C$3:$D$669,2,0)</f>
        <v>0</v>
      </c>
      <c r="C4569" s="436" t="str">
        <f>VLOOKUP(A4569,'Thống kê'!$C$3:$E$682,3,0)</f>
        <v>cái</v>
      </c>
      <c r="D4569" s="437">
        <f>VLOOKUP(A4569,'Thống kê'!$C$3:$M$682,4,0)</f>
        <v>0</v>
      </c>
      <c r="E4569" s="438">
        <v>2</v>
      </c>
      <c r="F4569" s="439">
        <f t="shared" si="18"/>
        <v>0</v>
      </c>
      <c r="G4569" s="440"/>
      <c r="H4569" s="447">
        <v>220000</v>
      </c>
    </row>
    <row r="4570" spans="1:8" ht="13.2">
      <c r="A4570" s="454" t="s">
        <v>1713</v>
      </c>
      <c r="B4570" s="452">
        <f>VLOOKUP(A4570,'Thống kê'!$C$3:$D$669,2,0)</f>
        <v>0</v>
      </c>
      <c r="C4570" s="436" t="str">
        <f>VLOOKUP(A4570,'Thống kê'!$C$3:$E$682,3,0)</f>
        <v>cái</v>
      </c>
      <c r="D4570" s="437">
        <f>VLOOKUP(A4570,'Thống kê'!$C$3:$M$682,4,0)</f>
        <v>0</v>
      </c>
      <c r="E4570" s="438">
        <v>1</v>
      </c>
      <c r="F4570" s="439">
        <f t="shared" si="18"/>
        <v>0</v>
      </c>
      <c r="G4570" s="440"/>
      <c r="H4570" s="450"/>
    </row>
    <row r="4571" spans="1:8" ht="13.2">
      <c r="A4571" s="454" t="s">
        <v>281</v>
      </c>
      <c r="B4571" s="452">
        <f>VLOOKUP(A4571,'Thống kê'!$C$3:$D$669,2,0)</f>
        <v>0</v>
      </c>
      <c r="C4571" s="436" t="str">
        <f>VLOOKUP(A4571,'Thống kê'!$C$3:$E$682,3,0)</f>
        <v>cái</v>
      </c>
      <c r="D4571" s="437">
        <f>VLOOKUP(A4571,'Thống kê'!$C$3:$M$682,4,0)</f>
        <v>0</v>
      </c>
      <c r="E4571" s="438">
        <v>1</v>
      </c>
      <c r="F4571" s="439">
        <f t="shared" si="18"/>
        <v>0</v>
      </c>
      <c r="G4571" s="440"/>
      <c r="H4571" s="447">
        <v>200000</v>
      </c>
    </row>
    <row r="4572" spans="1:8" ht="13.2">
      <c r="A4572" s="454" t="s">
        <v>1713</v>
      </c>
      <c r="B4572" s="452">
        <f>VLOOKUP(A4572,'Thống kê'!$C$3:$D$669,2,0)</f>
        <v>0</v>
      </c>
      <c r="C4572" s="436" t="str">
        <f>VLOOKUP(A4572,'Thống kê'!$C$3:$E$682,3,0)</f>
        <v>cái</v>
      </c>
      <c r="D4572" s="437">
        <f>VLOOKUP(A4572,'Thống kê'!$C$3:$M$682,4,0)</f>
        <v>0</v>
      </c>
      <c r="E4572" s="438">
        <v>2</v>
      </c>
      <c r="F4572" s="439">
        <f t="shared" si="18"/>
        <v>0</v>
      </c>
      <c r="G4572" s="440"/>
      <c r="H4572" s="450"/>
    </row>
    <row r="4573" spans="1:8" ht="13.2">
      <c r="A4573" s="454" t="s">
        <v>1384</v>
      </c>
      <c r="B4573" s="452" t="str">
        <f>VLOOKUP(A4573,'Thống kê'!$C$3:$D$669,2,0)</f>
        <v>Móc khoá Crybaby mini Popmart</v>
      </c>
      <c r="C4573" s="436" t="str">
        <f>VLOOKUP(A4573,'Thống kê'!$C$3:$E$682,3,0)</f>
        <v>cái</v>
      </c>
      <c r="D4573" s="437">
        <f>VLOOKUP(A4573,'Thống kê'!$C$3:$M$682,4,0)</f>
        <v>0</v>
      </c>
      <c r="E4573" s="438">
        <v>-1</v>
      </c>
      <c r="F4573" s="439">
        <f t="shared" si="18"/>
        <v>0</v>
      </c>
      <c r="G4573" s="440"/>
      <c r="H4573" s="447">
        <v>-126040</v>
      </c>
    </row>
    <row r="4574" spans="1:8" ht="13.2">
      <c r="A4574" s="454" t="s">
        <v>1922</v>
      </c>
      <c r="B4574" s="452" t="str">
        <f>VLOOKUP(A4574,'Thống kê'!$C$3:$D$669,2,0)</f>
        <v>Kẹp tóc trắng sữa</v>
      </c>
      <c r="C4574" s="436" t="str">
        <f>VLOOKUP(A4574,'Thống kê'!$C$3:$E$682,3,0)</f>
        <v>cái</v>
      </c>
      <c r="D4574" s="437">
        <f>VLOOKUP(A4574,'Thống kê'!$C$3:$M$682,4,0)</f>
        <v>14000</v>
      </c>
      <c r="E4574" s="438">
        <v>-1</v>
      </c>
      <c r="F4574" s="439">
        <f t="shared" si="18"/>
        <v>-14000</v>
      </c>
      <c r="G4574" s="440"/>
      <c r="H4574" s="450"/>
    </row>
    <row r="4575" spans="1:8" ht="13.2">
      <c r="A4575" s="454" t="s">
        <v>1386</v>
      </c>
      <c r="B4575" s="452" t="str">
        <f>VLOOKUP(A4575,'Thống kê'!$C$3:$D$669,2,0)</f>
        <v>Móc khoá Crybaby mini Popmart</v>
      </c>
      <c r="C4575" s="436" t="str">
        <f>VLOOKUP(A4575,'Thống kê'!$C$3:$E$682,3,0)</f>
        <v>cái</v>
      </c>
      <c r="D4575" s="437">
        <f>VLOOKUP(A4575,'Thống kê'!$C$3:$M$682,4,0)</f>
        <v>0</v>
      </c>
      <c r="E4575" s="438">
        <v>1</v>
      </c>
      <c r="F4575" s="439">
        <f t="shared" si="18"/>
        <v>0</v>
      </c>
      <c r="G4575" s="440"/>
      <c r="H4575" s="447">
        <v>-137000</v>
      </c>
    </row>
    <row r="4576" spans="1:8" ht="13.2">
      <c r="A4576" s="454" t="s">
        <v>1996</v>
      </c>
      <c r="B4576" s="452" t="str">
        <f>VLOOKUP(A4576,'Thống kê'!$C$3:$D$669,2,0)</f>
        <v>Kẹp tóc nâu</v>
      </c>
      <c r="C4576" s="436" t="str">
        <f>VLOOKUP(A4576,'Thống kê'!$C$3:$E$682,3,0)</f>
        <v>cái</v>
      </c>
      <c r="D4576" s="437">
        <f>VLOOKUP(A4576,'Thống kê'!$C$3:$M$682,4,0)</f>
        <v>14000</v>
      </c>
      <c r="E4576" s="438">
        <v>1</v>
      </c>
      <c r="F4576" s="439">
        <f t="shared" si="18"/>
        <v>14000</v>
      </c>
      <c r="G4576" s="440"/>
      <c r="H4576" s="450"/>
    </row>
    <row r="4577" spans="1:8" ht="13.2">
      <c r="A4577" s="454" t="s">
        <v>186</v>
      </c>
      <c r="B4577" s="452" t="str">
        <f>VLOOKUP(A4577,'Thống kê'!$C$3:$D$669,2,0)</f>
        <v>Thỏ ú bay</v>
      </c>
      <c r="C4577" s="436" t="str">
        <f>VLOOKUP(A4577,'Thống kê'!$C$3:$E$682,3,0)</f>
        <v>cái</v>
      </c>
      <c r="D4577" s="437">
        <f>VLOOKUP(A4577,'Thống kê'!$C$3:$M$682,4,0)</f>
        <v>64500</v>
      </c>
      <c r="E4577" s="438">
        <v>1</v>
      </c>
      <c r="F4577" s="439">
        <f t="shared" si="18"/>
        <v>64500</v>
      </c>
      <c r="G4577" s="440"/>
      <c r="H4577" s="447">
        <v>-144000</v>
      </c>
    </row>
    <row r="4578" spans="1:8" ht="13.2">
      <c r="A4578" s="454" t="s">
        <v>1624</v>
      </c>
      <c r="B4578" s="452" t="str">
        <f>VLOOKUP(A4578,'Thống kê'!$C$3:$D$669,2,0)</f>
        <v>Móc khóa mèo trái tim</v>
      </c>
      <c r="C4578" s="436" t="str">
        <f>VLOOKUP(A4578,'Thống kê'!$C$3:$E$682,3,0)</f>
        <v>cái</v>
      </c>
      <c r="D4578" s="437">
        <f>VLOOKUP(A4578,'Thống kê'!$C$3:$M$682,4,0)</f>
        <v>59000</v>
      </c>
      <c r="E4578" s="438">
        <v>1</v>
      </c>
      <c r="F4578" s="439">
        <f t="shared" si="18"/>
        <v>59000</v>
      </c>
      <c r="G4578" s="440"/>
      <c r="H4578" s="450"/>
    </row>
    <row r="4579" spans="1:8" ht="13.2">
      <c r="A4579" s="454" t="s">
        <v>1351</v>
      </c>
      <c r="B4579" s="452" t="str">
        <f>VLOOKUP(A4579,'Thống kê'!$C$3:$D$669,2,0)</f>
        <v>Trang trí mô hình Heo</v>
      </c>
      <c r="C4579" s="436" t="str">
        <f>VLOOKUP(A4579,'Thống kê'!$C$3:$E$682,3,0)</f>
        <v>cái</v>
      </c>
      <c r="D4579" s="437">
        <f>VLOOKUP(A4579,'Thống kê'!$C$3:$M$682,4,0)</f>
        <v>39000</v>
      </c>
      <c r="E4579" s="438">
        <v>1</v>
      </c>
      <c r="F4579" s="439">
        <f t="shared" si="18"/>
        <v>39000</v>
      </c>
      <c r="G4579" s="440"/>
      <c r="H4579" s="450"/>
    </row>
    <row r="4580" spans="1:8" ht="13.2">
      <c r="A4580" s="454" t="s">
        <v>1996</v>
      </c>
      <c r="B4580" s="452" t="str">
        <f>VLOOKUP(A4580,'Thống kê'!$C$3:$D$669,2,0)</f>
        <v>Kẹp tóc nâu</v>
      </c>
      <c r="C4580" s="436" t="str">
        <f>VLOOKUP(A4580,'Thống kê'!$C$3:$E$682,3,0)</f>
        <v>cái</v>
      </c>
      <c r="D4580" s="437">
        <f>VLOOKUP(A4580,'Thống kê'!$C$3:$M$682,4,0)</f>
        <v>14000</v>
      </c>
      <c r="E4580" s="438">
        <v>1</v>
      </c>
      <c r="F4580" s="439">
        <f t="shared" si="18"/>
        <v>14000</v>
      </c>
      <c r="G4580" s="440"/>
      <c r="H4580" s="450"/>
    </row>
    <row r="4581" spans="1:8" ht="13.2">
      <c r="A4581" s="454" t="s">
        <v>1384</v>
      </c>
      <c r="B4581" s="452" t="str">
        <f>VLOOKUP(A4581,'Thống kê'!$C$3:$D$669,2,0)</f>
        <v>Móc khoá Crybaby mini Popmart</v>
      </c>
      <c r="C4581" s="436" t="str">
        <f>VLOOKUP(A4581,'Thống kê'!$C$3:$E$682,3,0)</f>
        <v>cái</v>
      </c>
      <c r="D4581" s="437">
        <f>VLOOKUP(A4581,'Thống kê'!$C$3:$M$682,4,0)</f>
        <v>0</v>
      </c>
      <c r="E4581" s="438">
        <v>1</v>
      </c>
      <c r="F4581" s="439">
        <f t="shared" si="18"/>
        <v>0</v>
      </c>
      <c r="G4581" s="440"/>
      <c r="H4581" s="448">
        <v>102516</v>
      </c>
    </row>
    <row r="4582" spans="1:8" ht="13.2">
      <c r="A4582" s="454" t="s">
        <v>150</v>
      </c>
      <c r="B4582" s="452" t="str">
        <f>VLOOKUP(A4582,'Thống kê'!$C$3:$D$669,2,0)</f>
        <v>Móc khóa có chuông</v>
      </c>
      <c r="C4582" s="436" t="str">
        <f>VLOOKUP(A4582,'Thống kê'!$C$3:$E$682,3,0)</f>
        <v>cái</v>
      </c>
      <c r="D4582" s="437">
        <f>VLOOKUP(A4582,'Thống kê'!$C$3:$M$682,4,0)</f>
        <v>59000</v>
      </c>
      <c r="E4582" s="438">
        <v>1</v>
      </c>
      <c r="F4582" s="439">
        <f t="shared" si="18"/>
        <v>59000</v>
      </c>
      <c r="G4582" s="440"/>
      <c r="H4582" s="448">
        <v>48010</v>
      </c>
    </row>
    <row r="4583" spans="1:8" ht="13.2">
      <c r="A4583" s="454" t="s">
        <v>116</v>
      </c>
      <c r="B4583" s="452" t="str">
        <f>VLOOKUP(A4583,'Thống kê'!$C$3:$D$669,2,0)</f>
        <v>heo ú cầm hoa</v>
      </c>
      <c r="C4583" s="436" t="str">
        <f>VLOOKUP(A4583,'Thống kê'!$C$3:$E$682,3,0)</f>
        <v>cái</v>
      </c>
      <c r="D4583" s="437">
        <f>VLOOKUP(A4583,'Thống kê'!$C$3:$M$682,4,0)</f>
        <v>64500</v>
      </c>
      <c r="E4583" s="438">
        <v>1</v>
      </c>
      <c r="F4583" s="439">
        <f t="shared" si="18"/>
        <v>64500</v>
      </c>
      <c r="G4583" s="440"/>
      <c r="H4583" s="447">
        <v>107994</v>
      </c>
    </row>
    <row r="4584" spans="1:8" ht="13.2">
      <c r="A4584" s="454" t="s">
        <v>1699</v>
      </c>
      <c r="B4584" s="452" t="str">
        <f>VLOOKUP(A4584,'Thống kê'!$C$3:$D$669,2,0)</f>
        <v>Mô hình động vật thần tài - Capy</v>
      </c>
      <c r="C4584" s="436" t="str">
        <f>VLOOKUP(A4584,'Thống kê'!$C$3:$E$682,3,0)</f>
        <v>cái</v>
      </c>
      <c r="D4584" s="437">
        <f>VLOOKUP(A4584,'Thống kê'!$C$3:$M$682,4,0)</f>
        <v>59000</v>
      </c>
      <c r="E4584" s="438">
        <v>1</v>
      </c>
      <c r="F4584" s="439">
        <f t="shared" si="18"/>
        <v>59000</v>
      </c>
      <c r="G4584" s="440"/>
      <c r="H4584" s="450"/>
    </row>
    <row r="4585" spans="1:8" ht="13.2">
      <c r="A4585" s="454" t="s">
        <v>1788</v>
      </c>
      <c r="B4585" s="452" t="str">
        <f>VLOOKUP(A4585,'Thống kê'!$C$3:$D$669,2,0)</f>
        <v>Túi chườm bụng thỏ hồng 500ml</v>
      </c>
      <c r="C4585" s="436" t="str">
        <f>VLOOKUP(A4585,'Thống kê'!$C$3:$E$682,3,0)</f>
        <v>túi</v>
      </c>
      <c r="D4585" s="437">
        <f>VLOOKUP(A4585,'Thống kê'!$C$3:$M$682,4,0)</f>
        <v>81000</v>
      </c>
      <c r="E4585" s="438">
        <v>1</v>
      </c>
      <c r="F4585" s="439">
        <f t="shared" si="18"/>
        <v>81000</v>
      </c>
      <c r="G4585" s="440"/>
      <c r="H4585" s="448">
        <v>56606</v>
      </c>
    </row>
    <row r="4586" spans="1:8" ht="13.2">
      <c r="A4586" s="454" t="s">
        <v>281</v>
      </c>
      <c r="B4586" s="452">
        <f>VLOOKUP(A4586,'Thống kê'!$C$3:$D$669,2,0)</f>
        <v>0</v>
      </c>
      <c r="C4586" s="436" t="str">
        <f>VLOOKUP(A4586,'Thống kê'!$C$3:$E$682,3,0)</f>
        <v>cái</v>
      </c>
      <c r="D4586" s="437">
        <f>VLOOKUP(A4586,'Thống kê'!$C$3:$M$682,4,0)</f>
        <v>0</v>
      </c>
      <c r="E4586" s="438">
        <v>1</v>
      </c>
      <c r="F4586" s="439">
        <f t="shared" si="18"/>
        <v>0</v>
      </c>
      <c r="G4586" s="440"/>
      <c r="H4586" s="447">
        <v>166572</v>
      </c>
    </row>
    <row r="4587" spans="1:8" ht="13.2">
      <c r="A4587" s="454" t="s">
        <v>1714</v>
      </c>
      <c r="B4587" s="452">
        <f>VLOOKUP(A4587,'Thống kê'!$C$3:$D$669,2,0)</f>
        <v>0</v>
      </c>
      <c r="C4587" s="436" t="str">
        <f>VLOOKUP(A4587,'Thống kê'!$C$3:$E$682,3,0)</f>
        <v>cái</v>
      </c>
      <c r="D4587" s="437">
        <f>VLOOKUP(A4587,'Thống kê'!$C$3:$M$682,4,0)</f>
        <v>0</v>
      </c>
      <c r="E4587" s="438">
        <v>1</v>
      </c>
      <c r="F4587" s="439">
        <f t="shared" si="18"/>
        <v>0</v>
      </c>
      <c r="G4587" s="440"/>
      <c r="H4587" s="450"/>
    </row>
    <row r="4588" spans="1:8" ht="13.2">
      <c r="A4588" s="454" t="s">
        <v>258</v>
      </c>
      <c r="B4588" s="452" t="str">
        <f>VLOOKUP(A4588,'Thống kê'!$C$3:$D$669,2,0)</f>
        <v>Móc khoá Crybaby mini Popmart</v>
      </c>
      <c r="C4588" s="436" t="str">
        <f>VLOOKUP(A4588,'Thống kê'!$C$3:$E$682,3,0)</f>
        <v>cái</v>
      </c>
      <c r="D4588" s="437">
        <f>VLOOKUP(A4588,'Thống kê'!$C$3:$M$682,4,0)</f>
        <v>0</v>
      </c>
      <c r="E4588" s="438">
        <v>1</v>
      </c>
      <c r="F4588" s="439">
        <f t="shared" si="18"/>
        <v>0</v>
      </c>
      <c r="G4588" s="440"/>
      <c r="H4588" s="447">
        <v>200670</v>
      </c>
    </row>
    <row r="4589" spans="1:8" ht="13.2">
      <c r="A4589" s="454" t="s">
        <v>1384</v>
      </c>
      <c r="B4589" s="452" t="str">
        <f>VLOOKUP(A4589,'Thống kê'!$C$3:$D$669,2,0)</f>
        <v>Móc khoá Crybaby mini Popmart</v>
      </c>
      <c r="C4589" s="436" t="str">
        <f>VLOOKUP(A4589,'Thống kê'!$C$3:$E$682,3,0)</f>
        <v>cái</v>
      </c>
      <c r="D4589" s="437">
        <f>VLOOKUP(A4589,'Thống kê'!$C$3:$M$682,4,0)</f>
        <v>0</v>
      </c>
      <c r="E4589" s="438">
        <v>1</v>
      </c>
      <c r="F4589" s="439">
        <f t="shared" si="18"/>
        <v>0</v>
      </c>
      <c r="G4589" s="440"/>
      <c r="H4589" s="450"/>
    </row>
    <row r="4590" spans="1:8" ht="13.2">
      <c r="A4590" s="454" t="s">
        <v>281</v>
      </c>
      <c r="B4590" s="452">
        <f>VLOOKUP(A4590,'Thống kê'!$C$3:$D$669,2,0)</f>
        <v>0</v>
      </c>
      <c r="C4590" s="436" t="str">
        <f>VLOOKUP(A4590,'Thống kê'!$C$3:$E$682,3,0)</f>
        <v>cái</v>
      </c>
      <c r="D4590" s="437">
        <f>VLOOKUP(A4590,'Thống kê'!$C$3:$M$682,4,0)</f>
        <v>0</v>
      </c>
      <c r="E4590" s="438">
        <v>1</v>
      </c>
      <c r="F4590" s="439">
        <f t="shared" si="18"/>
        <v>0</v>
      </c>
      <c r="G4590" s="440"/>
      <c r="H4590" s="447">
        <v>314880</v>
      </c>
    </row>
    <row r="4591" spans="1:8" ht="13.2">
      <c r="A4591" s="454" t="s">
        <v>1713</v>
      </c>
      <c r="B4591" s="452">
        <f>VLOOKUP(A4591,'Thống kê'!$C$3:$D$669,2,0)</f>
        <v>0</v>
      </c>
      <c r="C4591" s="436" t="str">
        <f>VLOOKUP(A4591,'Thống kê'!$C$3:$E$682,3,0)</f>
        <v>cái</v>
      </c>
      <c r="D4591" s="437">
        <f>VLOOKUP(A4591,'Thống kê'!$C$3:$M$682,4,0)</f>
        <v>0</v>
      </c>
      <c r="E4591" s="438">
        <v>1</v>
      </c>
      <c r="F4591" s="439">
        <f t="shared" si="18"/>
        <v>0</v>
      </c>
      <c r="G4591" s="440"/>
      <c r="H4591" s="450"/>
    </row>
    <row r="4592" spans="1:8" ht="13.2">
      <c r="A4592" s="454" t="s">
        <v>1714</v>
      </c>
      <c r="B4592" s="452">
        <f>VLOOKUP(A4592,'Thống kê'!$C$3:$D$669,2,0)</f>
        <v>0</v>
      </c>
      <c r="C4592" s="436" t="str">
        <f>VLOOKUP(A4592,'Thống kê'!$C$3:$E$682,3,0)</f>
        <v>cái</v>
      </c>
      <c r="D4592" s="437">
        <f>VLOOKUP(A4592,'Thống kê'!$C$3:$M$682,4,0)</f>
        <v>0</v>
      </c>
      <c r="E4592" s="438">
        <v>1</v>
      </c>
      <c r="F4592" s="439">
        <f t="shared" si="18"/>
        <v>0</v>
      </c>
      <c r="G4592" s="440"/>
      <c r="H4592" s="450"/>
    </row>
    <row r="4593" spans="1:8" ht="13.2">
      <c r="A4593" s="454" t="s">
        <v>1715</v>
      </c>
      <c r="B4593" s="452">
        <f>VLOOKUP(A4593,'Thống kê'!$C$3:$D$669,2,0)</f>
        <v>0</v>
      </c>
      <c r="C4593" s="436" t="str">
        <f>VLOOKUP(A4593,'Thống kê'!$C$3:$E$682,3,0)</f>
        <v>cái</v>
      </c>
      <c r="D4593" s="437">
        <f>VLOOKUP(A4593,'Thống kê'!$C$3:$M$682,4,0)</f>
        <v>0</v>
      </c>
      <c r="E4593" s="438">
        <v>1</v>
      </c>
      <c r="F4593" s="439">
        <f t="shared" si="18"/>
        <v>0</v>
      </c>
      <c r="G4593" s="440"/>
      <c r="H4593" s="450"/>
    </row>
    <row r="4594" spans="1:8" ht="13.2">
      <c r="A4594" s="454" t="s">
        <v>150</v>
      </c>
      <c r="B4594" s="452" t="str">
        <f>VLOOKUP(A4594,'Thống kê'!$C$3:$D$669,2,0)</f>
        <v>Móc khóa có chuông</v>
      </c>
      <c r="C4594" s="436" t="str">
        <f>VLOOKUP(A4594,'Thống kê'!$C$3:$E$682,3,0)</f>
        <v>cái</v>
      </c>
      <c r="D4594" s="437">
        <f>VLOOKUP(A4594,'Thống kê'!$C$3:$M$682,4,0)</f>
        <v>59000</v>
      </c>
      <c r="E4594" s="438">
        <v>1</v>
      </c>
      <c r="F4594" s="439">
        <f t="shared" si="18"/>
        <v>59000</v>
      </c>
      <c r="G4594" s="440"/>
      <c r="H4594" s="448">
        <v>40410</v>
      </c>
    </row>
    <row r="4595" spans="1:8" ht="13.2">
      <c r="A4595" s="454" t="s">
        <v>138</v>
      </c>
      <c r="B4595" s="452" t="str">
        <f>VLOOKUP(A4595,'Thống kê'!$C$3:$D$669,2,0)</f>
        <v>Móc khoá Crybaby mini Popmart</v>
      </c>
      <c r="C4595" s="436" t="str">
        <f>VLOOKUP(A4595,'Thống kê'!$C$3:$E$682,3,0)</f>
        <v>cái</v>
      </c>
      <c r="D4595" s="437">
        <f>VLOOKUP(A4595,'Thống kê'!$C$3:$M$682,4,0)</f>
        <v>0</v>
      </c>
      <c r="E4595" s="438">
        <v>1</v>
      </c>
      <c r="F4595" s="439">
        <f t="shared" si="18"/>
        <v>0</v>
      </c>
      <c r="G4595" s="440"/>
      <c r="H4595" s="448">
        <v>102516</v>
      </c>
    </row>
    <row r="4596" spans="1:8" ht="13.2">
      <c r="A4596" s="454" t="s">
        <v>2100</v>
      </c>
      <c r="B4596" s="452" t="e">
        <f>VLOOKUP(A4596,'Thống kê'!$C$3:$D$669,2,0)</f>
        <v>#N/A</v>
      </c>
      <c r="C4596" s="436" t="e">
        <f>VLOOKUP(A4596,'Thống kê'!$C$3:$E$682,3,0)</f>
        <v>#N/A</v>
      </c>
      <c r="D4596" s="437" t="e">
        <f>VLOOKUP(A4596,'Thống kê'!$C$3:$M$682,4,0)</f>
        <v>#N/A</v>
      </c>
      <c r="E4596" s="438">
        <v>1</v>
      </c>
      <c r="F4596" s="439" t="e">
        <f t="shared" si="18"/>
        <v>#N/A</v>
      </c>
      <c r="G4596" s="440"/>
      <c r="H4596" s="447">
        <v>162196</v>
      </c>
    </row>
    <row r="4597" spans="1:8" ht="13.2">
      <c r="A4597" s="454" t="s">
        <v>1424</v>
      </c>
      <c r="B4597" s="452" t="str">
        <f>VLOOKUP(A4597,'Thống kê'!$C$3:$D$669,2,0)</f>
        <v>Móc khoá Crybaby mini Popmart</v>
      </c>
      <c r="C4597" s="436" t="str">
        <f>VLOOKUP(A4597,'Thống kê'!$C$3:$E$682,3,0)</f>
        <v>cái</v>
      </c>
      <c r="D4597" s="437">
        <f>VLOOKUP(A4597,'Thống kê'!$C$3:$M$682,4,0)</f>
        <v>145000</v>
      </c>
      <c r="E4597" s="438">
        <v>1</v>
      </c>
      <c r="F4597" s="439">
        <f t="shared" si="18"/>
        <v>145000</v>
      </c>
      <c r="G4597" s="440"/>
      <c r="H4597" s="450"/>
    </row>
    <row r="4598" spans="1:8" ht="13.2">
      <c r="A4598" s="454" t="s">
        <v>1387</v>
      </c>
      <c r="B4598" s="452" t="str">
        <f>VLOOKUP(A4598,'Thống kê'!$C$3:$D$669,2,0)</f>
        <v>Móc khoá Crybaby mini Popmart</v>
      </c>
      <c r="C4598" s="436" t="str">
        <f>VLOOKUP(A4598,'Thống kê'!$C$3:$E$682,3,0)</f>
        <v>cái</v>
      </c>
      <c r="D4598" s="437">
        <f>VLOOKUP(A4598,'Thống kê'!$C$3:$M$682,4,0)</f>
        <v>0</v>
      </c>
      <c r="E4598" s="438">
        <v>1</v>
      </c>
      <c r="F4598" s="439">
        <f t="shared" si="18"/>
        <v>0</v>
      </c>
      <c r="G4598" s="440"/>
      <c r="H4598" s="448">
        <v>102516</v>
      </c>
    </row>
    <row r="4599" spans="1:8" ht="13.2">
      <c r="A4599" s="454" t="s">
        <v>1382</v>
      </c>
      <c r="B4599" s="452" t="str">
        <f>VLOOKUP(A4599,'Thống kê'!$C$3:$D$669,2,0)</f>
        <v>miếng dán silicon điện thoại</v>
      </c>
      <c r="C4599" s="436" t="str">
        <f>VLOOKUP(A4599,'Thống kê'!$C$3:$E$682,3,0)</f>
        <v>cái</v>
      </c>
      <c r="D4599" s="437">
        <f>VLOOKUP(A4599,'Thống kê'!$C$3:$M$682,4,0)</f>
        <v>0</v>
      </c>
      <c r="E4599" s="438">
        <v>1</v>
      </c>
      <c r="F4599" s="439">
        <f t="shared" si="18"/>
        <v>0</v>
      </c>
      <c r="G4599" s="440"/>
      <c r="H4599" s="447">
        <v>305068</v>
      </c>
    </row>
    <row r="4600" spans="1:8" ht="13.2">
      <c r="A4600" s="454" t="s">
        <v>1387</v>
      </c>
      <c r="B4600" s="452" t="str">
        <f>VLOOKUP(A4600,'Thống kê'!$C$3:$D$669,2,0)</f>
        <v>Móc khoá Crybaby mini Popmart</v>
      </c>
      <c r="C4600" s="436" t="str">
        <f>VLOOKUP(A4600,'Thống kê'!$C$3:$E$682,3,0)</f>
        <v>cái</v>
      </c>
      <c r="D4600" s="437">
        <f>VLOOKUP(A4600,'Thống kê'!$C$3:$M$682,4,0)</f>
        <v>0</v>
      </c>
      <c r="E4600" s="438">
        <v>1</v>
      </c>
      <c r="F4600" s="439">
        <f t="shared" si="18"/>
        <v>0</v>
      </c>
      <c r="G4600" s="440"/>
      <c r="H4600" s="450"/>
    </row>
    <row r="4601" spans="1:8" ht="13.2">
      <c r="A4601" s="454" t="s">
        <v>1388</v>
      </c>
      <c r="B4601" s="452" t="str">
        <f>VLOOKUP(A4601,'Thống kê'!$C$3:$D$669,2,0)</f>
        <v>Móc khoá Crybaby mini Popmart</v>
      </c>
      <c r="C4601" s="436" t="str">
        <f>VLOOKUP(A4601,'Thống kê'!$C$3:$E$682,3,0)</f>
        <v>cái</v>
      </c>
      <c r="D4601" s="437">
        <f>VLOOKUP(A4601,'Thống kê'!$C$3:$M$682,4,0)</f>
        <v>0</v>
      </c>
      <c r="E4601" s="438">
        <v>1</v>
      </c>
      <c r="F4601" s="439">
        <f t="shared" si="18"/>
        <v>0</v>
      </c>
      <c r="G4601" s="440"/>
      <c r="H4601" s="450"/>
    </row>
    <row r="4602" spans="1:8" ht="13.2">
      <c r="A4602" s="454" t="s">
        <v>138</v>
      </c>
      <c r="B4602" s="452" t="str">
        <f>VLOOKUP(A4602,'Thống kê'!$C$3:$D$669,2,0)</f>
        <v>Móc khoá Crybaby mini Popmart</v>
      </c>
      <c r="C4602" s="436" t="str">
        <f>VLOOKUP(A4602,'Thống kê'!$C$3:$E$682,3,0)</f>
        <v>cái</v>
      </c>
      <c r="D4602" s="437">
        <f>VLOOKUP(A4602,'Thống kê'!$C$3:$M$682,4,0)</f>
        <v>0</v>
      </c>
      <c r="E4602" s="438">
        <v>1</v>
      </c>
      <c r="F4602" s="439">
        <f t="shared" si="18"/>
        <v>0</v>
      </c>
      <c r="G4602" s="440"/>
      <c r="H4602" s="450"/>
    </row>
    <row r="4603" spans="1:8" ht="13.2">
      <c r="A4603" s="454" t="s">
        <v>1624</v>
      </c>
      <c r="B4603" s="452" t="str">
        <f>VLOOKUP(A4603,'Thống kê'!$C$3:$D$669,2,0)</f>
        <v>Móc khóa mèo trái tim</v>
      </c>
      <c r="C4603" s="436" t="str">
        <f>VLOOKUP(A4603,'Thống kê'!$C$3:$E$682,3,0)</f>
        <v>cái</v>
      </c>
      <c r="D4603" s="437">
        <f>VLOOKUP(A4603,'Thống kê'!$C$3:$M$682,4,0)</f>
        <v>59000</v>
      </c>
      <c r="E4603" s="438">
        <v>1</v>
      </c>
      <c r="F4603" s="439">
        <f t="shared" si="18"/>
        <v>59000</v>
      </c>
      <c r="G4603" s="440"/>
      <c r="H4603" s="447">
        <v>83678</v>
      </c>
    </row>
    <row r="4604" spans="1:8" ht="13.2">
      <c r="A4604" s="454" t="s">
        <v>150</v>
      </c>
      <c r="B4604" s="452" t="str">
        <f>VLOOKUP(A4604,'Thống kê'!$C$3:$D$669,2,0)</f>
        <v>Móc khóa có chuông</v>
      </c>
      <c r="C4604" s="436" t="str">
        <f>VLOOKUP(A4604,'Thống kê'!$C$3:$E$682,3,0)</f>
        <v>cái</v>
      </c>
      <c r="D4604" s="437">
        <f>VLOOKUP(A4604,'Thống kê'!$C$3:$M$682,4,0)</f>
        <v>59000</v>
      </c>
      <c r="E4604" s="438">
        <v>1</v>
      </c>
      <c r="F4604" s="439">
        <f t="shared" si="18"/>
        <v>59000</v>
      </c>
      <c r="G4604" s="440"/>
      <c r="H4604" s="450"/>
    </row>
    <row r="4605" spans="1:8" ht="13.2">
      <c r="A4605" s="454" t="s">
        <v>1342</v>
      </c>
      <c r="B4605" s="452" t="str">
        <f>VLOOKUP(A4605,'Thống kê'!$C$3:$D$669,2,0)</f>
        <v>Móc khóa chuối</v>
      </c>
      <c r="C4605" s="436" t="str">
        <f>VLOOKUP(A4605,'Thống kê'!$C$3:$E$682,3,0)</f>
        <v>cái</v>
      </c>
      <c r="D4605" s="437">
        <f>VLOOKUP(A4605,'Thống kê'!$C$3:$M$682,4,0)</f>
        <v>148000</v>
      </c>
      <c r="E4605" s="438">
        <v>1</v>
      </c>
      <c r="F4605" s="439">
        <f t="shared" si="18"/>
        <v>148000</v>
      </c>
      <c r="G4605" s="440"/>
      <c r="H4605" s="448">
        <v>75112</v>
      </c>
    </row>
    <row r="4606" spans="1:8" ht="13.2">
      <c r="A4606" s="454" t="s">
        <v>1690</v>
      </c>
      <c r="B4606" s="452">
        <f>VLOOKUP(A4606,'Thống kê'!$C$3:$D$669,2,0)</f>
        <v>0</v>
      </c>
      <c r="C4606" s="436" t="str">
        <f>VLOOKUP(A4606,'Thống kê'!$C$3:$E$682,3,0)</f>
        <v>cái</v>
      </c>
      <c r="D4606" s="437">
        <f>VLOOKUP(A4606,'Thống kê'!$C$3:$M$682,4,0)</f>
        <v>0</v>
      </c>
      <c r="E4606" s="438">
        <v>1</v>
      </c>
      <c r="F4606" s="439">
        <f t="shared" si="18"/>
        <v>0</v>
      </c>
      <c r="G4606" s="440"/>
      <c r="H4606" s="448">
        <v>20042</v>
      </c>
    </row>
    <row r="4607" spans="1:8" ht="13.2">
      <c r="A4607" s="454" t="s">
        <v>2069</v>
      </c>
      <c r="B4607" s="452" t="str">
        <f>VLOOKUP(A4607,'Thống kê'!$C$3:$D$669,2,0)</f>
        <v>Cánh cụt nơ xanh treo gương</v>
      </c>
      <c r="C4607" s="436" t="str">
        <f>VLOOKUP(A4607,'Thống kê'!$C$3:$E$682,3,0)</f>
        <v>cái</v>
      </c>
      <c r="D4607" s="437">
        <f>VLOOKUP(A4607,'Thống kê'!$C$3:$M$682,4,0)</f>
        <v>155000</v>
      </c>
      <c r="E4607" s="438">
        <v>1</v>
      </c>
      <c r="F4607" s="439">
        <f t="shared" si="18"/>
        <v>155000</v>
      </c>
      <c r="G4607" s="440"/>
      <c r="H4607" s="448">
        <v>110372</v>
      </c>
    </row>
    <row r="4608" spans="1:8" ht="13.2">
      <c r="A4608" s="454" t="s">
        <v>115</v>
      </c>
      <c r="B4608" s="452" t="str">
        <f>VLOOKUP(A4608,'Thống kê'!$C$3:$D$669,2,0)</f>
        <v>Heo ú</v>
      </c>
      <c r="C4608" s="436" t="str">
        <f>VLOOKUP(A4608,'Thống kê'!$C$3:$E$682,3,0)</f>
        <v>cái</v>
      </c>
      <c r="D4608" s="437">
        <f>VLOOKUP(A4608,'Thống kê'!$C$3:$M$682,4,0)</f>
        <v>59500</v>
      </c>
      <c r="E4608" s="438">
        <v>1</v>
      </c>
      <c r="F4608" s="439">
        <f t="shared" si="18"/>
        <v>59500</v>
      </c>
      <c r="G4608" s="440"/>
      <c r="H4608" s="448">
        <v>52900</v>
      </c>
    </row>
    <row r="4609" spans="1:8" ht="13.2">
      <c r="A4609" s="454" t="s">
        <v>1640</v>
      </c>
      <c r="B4609" s="452" t="str">
        <f>VLOOKUP(A4609,'Thống kê'!$C$3:$D$669,2,0)</f>
        <v>Móc khóa đôi Capypara</v>
      </c>
      <c r="C4609" s="436" t="str">
        <f>VLOOKUP(A4609,'Thống kê'!$C$3:$E$682,3,0)</f>
        <v>cái</v>
      </c>
      <c r="D4609" s="437">
        <f>VLOOKUP(A4609,'Thống kê'!$C$3:$M$682,4,0)</f>
        <v>59000</v>
      </c>
      <c r="E4609" s="438">
        <v>1</v>
      </c>
      <c r="F4609" s="439">
        <f t="shared" si="18"/>
        <v>59000</v>
      </c>
      <c r="G4609" s="440"/>
      <c r="H4609" s="447">
        <v>53838</v>
      </c>
    </row>
    <row r="4610" spans="1:8" ht="13.2">
      <c r="A4610" s="454" t="s">
        <v>2030</v>
      </c>
      <c r="B4610" s="452" t="str">
        <f>VLOOKUP(A4610,'Thống kê'!$C$3:$D$669,2,0)</f>
        <v>Kẹp càng cua lông hình gấu nâu đậm</v>
      </c>
      <c r="C4610" s="436" t="str">
        <f>VLOOKUP(A4610,'Thống kê'!$C$3:$E$682,3,0)</f>
        <v>cái</v>
      </c>
      <c r="D4610" s="437">
        <f>VLOOKUP(A4610,'Thống kê'!$C$3:$M$682,4,0)</f>
        <v>18000</v>
      </c>
      <c r="E4610" s="438">
        <v>1</v>
      </c>
      <c r="F4610" s="439">
        <f t="shared" si="18"/>
        <v>18000</v>
      </c>
      <c r="G4610" s="440"/>
      <c r="H4610" s="450"/>
    </row>
    <row r="4611" spans="1:8" ht="13.2">
      <c r="A4611" s="454" t="s">
        <v>246</v>
      </c>
      <c r="B4611" s="452" t="str">
        <f>VLOOKUP(A4611,'Thống kê'!$C$3:$D$669,2,0)</f>
        <v>Móc khóa Popbean</v>
      </c>
      <c r="C4611" s="436" t="str">
        <f>VLOOKUP(A4611,'Thống kê'!$C$3:$E$682,3,0)</f>
        <v>cái</v>
      </c>
      <c r="D4611" s="437">
        <f>VLOOKUP(A4611,'Thống kê'!$C$3:$M$682,4,0)</f>
        <v>148000</v>
      </c>
      <c r="E4611" s="438">
        <v>1</v>
      </c>
      <c r="F4611" s="439">
        <f t="shared" si="18"/>
        <v>148000</v>
      </c>
      <c r="G4611" s="440"/>
      <c r="H4611" s="448">
        <v>110297</v>
      </c>
    </row>
    <row r="4612" spans="1:8" ht="13.2">
      <c r="A4612" s="454" t="s">
        <v>1388</v>
      </c>
      <c r="B4612" s="452" t="str">
        <f>VLOOKUP(A4612,'Thống kê'!$C$3:$D$669,2,0)</f>
        <v>Móc khoá Crybaby mini Popmart</v>
      </c>
      <c r="C4612" s="436" t="str">
        <f>VLOOKUP(A4612,'Thống kê'!$C$3:$E$682,3,0)</f>
        <v>cái</v>
      </c>
      <c r="D4612" s="437">
        <f>VLOOKUP(A4612,'Thống kê'!$C$3:$M$682,4,0)</f>
        <v>0</v>
      </c>
      <c r="E4612" s="438">
        <v>1</v>
      </c>
      <c r="F4612" s="439">
        <f t="shared" si="18"/>
        <v>0</v>
      </c>
      <c r="G4612" s="440"/>
      <c r="H4612" s="448">
        <v>101391</v>
      </c>
    </row>
    <row r="4613" spans="1:8" ht="13.2">
      <c r="A4613" s="454" t="s">
        <v>281</v>
      </c>
      <c r="B4613" s="452">
        <f>VLOOKUP(A4613,'Thống kê'!$C$3:$D$669,2,0)</f>
        <v>0</v>
      </c>
      <c r="C4613" s="436" t="str">
        <f>VLOOKUP(A4613,'Thống kê'!$C$3:$E$682,3,0)</f>
        <v>cái</v>
      </c>
      <c r="D4613" s="437">
        <f>VLOOKUP(A4613,'Thống kê'!$C$3:$M$682,4,0)</f>
        <v>0</v>
      </c>
      <c r="E4613" s="438">
        <v>1</v>
      </c>
      <c r="F4613" s="439">
        <f t="shared" si="18"/>
        <v>0</v>
      </c>
      <c r="G4613" s="440"/>
      <c r="H4613" s="448">
        <v>88642</v>
      </c>
    </row>
    <row r="4614" spans="1:8" ht="13.2">
      <c r="A4614" s="454" t="s">
        <v>181</v>
      </c>
      <c r="B4614" s="452" t="str">
        <f>VLOOKUP(A4614,'Thống kê'!$C$3:$D$669,2,0)</f>
        <v>Thỏ mặt trăng gắn xe</v>
      </c>
      <c r="C4614" s="436" t="str">
        <f>VLOOKUP(A4614,'Thống kê'!$C$3:$E$682,3,0)</f>
        <v>cái</v>
      </c>
      <c r="D4614" s="437">
        <f>VLOOKUP(A4614,'Thống kê'!$C$3:$M$682,4,0)</f>
        <v>45000</v>
      </c>
      <c r="E4614" s="438">
        <v>1</v>
      </c>
      <c r="F4614" s="439">
        <f t="shared" si="18"/>
        <v>45000</v>
      </c>
      <c r="G4614" s="440"/>
      <c r="H4614" s="447">
        <v>95559</v>
      </c>
    </row>
    <row r="4615" spans="1:8" ht="13.2">
      <c r="A4615" s="454" t="s">
        <v>189</v>
      </c>
      <c r="B4615" s="452" t="str">
        <f>VLOOKUP(A4615,'Thống kê'!$C$3:$D$669,2,0)</f>
        <v>Gấu nâu gắn xe</v>
      </c>
      <c r="C4615" s="436" t="str">
        <f>VLOOKUP(A4615,'Thống kê'!$C$3:$E$682,3,0)</f>
        <v>cái</v>
      </c>
      <c r="D4615" s="437">
        <f>VLOOKUP(A4615,'Thống kê'!$C$3:$M$682,4,0)</f>
        <v>45000</v>
      </c>
      <c r="E4615" s="438">
        <v>1</v>
      </c>
      <c r="F4615" s="439">
        <f t="shared" si="18"/>
        <v>45000</v>
      </c>
      <c r="G4615" s="440"/>
      <c r="H4615" s="450"/>
    </row>
    <row r="4616" spans="1:8" ht="13.2">
      <c r="A4616" s="454" t="s">
        <v>232</v>
      </c>
      <c r="B4616" s="452" t="str">
        <f>VLOOKUP(A4616,'Thống kê'!$C$3:$D$669,2,0)</f>
        <v>Cáo gắn xe</v>
      </c>
      <c r="C4616" s="436" t="str">
        <f>VLOOKUP(A4616,'Thống kê'!$C$3:$E$682,3,0)</f>
        <v>cái</v>
      </c>
      <c r="D4616" s="437">
        <f>VLOOKUP(A4616,'Thống kê'!$C$3:$M$682,4,0)</f>
        <v>45000</v>
      </c>
      <c r="E4616" s="438">
        <v>1</v>
      </c>
      <c r="F4616" s="439">
        <f t="shared" si="18"/>
        <v>45000</v>
      </c>
      <c r="G4616" s="440"/>
      <c r="H4616" s="450"/>
    </row>
    <row r="4617" spans="1:8" ht="13.2">
      <c r="A4617" s="454" t="s">
        <v>1591</v>
      </c>
      <c r="B4617" s="452" t="str">
        <f>VLOOKUP(A4617,'Thống kê'!$C$3:$D$669,2,0)</f>
        <v>Thỏ ú</v>
      </c>
      <c r="C4617" s="436" t="str">
        <f>VLOOKUP(A4617,'Thống kê'!$C$3:$E$682,3,0)</f>
        <v>cái</v>
      </c>
      <c r="D4617" s="437">
        <f>VLOOKUP(A4617,'Thống kê'!$C$3:$M$682,4,0)</f>
        <v>59500</v>
      </c>
      <c r="E4617" s="438">
        <v>1</v>
      </c>
      <c r="F4617" s="439">
        <f t="shared" si="18"/>
        <v>59500</v>
      </c>
      <c r="G4617" s="440"/>
      <c r="H4617" s="448">
        <v>53075</v>
      </c>
    </row>
    <row r="4618" spans="1:8" ht="13.2">
      <c r="A4618" s="454" t="s">
        <v>138</v>
      </c>
      <c r="B4618" s="452" t="str">
        <f>VLOOKUP(A4618,'Thống kê'!$C$3:$D$669,2,0)</f>
        <v>Móc khoá Crybaby mini Popmart</v>
      </c>
      <c r="C4618" s="436" t="str">
        <f>VLOOKUP(A4618,'Thống kê'!$C$3:$E$682,3,0)</f>
        <v>cái</v>
      </c>
      <c r="D4618" s="437">
        <f>VLOOKUP(A4618,'Thống kê'!$C$3:$M$682,4,0)</f>
        <v>0</v>
      </c>
      <c r="E4618" s="438">
        <v>1</v>
      </c>
      <c r="F4618" s="439">
        <f t="shared" si="18"/>
        <v>0</v>
      </c>
      <c r="G4618" s="440"/>
      <c r="H4618" s="448">
        <v>102516</v>
      </c>
    </row>
    <row r="4619" spans="1:8" ht="13.2">
      <c r="A4619" s="454" t="s">
        <v>1384</v>
      </c>
      <c r="B4619" s="452" t="str">
        <f>VLOOKUP(A4619,'Thống kê'!$C$3:$D$669,2,0)</f>
        <v>Móc khoá Crybaby mini Popmart</v>
      </c>
      <c r="C4619" s="436" t="str">
        <f>VLOOKUP(A4619,'Thống kê'!$C$3:$E$682,3,0)</f>
        <v>cái</v>
      </c>
      <c r="D4619" s="437">
        <f>VLOOKUP(A4619,'Thống kê'!$C$3:$M$682,4,0)</f>
        <v>0</v>
      </c>
      <c r="E4619" s="438">
        <v>3</v>
      </c>
      <c r="F4619" s="439">
        <f t="shared" si="18"/>
        <v>0</v>
      </c>
      <c r="G4619" s="440"/>
      <c r="H4619" s="447">
        <v>2086080</v>
      </c>
    </row>
    <row r="4620" spans="1:8" ht="13.2">
      <c r="A4620" s="454" t="s">
        <v>1424</v>
      </c>
      <c r="B4620" s="452" t="str">
        <f>VLOOKUP(A4620,'Thống kê'!$C$3:$D$669,2,0)</f>
        <v>Móc khoá Crybaby mini Popmart</v>
      </c>
      <c r="C4620" s="436" t="str">
        <f>VLOOKUP(A4620,'Thống kê'!$C$3:$E$682,3,0)</f>
        <v>cái</v>
      </c>
      <c r="D4620" s="437">
        <f>VLOOKUP(A4620,'Thống kê'!$C$3:$M$682,4,0)</f>
        <v>145000</v>
      </c>
      <c r="E4620" s="438">
        <v>15</v>
      </c>
      <c r="F4620" s="439">
        <f t="shared" si="18"/>
        <v>2175000</v>
      </c>
      <c r="G4620" s="440"/>
      <c r="H4620" s="450"/>
    </row>
    <row r="4621" spans="1:8" ht="13.2">
      <c r="A4621" s="454" t="s">
        <v>1715</v>
      </c>
      <c r="B4621" s="452">
        <f>VLOOKUP(A4621,'Thống kê'!$C$3:$D$669,2,0)</f>
        <v>0</v>
      </c>
      <c r="C4621" s="436" t="str">
        <f>VLOOKUP(A4621,'Thống kê'!$C$3:$E$682,3,0)</f>
        <v>cái</v>
      </c>
      <c r="D4621" s="437">
        <f>VLOOKUP(A4621,'Thống kê'!$C$3:$M$682,4,0)</f>
        <v>0</v>
      </c>
      <c r="E4621" s="438">
        <v>1</v>
      </c>
      <c r="F4621" s="439">
        <f t="shared" si="18"/>
        <v>0</v>
      </c>
      <c r="G4621" s="440"/>
      <c r="H4621" s="448">
        <v>81175</v>
      </c>
    </row>
    <row r="4622" spans="1:8" ht="13.2">
      <c r="A4622" s="454" t="s">
        <v>1384</v>
      </c>
      <c r="B4622" s="452" t="str">
        <f>VLOOKUP(A4622,'Thống kê'!$C$3:$D$669,2,0)</f>
        <v>Móc khoá Crybaby mini Popmart</v>
      </c>
      <c r="C4622" s="436" t="str">
        <f>VLOOKUP(A4622,'Thống kê'!$C$3:$E$682,3,0)</f>
        <v>cái</v>
      </c>
      <c r="D4622" s="437">
        <f>VLOOKUP(A4622,'Thống kê'!$C$3:$M$682,4,0)</f>
        <v>0</v>
      </c>
      <c r="E4622" s="438">
        <v>1</v>
      </c>
      <c r="F4622" s="439">
        <f t="shared" si="18"/>
        <v>0</v>
      </c>
      <c r="G4622" s="440"/>
      <c r="H4622" s="448">
        <v>102441</v>
      </c>
    </row>
    <row r="4623" spans="1:8" ht="13.2">
      <c r="A4623" s="454" t="s">
        <v>1696</v>
      </c>
      <c r="B4623" s="452" t="str">
        <f>VLOOKUP(A4623,'Thống kê'!$C$3:$D$669,2,0)</f>
        <v>gấu</v>
      </c>
      <c r="C4623" s="436" t="str">
        <f>VLOOKUP(A4623,'Thống kê'!$C$3:$E$682,3,0)</f>
        <v>cái</v>
      </c>
      <c r="D4623" s="437">
        <f>VLOOKUP(A4623,'Thống kê'!$C$3:$M$682,4,0)</f>
        <v>35000</v>
      </c>
      <c r="E4623" s="438">
        <v>1</v>
      </c>
      <c r="F4623" s="439">
        <f t="shared" si="18"/>
        <v>35000</v>
      </c>
      <c r="G4623" s="440"/>
      <c r="H4623" s="447">
        <v>47883</v>
      </c>
    </row>
    <row r="4624" spans="1:8" ht="13.2">
      <c r="A4624" s="454" t="s">
        <v>94</v>
      </c>
      <c r="B4624" s="452" t="str">
        <f>VLOOKUP(A4624,'Thống kê'!$C$3:$D$669,2,0)</f>
        <v>thỏ</v>
      </c>
      <c r="C4624" s="436" t="str">
        <f>VLOOKUP(A4624,'Thống kê'!$C$3:$E$682,3,0)</f>
        <v>cái</v>
      </c>
      <c r="D4624" s="437">
        <f>VLOOKUP(A4624,'Thống kê'!$C$3:$M$682,4,0)</f>
        <v>35000</v>
      </c>
      <c r="E4624" s="438">
        <v>1</v>
      </c>
      <c r="F4624" s="439">
        <f t="shared" si="18"/>
        <v>35000</v>
      </c>
      <c r="G4624" s="440"/>
      <c r="H4624" s="450"/>
    </row>
    <row r="4625" spans="1:8" ht="13.2">
      <c r="A4625" s="454" t="s">
        <v>170</v>
      </c>
      <c r="B4625" s="452" t="str">
        <f>VLOOKUP(A4625,'Thống kê'!$C$3:$D$669,2,0)</f>
        <v>Móc khóa chuối</v>
      </c>
      <c r="C4625" s="436" t="str">
        <f>VLOOKUP(A4625,'Thống kê'!$C$3:$E$682,3,0)</f>
        <v>cái</v>
      </c>
      <c r="D4625" s="437">
        <f>VLOOKUP(A4625,'Thống kê'!$C$3:$M$682,4,0)</f>
        <v>148000</v>
      </c>
      <c r="E4625" s="438">
        <v>1</v>
      </c>
      <c r="F4625" s="439">
        <f t="shared" si="18"/>
        <v>148000</v>
      </c>
      <c r="G4625" s="440"/>
      <c r="H4625" s="448">
        <v>75612</v>
      </c>
    </row>
    <row r="4626" spans="1:8" ht="13.2">
      <c r="A4626" s="454" t="s">
        <v>1715</v>
      </c>
      <c r="B4626" s="452">
        <f>VLOOKUP(A4626,'Thống kê'!$C$3:$D$669,2,0)</f>
        <v>0</v>
      </c>
      <c r="C4626" s="436" t="str">
        <f>VLOOKUP(A4626,'Thống kê'!$C$3:$E$682,3,0)</f>
        <v>cái</v>
      </c>
      <c r="D4626" s="437">
        <f>VLOOKUP(A4626,'Thống kê'!$C$3:$M$682,4,0)</f>
        <v>0</v>
      </c>
      <c r="E4626" s="438">
        <v>1</v>
      </c>
      <c r="F4626" s="439">
        <f t="shared" si="18"/>
        <v>0</v>
      </c>
      <c r="G4626" s="440"/>
      <c r="H4626" s="448">
        <v>81550</v>
      </c>
    </row>
    <row r="4627" spans="1:8" ht="13.2">
      <c r="A4627" s="454" t="s">
        <v>1403</v>
      </c>
      <c r="B4627" s="452" t="str">
        <f>VLOOKUP(A4627,'Thống kê'!$C$3:$D$669,2,0)</f>
        <v>Móc khoá Dimoo size mini (hàng remake) hồng</v>
      </c>
      <c r="C4627" s="436" t="str">
        <f>VLOOKUP(A4627,'Thống kê'!$C$3:$E$682,3,0)</f>
        <v>cái</v>
      </c>
      <c r="D4627" s="437">
        <f>VLOOKUP(A4627,'Thống kê'!$C$3:$M$682,4,0)</f>
        <v>0</v>
      </c>
      <c r="E4627" s="438">
        <v>1</v>
      </c>
      <c r="F4627" s="439">
        <f t="shared" si="18"/>
        <v>0</v>
      </c>
      <c r="G4627" s="440"/>
      <c r="H4627" s="447">
        <v>436700</v>
      </c>
    </row>
    <row r="4628" spans="1:8" ht="13.2">
      <c r="A4628" s="454" t="s">
        <v>1330</v>
      </c>
      <c r="B4628" s="452" t="str">
        <f>VLOOKUP(A4628,'Thống kê'!$C$3:$D$669,2,0)</f>
        <v>Móc khóa Popbean</v>
      </c>
      <c r="C4628" s="436" t="str">
        <f>VLOOKUP(A4628,'Thống kê'!$C$3:$E$682,3,0)</f>
        <v>cái</v>
      </c>
      <c r="D4628" s="437">
        <f>VLOOKUP(A4628,'Thống kê'!$C$3:$M$682,4,0)</f>
        <v>148000</v>
      </c>
      <c r="E4628" s="438">
        <v>1</v>
      </c>
      <c r="F4628" s="439">
        <f t="shared" si="18"/>
        <v>148000</v>
      </c>
      <c r="G4628" s="440"/>
      <c r="H4628" s="450"/>
    </row>
    <row r="4629" spans="1:8" ht="13.2">
      <c r="A4629" s="454" t="s">
        <v>1661</v>
      </c>
      <c r="B4629" s="452" t="str">
        <f>VLOOKUP(A4629,'Thống kê'!$C$3:$D$669,2,0)</f>
        <v>Móc khóa Popbean Kubo</v>
      </c>
      <c r="C4629" s="436" t="str">
        <f>VLOOKUP(A4629,'Thống kê'!$C$3:$E$682,3,0)</f>
        <v>cái</v>
      </c>
      <c r="D4629" s="437">
        <f>VLOOKUP(A4629,'Thống kê'!$C$3:$M$682,4,0)</f>
        <v>148000</v>
      </c>
      <c r="E4629" s="438">
        <v>1</v>
      </c>
      <c r="F4629" s="439">
        <f t="shared" si="18"/>
        <v>148000</v>
      </c>
      <c r="G4629" s="440"/>
      <c r="H4629" s="450"/>
    </row>
    <row r="4630" spans="1:8" ht="13.2">
      <c r="A4630" s="454" t="s">
        <v>1697</v>
      </c>
      <c r="B4630" s="452" t="str">
        <f>VLOOKUP(A4630,'Thống kê'!$C$3:$D$669,2,0)</f>
        <v>heo</v>
      </c>
      <c r="C4630" s="436" t="str">
        <f>VLOOKUP(A4630,'Thống kê'!$C$3:$E$682,3,0)</f>
        <v>cái</v>
      </c>
      <c r="D4630" s="437">
        <f>VLOOKUP(A4630,'Thống kê'!$C$3:$M$682,4,0)</f>
        <v>35000</v>
      </c>
      <c r="E4630" s="438">
        <v>1</v>
      </c>
      <c r="F4630" s="439">
        <f t="shared" si="18"/>
        <v>35000</v>
      </c>
      <c r="G4630" s="440"/>
      <c r="H4630" s="450"/>
    </row>
    <row r="4631" spans="1:8" ht="13.2">
      <c r="A4631" s="454" t="s">
        <v>1696</v>
      </c>
      <c r="B4631" s="452" t="str">
        <f>VLOOKUP(A4631,'Thống kê'!$C$3:$D$669,2,0)</f>
        <v>gấu</v>
      </c>
      <c r="C4631" s="436" t="str">
        <f>VLOOKUP(A4631,'Thống kê'!$C$3:$E$682,3,0)</f>
        <v>cái</v>
      </c>
      <c r="D4631" s="437">
        <f>VLOOKUP(A4631,'Thống kê'!$C$3:$M$682,4,0)</f>
        <v>35000</v>
      </c>
      <c r="E4631" s="438">
        <v>1</v>
      </c>
      <c r="F4631" s="439">
        <f t="shared" si="18"/>
        <v>35000</v>
      </c>
      <c r="G4631" s="440"/>
      <c r="H4631" s="450"/>
    </row>
    <row r="4632" spans="1:8" ht="13.2">
      <c r="A4632" s="454" t="s">
        <v>149</v>
      </c>
      <c r="B4632" s="452" t="str">
        <f>VLOOKUP(A4632,'Thống kê'!$C$3:$D$669,2,0)</f>
        <v>ếch</v>
      </c>
      <c r="C4632" s="436" t="str">
        <f>VLOOKUP(A4632,'Thống kê'!$C$3:$E$682,3,0)</f>
        <v>cái</v>
      </c>
      <c r="D4632" s="437">
        <f>VLOOKUP(A4632,'Thống kê'!$C$3:$M$682,4,0)</f>
        <v>35000</v>
      </c>
      <c r="E4632" s="438">
        <v>1</v>
      </c>
      <c r="F4632" s="439">
        <f t="shared" si="18"/>
        <v>35000</v>
      </c>
      <c r="G4632" s="440"/>
      <c r="H4632" s="450"/>
    </row>
    <row r="4633" spans="1:8" ht="13.2">
      <c r="A4633" s="454" t="s">
        <v>94</v>
      </c>
      <c r="B4633" s="452" t="str">
        <f>VLOOKUP(A4633,'Thống kê'!$C$3:$D$669,2,0)</f>
        <v>thỏ</v>
      </c>
      <c r="C4633" s="436" t="str">
        <f>VLOOKUP(A4633,'Thống kê'!$C$3:$E$682,3,0)</f>
        <v>cái</v>
      </c>
      <c r="D4633" s="437">
        <f>VLOOKUP(A4633,'Thống kê'!$C$3:$M$682,4,0)</f>
        <v>35000</v>
      </c>
      <c r="E4633" s="438">
        <v>1</v>
      </c>
      <c r="F4633" s="439">
        <f t="shared" si="18"/>
        <v>35000</v>
      </c>
      <c r="G4633" s="440"/>
      <c r="H4633" s="450"/>
    </row>
    <row r="4634" spans="1:8" ht="13.2">
      <c r="A4634" s="454" t="s">
        <v>1384</v>
      </c>
      <c r="B4634" s="452" t="str">
        <f>VLOOKUP(A4634,'Thống kê'!$C$3:$D$669,2,0)</f>
        <v>Móc khoá Crybaby mini Popmart</v>
      </c>
      <c r="C4634" s="436" t="str">
        <f>VLOOKUP(A4634,'Thống kê'!$C$3:$E$682,3,0)</f>
        <v>cái</v>
      </c>
      <c r="D4634" s="437">
        <f>VLOOKUP(A4634,'Thống kê'!$C$3:$M$682,4,0)</f>
        <v>0</v>
      </c>
      <c r="E4634" s="438">
        <v>1</v>
      </c>
      <c r="F4634" s="439">
        <f t="shared" si="18"/>
        <v>0</v>
      </c>
      <c r="G4634" s="440"/>
      <c r="H4634" s="448">
        <v>102216</v>
      </c>
    </row>
    <row r="4635" spans="1:8" ht="13.2">
      <c r="A4635" s="454" t="s">
        <v>1386</v>
      </c>
      <c r="B4635" s="452" t="str">
        <f>VLOOKUP(A4635,'Thống kê'!$C$3:$D$669,2,0)</f>
        <v>Móc khoá Crybaby mini Popmart</v>
      </c>
      <c r="C4635" s="436" t="str">
        <f>VLOOKUP(A4635,'Thống kê'!$C$3:$E$682,3,0)</f>
        <v>cái</v>
      </c>
      <c r="D4635" s="437">
        <f>VLOOKUP(A4635,'Thống kê'!$C$3:$M$682,4,0)</f>
        <v>0</v>
      </c>
      <c r="E4635" s="438">
        <v>1</v>
      </c>
      <c r="F4635" s="439">
        <f t="shared" si="18"/>
        <v>0</v>
      </c>
      <c r="G4635" s="440"/>
      <c r="H4635" s="448">
        <v>102516</v>
      </c>
    </row>
    <row r="4636" spans="1:8" ht="13.2">
      <c r="A4636" s="454" t="s">
        <v>143</v>
      </c>
      <c r="B4636" s="452" t="str">
        <f>VLOOKUP(A4636,'Thống kê'!$C$3:$D$669,2,0)</f>
        <v>Mèo ú</v>
      </c>
      <c r="C4636" s="436" t="str">
        <f>VLOOKUP(A4636,'Thống kê'!$C$3:$E$682,3,0)</f>
        <v>cái</v>
      </c>
      <c r="D4636" s="437">
        <f>VLOOKUP(A4636,'Thống kê'!$C$3:$M$682,4,0)</f>
        <v>59500</v>
      </c>
      <c r="E4636" s="438">
        <v>1</v>
      </c>
      <c r="F4636" s="439">
        <f t="shared" si="18"/>
        <v>59500</v>
      </c>
      <c r="G4636" s="440"/>
      <c r="H4636" s="448">
        <v>52900</v>
      </c>
    </row>
    <row r="4637" spans="1:8" ht="13.2">
      <c r="A4637" s="454" t="s">
        <v>1848</v>
      </c>
      <c r="B4637" s="452" t="str">
        <f>VLOOKUP(A4637,'Thống kê'!$C$3:$D$669,2,0)</f>
        <v>Trâm cài 02</v>
      </c>
      <c r="C4637" s="436" t="str">
        <f>VLOOKUP(A4637,'Thống kê'!$C$3:$E$682,3,0)</f>
        <v>cây</v>
      </c>
      <c r="D4637" s="437">
        <f>VLOOKUP(A4637,'Thống kê'!$C$3:$M$682,4,0)</f>
        <v>30360</v>
      </c>
      <c r="E4637" s="438">
        <v>2</v>
      </c>
      <c r="F4637" s="439">
        <f t="shared" si="18"/>
        <v>60720</v>
      </c>
      <c r="G4637" s="440"/>
      <c r="H4637" s="447">
        <v>87223</v>
      </c>
    </row>
    <row r="4638" spans="1:8" ht="13.2">
      <c r="A4638" s="454" t="s">
        <v>1811</v>
      </c>
      <c r="B4638" s="452" t="str">
        <f>VLOOKUP(A4638,'Thống kê'!$C$3:$D$669,2,0)</f>
        <v>Trâm cài 08</v>
      </c>
      <c r="C4638" s="436" t="str">
        <f>VLOOKUP(A4638,'Thống kê'!$C$3:$E$682,3,0)</f>
        <v>cây</v>
      </c>
      <c r="D4638" s="437">
        <f>VLOOKUP(A4638,'Thống kê'!$C$3:$M$682,4,0)</f>
        <v>52440</v>
      </c>
      <c r="E4638" s="438">
        <v>1</v>
      </c>
      <c r="F4638" s="439">
        <f t="shared" si="18"/>
        <v>52440</v>
      </c>
      <c r="G4638" s="440"/>
      <c r="H4638" s="450"/>
    </row>
    <row r="4639" spans="1:8" ht="13.2">
      <c r="A4639" s="454" t="s">
        <v>1384</v>
      </c>
      <c r="B4639" s="452" t="str">
        <f>VLOOKUP(A4639,'Thống kê'!$C$3:$D$669,2,0)</f>
        <v>Móc khoá Crybaby mini Popmart</v>
      </c>
      <c r="C4639" s="436" t="str">
        <f>VLOOKUP(A4639,'Thống kê'!$C$3:$E$682,3,0)</f>
        <v>cái</v>
      </c>
      <c r="D4639" s="437">
        <f>VLOOKUP(A4639,'Thống kê'!$C$3:$M$682,4,0)</f>
        <v>0</v>
      </c>
      <c r="E4639" s="438">
        <v>1</v>
      </c>
      <c r="F4639" s="439">
        <f t="shared" si="18"/>
        <v>0</v>
      </c>
      <c r="G4639" s="440"/>
      <c r="H4639" s="448">
        <v>102441</v>
      </c>
    </row>
    <row r="4640" spans="1:8" ht="13.2">
      <c r="A4640" s="454" t="s">
        <v>1624</v>
      </c>
      <c r="B4640" s="452" t="str">
        <f>VLOOKUP(A4640,'Thống kê'!$C$3:$D$669,2,0)</f>
        <v>Móc khóa mèo trái tim</v>
      </c>
      <c r="C4640" s="436" t="str">
        <f>VLOOKUP(A4640,'Thống kê'!$C$3:$E$682,3,0)</f>
        <v>cái</v>
      </c>
      <c r="D4640" s="437">
        <f>VLOOKUP(A4640,'Thống kê'!$C$3:$M$682,4,0)</f>
        <v>59000</v>
      </c>
      <c r="E4640" s="438">
        <v>1</v>
      </c>
      <c r="F4640" s="439">
        <f t="shared" si="18"/>
        <v>59000</v>
      </c>
      <c r="G4640" s="440"/>
      <c r="H4640" s="447">
        <v>99279</v>
      </c>
    </row>
    <row r="4641" spans="1:8" ht="13.2">
      <c r="A4641" s="454" t="s">
        <v>150</v>
      </c>
      <c r="B4641" s="452" t="str">
        <f>VLOOKUP(A4641,'Thống kê'!$C$3:$D$669,2,0)</f>
        <v>Móc khóa có chuông</v>
      </c>
      <c r="C4641" s="436" t="str">
        <f>VLOOKUP(A4641,'Thống kê'!$C$3:$E$682,3,0)</f>
        <v>cái</v>
      </c>
      <c r="D4641" s="437">
        <f>VLOOKUP(A4641,'Thống kê'!$C$3:$M$682,4,0)</f>
        <v>59000</v>
      </c>
      <c r="E4641" s="438">
        <v>1</v>
      </c>
      <c r="F4641" s="439">
        <f t="shared" si="18"/>
        <v>59000</v>
      </c>
      <c r="G4641" s="440"/>
      <c r="H4641" s="450"/>
    </row>
    <row r="4642" spans="1:8" ht="13.2">
      <c r="A4642" s="454" t="s">
        <v>1930</v>
      </c>
      <c r="B4642" s="452" t="str">
        <f>VLOOKUP(A4642,'Thống kê'!$C$3:$D$669,2,0)</f>
        <v>Kẹp nơ hồng</v>
      </c>
      <c r="C4642" s="436" t="str">
        <f>VLOOKUP(A4642,'Thống kê'!$C$3:$E$682,3,0)</f>
        <v>cái</v>
      </c>
      <c r="D4642" s="437">
        <f>VLOOKUP(A4642,'Thống kê'!$C$3:$M$682,4,0)</f>
        <v>22000</v>
      </c>
      <c r="E4642" s="438">
        <v>1</v>
      </c>
      <c r="F4642" s="439">
        <f t="shared" si="18"/>
        <v>22000</v>
      </c>
      <c r="G4642" s="440"/>
      <c r="H4642" s="450"/>
    </row>
    <row r="4643" spans="1:8" ht="13.2">
      <c r="A4643" s="454" t="s">
        <v>281</v>
      </c>
      <c r="B4643" s="452">
        <f>VLOOKUP(A4643,'Thống kê'!$C$3:$D$669,2,0)</f>
        <v>0</v>
      </c>
      <c r="C4643" s="436" t="str">
        <f>VLOOKUP(A4643,'Thống kê'!$C$3:$E$682,3,0)</f>
        <v>cái</v>
      </c>
      <c r="D4643" s="437">
        <f>VLOOKUP(A4643,'Thống kê'!$C$3:$M$682,4,0)</f>
        <v>0</v>
      </c>
      <c r="E4643" s="438">
        <v>1</v>
      </c>
      <c r="F4643" s="439">
        <f t="shared" si="18"/>
        <v>0</v>
      </c>
      <c r="G4643" s="440"/>
      <c r="H4643" s="447">
        <v>187092</v>
      </c>
    </row>
    <row r="4644" spans="1:8" ht="13.2">
      <c r="A4644" s="454" t="s">
        <v>1389</v>
      </c>
      <c r="B4644" s="452" t="str">
        <f>VLOOKUP(A4644,'Thống kê'!$C$3:$D$669,2,0)</f>
        <v>Móc khoá Crybaby mini Popmart</v>
      </c>
      <c r="C4644" s="436" t="str">
        <f>VLOOKUP(A4644,'Thống kê'!$C$3:$E$682,3,0)</f>
        <v>cái</v>
      </c>
      <c r="D4644" s="437">
        <f>VLOOKUP(A4644,'Thống kê'!$C$3:$M$682,4,0)</f>
        <v>0</v>
      </c>
      <c r="E4644" s="438">
        <v>1</v>
      </c>
      <c r="F4644" s="439">
        <f t="shared" si="18"/>
        <v>0</v>
      </c>
      <c r="G4644" s="440"/>
      <c r="H4644" s="450"/>
    </row>
    <row r="4645" spans="1:8" ht="13.2">
      <c r="A4645" s="454" t="s">
        <v>1952</v>
      </c>
      <c r="B4645" s="452" t="str">
        <f>VLOOKUP(A4645,'Thống kê'!$C$3:$D$669,2,0)</f>
        <v>Túi chườm bụng vịt vàng 500ml</v>
      </c>
      <c r="C4645" s="436" t="str">
        <f>VLOOKUP(A4645,'Thống kê'!$C$3:$E$682,3,0)</f>
        <v>túi</v>
      </c>
      <c r="D4645" s="437">
        <f>VLOOKUP(A4645,'Thống kê'!$C$3:$M$682,4,0)</f>
        <v>81000</v>
      </c>
      <c r="E4645" s="438">
        <v>1</v>
      </c>
      <c r="F4645" s="439">
        <f t="shared" ref="F4645:F4899" si="19">D4645*E4645</f>
        <v>81000</v>
      </c>
      <c r="G4645" s="440"/>
      <c r="H4645" s="448">
        <v>57006</v>
      </c>
    </row>
    <row r="4646" spans="1:8" ht="13.2">
      <c r="A4646" s="454" t="s">
        <v>281</v>
      </c>
      <c r="B4646" s="452">
        <f>VLOOKUP(A4646,'Thống kê'!$C$3:$D$669,2,0)</f>
        <v>0</v>
      </c>
      <c r="C4646" s="436" t="str">
        <f>VLOOKUP(A4646,'Thống kê'!$C$3:$E$682,3,0)</f>
        <v>cái</v>
      </c>
      <c r="D4646" s="437">
        <f>VLOOKUP(A4646,'Thống kê'!$C$3:$M$682,4,0)</f>
        <v>0</v>
      </c>
      <c r="E4646" s="438">
        <v>1</v>
      </c>
      <c r="F4646" s="439">
        <f t="shared" si="19"/>
        <v>0</v>
      </c>
      <c r="G4646" s="440"/>
      <c r="H4646" s="448">
        <v>88642</v>
      </c>
    </row>
    <row r="4647" spans="1:8" ht="13.2">
      <c r="A4647" s="454" t="s">
        <v>1633</v>
      </c>
      <c r="B4647" s="452" t="str">
        <f>VLOOKUP(A4647,'Thống kê'!$C$3:$D$669,2,0)</f>
        <v>Móc khóa đôi gà rán bia</v>
      </c>
      <c r="C4647" s="436" t="str">
        <f>VLOOKUP(A4647,'Thống kê'!$C$3:$E$682,3,0)</f>
        <v>cái</v>
      </c>
      <c r="D4647" s="437">
        <f>VLOOKUP(A4647,'Thống kê'!$C$3:$M$682,4,0)</f>
        <v>56580</v>
      </c>
      <c r="E4647" s="438">
        <v>1</v>
      </c>
      <c r="F4647" s="439">
        <f t="shared" si="19"/>
        <v>56580</v>
      </c>
      <c r="G4647" s="440"/>
      <c r="H4647" s="448">
        <v>42221</v>
      </c>
    </row>
    <row r="4648" spans="1:8" ht="13.2">
      <c r="A4648" s="454" t="s">
        <v>1387</v>
      </c>
      <c r="B4648" s="452" t="str">
        <f>VLOOKUP(A4648,'Thống kê'!$C$3:$D$669,2,0)</f>
        <v>Móc khoá Crybaby mini Popmart</v>
      </c>
      <c r="C4648" s="436" t="str">
        <f>VLOOKUP(A4648,'Thống kê'!$C$3:$E$682,3,0)</f>
        <v>cái</v>
      </c>
      <c r="D4648" s="437">
        <f>VLOOKUP(A4648,'Thống kê'!$C$3:$M$682,4,0)</f>
        <v>0</v>
      </c>
      <c r="E4648" s="438">
        <v>1</v>
      </c>
      <c r="F4648" s="439">
        <f t="shared" si="19"/>
        <v>0</v>
      </c>
      <c r="G4648" s="440"/>
      <c r="H4648" s="448">
        <v>102441</v>
      </c>
    </row>
    <row r="4649" spans="1:8" ht="13.2">
      <c r="A4649" s="454" t="s">
        <v>1810</v>
      </c>
      <c r="B4649" s="452" t="str">
        <f>VLOOKUP(A4649,'Thống kê'!$C$3:$D$669,2,0)</f>
        <v>Hộp thuốc mây hồng</v>
      </c>
      <c r="C4649" s="436" t="str">
        <f>VLOOKUP(A4649,'Thống kê'!$C$3:$E$682,3,0)</f>
        <v>hộp</v>
      </c>
      <c r="D4649" s="437">
        <f>VLOOKUP(A4649,'Thống kê'!$C$3:$M$682,4,0)</f>
        <v>11000</v>
      </c>
      <c r="E4649" s="438">
        <v>1</v>
      </c>
      <c r="F4649" s="439">
        <f t="shared" si="19"/>
        <v>11000</v>
      </c>
      <c r="G4649" s="440"/>
      <c r="H4649" s="447">
        <v>192411</v>
      </c>
    </row>
    <row r="4650" spans="1:8" ht="13.2">
      <c r="A4650" s="454" t="s">
        <v>2101</v>
      </c>
      <c r="B4650" s="452" t="str">
        <f>VLOOKUP(A4650,'Thống kê'!$C$3:$D$669,2,0)</f>
        <v>Hộp thuốc thỏ nâu</v>
      </c>
      <c r="C4650" s="436" t="str">
        <f>VLOOKUP(A4650,'Thống kê'!$C$3:$E$682,3,0)</f>
        <v>hộp</v>
      </c>
      <c r="D4650" s="437">
        <f>VLOOKUP(A4650,'Thống kê'!$C$3:$M$682,4,0)</f>
        <v>11000</v>
      </c>
      <c r="E4650" s="438">
        <v>1</v>
      </c>
      <c r="F4650" s="439">
        <f t="shared" si="19"/>
        <v>11000</v>
      </c>
      <c r="G4650" s="440"/>
      <c r="H4650" s="450"/>
    </row>
    <row r="4651" spans="1:8" ht="13.2">
      <c r="A4651" s="454" t="s">
        <v>150</v>
      </c>
      <c r="B4651" s="452" t="str">
        <f>VLOOKUP(A4651,'Thống kê'!$C$3:$D$669,2,0)</f>
        <v>Móc khóa có chuông</v>
      </c>
      <c r="C4651" s="436" t="str">
        <f>VLOOKUP(A4651,'Thống kê'!$C$3:$E$682,3,0)</f>
        <v>cái</v>
      </c>
      <c r="D4651" s="437">
        <f>VLOOKUP(A4651,'Thống kê'!$C$3:$M$682,4,0)</f>
        <v>59000</v>
      </c>
      <c r="E4651" s="438">
        <v>1</v>
      </c>
      <c r="F4651" s="439">
        <f t="shared" si="19"/>
        <v>59000</v>
      </c>
      <c r="G4651" s="440"/>
      <c r="H4651" s="450"/>
    </row>
    <row r="4652" spans="1:8" ht="13.2">
      <c r="A4652" s="454" t="s">
        <v>1699</v>
      </c>
      <c r="B4652" s="452" t="str">
        <f>VLOOKUP(A4652,'Thống kê'!$C$3:$D$669,2,0)</f>
        <v>Mô hình động vật thần tài - Capy</v>
      </c>
      <c r="C4652" s="436" t="str">
        <f>VLOOKUP(A4652,'Thống kê'!$C$3:$E$682,3,0)</f>
        <v>cái</v>
      </c>
      <c r="D4652" s="437">
        <f>VLOOKUP(A4652,'Thống kê'!$C$3:$M$682,4,0)</f>
        <v>59000</v>
      </c>
      <c r="E4652" s="438">
        <v>1</v>
      </c>
      <c r="F4652" s="439">
        <f t="shared" si="19"/>
        <v>59000</v>
      </c>
      <c r="G4652" s="440"/>
      <c r="H4652" s="450"/>
    </row>
    <row r="4653" spans="1:8" ht="13.2">
      <c r="A4653" s="454" t="s">
        <v>1614</v>
      </c>
      <c r="B4653" s="452" t="str">
        <f>VLOOKUP(A4653,'Thống kê'!$C$3:$D$669,2,0)</f>
        <v>Kẹp tóc bướm xanh ngọc</v>
      </c>
      <c r="C4653" s="436" t="str">
        <f>VLOOKUP(A4653,'Thống kê'!$C$3:$E$682,3,0)</f>
        <v>cái</v>
      </c>
      <c r="D4653" s="437">
        <f>VLOOKUP(A4653,'Thống kê'!$C$3:$M$682,4,0)</f>
        <v>38000</v>
      </c>
      <c r="E4653" s="438">
        <v>1</v>
      </c>
      <c r="F4653" s="439">
        <f t="shared" si="19"/>
        <v>38000</v>
      </c>
      <c r="G4653" s="440"/>
      <c r="H4653" s="450"/>
    </row>
    <row r="4654" spans="1:8" ht="13.2">
      <c r="A4654" s="454" t="s">
        <v>1615</v>
      </c>
      <c r="B4654" s="452" t="str">
        <f>VLOOKUP(A4654,'Thống kê'!$C$3:$D$669,2,0)</f>
        <v>Kẹp tóc bướm tím</v>
      </c>
      <c r="C4654" s="436" t="str">
        <f>VLOOKUP(A4654,'Thống kê'!$C$3:$E$682,3,0)</f>
        <v>cái</v>
      </c>
      <c r="D4654" s="437">
        <f>VLOOKUP(A4654,'Thống kê'!$C$3:$M$682,4,0)</f>
        <v>40000</v>
      </c>
      <c r="E4654" s="438">
        <v>1</v>
      </c>
      <c r="F4654" s="439">
        <f t="shared" si="19"/>
        <v>40000</v>
      </c>
      <c r="G4654" s="440"/>
      <c r="H4654" s="450"/>
    </row>
    <row r="4655" spans="1:8" ht="13.2">
      <c r="A4655" s="454" t="s">
        <v>2042</v>
      </c>
      <c r="B4655" s="452" t="str">
        <f>VLOOKUP(A4655,'Thống kê'!$C$3:$D$669,2,0)</f>
        <v>Vớ cổ cao trắng cỏ ba lá xanh</v>
      </c>
      <c r="C4655" s="436" t="str">
        <f>VLOOKUP(A4655,'Thống kê'!$C$3:$E$682,3,0)</f>
        <v>đôi</v>
      </c>
      <c r="D4655" s="437">
        <f>VLOOKUP(A4655,'Thống kê'!$C$3:$M$682,4,0)</f>
        <v>19800</v>
      </c>
      <c r="E4655" s="438">
        <v>1</v>
      </c>
      <c r="F4655" s="439">
        <f t="shared" si="19"/>
        <v>19800</v>
      </c>
      <c r="G4655" s="440"/>
      <c r="H4655" s="450"/>
    </row>
    <row r="4656" spans="1:8" ht="13.2">
      <c r="A4656" s="454" t="s">
        <v>1919</v>
      </c>
      <c r="B4656" s="452" t="str">
        <f>VLOOKUP(A4656,'Thống kê'!$C$3:$D$669,2,0)</f>
        <v>Vớ cổ cao trắng hoa đen</v>
      </c>
      <c r="C4656" s="436" t="str">
        <f>VLOOKUP(A4656,'Thống kê'!$C$3:$E$682,3,0)</f>
        <v>đôi</v>
      </c>
      <c r="D4656" s="437">
        <f>VLOOKUP(A4656,'Thống kê'!$C$3:$M$682,4,0)</f>
        <v>19800</v>
      </c>
      <c r="E4656" s="438">
        <v>1</v>
      </c>
      <c r="F4656" s="439">
        <f t="shared" si="19"/>
        <v>19800</v>
      </c>
      <c r="G4656" s="440"/>
      <c r="H4656" s="450"/>
    </row>
    <row r="4657" spans="1:8" ht="13.2">
      <c r="A4657" s="454" t="s">
        <v>168</v>
      </c>
      <c r="B4657" s="452" t="str">
        <f>VLOOKUP(A4657,'Thống kê'!$C$3:$D$669,2,0)</f>
        <v>Thiệp</v>
      </c>
      <c r="C4657" s="436" t="str">
        <f>VLOOKUP(A4657,'Thống kê'!$C$3:$E$682,3,0)</f>
        <v>cái</v>
      </c>
      <c r="D4657" s="437">
        <f>VLOOKUP(A4657,'Thống kê'!$C$3:$M$682,4,0)</f>
        <v>0</v>
      </c>
      <c r="E4657" s="438">
        <v>1</v>
      </c>
      <c r="F4657" s="439">
        <f t="shared" si="19"/>
        <v>0</v>
      </c>
      <c r="G4657" s="440"/>
      <c r="H4657" s="450"/>
    </row>
    <row r="4658" spans="1:8" ht="13.2">
      <c r="A4658" s="454" t="s">
        <v>208</v>
      </c>
      <c r="B4658" s="452" t="e">
        <f>VLOOKUP(A4658,'Thống kê'!$C$3:$D$669,2,0)</f>
        <v>#N/A</v>
      </c>
      <c r="C4658" s="436" t="e">
        <f>VLOOKUP(A4658,'Thống kê'!$C$3:$E$682,3,0)</f>
        <v>#N/A</v>
      </c>
      <c r="D4658" s="437" t="e">
        <f>VLOOKUP(A4658,'Thống kê'!$C$3:$M$682,4,0)</f>
        <v>#N/A</v>
      </c>
      <c r="E4658" s="438">
        <v>1</v>
      </c>
      <c r="F4658" s="439" t="e">
        <f t="shared" si="19"/>
        <v>#N/A</v>
      </c>
      <c r="G4658" s="440"/>
      <c r="H4658" s="450"/>
    </row>
    <row r="4659" spans="1:8" ht="13.2">
      <c r="A4659" s="454" t="s">
        <v>258</v>
      </c>
      <c r="B4659" s="452" t="str">
        <f>VLOOKUP(A4659,'Thống kê'!$C$3:$D$669,2,0)</f>
        <v>Móc khoá Crybaby mini Popmart</v>
      </c>
      <c r="C4659" s="436" t="str">
        <f>VLOOKUP(A4659,'Thống kê'!$C$3:$E$682,3,0)</f>
        <v>cái</v>
      </c>
      <c r="D4659" s="437">
        <f>VLOOKUP(A4659,'Thống kê'!$C$3:$M$682,4,0)</f>
        <v>0</v>
      </c>
      <c r="E4659" s="438">
        <v>1</v>
      </c>
      <c r="F4659" s="439">
        <f t="shared" si="19"/>
        <v>0</v>
      </c>
      <c r="G4659" s="440"/>
      <c r="H4659" s="447">
        <v>200670</v>
      </c>
    </row>
    <row r="4660" spans="1:8" ht="13.2">
      <c r="A4660" s="454" t="s">
        <v>1384</v>
      </c>
      <c r="B4660" s="452" t="str">
        <f>VLOOKUP(A4660,'Thống kê'!$C$3:$D$669,2,0)</f>
        <v>Móc khoá Crybaby mini Popmart</v>
      </c>
      <c r="C4660" s="436" t="str">
        <f>VLOOKUP(A4660,'Thống kê'!$C$3:$E$682,3,0)</f>
        <v>cái</v>
      </c>
      <c r="D4660" s="437">
        <f>VLOOKUP(A4660,'Thống kê'!$C$3:$M$682,4,0)</f>
        <v>0</v>
      </c>
      <c r="E4660" s="438">
        <v>1</v>
      </c>
      <c r="F4660" s="439">
        <f t="shared" si="19"/>
        <v>0</v>
      </c>
      <c r="G4660" s="440"/>
      <c r="H4660" s="450"/>
    </row>
    <row r="4661" spans="1:8" ht="13.2">
      <c r="A4661" s="454" t="s">
        <v>1687</v>
      </c>
      <c r="B4661" s="452">
        <f>VLOOKUP(A4661,'Thống kê'!$C$3:$D$669,2,0)</f>
        <v>0</v>
      </c>
      <c r="C4661" s="436">
        <f>VLOOKUP(A4661,'Thống kê'!$C$3:$E$682,3,0)</f>
        <v>0</v>
      </c>
      <c r="D4661" s="437">
        <f>VLOOKUP(A4661,'Thống kê'!$C$3:$M$682,4,0)</f>
        <v>0</v>
      </c>
      <c r="E4661" s="438">
        <v>1</v>
      </c>
      <c r="F4661" s="439">
        <f t="shared" si="19"/>
        <v>0</v>
      </c>
      <c r="G4661" s="440"/>
      <c r="H4661" s="448">
        <v>131200</v>
      </c>
    </row>
    <row r="4662" spans="1:8" ht="13.2">
      <c r="A4662" s="454" t="s">
        <v>1591</v>
      </c>
      <c r="B4662" s="452" t="str">
        <f>VLOOKUP(A4662,'Thống kê'!$C$3:$D$669,2,0)</f>
        <v>Thỏ ú</v>
      </c>
      <c r="C4662" s="436" t="str">
        <f>VLOOKUP(A4662,'Thống kê'!$C$3:$E$682,3,0)</f>
        <v>cái</v>
      </c>
      <c r="D4662" s="437">
        <f>VLOOKUP(A4662,'Thống kê'!$C$3:$M$682,4,0)</f>
        <v>59500</v>
      </c>
      <c r="E4662" s="438">
        <v>1</v>
      </c>
      <c r="F4662" s="439">
        <f t="shared" si="19"/>
        <v>59500</v>
      </c>
      <c r="G4662" s="440"/>
      <c r="H4662" s="447">
        <v>114964</v>
      </c>
    </row>
    <row r="4663" spans="1:8" ht="13.2">
      <c r="A4663" s="454" t="s">
        <v>186</v>
      </c>
      <c r="B4663" s="452" t="str">
        <f>VLOOKUP(A4663,'Thống kê'!$C$3:$D$669,2,0)</f>
        <v>Thỏ ú bay</v>
      </c>
      <c r="C4663" s="436" t="str">
        <f>VLOOKUP(A4663,'Thống kê'!$C$3:$E$682,3,0)</f>
        <v>cái</v>
      </c>
      <c r="D4663" s="437">
        <f>VLOOKUP(A4663,'Thống kê'!$C$3:$M$682,4,0)</f>
        <v>64500</v>
      </c>
      <c r="E4663" s="438">
        <v>1</v>
      </c>
      <c r="F4663" s="439">
        <f t="shared" si="19"/>
        <v>64500</v>
      </c>
      <c r="G4663" s="440"/>
      <c r="H4663" s="450"/>
    </row>
    <row r="4664" spans="1:8" ht="13.2">
      <c r="A4664" s="454" t="s">
        <v>1384</v>
      </c>
      <c r="B4664" s="452" t="str">
        <f>VLOOKUP(A4664,'Thống kê'!$C$3:$D$669,2,0)</f>
        <v>Móc khoá Crybaby mini Popmart</v>
      </c>
      <c r="C4664" s="436" t="str">
        <f>VLOOKUP(A4664,'Thống kê'!$C$3:$E$682,3,0)</f>
        <v>cái</v>
      </c>
      <c r="D4664" s="437">
        <f>VLOOKUP(A4664,'Thống kê'!$C$3:$M$682,4,0)</f>
        <v>0</v>
      </c>
      <c r="E4664" s="438">
        <v>1</v>
      </c>
      <c r="F4664" s="439">
        <f t="shared" si="19"/>
        <v>0</v>
      </c>
      <c r="G4664" s="440"/>
      <c r="H4664" s="448">
        <v>102516</v>
      </c>
    </row>
    <row r="4665" spans="1:8" ht="13.2">
      <c r="A4665" s="454" t="s">
        <v>1387</v>
      </c>
      <c r="B4665" s="452" t="str">
        <f>VLOOKUP(A4665,'Thống kê'!$C$3:$D$669,2,0)</f>
        <v>Móc khoá Crybaby mini Popmart</v>
      </c>
      <c r="C4665" s="436" t="str">
        <f>VLOOKUP(A4665,'Thống kê'!$C$3:$E$682,3,0)</f>
        <v>cái</v>
      </c>
      <c r="D4665" s="437">
        <f>VLOOKUP(A4665,'Thống kê'!$C$3:$M$682,4,0)</f>
        <v>0</v>
      </c>
      <c r="E4665" s="438">
        <v>1</v>
      </c>
      <c r="F4665" s="439">
        <f t="shared" si="19"/>
        <v>0</v>
      </c>
      <c r="G4665" s="440"/>
      <c r="H4665" s="448">
        <v>102441</v>
      </c>
    </row>
    <row r="4666" spans="1:8" ht="13.2">
      <c r="A4666" s="454" t="s">
        <v>2023</v>
      </c>
      <c r="B4666" s="452" t="str">
        <f>VLOOKUP(A4666,'Thống kê'!$C$3:$D$669,2,0)</f>
        <v>Túi chườm bụng gấu nâu 500ml</v>
      </c>
      <c r="C4666" s="436" t="str">
        <f>VLOOKUP(A4666,'Thống kê'!$C$3:$E$682,3,0)</f>
        <v>túi</v>
      </c>
      <c r="D4666" s="437">
        <f>VLOOKUP(A4666,'Thống kê'!$C$3:$M$682,4,0)</f>
        <v>81000</v>
      </c>
      <c r="E4666" s="438">
        <v>1</v>
      </c>
      <c r="F4666" s="439">
        <f t="shared" si="19"/>
        <v>81000</v>
      </c>
      <c r="G4666" s="440"/>
      <c r="H4666" s="448">
        <v>56931</v>
      </c>
    </row>
    <row r="4667" spans="1:8" ht="13.2">
      <c r="A4667" s="454" t="s">
        <v>1384</v>
      </c>
      <c r="B4667" s="452" t="str">
        <f>VLOOKUP(A4667,'Thống kê'!$C$3:$D$669,2,0)</f>
        <v>Móc khoá Crybaby mini Popmart</v>
      </c>
      <c r="C4667" s="436" t="str">
        <f>VLOOKUP(A4667,'Thống kê'!$C$3:$E$682,3,0)</f>
        <v>cái</v>
      </c>
      <c r="D4667" s="437">
        <f>VLOOKUP(A4667,'Thống kê'!$C$3:$M$682,4,0)</f>
        <v>0</v>
      </c>
      <c r="E4667" s="438">
        <v>1</v>
      </c>
      <c r="F4667" s="439">
        <f t="shared" si="19"/>
        <v>0</v>
      </c>
      <c r="G4667" s="440"/>
      <c r="H4667" s="448">
        <v>102516</v>
      </c>
    </row>
    <row r="4668" spans="1:8" ht="13.2">
      <c r="A4668" s="454" t="s">
        <v>1622</v>
      </c>
      <c r="B4668" s="452" t="str">
        <f>VLOOKUP(A4668,'Thống kê'!$C$3:$D$669,2,0)</f>
        <v>Mô hình mèo 1</v>
      </c>
      <c r="C4668" s="436" t="str">
        <f>VLOOKUP(A4668,'Thống kê'!$C$3:$E$682,3,0)</f>
        <v>cái</v>
      </c>
      <c r="D4668" s="437">
        <f>VLOOKUP(A4668,'Thống kê'!$C$3:$M$682,4,0)</f>
        <v>37800</v>
      </c>
      <c r="E4668" s="438">
        <v>1</v>
      </c>
      <c r="F4668" s="439">
        <f t="shared" si="19"/>
        <v>37800</v>
      </c>
      <c r="G4668" s="440"/>
      <c r="H4668" s="447">
        <v>207007</v>
      </c>
    </row>
    <row r="4669" spans="1:8" ht="13.2">
      <c r="A4669" s="454" t="s">
        <v>1621</v>
      </c>
      <c r="B4669" s="452" t="str">
        <f>VLOOKUP(A4669,'Thống kê'!$C$3:$D$669,2,0)</f>
        <v>Mô hình mèo 2</v>
      </c>
      <c r="C4669" s="436" t="str">
        <f>VLOOKUP(A4669,'Thống kê'!$C$3:$E$682,3,0)</f>
        <v>cái</v>
      </c>
      <c r="D4669" s="437">
        <f>VLOOKUP(A4669,'Thống kê'!$C$3:$M$682,4,0)</f>
        <v>37800</v>
      </c>
      <c r="E4669" s="438">
        <v>1</v>
      </c>
      <c r="F4669" s="439">
        <f t="shared" si="19"/>
        <v>37800</v>
      </c>
      <c r="G4669" s="440"/>
      <c r="H4669" s="450"/>
    </row>
    <row r="4670" spans="1:8" ht="13.2">
      <c r="A4670" s="454" t="s">
        <v>1636</v>
      </c>
      <c r="B4670" s="452" t="str">
        <f>VLOOKUP(A4670,'Thống kê'!$C$3:$D$669,2,0)</f>
        <v>Mô hình mèo 3</v>
      </c>
      <c r="C4670" s="436" t="str">
        <f>VLOOKUP(A4670,'Thống kê'!$C$3:$E$682,3,0)</f>
        <v>cái</v>
      </c>
      <c r="D4670" s="437">
        <f>VLOOKUP(A4670,'Thống kê'!$C$3:$M$682,4,0)</f>
        <v>37800</v>
      </c>
      <c r="E4670" s="438">
        <v>1</v>
      </c>
      <c r="F4670" s="439">
        <f t="shared" si="19"/>
        <v>37800</v>
      </c>
      <c r="G4670" s="440"/>
      <c r="H4670" s="450"/>
    </row>
    <row r="4671" spans="1:8" ht="13.2">
      <c r="A4671" s="454" t="s">
        <v>1635</v>
      </c>
      <c r="B4671" s="452" t="str">
        <f>VLOOKUP(A4671,'Thống kê'!$C$3:$D$669,2,0)</f>
        <v>Mô hình mèo 4</v>
      </c>
      <c r="C4671" s="436" t="str">
        <f>VLOOKUP(A4671,'Thống kê'!$C$3:$E$682,3,0)</f>
        <v>cái</v>
      </c>
      <c r="D4671" s="437">
        <f>VLOOKUP(A4671,'Thống kê'!$C$3:$M$682,4,0)</f>
        <v>37800</v>
      </c>
      <c r="E4671" s="438">
        <v>2</v>
      </c>
      <c r="F4671" s="439">
        <f t="shared" si="19"/>
        <v>75600</v>
      </c>
      <c r="G4671" s="440"/>
      <c r="H4671" s="450"/>
    </row>
    <row r="4672" spans="1:8" ht="13.2">
      <c r="A4672" s="454" t="s">
        <v>1623</v>
      </c>
      <c r="B4672" s="452" t="str">
        <f>VLOOKUP(A4672,'Thống kê'!$C$3:$D$669,2,0)</f>
        <v>Mô hình mèo 5</v>
      </c>
      <c r="C4672" s="436" t="str">
        <f>VLOOKUP(A4672,'Thống kê'!$C$3:$E$682,3,0)</f>
        <v>cái</v>
      </c>
      <c r="D4672" s="437">
        <f>VLOOKUP(A4672,'Thống kê'!$C$3:$M$682,4,0)</f>
        <v>37800</v>
      </c>
      <c r="E4672" s="438">
        <v>1</v>
      </c>
      <c r="F4672" s="439">
        <f t="shared" si="19"/>
        <v>37800</v>
      </c>
      <c r="G4672" s="440"/>
      <c r="H4672" s="450"/>
    </row>
    <row r="4673" spans="1:8" ht="13.2">
      <c r="A4673" s="454" t="s">
        <v>2097</v>
      </c>
      <c r="B4673" s="452" t="str">
        <f>VLOOKUP(A4673,'Thống kê'!$C$3:$D$669,2,0)</f>
        <v>Thiệp</v>
      </c>
      <c r="C4673" s="436" t="str">
        <f>VLOOKUP(A4673,'Thống kê'!$C$3:$E$682,3,0)</f>
        <v>cái</v>
      </c>
      <c r="D4673" s="437">
        <f>VLOOKUP(A4673,'Thống kê'!$C$3:$M$682,4,0)</f>
        <v>0</v>
      </c>
      <c r="E4673" s="438">
        <v>1</v>
      </c>
      <c r="F4673" s="439">
        <f t="shared" si="19"/>
        <v>0</v>
      </c>
      <c r="G4673" s="440"/>
      <c r="H4673" s="450"/>
    </row>
    <row r="4674" spans="1:8" ht="13.2">
      <c r="A4674" s="454" t="s">
        <v>269</v>
      </c>
      <c r="B4674" s="452" t="str">
        <f>VLOOKUP(A4674,'Thống kê'!$C$3:$D$669,2,0)</f>
        <v>Dao rọc giấy 17</v>
      </c>
      <c r="C4674" s="436" t="str">
        <f>VLOOKUP(A4674,'Thống kê'!$C$3:$E$682,3,0)</f>
        <v>cái</v>
      </c>
      <c r="D4674" s="437">
        <f>VLOOKUP(A4674,'Thống kê'!$C$3:$M$682,4,0)</f>
        <v>12000</v>
      </c>
      <c r="E4674" s="438">
        <v>1</v>
      </c>
      <c r="F4674" s="439">
        <f t="shared" si="19"/>
        <v>12000</v>
      </c>
      <c r="G4674" s="440"/>
      <c r="H4674" s="447">
        <v>130740</v>
      </c>
    </row>
    <row r="4675" spans="1:8" ht="13.2">
      <c r="A4675" s="454" t="s">
        <v>143</v>
      </c>
      <c r="B4675" s="452" t="str">
        <f>VLOOKUP(A4675,'Thống kê'!$C$3:$D$669,2,0)</f>
        <v>Mèo ú</v>
      </c>
      <c r="C4675" s="436" t="str">
        <f>VLOOKUP(A4675,'Thống kê'!$C$3:$E$682,3,0)</f>
        <v>cái</v>
      </c>
      <c r="D4675" s="437">
        <f>VLOOKUP(A4675,'Thống kê'!$C$3:$M$682,4,0)</f>
        <v>59500</v>
      </c>
      <c r="E4675" s="438">
        <v>1</v>
      </c>
      <c r="F4675" s="439">
        <f t="shared" si="19"/>
        <v>59500</v>
      </c>
      <c r="G4675" s="440"/>
      <c r="H4675" s="450"/>
    </row>
    <row r="4676" spans="1:8" ht="13.2">
      <c r="A4676" s="454" t="s">
        <v>1593</v>
      </c>
      <c r="B4676" s="452" t="str">
        <f>VLOOKUP(A4676,'Thống kê'!$C$3:$D$669,2,0)</f>
        <v>Heo cưỡi kì lân gắn xe</v>
      </c>
      <c r="C4676" s="436" t="str">
        <f>VLOOKUP(A4676,'Thống kê'!$C$3:$E$682,3,0)</f>
        <v>cái</v>
      </c>
      <c r="D4676" s="437">
        <f>VLOOKUP(A4676,'Thống kê'!$C$3:$M$682,4,0)</f>
        <v>45000</v>
      </c>
      <c r="E4676" s="438">
        <v>1</v>
      </c>
      <c r="F4676" s="439">
        <f t="shared" si="19"/>
        <v>45000</v>
      </c>
      <c r="G4676" s="440"/>
      <c r="H4676" s="450"/>
    </row>
    <row r="4677" spans="1:8" ht="13.2">
      <c r="A4677" s="454" t="s">
        <v>119</v>
      </c>
      <c r="B4677" s="452" t="str">
        <f>VLOOKUP(A4677,'Thống kê'!$C$3:$D$669,2,0)</f>
        <v>Thỏ chạy xe gắn xe</v>
      </c>
      <c r="C4677" s="436" t="str">
        <f>VLOOKUP(A4677,'Thống kê'!$C$3:$E$682,3,0)</f>
        <v>cái</v>
      </c>
      <c r="D4677" s="437">
        <f>VLOOKUP(A4677,'Thống kê'!$C$3:$M$682,4,0)</f>
        <v>45000</v>
      </c>
      <c r="E4677" s="438">
        <v>1</v>
      </c>
      <c r="F4677" s="439">
        <f t="shared" si="19"/>
        <v>45000</v>
      </c>
      <c r="G4677" s="440"/>
      <c r="H4677" s="450"/>
    </row>
    <row r="4678" spans="1:8" ht="13.2">
      <c r="A4678" s="454" t="s">
        <v>281</v>
      </c>
      <c r="B4678" s="452">
        <f>VLOOKUP(A4678,'Thống kê'!$C$3:$D$669,2,0)</f>
        <v>0</v>
      </c>
      <c r="C4678" s="436" t="str">
        <f>VLOOKUP(A4678,'Thống kê'!$C$3:$E$682,3,0)</f>
        <v>cái</v>
      </c>
      <c r="D4678" s="437">
        <f>VLOOKUP(A4678,'Thống kê'!$C$3:$M$682,4,0)</f>
        <v>0</v>
      </c>
      <c r="E4678" s="438">
        <v>1</v>
      </c>
      <c r="F4678" s="439">
        <f t="shared" si="19"/>
        <v>0</v>
      </c>
      <c r="G4678" s="440"/>
      <c r="H4678" s="448">
        <v>88642</v>
      </c>
    </row>
    <row r="4679" spans="1:8" ht="13.2">
      <c r="A4679" s="454" t="s">
        <v>1395</v>
      </c>
      <c r="B4679" s="452" t="str">
        <f>VLOOKUP(A4679,'Thống kê'!$C$3:$D$669,2,0)</f>
        <v>Móc khoá Labubu mini Popmart</v>
      </c>
      <c r="C4679" s="436" t="str">
        <f>VLOOKUP(A4679,'Thống kê'!$C$3:$E$682,3,0)</f>
        <v>cái</v>
      </c>
      <c r="D4679" s="437">
        <f>VLOOKUP(A4679,'Thống kê'!$C$3:$M$682,4,0)</f>
        <v>0</v>
      </c>
      <c r="E4679" s="438">
        <v>1</v>
      </c>
      <c r="F4679" s="439">
        <f t="shared" si="19"/>
        <v>0</v>
      </c>
      <c r="G4679" s="440"/>
      <c r="H4679" s="448">
        <v>92496</v>
      </c>
    </row>
    <row r="4680" spans="1:8" ht="13.2">
      <c r="A4680" s="454" t="s">
        <v>1698</v>
      </c>
      <c r="B4680" s="452" t="str">
        <f>VLOOKUP(A4680,'Thống kê'!$C$3:$D$669,2,0)</f>
        <v>Mô hình động vật thần tài - Heo hồng</v>
      </c>
      <c r="C4680" s="436" t="str">
        <f>VLOOKUP(A4680,'Thống kê'!$C$3:$E$682,3,0)</f>
        <v>cái</v>
      </c>
      <c r="D4680" s="437">
        <f>VLOOKUP(A4680,'Thống kê'!$C$3:$M$682,4,0)</f>
        <v>59000</v>
      </c>
      <c r="E4680" s="438">
        <v>1</v>
      </c>
      <c r="F4680" s="439">
        <f t="shared" si="19"/>
        <v>59000</v>
      </c>
      <c r="G4680" s="440"/>
      <c r="H4680" s="447">
        <v>93498</v>
      </c>
    </row>
    <row r="4681" spans="1:8" ht="13.2">
      <c r="A4681" s="454" t="s">
        <v>1375</v>
      </c>
      <c r="B4681" s="452" t="str">
        <f>VLOOKUP(A4681,'Thống kê'!$C$3:$D$669,2,0)</f>
        <v>Mô hình thần tài</v>
      </c>
      <c r="C4681" s="436" t="str">
        <f>VLOOKUP(A4681,'Thống kê'!$C$3:$E$682,3,0)</f>
        <v>cái</v>
      </c>
      <c r="D4681" s="437">
        <f>VLOOKUP(A4681,'Thống kê'!$C$3:$M$682,4,0)</f>
        <v>59800</v>
      </c>
      <c r="E4681" s="438">
        <v>1</v>
      </c>
      <c r="F4681" s="439">
        <f t="shared" si="19"/>
        <v>59800</v>
      </c>
      <c r="G4681" s="440"/>
      <c r="H4681" s="450"/>
    </row>
    <row r="4682" spans="1:8" ht="13.2">
      <c r="A4682" s="454" t="s">
        <v>1690</v>
      </c>
      <c r="B4682" s="452">
        <f>VLOOKUP(A4682,'Thống kê'!$C$3:$D$669,2,0)</f>
        <v>0</v>
      </c>
      <c r="C4682" s="436" t="str">
        <f>VLOOKUP(A4682,'Thống kê'!$C$3:$E$682,3,0)</f>
        <v>cái</v>
      </c>
      <c r="D4682" s="437">
        <f>VLOOKUP(A4682,'Thống kê'!$C$3:$M$682,4,0)</f>
        <v>0</v>
      </c>
      <c r="E4682" s="438">
        <v>1</v>
      </c>
      <c r="F4682" s="439">
        <f t="shared" si="19"/>
        <v>0</v>
      </c>
      <c r="G4682" s="440"/>
      <c r="H4682" s="448">
        <v>19467</v>
      </c>
    </row>
    <row r="4683" spans="1:8" ht="13.2">
      <c r="A4683" s="454" t="s">
        <v>1697</v>
      </c>
      <c r="B4683" s="452" t="str">
        <f>VLOOKUP(A4683,'Thống kê'!$C$3:$D$669,2,0)</f>
        <v>heo</v>
      </c>
      <c r="C4683" s="436" t="str">
        <f>VLOOKUP(A4683,'Thống kê'!$C$3:$E$682,3,0)</f>
        <v>cái</v>
      </c>
      <c r="D4683" s="437">
        <f>VLOOKUP(A4683,'Thống kê'!$C$3:$M$682,4,0)</f>
        <v>35000</v>
      </c>
      <c r="E4683" s="438">
        <v>1</v>
      </c>
      <c r="F4683" s="439">
        <f t="shared" si="19"/>
        <v>35000</v>
      </c>
      <c r="G4683" s="440"/>
      <c r="H4683" s="447">
        <v>47883</v>
      </c>
    </row>
    <row r="4684" spans="1:8" ht="13.2">
      <c r="A4684" s="454" t="s">
        <v>94</v>
      </c>
      <c r="B4684" s="452" t="str">
        <f>VLOOKUP(A4684,'Thống kê'!$C$3:$D$669,2,0)</f>
        <v>thỏ</v>
      </c>
      <c r="C4684" s="436" t="str">
        <f>VLOOKUP(A4684,'Thống kê'!$C$3:$E$682,3,0)</f>
        <v>cái</v>
      </c>
      <c r="D4684" s="437">
        <f>VLOOKUP(A4684,'Thống kê'!$C$3:$M$682,4,0)</f>
        <v>35000</v>
      </c>
      <c r="E4684" s="438">
        <v>1</v>
      </c>
      <c r="F4684" s="439">
        <f t="shared" si="19"/>
        <v>35000</v>
      </c>
      <c r="G4684" s="440"/>
      <c r="H4684" s="450"/>
    </row>
    <row r="4685" spans="1:8" ht="13.2">
      <c r="A4685" s="454" t="s">
        <v>1423</v>
      </c>
      <c r="B4685" s="452">
        <f>VLOOKUP(A4685,'Thống kê'!$C$3:$D$669,2,0)</f>
        <v>0</v>
      </c>
      <c r="C4685" s="436" t="str">
        <f>VLOOKUP(A4685,'Thống kê'!$C$3:$E$682,3,0)</f>
        <v>cái</v>
      </c>
      <c r="D4685" s="437">
        <f>VLOOKUP(A4685,'Thống kê'!$C$3:$M$682,4,0)</f>
        <v>0</v>
      </c>
      <c r="E4685" s="438">
        <v>1</v>
      </c>
      <c r="F4685" s="439">
        <f t="shared" si="19"/>
        <v>0</v>
      </c>
      <c r="G4685" s="440"/>
      <c r="H4685" s="448">
        <v>123820</v>
      </c>
    </row>
    <row r="4686" spans="1:8" ht="13.2">
      <c r="A4686" s="454" t="s">
        <v>1387</v>
      </c>
      <c r="B4686" s="452" t="str">
        <f>VLOOKUP(A4686,'Thống kê'!$C$3:$D$669,2,0)</f>
        <v>Móc khoá Crybaby mini Popmart</v>
      </c>
      <c r="C4686" s="436" t="str">
        <f>VLOOKUP(A4686,'Thống kê'!$C$3:$E$682,3,0)</f>
        <v>cái</v>
      </c>
      <c r="D4686" s="437">
        <f>VLOOKUP(A4686,'Thống kê'!$C$3:$M$682,4,0)</f>
        <v>0</v>
      </c>
      <c r="E4686" s="438">
        <v>1</v>
      </c>
      <c r="F4686" s="439">
        <f t="shared" si="19"/>
        <v>0</v>
      </c>
      <c r="G4686" s="440"/>
      <c r="H4686" s="447">
        <v>200670</v>
      </c>
    </row>
    <row r="4687" spans="1:8" ht="13.2">
      <c r="A4687" s="454" t="s">
        <v>1386</v>
      </c>
      <c r="B4687" s="452" t="str">
        <f>VLOOKUP(A4687,'Thống kê'!$C$3:$D$669,2,0)</f>
        <v>Móc khoá Crybaby mini Popmart</v>
      </c>
      <c r="C4687" s="436" t="str">
        <f>VLOOKUP(A4687,'Thống kê'!$C$3:$E$682,3,0)</f>
        <v>cái</v>
      </c>
      <c r="D4687" s="437">
        <f>VLOOKUP(A4687,'Thống kê'!$C$3:$M$682,4,0)</f>
        <v>0</v>
      </c>
      <c r="E4687" s="438">
        <v>1</v>
      </c>
      <c r="F4687" s="439">
        <f t="shared" si="19"/>
        <v>0</v>
      </c>
      <c r="G4687" s="440"/>
      <c r="H4687" s="450"/>
    </row>
    <row r="4688" spans="1:8" ht="13.2">
      <c r="A4688" s="454" t="s">
        <v>230</v>
      </c>
      <c r="B4688" s="452" t="str">
        <f>VLOOKUP(A4688,'Thống kê'!$C$3:$D$669,2,0)</f>
        <v>Móc khoá Crybaby mini Popmart</v>
      </c>
      <c r="C4688" s="436" t="str">
        <f>VLOOKUP(A4688,'Thống kê'!$C$3:$E$682,3,0)</f>
        <v>cái</v>
      </c>
      <c r="D4688" s="437">
        <f>VLOOKUP(A4688,'Thống kê'!$C$3:$M$682,4,0)</f>
        <v>0</v>
      </c>
      <c r="E4688" s="438">
        <v>1</v>
      </c>
      <c r="F4688" s="439">
        <f t="shared" si="19"/>
        <v>0</v>
      </c>
      <c r="G4688" s="440"/>
      <c r="H4688" s="448">
        <v>102516</v>
      </c>
    </row>
    <row r="4689" spans="1:8" ht="13.2">
      <c r="A4689" s="454" t="s">
        <v>330</v>
      </c>
      <c r="B4689" s="452" t="str">
        <f>VLOOKUP(A4689,'Thống kê'!$C$3:$D$669,2,0)</f>
        <v>Túi chườm bụng thỏ xám  500ml</v>
      </c>
      <c r="C4689" s="436" t="str">
        <f>VLOOKUP(A4689,'Thống kê'!$C$3:$E$682,3,0)</f>
        <v>túi</v>
      </c>
      <c r="D4689" s="437">
        <f>VLOOKUP(A4689,'Thống kê'!$C$3:$M$682,4,0)</f>
        <v>81000</v>
      </c>
      <c r="E4689" s="438">
        <v>1</v>
      </c>
      <c r="F4689" s="439">
        <f t="shared" si="19"/>
        <v>81000</v>
      </c>
      <c r="G4689" s="440"/>
      <c r="H4689" s="448">
        <v>57006</v>
      </c>
    </row>
    <row r="4690" spans="1:8" ht="13.2">
      <c r="A4690" s="454" t="s">
        <v>115</v>
      </c>
      <c r="B4690" s="452" t="str">
        <f>VLOOKUP(A4690,'Thống kê'!$C$3:$D$669,2,0)</f>
        <v>Heo ú</v>
      </c>
      <c r="C4690" s="436" t="str">
        <f>VLOOKUP(A4690,'Thống kê'!$C$3:$E$682,3,0)</f>
        <v>cái</v>
      </c>
      <c r="D4690" s="437">
        <f>VLOOKUP(A4690,'Thống kê'!$C$3:$M$682,4,0)</f>
        <v>59500</v>
      </c>
      <c r="E4690" s="438">
        <v>1</v>
      </c>
      <c r="F4690" s="439">
        <f t="shared" si="19"/>
        <v>59500</v>
      </c>
      <c r="G4690" s="440"/>
      <c r="H4690" s="448">
        <v>53100</v>
      </c>
    </row>
    <row r="4691" spans="1:8" ht="13.2">
      <c r="A4691" s="454" t="s">
        <v>281</v>
      </c>
      <c r="B4691" s="452">
        <f>VLOOKUP(A4691,'Thống kê'!$C$3:$D$669,2,0)</f>
        <v>0</v>
      </c>
      <c r="C4691" s="436" t="str">
        <f>VLOOKUP(A4691,'Thống kê'!$C$3:$E$682,3,0)</f>
        <v>cái</v>
      </c>
      <c r="D4691" s="437">
        <f>VLOOKUP(A4691,'Thống kê'!$C$3:$M$682,4,0)</f>
        <v>0</v>
      </c>
      <c r="E4691" s="438">
        <v>1</v>
      </c>
      <c r="F4691" s="439">
        <f t="shared" si="19"/>
        <v>0</v>
      </c>
      <c r="G4691" s="440"/>
      <c r="H4691" s="448">
        <v>88642</v>
      </c>
    </row>
    <row r="4692" spans="1:8" ht="13.2">
      <c r="A4692" s="454" t="s">
        <v>281</v>
      </c>
      <c r="B4692" s="452">
        <f>VLOOKUP(A4692,'Thống kê'!$C$3:$D$669,2,0)</f>
        <v>0</v>
      </c>
      <c r="C4692" s="436" t="str">
        <f>VLOOKUP(A4692,'Thống kê'!$C$3:$E$682,3,0)</f>
        <v>cái</v>
      </c>
      <c r="D4692" s="437">
        <f>VLOOKUP(A4692,'Thống kê'!$C$3:$M$682,4,0)</f>
        <v>0</v>
      </c>
      <c r="E4692" s="438">
        <v>15</v>
      </c>
      <c r="F4692" s="439">
        <f t="shared" si="19"/>
        <v>0</v>
      </c>
      <c r="G4692" s="440"/>
      <c r="H4692" s="447">
        <v>3724768</v>
      </c>
    </row>
    <row r="4693" spans="1:8" ht="13.2">
      <c r="A4693" s="454" t="s">
        <v>1713</v>
      </c>
      <c r="B4693" s="452">
        <f>VLOOKUP(A4693,'Thống kê'!$C$3:$D$669,2,0)</f>
        <v>0</v>
      </c>
      <c r="C4693" s="436" t="str">
        <f>VLOOKUP(A4693,'Thống kê'!$C$3:$E$682,3,0)</f>
        <v>cái</v>
      </c>
      <c r="D4693" s="437">
        <f>VLOOKUP(A4693,'Thống kê'!$C$3:$M$682,4,0)</f>
        <v>0</v>
      </c>
      <c r="E4693" s="438">
        <v>12</v>
      </c>
      <c r="F4693" s="439">
        <f t="shared" si="19"/>
        <v>0</v>
      </c>
      <c r="G4693" s="440"/>
      <c r="H4693" s="450"/>
    </row>
    <row r="4694" spans="1:8" ht="13.2">
      <c r="A4694" s="454" t="s">
        <v>1714</v>
      </c>
      <c r="B4694" s="452">
        <f>VLOOKUP(A4694,'Thống kê'!$C$3:$D$669,2,0)</f>
        <v>0</v>
      </c>
      <c r="C4694" s="436" t="str">
        <f>VLOOKUP(A4694,'Thống kê'!$C$3:$E$682,3,0)</f>
        <v>cái</v>
      </c>
      <c r="D4694" s="437">
        <f>VLOOKUP(A4694,'Thống kê'!$C$3:$M$682,4,0)</f>
        <v>0</v>
      </c>
      <c r="E4694" s="438">
        <v>7</v>
      </c>
      <c r="F4694" s="439">
        <f t="shared" si="19"/>
        <v>0</v>
      </c>
      <c r="G4694" s="440"/>
      <c r="H4694" s="450"/>
    </row>
    <row r="4695" spans="1:8" ht="13.2">
      <c r="A4695" s="454" t="s">
        <v>1715</v>
      </c>
      <c r="B4695" s="452">
        <f>VLOOKUP(A4695,'Thống kê'!$C$3:$D$669,2,0)</f>
        <v>0</v>
      </c>
      <c r="C4695" s="436" t="str">
        <f>VLOOKUP(A4695,'Thống kê'!$C$3:$E$682,3,0)</f>
        <v>cái</v>
      </c>
      <c r="D4695" s="437">
        <f>VLOOKUP(A4695,'Thống kê'!$C$3:$M$682,4,0)</f>
        <v>0</v>
      </c>
      <c r="E4695" s="438">
        <v>10</v>
      </c>
      <c r="F4695" s="439">
        <f t="shared" si="19"/>
        <v>0</v>
      </c>
      <c r="G4695" s="440"/>
      <c r="H4695" s="450"/>
    </row>
    <row r="4696" spans="1:8" ht="13.2">
      <c r="A4696" s="454" t="s">
        <v>1622</v>
      </c>
      <c r="B4696" s="452" t="str">
        <f>VLOOKUP(A4696,'Thống kê'!$C$3:$D$669,2,0)</f>
        <v>Mô hình mèo 1</v>
      </c>
      <c r="C4696" s="436" t="str">
        <f>VLOOKUP(A4696,'Thống kê'!$C$3:$E$682,3,0)</f>
        <v>cái</v>
      </c>
      <c r="D4696" s="437">
        <f>VLOOKUP(A4696,'Thống kê'!$C$3:$M$682,4,0)</f>
        <v>37800</v>
      </c>
      <c r="E4696" s="438">
        <v>1</v>
      </c>
      <c r="F4696" s="439">
        <f t="shared" si="19"/>
        <v>37800</v>
      </c>
      <c r="G4696" s="440"/>
      <c r="H4696" s="447">
        <v>64780</v>
      </c>
    </row>
    <row r="4697" spans="1:8" ht="13.2">
      <c r="A4697" s="454" t="s">
        <v>1623</v>
      </c>
      <c r="B4697" s="452" t="str">
        <f>VLOOKUP(A4697,'Thống kê'!$C$3:$D$669,2,0)</f>
        <v>Mô hình mèo 5</v>
      </c>
      <c r="C4697" s="436" t="str">
        <f>VLOOKUP(A4697,'Thống kê'!$C$3:$E$682,3,0)</f>
        <v>cái</v>
      </c>
      <c r="D4697" s="437">
        <f>VLOOKUP(A4697,'Thống kê'!$C$3:$M$682,4,0)</f>
        <v>37800</v>
      </c>
      <c r="E4697" s="438">
        <v>1</v>
      </c>
      <c r="F4697" s="439">
        <f t="shared" si="19"/>
        <v>37800</v>
      </c>
      <c r="G4697" s="440"/>
      <c r="H4697" s="450"/>
    </row>
    <row r="4698" spans="1:8" ht="13.2">
      <c r="A4698" s="454" t="s">
        <v>115</v>
      </c>
      <c r="B4698" s="452" t="str">
        <f>VLOOKUP(A4698,'Thống kê'!$C$3:$D$669,2,0)</f>
        <v>Heo ú</v>
      </c>
      <c r="C4698" s="436" t="str">
        <f>VLOOKUP(A4698,'Thống kê'!$C$3:$E$682,3,0)</f>
        <v>cái</v>
      </c>
      <c r="D4698" s="437">
        <f>VLOOKUP(A4698,'Thống kê'!$C$3:$M$682,4,0)</f>
        <v>59500</v>
      </c>
      <c r="E4698" s="438">
        <v>1</v>
      </c>
      <c r="F4698" s="439">
        <f t="shared" si="19"/>
        <v>59500</v>
      </c>
      <c r="G4698" s="440"/>
      <c r="H4698" s="447">
        <v>114964</v>
      </c>
    </row>
    <row r="4699" spans="1:8" ht="13.2">
      <c r="A4699" s="454" t="s">
        <v>1210</v>
      </c>
      <c r="B4699" s="452" t="str">
        <f>VLOOKUP(A4699,'Thống kê'!$C$3:$D$669,2,0)</f>
        <v>Shiba ú cầm hoa</v>
      </c>
      <c r="C4699" s="436" t="str">
        <f>VLOOKUP(A4699,'Thống kê'!$C$3:$E$682,3,0)</f>
        <v>cái</v>
      </c>
      <c r="D4699" s="437">
        <f>VLOOKUP(A4699,'Thống kê'!$C$3:$M$682,4,0)</f>
        <v>64500</v>
      </c>
      <c r="E4699" s="438">
        <v>1</v>
      </c>
      <c r="F4699" s="439">
        <f t="shared" si="19"/>
        <v>64500</v>
      </c>
      <c r="G4699" s="440"/>
      <c r="H4699" s="450"/>
    </row>
    <row r="4700" spans="1:8" ht="13.2">
      <c r="A4700" s="454" t="s">
        <v>1386</v>
      </c>
      <c r="B4700" s="452" t="str">
        <f>VLOOKUP(A4700,'Thống kê'!$C$3:$D$669,2,0)</f>
        <v>Móc khoá Crybaby mini Popmart</v>
      </c>
      <c r="C4700" s="436" t="str">
        <f>VLOOKUP(A4700,'Thống kê'!$C$3:$E$682,3,0)</f>
        <v>cái</v>
      </c>
      <c r="D4700" s="437">
        <f>VLOOKUP(A4700,'Thống kê'!$C$3:$M$682,4,0)</f>
        <v>0</v>
      </c>
      <c r="E4700" s="438">
        <v>1</v>
      </c>
      <c r="F4700" s="439">
        <f t="shared" si="19"/>
        <v>0</v>
      </c>
      <c r="G4700" s="440"/>
      <c r="H4700" s="448">
        <v>102516</v>
      </c>
    </row>
    <row r="4701" spans="1:8" ht="13.2">
      <c r="A4701" s="454" t="s">
        <v>1624</v>
      </c>
      <c r="B4701" s="452" t="str">
        <f>VLOOKUP(A4701,'Thống kê'!$C$3:$D$669,2,0)</f>
        <v>Móc khóa mèo trái tim</v>
      </c>
      <c r="C4701" s="436" t="str">
        <f>VLOOKUP(A4701,'Thống kê'!$C$3:$E$682,3,0)</f>
        <v>cái</v>
      </c>
      <c r="D4701" s="437">
        <f>VLOOKUP(A4701,'Thống kê'!$C$3:$M$682,4,0)</f>
        <v>59000</v>
      </c>
      <c r="E4701" s="438">
        <v>1</v>
      </c>
      <c r="F4701" s="439">
        <f t="shared" si="19"/>
        <v>59000</v>
      </c>
      <c r="G4701" s="440"/>
      <c r="H4701" s="448">
        <v>44510</v>
      </c>
    </row>
    <row r="4702" spans="1:8" ht="13.2">
      <c r="A4702" s="454" t="s">
        <v>281</v>
      </c>
      <c r="B4702" s="452">
        <f>VLOOKUP(A4702,'Thống kê'!$C$3:$D$669,2,0)</f>
        <v>0</v>
      </c>
      <c r="C4702" s="436" t="str">
        <f>VLOOKUP(A4702,'Thống kê'!$C$3:$E$682,3,0)</f>
        <v>cái</v>
      </c>
      <c r="D4702" s="437">
        <f>VLOOKUP(A4702,'Thống kê'!$C$3:$M$682,4,0)</f>
        <v>0</v>
      </c>
      <c r="E4702" s="438">
        <v>5</v>
      </c>
      <c r="F4702" s="439">
        <f t="shared" si="19"/>
        <v>0</v>
      </c>
      <c r="G4702" s="440"/>
      <c r="H4702" s="447">
        <v>900000</v>
      </c>
    </row>
    <row r="4703" spans="1:8" ht="13.2">
      <c r="A4703" s="454" t="s">
        <v>1713</v>
      </c>
      <c r="B4703" s="452">
        <f>VLOOKUP(A4703,'Thống kê'!$C$3:$D$669,2,0)</f>
        <v>0</v>
      </c>
      <c r="C4703" s="436" t="str">
        <f>VLOOKUP(A4703,'Thống kê'!$C$3:$E$682,3,0)</f>
        <v>cái</v>
      </c>
      <c r="D4703" s="437">
        <f>VLOOKUP(A4703,'Thống kê'!$C$3:$M$682,4,0)</f>
        <v>0</v>
      </c>
      <c r="E4703" s="438">
        <v>1</v>
      </c>
      <c r="F4703" s="439">
        <f t="shared" si="19"/>
        <v>0</v>
      </c>
      <c r="G4703" s="440"/>
      <c r="H4703" s="450"/>
    </row>
    <row r="4704" spans="1:8" ht="13.2">
      <c r="A4704" s="454" t="s">
        <v>1714</v>
      </c>
      <c r="B4704" s="452">
        <f>VLOOKUP(A4704,'Thống kê'!$C$3:$D$669,2,0)</f>
        <v>0</v>
      </c>
      <c r="C4704" s="436" t="str">
        <f>VLOOKUP(A4704,'Thống kê'!$C$3:$E$682,3,0)</f>
        <v>cái</v>
      </c>
      <c r="D4704" s="437">
        <f>VLOOKUP(A4704,'Thống kê'!$C$3:$M$682,4,0)</f>
        <v>0</v>
      </c>
      <c r="E4704" s="438">
        <v>2</v>
      </c>
      <c r="F4704" s="439">
        <f t="shared" si="19"/>
        <v>0</v>
      </c>
      <c r="G4704" s="440"/>
      <c r="H4704" s="450"/>
    </row>
    <row r="4705" spans="1:8" ht="13.2">
      <c r="A4705" s="454" t="s">
        <v>1715</v>
      </c>
      <c r="B4705" s="452">
        <f>VLOOKUP(A4705,'Thống kê'!$C$3:$D$669,2,0)</f>
        <v>0</v>
      </c>
      <c r="C4705" s="436" t="str">
        <f>VLOOKUP(A4705,'Thống kê'!$C$3:$E$682,3,0)</f>
        <v>cái</v>
      </c>
      <c r="D4705" s="437">
        <f>VLOOKUP(A4705,'Thống kê'!$C$3:$M$682,4,0)</f>
        <v>0</v>
      </c>
      <c r="E4705" s="438">
        <v>2</v>
      </c>
      <c r="F4705" s="439">
        <f t="shared" si="19"/>
        <v>0</v>
      </c>
      <c r="G4705" s="440"/>
      <c r="H4705" s="450"/>
    </row>
    <row r="4706" spans="1:8" ht="13.2">
      <c r="A4706" s="454" t="s">
        <v>245</v>
      </c>
      <c r="B4706" s="452" t="str">
        <f>VLOOKUP(A4706,'Thống kê'!$C$3:$D$669,2,0)</f>
        <v>Móc khóa Popbean</v>
      </c>
      <c r="C4706" s="436" t="str">
        <f>VLOOKUP(A4706,'Thống kê'!$C$3:$E$682,3,0)</f>
        <v>cái</v>
      </c>
      <c r="D4706" s="437">
        <f>VLOOKUP(A4706,'Thống kê'!$C$3:$M$682,4,0)</f>
        <v>148000</v>
      </c>
      <c r="E4706" s="438">
        <v>1</v>
      </c>
      <c r="F4706" s="439">
        <f t="shared" si="19"/>
        <v>148000</v>
      </c>
      <c r="G4706" s="440"/>
      <c r="H4706" s="448">
        <v>136565</v>
      </c>
    </row>
    <row r="4707" spans="1:8" ht="13.2">
      <c r="A4707" s="454" t="s">
        <v>170</v>
      </c>
      <c r="B4707" s="452" t="str">
        <f>VLOOKUP(A4707,'Thống kê'!$C$3:$D$669,2,0)</f>
        <v>Móc khóa chuối</v>
      </c>
      <c r="C4707" s="436" t="str">
        <f>VLOOKUP(A4707,'Thống kê'!$C$3:$E$682,3,0)</f>
        <v>cái</v>
      </c>
      <c r="D4707" s="437">
        <f>VLOOKUP(A4707,'Thống kê'!$C$3:$M$682,4,0)</f>
        <v>148000</v>
      </c>
      <c r="E4707" s="438">
        <v>1</v>
      </c>
      <c r="F4707" s="439">
        <f t="shared" si="19"/>
        <v>148000</v>
      </c>
      <c r="G4707" s="440"/>
      <c r="H4707" s="448">
        <v>75112</v>
      </c>
    </row>
    <row r="4708" spans="1:8" ht="13.2">
      <c r="A4708" s="454" t="s">
        <v>177</v>
      </c>
      <c r="B4708" s="452" t="str">
        <f>VLOOKUP(A4708,'Thống kê'!$C$3:$D$669,2,0)</f>
        <v>Dao rọc giấy 15</v>
      </c>
      <c r="C4708" s="436" t="str">
        <f>VLOOKUP(A4708,'Thống kê'!$C$3:$E$682,3,0)</f>
        <v>cái</v>
      </c>
      <c r="D4708" s="437">
        <f>VLOOKUP(A4708,'Thống kê'!$C$3:$M$682,4,0)</f>
        <v>12000</v>
      </c>
      <c r="E4708" s="438">
        <v>1</v>
      </c>
      <c r="F4708" s="439">
        <f t="shared" si="19"/>
        <v>12000</v>
      </c>
      <c r="G4708" s="440"/>
      <c r="H4708" s="447">
        <v>49062</v>
      </c>
    </row>
    <row r="4709" spans="1:8" ht="13.2">
      <c r="A4709" s="454" t="s">
        <v>150</v>
      </c>
      <c r="B4709" s="452" t="str">
        <f>VLOOKUP(A4709,'Thống kê'!$C$3:$D$669,2,0)</f>
        <v>Móc khóa có chuông</v>
      </c>
      <c r="C4709" s="436" t="str">
        <f>VLOOKUP(A4709,'Thống kê'!$C$3:$E$682,3,0)</f>
        <v>cái</v>
      </c>
      <c r="D4709" s="437">
        <f>VLOOKUP(A4709,'Thống kê'!$C$3:$M$682,4,0)</f>
        <v>59000</v>
      </c>
      <c r="E4709" s="438">
        <v>1</v>
      </c>
      <c r="F4709" s="439">
        <f t="shared" si="19"/>
        <v>59000</v>
      </c>
      <c r="G4709" s="440"/>
      <c r="H4709" s="450"/>
    </row>
    <row r="4710" spans="1:8" ht="13.2">
      <c r="A4710" s="454" t="s">
        <v>94</v>
      </c>
      <c r="B4710" s="452" t="str">
        <f>VLOOKUP(A4710,'Thống kê'!$C$3:$D$669,2,0)</f>
        <v>thỏ</v>
      </c>
      <c r="C4710" s="436" t="str">
        <f>VLOOKUP(A4710,'Thống kê'!$C$3:$E$682,3,0)</f>
        <v>cái</v>
      </c>
      <c r="D4710" s="437">
        <f>VLOOKUP(A4710,'Thống kê'!$C$3:$M$682,4,0)</f>
        <v>35000</v>
      </c>
      <c r="E4710" s="438">
        <v>1</v>
      </c>
      <c r="F4710" s="439">
        <f t="shared" si="19"/>
        <v>35000</v>
      </c>
      <c r="G4710" s="440"/>
      <c r="H4710" s="448">
        <v>26404</v>
      </c>
    </row>
    <row r="4711" spans="1:8" ht="13.2">
      <c r="A4711" s="454" t="s">
        <v>1382</v>
      </c>
      <c r="B4711" s="452" t="str">
        <f>VLOOKUP(A4711,'Thống kê'!$C$3:$D$669,2,0)</f>
        <v>miếng dán silicon điện thoại</v>
      </c>
      <c r="C4711" s="436" t="str">
        <f>VLOOKUP(A4711,'Thống kê'!$C$3:$E$682,3,0)</f>
        <v>cái</v>
      </c>
      <c r="D4711" s="437">
        <f>VLOOKUP(A4711,'Thống kê'!$C$3:$M$682,4,0)</f>
        <v>0</v>
      </c>
      <c r="E4711" s="438">
        <v>1</v>
      </c>
      <c r="F4711" s="439">
        <f t="shared" si="19"/>
        <v>0</v>
      </c>
      <c r="G4711" s="440"/>
      <c r="H4711" s="447">
        <v>126309</v>
      </c>
    </row>
    <row r="4712" spans="1:8" ht="13.2">
      <c r="A4712" s="454" t="s">
        <v>1370</v>
      </c>
      <c r="B4712" s="452" t="str">
        <f>VLOOKUP(A4712,'Thống kê'!$C$3:$D$669,2,0)</f>
        <v>Móc khóa Popbean</v>
      </c>
      <c r="C4712" s="436" t="str">
        <f>VLOOKUP(A4712,'Thống kê'!$C$3:$E$682,3,0)</f>
        <v>cái</v>
      </c>
      <c r="D4712" s="437">
        <f>VLOOKUP(A4712,'Thống kê'!$C$3:$M$682,4,0)</f>
        <v>148000</v>
      </c>
      <c r="E4712" s="438">
        <v>1</v>
      </c>
      <c r="F4712" s="439">
        <f t="shared" si="19"/>
        <v>148000</v>
      </c>
      <c r="G4712" s="440"/>
      <c r="H4712" s="450"/>
    </row>
    <row r="4713" spans="1:8" ht="13.2">
      <c r="A4713" s="454" t="s">
        <v>330</v>
      </c>
      <c r="B4713" s="452" t="str">
        <f>VLOOKUP(A4713,'Thống kê'!$C$3:$D$669,2,0)</f>
        <v>Túi chườm bụng thỏ xám  500ml</v>
      </c>
      <c r="C4713" s="436" t="str">
        <f>VLOOKUP(A4713,'Thống kê'!$C$3:$E$682,3,0)</f>
        <v>túi</v>
      </c>
      <c r="D4713" s="437">
        <f>VLOOKUP(A4713,'Thống kê'!$C$3:$M$682,4,0)</f>
        <v>81000</v>
      </c>
      <c r="E4713" s="438">
        <v>1</v>
      </c>
      <c r="F4713" s="439">
        <f t="shared" si="19"/>
        <v>81000</v>
      </c>
      <c r="G4713" s="440"/>
      <c r="H4713" s="448">
        <v>57006</v>
      </c>
    </row>
    <row r="4714" spans="1:8" ht="13.2">
      <c r="A4714" s="454" t="s">
        <v>1690</v>
      </c>
      <c r="B4714" s="452">
        <f>VLOOKUP(A4714,'Thống kê'!$C$3:$D$669,2,0)</f>
        <v>0</v>
      </c>
      <c r="C4714" s="436" t="str">
        <f>VLOOKUP(A4714,'Thống kê'!$C$3:$E$682,3,0)</f>
        <v>cái</v>
      </c>
      <c r="D4714" s="437">
        <f>VLOOKUP(A4714,'Thống kê'!$C$3:$M$682,4,0)</f>
        <v>0</v>
      </c>
      <c r="E4714" s="438">
        <v>1</v>
      </c>
      <c r="F4714" s="439">
        <f t="shared" si="19"/>
        <v>0</v>
      </c>
      <c r="G4714" s="440"/>
      <c r="H4714" s="448">
        <v>19967</v>
      </c>
    </row>
    <row r="4715" spans="1:8" ht="13.2">
      <c r="A4715" s="454" t="s">
        <v>186</v>
      </c>
      <c r="B4715" s="452" t="str">
        <f>VLOOKUP(A4715,'Thống kê'!$C$3:$D$669,2,0)</f>
        <v>Thỏ ú bay</v>
      </c>
      <c r="C4715" s="436" t="str">
        <f>VLOOKUP(A4715,'Thống kê'!$C$3:$E$682,3,0)</f>
        <v>cái</v>
      </c>
      <c r="D4715" s="437">
        <f>VLOOKUP(A4715,'Thống kê'!$C$3:$M$682,4,0)</f>
        <v>64500</v>
      </c>
      <c r="E4715" s="438">
        <v>1</v>
      </c>
      <c r="F4715" s="439">
        <f t="shared" si="19"/>
        <v>64500</v>
      </c>
      <c r="G4715" s="440"/>
      <c r="H4715" s="448">
        <v>59624</v>
      </c>
    </row>
    <row r="4716" spans="1:8" ht="13.2">
      <c r="A4716" s="454" t="s">
        <v>1690</v>
      </c>
      <c r="B4716" s="452">
        <f>VLOOKUP(A4716,'Thống kê'!$C$3:$D$669,2,0)</f>
        <v>0</v>
      </c>
      <c r="C4716" s="436" t="str">
        <f>VLOOKUP(A4716,'Thống kê'!$C$3:$E$682,3,0)</f>
        <v>cái</v>
      </c>
      <c r="D4716" s="437">
        <f>VLOOKUP(A4716,'Thống kê'!$C$3:$M$682,4,0)</f>
        <v>0</v>
      </c>
      <c r="E4716" s="438">
        <v>1</v>
      </c>
      <c r="F4716" s="439">
        <f t="shared" si="19"/>
        <v>0</v>
      </c>
      <c r="G4716" s="440"/>
      <c r="H4716" s="448">
        <v>19967</v>
      </c>
    </row>
    <row r="4717" spans="1:8" ht="13.2">
      <c r="A4717" s="454" t="s">
        <v>330</v>
      </c>
      <c r="B4717" s="452" t="str">
        <f>VLOOKUP(A4717,'Thống kê'!$C$3:$D$669,2,0)</f>
        <v>Túi chườm bụng thỏ xám  500ml</v>
      </c>
      <c r="C4717" s="436" t="str">
        <f>VLOOKUP(A4717,'Thống kê'!$C$3:$E$682,3,0)</f>
        <v>túi</v>
      </c>
      <c r="D4717" s="437">
        <f>VLOOKUP(A4717,'Thống kê'!$C$3:$M$682,4,0)</f>
        <v>81000</v>
      </c>
      <c r="E4717" s="438">
        <v>1</v>
      </c>
      <c r="F4717" s="439">
        <f t="shared" si="19"/>
        <v>81000</v>
      </c>
      <c r="G4717" s="440"/>
      <c r="H4717" s="448">
        <v>57006</v>
      </c>
    </row>
    <row r="4718" spans="1:8" ht="13.2">
      <c r="A4718" s="454" t="s">
        <v>1382</v>
      </c>
      <c r="B4718" s="452" t="str">
        <f>VLOOKUP(A4718,'Thống kê'!$C$3:$D$669,2,0)</f>
        <v>miếng dán silicon điện thoại</v>
      </c>
      <c r="C4718" s="436" t="str">
        <f>VLOOKUP(A4718,'Thống kê'!$C$3:$E$682,3,0)</f>
        <v>cái</v>
      </c>
      <c r="D4718" s="437">
        <f>VLOOKUP(A4718,'Thống kê'!$C$3:$M$682,4,0)</f>
        <v>0</v>
      </c>
      <c r="E4718" s="438">
        <v>1</v>
      </c>
      <c r="F4718" s="439">
        <f t="shared" si="19"/>
        <v>0</v>
      </c>
      <c r="G4718" s="440"/>
      <c r="H4718" s="447">
        <v>126309</v>
      </c>
    </row>
    <row r="4719" spans="1:8" ht="13.2">
      <c r="A4719" s="454" t="s">
        <v>1370</v>
      </c>
      <c r="B4719" s="452" t="str">
        <f>VLOOKUP(A4719,'Thống kê'!$C$3:$D$669,2,0)</f>
        <v>Móc khóa Popbean</v>
      </c>
      <c r="C4719" s="436" t="str">
        <f>VLOOKUP(A4719,'Thống kê'!$C$3:$E$682,3,0)</f>
        <v>cái</v>
      </c>
      <c r="D4719" s="437">
        <f>VLOOKUP(A4719,'Thống kê'!$C$3:$M$682,4,0)</f>
        <v>148000</v>
      </c>
      <c r="E4719" s="438">
        <v>1</v>
      </c>
      <c r="F4719" s="439">
        <f t="shared" si="19"/>
        <v>148000</v>
      </c>
      <c r="G4719" s="440"/>
      <c r="H4719" s="450"/>
    </row>
    <row r="4720" spans="1:8" ht="13.2">
      <c r="A4720" s="454" t="s">
        <v>94</v>
      </c>
      <c r="B4720" s="452" t="str">
        <f>VLOOKUP(A4720,'Thống kê'!$C$3:$D$669,2,0)</f>
        <v>thỏ</v>
      </c>
      <c r="C4720" s="436" t="str">
        <f>VLOOKUP(A4720,'Thống kê'!$C$3:$E$682,3,0)</f>
        <v>cái</v>
      </c>
      <c r="D4720" s="437">
        <f>VLOOKUP(A4720,'Thống kê'!$C$3:$M$682,4,0)</f>
        <v>35000</v>
      </c>
      <c r="E4720" s="438">
        <v>1</v>
      </c>
      <c r="F4720" s="439">
        <f t="shared" si="19"/>
        <v>35000</v>
      </c>
      <c r="G4720" s="440"/>
      <c r="H4720" s="448">
        <v>26404</v>
      </c>
    </row>
    <row r="4721" spans="1:8" ht="13.2">
      <c r="A4721" s="454" t="s">
        <v>177</v>
      </c>
      <c r="B4721" s="452" t="str">
        <f>VLOOKUP(A4721,'Thống kê'!$C$3:$D$669,2,0)</f>
        <v>Dao rọc giấy 15</v>
      </c>
      <c r="C4721" s="436" t="str">
        <f>VLOOKUP(A4721,'Thống kê'!$C$3:$E$682,3,0)</f>
        <v>cái</v>
      </c>
      <c r="D4721" s="437">
        <f>VLOOKUP(A4721,'Thống kê'!$C$3:$M$682,4,0)</f>
        <v>12000</v>
      </c>
      <c r="E4721" s="438">
        <v>1</v>
      </c>
      <c r="F4721" s="439">
        <f t="shared" si="19"/>
        <v>12000</v>
      </c>
      <c r="G4721" s="440"/>
      <c r="H4721" s="447">
        <v>49062</v>
      </c>
    </row>
    <row r="4722" spans="1:8" ht="13.2">
      <c r="A4722" s="454" t="s">
        <v>150</v>
      </c>
      <c r="B4722" s="452" t="str">
        <f>VLOOKUP(A4722,'Thống kê'!$C$3:$D$669,2,0)</f>
        <v>Móc khóa có chuông</v>
      </c>
      <c r="C4722" s="436" t="str">
        <f>VLOOKUP(A4722,'Thống kê'!$C$3:$E$682,3,0)</f>
        <v>cái</v>
      </c>
      <c r="D4722" s="437">
        <f>VLOOKUP(A4722,'Thống kê'!$C$3:$M$682,4,0)</f>
        <v>59000</v>
      </c>
      <c r="E4722" s="438">
        <v>1</v>
      </c>
      <c r="F4722" s="439">
        <f t="shared" si="19"/>
        <v>59000</v>
      </c>
      <c r="G4722" s="440"/>
      <c r="H4722" s="450"/>
    </row>
    <row r="4723" spans="1:8" ht="13.2">
      <c r="A4723" s="454" t="s">
        <v>170</v>
      </c>
      <c r="B4723" s="452" t="str">
        <f>VLOOKUP(A4723,'Thống kê'!$C$3:$D$669,2,0)</f>
        <v>Móc khóa chuối</v>
      </c>
      <c r="C4723" s="436" t="str">
        <f>VLOOKUP(A4723,'Thống kê'!$C$3:$E$682,3,0)</f>
        <v>cái</v>
      </c>
      <c r="D4723" s="437">
        <f>VLOOKUP(A4723,'Thống kê'!$C$3:$M$682,4,0)</f>
        <v>148000</v>
      </c>
      <c r="E4723" s="438">
        <v>1</v>
      </c>
      <c r="F4723" s="439">
        <f t="shared" si="19"/>
        <v>148000</v>
      </c>
      <c r="G4723" s="440"/>
      <c r="H4723" s="448">
        <v>75112</v>
      </c>
    </row>
    <row r="4724" spans="1:8" ht="13.2">
      <c r="A4724" s="454" t="s">
        <v>115</v>
      </c>
      <c r="B4724" s="452" t="str">
        <f>VLOOKUP(A4724,'Thống kê'!$C$3:$D$669,2,0)</f>
        <v>Heo ú</v>
      </c>
      <c r="C4724" s="436" t="str">
        <f>VLOOKUP(A4724,'Thống kê'!$C$3:$E$682,3,0)</f>
        <v>cái</v>
      </c>
      <c r="D4724" s="437">
        <f>VLOOKUP(A4724,'Thống kê'!$C$3:$M$682,4,0)</f>
        <v>59500</v>
      </c>
      <c r="E4724" s="438">
        <v>1</v>
      </c>
      <c r="F4724" s="439">
        <f t="shared" si="19"/>
        <v>59500</v>
      </c>
      <c r="G4724" s="440"/>
      <c r="H4724" s="447">
        <v>114964</v>
      </c>
    </row>
    <row r="4725" spans="1:8" ht="13.2">
      <c r="A4725" s="454" t="s">
        <v>116</v>
      </c>
      <c r="B4725" s="452" t="str">
        <f>VLOOKUP(A4725,'Thống kê'!$C$3:$D$669,2,0)</f>
        <v>heo ú cầm hoa</v>
      </c>
      <c r="C4725" s="436" t="str">
        <f>VLOOKUP(A4725,'Thống kê'!$C$3:$E$682,3,0)</f>
        <v>cái</v>
      </c>
      <c r="D4725" s="437">
        <f>VLOOKUP(A4725,'Thống kê'!$C$3:$M$682,4,0)</f>
        <v>64500</v>
      </c>
      <c r="E4725" s="438">
        <v>1</v>
      </c>
      <c r="F4725" s="439">
        <f t="shared" si="19"/>
        <v>64500</v>
      </c>
      <c r="G4725" s="440"/>
      <c r="H4725" s="450"/>
    </row>
    <row r="4726" spans="1:8" ht="13.2">
      <c r="A4726" s="454" t="s">
        <v>1624</v>
      </c>
      <c r="B4726" s="452" t="str">
        <f>VLOOKUP(A4726,'Thống kê'!$C$3:$D$669,2,0)</f>
        <v>Móc khóa mèo trái tim</v>
      </c>
      <c r="C4726" s="436" t="str">
        <f>VLOOKUP(A4726,'Thống kê'!$C$3:$E$682,3,0)</f>
        <v>cái</v>
      </c>
      <c r="D4726" s="437">
        <f>VLOOKUP(A4726,'Thống kê'!$C$3:$M$682,4,0)</f>
        <v>59000</v>
      </c>
      <c r="E4726" s="438">
        <v>1</v>
      </c>
      <c r="F4726" s="439">
        <f t="shared" si="19"/>
        <v>59000</v>
      </c>
      <c r="G4726" s="440"/>
      <c r="H4726" s="448">
        <v>40010</v>
      </c>
    </row>
    <row r="4727" spans="1:8" ht="13.2">
      <c r="A4727" s="454" t="s">
        <v>1591</v>
      </c>
      <c r="B4727" s="452" t="str">
        <f>VLOOKUP(A4727,'Thống kê'!$C$3:$D$669,2,0)</f>
        <v>Thỏ ú</v>
      </c>
      <c r="C4727" s="436" t="str">
        <f>VLOOKUP(A4727,'Thống kê'!$C$3:$E$682,3,0)</f>
        <v>cái</v>
      </c>
      <c r="D4727" s="437">
        <f>VLOOKUP(A4727,'Thống kê'!$C$3:$M$682,4,0)</f>
        <v>59500</v>
      </c>
      <c r="E4727" s="438">
        <v>1</v>
      </c>
      <c r="F4727" s="439">
        <f t="shared" si="19"/>
        <v>59500</v>
      </c>
      <c r="G4727" s="440"/>
      <c r="H4727" s="448">
        <v>53125</v>
      </c>
    </row>
    <row r="4728" spans="1:8" ht="13.2">
      <c r="A4728" s="454" t="s">
        <v>1587</v>
      </c>
      <c r="B4728" s="452" t="str">
        <f>VLOOKUP(A4728,'Thống kê'!$C$3:$D$669,2,0)</f>
        <v>Vịt ú bay</v>
      </c>
      <c r="C4728" s="436" t="str">
        <f>VLOOKUP(A4728,'Thống kê'!$C$3:$E$682,3,0)</f>
        <v>cái</v>
      </c>
      <c r="D4728" s="437">
        <f>VLOOKUP(A4728,'Thống kê'!$C$3:$M$682,4,0)</f>
        <v>64500</v>
      </c>
      <c r="E4728" s="438">
        <v>1</v>
      </c>
      <c r="F4728" s="439">
        <f t="shared" si="19"/>
        <v>64500</v>
      </c>
      <c r="G4728" s="440"/>
      <c r="H4728" s="447">
        <v>196565</v>
      </c>
    </row>
    <row r="4729" spans="1:8" ht="13.2">
      <c r="A4729" s="454" t="s">
        <v>128</v>
      </c>
      <c r="B4729" s="452" t="str">
        <f>VLOOKUP(A4729,'Thống kê'!$C$3:$D$669,2,0)</f>
        <v>Mèo ú bay</v>
      </c>
      <c r="C4729" s="436" t="str">
        <f>VLOOKUP(A4729,'Thống kê'!$C$3:$E$682,3,0)</f>
        <v>cái</v>
      </c>
      <c r="D4729" s="437">
        <f>VLOOKUP(A4729,'Thống kê'!$C$3:$M$682,4,0)</f>
        <v>64500</v>
      </c>
      <c r="E4729" s="438">
        <v>1</v>
      </c>
      <c r="F4729" s="439">
        <f t="shared" si="19"/>
        <v>64500</v>
      </c>
      <c r="G4729" s="440"/>
      <c r="H4729" s="450"/>
    </row>
    <row r="4730" spans="1:8" ht="13.2">
      <c r="A4730" s="454" t="s">
        <v>116</v>
      </c>
      <c r="B4730" s="452" t="str">
        <f>VLOOKUP(A4730,'Thống kê'!$C$3:$D$669,2,0)</f>
        <v>heo ú cầm hoa</v>
      </c>
      <c r="C4730" s="436" t="str">
        <f>VLOOKUP(A4730,'Thống kê'!$C$3:$E$682,3,0)</f>
        <v>cái</v>
      </c>
      <c r="D4730" s="437">
        <f>VLOOKUP(A4730,'Thống kê'!$C$3:$M$682,4,0)</f>
        <v>64500</v>
      </c>
      <c r="E4730" s="438">
        <v>1</v>
      </c>
      <c r="F4730" s="439">
        <f t="shared" si="19"/>
        <v>64500</v>
      </c>
      <c r="G4730" s="440"/>
      <c r="H4730" s="450"/>
    </row>
    <row r="4731" spans="1:8" ht="13.2">
      <c r="A4731" s="454" t="s">
        <v>1334</v>
      </c>
      <c r="B4731" s="452" t="str">
        <f>VLOOKUP(A4731,'Thống kê'!$C$3:$D$669,2,0)</f>
        <v>Móc khóa Popbean</v>
      </c>
      <c r="C4731" s="436" t="str">
        <f>VLOOKUP(A4731,'Thống kê'!$C$3:$E$682,3,0)</f>
        <v>cái</v>
      </c>
      <c r="D4731" s="437">
        <f>VLOOKUP(A4731,'Thống kê'!$C$3:$M$682,4,0)</f>
        <v>148000</v>
      </c>
      <c r="E4731" s="438">
        <v>1</v>
      </c>
      <c r="F4731" s="439">
        <f t="shared" si="19"/>
        <v>148000</v>
      </c>
      <c r="G4731" s="440"/>
      <c r="H4731" s="448">
        <v>110372</v>
      </c>
    </row>
    <row r="4732" spans="1:8" ht="13.2">
      <c r="A4732" s="454" t="s">
        <v>1382</v>
      </c>
      <c r="B4732" s="452" t="str">
        <f>VLOOKUP(A4732,'Thống kê'!$C$3:$D$669,2,0)</f>
        <v>miếng dán silicon điện thoại</v>
      </c>
      <c r="C4732" s="436" t="str">
        <f>VLOOKUP(A4732,'Thống kê'!$C$3:$E$682,3,0)</f>
        <v>cái</v>
      </c>
      <c r="D4732" s="437">
        <f>VLOOKUP(A4732,'Thống kê'!$C$3:$M$682,4,0)</f>
        <v>0</v>
      </c>
      <c r="E4732" s="438">
        <v>1</v>
      </c>
      <c r="F4732" s="439">
        <f t="shared" si="19"/>
        <v>0</v>
      </c>
      <c r="G4732" s="440"/>
      <c r="H4732" s="447">
        <v>120404</v>
      </c>
    </row>
    <row r="4733" spans="1:8" ht="13.2">
      <c r="A4733" s="454" t="s">
        <v>1660</v>
      </c>
      <c r="B4733" s="452" t="str">
        <f>VLOOKUP(A4733,'Thống kê'!$C$3:$D$669,2,0)</f>
        <v>Móc khóa Popbean Skull Panda</v>
      </c>
      <c r="C4733" s="436" t="str">
        <f>VLOOKUP(A4733,'Thống kê'!$C$3:$E$682,3,0)</f>
        <v>cái</v>
      </c>
      <c r="D4733" s="437">
        <f>VLOOKUP(A4733,'Thống kê'!$C$3:$M$682,4,0)</f>
        <v>155000</v>
      </c>
      <c r="E4733" s="438">
        <v>1</v>
      </c>
      <c r="F4733" s="439">
        <f t="shared" si="19"/>
        <v>155000</v>
      </c>
      <c r="G4733" s="440"/>
      <c r="H4733" s="450"/>
    </row>
    <row r="4734" spans="1:8" ht="13.2">
      <c r="A4734" s="454" t="s">
        <v>1699</v>
      </c>
      <c r="B4734" s="452" t="str">
        <f>VLOOKUP(A4734,'Thống kê'!$C$3:$D$669,2,0)</f>
        <v>Mô hình động vật thần tài - Capy</v>
      </c>
      <c r="C4734" s="436" t="str">
        <f>VLOOKUP(A4734,'Thống kê'!$C$3:$E$682,3,0)</f>
        <v>cái</v>
      </c>
      <c r="D4734" s="437">
        <f>VLOOKUP(A4734,'Thống kê'!$C$3:$M$682,4,0)</f>
        <v>59000</v>
      </c>
      <c r="E4734" s="438">
        <v>1</v>
      </c>
      <c r="F4734" s="439">
        <f t="shared" si="19"/>
        <v>59000</v>
      </c>
      <c r="G4734" s="440"/>
      <c r="H4734" s="447">
        <v>94733</v>
      </c>
    </row>
    <row r="4735" spans="1:8" ht="13.2">
      <c r="A4735" s="454" t="s">
        <v>1698</v>
      </c>
      <c r="B4735" s="452" t="str">
        <f>VLOOKUP(A4735,'Thống kê'!$C$3:$D$669,2,0)</f>
        <v>Mô hình động vật thần tài - Heo hồng</v>
      </c>
      <c r="C4735" s="436" t="str">
        <f>VLOOKUP(A4735,'Thống kê'!$C$3:$E$682,3,0)</f>
        <v>cái</v>
      </c>
      <c r="D4735" s="437">
        <f>VLOOKUP(A4735,'Thống kê'!$C$3:$M$682,4,0)</f>
        <v>59000</v>
      </c>
      <c r="E4735" s="438">
        <v>1</v>
      </c>
      <c r="F4735" s="439">
        <f t="shared" si="19"/>
        <v>59000</v>
      </c>
      <c r="G4735" s="440"/>
      <c r="H4735" s="450"/>
    </row>
    <row r="4736" spans="1:8" ht="13.2">
      <c r="A4736" s="454" t="s">
        <v>1591</v>
      </c>
      <c r="B4736" s="452" t="str">
        <f>VLOOKUP(A4736,'Thống kê'!$C$3:$D$669,2,0)</f>
        <v>Thỏ ú</v>
      </c>
      <c r="C4736" s="436" t="str">
        <f>VLOOKUP(A4736,'Thống kê'!$C$3:$E$682,3,0)</f>
        <v>cái</v>
      </c>
      <c r="D4736" s="437">
        <f>VLOOKUP(A4736,'Thống kê'!$C$3:$M$682,4,0)</f>
        <v>59500</v>
      </c>
      <c r="E4736" s="438">
        <v>1</v>
      </c>
      <c r="F4736" s="439">
        <f t="shared" si="19"/>
        <v>59500</v>
      </c>
      <c r="G4736" s="440"/>
      <c r="H4736" s="447">
        <v>109684</v>
      </c>
    </row>
    <row r="4737" spans="1:8" ht="13.2">
      <c r="A4737" s="454" t="s">
        <v>310</v>
      </c>
      <c r="B4737" s="452" t="str">
        <f>VLOOKUP(A4737,'Thống kê'!$C$3:$D$669,2,0)</f>
        <v>Trang trí mô hình Heo</v>
      </c>
      <c r="C4737" s="436" t="str">
        <f>VLOOKUP(A4737,'Thống kê'!$C$3:$E$682,3,0)</f>
        <v>cái</v>
      </c>
      <c r="D4737" s="437">
        <f>VLOOKUP(A4737,'Thống kê'!$C$3:$M$682,4,0)</f>
        <v>39000</v>
      </c>
      <c r="E4737" s="438">
        <v>1</v>
      </c>
      <c r="F4737" s="439">
        <f t="shared" si="19"/>
        <v>39000</v>
      </c>
      <c r="G4737" s="440"/>
      <c r="H4737" s="450"/>
    </row>
    <row r="4738" spans="1:8" ht="13.2">
      <c r="A4738" s="454" t="s">
        <v>1353</v>
      </c>
      <c r="B4738" s="452" t="str">
        <f>VLOOKUP(A4738,'Thống kê'!$C$3:$D$669,2,0)</f>
        <v>Trang trí mô hình Vịt</v>
      </c>
      <c r="C4738" s="436" t="str">
        <f>VLOOKUP(A4738,'Thống kê'!$C$3:$E$682,3,0)</f>
        <v>cái</v>
      </c>
      <c r="D4738" s="437">
        <f>VLOOKUP(A4738,'Thống kê'!$C$3:$M$682,4,0)</f>
        <v>39000</v>
      </c>
      <c r="E4738" s="438">
        <v>1</v>
      </c>
      <c r="F4738" s="439">
        <f t="shared" si="19"/>
        <v>39000</v>
      </c>
      <c r="G4738" s="440"/>
      <c r="H4738" s="450"/>
    </row>
    <row r="4739" spans="1:8" ht="13.2">
      <c r="A4739" s="454" t="s">
        <v>116</v>
      </c>
      <c r="B4739" s="452" t="str">
        <f>VLOOKUP(A4739,'Thống kê'!$C$3:$D$669,2,0)</f>
        <v>heo ú cầm hoa</v>
      </c>
      <c r="C4739" s="436" t="str">
        <f>VLOOKUP(A4739,'Thống kê'!$C$3:$E$682,3,0)</f>
        <v>cái</v>
      </c>
      <c r="D4739" s="437">
        <f>VLOOKUP(A4739,'Thống kê'!$C$3:$M$682,4,0)</f>
        <v>64500</v>
      </c>
      <c r="E4739" s="438">
        <v>1</v>
      </c>
      <c r="F4739" s="439">
        <f t="shared" si="19"/>
        <v>64500</v>
      </c>
      <c r="G4739" s="440"/>
      <c r="H4739" s="448">
        <v>60024</v>
      </c>
    </row>
    <row r="4740" spans="1:8" ht="13.2">
      <c r="A4740" s="454" t="s">
        <v>115</v>
      </c>
      <c r="B4740" s="452" t="str">
        <f>VLOOKUP(A4740,'Thống kê'!$C$3:$D$669,2,0)</f>
        <v>Heo ú</v>
      </c>
      <c r="C4740" s="436" t="str">
        <f>VLOOKUP(A4740,'Thống kê'!$C$3:$E$682,3,0)</f>
        <v>cái</v>
      </c>
      <c r="D4740" s="437">
        <f>VLOOKUP(A4740,'Thống kê'!$C$3:$M$682,4,0)</f>
        <v>59500</v>
      </c>
      <c r="E4740" s="438">
        <v>2</v>
      </c>
      <c r="F4740" s="439">
        <f t="shared" si="19"/>
        <v>119000</v>
      </c>
      <c r="G4740" s="440"/>
      <c r="H4740" s="448">
        <v>108240</v>
      </c>
    </row>
    <row r="4741" spans="1:8" ht="13.2">
      <c r="A4741" s="454" t="s">
        <v>1591</v>
      </c>
      <c r="B4741" s="452" t="str">
        <f>VLOOKUP(A4741,'Thống kê'!$C$3:$D$669,2,0)</f>
        <v>Thỏ ú</v>
      </c>
      <c r="C4741" s="436" t="str">
        <f>VLOOKUP(A4741,'Thống kê'!$C$3:$E$682,3,0)</f>
        <v>cái</v>
      </c>
      <c r="D4741" s="437">
        <f>VLOOKUP(A4741,'Thống kê'!$C$3:$M$682,4,0)</f>
        <v>59500</v>
      </c>
      <c r="E4741" s="438">
        <v>1</v>
      </c>
      <c r="F4741" s="439">
        <f t="shared" si="19"/>
        <v>59500</v>
      </c>
      <c r="G4741" s="440"/>
      <c r="H4741" s="447">
        <v>143664</v>
      </c>
    </row>
    <row r="4742" spans="1:8" ht="13.2">
      <c r="A4742" s="454" t="s">
        <v>186</v>
      </c>
      <c r="B4742" s="452" t="str">
        <f>VLOOKUP(A4742,'Thống kê'!$C$3:$D$669,2,0)</f>
        <v>Thỏ ú bay</v>
      </c>
      <c r="C4742" s="436" t="str">
        <f>VLOOKUP(A4742,'Thống kê'!$C$3:$E$682,3,0)</f>
        <v>cái</v>
      </c>
      <c r="D4742" s="437">
        <f>VLOOKUP(A4742,'Thống kê'!$C$3:$M$682,4,0)</f>
        <v>64500</v>
      </c>
      <c r="E4742" s="438">
        <v>1</v>
      </c>
      <c r="F4742" s="439">
        <f t="shared" si="19"/>
        <v>64500</v>
      </c>
      <c r="G4742" s="440"/>
      <c r="H4742" s="450"/>
    </row>
    <row r="4743" spans="1:8" ht="13.2">
      <c r="A4743" s="454" t="s">
        <v>1711</v>
      </c>
      <c r="B4743" s="452" t="str">
        <f>VLOOKUP(A4743,'Thống kê'!$C$3:$D$669,2,0)</f>
        <v xml:space="preserve">Bao lì xì </v>
      </c>
      <c r="C4743" s="436" t="str">
        <f>VLOOKUP(A4743,'Thống kê'!$C$3:$E$682,3,0)</f>
        <v>set 6 cái</v>
      </c>
      <c r="D4743" s="437">
        <f>VLOOKUP(A4743,'Thống kê'!$C$3:$M$682,4,0)</f>
        <v>14500</v>
      </c>
      <c r="E4743" s="438">
        <v>1</v>
      </c>
      <c r="F4743" s="439">
        <f t="shared" si="19"/>
        <v>14500</v>
      </c>
      <c r="G4743" s="440"/>
      <c r="H4743" s="450"/>
    </row>
    <row r="4744" spans="1:8" ht="13.2">
      <c r="A4744" s="454" t="s">
        <v>325</v>
      </c>
      <c r="B4744" s="452" t="str">
        <f>VLOOKUP(A4744,'Thống kê'!$C$3:$D$669,2,0)</f>
        <v>Gấu ú</v>
      </c>
      <c r="C4744" s="436" t="str">
        <f>VLOOKUP(A4744,'Thống kê'!$C$3:$E$682,3,0)</f>
        <v>cái</v>
      </c>
      <c r="D4744" s="437">
        <f>VLOOKUP(A4744,'Thống kê'!$C$3:$M$682,4,0)</f>
        <v>59500</v>
      </c>
      <c r="E4744" s="438">
        <v>1</v>
      </c>
      <c r="F4744" s="439">
        <f t="shared" si="19"/>
        <v>59500</v>
      </c>
      <c r="G4744" s="440"/>
      <c r="H4744" s="448">
        <v>52508</v>
      </c>
    </row>
    <row r="4745" spans="1:8" ht="13.2">
      <c r="A4745" s="454" t="s">
        <v>150</v>
      </c>
      <c r="B4745" s="452" t="str">
        <f>VLOOKUP(A4745,'Thống kê'!$C$3:$D$669,2,0)</f>
        <v>Móc khóa có chuông</v>
      </c>
      <c r="C4745" s="436" t="str">
        <f>VLOOKUP(A4745,'Thống kê'!$C$3:$E$682,3,0)</f>
        <v>cái</v>
      </c>
      <c r="D4745" s="437">
        <f>VLOOKUP(A4745,'Thống kê'!$C$3:$M$682,4,0)</f>
        <v>59000</v>
      </c>
      <c r="E4745" s="438">
        <v>1</v>
      </c>
      <c r="F4745" s="439">
        <f t="shared" si="19"/>
        <v>59000</v>
      </c>
      <c r="G4745" s="440"/>
      <c r="H4745" s="448">
        <v>43260</v>
      </c>
    </row>
    <row r="4746" spans="1:8" ht="13.2">
      <c r="A4746" s="454" t="s">
        <v>1713</v>
      </c>
      <c r="B4746" s="452">
        <f>VLOOKUP(A4746,'Thống kê'!$C$3:$D$669,2,0)</f>
        <v>0</v>
      </c>
      <c r="C4746" s="436" t="str">
        <f>VLOOKUP(A4746,'Thống kê'!$C$3:$E$682,3,0)</f>
        <v>cái</v>
      </c>
      <c r="D4746" s="437">
        <f>VLOOKUP(A4746,'Thống kê'!$C$3:$M$682,4,0)</f>
        <v>0</v>
      </c>
      <c r="E4746" s="438">
        <v>1</v>
      </c>
      <c r="F4746" s="439">
        <f t="shared" si="19"/>
        <v>0</v>
      </c>
      <c r="G4746" s="440"/>
      <c r="H4746" s="448">
        <v>66443</v>
      </c>
    </row>
    <row r="4747" spans="1:8" ht="13.2">
      <c r="A4747" s="454" t="s">
        <v>1591</v>
      </c>
      <c r="B4747" s="452" t="str">
        <f>VLOOKUP(A4747,'Thống kê'!$C$3:$D$669,2,0)</f>
        <v>Thỏ ú</v>
      </c>
      <c r="C4747" s="436" t="str">
        <f>VLOOKUP(A4747,'Thống kê'!$C$3:$E$682,3,0)</f>
        <v>cái</v>
      </c>
      <c r="D4747" s="437">
        <f>VLOOKUP(A4747,'Thống kê'!$C$3:$M$682,4,0)</f>
        <v>59500</v>
      </c>
      <c r="E4747" s="438">
        <v>3</v>
      </c>
      <c r="F4747" s="439">
        <f t="shared" si="19"/>
        <v>178500</v>
      </c>
      <c r="G4747" s="440"/>
      <c r="H4747" s="448">
        <v>158424</v>
      </c>
    </row>
    <row r="4748" spans="1:8" ht="13.2">
      <c r="A4748" s="454" t="s">
        <v>1403</v>
      </c>
      <c r="B4748" s="452" t="str">
        <f>VLOOKUP(A4748,'Thống kê'!$C$3:$D$669,2,0)</f>
        <v>Móc khoá Dimoo size mini (hàng remake) hồng</v>
      </c>
      <c r="C4748" s="436" t="str">
        <f>VLOOKUP(A4748,'Thống kê'!$C$3:$E$682,3,0)</f>
        <v>cái</v>
      </c>
      <c r="D4748" s="437">
        <f>VLOOKUP(A4748,'Thống kê'!$C$3:$M$682,4,0)</f>
        <v>0</v>
      </c>
      <c r="E4748" s="438">
        <v>1</v>
      </c>
      <c r="F4748" s="439">
        <f t="shared" si="19"/>
        <v>0</v>
      </c>
      <c r="G4748" s="440"/>
      <c r="H4748" s="447">
        <v>233864</v>
      </c>
    </row>
    <row r="4749" spans="1:8" ht="13.2">
      <c r="A4749" s="454" t="s">
        <v>1401</v>
      </c>
      <c r="B4749" s="452" t="str">
        <f>VLOOKUP(A4749,'Thống kê'!$C$3:$D$669,2,0)</f>
        <v>Móc khoá Dimoo size mini (hàng remake)</v>
      </c>
      <c r="C4749" s="436" t="str">
        <f>VLOOKUP(A4749,'Thống kê'!$C$3:$E$682,3,0)</f>
        <v>cái</v>
      </c>
      <c r="D4749" s="437">
        <f>VLOOKUP(A4749,'Thống kê'!$C$3:$M$682,4,0)</f>
        <v>0</v>
      </c>
      <c r="E4749" s="438">
        <v>1</v>
      </c>
      <c r="F4749" s="439">
        <f t="shared" si="19"/>
        <v>0</v>
      </c>
      <c r="G4749" s="440"/>
      <c r="H4749" s="450"/>
    </row>
    <row r="4750" spans="1:8" ht="13.2">
      <c r="A4750" s="454" t="s">
        <v>150</v>
      </c>
      <c r="B4750" s="452" t="str">
        <f>VLOOKUP(A4750,'Thống kê'!$C$3:$D$669,2,0)</f>
        <v>Móc khóa có chuông</v>
      </c>
      <c r="C4750" s="436" t="str">
        <f>VLOOKUP(A4750,'Thống kê'!$C$3:$E$682,3,0)</f>
        <v>cái</v>
      </c>
      <c r="D4750" s="437">
        <f>VLOOKUP(A4750,'Thống kê'!$C$3:$M$682,4,0)</f>
        <v>59000</v>
      </c>
      <c r="E4750" s="438">
        <v>1</v>
      </c>
      <c r="F4750" s="439">
        <f t="shared" si="19"/>
        <v>59000</v>
      </c>
      <c r="G4750" s="440"/>
      <c r="H4750" s="448">
        <v>40410</v>
      </c>
    </row>
    <row r="4751" spans="1:8" ht="13.2">
      <c r="A4751" s="454" t="s">
        <v>115</v>
      </c>
      <c r="B4751" s="452" t="str">
        <f>VLOOKUP(A4751,'Thống kê'!$C$3:$D$669,2,0)</f>
        <v>Heo ú</v>
      </c>
      <c r="C4751" s="436" t="str">
        <f>VLOOKUP(A4751,'Thống kê'!$C$3:$E$682,3,0)</f>
        <v>cái</v>
      </c>
      <c r="D4751" s="437">
        <f>VLOOKUP(A4751,'Thống kê'!$C$3:$M$682,4,0)</f>
        <v>59500</v>
      </c>
      <c r="E4751" s="438">
        <v>1</v>
      </c>
      <c r="F4751" s="439">
        <f t="shared" si="19"/>
        <v>59500</v>
      </c>
      <c r="G4751" s="440"/>
      <c r="H4751" s="448">
        <v>53300</v>
      </c>
    </row>
    <row r="4752" spans="1:8" ht="13.2">
      <c r="A4752" s="454" t="s">
        <v>1713</v>
      </c>
      <c r="B4752" s="452">
        <f>VLOOKUP(A4752,'Thống kê'!$C$3:$D$669,2,0)</f>
        <v>0</v>
      </c>
      <c r="C4752" s="436" t="str">
        <f>VLOOKUP(A4752,'Thống kê'!$C$3:$E$682,3,0)</f>
        <v>cái</v>
      </c>
      <c r="D4752" s="437">
        <f>VLOOKUP(A4752,'Thống kê'!$C$3:$M$682,4,0)</f>
        <v>0</v>
      </c>
      <c r="E4752" s="438">
        <v>1</v>
      </c>
      <c r="F4752" s="439">
        <f t="shared" si="19"/>
        <v>0</v>
      </c>
      <c r="G4752" s="440"/>
      <c r="H4752" s="448">
        <v>67568</v>
      </c>
    </row>
    <row r="4753" spans="1:8" ht="13.2">
      <c r="A4753" s="454" t="s">
        <v>325</v>
      </c>
      <c r="B4753" s="452" t="str">
        <f>VLOOKUP(A4753,'Thống kê'!$C$3:$D$669,2,0)</f>
        <v>Gấu ú</v>
      </c>
      <c r="C4753" s="436" t="str">
        <f>VLOOKUP(A4753,'Thống kê'!$C$3:$E$682,3,0)</f>
        <v>cái</v>
      </c>
      <c r="D4753" s="437">
        <f>VLOOKUP(A4753,'Thống kê'!$C$3:$M$682,4,0)</f>
        <v>59500</v>
      </c>
      <c r="E4753" s="438">
        <v>1</v>
      </c>
      <c r="F4753" s="439">
        <f t="shared" si="19"/>
        <v>59500</v>
      </c>
      <c r="G4753" s="440"/>
      <c r="H4753" s="447">
        <v>110372</v>
      </c>
    </row>
    <row r="4754" spans="1:8" ht="13.2">
      <c r="A4754" s="454" t="s">
        <v>128</v>
      </c>
      <c r="B4754" s="452" t="str">
        <f>VLOOKUP(A4754,'Thống kê'!$C$3:$D$669,2,0)</f>
        <v>Mèo ú bay</v>
      </c>
      <c r="C4754" s="436" t="str">
        <f>VLOOKUP(A4754,'Thống kê'!$C$3:$E$682,3,0)</f>
        <v>cái</v>
      </c>
      <c r="D4754" s="437">
        <f>VLOOKUP(A4754,'Thống kê'!$C$3:$M$682,4,0)</f>
        <v>64500</v>
      </c>
      <c r="E4754" s="438">
        <v>1</v>
      </c>
      <c r="F4754" s="439">
        <f t="shared" si="19"/>
        <v>64500</v>
      </c>
      <c r="G4754" s="440"/>
      <c r="H4754" s="450"/>
    </row>
    <row r="4755" spans="1:8" ht="13.2">
      <c r="A4755" s="454" t="s">
        <v>1425</v>
      </c>
      <c r="B4755" s="452" t="str">
        <f>VLOOKUP(A4755,'Thống kê'!$C$3:$D$669,2,0)</f>
        <v>Móc khoá Crybaby mini Popmart</v>
      </c>
      <c r="C4755" s="436" t="str">
        <f>VLOOKUP(A4755,'Thống kê'!$C$3:$E$682,3,0)</f>
        <v>cái</v>
      </c>
      <c r="D4755" s="437">
        <f>VLOOKUP(A4755,'Thống kê'!$C$3:$M$682,4,0)</f>
        <v>145000</v>
      </c>
      <c r="E4755" s="438">
        <v>1</v>
      </c>
      <c r="F4755" s="439">
        <f t="shared" si="19"/>
        <v>145000</v>
      </c>
      <c r="G4755" s="440"/>
      <c r="H4755" s="448">
        <v>112340</v>
      </c>
    </row>
    <row r="4756" spans="1:8" ht="13.2">
      <c r="A4756" s="454" t="s">
        <v>175</v>
      </c>
      <c r="B4756" s="452" t="str">
        <f>VLOOKUP(A4756,'Thống kê'!$C$3:$D$669,2,0)</f>
        <v>Cài tóc đen</v>
      </c>
      <c r="C4756" s="436" t="str">
        <f>VLOOKUP(A4756,'Thống kê'!$C$3:$E$682,3,0)</f>
        <v>cái</v>
      </c>
      <c r="D4756" s="437">
        <f>VLOOKUP(A4756,'Thống kê'!$C$3:$M$682,4,0)</f>
        <v>21000</v>
      </c>
      <c r="E4756" s="438">
        <v>1</v>
      </c>
      <c r="F4756" s="439">
        <f t="shared" si="19"/>
        <v>21000</v>
      </c>
      <c r="G4756" s="440"/>
      <c r="H4756" s="448">
        <v>15192</v>
      </c>
    </row>
    <row r="4757" spans="1:8" ht="13.2">
      <c r="A4757" s="454" t="s">
        <v>1342</v>
      </c>
      <c r="B4757" s="452" t="str">
        <f>VLOOKUP(A4757,'Thống kê'!$C$3:$D$669,2,0)</f>
        <v>Móc khóa chuối</v>
      </c>
      <c r="C4757" s="436" t="str">
        <f>VLOOKUP(A4757,'Thống kê'!$C$3:$E$682,3,0)</f>
        <v>cái</v>
      </c>
      <c r="D4757" s="437">
        <f>VLOOKUP(A4757,'Thống kê'!$C$3:$M$682,4,0)</f>
        <v>148000</v>
      </c>
      <c r="E4757" s="438">
        <v>1</v>
      </c>
      <c r="F4757" s="439">
        <f t="shared" si="19"/>
        <v>148000</v>
      </c>
      <c r="G4757" s="440"/>
      <c r="H4757" s="447">
        <v>87223</v>
      </c>
    </row>
    <row r="4758" spans="1:8" ht="13.2">
      <c r="A4758" s="454" t="s">
        <v>1967</v>
      </c>
      <c r="B4758" s="452" t="str">
        <f>VLOOKUP(A4758,'Thống kê'!$C$3:$D$669,2,0)</f>
        <v>Kẹp càng cua lông hình gấu nâu gấu nâu</v>
      </c>
      <c r="C4758" s="436" t="str">
        <f>VLOOKUP(A4758,'Thống kê'!$C$3:$E$682,3,0)</f>
        <v>cái</v>
      </c>
      <c r="D4758" s="437">
        <f>VLOOKUP(A4758,'Thống kê'!$C$3:$M$682,4,0)</f>
        <v>18000</v>
      </c>
      <c r="E4758" s="438">
        <v>1</v>
      </c>
      <c r="F4758" s="439">
        <f t="shared" si="19"/>
        <v>18000</v>
      </c>
      <c r="G4758" s="440"/>
      <c r="H4758" s="450"/>
    </row>
    <row r="4759" spans="1:8" ht="13.2">
      <c r="A4759" s="454" t="s">
        <v>1624</v>
      </c>
      <c r="B4759" s="452" t="str">
        <f>VLOOKUP(A4759,'Thống kê'!$C$3:$D$669,2,0)</f>
        <v>Móc khóa mèo trái tim</v>
      </c>
      <c r="C4759" s="436" t="str">
        <f>VLOOKUP(A4759,'Thống kê'!$C$3:$E$682,3,0)</f>
        <v>cái</v>
      </c>
      <c r="D4759" s="437">
        <f>VLOOKUP(A4759,'Thống kê'!$C$3:$M$682,4,0)</f>
        <v>59000</v>
      </c>
      <c r="E4759" s="438">
        <v>1</v>
      </c>
      <c r="F4759" s="439">
        <f t="shared" si="19"/>
        <v>59000</v>
      </c>
      <c r="G4759" s="440"/>
      <c r="H4759" s="448">
        <v>40410</v>
      </c>
    </row>
    <row r="4760" spans="1:8" ht="13.2">
      <c r="A4760" s="454" t="s">
        <v>150</v>
      </c>
      <c r="B4760" s="452" t="str">
        <f>VLOOKUP(A4760,'Thống kê'!$C$3:$D$669,2,0)</f>
        <v>Móc khóa có chuông</v>
      </c>
      <c r="C4760" s="436" t="str">
        <f>VLOOKUP(A4760,'Thống kê'!$C$3:$E$682,3,0)</f>
        <v>cái</v>
      </c>
      <c r="D4760" s="437">
        <f>VLOOKUP(A4760,'Thống kê'!$C$3:$M$682,4,0)</f>
        <v>59000</v>
      </c>
      <c r="E4760" s="438">
        <v>1</v>
      </c>
      <c r="F4760" s="439">
        <f t="shared" si="19"/>
        <v>59000</v>
      </c>
      <c r="G4760" s="440"/>
      <c r="H4760" s="448">
        <v>40410</v>
      </c>
    </row>
    <row r="4761" spans="1:8" ht="13.2">
      <c r="A4761" s="454" t="s">
        <v>116</v>
      </c>
      <c r="B4761" s="452" t="str">
        <f>VLOOKUP(A4761,'Thống kê'!$C$3:$D$669,2,0)</f>
        <v>heo ú cầm hoa</v>
      </c>
      <c r="C4761" s="436" t="str">
        <f>VLOOKUP(A4761,'Thống kê'!$C$3:$E$682,3,0)</f>
        <v>cái</v>
      </c>
      <c r="D4761" s="437">
        <f>VLOOKUP(A4761,'Thống kê'!$C$3:$M$682,4,0)</f>
        <v>64500</v>
      </c>
      <c r="E4761" s="438">
        <v>1</v>
      </c>
      <c r="F4761" s="439">
        <f t="shared" si="19"/>
        <v>64500</v>
      </c>
      <c r="G4761" s="440"/>
      <c r="H4761" s="447">
        <v>121288</v>
      </c>
    </row>
    <row r="4762" spans="1:8" ht="13.2">
      <c r="A4762" s="454" t="s">
        <v>1210</v>
      </c>
      <c r="B4762" s="452" t="str">
        <f>VLOOKUP(A4762,'Thống kê'!$C$3:$D$669,2,0)</f>
        <v>Shiba ú cầm hoa</v>
      </c>
      <c r="C4762" s="436" t="str">
        <f>VLOOKUP(A4762,'Thống kê'!$C$3:$E$682,3,0)</f>
        <v>cái</v>
      </c>
      <c r="D4762" s="437">
        <f>VLOOKUP(A4762,'Thống kê'!$C$3:$M$682,4,0)</f>
        <v>64500</v>
      </c>
      <c r="E4762" s="438">
        <v>1</v>
      </c>
      <c r="F4762" s="439">
        <f t="shared" si="19"/>
        <v>64500</v>
      </c>
      <c r="G4762" s="440"/>
      <c r="H4762" s="450"/>
    </row>
    <row r="4763" spans="1:8" ht="13.2">
      <c r="A4763" s="454" t="s">
        <v>325</v>
      </c>
      <c r="B4763" s="452" t="str">
        <f>VLOOKUP(A4763,'Thống kê'!$C$3:$D$669,2,0)</f>
        <v>Gấu ú</v>
      </c>
      <c r="C4763" s="436" t="str">
        <f>VLOOKUP(A4763,'Thống kê'!$C$3:$E$682,3,0)</f>
        <v>cái</v>
      </c>
      <c r="D4763" s="437">
        <f>VLOOKUP(A4763,'Thống kê'!$C$3:$M$682,4,0)</f>
        <v>59500</v>
      </c>
      <c r="E4763" s="438">
        <v>1</v>
      </c>
      <c r="F4763" s="439">
        <f t="shared" si="19"/>
        <v>59500</v>
      </c>
      <c r="G4763" s="440"/>
      <c r="H4763" s="448">
        <v>48708</v>
      </c>
    </row>
    <row r="4764" spans="1:8" ht="13.2">
      <c r="A4764" s="454" t="s">
        <v>1384</v>
      </c>
      <c r="B4764" s="452" t="str">
        <f>VLOOKUP(A4764,'Thống kê'!$C$3:$D$669,2,0)</f>
        <v>Móc khoá Crybaby mini Popmart</v>
      </c>
      <c r="C4764" s="436" t="str">
        <f>VLOOKUP(A4764,'Thống kê'!$C$3:$E$682,3,0)</f>
        <v>cái</v>
      </c>
      <c r="D4764" s="437">
        <f>VLOOKUP(A4764,'Thống kê'!$C$3:$M$682,4,0)</f>
        <v>0</v>
      </c>
      <c r="E4764" s="438">
        <v>1</v>
      </c>
      <c r="F4764" s="439">
        <f t="shared" si="19"/>
        <v>0</v>
      </c>
      <c r="G4764" s="440"/>
      <c r="H4764" s="448">
        <v>102516</v>
      </c>
    </row>
    <row r="4765" spans="1:8" ht="13.2">
      <c r="A4765" s="454" t="s">
        <v>150</v>
      </c>
      <c r="B4765" s="452" t="str">
        <f>VLOOKUP(A4765,'Thống kê'!$C$3:$D$669,2,0)</f>
        <v>Móc khóa có chuông</v>
      </c>
      <c r="C4765" s="436" t="str">
        <f>VLOOKUP(A4765,'Thống kê'!$C$3:$E$682,3,0)</f>
        <v>cái</v>
      </c>
      <c r="D4765" s="437">
        <f>VLOOKUP(A4765,'Thống kê'!$C$3:$M$682,4,0)</f>
        <v>59000</v>
      </c>
      <c r="E4765" s="438">
        <v>1</v>
      </c>
      <c r="F4765" s="439">
        <f t="shared" si="19"/>
        <v>59000</v>
      </c>
      <c r="G4765" s="440"/>
      <c r="H4765" s="448">
        <v>40410</v>
      </c>
    </row>
    <row r="4766" spans="1:8" ht="13.2">
      <c r="A4766" s="454" t="s">
        <v>246</v>
      </c>
      <c r="B4766" s="452" t="str">
        <f>VLOOKUP(A4766,'Thống kê'!$C$3:$D$669,2,0)</f>
        <v>Móc khóa Popbean</v>
      </c>
      <c r="C4766" s="436" t="str">
        <f>VLOOKUP(A4766,'Thống kê'!$C$3:$E$682,3,0)</f>
        <v>cái</v>
      </c>
      <c r="D4766" s="437">
        <f>VLOOKUP(A4766,'Thống kê'!$C$3:$M$682,4,0)</f>
        <v>148000</v>
      </c>
      <c r="E4766" s="438">
        <v>1</v>
      </c>
      <c r="F4766" s="439">
        <f t="shared" si="19"/>
        <v>148000</v>
      </c>
      <c r="G4766" s="440"/>
      <c r="H4766" s="448">
        <v>110372</v>
      </c>
    </row>
    <row r="4767" spans="1:8" ht="13.2">
      <c r="A4767" s="454" t="s">
        <v>1388</v>
      </c>
      <c r="B4767" s="452" t="str">
        <f>VLOOKUP(A4767,'Thống kê'!$C$3:$D$669,2,0)</f>
        <v>Móc khoá Crybaby mini Popmart</v>
      </c>
      <c r="C4767" s="436" t="str">
        <f>VLOOKUP(A4767,'Thống kê'!$C$3:$E$682,3,0)</f>
        <v>cái</v>
      </c>
      <c r="D4767" s="437">
        <f>VLOOKUP(A4767,'Thống kê'!$C$3:$M$682,4,0)</f>
        <v>0</v>
      </c>
      <c r="E4767" s="438">
        <v>1</v>
      </c>
      <c r="F4767" s="439">
        <f t="shared" si="19"/>
        <v>0</v>
      </c>
      <c r="G4767" s="440"/>
      <c r="H4767" s="448">
        <v>102516</v>
      </c>
    </row>
    <row r="4768" spans="1:8" ht="13.2">
      <c r="A4768" s="454" t="s">
        <v>2056</v>
      </c>
      <c r="B4768" s="452" t="str">
        <f>VLOOKUP(A4768,'Thống kê'!$C$3:$D$669,2,0)</f>
        <v>Buộc tóc trắng vải xù</v>
      </c>
      <c r="C4768" s="436" t="str">
        <f>VLOOKUP(A4768,'Thống kê'!$C$3:$E$682,3,0)</f>
        <v>cái</v>
      </c>
      <c r="D4768" s="437">
        <f>VLOOKUP(A4768,'Thống kê'!$C$3:$M$682,4,0)</f>
        <v>12000</v>
      </c>
      <c r="E4768" s="438">
        <v>1</v>
      </c>
      <c r="F4768" s="439">
        <f t="shared" si="19"/>
        <v>12000</v>
      </c>
      <c r="G4768" s="440"/>
      <c r="H4768" s="447">
        <v>119096</v>
      </c>
    </row>
    <row r="4769" spans="1:8" ht="13.2">
      <c r="A4769" s="454" t="s">
        <v>2085</v>
      </c>
      <c r="B4769" s="452" t="str">
        <f>VLOOKUP(A4769,'Thống kê'!$C$3:$D$669,2,0)</f>
        <v>Buộc tóc trắng lông</v>
      </c>
      <c r="C4769" s="436" t="str">
        <f>VLOOKUP(A4769,'Thống kê'!$C$3:$E$682,3,0)</f>
        <v>cái</v>
      </c>
      <c r="D4769" s="437">
        <f>VLOOKUP(A4769,'Thống kê'!$C$3:$M$682,4,0)</f>
        <v>10000</v>
      </c>
      <c r="E4769" s="438">
        <v>1</v>
      </c>
      <c r="F4769" s="439">
        <f t="shared" si="19"/>
        <v>10000</v>
      </c>
      <c r="G4769" s="440"/>
      <c r="H4769" s="450"/>
    </row>
    <row r="4770" spans="1:8" ht="13.2">
      <c r="A4770" s="454" t="s">
        <v>258</v>
      </c>
      <c r="B4770" s="452" t="str">
        <f>VLOOKUP(A4770,'Thống kê'!$C$3:$D$669,2,0)</f>
        <v>Móc khoá Crybaby mini Popmart</v>
      </c>
      <c r="C4770" s="436" t="str">
        <f>VLOOKUP(A4770,'Thống kê'!$C$3:$E$682,3,0)</f>
        <v>cái</v>
      </c>
      <c r="D4770" s="437">
        <f>VLOOKUP(A4770,'Thống kê'!$C$3:$M$682,4,0)</f>
        <v>0</v>
      </c>
      <c r="E4770" s="438">
        <v>1</v>
      </c>
      <c r="F4770" s="439">
        <f t="shared" si="19"/>
        <v>0</v>
      </c>
      <c r="G4770" s="440"/>
      <c r="H4770" s="450"/>
    </row>
    <row r="4771" spans="1:8" ht="13.2">
      <c r="A4771" s="454" t="s">
        <v>1595</v>
      </c>
      <c r="B4771" s="452" t="str">
        <f>VLOOKUP(A4771,'Thống kê'!$C$3:$D$669,2,0)</f>
        <v>Dao rọc giấy 08</v>
      </c>
      <c r="C4771" s="436" t="str">
        <f>VLOOKUP(A4771,'Thống kê'!$C$3:$E$682,3,0)</f>
        <v>cái</v>
      </c>
      <c r="D4771" s="437">
        <f>VLOOKUP(A4771,'Thống kê'!$C$3:$M$682,4,0)</f>
        <v>12000</v>
      </c>
      <c r="E4771" s="438">
        <v>1</v>
      </c>
      <c r="F4771" s="439">
        <f t="shared" si="19"/>
        <v>12000</v>
      </c>
      <c r="G4771" s="440"/>
      <c r="H4771" s="447">
        <v>111552</v>
      </c>
    </row>
    <row r="4772" spans="1:8" ht="13.2">
      <c r="A4772" s="454" t="s">
        <v>259</v>
      </c>
      <c r="B4772" s="452" t="str">
        <f>VLOOKUP(A4772,'Thống kê'!$C$3:$D$669,2,0)</f>
        <v>Móc khoá Crybaby mini Popmart</v>
      </c>
      <c r="C4772" s="436" t="str">
        <f>VLOOKUP(A4772,'Thống kê'!$C$3:$E$682,3,0)</f>
        <v>cái</v>
      </c>
      <c r="D4772" s="437">
        <f>VLOOKUP(A4772,'Thống kê'!$C$3:$M$682,4,0)</f>
        <v>0</v>
      </c>
      <c r="E4772" s="438">
        <v>1</v>
      </c>
      <c r="F4772" s="439">
        <f t="shared" si="19"/>
        <v>0</v>
      </c>
      <c r="G4772" s="440"/>
      <c r="H4772" s="450"/>
    </row>
    <row r="4773" spans="1:8" ht="13.2">
      <c r="A4773" s="454" t="s">
        <v>258</v>
      </c>
      <c r="B4773" s="452" t="str">
        <f>VLOOKUP(A4773,'Thống kê'!$C$3:$D$669,2,0)</f>
        <v>Móc khoá Crybaby mini Popmart</v>
      </c>
      <c r="C4773" s="436" t="str">
        <f>VLOOKUP(A4773,'Thống kê'!$C$3:$E$682,3,0)</f>
        <v>cái</v>
      </c>
      <c r="D4773" s="437">
        <f>VLOOKUP(A4773,'Thống kê'!$C$3:$M$682,4,0)</f>
        <v>0</v>
      </c>
      <c r="E4773" s="438">
        <v>1</v>
      </c>
      <c r="F4773" s="439">
        <f t="shared" si="19"/>
        <v>0</v>
      </c>
      <c r="G4773" s="440"/>
      <c r="H4773" s="448">
        <v>102516</v>
      </c>
    </row>
    <row r="4774" spans="1:8" ht="13.2">
      <c r="A4774" s="454" t="s">
        <v>150</v>
      </c>
      <c r="B4774" s="452" t="str">
        <f>VLOOKUP(A4774,'Thống kê'!$C$3:$D$669,2,0)</f>
        <v>Móc khóa có chuông</v>
      </c>
      <c r="C4774" s="436" t="str">
        <f>VLOOKUP(A4774,'Thống kê'!$C$3:$E$682,3,0)</f>
        <v>cái</v>
      </c>
      <c r="D4774" s="437">
        <f>VLOOKUP(A4774,'Thống kê'!$C$3:$M$682,4,0)</f>
        <v>59000</v>
      </c>
      <c r="E4774" s="438">
        <v>1</v>
      </c>
      <c r="F4774" s="439">
        <f t="shared" si="19"/>
        <v>59000</v>
      </c>
      <c r="G4774" s="440"/>
      <c r="H4774" s="448">
        <v>39535</v>
      </c>
    </row>
    <row r="4775" spans="1:8" ht="13.2">
      <c r="A4775" s="454" t="s">
        <v>150</v>
      </c>
      <c r="B4775" s="452" t="str">
        <f>VLOOKUP(A4775,'Thống kê'!$C$3:$D$669,2,0)</f>
        <v>Móc khóa có chuông</v>
      </c>
      <c r="C4775" s="436" t="str">
        <f>VLOOKUP(A4775,'Thống kê'!$C$3:$E$682,3,0)</f>
        <v>cái</v>
      </c>
      <c r="D4775" s="437">
        <f>VLOOKUP(A4775,'Thống kê'!$C$3:$M$682,4,0)</f>
        <v>59000</v>
      </c>
      <c r="E4775" s="438">
        <v>1</v>
      </c>
      <c r="F4775" s="439">
        <f t="shared" si="19"/>
        <v>59000</v>
      </c>
      <c r="G4775" s="440"/>
      <c r="H4775" s="448">
        <v>40410</v>
      </c>
    </row>
    <row r="4776" spans="1:8" ht="13.2">
      <c r="A4776" s="454" t="s">
        <v>230</v>
      </c>
      <c r="B4776" s="452" t="str">
        <f>VLOOKUP(A4776,'Thống kê'!$C$3:$D$669,2,0)</f>
        <v>Móc khoá Crybaby mini Popmart</v>
      </c>
      <c r="C4776" s="436" t="str">
        <f>VLOOKUP(A4776,'Thống kê'!$C$3:$E$682,3,0)</f>
        <v>cái</v>
      </c>
      <c r="D4776" s="437">
        <f>VLOOKUP(A4776,'Thống kê'!$C$3:$M$682,4,0)</f>
        <v>0</v>
      </c>
      <c r="E4776" s="438">
        <v>1</v>
      </c>
      <c r="F4776" s="439">
        <f t="shared" si="19"/>
        <v>0</v>
      </c>
      <c r="G4776" s="440"/>
      <c r="H4776" s="448">
        <v>102516</v>
      </c>
    </row>
    <row r="4777" spans="1:8" ht="13.2">
      <c r="A4777" s="454" t="s">
        <v>1594</v>
      </c>
      <c r="B4777" s="452" t="str">
        <f>VLOOKUP(A4777,'Thống kê'!$C$3:$D$669,2,0)</f>
        <v>Móc khóa đôi heo</v>
      </c>
      <c r="C4777" s="436" t="str">
        <f>VLOOKUP(A4777,'Thống kê'!$C$3:$E$682,3,0)</f>
        <v>cái</v>
      </c>
      <c r="D4777" s="437">
        <f>VLOOKUP(A4777,'Thống kê'!$C$3:$M$682,4,0)</f>
        <v>56580</v>
      </c>
      <c r="E4777" s="438">
        <v>1</v>
      </c>
      <c r="F4777" s="439">
        <f t="shared" si="19"/>
        <v>56580</v>
      </c>
      <c r="G4777" s="440"/>
      <c r="H4777" s="448">
        <v>46155</v>
      </c>
    </row>
    <row r="4778" spans="1:8" ht="13.2">
      <c r="A4778" s="454" t="s">
        <v>150</v>
      </c>
      <c r="B4778" s="452" t="str">
        <f>VLOOKUP(A4778,'Thống kê'!$C$3:$D$669,2,0)</f>
        <v>Móc khóa có chuông</v>
      </c>
      <c r="C4778" s="436" t="str">
        <f>VLOOKUP(A4778,'Thống kê'!$C$3:$E$682,3,0)</f>
        <v>cái</v>
      </c>
      <c r="D4778" s="437">
        <f>VLOOKUP(A4778,'Thống kê'!$C$3:$M$682,4,0)</f>
        <v>59000</v>
      </c>
      <c r="E4778" s="438">
        <v>1</v>
      </c>
      <c r="F4778" s="439">
        <f t="shared" si="19"/>
        <v>59000</v>
      </c>
      <c r="G4778" s="440"/>
      <c r="H4778" s="448">
        <v>40410</v>
      </c>
    </row>
    <row r="4779" spans="1:8" ht="13.2">
      <c r="A4779" s="454" t="s">
        <v>1624</v>
      </c>
      <c r="B4779" s="452" t="str">
        <f>VLOOKUP(A4779,'Thống kê'!$C$3:$D$669,2,0)</f>
        <v>Móc khóa mèo trái tim</v>
      </c>
      <c r="C4779" s="436" t="str">
        <f>VLOOKUP(A4779,'Thống kê'!$C$3:$E$682,3,0)</f>
        <v>cái</v>
      </c>
      <c r="D4779" s="437">
        <f>VLOOKUP(A4779,'Thống kê'!$C$3:$M$682,4,0)</f>
        <v>59000</v>
      </c>
      <c r="E4779" s="438">
        <v>1</v>
      </c>
      <c r="F4779" s="439">
        <f t="shared" si="19"/>
        <v>59000</v>
      </c>
      <c r="G4779" s="440"/>
      <c r="H4779" s="448">
        <v>39460</v>
      </c>
    </row>
    <row r="4780" spans="1:8" ht="13.2">
      <c r="A4780" s="454" t="s">
        <v>1622</v>
      </c>
      <c r="B4780" s="452" t="str">
        <f>VLOOKUP(A4780,'Thống kê'!$C$3:$D$669,2,0)</f>
        <v>Mô hình mèo 1</v>
      </c>
      <c r="C4780" s="436" t="str">
        <f>VLOOKUP(A4780,'Thống kê'!$C$3:$E$682,3,0)</f>
        <v>cái</v>
      </c>
      <c r="D4780" s="437">
        <f>VLOOKUP(A4780,'Thống kê'!$C$3:$M$682,4,0)</f>
        <v>37800</v>
      </c>
      <c r="E4780" s="438">
        <v>1</v>
      </c>
      <c r="F4780" s="439">
        <f t="shared" si="19"/>
        <v>37800</v>
      </c>
      <c r="G4780" s="440"/>
      <c r="H4780" s="447">
        <v>64780</v>
      </c>
    </row>
    <row r="4781" spans="1:8" ht="13.2">
      <c r="A4781" s="454" t="s">
        <v>1621</v>
      </c>
      <c r="B4781" s="452" t="str">
        <f>VLOOKUP(A4781,'Thống kê'!$C$3:$D$669,2,0)</f>
        <v>Mô hình mèo 2</v>
      </c>
      <c r="C4781" s="436" t="str">
        <f>VLOOKUP(A4781,'Thống kê'!$C$3:$E$682,3,0)</f>
        <v>cái</v>
      </c>
      <c r="D4781" s="437">
        <f>VLOOKUP(A4781,'Thống kê'!$C$3:$M$682,4,0)</f>
        <v>37800</v>
      </c>
      <c r="E4781" s="438">
        <v>1</v>
      </c>
      <c r="F4781" s="439">
        <f t="shared" si="19"/>
        <v>37800</v>
      </c>
      <c r="G4781" s="440"/>
      <c r="H4781" s="450"/>
    </row>
    <row r="4782" spans="1:8" ht="13.2">
      <c r="A4782" s="454" t="s">
        <v>150</v>
      </c>
      <c r="B4782" s="452" t="str">
        <f>VLOOKUP(A4782,'Thống kê'!$C$3:$D$669,2,0)</f>
        <v>Móc khóa có chuông</v>
      </c>
      <c r="C4782" s="436" t="str">
        <f>VLOOKUP(A4782,'Thống kê'!$C$3:$E$682,3,0)</f>
        <v>cái</v>
      </c>
      <c r="D4782" s="437">
        <f>VLOOKUP(A4782,'Thống kê'!$C$3:$M$682,4,0)</f>
        <v>59000</v>
      </c>
      <c r="E4782" s="438">
        <v>1</v>
      </c>
      <c r="F4782" s="439">
        <f t="shared" si="19"/>
        <v>59000</v>
      </c>
      <c r="G4782" s="440"/>
      <c r="H4782" s="448">
        <v>40410</v>
      </c>
    </row>
    <row r="4783" spans="1:8" ht="13.2">
      <c r="A4783" s="454" t="s">
        <v>1624</v>
      </c>
      <c r="B4783" s="452" t="str">
        <f>VLOOKUP(A4783,'Thống kê'!$C$3:$D$669,2,0)</f>
        <v>Móc khóa mèo trái tim</v>
      </c>
      <c r="C4783" s="436" t="str">
        <f>VLOOKUP(A4783,'Thống kê'!$C$3:$E$682,3,0)</f>
        <v>cái</v>
      </c>
      <c r="D4783" s="437">
        <f>VLOOKUP(A4783,'Thống kê'!$C$3:$M$682,4,0)</f>
        <v>59000</v>
      </c>
      <c r="E4783" s="438">
        <v>1</v>
      </c>
      <c r="F4783" s="439">
        <f t="shared" si="19"/>
        <v>59000</v>
      </c>
      <c r="G4783" s="440"/>
      <c r="H4783" s="447">
        <v>83678</v>
      </c>
    </row>
    <row r="4784" spans="1:8" ht="13.2">
      <c r="A4784" s="454" t="s">
        <v>150</v>
      </c>
      <c r="B4784" s="452" t="str">
        <f>VLOOKUP(A4784,'Thống kê'!$C$3:$D$669,2,0)</f>
        <v>Móc khóa có chuông</v>
      </c>
      <c r="C4784" s="436" t="str">
        <f>VLOOKUP(A4784,'Thống kê'!$C$3:$E$682,3,0)</f>
        <v>cái</v>
      </c>
      <c r="D4784" s="437">
        <f>VLOOKUP(A4784,'Thống kê'!$C$3:$M$682,4,0)</f>
        <v>59000</v>
      </c>
      <c r="E4784" s="438">
        <v>1</v>
      </c>
      <c r="F4784" s="439">
        <f t="shared" si="19"/>
        <v>59000</v>
      </c>
      <c r="G4784" s="440"/>
      <c r="H4784" s="450"/>
    </row>
    <row r="4785" spans="1:8" ht="13.2">
      <c r="A4785" s="454" t="s">
        <v>150</v>
      </c>
      <c r="B4785" s="452" t="str">
        <f>VLOOKUP(A4785,'Thống kê'!$C$3:$D$669,2,0)</f>
        <v>Móc khóa có chuông</v>
      </c>
      <c r="C4785" s="436" t="str">
        <f>VLOOKUP(A4785,'Thống kê'!$C$3:$E$682,3,0)</f>
        <v>cái</v>
      </c>
      <c r="D4785" s="437">
        <f>VLOOKUP(A4785,'Thống kê'!$C$3:$M$682,4,0)</f>
        <v>59000</v>
      </c>
      <c r="E4785" s="438">
        <v>1</v>
      </c>
      <c r="F4785" s="439">
        <f t="shared" si="19"/>
        <v>59000</v>
      </c>
      <c r="G4785" s="440"/>
      <c r="H4785" s="448">
        <v>40410</v>
      </c>
    </row>
    <row r="4786" spans="1:8" ht="13.2">
      <c r="A4786" s="454" t="s">
        <v>1697</v>
      </c>
      <c r="B4786" s="452" t="str">
        <f>VLOOKUP(A4786,'Thống kê'!$C$3:$D$669,2,0)</f>
        <v>heo</v>
      </c>
      <c r="C4786" s="436" t="str">
        <f>VLOOKUP(A4786,'Thống kê'!$C$3:$E$682,3,0)</f>
        <v>cái</v>
      </c>
      <c r="D4786" s="437">
        <f>VLOOKUP(A4786,'Thống kê'!$C$3:$M$682,4,0)</f>
        <v>35000</v>
      </c>
      <c r="E4786" s="438">
        <v>1</v>
      </c>
      <c r="F4786" s="439">
        <f t="shared" si="19"/>
        <v>35000</v>
      </c>
      <c r="G4786" s="440"/>
      <c r="H4786" s="447">
        <v>48533</v>
      </c>
    </row>
    <row r="4787" spans="1:8" ht="13.2">
      <c r="A4787" s="454" t="s">
        <v>94</v>
      </c>
      <c r="B4787" s="452" t="str">
        <f>VLOOKUP(A4787,'Thống kê'!$C$3:$D$669,2,0)</f>
        <v>thỏ</v>
      </c>
      <c r="C4787" s="436" t="str">
        <f>VLOOKUP(A4787,'Thống kê'!$C$3:$E$682,3,0)</f>
        <v>cái</v>
      </c>
      <c r="D4787" s="437">
        <f>VLOOKUP(A4787,'Thống kê'!$C$3:$M$682,4,0)</f>
        <v>35000</v>
      </c>
      <c r="E4787" s="438">
        <v>1</v>
      </c>
      <c r="F4787" s="439">
        <f t="shared" si="19"/>
        <v>35000</v>
      </c>
      <c r="G4787" s="440"/>
      <c r="H4787" s="450"/>
    </row>
    <row r="4788" spans="1:8" ht="13.2">
      <c r="A4788" s="454" t="s">
        <v>150</v>
      </c>
      <c r="B4788" s="452" t="str">
        <f>VLOOKUP(A4788,'Thống kê'!$C$3:$D$669,2,0)</f>
        <v>Móc khóa có chuông</v>
      </c>
      <c r="C4788" s="436" t="str">
        <f>VLOOKUP(A4788,'Thống kê'!$C$3:$E$682,3,0)</f>
        <v>cái</v>
      </c>
      <c r="D4788" s="437">
        <f>VLOOKUP(A4788,'Thống kê'!$C$3:$M$682,4,0)</f>
        <v>59000</v>
      </c>
      <c r="E4788" s="438">
        <v>1</v>
      </c>
      <c r="F4788" s="439">
        <f t="shared" si="19"/>
        <v>59000</v>
      </c>
      <c r="G4788" s="440"/>
      <c r="H4788" s="448">
        <v>40410</v>
      </c>
    </row>
    <row r="4789" spans="1:8" ht="13.2">
      <c r="A4789" s="454" t="s">
        <v>150</v>
      </c>
      <c r="B4789" s="452" t="str">
        <f>VLOOKUP(A4789,'Thống kê'!$C$3:$D$669,2,0)</f>
        <v>Móc khóa có chuông</v>
      </c>
      <c r="C4789" s="436" t="str">
        <f>VLOOKUP(A4789,'Thống kê'!$C$3:$E$682,3,0)</f>
        <v>cái</v>
      </c>
      <c r="D4789" s="437">
        <f>VLOOKUP(A4789,'Thống kê'!$C$3:$M$682,4,0)</f>
        <v>59000</v>
      </c>
      <c r="E4789" s="438">
        <v>1</v>
      </c>
      <c r="F4789" s="439">
        <f t="shared" si="19"/>
        <v>59000</v>
      </c>
      <c r="G4789" s="440"/>
      <c r="H4789" s="448">
        <v>40410</v>
      </c>
    </row>
    <row r="4790" spans="1:8" ht="13.2">
      <c r="A4790" s="454" t="s">
        <v>1696</v>
      </c>
      <c r="B4790" s="452" t="str">
        <f>VLOOKUP(A4790,'Thống kê'!$C$3:$D$669,2,0)</f>
        <v>gấu</v>
      </c>
      <c r="C4790" s="436" t="str">
        <f>VLOOKUP(A4790,'Thống kê'!$C$3:$E$682,3,0)</f>
        <v>cái</v>
      </c>
      <c r="D4790" s="437">
        <f>VLOOKUP(A4790,'Thống kê'!$C$3:$M$682,4,0)</f>
        <v>35000</v>
      </c>
      <c r="E4790" s="438">
        <v>1</v>
      </c>
      <c r="F4790" s="439">
        <f t="shared" si="19"/>
        <v>35000</v>
      </c>
      <c r="G4790" s="440"/>
      <c r="H4790" s="448">
        <v>26404</v>
      </c>
    </row>
    <row r="4791" spans="1:8" ht="13.2">
      <c r="A4791" s="454" t="s">
        <v>227</v>
      </c>
      <c r="B4791" s="452" t="str">
        <f>VLOOKUP(A4791,'Thống kê'!$C$3:$D$669,2,0)</f>
        <v>Móc khóa đôi corgy</v>
      </c>
      <c r="C4791" s="436" t="str">
        <f>VLOOKUP(A4791,'Thống kê'!$C$3:$E$682,3,0)</f>
        <v>cái</v>
      </c>
      <c r="D4791" s="437">
        <f>VLOOKUP(A4791,'Thống kê'!$C$3:$M$682,4,0)</f>
        <v>56580</v>
      </c>
      <c r="E4791" s="438">
        <v>1</v>
      </c>
      <c r="F4791" s="439">
        <f t="shared" si="19"/>
        <v>56580</v>
      </c>
      <c r="G4791" s="440"/>
      <c r="H4791" s="447">
        <v>53710</v>
      </c>
    </row>
    <row r="4792" spans="1:8" ht="13.2">
      <c r="A4792" s="454" t="s">
        <v>1605</v>
      </c>
      <c r="B4792" s="452" t="str">
        <f>VLOOKUP(A4792,'Thống kê'!$C$3:$D$669,2,0)</f>
        <v>Thước dây xanh</v>
      </c>
      <c r="C4792" s="436" t="str">
        <f>VLOOKUP(A4792,'Thống kê'!$C$3:$E$682,3,0)</f>
        <v>cái</v>
      </c>
      <c r="D4792" s="437">
        <f>VLOOKUP(A4792,'Thống kê'!$C$3:$M$682,4,0)</f>
        <v>9000</v>
      </c>
      <c r="E4792" s="438">
        <v>1</v>
      </c>
      <c r="F4792" s="439">
        <f t="shared" si="19"/>
        <v>9000</v>
      </c>
      <c r="G4792" s="440"/>
      <c r="H4792" s="450"/>
    </row>
    <row r="4793" spans="1:8" ht="13.2">
      <c r="A4793" s="454" t="s">
        <v>150</v>
      </c>
      <c r="B4793" s="452" t="str">
        <f>VLOOKUP(A4793,'Thống kê'!$C$3:$D$669,2,0)</f>
        <v>Móc khóa có chuông</v>
      </c>
      <c r="C4793" s="436" t="str">
        <f>VLOOKUP(A4793,'Thống kê'!$C$3:$E$682,3,0)</f>
        <v>cái</v>
      </c>
      <c r="D4793" s="437">
        <f>VLOOKUP(A4793,'Thống kê'!$C$3:$M$682,4,0)</f>
        <v>59000</v>
      </c>
      <c r="E4793" s="438">
        <v>1</v>
      </c>
      <c r="F4793" s="439">
        <f t="shared" si="19"/>
        <v>59000</v>
      </c>
      <c r="G4793" s="440"/>
      <c r="H4793" s="448">
        <v>40410</v>
      </c>
    </row>
    <row r="4794" spans="1:8" ht="13.2">
      <c r="A4794" s="454" t="s">
        <v>1384</v>
      </c>
      <c r="B4794" s="452" t="str">
        <f>VLOOKUP(A4794,'Thống kê'!$C$3:$D$669,2,0)</f>
        <v>Móc khoá Crybaby mini Popmart</v>
      </c>
      <c r="C4794" s="436" t="str">
        <f>VLOOKUP(A4794,'Thống kê'!$C$3:$E$682,3,0)</f>
        <v>cái</v>
      </c>
      <c r="D4794" s="437">
        <f>VLOOKUP(A4794,'Thống kê'!$C$3:$M$682,4,0)</f>
        <v>0</v>
      </c>
      <c r="E4794" s="438">
        <v>1</v>
      </c>
      <c r="F4794" s="439">
        <f t="shared" si="19"/>
        <v>0</v>
      </c>
      <c r="G4794" s="440"/>
      <c r="H4794" s="448">
        <v>102516</v>
      </c>
    </row>
    <row r="4795" spans="1:8" ht="13.2">
      <c r="A4795" s="454" t="s">
        <v>1210</v>
      </c>
      <c r="B4795" s="452" t="str">
        <f>VLOOKUP(A4795,'Thống kê'!$C$3:$D$669,2,0)</f>
        <v>Shiba ú cầm hoa</v>
      </c>
      <c r="C4795" s="436" t="str">
        <f>VLOOKUP(A4795,'Thống kê'!$C$3:$E$682,3,0)</f>
        <v>cái</v>
      </c>
      <c r="D4795" s="437">
        <f>VLOOKUP(A4795,'Thống kê'!$C$3:$M$682,4,0)</f>
        <v>64500</v>
      </c>
      <c r="E4795" s="438">
        <v>1</v>
      </c>
      <c r="F4795" s="439">
        <f t="shared" si="19"/>
        <v>64500</v>
      </c>
      <c r="G4795" s="440"/>
      <c r="H4795" s="448">
        <v>60024</v>
      </c>
    </row>
    <row r="4796" spans="1:8" ht="13.2">
      <c r="A4796" s="454" t="s">
        <v>1384</v>
      </c>
      <c r="B4796" s="452" t="str">
        <f>VLOOKUP(A4796,'Thống kê'!$C$3:$D$669,2,0)</f>
        <v>Móc khoá Crybaby mini Popmart</v>
      </c>
      <c r="C4796" s="436" t="str">
        <f>VLOOKUP(A4796,'Thống kê'!$C$3:$E$682,3,0)</f>
        <v>cái</v>
      </c>
      <c r="D4796" s="437">
        <f>VLOOKUP(A4796,'Thống kê'!$C$3:$M$682,4,0)</f>
        <v>0</v>
      </c>
      <c r="E4796" s="438">
        <v>1</v>
      </c>
      <c r="F4796" s="439">
        <f t="shared" si="19"/>
        <v>0</v>
      </c>
      <c r="G4796" s="440"/>
      <c r="H4796" s="448">
        <v>102516</v>
      </c>
    </row>
    <row r="4797" spans="1:8" ht="13.2">
      <c r="A4797" s="454" t="s">
        <v>138</v>
      </c>
      <c r="B4797" s="452" t="str">
        <f>VLOOKUP(A4797,'Thống kê'!$C$3:$D$669,2,0)</f>
        <v>Móc khoá Crybaby mini Popmart</v>
      </c>
      <c r="C4797" s="436" t="str">
        <f>VLOOKUP(A4797,'Thống kê'!$C$3:$E$682,3,0)</f>
        <v>cái</v>
      </c>
      <c r="D4797" s="437">
        <f>VLOOKUP(A4797,'Thống kê'!$C$3:$M$682,4,0)</f>
        <v>0</v>
      </c>
      <c r="E4797" s="438">
        <v>1</v>
      </c>
      <c r="F4797" s="439">
        <f t="shared" si="19"/>
        <v>0</v>
      </c>
      <c r="G4797" s="440"/>
      <c r="H4797" s="448">
        <v>102516</v>
      </c>
    </row>
    <row r="4798" spans="1:8" ht="13.2">
      <c r="A4798" s="454" t="s">
        <v>115</v>
      </c>
      <c r="B4798" s="452" t="str">
        <f>VLOOKUP(A4798,'Thống kê'!$C$3:$D$669,2,0)</f>
        <v>Heo ú</v>
      </c>
      <c r="C4798" s="436" t="str">
        <f>VLOOKUP(A4798,'Thống kê'!$C$3:$E$682,3,0)</f>
        <v>cái</v>
      </c>
      <c r="D4798" s="437">
        <f>VLOOKUP(A4798,'Thống kê'!$C$3:$M$682,4,0)</f>
        <v>59500</v>
      </c>
      <c r="E4798" s="438">
        <v>1</v>
      </c>
      <c r="F4798" s="439">
        <f t="shared" si="19"/>
        <v>59500</v>
      </c>
      <c r="G4798" s="440"/>
      <c r="H4798" s="447">
        <v>81537</v>
      </c>
    </row>
    <row r="4799" spans="1:8" ht="13.2">
      <c r="A4799" s="454" t="s">
        <v>1351</v>
      </c>
      <c r="B4799" s="452" t="str">
        <f>VLOOKUP(A4799,'Thống kê'!$C$3:$D$669,2,0)</f>
        <v>Trang trí mô hình Heo</v>
      </c>
      <c r="C4799" s="436" t="str">
        <f>VLOOKUP(A4799,'Thống kê'!$C$3:$E$682,3,0)</f>
        <v>cái</v>
      </c>
      <c r="D4799" s="437">
        <f>VLOOKUP(A4799,'Thống kê'!$C$3:$M$682,4,0)</f>
        <v>39000</v>
      </c>
      <c r="E4799" s="438">
        <v>1</v>
      </c>
      <c r="F4799" s="439">
        <f t="shared" si="19"/>
        <v>39000</v>
      </c>
      <c r="G4799" s="440"/>
      <c r="H4799" s="450"/>
    </row>
    <row r="4800" spans="1:8" ht="13.2">
      <c r="A4800" s="454" t="s">
        <v>1621</v>
      </c>
      <c r="B4800" s="452" t="str">
        <f>VLOOKUP(A4800,'Thống kê'!$C$3:$D$669,2,0)</f>
        <v>Mô hình mèo 2</v>
      </c>
      <c r="C4800" s="436" t="str">
        <f>VLOOKUP(A4800,'Thống kê'!$C$3:$E$682,3,0)</f>
        <v>cái</v>
      </c>
      <c r="D4800" s="437">
        <f>VLOOKUP(A4800,'Thống kê'!$C$3:$M$682,4,0)</f>
        <v>37800</v>
      </c>
      <c r="E4800" s="438">
        <v>1</v>
      </c>
      <c r="F4800" s="439">
        <f t="shared" si="19"/>
        <v>37800</v>
      </c>
      <c r="G4800" s="440"/>
      <c r="H4800" s="447">
        <v>97121</v>
      </c>
    </row>
    <row r="4801" spans="1:8" ht="13.2">
      <c r="A4801" s="454" t="s">
        <v>1635</v>
      </c>
      <c r="B4801" s="452" t="str">
        <f>VLOOKUP(A4801,'Thống kê'!$C$3:$D$669,2,0)</f>
        <v>Mô hình mèo 4</v>
      </c>
      <c r="C4801" s="436" t="str">
        <f>VLOOKUP(A4801,'Thống kê'!$C$3:$E$682,3,0)</f>
        <v>cái</v>
      </c>
      <c r="D4801" s="437">
        <f>VLOOKUP(A4801,'Thống kê'!$C$3:$M$682,4,0)</f>
        <v>37800</v>
      </c>
      <c r="E4801" s="438">
        <v>1</v>
      </c>
      <c r="F4801" s="439">
        <f t="shared" si="19"/>
        <v>37800</v>
      </c>
      <c r="G4801" s="440"/>
      <c r="H4801" s="450"/>
    </row>
    <row r="4802" spans="1:8" ht="13.2">
      <c r="A4802" s="454" t="s">
        <v>1623</v>
      </c>
      <c r="B4802" s="452" t="str">
        <f>VLOOKUP(A4802,'Thống kê'!$C$3:$D$669,2,0)</f>
        <v>Mô hình mèo 5</v>
      </c>
      <c r="C4802" s="436" t="str">
        <f>VLOOKUP(A4802,'Thống kê'!$C$3:$E$682,3,0)</f>
        <v>cái</v>
      </c>
      <c r="D4802" s="437">
        <f>VLOOKUP(A4802,'Thống kê'!$C$3:$M$682,4,0)</f>
        <v>37800</v>
      </c>
      <c r="E4802" s="438">
        <v>1</v>
      </c>
      <c r="F4802" s="439">
        <f t="shared" si="19"/>
        <v>37800</v>
      </c>
      <c r="G4802" s="440"/>
      <c r="H4802" s="450"/>
    </row>
    <row r="4803" spans="1:8" ht="13.2">
      <c r="A4803" s="454" t="s">
        <v>150</v>
      </c>
      <c r="B4803" s="452" t="str">
        <f>VLOOKUP(A4803,'Thống kê'!$C$3:$D$669,2,0)</f>
        <v>Móc khóa có chuông</v>
      </c>
      <c r="C4803" s="436" t="str">
        <f>VLOOKUP(A4803,'Thống kê'!$C$3:$E$682,3,0)</f>
        <v>cái</v>
      </c>
      <c r="D4803" s="437">
        <f>VLOOKUP(A4803,'Thống kê'!$C$3:$M$682,4,0)</f>
        <v>59000</v>
      </c>
      <c r="E4803" s="438">
        <v>1</v>
      </c>
      <c r="F4803" s="439">
        <f t="shared" si="19"/>
        <v>59000</v>
      </c>
      <c r="G4803" s="440"/>
      <c r="H4803" s="448">
        <v>44210</v>
      </c>
    </row>
    <row r="4804" spans="1:8" ht="13.2">
      <c r="A4804" s="454" t="s">
        <v>1340</v>
      </c>
      <c r="B4804" s="452" t="str">
        <f>VLOOKUP(A4804,'Thống kê'!$C$3:$D$669,2,0)</f>
        <v>Móc khóa chuối</v>
      </c>
      <c r="C4804" s="436" t="str">
        <f>VLOOKUP(A4804,'Thống kê'!$C$3:$E$682,3,0)</f>
        <v>cái</v>
      </c>
      <c r="D4804" s="437">
        <f>VLOOKUP(A4804,'Thống kê'!$C$3:$M$682,4,0)</f>
        <v>148000</v>
      </c>
      <c r="E4804" s="438">
        <v>1</v>
      </c>
      <c r="F4804" s="439">
        <f t="shared" si="19"/>
        <v>148000</v>
      </c>
      <c r="G4804" s="440"/>
      <c r="H4804" s="447">
        <v>400000</v>
      </c>
    </row>
    <row r="4805" spans="1:8" ht="13.2">
      <c r="A4805" s="454" t="s">
        <v>1346</v>
      </c>
      <c r="B4805" s="452" t="str">
        <f>VLOOKUP(A4805,'Thống kê'!$C$3:$D$669,2,0)</f>
        <v>Móc khóa chuối</v>
      </c>
      <c r="C4805" s="436" t="str">
        <f>VLOOKUP(A4805,'Thống kê'!$C$3:$E$682,3,0)</f>
        <v>cái</v>
      </c>
      <c r="D4805" s="437">
        <f>VLOOKUP(A4805,'Thống kê'!$C$3:$M$682,4,0)</f>
        <v>148000</v>
      </c>
      <c r="E4805" s="438">
        <v>1</v>
      </c>
      <c r="F4805" s="439">
        <f t="shared" si="19"/>
        <v>148000</v>
      </c>
      <c r="G4805" s="440"/>
      <c r="H4805" s="450"/>
    </row>
    <row r="4806" spans="1:8" ht="13.2">
      <c r="A4806" s="454" t="s">
        <v>1687</v>
      </c>
      <c r="B4806" s="452">
        <f>VLOOKUP(A4806,'Thống kê'!$C$3:$D$669,2,0)</f>
        <v>0</v>
      </c>
      <c r="C4806" s="436">
        <f>VLOOKUP(A4806,'Thống kê'!$C$3:$E$682,3,0)</f>
        <v>0</v>
      </c>
      <c r="D4806" s="437">
        <f>VLOOKUP(A4806,'Thống kê'!$C$3:$M$682,4,0)</f>
        <v>0</v>
      </c>
      <c r="E4806" s="438">
        <v>1</v>
      </c>
      <c r="F4806" s="439">
        <f t="shared" si="19"/>
        <v>0</v>
      </c>
      <c r="G4806" s="440"/>
      <c r="H4806" s="450"/>
    </row>
    <row r="4807" spans="1:8" ht="13.2">
      <c r="A4807" s="454" t="s">
        <v>256</v>
      </c>
      <c r="B4807" s="452">
        <f>VLOOKUP(A4807,'Thống kê'!$C$3:$D$669,2,0)</f>
        <v>0</v>
      </c>
      <c r="C4807" s="436">
        <f>VLOOKUP(A4807,'Thống kê'!$C$3:$E$682,3,0)</f>
        <v>0</v>
      </c>
      <c r="D4807" s="437">
        <f>VLOOKUP(A4807,'Thống kê'!$C$3:$M$682,4,0)</f>
        <v>0</v>
      </c>
      <c r="E4807" s="438">
        <v>1</v>
      </c>
      <c r="F4807" s="439">
        <f t="shared" si="19"/>
        <v>0</v>
      </c>
      <c r="G4807" s="440"/>
      <c r="H4807" s="450"/>
    </row>
    <row r="4808" spans="1:8" ht="13.2">
      <c r="A4808" s="454" t="s">
        <v>1424</v>
      </c>
      <c r="B4808" s="452" t="str">
        <f>VLOOKUP(A4808,'Thống kê'!$C$3:$D$669,2,0)</f>
        <v>Móc khoá Crybaby mini Popmart</v>
      </c>
      <c r="C4808" s="436" t="str">
        <f>VLOOKUP(A4808,'Thống kê'!$C$3:$E$682,3,0)</f>
        <v>cái</v>
      </c>
      <c r="D4808" s="437">
        <f>VLOOKUP(A4808,'Thống kê'!$C$3:$M$682,4,0)</f>
        <v>145000</v>
      </c>
      <c r="E4808" s="438">
        <v>1</v>
      </c>
      <c r="F4808" s="439">
        <f t="shared" si="19"/>
        <v>145000</v>
      </c>
      <c r="G4808" s="440"/>
      <c r="H4808" s="448">
        <v>112340</v>
      </c>
    </row>
    <row r="4809" spans="1:8" ht="13.2">
      <c r="A4809" s="454" t="s">
        <v>244</v>
      </c>
      <c r="B4809" s="452" t="str">
        <f>VLOOKUP(A4809,'Thống kê'!$C$3:$D$669,2,0)</f>
        <v>Móc khóa chuối</v>
      </c>
      <c r="C4809" s="436" t="str">
        <f>VLOOKUP(A4809,'Thống kê'!$C$3:$E$682,3,0)</f>
        <v>cái</v>
      </c>
      <c r="D4809" s="437">
        <f>VLOOKUP(A4809,'Thống kê'!$C$3:$M$682,4,0)</f>
        <v>148000</v>
      </c>
      <c r="E4809" s="438">
        <v>1</v>
      </c>
      <c r="F4809" s="439">
        <f t="shared" si="19"/>
        <v>148000</v>
      </c>
      <c r="G4809" s="440"/>
      <c r="H4809" s="448">
        <v>75112</v>
      </c>
    </row>
    <row r="4810" spans="1:8" ht="13.2">
      <c r="A4810" s="454" t="s">
        <v>1389</v>
      </c>
      <c r="B4810" s="452" t="str">
        <f>VLOOKUP(A4810,'Thống kê'!$C$3:$D$669,2,0)</f>
        <v>Móc khoá Crybaby mini Popmart</v>
      </c>
      <c r="C4810" s="436" t="str">
        <f>VLOOKUP(A4810,'Thống kê'!$C$3:$E$682,3,0)</f>
        <v>cái</v>
      </c>
      <c r="D4810" s="437">
        <f>VLOOKUP(A4810,'Thống kê'!$C$3:$M$682,4,0)</f>
        <v>0</v>
      </c>
      <c r="E4810" s="438">
        <v>1</v>
      </c>
      <c r="F4810" s="439">
        <f t="shared" si="19"/>
        <v>0</v>
      </c>
      <c r="G4810" s="440"/>
      <c r="H4810" s="448">
        <v>102516</v>
      </c>
    </row>
    <row r="4811" spans="1:8" ht="13.2">
      <c r="A4811" s="454" t="s">
        <v>1587</v>
      </c>
      <c r="B4811" s="452" t="str">
        <f>VLOOKUP(A4811,'Thống kê'!$C$3:$D$669,2,0)</f>
        <v>Vịt ú bay</v>
      </c>
      <c r="C4811" s="436" t="str">
        <f>VLOOKUP(A4811,'Thống kê'!$C$3:$E$682,3,0)</f>
        <v>cái</v>
      </c>
      <c r="D4811" s="437">
        <f>VLOOKUP(A4811,'Thống kê'!$C$3:$M$682,4,0)</f>
        <v>64500</v>
      </c>
      <c r="E4811" s="438">
        <v>2</v>
      </c>
      <c r="F4811" s="439">
        <f t="shared" si="19"/>
        <v>129000</v>
      </c>
      <c r="G4811" s="440"/>
      <c r="H4811" s="448">
        <v>121688</v>
      </c>
    </row>
    <row r="4812" spans="1:8" ht="13.2">
      <c r="A4812" s="454" t="s">
        <v>1398</v>
      </c>
      <c r="B4812" s="452" t="str">
        <f>VLOOKUP(A4812,'Thống kê'!$C$3:$D$669,2,0)</f>
        <v>Móc khoá Labubu mini Popmart</v>
      </c>
      <c r="C4812" s="436" t="str">
        <f>VLOOKUP(A4812,'Thống kê'!$C$3:$E$682,3,0)</f>
        <v>cái</v>
      </c>
      <c r="D4812" s="437">
        <f>VLOOKUP(A4812,'Thống kê'!$C$3:$M$682,4,0)</f>
        <v>0</v>
      </c>
      <c r="E4812" s="438">
        <v>1</v>
      </c>
      <c r="F4812" s="439">
        <f t="shared" si="19"/>
        <v>0</v>
      </c>
      <c r="G4812" s="440"/>
      <c r="H4812" s="448">
        <v>92496</v>
      </c>
    </row>
    <row r="4813" spans="1:8" ht="13.2">
      <c r="A4813" s="454" t="s">
        <v>2102</v>
      </c>
      <c r="B4813" s="452" t="e">
        <f>VLOOKUP(A4813,'Thống kê'!$C$3:$D$669,2,0)</f>
        <v>#N/A</v>
      </c>
      <c r="C4813" s="436" t="e">
        <f>VLOOKUP(A4813,'Thống kê'!$C$3:$E$682,3,0)</f>
        <v>#N/A</v>
      </c>
      <c r="D4813" s="437" t="e">
        <f>VLOOKUP(A4813,'Thống kê'!$C$3:$M$682,4,0)</f>
        <v>#N/A</v>
      </c>
      <c r="E4813" s="438">
        <v>-1</v>
      </c>
      <c r="F4813" s="439" t="e">
        <f t="shared" si="19"/>
        <v>#N/A</v>
      </c>
      <c r="G4813" s="440"/>
      <c r="H4813" s="448">
        <v>-50580</v>
      </c>
    </row>
    <row r="4814" spans="1:8" ht="13.2">
      <c r="A4814" s="454" t="s">
        <v>1716</v>
      </c>
      <c r="B4814" s="452" t="str">
        <f>VLOOKUP(A4814,'Thống kê'!$C$3:$D$669,2,0)</f>
        <v>Móc khóa đôi 2 quả lê có nam châm</v>
      </c>
      <c r="C4814" s="436" t="str">
        <f>VLOOKUP(A4814,'Thống kê'!$C$3:$E$682,3,0)</f>
        <v>cái</v>
      </c>
      <c r="D4814" s="437">
        <f>VLOOKUP(A4814,'Thống kê'!$C$3:$M$682,4,0)</f>
        <v>59000</v>
      </c>
      <c r="E4814" s="438">
        <v>-1</v>
      </c>
      <c r="F4814" s="439">
        <f t="shared" si="19"/>
        <v>-59000</v>
      </c>
      <c r="G4814" s="440"/>
      <c r="H4814" s="448">
        <v>-56500</v>
      </c>
    </row>
    <row r="4815" spans="1:8" ht="13.2">
      <c r="A4815" s="454" t="s">
        <v>150</v>
      </c>
      <c r="B4815" s="452" t="str">
        <f>VLOOKUP(A4815,'Thống kê'!$C$3:$D$669,2,0)</f>
        <v>Móc khóa có chuông</v>
      </c>
      <c r="C4815" s="436" t="str">
        <f>VLOOKUP(A4815,'Thống kê'!$C$3:$E$682,3,0)</f>
        <v>cái</v>
      </c>
      <c r="D4815" s="437">
        <f>VLOOKUP(A4815,'Thống kê'!$C$3:$M$682,4,0)</f>
        <v>59000</v>
      </c>
      <c r="E4815" s="438">
        <v>-1</v>
      </c>
      <c r="F4815" s="439">
        <f t="shared" si="19"/>
        <v>-59000</v>
      </c>
      <c r="G4815" s="440"/>
      <c r="H4815" s="448">
        <v>-49280</v>
      </c>
    </row>
    <row r="4816" spans="1:8" ht="13.2">
      <c r="A4816" s="454" t="s">
        <v>1690</v>
      </c>
      <c r="B4816" s="452">
        <f>VLOOKUP(A4816,'Thống kê'!$C$3:$D$669,2,0)</f>
        <v>0</v>
      </c>
      <c r="C4816" s="436" t="str">
        <f>VLOOKUP(A4816,'Thống kê'!$C$3:$E$682,3,0)</f>
        <v>cái</v>
      </c>
      <c r="D4816" s="437">
        <f>VLOOKUP(A4816,'Thống kê'!$C$3:$M$682,4,0)</f>
        <v>0</v>
      </c>
      <c r="E4816" s="438">
        <v>-1</v>
      </c>
      <c r="F4816" s="439">
        <f t="shared" si="19"/>
        <v>0</v>
      </c>
      <c r="G4816" s="440"/>
      <c r="H4816" s="448">
        <v>-24840</v>
      </c>
    </row>
    <row r="4817" spans="1:8" ht="13.2">
      <c r="A4817" s="454" t="s">
        <v>1624</v>
      </c>
      <c r="B4817" s="452" t="str">
        <f>VLOOKUP(A4817,'Thống kê'!$C$3:$D$669,2,0)</f>
        <v>Móc khóa mèo trái tim</v>
      </c>
      <c r="C4817" s="436" t="str">
        <f>VLOOKUP(A4817,'Thống kê'!$C$3:$E$682,3,0)</f>
        <v>cái</v>
      </c>
      <c r="D4817" s="437">
        <f>VLOOKUP(A4817,'Thống kê'!$C$3:$M$682,4,0)</f>
        <v>59000</v>
      </c>
      <c r="E4817" s="438">
        <v>1</v>
      </c>
      <c r="F4817" s="439">
        <f t="shared" si="19"/>
        <v>59000</v>
      </c>
      <c r="G4817" s="440"/>
      <c r="H4817" s="447">
        <v>100812</v>
      </c>
    </row>
    <row r="4818" spans="1:8" ht="13.2">
      <c r="A4818" s="454" t="s">
        <v>1639</v>
      </c>
      <c r="B4818" s="452" t="str">
        <f>VLOOKUP(A4818,'Thống kê'!$C$3:$D$669,2,0)</f>
        <v>Móc khóa đôi Puppy</v>
      </c>
      <c r="C4818" s="436" t="str">
        <f>VLOOKUP(A4818,'Thống kê'!$C$3:$E$682,3,0)</f>
        <v>cái</v>
      </c>
      <c r="D4818" s="437">
        <f>VLOOKUP(A4818,'Thống kê'!$C$3:$M$682,4,0)</f>
        <v>59000</v>
      </c>
      <c r="E4818" s="438">
        <v>1</v>
      </c>
      <c r="F4818" s="439">
        <f t="shared" si="19"/>
        <v>59000</v>
      </c>
      <c r="G4818" s="440"/>
      <c r="H4818" s="450"/>
    </row>
    <row r="4819" spans="1:8" ht="13.2">
      <c r="A4819" s="454" t="s">
        <v>1919</v>
      </c>
      <c r="B4819" s="452" t="str">
        <f>VLOOKUP(A4819,'Thống kê'!$C$3:$D$669,2,0)</f>
        <v>Vớ cổ cao trắng hoa đen</v>
      </c>
      <c r="C4819" s="436" t="str">
        <f>VLOOKUP(A4819,'Thống kê'!$C$3:$E$682,3,0)</f>
        <v>đôi</v>
      </c>
      <c r="D4819" s="437">
        <f>VLOOKUP(A4819,'Thống kê'!$C$3:$M$682,4,0)</f>
        <v>19800</v>
      </c>
      <c r="E4819" s="438">
        <v>1</v>
      </c>
      <c r="F4819" s="439">
        <f t="shared" si="19"/>
        <v>19800</v>
      </c>
      <c r="G4819" s="440"/>
      <c r="H4819" s="450"/>
    </row>
    <row r="4820" spans="1:8" ht="13.2">
      <c r="A4820" s="454" t="s">
        <v>207</v>
      </c>
      <c r="B4820" s="452" t="str">
        <f>VLOOKUP(A4820,'Thống kê'!$C$3:$D$669,2,0)</f>
        <v>Thiệp</v>
      </c>
      <c r="C4820" s="436" t="str">
        <f>VLOOKUP(A4820,'Thống kê'!$C$3:$E$682,3,0)</f>
        <v>cái</v>
      </c>
      <c r="D4820" s="437">
        <f>VLOOKUP(A4820,'Thống kê'!$C$3:$M$682,4,0)</f>
        <v>0</v>
      </c>
      <c r="E4820" s="438">
        <v>1</v>
      </c>
      <c r="F4820" s="439">
        <f t="shared" si="19"/>
        <v>0</v>
      </c>
      <c r="G4820" s="440"/>
      <c r="H4820" s="450"/>
    </row>
    <row r="4821" spans="1:8" ht="13.2">
      <c r="A4821" s="454" t="s">
        <v>115</v>
      </c>
      <c r="B4821" s="452" t="str">
        <f>VLOOKUP(A4821,'Thống kê'!$C$3:$D$669,2,0)</f>
        <v>Heo ú</v>
      </c>
      <c r="C4821" s="436" t="str">
        <f>VLOOKUP(A4821,'Thống kê'!$C$3:$E$682,3,0)</f>
        <v>cái</v>
      </c>
      <c r="D4821" s="437">
        <f>VLOOKUP(A4821,'Thống kê'!$C$3:$M$682,4,0)</f>
        <v>59500</v>
      </c>
      <c r="E4821" s="438">
        <v>1</v>
      </c>
      <c r="F4821" s="439">
        <f t="shared" si="19"/>
        <v>59500</v>
      </c>
      <c r="G4821" s="440"/>
      <c r="H4821" s="448">
        <v>52900</v>
      </c>
    </row>
    <row r="4822" spans="1:8" ht="13.2">
      <c r="A4822" s="454" t="s">
        <v>1624</v>
      </c>
      <c r="B4822" s="452" t="str">
        <f>VLOOKUP(A4822,'Thống kê'!$C$3:$D$669,2,0)</f>
        <v>Móc khóa mèo trái tim</v>
      </c>
      <c r="C4822" s="436" t="str">
        <f>VLOOKUP(A4822,'Thống kê'!$C$3:$E$682,3,0)</f>
        <v>cái</v>
      </c>
      <c r="D4822" s="437">
        <f>VLOOKUP(A4822,'Thống kê'!$C$3:$M$682,4,0)</f>
        <v>59000</v>
      </c>
      <c r="E4822" s="438">
        <v>1</v>
      </c>
      <c r="F4822" s="439">
        <f t="shared" si="19"/>
        <v>59000</v>
      </c>
      <c r="G4822" s="440"/>
      <c r="H4822" s="447">
        <v>132086</v>
      </c>
    </row>
    <row r="4823" spans="1:8" ht="13.2">
      <c r="A4823" s="454" t="s">
        <v>1715</v>
      </c>
      <c r="B4823" s="452">
        <f>VLOOKUP(A4823,'Thống kê'!$C$3:$D$669,2,0)</f>
        <v>0</v>
      </c>
      <c r="C4823" s="436" t="str">
        <f>VLOOKUP(A4823,'Thống kê'!$C$3:$E$682,3,0)</f>
        <v>cái</v>
      </c>
      <c r="D4823" s="437">
        <f>VLOOKUP(A4823,'Thống kê'!$C$3:$M$682,4,0)</f>
        <v>0</v>
      </c>
      <c r="E4823" s="438">
        <v>1</v>
      </c>
      <c r="F4823" s="439">
        <f t="shared" si="19"/>
        <v>0</v>
      </c>
      <c r="G4823" s="440"/>
      <c r="H4823" s="450"/>
    </row>
    <row r="4824" spans="1:8" ht="13.2">
      <c r="A4824" s="454" t="s">
        <v>2098</v>
      </c>
      <c r="B4824" s="452" t="str">
        <f>VLOOKUP(A4824,'Thống kê'!$C$3:$D$669,2,0)</f>
        <v>Thiệp</v>
      </c>
      <c r="C4824" s="436" t="str">
        <f>VLOOKUP(A4824,'Thống kê'!$C$3:$E$682,3,0)</f>
        <v>cái</v>
      </c>
      <c r="D4824" s="437">
        <f>VLOOKUP(A4824,'Thống kê'!$C$3:$M$682,4,0)</f>
        <v>0</v>
      </c>
      <c r="E4824" s="438">
        <v>1</v>
      </c>
      <c r="F4824" s="439">
        <f t="shared" si="19"/>
        <v>0</v>
      </c>
      <c r="G4824" s="440"/>
      <c r="H4824" s="450"/>
    </row>
    <row r="4825" spans="1:8" ht="13.2">
      <c r="A4825" s="454" t="s">
        <v>1839</v>
      </c>
      <c r="B4825" s="452" t="str">
        <f>VLOOKUP(A4825,'Thống kê'!$C$3:$D$669,2,0)</f>
        <v>Thiệp</v>
      </c>
      <c r="C4825" s="436" t="str">
        <f>VLOOKUP(A4825,'Thống kê'!$C$3:$E$682,3,0)</f>
        <v>cái</v>
      </c>
      <c r="D4825" s="437">
        <f>VLOOKUP(A4825,'Thống kê'!$C$3:$M$682,4,0)</f>
        <v>0</v>
      </c>
      <c r="E4825" s="438">
        <v>1</v>
      </c>
      <c r="F4825" s="439">
        <f t="shared" si="19"/>
        <v>0</v>
      </c>
      <c r="G4825" s="440"/>
      <c r="H4825" s="450"/>
    </row>
    <row r="4826" spans="1:8" ht="13.2">
      <c r="A4826" s="454" t="s">
        <v>1623</v>
      </c>
      <c r="B4826" s="452" t="str">
        <f>VLOOKUP(A4826,'Thống kê'!$C$3:$D$669,2,0)</f>
        <v>Mô hình mèo 5</v>
      </c>
      <c r="C4826" s="436" t="str">
        <f>VLOOKUP(A4826,'Thống kê'!$C$3:$E$682,3,0)</f>
        <v>cái</v>
      </c>
      <c r="D4826" s="437">
        <f>VLOOKUP(A4826,'Thống kê'!$C$3:$M$682,4,0)</f>
        <v>37800</v>
      </c>
      <c r="E4826" s="438">
        <v>1</v>
      </c>
      <c r="F4826" s="439">
        <f t="shared" si="19"/>
        <v>37800</v>
      </c>
      <c r="G4826" s="440"/>
      <c r="H4826" s="447">
        <v>38130</v>
      </c>
    </row>
    <row r="4827" spans="1:8" ht="13.2">
      <c r="A4827" s="454" t="s">
        <v>2097</v>
      </c>
      <c r="B4827" s="452" t="str">
        <f>VLOOKUP(A4827,'Thống kê'!$C$3:$D$669,2,0)</f>
        <v>Thiệp</v>
      </c>
      <c r="C4827" s="436" t="str">
        <f>VLOOKUP(A4827,'Thống kê'!$C$3:$E$682,3,0)</f>
        <v>cái</v>
      </c>
      <c r="D4827" s="437">
        <f>VLOOKUP(A4827,'Thống kê'!$C$3:$M$682,4,0)</f>
        <v>0</v>
      </c>
      <c r="E4827" s="438">
        <v>1</v>
      </c>
      <c r="F4827" s="439">
        <f t="shared" si="19"/>
        <v>0</v>
      </c>
      <c r="G4827" s="440"/>
      <c r="H4827" s="450"/>
    </row>
    <row r="4828" spans="1:8" ht="13.2">
      <c r="A4828" s="454" t="s">
        <v>1622</v>
      </c>
      <c r="B4828" s="452" t="str">
        <f>VLOOKUP(A4828,'Thống kê'!$C$3:$D$669,2,0)</f>
        <v>Mô hình mèo 1</v>
      </c>
      <c r="C4828" s="436" t="str">
        <f>VLOOKUP(A4828,'Thống kê'!$C$3:$E$682,3,0)</f>
        <v>cái</v>
      </c>
      <c r="D4828" s="437">
        <f>VLOOKUP(A4828,'Thống kê'!$C$3:$M$682,4,0)</f>
        <v>37800</v>
      </c>
      <c r="E4828" s="438">
        <v>2</v>
      </c>
      <c r="F4828" s="439">
        <f t="shared" si="19"/>
        <v>75600</v>
      </c>
      <c r="G4828" s="440"/>
      <c r="H4828" s="447">
        <v>319800</v>
      </c>
    </row>
    <row r="4829" spans="1:8" ht="13.2">
      <c r="A4829" s="454" t="s">
        <v>1621</v>
      </c>
      <c r="B4829" s="452" t="str">
        <f>VLOOKUP(A4829,'Thống kê'!$C$3:$D$669,2,0)</f>
        <v>Mô hình mèo 2</v>
      </c>
      <c r="C4829" s="436" t="str">
        <f>VLOOKUP(A4829,'Thống kê'!$C$3:$E$682,3,0)</f>
        <v>cái</v>
      </c>
      <c r="D4829" s="437">
        <f>VLOOKUP(A4829,'Thống kê'!$C$3:$M$682,4,0)</f>
        <v>37800</v>
      </c>
      <c r="E4829" s="438">
        <v>2</v>
      </c>
      <c r="F4829" s="439">
        <f t="shared" si="19"/>
        <v>75600</v>
      </c>
      <c r="G4829" s="440"/>
      <c r="H4829" s="450"/>
    </row>
    <row r="4830" spans="1:8" ht="13.2">
      <c r="A4830" s="454" t="s">
        <v>1636</v>
      </c>
      <c r="B4830" s="452" t="str">
        <f>VLOOKUP(A4830,'Thống kê'!$C$3:$D$669,2,0)</f>
        <v>Mô hình mèo 3</v>
      </c>
      <c r="C4830" s="436" t="str">
        <f>VLOOKUP(A4830,'Thống kê'!$C$3:$E$682,3,0)</f>
        <v>cái</v>
      </c>
      <c r="D4830" s="437">
        <f>VLOOKUP(A4830,'Thống kê'!$C$3:$M$682,4,0)</f>
        <v>37800</v>
      </c>
      <c r="E4830" s="438">
        <v>2</v>
      </c>
      <c r="F4830" s="439">
        <f t="shared" si="19"/>
        <v>75600</v>
      </c>
      <c r="G4830" s="440"/>
      <c r="H4830" s="450"/>
    </row>
    <row r="4831" spans="1:8" ht="13.2">
      <c r="A4831" s="454" t="s">
        <v>1635</v>
      </c>
      <c r="B4831" s="452" t="str">
        <f>VLOOKUP(A4831,'Thống kê'!$C$3:$D$669,2,0)</f>
        <v>Mô hình mèo 4</v>
      </c>
      <c r="C4831" s="436" t="str">
        <f>VLOOKUP(A4831,'Thống kê'!$C$3:$E$682,3,0)</f>
        <v>cái</v>
      </c>
      <c r="D4831" s="437">
        <f>VLOOKUP(A4831,'Thống kê'!$C$3:$M$682,4,0)</f>
        <v>37800</v>
      </c>
      <c r="E4831" s="438">
        <v>2</v>
      </c>
      <c r="F4831" s="439">
        <f t="shared" si="19"/>
        <v>75600</v>
      </c>
      <c r="G4831" s="440"/>
      <c r="H4831" s="450"/>
    </row>
    <row r="4832" spans="1:8" ht="13.2">
      <c r="A4832" s="454" t="s">
        <v>1623</v>
      </c>
      <c r="B4832" s="452" t="str">
        <f>VLOOKUP(A4832,'Thống kê'!$C$3:$D$669,2,0)</f>
        <v>Mô hình mèo 5</v>
      </c>
      <c r="C4832" s="436" t="str">
        <f>VLOOKUP(A4832,'Thống kê'!$C$3:$E$682,3,0)</f>
        <v>cái</v>
      </c>
      <c r="D4832" s="437">
        <f>VLOOKUP(A4832,'Thống kê'!$C$3:$M$682,4,0)</f>
        <v>37800</v>
      </c>
      <c r="E4832" s="438">
        <v>2</v>
      </c>
      <c r="F4832" s="439">
        <f t="shared" si="19"/>
        <v>75600</v>
      </c>
      <c r="G4832" s="440"/>
      <c r="H4832" s="450"/>
    </row>
    <row r="4833" spans="1:8" ht="13.2">
      <c r="A4833" s="454" t="s">
        <v>115</v>
      </c>
      <c r="B4833" s="452" t="str">
        <f>VLOOKUP(A4833,'Thống kê'!$C$3:$D$669,2,0)</f>
        <v>Heo ú</v>
      </c>
      <c r="C4833" s="436" t="str">
        <f>VLOOKUP(A4833,'Thống kê'!$C$3:$E$682,3,0)</f>
        <v>cái</v>
      </c>
      <c r="D4833" s="437">
        <f>VLOOKUP(A4833,'Thống kê'!$C$3:$M$682,4,0)</f>
        <v>59500</v>
      </c>
      <c r="E4833" s="438">
        <v>1</v>
      </c>
      <c r="F4833" s="439">
        <f t="shared" si="19"/>
        <v>59500</v>
      </c>
      <c r="G4833" s="440"/>
      <c r="H4833" s="448">
        <v>52900</v>
      </c>
    </row>
    <row r="4834" spans="1:8" ht="13.2">
      <c r="A4834" s="454" t="s">
        <v>1624</v>
      </c>
      <c r="B4834" s="452" t="str">
        <f>VLOOKUP(A4834,'Thống kê'!$C$3:$D$669,2,0)</f>
        <v>Móc khóa mèo trái tim</v>
      </c>
      <c r="C4834" s="436" t="str">
        <f>VLOOKUP(A4834,'Thống kê'!$C$3:$E$682,3,0)</f>
        <v>cái</v>
      </c>
      <c r="D4834" s="437">
        <f>VLOOKUP(A4834,'Thống kê'!$C$3:$M$682,4,0)</f>
        <v>59000</v>
      </c>
      <c r="E4834" s="438">
        <v>1</v>
      </c>
      <c r="F4834" s="439">
        <f t="shared" si="19"/>
        <v>59000</v>
      </c>
      <c r="G4834" s="440"/>
      <c r="H4834" s="448">
        <v>40235</v>
      </c>
    </row>
    <row r="4835" spans="1:8" ht="13.2">
      <c r="A4835" s="454" t="s">
        <v>138</v>
      </c>
      <c r="B4835" s="452" t="str">
        <f>VLOOKUP(A4835,'Thống kê'!$C$3:$D$669,2,0)</f>
        <v>Móc khoá Crybaby mini Popmart</v>
      </c>
      <c r="C4835" s="436" t="str">
        <f>VLOOKUP(A4835,'Thống kê'!$C$3:$E$682,3,0)</f>
        <v>cái</v>
      </c>
      <c r="D4835" s="437">
        <f>VLOOKUP(A4835,'Thống kê'!$C$3:$M$682,4,0)</f>
        <v>0</v>
      </c>
      <c r="E4835" s="438">
        <v>1</v>
      </c>
      <c r="F4835" s="439">
        <f t="shared" si="19"/>
        <v>0</v>
      </c>
      <c r="G4835" s="440"/>
      <c r="H4835" s="448">
        <v>102516</v>
      </c>
    </row>
    <row r="4836" spans="1:8" ht="13.2">
      <c r="A4836" s="454" t="s">
        <v>1622</v>
      </c>
      <c r="B4836" s="452" t="str">
        <f>VLOOKUP(A4836,'Thống kê'!$C$3:$D$669,2,0)</f>
        <v>Mô hình mèo 1</v>
      </c>
      <c r="C4836" s="436" t="str">
        <f>VLOOKUP(A4836,'Thống kê'!$C$3:$E$682,3,0)</f>
        <v>cái</v>
      </c>
      <c r="D4836" s="437">
        <f>VLOOKUP(A4836,'Thống kê'!$C$3:$M$682,4,0)</f>
        <v>37800</v>
      </c>
      <c r="E4836" s="438">
        <v>1</v>
      </c>
      <c r="F4836" s="439">
        <f t="shared" si="19"/>
        <v>37800</v>
      </c>
      <c r="G4836" s="440"/>
      <c r="H4836" s="447">
        <v>180000</v>
      </c>
    </row>
    <row r="4837" spans="1:8" ht="13.2">
      <c r="A4837" s="454" t="s">
        <v>1621</v>
      </c>
      <c r="B4837" s="452" t="str">
        <f>VLOOKUP(A4837,'Thống kê'!$C$3:$D$669,2,0)</f>
        <v>Mô hình mèo 2</v>
      </c>
      <c r="C4837" s="436" t="str">
        <f>VLOOKUP(A4837,'Thống kê'!$C$3:$E$682,3,0)</f>
        <v>cái</v>
      </c>
      <c r="D4837" s="437">
        <f>VLOOKUP(A4837,'Thống kê'!$C$3:$M$682,4,0)</f>
        <v>37800</v>
      </c>
      <c r="E4837" s="438">
        <v>1</v>
      </c>
      <c r="F4837" s="439">
        <f t="shared" si="19"/>
        <v>37800</v>
      </c>
      <c r="G4837" s="440"/>
      <c r="H4837" s="450"/>
    </row>
    <row r="4838" spans="1:8" ht="13.2">
      <c r="A4838" s="454" t="s">
        <v>1636</v>
      </c>
      <c r="B4838" s="452" t="str">
        <f>VLOOKUP(A4838,'Thống kê'!$C$3:$D$669,2,0)</f>
        <v>Mô hình mèo 3</v>
      </c>
      <c r="C4838" s="436" t="str">
        <f>VLOOKUP(A4838,'Thống kê'!$C$3:$E$682,3,0)</f>
        <v>cái</v>
      </c>
      <c r="D4838" s="437">
        <f>VLOOKUP(A4838,'Thống kê'!$C$3:$M$682,4,0)</f>
        <v>37800</v>
      </c>
      <c r="E4838" s="438">
        <v>1</v>
      </c>
      <c r="F4838" s="439">
        <f t="shared" si="19"/>
        <v>37800</v>
      </c>
      <c r="G4838" s="440"/>
      <c r="H4838" s="450"/>
    </row>
    <row r="4839" spans="1:8" ht="13.2">
      <c r="A4839" s="454" t="s">
        <v>1635</v>
      </c>
      <c r="B4839" s="452" t="str">
        <f>VLOOKUP(A4839,'Thống kê'!$C$3:$D$669,2,0)</f>
        <v>Mô hình mèo 4</v>
      </c>
      <c r="C4839" s="436" t="str">
        <f>VLOOKUP(A4839,'Thống kê'!$C$3:$E$682,3,0)</f>
        <v>cái</v>
      </c>
      <c r="D4839" s="437">
        <f>VLOOKUP(A4839,'Thống kê'!$C$3:$M$682,4,0)</f>
        <v>37800</v>
      </c>
      <c r="E4839" s="438">
        <v>1</v>
      </c>
      <c r="F4839" s="439">
        <f t="shared" si="19"/>
        <v>37800</v>
      </c>
      <c r="G4839" s="440"/>
      <c r="H4839" s="450"/>
    </row>
    <row r="4840" spans="1:8" ht="13.2">
      <c r="A4840" s="454" t="s">
        <v>1623</v>
      </c>
      <c r="B4840" s="452" t="str">
        <f>VLOOKUP(A4840,'Thống kê'!$C$3:$D$669,2,0)</f>
        <v>Mô hình mèo 5</v>
      </c>
      <c r="C4840" s="436" t="str">
        <f>VLOOKUP(A4840,'Thống kê'!$C$3:$E$682,3,0)</f>
        <v>cái</v>
      </c>
      <c r="D4840" s="437">
        <f>VLOOKUP(A4840,'Thống kê'!$C$3:$M$682,4,0)</f>
        <v>37800</v>
      </c>
      <c r="E4840" s="438">
        <v>1</v>
      </c>
      <c r="F4840" s="439">
        <f t="shared" si="19"/>
        <v>37800</v>
      </c>
      <c r="G4840" s="440"/>
      <c r="H4840" s="450"/>
    </row>
    <row r="4841" spans="1:8" ht="13.2">
      <c r="A4841" s="454" t="s">
        <v>1384</v>
      </c>
      <c r="B4841" s="452" t="str">
        <f>VLOOKUP(A4841,'Thống kê'!$C$3:$D$669,2,0)</f>
        <v>Móc khoá Crybaby mini Popmart</v>
      </c>
      <c r="C4841" s="436" t="str">
        <f>VLOOKUP(A4841,'Thống kê'!$C$3:$E$682,3,0)</f>
        <v>cái</v>
      </c>
      <c r="D4841" s="437">
        <f>VLOOKUP(A4841,'Thống kê'!$C$3:$M$682,4,0)</f>
        <v>0</v>
      </c>
      <c r="E4841" s="438">
        <v>1</v>
      </c>
      <c r="F4841" s="439">
        <f t="shared" si="19"/>
        <v>0</v>
      </c>
      <c r="G4841" s="440"/>
      <c r="H4841" s="447">
        <v>315000</v>
      </c>
    </row>
    <row r="4842" spans="1:8" ht="13.2">
      <c r="A4842" s="454" t="s">
        <v>1386</v>
      </c>
      <c r="B4842" s="452" t="str">
        <f>VLOOKUP(A4842,'Thống kê'!$C$3:$D$669,2,0)</f>
        <v>Móc khoá Crybaby mini Popmart</v>
      </c>
      <c r="C4842" s="436" t="str">
        <f>VLOOKUP(A4842,'Thống kê'!$C$3:$E$682,3,0)</f>
        <v>cái</v>
      </c>
      <c r="D4842" s="437">
        <f>VLOOKUP(A4842,'Thống kê'!$C$3:$M$682,4,0)</f>
        <v>0</v>
      </c>
      <c r="E4842" s="438">
        <v>1</v>
      </c>
      <c r="F4842" s="439">
        <f t="shared" si="19"/>
        <v>0</v>
      </c>
      <c r="G4842" s="440"/>
      <c r="H4842" s="450"/>
    </row>
    <row r="4843" spans="1:8" ht="13.2">
      <c r="A4843" s="454" t="s">
        <v>138</v>
      </c>
      <c r="B4843" s="452" t="str">
        <f>VLOOKUP(A4843,'Thống kê'!$C$3:$D$669,2,0)</f>
        <v>Móc khoá Crybaby mini Popmart</v>
      </c>
      <c r="C4843" s="436" t="str">
        <f>VLOOKUP(A4843,'Thống kê'!$C$3:$E$682,3,0)</f>
        <v>cái</v>
      </c>
      <c r="D4843" s="437">
        <f>VLOOKUP(A4843,'Thống kê'!$C$3:$M$682,4,0)</f>
        <v>0</v>
      </c>
      <c r="E4843" s="438">
        <v>1</v>
      </c>
      <c r="F4843" s="439">
        <f t="shared" si="19"/>
        <v>0</v>
      </c>
      <c r="G4843" s="440"/>
      <c r="H4843" s="450"/>
    </row>
    <row r="4844" spans="1:8" ht="13.2">
      <c r="A4844" s="454" t="s">
        <v>186</v>
      </c>
      <c r="B4844" s="452" t="str">
        <f>VLOOKUP(A4844,'Thống kê'!$C$3:$D$669,2,0)</f>
        <v>Thỏ ú bay</v>
      </c>
      <c r="C4844" s="436" t="str">
        <f>VLOOKUP(A4844,'Thống kê'!$C$3:$E$682,3,0)</f>
        <v>cái</v>
      </c>
      <c r="D4844" s="437">
        <f>VLOOKUP(A4844,'Thống kê'!$C$3:$M$682,4,0)</f>
        <v>64500</v>
      </c>
      <c r="E4844" s="438">
        <v>-1</v>
      </c>
      <c r="F4844" s="439">
        <f t="shared" si="19"/>
        <v>-64500</v>
      </c>
      <c r="G4844" s="440"/>
      <c r="H4844" s="447">
        <v>-160000</v>
      </c>
    </row>
    <row r="4845" spans="1:8" ht="13.2">
      <c r="A4845" s="454" t="s">
        <v>1624</v>
      </c>
      <c r="B4845" s="452" t="str">
        <f>VLOOKUP(A4845,'Thống kê'!$C$3:$D$669,2,0)</f>
        <v>Móc khóa mèo trái tim</v>
      </c>
      <c r="C4845" s="436" t="str">
        <f>VLOOKUP(A4845,'Thống kê'!$C$3:$E$682,3,0)</f>
        <v>cái</v>
      </c>
      <c r="D4845" s="437">
        <f>VLOOKUP(A4845,'Thống kê'!$C$3:$M$682,4,0)</f>
        <v>59000</v>
      </c>
      <c r="E4845" s="438">
        <v>-1</v>
      </c>
      <c r="F4845" s="439">
        <f t="shared" si="19"/>
        <v>-59000</v>
      </c>
      <c r="G4845" s="440"/>
      <c r="H4845" s="450"/>
    </row>
    <row r="4846" spans="1:8" ht="13.2">
      <c r="A4846" s="454" t="s">
        <v>1351</v>
      </c>
      <c r="B4846" s="452" t="str">
        <f>VLOOKUP(A4846,'Thống kê'!$C$3:$D$669,2,0)</f>
        <v>Trang trí mô hình Heo</v>
      </c>
      <c r="C4846" s="436" t="str">
        <f>VLOOKUP(A4846,'Thống kê'!$C$3:$E$682,3,0)</f>
        <v>cái</v>
      </c>
      <c r="D4846" s="437">
        <f>VLOOKUP(A4846,'Thống kê'!$C$3:$M$682,4,0)</f>
        <v>39000</v>
      </c>
      <c r="E4846" s="438">
        <v>-1</v>
      </c>
      <c r="F4846" s="439">
        <f t="shared" si="19"/>
        <v>-39000</v>
      </c>
      <c r="G4846" s="440"/>
      <c r="H4846" s="450"/>
    </row>
    <row r="4847" spans="1:8" ht="13.2">
      <c r="A4847" s="454" t="s">
        <v>1996</v>
      </c>
      <c r="B4847" s="452" t="str">
        <f>VLOOKUP(A4847,'Thống kê'!$C$3:$D$669,2,0)</f>
        <v>Kẹp tóc nâu</v>
      </c>
      <c r="C4847" s="436" t="str">
        <f>VLOOKUP(A4847,'Thống kê'!$C$3:$E$682,3,0)</f>
        <v>cái</v>
      </c>
      <c r="D4847" s="437">
        <f>VLOOKUP(A4847,'Thống kê'!$C$3:$M$682,4,0)</f>
        <v>14000</v>
      </c>
      <c r="E4847" s="438">
        <v>-1</v>
      </c>
      <c r="F4847" s="439">
        <f t="shared" si="19"/>
        <v>-14000</v>
      </c>
      <c r="G4847" s="440"/>
      <c r="H4847" s="450"/>
    </row>
    <row r="4848" spans="1:8" ht="13.2">
      <c r="A4848" s="454" t="s">
        <v>1387</v>
      </c>
      <c r="B4848" s="452" t="str">
        <f>VLOOKUP(A4848,'Thống kê'!$C$3:$D$669,2,0)</f>
        <v>Móc khoá Crybaby mini Popmart</v>
      </c>
      <c r="C4848" s="436" t="str">
        <f>VLOOKUP(A4848,'Thống kê'!$C$3:$E$682,3,0)</f>
        <v>cái</v>
      </c>
      <c r="D4848" s="437">
        <f>VLOOKUP(A4848,'Thống kê'!$C$3:$M$682,4,0)</f>
        <v>0</v>
      </c>
      <c r="E4848" s="438">
        <v>-1</v>
      </c>
      <c r="F4848" s="439">
        <f t="shared" si="19"/>
        <v>0</v>
      </c>
      <c r="G4848" s="440"/>
      <c r="H4848" s="448">
        <v>-125020</v>
      </c>
    </row>
    <row r="4849" spans="1:8" ht="13.2">
      <c r="A4849" s="454" t="s">
        <v>246</v>
      </c>
      <c r="B4849" s="452" t="str">
        <f>VLOOKUP(A4849,'Thống kê'!$C$3:$D$669,2,0)</f>
        <v>Móc khóa Popbean</v>
      </c>
      <c r="C4849" s="436" t="str">
        <f>VLOOKUP(A4849,'Thống kê'!$C$3:$E$682,3,0)</f>
        <v>cái</v>
      </c>
      <c r="D4849" s="437">
        <f>VLOOKUP(A4849,'Thống kê'!$C$3:$M$682,4,0)</f>
        <v>148000</v>
      </c>
      <c r="E4849" s="438">
        <v>-1</v>
      </c>
      <c r="F4849" s="439">
        <f t="shared" si="19"/>
        <v>-148000</v>
      </c>
      <c r="G4849" s="440"/>
      <c r="H4849" s="448">
        <v>-134600</v>
      </c>
    </row>
    <row r="4850" spans="1:8" ht="13.2">
      <c r="A4850" s="454" t="s">
        <v>1384</v>
      </c>
      <c r="B4850" s="452" t="str">
        <f>VLOOKUP(A4850,'Thống kê'!$C$3:$D$669,2,0)</f>
        <v>Móc khoá Crybaby mini Popmart</v>
      </c>
      <c r="C4850" s="436" t="str">
        <f>VLOOKUP(A4850,'Thống kê'!$C$3:$E$682,3,0)</f>
        <v>cái</v>
      </c>
      <c r="D4850" s="437">
        <f>VLOOKUP(A4850,'Thống kê'!$C$3:$M$682,4,0)</f>
        <v>0</v>
      </c>
      <c r="E4850" s="438">
        <v>1</v>
      </c>
      <c r="F4850" s="439">
        <f t="shared" si="19"/>
        <v>0</v>
      </c>
      <c r="G4850" s="440"/>
      <c r="H4850" s="448">
        <v>102516</v>
      </c>
    </row>
    <row r="4851" spans="1:8" ht="13.2">
      <c r="A4851" s="454" t="s">
        <v>1389</v>
      </c>
      <c r="B4851" s="452" t="str">
        <f>VLOOKUP(A4851,'Thống kê'!$C$3:$D$669,2,0)</f>
        <v>Móc khoá Crybaby mini Popmart</v>
      </c>
      <c r="C4851" s="436" t="str">
        <f>VLOOKUP(A4851,'Thống kê'!$C$3:$E$682,3,0)</f>
        <v>cái</v>
      </c>
      <c r="D4851" s="437">
        <f>VLOOKUP(A4851,'Thống kê'!$C$3:$M$682,4,0)</f>
        <v>0</v>
      </c>
      <c r="E4851" s="438">
        <v>1</v>
      </c>
      <c r="F4851" s="439">
        <f t="shared" si="19"/>
        <v>0</v>
      </c>
      <c r="G4851" s="440"/>
      <c r="H4851" s="447">
        <v>106190</v>
      </c>
    </row>
    <row r="4852" spans="1:8" ht="13.2">
      <c r="A4852" s="454" t="s">
        <v>2103</v>
      </c>
      <c r="B4852" s="452" t="str">
        <f>VLOOKUP(A4852,'Thống kê'!$C$3:$D$669,2,0)</f>
        <v>Thiệp</v>
      </c>
      <c r="C4852" s="436" t="str">
        <f>VLOOKUP(A4852,'Thống kê'!$C$3:$E$682,3,0)</f>
        <v>cái</v>
      </c>
      <c r="D4852" s="437">
        <f>VLOOKUP(A4852,'Thống kê'!$C$3:$M$682,4,0)</f>
        <v>0</v>
      </c>
      <c r="E4852" s="438">
        <v>1</v>
      </c>
      <c r="F4852" s="439">
        <f t="shared" si="19"/>
        <v>0</v>
      </c>
      <c r="G4852" s="440"/>
      <c r="H4852" s="450"/>
    </row>
    <row r="4853" spans="1:8" ht="13.2">
      <c r="A4853" s="454" t="s">
        <v>1594</v>
      </c>
      <c r="B4853" s="452" t="str">
        <f>VLOOKUP(A4853,'Thống kê'!$C$3:$D$669,2,0)</f>
        <v>Móc khóa đôi heo</v>
      </c>
      <c r="C4853" s="436" t="str">
        <f>VLOOKUP(A4853,'Thống kê'!$C$3:$E$682,3,0)</f>
        <v>cái</v>
      </c>
      <c r="D4853" s="437">
        <f>VLOOKUP(A4853,'Thống kê'!$C$3:$M$682,4,0)</f>
        <v>56580</v>
      </c>
      <c r="E4853" s="438">
        <v>1</v>
      </c>
      <c r="F4853" s="439">
        <f t="shared" si="19"/>
        <v>56580</v>
      </c>
      <c r="G4853" s="440"/>
      <c r="H4853" s="448">
        <v>46330</v>
      </c>
    </row>
    <row r="4854" spans="1:8" ht="13.2">
      <c r="A4854" s="454" t="s">
        <v>1387</v>
      </c>
      <c r="B4854" s="452" t="str">
        <f>VLOOKUP(A4854,'Thống kê'!$C$3:$D$669,2,0)</f>
        <v>Móc khoá Crybaby mini Popmart</v>
      </c>
      <c r="C4854" s="436" t="str">
        <f>VLOOKUP(A4854,'Thống kê'!$C$3:$E$682,3,0)</f>
        <v>cái</v>
      </c>
      <c r="D4854" s="437">
        <f>VLOOKUP(A4854,'Thống kê'!$C$3:$M$682,4,0)</f>
        <v>0</v>
      </c>
      <c r="E4854" s="438">
        <v>1</v>
      </c>
      <c r="F4854" s="439">
        <f t="shared" si="19"/>
        <v>0</v>
      </c>
      <c r="G4854" s="440"/>
      <c r="H4854" s="448">
        <v>102516</v>
      </c>
    </row>
    <row r="4855" spans="1:8" ht="13.2">
      <c r="A4855" s="454" t="s">
        <v>116</v>
      </c>
      <c r="B4855" s="452" t="str">
        <f>VLOOKUP(A4855,'Thống kê'!$C$3:$D$669,2,0)</f>
        <v>heo ú cầm hoa</v>
      </c>
      <c r="C4855" s="436" t="str">
        <f>VLOOKUP(A4855,'Thống kê'!$C$3:$E$682,3,0)</f>
        <v>cái</v>
      </c>
      <c r="D4855" s="437">
        <f>VLOOKUP(A4855,'Thống kê'!$C$3:$M$682,4,0)</f>
        <v>64500</v>
      </c>
      <c r="E4855" s="438">
        <v>1</v>
      </c>
      <c r="F4855" s="439">
        <f t="shared" si="19"/>
        <v>64500</v>
      </c>
      <c r="G4855" s="440"/>
      <c r="H4855" s="448">
        <v>60024</v>
      </c>
    </row>
    <row r="4856" spans="1:8" ht="13.2">
      <c r="A4856" s="454" t="s">
        <v>1386</v>
      </c>
      <c r="B4856" s="452" t="str">
        <f>VLOOKUP(A4856,'Thống kê'!$C$3:$D$669,2,0)</f>
        <v>Móc khoá Crybaby mini Popmart</v>
      </c>
      <c r="C4856" s="436" t="str">
        <f>VLOOKUP(A4856,'Thống kê'!$C$3:$E$682,3,0)</f>
        <v>cái</v>
      </c>
      <c r="D4856" s="437">
        <f>VLOOKUP(A4856,'Thống kê'!$C$3:$M$682,4,0)</f>
        <v>0</v>
      </c>
      <c r="E4856" s="438">
        <v>1</v>
      </c>
      <c r="F4856" s="439">
        <f t="shared" si="19"/>
        <v>0</v>
      </c>
      <c r="G4856" s="440"/>
      <c r="H4856" s="448">
        <v>102516</v>
      </c>
    </row>
    <row r="4857" spans="1:8" ht="13.2">
      <c r="A4857" s="454" t="s">
        <v>150</v>
      </c>
      <c r="B4857" s="452" t="str">
        <f>VLOOKUP(A4857,'Thống kê'!$C$3:$D$669,2,0)</f>
        <v>Móc khóa có chuông</v>
      </c>
      <c r="C4857" s="436" t="str">
        <f>VLOOKUP(A4857,'Thống kê'!$C$3:$E$682,3,0)</f>
        <v>cái</v>
      </c>
      <c r="D4857" s="437">
        <f>VLOOKUP(A4857,'Thống kê'!$C$3:$M$682,4,0)</f>
        <v>59000</v>
      </c>
      <c r="E4857" s="438">
        <v>1</v>
      </c>
      <c r="F4857" s="439">
        <f t="shared" si="19"/>
        <v>59000</v>
      </c>
      <c r="G4857" s="440"/>
      <c r="H4857" s="447">
        <v>43700</v>
      </c>
    </row>
    <row r="4858" spans="1:8" ht="13.2">
      <c r="A4858" s="454" t="s">
        <v>2098</v>
      </c>
      <c r="B4858" s="452" t="str">
        <f>VLOOKUP(A4858,'Thống kê'!$C$3:$D$669,2,0)</f>
        <v>Thiệp</v>
      </c>
      <c r="C4858" s="436" t="str">
        <f>VLOOKUP(A4858,'Thống kê'!$C$3:$E$682,3,0)</f>
        <v>cái</v>
      </c>
      <c r="D4858" s="437">
        <f>VLOOKUP(A4858,'Thống kê'!$C$3:$M$682,4,0)</f>
        <v>0</v>
      </c>
      <c r="E4858" s="438">
        <v>1</v>
      </c>
      <c r="F4858" s="439">
        <f t="shared" si="19"/>
        <v>0</v>
      </c>
      <c r="G4858" s="440"/>
      <c r="H4858" s="450"/>
    </row>
    <row r="4859" spans="1:8" ht="13.2">
      <c r="A4859" s="454" t="s">
        <v>1624</v>
      </c>
      <c r="B4859" s="452" t="str">
        <f>VLOOKUP(A4859,'Thống kê'!$C$3:$D$669,2,0)</f>
        <v>Móc khóa mèo trái tim</v>
      </c>
      <c r="C4859" s="436" t="str">
        <f>VLOOKUP(A4859,'Thống kê'!$C$3:$E$682,3,0)</f>
        <v>cái</v>
      </c>
      <c r="D4859" s="437">
        <f>VLOOKUP(A4859,'Thống kê'!$C$3:$M$682,4,0)</f>
        <v>59000</v>
      </c>
      <c r="E4859" s="438">
        <v>1</v>
      </c>
      <c r="F4859" s="439">
        <f t="shared" si="19"/>
        <v>59000</v>
      </c>
      <c r="G4859" s="440"/>
      <c r="H4859" s="448">
        <v>40410</v>
      </c>
    </row>
    <row r="4860" spans="1:8" ht="13.2">
      <c r="A4860" s="454" t="s">
        <v>150</v>
      </c>
      <c r="B4860" s="452" t="str">
        <f>VLOOKUP(A4860,'Thống kê'!$C$3:$D$669,2,0)</f>
        <v>Móc khóa có chuông</v>
      </c>
      <c r="C4860" s="436" t="str">
        <f>VLOOKUP(A4860,'Thống kê'!$C$3:$E$682,3,0)</f>
        <v>cái</v>
      </c>
      <c r="D4860" s="437">
        <f>VLOOKUP(A4860,'Thống kê'!$C$3:$M$682,4,0)</f>
        <v>59000</v>
      </c>
      <c r="E4860" s="438">
        <v>1</v>
      </c>
      <c r="F4860" s="439">
        <f t="shared" si="19"/>
        <v>59000</v>
      </c>
      <c r="G4860" s="440"/>
      <c r="H4860" s="448">
        <v>40410</v>
      </c>
    </row>
    <row r="4861" spans="1:8" ht="13.2">
      <c r="A4861" s="454" t="s">
        <v>1624</v>
      </c>
      <c r="B4861" s="452" t="str">
        <f>VLOOKUP(A4861,'Thống kê'!$C$3:$D$669,2,0)</f>
        <v>Móc khóa mèo trái tim</v>
      </c>
      <c r="C4861" s="436" t="str">
        <f>VLOOKUP(A4861,'Thống kê'!$C$3:$E$682,3,0)</f>
        <v>cái</v>
      </c>
      <c r="D4861" s="437">
        <f>VLOOKUP(A4861,'Thống kê'!$C$3:$M$682,4,0)</f>
        <v>59000</v>
      </c>
      <c r="E4861" s="438">
        <v>1</v>
      </c>
      <c r="F4861" s="439">
        <f t="shared" si="19"/>
        <v>59000</v>
      </c>
      <c r="G4861" s="440"/>
      <c r="H4861" s="448">
        <v>40410</v>
      </c>
    </row>
    <row r="4862" spans="1:8" ht="13.2">
      <c r="A4862" s="454" t="s">
        <v>1594</v>
      </c>
      <c r="B4862" s="452" t="str">
        <f>VLOOKUP(A4862,'Thống kê'!$C$3:$D$669,2,0)</f>
        <v>Móc khóa đôi heo</v>
      </c>
      <c r="C4862" s="436" t="str">
        <f>VLOOKUP(A4862,'Thống kê'!$C$3:$E$682,3,0)</f>
        <v>cái</v>
      </c>
      <c r="D4862" s="437">
        <f>VLOOKUP(A4862,'Thống kê'!$C$3:$M$682,4,0)</f>
        <v>56580</v>
      </c>
      <c r="E4862" s="438">
        <v>1</v>
      </c>
      <c r="F4862" s="439">
        <f t="shared" si="19"/>
        <v>56580</v>
      </c>
      <c r="G4862" s="440"/>
      <c r="H4862" s="448">
        <v>46130</v>
      </c>
    </row>
    <row r="4863" spans="1:8" ht="13.2">
      <c r="A4863" s="454" t="s">
        <v>1639</v>
      </c>
      <c r="B4863" s="452" t="str">
        <f>VLOOKUP(A4863,'Thống kê'!$C$3:$D$669,2,0)</f>
        <v>Móc khóa đôi Puppy</v>
      </c>
      <c r="C4863" s="436" t="str">
        <f>VLOOKUP(A4863,'Thống kê'!$C$3:$E$682,3,0)</f>
        <v>cái</v>
      </c>
      <c r="D4863" s="437">
        <f>VLOOKUP(A4863,'Thống kê'!$C$3:$M$682,4,0)</f>
        <v>59000</v>
      </c>
      <c r="E4863" s="438">
        <v>1</v>
      </c>
      <c r="F4863" s="439">
        <f t="shared" si="19"/>
        <v>59000</v>
      </c>
      <c r="G4863" s="440"/>
      <c r="H4863" s="448">
        <v>40410</v>
      </c>
    </row>
    <row r="4864" spans="1:8" ht="13.2">
      <c r="A4864" s="454" t="s">
        <v>1632</v>
      </c>
      <c r="B4864" s="452" t="str">
        <f>VLOOKUP(A4864,'Thống kê'!$C$3:$D$669,2,0)</f>
        <v>Móc khóa đôi mèo trắng</v>
      </c>
      <c r="C4864" s="436" t="str">
        <f>VLOOKUP(A4864,'Thống kê'!$C$3:$E$682,3,0)</f>
        <v>cái</v>
      </c>
      <c r="D4864" s="437">
        <f>VLOOKUP(A4864,'Thống kê'!$C$3:$M$682,4,0)</f>
        <v>59000</v>
      </c>
      <c r="E4864" s="438">
        <v>1</v>
      </c>
      <c r="F4864" s="439">
        <f t="shared" si="19"/>
        <v>59000</v>
      </c>
      <c r="G4864" s="440"/>
      <c r="H4864" s="448">
        <v>44280</v>
      </c>
    </row>
    <row r="4865" spans="1:8" ht="13.2">
      <c r="A4865" s="454" t="s">
        <v>1395</v>
      </c>
      <c r="B4865" s="452" t="str">
        <f>VLOOKUP(A4865,'Thống kê'!$C$3:$D$669,2,0)</f>
        <v>Móc khoá Labubu mini Popmart</v>
      </c>
      <c r="C4865" s="436" t="str">
        <f>VLOOKUP(A4865,'Thống kê'!$C$3:$E$682,3,0)</f>
        <v>cái</v>
      </c>
      <c r="D4865" s="437">
        <f>VLOOKUP(A4865,'Thống kê'!$C$3:$M$682,4,0)</f>
        <v>0</v>
      </c>
      <c r="E4865" s="438">
        <v>1</v>
      </c>
      <c r="F4865" s="439">
        <f t="shared" si="19"/>
        <v>0</v>
      </c>
      <c r="G4865" s="440"/>
      <c r="H4865" s="448">
        <v>92496</v>
      </c>
    </row>
    <row r="4866" spans="1:8" ht="13.2">
      <c r="A4866" s="454" t="s">
        <v>1384</v>
      </c>
      <c r="B4866" s="452" t="str">
        <f>VLOOKUP(A4866,'Thống kê'!$C$3:$D$669,2,0)</f>
        <v>Móc khoá Crybaby mini Popmart</v>
      </c>
      <c r="C4866" s="436" t="str">
        <f>VLOOKUP(A4866,'Thống kê'!$C$3:$E$682,3,0)</f>
        <v>cái</v>
      </c>
      <c r="D4866" s="437">
        <f>VLOOKUP(A4866,'Thống kê'!$C$3:$M$682,4,0)</f>
        <v>0</v>
      </c>
      <c r="E4866" s="438">
        <v>1</v>
      </c>
      <c r="F4866" s="439">
        <f t="shared" si="19"/>
        <v>0</v>
      </c>
      <c r="G4866" s="440"/>
      <c r="H4866" s="448">
        <v>102516</v>
      </c>
    </row>
    <row r="4867" spans="1:8" ht="13.2">
      <c r="A4867" s="454" t="s">
        <v>1388</v>
      </c>
      <c r="B4867" s="452" t="str">
        <f>VLOOKUP(A4867,'Thống kê'!$C$3:$D$669,2,0)</f>
        <v>Móc khoá Crybaby mini Popmart</v>
      </c>
      <c r="C4867" s="436" t="str">
        <f>VLOOKUP(A4867,'Thống kê'!$C$3:$E$682,3,0)</f>
        <v>cái</v>
      </c>
      <c r="D4867" s="437">
        <f>VLOOKUP(A4867,'Thống kê'!$C$3:$M$682,4,0)</f>
        <v>0</v>
      </c>
      <c r="E4867" s="438">
        <v>1</v>
      </c>
      <c r="F4867" s="439">
        <f t="shared" si="19"/>
        <v>0</v>
      </c>
      <c r="G4867" s="440"/>
      <c r="H4867" s="448">
        <v>102516</v>
      </c>
    </row>
    <row r="4868" spans="1:8" ht="13.2">
      <c r="A4868" s="454" t="s">
        <v>1384</v>
      </c>
      <c r="B4868" s="452" t="str">
        <f>VLOOKUP(A4868,'Thống kê'!$C$3:$D$669,2,0)</f>
        <v>Móc khoá Crybaby mini Popmart</v>
      </c>
      <c r="C4868" s="436" t="str">
        <f>VLOOKUP(A4868,'Thống kê'!$C$3:$E$682,3,0)</f>
        <v>cái</v>
      </c>
      <c r="D4868" s="437">
        <f>VLOOKUP(A4868,'Thống kê'!$C$3:$M$682,4,0)</f>
        <v>0</v>
      </c>
      <c r="E4868" s="438">
        <v>1</v>
      </c>
      <c r="F4868" s="439">
        <f t="shared" si="19"/>
        <v>0</v>
      </c>
      <c r="G4868" s="440"/>
      <c r="H4868" s="448">
        <v>102516</v>
      </c>
    </row>
    <row r="4869" spans="1:8" ht="13.2">
      <c r="A4869" s="454" t="s">
        <v>1349</v>
      </c>
      <c r="B4869" s="452" t="str">
        <f>VLOOKUP(A4869,'Thống kê'!$C$3:$D$669,2,0)</f>
        <v>Túi chườm bụng 1000ml</v>
      </c>
      <c r="C4869" s="436" t="str">
        <f>VLOOKUP(A4869,'Thống kê'!$C$3:$E$682,3,0)</f>
        <v>túi</v>
      </c>
      <c r="D4869" s="437">
        <f>VLOOKUP(A4869,'Thống kê'!$C$3:$M$682,4,0)</f>
        <v>119000</v>
      </c>
      <c r="E4869" s="438">
        <v>1</v>
      </c>
      <c r="F4869" s="439">
        <f t="shared" si="19"/>
        <v>119000</v>
      </c>
      <c r="G4869" s="440"/>
      <c r="H4869" s="447">
        <v>86797</v>
      </c>
    </row>
    <row r="4870" spans="1:8" ht="13.2">
      <c r="A4870" s="454" t="s">
        <v>1697</v>
      </c>
      <c r="B4870" s="452" t="str">
        <f>VLOOKUP(A4870,'Thống kê'!$C$3:$D$669,2,0)</f>
        <v>heo</v>
      </c>
      <c r="C4870" s="436" t="str">
        <f>VLOOKUP(A4870,'Thống kê'!$C$3:$E$682,3,0)</f>
        <v>cái</v>
      </c>
      <c r="D4870" s="437">
        <f>VLOOKUP(A4870,'Thống kê'!$C$3:$M$682,4,0)</f>
        <v>35000</v>
      </c>
      <c r="E4870" s="438">
        <v>1</v>
      </c>
      <c r="F4870" s="439">
        <f t="shared" si="19"/>
        <v>35000</v>
      </c>
      <c r="G4870" s="440"/>
      <c r="H4870" s="450"/>
    </row>
    <row r="4871" spans="1:8" ht="13.2">
      <c r="A4871" s="454" t="s">
        <v>229</v>
      </c>
      <c r="B4871" s="452">
        <f>VLOOKUP(A4871,'Thống kê'!$C$3:$D$669,2,0)</f>
        <v>0</v>
      </c>
      <c r="C4871" s="436">
        <f>VLOOKUP(A4871,'Thống kê'!$C$3:$E$682,3,0)</f>
        <v>0</v>
      </c>
      <c r="D4871" s="437">
        <f>VLOOKUP(A4871,'Thống kê'!$C$3:$M$682,4,0)</f>
        <v>0</v>
      </c>
      <c r="E4871" s="438">
        <v>1</v>
      </c>
      <c r="F4871" s="439">
        <f t="shared" si="19"/>
        <v>0</v>
      </c>
      <c r="G4871" s="440"/>
      <c r="H4871" s="448">
        <v>112340</v>
      </c>
    </row>
    <row r="4872" spans="1:8" ht="13.2">
      <c r="A4872" s="454" t="s">
        <v>1366</v>
      </c>
      <c r="B4872" s="452" t="str">
        <f>VLOOKUP(A4872,'Thống kê'!$C$3:$D$669,2,0)</f>
        <v>Móc khóa Popbean</v>
      </c>
      <c r="C4872" s="436" t="str">
        <f>VLOOKUP(A4872,'Thống kê'!$C$3:$E$682,3,0)</f>
        <v>cái</v>
      </c>
      <c r="D4872" s="437">
        <f>VLOOKUP(A4872,'Thống kê'!$C$3:$M$682,4,0)</f>
        <v>148000</v>
      </c>
      <c r="E4872" s="438">
        <v>1</v>
      </c>
      <c r="F4872" s="439">
        <f t="shared" si="19"/>
        <v>148000</v>
      </c>
      <c r="G4872" s="440"/>
      <c r="H4872" s="447">
        <v>261000</v>
      </c>
    </row>
    <row r="4873" spans="1:8" ht="13.2">
      <c r="A4873" s="454" t="s">
        <v>1660</v>
      </c>
      <c r="B4873" s="452" t="str">
        <f>VLOOKUP(A4873,'Thống kê'!$C$3:$D$669,2,0)</f>
        <v>Móc khóa Popbean Skull Panda</v>
      </c>
      <c r="C4873" s="436" t="str">
        <f>VLOOKUP(A4873,'Thống kê'!$C$3:$E$682,3,0)</f>
        <v>cái</v>
      </c>
      <c r="D4873" s="437">
        <f>VLOOKUP(A4873,'Thống kê'!$C$3:$M$682,4,0)</f>
        <v>155000</v>
      </c>
      <c r="E4873" s="438">
        <v>1</v>
      </c>
      <c r="F4873" s="439">
        <f t="shared" si="19"/>
        <v>155000</v>
      </c>
      <c r="G4873" s="440"/>
      <c r="H4873" s="450"/>
    </row>
    <row r="4874" spans="1:8" ht="13.2">
      <c r="A4874" s="454" t="s">
        <v>2097</v>
      </c>
      <c r="B4874" s="452" t="str">
        <f>VLOOKUP(A4874,'Thống kê'!$C$3:$D$669,2,0)</f>
        <v>Thiệp</v>
      </c>
      <c r="C4874" s="436" t="str">
        <f>VLOOKUP(A4874,'Thống kê'!$C$3:$E$682,3,0)</f>
        <v>cái</v>
      </c>
      <c r="D4874" s="437">
        <f>VLOOKUP(A4874,'Thống kê'!$C$3:$M$682,4,0)</f>
        <v>0</v>
      </c>
      <c r="E4874" s="438">
        <v>1</v>
      </c>
      <c r="F4874" s="439">
        <f t="shared" si="19"/>
        <v>0</v>
      </c>
      <c r="G4874" s="440"/>
      <c r="H4874" s="450"/>
    </row>
    <row r="4875" spans="1:8" ht="13.2">
      <c r="A4875" s="454" t="s">
        <v>1839</v>
      </c>
      <c r="B4875" s="452" t="str">
        <f>VLOOKUP(A4875,'Thống kê'!$C$3:$D$669,2,0)</f>
        <v>Thiệp</v>
      </c>
      <c r="C4875" s="436" t="str">
        <f>VLOOKUP(A4875,'Thống kê'!$C$3:$E$682,3,0)</f>
        <v>cái</v>
      </c>
      <c r="D4875" s="437">
        <f>VLOOKUP(A4875,'Thống kê'!$C$3:$M$682,4,0)</f>
        <v>0</v>
      </c>
      <c r="E4875" s="438">
        <v>1</v>
      </c>
      <c r="F4875" s="439">
        <f t="shared" si="19"/>
        <v>0</v>
      </c>
      <c r="G4875" s="440"/>
      <c r="H4875" s="450"/>
    </row>
    <row r="4876" spans="1:8" ht="13.2">
      <c r="A4876" s="454" t="s">
        <v>2103</v>
      </c>
      <c r="B4876" s="452" t="str">
        <f>VLOOKUP(A4876,'Thống kê'!$C$3:$D$669,2,0)</f>
        <v>Thiệp</v>
      </c>
      <c r="C4876" s="436" t="str">
        <f>VLOOKUP(A4876,'Thống kê'!$C$3:$E$682,3,0)</f>
        <v>cái</v>
      </c>
      <c r="D4876" s="437">
        <f>VLOOKUP(A4876,'Thống kê'!$C$3:$M$682,4,0)</f>
        <v>0</v>
      </c>
      <c r="E4876" s="438">
        <v>1</v>
      </c>
      <c r="F4876" s="439">
        <f t="shared" si="19"/>
        <v>0</v>
      </c>
      <c r="G4876" s="440"/>
      <c r="H4876" s="450"/>
    </row>
    <row r="4877" spans="1:8" ht="13.2">
      <c r="A4877" s="454" t="s">
        <v>1709</v>
      </c>
      <c r="B4877" s="452" t="str">
        <f>VLOOKUP(A4877,'Thống kê'!$C$3:$D$669,2,0)</f>
        <v xml:space="preserve">Bao lì xì </v>
      </c>
      <c r="C4877" s="436" t="str">
        <f>VLOOKUP(A4877,'Thống kê'!$C$3:$E$682,3,0)</f>
        <v>set 6 cái</v>
      </c>
      <c r="D4877" s="437">
        <f>VLOOKUP(A4877,'Thống kê'!$C$3:$M$682,4,0)</f>
        <v>14500</v>
      </c>
      <c r="E4877" s="438">
        <v>1</v>
      </c>
      <c r="F4877" s="439">
        <f t="shared" si="19"/>
        <v>14500</v>
      </c>
      <c r="G4877" s="440"/>
      <c r="H4877" s="447">
        <v>160000</v>
      </c>
    </row>
    <row r="4878" spans="1:8" ht="13.2">
      <c r="A4878" s="454" t="s">
        <v>1710</v>
      </c>
      <c r="B4878" s="452" t="str">
        <f>VLOOKUP(A4878,'Thống kê'!$C$3:$D$669,2,0)</f>
        <v xml:space="preserve">Bao lì xì </v>
      </c>
      <c r="C4878" s="436" t="str">
        <f>VLOOKUP(A4878,'Thống kê'!$C$3:$E$682,3,0)</f>
        <v>set 6 cái</v>
      </c>
      <c r="D4878" s="437">
        <f>VLOOKUP(A4878,'Thống kê'!$C$3:$M$682,4,0)</f>
        <v>14500</v>
      </c>
      <c r="E4878" s="438">
        <v>1</v>
      </c>
      <c r="F4878" s="439">
        <f t="shared" si="19"/>
        <v>14500</v>
      </c>
      <c r="G4878" s="440"/>
      <c r="H4878" s="450"/>
    </row>
    <row r="4879" spans="1:8" ht="13.2">
      <c r="A4879" s="454" t="s">
        <v>116</v>
      </c>
      <c r="B4879" s="452" t="str">
        <f>VLOOKUP(A4879,'Thống kê'!$C$3:$D$669,2,0)</f>
        <v>heo ú cầm hoa</v>
      </c>
      <c r="C4879" s="436" t="str">
        <f>VLOOKUP(A4879,'Thống kê'!$C$3:$E$682,3,0)</f>
        <v>cái</v>
      </c>
      <c r="D4879" s="437">
        <f>VLOOKUP(A4879,'Thống kê'!$C$3:$M$682,4,0)</f>
        <v>64500</v>
      </c>
      <c r="E4879" s="438">
        <v>1</v>
      </c>
      <c r="F4879" s="439">
        <f t="shared" si="19"/>
        <v>64500</v>
      </c>
      <c r="G4879" s="440"/>
      <c r="H4879" s="450"/>
    </row>
    <row r="4880" spans="1:8" ht="13.2">
      <c r="A4880" s="454" t="s">
        <v>1621</v>
      </c>
      <c r="B4880" s="452" t="str">
        <f>VLOOKUP(A4880,'Thống kê'!$C$3:$D$669,2,0)</f>
        <v>Mô hình mèo 2</v>
      </c>
      <c r="C4880" s="436" t="str">
        <f>VLOOKUP(A4880,'Thống kê'!$C$3:$E$682,3,0)</f>
        <v>cái</v>
      </c>
      <c r="D4880" s="437">
        <f>VLOOKUP(A4880,'Thống kê'!$C$3:$M$682,4,0)</f>
        <v>37800</v>
      </c>
      <c r="E4880" s="438">
        <v>1</v>
      </c>
      <c r="F4880" s="439">
        <f t="shared" si="19"/>
        <v>37800</v>
      </c>
      <c r="G4880" s="440"/>
      <c r="H4880" s="450"/>
    </row>
    <row r="4881" spans="1:8" ht="13.2">
      <c r="A4881" s="454" t="s">
        <v>1623</v>
      </c>
      <c r="B4881" s="452" t="str">
        <f>VLOOKUP(A4881,'Thống kê'!$C$3:$D$669,2,0)</f>
        <v>Mô hình mèo 5</v>
      </c>
      <c r="C4881" s="436" t="str">
        <f>VLOOKUP(A4881,'Thống kê'!$C$3:$E$682,3,0)</f>
        <v>cái</v>
      </c>
      <c r="D4881" s="437">
        <f>VLOOKUP(A4881,'Thống kê'!$C$3:$M$682,4,0)</f>
        <v>37800</v>
      </c>
      <c r="E4881" s="438">
        <v>1</v>
      </c>
      <c r="F4881" s="439">
        <f t="shared" si="19"/>
        <v>37800</v>
      </c>
      <c r="G4881" s="440"/>
      <c r="H4881" s="450"/>
    </row>
    <row r="4882" spans="1:8" ht="13.2">
      <c r="A4882" s="454" t="s">
        <v>1622</v>
      </c>
      <c r="B4882" s="452" t="str">
        <f>VLOOKUP(A4882,'Thống kê'!$C$3:$D$669,2,0)</f>
        <v>Mô hình mèo 1</v>
      </c>
      <c r="C4882" s="436" t="str">
        <f>VLOOKUP(A4882,'Thống kê'!$C$3:$E$682,3,0)</f>
        <v>cái</v>
      </c>
      <c r="D4882" s="437">
        <f>VLOOKUP(A4882,'Thống kê'!$C$3:$M$682,4,0)</f>
        <v>37800</v>
      </c>
      <c r="E4882" s="438">
        <v>1</v>
      </c>
      <c r="F4882" s="439">
        <f t="shared" si="19"/>
        <v>37800</v>
      </c>
      <c r="G4882" s="440"/>
      <c r="H4882" s="447">
        <v>57892</v>
      </c>
    </row>
    <row r="4883" spans="1:8" ht="13.2">
      <c r="A4883" s="454" t="s">
        <v>1623</v>
      </c>
      <c r="B4883" s="452" t="str">
        <f>VLOOKUP(A4883,'Thống kê'!$C$3:$D$669,2,0)</f>
        <v>Mô hình mèo 5</v>
      </c>
      <c r="C4883" s="436" t="str">
        <f>VLOOKUP(A4883,'Thống kê'!$C$3:$E$682,3,0)</f>
        <v>cái</v>
      </c>
      <c r="D4883" s="437">
        <f>VLOOKUP(A4883,'Thống kê'!$C$3:$M$682,4,0)</f>
        <v>37800</v>
      </c>
      <c r="E4883" s="438">
        <v>1</v>
      </c>
      <c r="F4883" s="439">
        <f t="shared" si="19"/>
        <v>37800</v>
      </c>
      <c r="G4883" s="440"/>
      <c r="H4883" s="450"/>
    </row>
    <row r="4884" spans="1:8" ht="13.2">
      <c r="A4884" s="454" t="s">
        <v>1424</v>
      </c>
      <c r="B4884" s="452" t="str">
        <f>VLOOKUP(A4884,'Thống kê'!$C$3:$D$669,2,0)</f>
        <v>Móc khoá Crybaby mini Popmart</v>
      </c>
      <c r="C4884" s="436" t="str">
        <f>VLOOKUP(A4884,'Thống kê'!$C$3:$E$682,3,0)</f>
        <v>cái</v>
      </c>
      <c r="D4884" s="437">
        <f>VLOOKUP(A4884,'Thống kê'!$C$3:$M$682,4,0)</f>
        <v>145000</v>
      </c>
      <c r="E4884" s="438">
        <v>1</v>
      </c>
      <c r="F4884" s="439">
        <f t="shared" si="19"/>
        <v>145000</v>
      </c>
      <c r="G4884" s="440"/>
      <c r="H4884" s="447">
        <v>196898</v>
      </c>
    </row>
    <row r="4885" spans="1:8" ht="13.2">
      <c r="A4885" s="454" t="s">
        <v>1425</v>
      </c>
      <c r="B4885" s="452" t="str">
        <f>VLOOKUP(A4885,'Thống kê'!$C$3:$D$669,2,0)</f>
        <v>Móc khoá Crybaby mini Popmart</v>
      </c>
      <c r="C4885" s="436" t="str">
        <f>VLOOKUP(A4885,'Thống kê'!$C$3:$E$682,3,0)</f>
        <v>cái</v>
      </c>
      <c r="D4885" s="437">
        <f>VLOOKUP(A4885,'Thống kê'!$C$3:$M$682,4,0)</f>
        <v>145000</v>
      </c>
      <c r="E4885" s="438">
        <v>1</v>
      </c>
      <c r="F4885" s="439">
        <f t="shared" si="19"/>
        <v>145000</v>
      </c>
      <c r="G4885" s="440"/>
      <c r="H4885" s="450"/>
    </row>
    <row r="4886" spans="1:8" ht="13.2">
      <c r="A4886" s="454" t="s">
        <v>1210</v>
      </c>
      <c r="B4886" s="452" t="str">
        <f>VLOOKUP(A4886,'Thống kê'!$C$3:$D$669,2,0)</f>
        <v>Shiba ú cầm hoa</v>
      </c>
      <c r="C4886" s="436" t="str">
        <f>VLOOKUP(A4886,'Thống kê'!$C$3:$E$682,3,0)</f>
        <v>cái</v>
      </c>
      <c r="D4886" s="437">
        <f>VLOOKUP(A4886,'Thống kê'!$C$3:$M$682,4,0)</f>
        <v>64500</v>
      </c>
      <c r="E4886" s="438">
        <v>1</v>
      </c>
      <c r="F4886" s="439">
        <f t="shared" si="19"/>
        <v>64500</v>
      </c>
      <c r="G4886" s="440"/>
      <c r="H4886" s="448">
        <v>58630</v>
      </c>
    </row>
    <row r="4887" spans="1:8" ht="13.2">
      <c r="A4887" s="454" t="s">
        <v>1384</v>
      </c>
      <c r="B4887" s="452" t="str">
        <f>VLOOKUP(A4887,'Thống kê'!$C$3:$D$669,2,0)</f>
        <v>Móc khoá Crybaby mini Popmart</v>
      </c>
      <c r="C4887" s="436" t="str">
        <f>VLOOKUP(A4887,'Thống kê'!$C$3:$E$682,3,0)</f>
        <v>cái</v>
      </c>
      <c r="D4887" s="437">
        <f>VLOOKUP(A4887,'Thống kê'!$C$3:$M$682,4,0)</f>
        <v>0</v>
      </c>
      <c r="E4887" s="438">
        <v>1</v>
      </c>
      <c r="F4887" s="439">
        <f t="shared" si="19"/>
        <v>0</v>
      </c>
      <c r="G4887" s="440"/>
      <c r="H4887" s="448">
        <v>118900</v>
      </c>
    </row>
    <row r="4888" spans="1:8" ht="13.2">
      <c r="A4888" s="454" t="s">
        <v>1660</v>
      </c>
      <c r="B4888" s="452" t="str">
        <f>VLOOKUP(A4888,'Thống kê'!$C$3:$D$669,2,0)</f>
        <v>Móc khóa Popbean Skull Panda</v>
      </c>
      <c r="C4888" s="436" t="str">
        <f>VLOOKUP(A4888,'Thống kê'!$C$3:$E$682,3,0)</f>
        <v>cái</v>
      </c>
      <c r="D4888" s="437">
        <f>VLOOKUP(A4888,'Thống kê'!$C$3:$M$682,4,0)</f>
        <v>155000</v>
      </c>
      <c r="E4888" s="438">
        <v>1</v>
      </c>
      <c r="F4888" s="439">
        <f t="shared" si="19"/>
        <v>155000</v>
      </c>
      <c r="G4888" s="440"/>
      <c r="H4888" s="447">
        <v>351370</v>
      </c>
    </row>
    <row r="4889" spans="1:8" ht="13.2">
      <c r="A4889" s="454" t="s">
        <v>1687</v>
      </c>
      <c r="B4889" s="452">
        <f>VLOOKUP(A4889,'Thống kê'!$C$3:$D$669,2,0)</f>
        <v>0</v>
      </c>
      <c r="C4889" s="436">
        <f>VLOOKUP(A4889,'Thống kê'!$C$3:$E$682,3,0)</f>
        <v>0</v>
      </c>
      <c r="D4889" s="437">
        <f>VLOOKUP(A4889,'Thống kê'!$C$3:$M$682,4,0)</f>
        <v>0</v>
      </c>
      <c r="E4889" s="438">
        <v>2</v>
      </c>
      <c r="F4889" s="439">
        <f t="shared" si="19"/>
        <v>0</v>
      </c>
      <c r="G4889" s="440"/>
      <c r="H4889" s="450"/>
    </row>
    <row r="4890" spans="1:8" ht="13.2">
      <c r="A4890" s="454" t="s">
        <v>1696</v>
      </c>
      <c r="B4890" s="452" t="str">
        <f>VLOOKUP(A4890,'Thống kê'!$C$3:$D$669,2,0)</f>
        <v>gấu</v>
      </c>
      <c r="C4890" s="436" t="str">
        <f>VLOOKUP(A4890,'Thống kê'!$C$3:$E$682,3,0)</f>
        <v>cái</v>
      </c>
      <c r="D4890" s="437">
        <f>VLOOKUP(A4890,'Thống kê'!$C$3:$M$682,4,0)</f>
        <v>35000</v>
      </c>
      <c r="E4890" s="438">
        <v>1</v>
      </c>
      <c r="F4890" s="439">
        <f t="shared" si="19"/>
        <v>35000</v>
      </c>
      <c r="G4890" s="440"/>
      <c r="H4890" s="447">
        <v>47550</v>
      </c>
    </row>
    <row r="4891" spans="1:8" ht="13.2">
      <c r="A4891" s="454" t="s">
        <v>94</v>
      </c>
      <c r="B4891" s="452" t="str">
        <f>VLOOKUP(A4891,'Thống kê'!$C$3:$D$669,2,0)</f>
        <v>thỏ</v>
      </c>
      <c r="C4891" s="436" t="str">
        <f>VLOOKUP(A4891,'Thống kê'!$C$3:$E$682,3,0)</f>
        <v>cái</v>
      </c>
      <c r="D4891" s="437">
        <f>VLOOKUP(A4891,'Thống kê'!$C$3:$M$682,4,0)</f>
        <v>35000</v>
      </c>
      <c r="E4891" s="438">
        <v>1</v>
      </c>
      <c r="F4891" s="439">
        <f t="shared" si="19"/>
        <v>35000</v>
      </c>
      <c r="G4891" s="440"/>
      <c r="H4891" s="450"/>
    </row>
    <row r="4892" spans="1:8" ht="13.2">
      <c r="A4892" s="454" t="s">
        <v>1594</v>
      </c>
      <c r="B4892" s="452" t="str">
        <f>VLOOKUP(A4892,'Thống kê'!$C$3:$D$669,2,0)</f>
        <v>Móc khóa đôi heo</v>
      </c>
      <c r="C4892" s="436" t="str">
        <f>VLOOKUP(A4892,'Thống kê'!$C$3:$E$682,3,0)</f>
        <v>cái</v>
      </c>
      <c r="D4892" s="437">
        <f>VLOOKUP(A4892,'Thống kê'!$C$3:$M$682,4,0)</f>
        <v>56580</v>
      </c>
      <c r="E4892" s="438">
        <v>1</v>
      </c>
      <c r="F4892" s="439">
        <f t="shared" si="19"/>
        <v>56580</v>
      </c>
      <c r="G4892" s="440"/>
      <c r="H4892" s="448">
        <v>46330</v>
      </c>
    </row>
    <row r="4893" spans="1:8" ht="13.2">
      <c r="A4893" s="454" t="s">
        <v>186</v>
      </c>
      <c r="B4893" s="452" t="str">
        <f>VLOOKUP(A4893,'Thống kê'!$C$3:$D$669,2,0)</f>
        <v>Thỏ ú bay</v>
      </c>
      <c r="C4893" s="436" t="str">
        <f>VLOOKUP(A4893,'Thống kê'!$C$3:$E$682,3,0)</f>
        <v>cái</v>
      </c>
      <c r="D4893" s="437">
        <f>VLOOKUP(A4893,'Thống kê'!$C$3:$M$682,4,0)</f>
        <v>64500</v>
      </c>
      <c r="E4893" s="438">
        <v>1</v>
      </c>
      <c r="F4893" s="439">
        <f t="shared" si="19"/>
        <v>64500</v>
      </c>
      <c r="G4893" s="440"/>
      <c r="H4893" s="447">
        <v>118900</v>
      </c>
    </row>
    <row r="4894" spans="1:8" ht="13.2">
      <c r="A4894" s="454" t="s">
        <v>1210</v>
      </c>
      <c r="B4894" s="452" t="str">
        <f>VLOOKUP(A4894,'Thống kê'!$C$3:$D$669,2,0)</f>
        <v>Shiba ú cầm hoa</v>
      </c>
      <c r="C4894" s="436" t="str">
        <f>VLOOKUP(A4894,'Thống kê'!$C$3:$E$682,3,0)</f>
        <v>cái</v>
      </c>
      <c r="D4894" s="437">
        <f>VLOOKUP(A4894,'Thống kê'!$C$3:$M$682,4,0)</f>
        <v>64500</v>
      </c>
      <c r="E4894" s="438">
        <v>1</v>
      </c>
      <c r="F4894" s="439">
        <f t="shared" si="19"/>
        <v>64500</v>
      </c>
      <c r="G4894" s="440"/>
      <c r="H4894" s="450"/>
    </row>
    <row r="4895" spans="1:8" ht="13.2">
      <c r="A4895" s="454" t="s">
        <v>1639</v>
      </c>
      <c r="B4895" s="452" t="str">
        <f>VLOOKUP(A4895,'Thống kê'!$C$3:$D$669,2,0)</f>
        <v>Móc khóa đôi Puppy</v>
      </c>
      <c r="C4895" s="436" t="str">
        <f>VLOOKUP(A4895,'Thống kê'!$C$3:$E$682,3,0)</f>
        <v>cái</v>
      </c>
      <c r="D4895" s="437">
        <f>VLOOKUP(A4895,'Thống kê'!$C$3:$M$682,4,0)</f>
        <v>59000</v>
      </c>
      <c r="E4895" s="438">
        <v>1</v>
      </c>
      <c r="F4895" s="439">
        <f t="shared" si="19"/>
        <v>59000</v>
      </c>
      <c r="G4895" s="440"/>
      <c r="H4895" s="448">
        <v>44280</v>
      </c>
    </row>
    <row r="4896" spans="1:8" ht="13.2">
      <c r="A4896" s="454" t="s">
        <v>1384</v>
      </c>
      <c r="B4896" s="452" t="str">
        <f>VLOOKUP(A4896,'Thống kê'!$C$3:$D$669,2,0)</f>
        <v>Móc khoá Crybaby mini Popmart</v>
      </c>
      <c r="C4896" s="436" t="str">
        <f>VLOOKUP(A4896,'Thống kê'!$C$3:$E$682,3,0)</f>
        <v>cái</v>
      </c>
      <c r="D4896" s="437">
        <f>VLOOKUP(A4896,'Thống kê'!$C$3:$M$682,4,0)</f>
        <v>0</v>
      </c>
      <c r="E4896" s="438">
        <v>1</v>
      </c>
      <c r="F4896" s="439">
        <f t="shared" si="19"/>
        <v>0</v>
      </c>
      <c r="G4896" s="440"/>
      <c r="H4896" s="448">
        <v>118900</v>
      </c>
    </row>
    <row r="4897" spans="1:8" ht="13.2">
      <c r="A4897" s="454" t="s">
        <v>1764</v>
      </c>
      <c r="B4897" s="452">
        <f>VLOOKUP(A4897,'Thống kê'!$C$3:$D$669,2,0)</f>
        <v>0</v>
      </c>
      <c r="C4897" s="436">
        <f>VLOOKUP(A4897,'Thống kê'!$C$3:$E$682,3,0)</f>
        <v>0</v>
      </c>
      <c r="D4897" s="437">
        <f>VLOOKUP(A4897,'Thống kê'!$C$3:$M$682,4,0)</f>
        <v>0</v>
      </c>
      <c r="E4897" s="438">
        <v>1</v>
      </c>
      <c r="F4897" s="439">
        <f t="shared" si="19"/>
        <v>0</v>
      </c>
      <c r="G4897" s="440"/>
      <c r="H4897" s="448">
        <v>79777</v>
      </c>
    </row>
    <row r="4898" spans="1:8" ht="13.2">
      <c r="A4898" s="454" t="s">
        <v>245</v>
      </c>
      <c r="B4898" s="452" t="str">
        <f>VLOOKUP(A4898,'Thống kê'!$C$3:$D$669,2,0)</f>
        <v>Móc khóa Popbean</v>
      </c>
      <c r="C4898" s="436" t="str">
        <f>VLOOKUP(A4898,'Thống kê'!$C$3:$E$682,3,0)</f>
        <v>cái</v>
      </c>
      <c r="D4898" s="437">
        <f>VLOOKUP(A4898,'Thống kê'!$C$3:$M$682,4,0)</f>
        <v>148000</v>
      </c>
      <c r="E4898" s="438">
        <v>1</v>
      </c>
      <c r="F4898" s="439">
        <f t="shared" si="19"/>
        <v>148000</v>
      </c>
      <c r="G4898" s="440"/>
      <c r="H4898" s="448">
        <v>128740</v>
      </c>
    </row>
    <row r="4899" spans="1:8" ht="13.2">
      <c r="A4899" s="454" t="s">
        <v>1710</v>
      </c>
      <c r="B4899" s="452" t="str">
        <f>VLOOKUP(A4899,'Thống kê'!$C$3:$D$669,2,0)</f>
        <v xml:space="preserve">Bao lì xì </v>
      </c>
      <c r="C4899" s="436" t="str">
        <f>VLOOKUP(A4899,'Thống kê'!$C$3:$E$682,3,0)</f>
        <v>set 6 cái</v>
      </c>
      <c r="D4899" s="437">
        <f>VLOOKUP(A4899,'Thống kê'!$C$3:$M$682,4,0)</f>
        <v>14500</v>
      </c>
      <c r="E4899" s="438">
        <v>1</v>
      </c>
      <c r="F4899" s="439">
        <f t="shared" si="19"/>
        <v>14500</v>
      </c>
      <c r="G4899" s="440"/>
      <c r="H4899" s="448">
        <v>39442</v>
      </c>
    </row>
    <row r="4900" spans="1:8" ht="13.2">
      <c r="A4900" s="454" t="s">
        <v>1384</v>
      </c>
      <c r="B4900" s="452" t="str">
        <f>VLOOKUP(A4900,'Thống kê'!$C$3:$D$669,2,0)</f>
        <v>Móc khoá Crybaby mini Popmart</v>
      </c>
      <c r="C4900" s="436" t="str">
        <f>VLOOKUP(A4900,'Thống kê'!$C$3:$E$682,3,0)</f>
        <v>cái</v>
      </c>
      <c r="D4900" s="437">
        <f>VLOOKUP(A4900,'Thống kê'!$C$3:$M$682,4,0)</f>
        <v>0</v>
      </c>
      <c r="E4900" s="438">
        <v>1</v>
      </c>
      <c r="F4900" s="439">
        <f t="shared" ref="F4900:F4995" si="20">D4900*E4900</f>
        <v>0</v>
      </c>
      <c r="G4900" s="440"/>
      <c r="H4900" s="448">
        <v>118900</v>
      </c>
    </row>
    <row r="4901" spans="1:8" ht="13.2">
      <c r="A4901" s="454" t="s">
        <v>1343</v>
      </c>
      <c r="B4901" s="452" t="str">
        <f>VLOOKUP(A4901,'Thống kê'!$C$3:$D$669,2,0)</f>
        <v>Móc khóa chuối</v>
      </c>
      <c r="C4901" s="436" t="str">
        <f>VLOOKUP(A4901,'Thống kê'!$C$3:$E$682,3,0)</f>
        <v>cái</v>
      </c>
      <c r="D4901" s="437">
        <f>VLOOKUP(A4901,'Thống kê'!$C$3:$M$682,4,0)</f>
        <v>148000</v>
      </c>
      <c r="E4901" s="438">
        <v>1</v>
      </c>
      <c r="F4901" s="439">
        <f t="shared" si="20"/>
        <v>148000</v>
      </c>
      <c r="G4901" s="440"/>
      <c r="H4901" s="448">
        <v>79777</v>
      </c>
    </row>
    <row r="4902" spans="1:8" ht="13.2">
      <c r="A4902" s="454" t="s">
        <v>1706</v>
      </c>
      <c r="B4902" s="452" t="str">
        <f>VLOOKUP(A4902,'Thống kê'!$C$3:$D$669,2,0)</f>
        <v>Bao lì xì</v>
      </c>
      <c r="C4902" s="436" t="str">
        <f>VLOOKUP(A4902,'Thống kê'!$C$3:$E$682,3,0)</f>
        <v>túi 4 cái</v>
      </c>
      <c r="D4902" s="437">
        <f>VLOOKUP(A4902,'Thống kê'!$C$3:$M$682,4,0)</f>
        <v>14500</v>
      </c>
      <c r="E4902" s="438">
        <v>1</v>
      </c>
      <c r="F4902" s="439">
        <f t="shared" si="20"/>
        <v>14500</v>
      </c>
      <c r="G4902" s="440"/>
      <c r="H4902" s="447">
        <v>48298</v>
      </c>
    </row>
    <row r="4903" spans="1:8" ht="13.2">
      <c r="A4903" s="454" t="s">
        <v>1707</v>
      </c>
      <c r="B4903" s="452" t="str">
        <f>VLOOKUP(A4903,'Thống kê'!$C$3:$D$669,2,0)</f>
        <v xml:space="preserve">Bao lì xì </v>
      </c>
      <c r="C4903" s="436" t="str">
        <f>VLOOKUP(A4903,'Thống kê'!$C$3:$E$682,3,0)</f>
        <v>túi 4 cái</v>
      </c>
      <c r="D4903" s="437">
        <f>VLOOKUP(A4903,'Thống kê'!$C$3:$M$682,4,0)</f>
        <v>14500</v>
      </c>
      <c r="E4903" s="438">
        <v>1</v>
      </c>
      <c r="F4903" s="439">
        <f t="shared" si="20"/>
        <v>14500</v>
      </c>
      <c r="G4903" s="440"/>
      <c r="H4903" s="450"/>
    </row>
    <row r="4904" spans="1:8" ht="13.2">
      <c r="A4904" s="454" t="s">
        <v>1708</v>
      </c>
      <c r="B4904" s="452" t="str">
        <f>VLOOKUP(A4904,'Thống kê'!$C$3:$D$669,2,0)</f>
        <v xml:space="preserve">Bao lì xì </v>
      </c>
      <c r="C4904" s="436" t="str">
        <f>VLOOKUP(A4904,'Thống kê'!$C$3:$E$682,3,0)</f>
        <v>set 6 cái</v>
      </c>
      <c r="D4904" s="437">
        <f>VLOOKUP(A4904,'Thống kê'!$C$3:$M$682,4,0)</f>
        <v>14500</v>
      </c>
      <c r="E4904" s="438">
        <v>1</v>
      </c>
      <c r="F4904" s="439">
        <f t="shared" si="20"/>
        <v>14500</v>
      </c>
      <c r="G4904" s="440"/>
      <c r="H4904" s="450"/>
    </row>
    <row r="4905" spans="1:8" ht="13.2">
      <c r="A4905" s="454" t="s">
        <v>1709</v>
      </c>
      <c r="B4905" s="452" t="str">
        <f>VLOOKUP(A4905,'Thống kê'!$C$3:$D$669,2,0)</f>
        <v xml:space="preserve">Bao lì xì </v>
      </c>
      <c r="C4905" s="436" t="str">
        <f>VLOOKUP(A4905,'Thống kê'!$C$3:$E$682,3,0)</f>
        <v>set 6 cái</v>
      </c>
      <c r="D4905" s="437">
        <f>VLOOKUP(A4905,'Thống kê'!$C$3:$M$682,4,0)</f>
        <v>14500</v>
      </c>
      <c r="E4905" s="438">
        <v>1</v>
      </c>
      <c r="F4905" s="439">
        <f t="shared" si="20"/>
        <v>14500</v>
      </c>
      <c r="G4905" s="440"/>
      <c r="H4905" s="450"/>
    </row>
    <row r="4906" spans="1:8" ht="13.2">
      <c r="A4906" s="454" t="s">
        <v>1774</v>
      </c>
      <c r="B4906" s="452" t="str">
        <f>VLOOKUP(A4906,'Thống kê'!$C$3:$D$669,2,0)</f>
        <v>bao lì xì Tết 2025</v>
      </c>
      <c r="C4906" s="436" t="str">
        <f>VLOOKUP(A4906,'Thống kê'!$C$3:$E$682,3,0)</f>
        <v>túi</v>
      </c>
      <c r="D4906" s="437">
        <f>VLOOKUP(A4906,'Thống kê'!$C$3:$M$682,4,0)</f>
        <v>0</v>
      </c>
      <c r="E4906" s="438">
        <v>1</v>
      </c>
      <c r="F4906" s="439">
        <f t="shared" si="20"/>
        <v>0</v>
      </c>
      <c r="G4906" s="440"/>
      <c r="H4906" s="447">
        <v>15580</v>
      </c>
    </row>
    <row r="4907" spans="1:8" ht="13.2">
      <c r="A4907" s="454" t="s">
        <v>1767</v>
      </c>
      <c r="B4907" s="452" t="str">
        <f>VLOOKUP(A4907,'Thống kê'!$C$3:$D$669,2,0)</f>
        <v>bao lì xì Tết 2025</v>
      </c>
      <c r="C4907" s="436" t="str">
        <f>VLOOKUP(A4907,'Thống kê'!$C$3:$E$682,3,0)</f>
        <v>túi</v>
      </c>
      <c r="D4907" s="437">
        <f>VLOOKUP(A4907,'Thống kê'!$C$3:$M$682,4,0)</f>
        <v>0</v>
      </c>
      <c r="E4907" s="438">
        <v>1</v>
      </c>
      <c r="F4907" s="439">
        <f t="shared" si="20"/>
        <v>0</v>
      </c>
      <c r="G4907" s="440"/>
      <c r="H4907" s="450"/>
    </row>
    <row r="4908" spans="1:8" ht="13.2">
      <c r="A4908" s="454" t="s">
        <v>1708</v>
      </c>
      <c r="B4908" s="452" t="str">
        <f>VLOOKUP(A4908,'Thống kê'!$C$3:$D$669,2,0)</f>
        <v xml:space="preserve">Bao lì xì </v>
      </c>
      <c r="C4908" s="436" t="str">
        <f>VLOOKUP(A4908,'Thống kê'!$C$3:$E$682,3,0)</f>
        <v>set 6 cái</v>
      </c>
      <c r="D4908" s="437">
        <f>VLOOKUP(A4908,'Thống kê'!$C$3:$M$682,4,0)</f>
        <v>14500</v>
      </c>
      <c r="E4908" s="438">
        <v>2</v>
      </c>
      <c r="F4908" s="439">
        <f t="shared" si="20"/>
        <v>29000</v>
      </c>
      <c r="G4908" s="440"/>
      <c r="H4908" s="448">
        <v>25830</v>
      </c>
    </row>
    <row r="4909" spans="1:8" ht="13.2">
      <c r="A4909" s="454" t="s">
        <v>1621</v>
      </c>
      <c r="B4909" s="452" t="str">
        <f>VLOOKUP(A4909,'Thống kê'!$C$3:$D$669,2,0)</f>
        <v>Mô hình mèo 2</v>
      </c>
      <c r="C4909" s="436" t="str">
        <f>VLOOKUP(A4909,'Thống kê'!$C$3:$E$682,3,0)</f>
        <v>cái</v>
      </c>
      <c r="D4909" s="437">
        <f>VLOOKUP(A4909,'Thống kê'!$C$3:$M$682,4,0)</f>
        <v>37800</v>
      </c>
      <c r="E4909" s="438">
        <v>1</v>
      </c>
      <c r="F4909" s="439">
        <f t="shared" si="20"/>
        <v>37800</v>
      </c>
      <c r="G4909" s="440"/>
      <c r="H4909" s="447">
        <v>57892</v>
      </c>
    </row>
    <row r="4910" spans="1:8" ht="13.2">
      <c r="A4910" s="454" t="s">
        <v>1635</v>
      </c>
      <c r="B4910" s="452" t="str">
        <f>VLOOKUP(A4910,'Thống kê'!$C$3:$D$669,2,0)</f>
        <v>Mô hình mèo 4</v>
      </c>
      <c r="C4910" s="436" t="str">
        <f>VLOOKUP(A4910,'Thống kê'!$C$3:$E$682,3,0)</f>
        <v>cái</v>
      </c>
      <c r="D4910" s="437">
        <f>VLOOKUP(A4910,'Thống kê'!$C$3:$M$682,4,0)</f>
        <v>37800</v>
      </c>
      <c r="E4910" s="438">
        <v>1</v>
      </c>
      <c r="F4910" s="439">
        <f t="shared" si="20"/>
        <v>37800</v>
      </c>
      <c r="G4910" s="440"/>
      <c r="H4910" s="450"/>
    </row>
    <row r="4911" spans="1:8" ht="13.2">
      <c r="A4911" s="454" t="s">
        <v>1384</v>
      </c>
      <c r="B4911" s="452" t="str">
        <f>VLOOKUP(A4911,'Thống kê'!$C$3:$D$669,2,0)</f>
        <v>Móc khoá Crybaby mini Popmart</v>
      </c>
      <c r="C4911" s="436" t="str">
        <f>VLOOKUP(A4911,'Thống kê'!$C$3:$E$682,3,0)</f>
        <v>cái</v>
      </c>
      <c r="D4911" s="437">
        <f>VLOOKUP(A4911,'Thống kê'!$C$3:$M$682,4,0)</f>
        <v>0</v>
      </c>
      <c r="E4911" s="438">
        <v>1</v>
      </c>
      <c r="F4911" s="439">
        <f t="shared" si="20"/>
        <v>0</v>
      </c>
      <c r="G4911" s="440"/>
      <c r="H4911" s="448">
        <v>118900</v>
      </c>
    </row>
    <row r="4912" spans="1:8" ht="13.2">
      <c r="A4912" s="454" t="s">
        <v>1387</v>
      </c>
      <c r="B4912" s="452" t="str">
        <f>VLOOKUP(A4912,'Thống kê'!$C$3:$D$669,2,0)</f>
        <v>Móc khoá Crybaby mini Popmart</v>
      </c>
      <c r="C4912" s="436" t="str">
        <f>VLOOKUP(A4912,'Thống kê'!$C$3:$E$682,3,0)</f>
        <v>cái</v>
      </c>
      <c r="D4912" s="437">
        <f>VLOOKUP(A4912,'Thống kê'!$C$3:$M$682,4,0)</f>
        <v>0</v>
      </c>
      <c r="E4912" s="438">
        <v>7</v>
      </c>
      <c r="F4912" s="439">
        <f t="shared" si="20"/>
        <v>0</v>
      </c>
      <c r="G4912" s="440"/>
      <c r="H4912" s="447">
        <v>1890100</v>
      </c>
    </row>
    <row r="4913" spans="1:8" ht="13.2">
      <c r="A4913" s="454" t="s">
        <v>1384</v>
      </c>
      <c r="B4913" s="452" t="str">
        <f>VLOOKUP(A4913,'Thống kê'!$C$3:$D$669,2,0)</f>
        <v>Móc khoá Crybaby mini Popmart</v>
      </c>
      <c r="C4913" s="436" t="str">
        <f>VLOOKUP(A4913,'Thống kê'!$C$3:$E$682,3,0)</f>
        <v>cái</v>
      </c>
      <c r="D4913" s="437">
        <f>VLOOKUP(A4913,'Thống kê'!$C$3:$M$682,4,0)</f>
        <v>0</v>
      </c>
      <c r="E4913" s="438">
        <v>3</v>
      </c>
      <c r="F4913" s="439">
        <f t="shared" si="20"/>
        <v>0</v>
      </c>
      <c r="G4913" s="440"/>
      <c r="H4913" s="450"/>
    </row>
    <row r="4914" spans="1:8" ht="13.2">
      <c r="A4914" s="454" t="s">
        <v>1424</v>
      </c>
      <c r="B4914" s="452" t="str">
        <f>VLOOKUP(A4914,'Thống kê'!$C$3:$D$669,2,0)</f>
        <v>Móc khoá Crybaby mini Popmart</v>
      </c>
      <c r="C4914" s="436" t="str">
        <f>VLOOKUP(A4914,'Thống kê'!$C$3:$E$682,3,0)</f>
        <v>cái</v>
      </c>
      <c r="D4914" s="437">
        <f>VLOOKUP(A4914,'Thống kê'!$C$3:$M$682,4,0)</f>
        <v>145000</v>
      </c>
      <c r="E4914" s="438">
        <v>6</v>
      </c>
      <c r="F4914" s="439">
        <f t="shared" si="20"/>
        <v>870000</v>
      </c>
      <c r="G4914" s="440"/>
      <c r="H4914" s="450"/>
    </row>
    <row r="4915" spans="1:8" ht="13.2">
      <c r="A4915" s="454" t="s">
        <v>1624</v>
      </c>
      <c r="B4915" s="452" t="str">
        <f>VLOOKUP(A4915,'Thống kê'!$C$3:$D$669,2,0)</f>
        <v>Móc khóa mèo trái tim</v>
      </c>
      <c r="C4915" s="436" t="str">
        <f>VLOOKUP(A4915,'Thống kê'!$C$3:$E$682,3,0)</f>
        <v>cái</v>
      </c>
      <c r="D4915" s="437">
        <f>VLOOKUP(A4915,'Thống kê'!$C$3:$M$682,4,0)</f>
        <v>59000</v>
      </c>
      <c r="E4915" s="438">
        <v>1</v>
      </c>
      <c r="F4915" s="439">
        <f t="shared" si="20"/>
        <v>59000</v>
      </c>
      <c r="G4915" s="440"/>
      <c r="H4915" s="448">
        <v>44280</v>
      </c>
    </row>
    <row r="4916" spans="1:8" ht="13.2">
      <c r="A4916" s="454" t="s">
        <v>1595</v>
      </c>
      <c r="B4916" s="452" t="str">
        <f>VLOOKUP(A4916,'Thống kê'!$C$3:$D$669,2,0)</f>
        <v>Dao rọc giấy 08</v>
      </c>
      <c r="C4916" s="436" t="str">
        <f>VLOOKUP(A4916,'Thống kê'!$C$3:$E$682,3,0)</f>
        <v>cái</v>
      </c>
      <c r="D4916" s="437">
        <f>VLOOKUP(A4916,'Thống kê'!$C$3:$M$682,4,0)</f>
        <v>12000</v>
      </c>
      <c r="E4916" s="438">
        <v>1</v>
      </c>
      <c r="F4916" s="439">
        <f t="shared" si="20"/>
        <v>12000</v>
      </c>
      <c r="G4916" s="440"/>
      <c r="H4916" s="448">
        <v>8856</v>
      </c>
    </row>
    <row r="4917" spans="1:8" ht="13.2">
      <c r="A4917" s="454" t="s">
        <v>1873</v>
      </c>
      <c r="B4917" s="452" t="str">
        <f>VLOOKUP(A4917,'Thống kê'!$C$3:$D$669,2,0)</f>
        <v>Trâm cài 26</v>
      </c>
      <c r="C4917" s="436" t="str">
        <f>VLOOKUP(A4917,'Thống kê'!$C$3:$E$682,3,0)</f>
        <v>cây</v>
      </c>
      <c r="D4917" s="437">
        <f>VLOOKUP(A4917,'Thống kê'!$C$3:$M$682,4,0)</f>
        <v>33120</v>
      </c>
      <c r="E4917" s="438">
        <v>1</v>
      </c>
      <c r="F4917" s="439">
        <f t="shared" si="20"/>
        <v>33120</v>
      </c>
      <c r="G4917" s="440"/>
      <c r="H4917" s="448">
        <v>26568</v>
      </c>
    </row>
    <row r="4918" spans="1:8" ht="13.2">
      <c r="A4918" s="454" t="s">
        <v>1384</v>
      </c>
      <c r="B4918" s="452" t="str">
        <f>VLOOKUP(A4918,'Thống kê'!$C$3:$D$669,2,0)</f>
        <v>Móc khoá Crybaby mini Popmart</v>
      </c>
      <c r="C4918" s="436" t="str">
        <f>VLOOKUP(A4918,'Thống kê'!$C$3:$E$682,3,0)</f>
        <v>cái</v>
      </c>
      <c r="D4918" s="437">
        <f>VLOOKUP(A4918,'Thống kê'!$C$3:$M$682,4,0)</f>
        <v>0</v>
      </c>
      <c r="E4918" s="438">
        <v>3</v>
      </c>
      <c r="F4918" s="439">
        <f t="shared" si="20"/>
        <v>0</v>
      </c>
      <c r="G4918" s="440"/>
      <c r="H4918" s="447">
        <v>1624420</v>
      </c>
    </row>
    <row r="4919" spans="1:8" ht="13.2">
      <c r="A4919" s="454" t="s">
        <v>1386</v>
      </c>
      <c r="B4919" s="452" t="str">
        <f>VLOOKUP(A4919,'Thống kê'!$C$3:$D$669,2,0)</f>
        <v>Móc khoá Crybaby mini Popmart</v>
      </c>
      <c r="C4919" s="436" t="str">
        <f>VLOOKUP(A4919,'Thống kê'!$C$3:$E$682,3,0)</f>
        <v>cái</v>
      </c>
      <c r="D4919" s="437">
        <f>VLOOKUP(A4919,'Thống kê'!$C$3:$M$682,4,0)</f>
        <v>0</v>
      </c>
      <c r="E4919" s="438">
        <v>3</v>
      </c>
      <c r="F4919" s="439">
        <f t="shared" si="20"/>
        <v>0</v>
      </c>
      <c r="G4919" s="440"/>
      <c r="H4919" s="450"/>
    </row>
    <row r="4920" spans="1:8" ht="13.2">
      <c r="A4920" s="454" t="s">
        <v>1388</v>
      </c>
      <c r="B4920" s="452" t="str">
        <f>VLOOKUP(A4920,'Thống kê'!$C$3:$D$669,2,0)</f>
        <v>Móc khoá Crybaby mini Popmart</v>
      </c>
      <c r="C4920" s="436" t="str">
        <f>VLOOKUP(A4920,'Thống kê'!$C$3:$E$682,3,0)</f>
        <v>cái</v>
      </c>
      <c r="D4920" s="437">
        <f>VLOOKUP(A4920,'Thống kê'!$C$3:$M$682,4,0)</f>
        <v>0</v>
      </c>
      <c r="E4920" s="438">
        <v>1</v>
      </c>
      <c r="F4920" s="439">
        <f t="shared" si="20"/>
        <v>0</v>
      </c>
      <c r="G4920" s="440"/>
      <c r="H4920" s="450"/>
    </row>
    <row r="4921" spans="1:8" ht="13.2">
      <c r="A4921" s="454" t="s">
        <v>1389</v>
      </c>
      <c r="B4921" s="452" t="str">
        <f>VLOOKUP(A4921,'Thống kê'!$C$3:$D$669,2,0)</f>
        <v>Móc khoá Crybaby mini Popmart</v>
      </c>
      <c r="C4921" s="436" t="str">
        <f>VLOOKUP(A4921,'Thống kê'!$C$3:$E$682,3,0)</f>
        <v>cái</v>
      </c>
      <c r="D4921" s="437">
        <f>VLOOKUP(A4921,'Thống kê'!$C$3:$M$682,4,0)</f>
        <v>0</v>
      </c>
      <c r="E4921" s="438">
        <v>3</v>
      </c>
      <c r="F4921" s="439">
        <f t="shared" si="20"/>
        <v>0</v>
      </c>
      <c r="G4921" s="440"/>
      <c r="H4921" s="450"/>
    </row>
    <row r="4922" spans="1:8" ht="13.2">
      <c r="A4922" s="454" t="s">
        <v>259</v>
      </c>
      <c r="B4922" s="452" t="str">
        <f>VLOOKUP(A4922,'Thống kê'!$C$3:$D$669,2,0)</f>
        <v>Móc khoá Crybaby mini Popmart</v>
      </c>
      <c r="C4922" s="436" t="str">
        <f>VLOOKUP(A4922,'Thống kê'!$C$3:$E$682,3,0)</f>
        <v>cái</v>
      </c>
      <c r="D4922" s="437">
        <f>VLOOKUP(A4922,'Thống kê'!$C$3:$M$682,4,0)</f>
        <v>0</v>
      </c>
      <c r="E4922" s="438">
        <v>3</v>
      </c>
      <c r="F4922" s="439">
        <f t="shared" si="20"/>
        <v>0</v>
      </c>
      <c r="G4922" s="440"/>
      <c r="H4922" s="450"/>
    </row>
    <row r="4923" spans="1:8" ht="13.2">
      <c r="A4923" s="454" t="s">
        <v>258</v>
      </c>
      <c r="B4923" s="452" t="str">
        <f>VLOOKUP(A4923,'Thống kê'!$C$3:$D$669,2,0)</f>
        <v>Móc khoá Crybaby mini Popmart</v>
      </c>
      <c r="C4923" s="436" t="str">
        <f>VLOOKUP(A4923,'Thống kê'!$C$3:$E$682,3,0)</f>
        <v>cái</v>
      </c>
      <c r="D4923" s="437">
        <f>VLOOKUP(A4923,'Thống kê'!$C$3:$M$682,4,0)</f>
        <v>0</v>
      </c>
      <c r="E4923" s="438">
        <v>2</v>
      </c>
      <c r="F4923" s="439">
        <f t="shared" si="20"/>
        <v>0</v>
      </c>
      <c r="G4923" s="440"/>
      <c r="H4923" s="448">
        <v>244360</v>
      </c>
    </row>
    <row r="4924" spans="1:8" ht="13.2">
      <c r="A4924" s="454" t="s">
        <v>1587</v>
      </c>
      <c r="B4924" s="452" t="str">
        <f>VLOOKUP(A4924,'Thống kê'!$C$3:$D$669,2,0)</f>
        <v>Vịt ú bay</v>
      </c>
      <c r="C4924" s="436" t="str">
        <f>VLOOKUP(A4924,'Thống kê'!$C$3:$E$682,3,0)</f>
        <v>cái</v>
      </c>
      <c r="D4924" s="437">
        <f>VLOOKUP(A4924,'Thống kê'!$C$3:$M$682,4,0)</f>
        <v>64500</v>
      </c>
      <c r="E4924" s="438">
        <v>1</v>
      </c>
      <c r="F4924" s="439">
        <f t="shared" si="20"/>
        <v>64500</v>
      </c>
      <c r="G4924" s="440"/>
      <c r="H4924" s="448">
        <v>58630</v>
      </c>
    </row>
    <row r="4925" spans="1:8" ht="13.2">
      <c r="A4925" s="454" t="s">
        <v>1384</v>
      </c>
      <c r="B4925" s="452" t="str">
        <f>VLOOKUP(A4925,'Thống kê'!$C$3:$D$669,2,0)</f>
        <v>Móc khoá Crybaby mini Popmart</v>
      </c>
      <c r="C4925" s="436" t="str">
        <f>VLOOKUP(A4925,'Thống kê'!$C$3:$E$682,3,0)</f>
        <v>cái</v>
      </c>
      <c r="D4925" s="437">
        <f>VLOOKUP(A4925,'Thống kê'!$C$3:$M$682,4,0)</f>
        <v>0</v>
      </c>
      <c r="E4925" s="438">
        <v>2</v>
      </c>
      <c r="F4925" s="439">
        <f t="shared" si="20"/>
        <v>0</v>
      </c>
      <c r="G4925" s="440"/>
      <c r="H4925" s="447">
        <v>2640000</v>
      </c>
    </row>
    <row r="4926" spans="1:8" ht="13.2">
      <c r="A4926" s="454" t="s">
        <v>1386</v>
      </c>
      <c r="B4926" s="452" t="str">
        <f>VLOOKUP(A4926,'Thống kê'!$C$3:$D$669,2,0)</f>
        <v>Móc khoá Crybaby mini Popmart</v>
      </c>
      <c r="C4926" s="436" t="str">
        <f>VLOOKUP(A4926,'Thống kê'!$C$3:$E$682,3,0)</f>
        <v>cái</v>
      </c>
      <c r="D4926" s="437">
        <f>VLOOKUP(A4926,'Thống kê'!$C$3:$M$682,4,0)</f>
        <v>0</v>
      </c>
      <c r="E4926" s="438">
        <v>2</v>
      </c>
      <c r="F4926" s="439">
        <f t="shared" si="20"/>
        <v>0</v>
      </c>
      <c r="G4926" s="440"/>
      <c r="H4926" s="450"/>
    </row>
    <row r="4927" spans="1:8" ht="13.2">
      <c r="A4927" s="454" t="s">
        <v>1387</v>
      </c>
      <c r="B4927" s="452" t="str">
        <f>VLOOKUP(A4927,'Thống kê'!$C$3:$D$669,2,0)</f>
        <v>Móc khoá Crybaby mini Popmart</v>
      </c>
      <c r="C4927" s="436" t="str">
        <f>VLOOKUP(A4927,'Thống kê'!$C$3:$E$682,3,0)</f>
        <v>cái</v>
      </c>
      <c r="D4927" s="437">
        <f>VLOOKUP(A4927,'Thống kê'!$C$3:$M$682,4,0)</f>
        <v>0</v>
      </c>
      <c r="E4927" s="438">
        <v>2</v>
      </c>
      <c r="F4927" s="439">
        <f t="shared" si="20"/>
        <v>0</v>
      </c>
      <c r="G4927" s="440"/>
      <c r="H4927" s="450"/>
    </row>
    <row r="4928" spans="1:8" ht="13.2">
      <c r="A4928" s="454" t="s">
        <v>1388</v>
      </c>
      <c r="B4928" s="452" t="str">
        <f>VLOOKUP(A4928,'Thống kê'!$C$3:$D$669,2,0)</f>
        <v>Móc khoá Crybaby mini Popmart</v>
      </c>
      <c r="C4928" s="436" t="str">
        <f>VLOOKUP(A4928,'Thống kê'!$C$3:$E$682,3,0)</f>
        <v>cái</v>
      </c>
      <c r="D4928" s="437">
        <f>VLOOKUP(A4928,'Thống kê'!$C$3:$M$682,4,0)</f>
        <v>0</v>
      </c>
      <c r="E4928" s="438">
        <v>2</v>
      </c>
      <c r="F4928" s="439">
        <f t="shared" si="20"/>
        <v>0</v>
      </c>
      <c r="G4928" s="440"/>
      <c r="H4928" s="450"/>
    </row>
    <row r="4929" spans="1:8" ht="13.2">
      <c r="A4929" s="454" t="s">
        <v>1424</v>
      </c>
      <c r="B4929" s="452" t="str">
        <f>VLOOKUP(A4929,'Thống kê'!$C$3:$D$669,2,0)</f>
        <v>Móc khoá Crybaby mini Popmart</v>
      </c>
      <c r="C4929" s="436" t="str">
        <f>VLOOKUP(A4929,'Thống kê'!$C$3:$E$682,3,0)</f>
        <v>cái</v>
      </c>
      <c r="D4929" s="437">
        <f>VLOOKUP(A4929,'Thống kê'!$C$3:$M$682,4,0)</f>
        <v>145000</v>
      </c>
      <c r="E4929" s="438">
        <v>2</v>
      </c>
      <c r="F4929" s="439">
        <f t="shared" si="20"/>
        <v>290000</v>
      </c>
      <c r="G4929" s="440"/>
      <c r="H4929" s="450"/>
    </row>
    <row r="4930" spans="1:8" ht="13.2">
      <c r="A4930" s="454" t="s">
        <v>138</v>
      </c>
      <c r="B4930" s="452" t="str">
        <f>VLOOKUP(A4930,'Thống kê'!$C$3:$D$669,2,0)</f>
        <v>Móc khoá Crybaby mini Popmart</v>
      </c>
      <c r="C4930" s="436" t="str">
        <f>VLOOKUP(A4930,'Thống kê'!$C$3:$E$682,3,0)</f>
        <v>cái</v>
      </c>
      <c r="D4930" s="437">
        <f>VLOOKUP(A4930,'Thống kê'!$C$3:$M$682,4,0)</f>
        <v>0</v>
      </c>
      <c r="E4930" s="438">
        <v>1</v>
      </c>
      <c r="F4930" s="439">
        <f t="shared" si="20"/>
        <v>0</v>
      </c>
      <c r="G4930" s="440"/>
      <c r="H4930" s="450"/>
    </row>
    <row r="4931" spans="1:8" ht="13.2">
      <c r="A4931" s="454" t="s">
        <v>1389</v>
      </c>
      <c r="B4931" s="452" t="str">
        <f>VLOOKUP(A4931,'Thống kê'!$C$3:$D$669,2,0)</f>
        <v>Móc khoá Crybaby mini Popmart</v>
      </c>
      <c r="C4931" s="436" t="str">
        <f>VLOOKUP(A4931,'Thống kê'!$C$3:$E$682,3,0)</f>
        <v>cái</v>
      </c>
      <c r="D4931" s="437">
        <f>VLOOKUP(A4931,'Thống kê'!$C$3:$M$682,4,0)</f>
        <v>0</v>
      </c>
      <c r="E4931" s="438">
        <v>1</v>
      </c>
      <c r="F4931" s="439">
        <f t="shared" si="20"/>
        <v>0</v>
      </c>
      <c r="G4931" s="440"/>
      <c r="H4931" s="450"/>
    </row>
    <row r="4932" spans="1:8" ht="13.2">
      <c r="A4932" s="454" t="s">
        <v>258</v>
      </c>
      <c r="B4932" s="452" t="str">
        <f>VLOOKUP(A4932,'Thống kê'!$C$3:$D$669,2,0)</f>
        <v>Móc khoá Crybaby mini Popmart</v>
      </c>
      <c r="C4932" s="436" t="str">
        <f>VLOOKUP(A4932,'Thống kê'!$C$3:$E$682,3,0)</f>
        <v>cái</v>
      </c>
      <c r="D4932" s="437">
        <f>VLOOKUP(A4932,'Thống kê'!$C$3:$M$682,4,0)</f>
        <v>0</v>
      </c>
      <c r="E4932" s="438">
        <v>1</v>
      </c>
      <c r="F4932" s="439">
        <f t="shared" si="20"/>
        <v>0</v>
      </c>
      <c r="G4932" s="440"/>
      <c r="H4932" s="450"/>
    </row>
    <row r="4933" spans="1:8" ht="13.2">
      <c r="A4933" s="454" t="s">
        <v>230</v>
      </c>
      <c r="B4933" s="452" t="str">
        <f>VLOOKUP(A4933,'Thống kê'!$C$3:$D$669,2,0)</f>
        <v>Móc khoá Crybaby mini Popmart</v>
      </c>
      <c r="C4933" s="436" t="str">
        <f>VLOOKUP(A4933,'Thống kê'!$C$3:$E$682,3,0)</f>
        <v>cái</v>
      </c>
      <c r="D4933" s="437">
        <f>VLOOKUP(A4933,'Thống kê'!$C$3:$M$682,4,0)</f>
        <v>0</v>
      </c>
      <c r="E4933" s="438">
        <v>1</v>
      </c>
      <c r="F4933" s="439">
        <f t="shared" si="20"/>
        <v>0</v>
      </c>
      <c r="G4933" s="440"/>
      <c r="H4933" s="450"/>
    </row>
    <row r="4934" spans="1:8" ht="13.2">
      <c r="A4934" s="454" t="s">
        <v>259</v>
      </c>
      <c r="B4934" s="452" t="str">
        <f>VLOOKUP(A4934,'Thống kê'!$C$3:$D$669,2,0)</f>
        <v>Móc khoá Crybaby mini Popmart</v>
      </c>
      <c r="C4934" s="436" t="str">
        <f>VLOOKUP(A4934,'Thống kê'!$C$3:$E$682,3,0)</f>
        <v>cái</v>
      </c>
      <c r="D4934" s="437">
        <f>VLOOKUP(A4934,'Thống kê'!$C$3:$M$682,4,0)</f>
        <v>0</v>
      </c>
      <c r="E4934" s="438">
        <v>1</v>
      </c>
      <c r="F4934" s="439">
        <f t="shared" si="20"/>
        <v>0</v>
      </c>
      <c r="G4934" s="440"/>
      <c r="H4934" s="450"/>
    </row>
    <row r="4935" spans="1:8" ht="13.2">
      <c r="A4935" s="454" t="s">
        <v>1425</v>
      </c>
      <c r="B4935" s="452" t="str">
        <f>VLOOKUP(A4935,'Thống kê'!$C$3:$D$669,2,0)</f>
        <v>Móc khoá Crybaby mini Popmart</v>
      </c>
      <c r="C4935" s="436" t="str">
        <f>VLOOKUP(A4935,'Thống kê'!$C$3:$E$682,3,0)</f>
        <v>cái</v>
      </c>
      <c r="D4935" s="437">
        <f>VLOOKUP(A4935,'Thống kê'!$C$3:$M$682,4,0)</f>
        <v>145000</v>
      </c>
      <c r="E4935" s="438">
        <v>1</v>
      </c>
      <c r="F4935" s="439">
        <f t="shared" si="20"/>
        <v>145000</v>
      </c>
      <c r="G4935" s="440"/>
      <c r="H4935" s="450"/>
    </row>
    <row r="4936" spans="1:8" ht="13.2">
      <c r="A4936" s="454" t="s">
        <v>228</v>
      </c>
      <c r="B4936" s="452">
        <f>VLOOKUP(A4936,'Thống kê'!$C$3:$D$669,2,0)</f>
        <v>0</v>
      </c>
      <c r="C4936" s="436">
        <f>VLOOKUP(A4936,'Thống kê'!$C$3:$E$682,3,0)</f>
        <v>0</v>
      </c>
      <c r="D4936" s="437">
        <f>VLOOKUP(A4936,'Thống kê'!$C$3:$M$682,4,0)</f>
        <v>0</v>
      </c>
      <c r="E4936" s="438">
        <v>1</v>
      </c>
      <c r="F4936" s="439">
        <f t="shared" si="20"/>
        <v>0</v>
      </c>
      <c r="G4936" s="440"/>
      <c r="H4936" s="450"/>
    </row>
    <row r="4937" spans="1:8" ht="13.2">
      <c r="A4937" s="454" t="s">
        <v>229</v>
      </c>
      <c r="B4937" s="452">
        <f>VLOOKUP(A4937,'Thống kê'!$C$3:$D$669,2,0)</f>
        <v>0</v>
      </c>
      <c r="C4937" s="436">
        <f>VLOOKUP(A4937,'Thống kê'!$C$3:$E$682,3,0)</f>
        <v>0</v>
      </c>
      <c r="D4937" s="437">
        <f>VLOOKUP(A4937,'Thống kê'!$C$3:$M$682,4,0)</f>
        <v>0</v>
      </c>
      <c r="E4937" s="438">
        <v>1</v>
      </c>
      <c r="F4937" s="439">
        <f t="shared" si="20"/>
        <v>0</v>
      </c>
      <c r="G4937" s="440"/>
      <c r="H4937" s="450"/>
    </row>
    <row r="4938" spans="1:8" ht="13.2">
      <c r="A4938" s="454" t="s">
        <v>1450</v>
      </c>
      <c r="B4938" s="452">
        <f>VLOOKUP(A4938,'Thống kê'!$C$3:$D$669,2,0)</f>
        <v>0</v>
      </c>
      <c r="C4938" s="436">
        <f>VLOOKUP(A4938,'Thống kê'!$C$3:$E$682,3,0)</f>
        <v>0</v>
      </c>
      <c r="D4938" s="437">
        <f>VLOOKUP(A4938,'Thống kê'!$C$3:$M$682,4,0)</f>
        <v>0</v>
      </c>
      <c r="E4938" s="438">
        <v>1</v>
      </c>
      <c r="F4938" s="439">
        <f t="shared" si="20"/>
        <v>0</v>
      </c>
      <c r="G4938" s="440"/>
      <c r="H4938" s="450"/>
    </row>
    <row r="4939" spans="1:8" ht="13.2">
      <c r="A4939" s="454" t="s">
        <v>1390</v>
      </c>
      <c r="B4939" s="452" t="str">
        <f>VLOOKUP(A4939,'Thống kê'!$C$3:$D$669,2,0)</f>
        <v>Móc khoá Labubu mini Popmart</v>
      </c>
      <c r="C4939" s="436" t="str">
        <f>VLOOKUP(A4939,'Thống kê'!$C$3:$E$682,3,0)</f>
        <v>cái</v>
      </c>
      <c r="D4939" s="437">
        <f>VLOOKUP(A4939,'Thống kê'!$C$3:$M$682,4,0)</f>
        <v>0</v>
      </c>
      <c r="E4939" s="438">
        <v>2</v>
      </c>
      <c r="F4939" s="439">
        <f t="shared" si="20"/>
        <v>0</v>
      </c>
      <c r="G4939" s="440"/>
      <c r="H4939" s="450"/>
    </row>
    <row r="4940" spans="1:8" ht="13.2">
      <c r="A4940" s="454" t="s">
        <v>1392</v>
      </c>
      <c r="B4940" s="452" t="str">
        <f>VLOOKUP(A4940,'Thống kê'!$C$3:$D$669,2,0)</f>
        <v>Móc khoá Labubu mini Popmart</v>
      </c>
      <c r="C4940" s="436" t="str">
        <f>VLOOKUP(A4940,'Thống kê'!$C$3:$E$682,3,0)</f>
        <v>cái</v>
      </c>
      <c r="D4940" s="437">
        <f>VLOOKUP(A4940,'Thống kê'!$C$3:$M$682,4,0)</f>
        <v>0</v>
      </c>
      <c r="E4940" s="438">
        <v>1</v>
      </c>
      <c r="F4940" s="439">
        <f t="shared" si="20"/>
        <v>0</v>
      </c>
      <c r="G4940" s="440"/>
      <c r="H4940" s="450"/>
    </row>
    <row r="4941" spans="1:8" ht="13.2">
      <c r="A4941" s="454" t="s">
        <v>1393</v>
      </c>
      <c r="B4941" s="452" t="str">
        <f>VLOOKUP(A4941,'Thống kê'!$C$3:$D$669,2,0)</f>
        <v>Móc khoá Labubu mini Popmart</v>
      </c>
      <c r="C4941" s="436" t="str">
        <f>VLOOKUP(A4941,'Thống kê'!$C$3:$E$682,3,0)</f>
        <v>cái</v>
      </c>
      <c r="D4941" s="437">
        <f>VLOOKUP(A4941,'Thống kê'!$C$3:$M$682,4,0)</f>
        <v>0</v>
      </c>
      <c r="E4941" s="438">
        <v>1</v>
      </c>
      <c r="F4941" s="439">
        <f t="shared" si="20"/>
        <v>0</v>
      </c>
      <c r="G4941" s="440"/>
      <c r="H4941" s="450"/>
    </row>
    <row r="4942" spans="1:8" ht="13.2">
      <c r="A4942" s="454" t="s">
        <v>1394</v>
      </c>
      <c r="B4942" s="452" t="str">
        <f>VLOOKUP(A4942,'Thống kê'!$C$3:$D$669,2,0)</f>
        <v>Móc khoá Labubu mini Popmart</v>
      </c>
      <c r="C4942" s="436" t="str">
        <f>VLOOKUP(A4942,'Thống kê'!$C$3:$E$682,3,0)</f>
        <v>cái</v>
      </c>
      <c r="D4942" s="437">
        <f>VLOOKUP(A4942,'Thống kê'!$C$3:$M$682,4,0)</f>
        <v>0</v>
      </c>
      <c r="E4942" s="438">
        <v>1</v>
      </c>
      <c r="F4942" s="439">
        <f t="shared" si="20"/>
        <v>0</v>
      </c>
      <c r="G4942" s="440"/>
      <c r="H4942" s="450"/>
    </row>
    <row r="4943" spans="1:8" ht="13.2">
      <c r="A4943" s="454" t="s">
        <v>1395</v>
      </c>
      <c r="B4943" s="452" t="str">
        <f>VLOOKUP(A4943,'Thống kê'!$C$3:$D$669,2,0)</f>
        <v>Móc khoá Labubu mini Popmart</v>
      </c>
      <c r="C4943" s="436" t="str">
        <f>VLOOKUP(A4943,'Thống kê'!$C$3:$E$682,3,0)</f>
        <v>cái</v>
      </c>
      <c r="D4943" s="437">
        <f>VLOOKUP(A4943,'Thống kê'!$C$3:$M$682,4,0)</f>
        <v>0</v>
      </c>
      <c r="E4943" s="438">
        <v>1</v>
      </c>
      <c r="F4943" s="439">
        <f t="shared" si="20"/>
        <v>0</v>
      </c>
      <c r="G4943" s="440"/>
      <c r="H4943" s="450"/>
    </row>
    <row r="4944" spans="1:8" ht="13.2">
      <c r="A4944" s="454" t="s">
        <v>1396</v>
      </c>
      <c r="B4944" s="452" t="str">
        <f>VLOOKUP(A4944,'Thống kê'!$C$3:$D$669,2,0)</f>
        <v>Móc khoá Labubu mini Popmart</v>
      </c>
      <c r="C4944" s="436" t="str">
        <f>VLOOKUP(A4944,'Thống kê'!$C$3:$E$682,3,0)</f>
        <v>cái</v>
      </c>
      <c r="D4944" s="437">
        <f>VLOOKUP(A4944,'Thống kê'!$C$3:$M$682,4,0)</f>
        <v>0</v>
      </c>
      <c r="E4944" s="438">
        <v>1</v>
      </c>
      <c r="F4944" s="439">
        <f t="shared" si="20"/>
        <v>0</v>
      </c>
      <c r="G4944" s="440"/>
      <c r="H4944" s="450"/>
    </row>
    <row r="4945" spans="1:8" ht="13.2">
      <c r="A4945" s="454" t="s">
        <v>285</v>
      </c>
      <c r="B4945" s="452" t="str">
        <f>VLOOKUP(A4945,'Thống kê'!$C$3:$D$669,2,0)</f>
        <v>Móc khoá Labubu mini Popmart</v>
      </c>
      <c r="C4945" s="436" t="str">
        <f>VLOOKUP(A4945,'Thống kê'!$C$3:$E$682,3,0)</f>
        <v>cái</v>
      </c>
      <c r="D4945" s="437">
        <f>VLOOKUP(A4945,'Thống kê'!$C$3:$M$682,4,0)</f>
        <v>0</v>
      </c>
      <c r="E4945" s="438">
        <v>1</v>
      </c>
      <c r="F4945" s="439">
        <f t="shared" si="20"/>
        <v>0</v>
      </c>
      <c r="G4945" s="440"/>
      <c r="H4945" s="450"/>
    </row>
    <row r="4946" spans="1:8" ht="13.2">
      <c r="A4946" s="454" t="s">
        <v>1397</v>
      </c>
      <c r="B4946" s="452" t="str">
        <f>VLOOKUP(A4946,'Thống kê'!$C$3:$D$669,2,0)</f>
        <v>Móc khoá Labubu mini Popmart</v>
      </c>
      <c r="C4946" s="436" t="str">
        <f>VLOOKUP(A4946,'Thống kê'!$C$3:$E$682,3,0)</f>
        <v>cái</v>
      </c>
      <c r="D4946" s="437">
        <f>VLOOKUP(A4946,'Thống kê'!$C$3:$M$682,4,0)</f>
        <v>0</v>
      </c>
      <c r="E4946" s="438">
        <v>1</v>
      </c>
      <c r="F4946" s="439">
        <f t="shared" si="20"/>
        <v>0</v>
      </c>
      <c r="G4946" s="440"/>
      <c r="H4946" s="450"/>
    </row>
    <row r="4947" spans="1:8" ht="13.2">
      <c r="A4947" s="454" t="s">
        <v>1401</v>
      </c>
      <c r="B4947" s="452" t="str">
        <f>VLOOKUP(A4947,'Thống kê'!$C$3:$D$669,2,0)</f>
        <v>Móc khoá Dimoo size mini (hàng remake)</v>
      </c>
      <c r="C4947" s="436" t="str">
        <f>VLOOKUP(A4947,'Thống kê'!$C$3:$E$682,3,0)</f>
        <v>cái</v>
      </c>
      <c r="D4947" s="437">
        <f>VLOOKUP(A4947,'Thống kê'!$C$3:$M$682,4,0)</f>
        <v>0</v>
      </c>
      <c r="E4947" s="438">
        <v>1</v>
      </c>
      <c r="F4947" s="439">
        <f t="shared" si="20"/>
        <v>0</v>
      </c>
      <c r="G4947" s="440"/>
      <c r="H4947" s="450"/>
    </row>
    <row r="4948" spans="1:8" ht="13.2">
      <c r="A4948" s="454" t="s">
        <v>1402</v>
      </c>
      <c r="B4948" s="452" t="str">
        <f>VLOOKUP(A4948,'Thống kê'!$C$3:$D$669,2,0)</f>
        <v>Móc khoá Dimoo size mini (hàng remake)</v>
      </c>
      <c r="C4948" s="436" t="str">
        <f>VLOOKUP(A4948,'Thống kê'!$C$3:$E$682,3,0)</f>
        <v>cái</v>
      </c>
      <c r="D4948" s="437">
        <f>VLOOKUP(A4948,'Thống kê'!$C$3:$M$682,4,0)</f>
        <v>0</v>
      </c>
      <c r="E4948" s="438">
        <v>1</v>
      </c>
      <c r="F4948" s="439">
        <f t="shared" si="20"/>
        <v>0</v>
      </c>
      <c r="G4948" s="440"/>
      <c r="H4948" s="450"/>
    </row>
    <row r="4949" spans="1:8" ht="13.2">
      <c r="A4949" s="454" t="s">
        <v>1624</v>
      </c>
      <c r="B4949" s="452" t="str">
        <f>VLOOKUP(A4949,'Thống kê'!$C$3:$D$669,2,0)</f>
        <v>Móc khóa mèo trái tim</v>
      </c>
      <c r="C4949" s="436" t="str">
        <f>VLOOKUP(A4949,'Thống kê'!$C$3:$E$682,3,0)</f>
        <v>cái</v>
      </c>
      <c r="D4949" s="437">
        <f>VLOOKUP(A4949,'Thống kê'!$C$3:$M$682,4,0)</f>
        <v>59000</v>
      </c>
      <c r="E4949" s="438">
        <v>1</v>
      </c>
      <c r="F4949" s="439">
        <f t="shared" si="20"/>
        <v>59000</v>
      </c>
      <c r="G4949" s="440"/>
      <c r="H4949" s="448">
        <v>44280</v>
      </c>
    </row>
    <row r="4950" spans="1:8" ht="13.2">
      <c r="A4950" s="454" t="s">
        <v>1344</v>
      </c>
      <c r="B4950" s="452" t="str">
        <f>VLOOKUP(A4950,'Thống kê'!$C$3:$D$669,2,0)</f>
        <v>Móc khóa chuối</v>
      </c>
      <c r="C4950" s="436" t="str">
        <f>VLOOKUP(A4950,'Thống kê'!$C$3:$E$682,3,0)</f>
        <v>cái</v>
      </c>
      <c r="D4950" s="437">
        <f>VLOOKUP(A4950,'Thống kê'!$C$3:$M$682,4,0)</f>
        <v>148000</v>
      </c>
      <c r="E4950" s="438">
        <v>1</v>
      </c>
      <c r="F4950" s="439">
        <f t="shared" si="20"/>
        <v>148000</v>
      </c>
      <c r="G4950" s="440"/>
      <c r="H4950" s="448">
        <v>79577</v>
      </c>
    </row>
    <row r="4951" spans="1:8" ht="13.2">
      <c r="A4951" s="454" t="s">
        <v>1384</v>
      </c>
      <c r="B4951" s="452" t="str">
        <f>VLOOKUP(A4951,'Thống kê'!$C$3:$D$669,2,0)</f>
        <v>Móc khoá Crybaby mini Popmart</v>
      </c>
      <c r="C4951" s="436" t="str">
        <f>VLOOKUP(A4951,'Thống kê'!$C$3:$E$682,3,0)</f>
        <v>cái</v>
      </c>
      <c r="D4951" s="437">
        <f>VLOOKUP(A4951,'Thống kê'!$C$3:$M$682,4,0)</f>
        <v>0</v>
      </c>
      <c r="E4951" s="438">
        <v>1</v>
      </c>
      <c r="F4951" s="439">
        <f t="shared" si="20"/>
        <v>0</v>
      </c>
      <c r="G4951" s="440"/>
      <c r="H4951" s="448">
        <v>118900</v>
      </c>
    </row>
    <row r="4952" spans="1:8" ht="13.2">
      <c r="A4952" s="454" t="s">
        <v>1701</v>
      </c>
      <c r="B4952" s="452" t="str">
        <f>VLOOKUP(A4952,'Thống kê'!$C$3:$D$669,2,0)</f>
        <v>Đôi cún</v>
      </c>
      <c r="C4952" s="436" t="str">
        <f>VLOOKUP(A4952,'Thống kê'!$C$3:$E$682,3,0)</f>
        <v>cái</v>
      </c>
      <c r="D4952" s="437">
        <f>VLOOKUP(A4952,'Thống kê'!$C$3:$M$682,4,0)</f>
        <v>62000</v>
      </c>
      <c r="E4952" s="438">
        <v>1</v>
      </c>
      <c r="F4952" s="439">
        <f t="shared" si="20"/>
        <v>62000</v>
      </c>
      <c r="G4952" s="440"/>
      <c r="H4952" s="448">
        <v>44280</v>
      </c>
    </row>
    <row r="4953" spans="1:8" ht="13.2">
      <c r="A4953" s="454" t="s">
        <v>228</v>
      </c>
      <c r="B4953" s="452">
        <f>VLOOKUP(A4953,'Thống kê'!$C$3:$D$669,2,0)</f>
        <v>0</v>
      </c>
      <c r="C4953" s="436">
        <f>VLOOKUP(A4953,'Thống kê'!$C$3:$E$682,3,0)</f>
        <v>0</v>
      </c>
      <c r="D4953" s="437">
        <f>VLOOKUP(A4953,'Thống kê'!$C$3:$M$682,4,0)</f>
        <v>0</v>
      </c>
      <c r="E4953" s="438">
        <v>1</v>
      </c>
      <c r="F4953" s="439">
        <f t="shared" si="20"/>
        <v>0</v>
      </c>
      <c r="G4953" s="440"/>
      <c r="H4953" s="448">
        <v>99818</v>
      </c>
    </row>
    <row r="4954" spans="1:8" ht="13.2">
      <c r="A4954" s="454" t="s">
        <v>1396</v>
      </c>
      <c r="B4954" s="452" t="str">
        <f>VLOOKUP(A4954,'Thống kê'!$C$3:$D$669,2,0)</f>
        <v>Móc khoá Labubu mini Popmart</v>
      </c>
      <c r="C4954" s="436" t="str">
        <f>VLOOKUP(A4954,'Thống kê'!$C$3:$E$682,3,0)</f>
        <v>cái</v>
      </c>
      <c r="D4954" s="437">
        <f>VLOOKUP(A4954,'Thống kê'!$C$3:$M$682,4,0)</f>
        <v>0</v>
      </c>
      <c r="E4954" s="438">
        <v>1</v>
      </c>
      <c r="F4954" s="439">
        <f t="shared" si="20"/>
        <v>0</v>
      </c>
      <c r="G4954" s="440"/>
      <c r="H4954" s="447">
        <v>346035</v>
      </c>
    </row>
    <row r="4955" spans="1:8" ht="13.2">
      <c r="A4955" s="454" t="s">
        <v>1384</v>
      </c>
      <c r="B4955" s="452" t="str">
        <f>VLOOKUP(A4955,'Thống kê'!$C$3:$D$669,2,0)</f>
        <v>Móc khoá Crybaby mini Popmart</v>
      </c>
      <c r="C4955" s="436" t="str">
        <f>VLOOKUP(A4955,'Thống kê'!$C$3:$E$682,3,0)</f>
        <v>cái</v>
      </c>
      <c r="D4955" s="437">
        <f>VLOOKUP(A4955,'Thống kê'!$C$3:$M$682,4,0)</f>
        <v>0</v>
      </c>
      <c r="E4955" s="438">
        <v>1</v>
      </c>
      <c r="F4955" s="439">
        <f t="shared" si="20"/>
        <v>0</v>
      </c>
      <c r="G4955" s="440"/>
      <c r="H4955" s="450"/>
    </row>
    <row r="4956" spans="1:8" ht="13.2">
      <c r="A4956" s="454" t="s">
        <v>1389</v>
      </c>
      <c r="B4956" s="452" t="str">
        <f>VLOOKUP(A4956,'Thống kê'!$C$3:$D$669,2,0)</f>
        <v>Móc khoá Crybaby mini Popmart</v>
      </c>
      <c r="C4956" s="436" t="str">
        <f>VLOOKUP(A4956,'Thống kê'!$C$3:$E$682,3,0)</f>
        <v>cái</v>
      </c>
      <c r="D4956" s="437">
        <f>VLOOKUP(A4956,'Thống kê'!$C$3:$M$682,4,0)</f>
        <v>0</v>
      </c>
      <c r="E4956" s="438">
        <v>1</v>
      </c>
      <c r="F4956" s="439">
        <f t="shared" si="20"/>
        <v>0</v>
      </c>
      <c r="G4956" s="440"/>
      <c r="H4956" s="450"/>
    </row>
    <row r="4957" spans="1:8" ht="13.2">
      <c r="A4957" s="454" t="s">
        <v>119</v>
      </c>
      <c r="B4957" s="452" t="str">
        <f>VLOOKUP(A4957,'Thống kê'!$C$3:$D$669,2,0)</f>
        <v>Thỏ chạy xe gắn xe</v>
      </c>
      <c r="C4957" s="436" t="str">
        <f>VLOOKUP(A4957,'Thống kê'!$C$3:$E$682,3,0)</f>
        <v>cái</v>
      </c>
      <c r="D4957" s="437">
        <f>VLOOKUP(A4957,'Thống kê'!$C$3:$M$682,4,0)</f>
        <v>45000</v>
      </c>
      <c r="E4957" s="438">
        <v>1</v>
      </c>
      <c r="F4957" s="439">
        <f t="shared" si="20"/>
        <v>45000</v>
      </c>
      <c r="G4957" s="440"/>
      <c r="H4957" s="447">
        <v>65600</v>
      </c>
    </row>
    <row r="4958" spans="1:8" ht="13.2">
      <c r="A4958" s="454" t="s">
        <v>232</v>
      </c>
      <c r="B4958" s="452" t="str">
        <f>VLOOKUP(A4958,'Thống kê'!$C$3:$D$669,2,0)</f>
        <v>Cáo gắn xe</v>
      </c>
      <c r="C4958" s="436" t="str">
        <f>VLOOKUP(A4958,'Thống kê'!$C$3:$E$682,3,0)</f>
        <v>cái</v>
      </c>
      <c r="D4958" s="437">
        <f>VLOOKUP(A4958,'Thống kê'!$C$3:$M$682,4,0)</f>
        <v>45000</v>
      </c>
      <c r="E4958" s="438">
        <v>1</v>
      </c>
      <c r="F4958" s="439">
        <f t="shared" si="20"/>
        <v>45000</v>
      </c>
      <c r="G4958" s="440"/>
      <c r="H4958" s="450"/>
    </row>
    <row r="4959" spans="1:8" ht="13.2">
      <c r="A4959" s="454" t="s">
        <v>1708</v>
      </c>
      <c r="B4959" s="452" t="str">
        <f>VLOOKUP(A4959,'Thống kê'!$C$3:$D$669,2,0)</f>
        <v xml:space="preserve">Bao lì xì </v>
      </c>
      <c r="C4959" s="436" t="str">
        <f>VLOOKUP(A4959,'Thống kê'!$C$3:$E$682,3,0)</f>
        <v>set 6 cái</v>
      </c>
      <c r="D4959" s="437">
        <f>VLOOKUP(A4959,'Thống kê'!$C$3:$M$682,4,0)</f>
        <v>14500</v>
      </c>
      <c r="E4959" s="438">
        <v>5</v>
      </c>
      <c r="F4959" s="439">
        <f t="shared" si="20"/>
        <v>72500</v>
      </c>
      <c r="G4959" s="440"/>
      <c r="H4959" s="448">
        <v>60474</v>
      </c>
    </row>
    <row r="4960" spans="1:8" ht="13.2">
      <c r="A4960" s="454" t="s">
        <v>1710</v>
      </c>
      <c r="B4960" s="452" t="str">
        <f>VLOOKUP(A4960,'Thống kê'!$C$3:$D$669,2,0)</f>
        <v xml:space="preserve">Bao lì xì </v>
      </c>
      <c r="C4960" s="436" t="str">
        <f>VLOOKUP(A4960,'Thống kê'!$C$3:$E$682,3,0)</f>
        <v>set 6 cái</v>
      </c>
      <c r="D4960" s="437">
        <f>VLOOKUP(A4960,'Thống kê'!$C$3:$M$682,4,0)</f>
        <v>14500</v>
      </c>
      <c r="E4960" s="438">
        <v>1</v>
      </c>
      <c r="F4960" s="439">
        <f t="shared" si="20"/>
        <v>14500</v>
      </c>
      <c r="G4960" s="440"/>
      <c r="H4960" s="448">
        <v>39442</v>
      </c>
    </row>
    <row r="4961" spans="1:8" ht="13.2">
      <c r="A4961" s="454" t="s">
        <v>1772</v>
      </c>
      <c r="B4961" s="452" t="str">
        <f>VLOOKUP(A4961,'Thống kê'!$C$3:$D$669,2,0)</f>
        <v>bao lì xì Tết 2025</v>
      </c>
      <c r="C4961" s="436" t="str">
        <f>VLOOKUP(A4961,'Thống kê'!$C$3:$E$682,3,0)</f>
        <v>túi</v>
      </c>
      <c r="D4961" s="437">
        <f>VLOOKUP(A4961,'Thống kê'!$C$3:$M$682,4,0)</f>
        <v>0</v>
      </c>
      <c r="E4961" s="438">
        <v>6</v>
      </c>
      <c r="F4961" s="439">
        <f t="shared" si="20"/>
        <v>0</v>
      </c>
      <c r="G4961" s="440"/>
      <c r="H4961" s="448">
        <v>65115</v>
      </c>
    </row>
    <row r="4962" spans="1:8" ht="13.2">
      <c r="A4962" s="454" t="s">
        <v>1372</v>
      </c>
      <c r="B4962" s="452" t="str">
        <f>VLOOKUP(A4962,'Thống kê'!$C$3:$D$669,2,0)</f>
        <v>Móc khóa Popbean</v>
      </c>
      <c r="C4962" s="436" t="str">
        <f>VLOOKUP(A4962,'Thống kê'!$C$3:$E$682,3,0)</f>
        <v>cái</v>
      </c>
      <c r="D4962" s="437">
        <f>VLOOKUP(A4962,'Thống kê'!$C$3:$M$682,4,0)</f>
        <v>148000</v>
      </c>
      <c r="E4962" s="438">
        <v>1</v>
      </c>
      <c r="F4962" s="439">
        <f t="shared" si="20"/>
        <v>148000</v>
      </c>
      <c r="G4962" s="440"/>
      <c r="H4962" s="448">
        <v>107420</v>
      </c>
    </row>
    <row r="4963" spans="1:8" ht="13.2">
      <c r="A4963" s="454" t="s">
        <v>94</v>
      </c>
      <c r="B4963" s="452" t="str">
        <f>VLOOKUP(A4963,'Thống kê'!$C$3:$D$669,2,0)</f>
        <v>thỏ</v>
      </c>
      <c r="C4963" s="436" t="str">
        <f>VLOOKUP(A4963,'Thống kê'!$C$3:$E$682,3,0)</f>
        <v>cái</v>
      </c>
      <c r="D4963" s="437">
        <f>VLOOKUP(A4963,'Thống kê'!$C$3:$M$682,4,0)</f>
        <v>35000</v>
      </c>
      <c r="E4963" s="438">
        <v>1</v>
      </c>
      <c r="F4963" s="439">
        <f t="shared" si="20"/>
        <v>35000</v>
      </c>
      <c r="G4963" s="440"/>
      <c r="H4963" s="448">
        <v>25830</v>
      </c>
    </row>
    <row r="4964" spans="1:8" ht="13.2">
      <c r="A4964" s="454" t="s">
        <v>1708</v>
      </c>
      <c r="B4964" s="452" t="str">
        <f>VLOOKUP(A4964,'Thống kê'!$C$3:$D$669,2,0)</f>
        <v xml:space="preserve">Bao lì xì </v>
      </c>
      <c r="C4964" s="436" t="str">
        <f>VLOOKUP(A4964,'Thống kê'!$C$3:$E$682,3,0)</f>
        <v>set 6 cái</v>
      </c>
      <c r="D4964" s="437">
        <f>VLOOKUP(A4964,'Thống kê'!$C$3:$M$682,4,0)</f>
        <v>14500</v>
      </c>
      <c r="E4964" s="438">
        <v>5</v>
      </c>
      <c r="F4964" s="439">
        <f t="shared" si="20"/>
        <v>72500</v>
      </c>
      <c r="G4964" s="440"/>
      <c r="H4964" s="448">
        <v>60474</v>
      </c>
    </row>
    <row r="4965" spans="1:8" ht="13.2">
      <c r="A4965" s="454" t="s">
        <v>1384</v>
      </c>
      <c r="B4965" s="452" t="str">
        <f>VLOOKUP(A4965,'Thống kê'!$C$3:$D$669,2,0)</f>
        <v>Móc khoá Crybaby mini Popmart</v>
      </c>
      <c r="C4965" s="436" t="str">
        <f>VLOOKUP(A4965,'Thống kê'!$C$3:$E$682,3,0)</f>
        <v>cái</v>
      </c>
      <c r="D4965" s="437">
        <f>VLOOKUP(A4965,'Thống kê'!$C$3:$M$682,4,0)</f>
        <v>0</v>
      </c>
      <c r="E4965" s="438">
        <v>1</v>
      </c>
      <c r="F4965" s="439">
        <f t="shared" si="20"/>
        <v>0</v>
      </c>
      <c r="G4965" s="440"/>
      <c r="H4965" s="448">
        <v>118900</v>
      </c>
    </row>
    <row r="4966" spans="1:8" ht="13.2">
      <c r="A4966" s="454" t="s">
        <v>119</v>
      </c>
      <c r="B4966" s="452" t="str">
        <f>VLOOKUP(A4966,'Thống kê'!$C$3:$D$669,2,0)</f>
        <v>Thỏ chạy xe gắn xe</v>
      </c>
      <c r="C4966" s="436" t="str">
        <f>VLOOKUP(A4966,'Thống kê'!$C$3:$E$682,3,0)</f>
        <v>cái</v>
      </c>
      <c r="D4966" s="437">
        <f>VLOOKUP(A4966,'Thống kê'!$C$3:$M$682,4,0)</f>
        <v>45000</v>
      </c>
      <c r="E4966" s="438">
        <v>1</v>
      </c>
      <c r="F4966" s="439">
        <f t="shared" si="20"/>
        <v>45000</v>
      </c>
      <c r="G4966" s="440"/>
      <c r="H4966" s="448">
        <v>34850</v>
      </c>
    </row>
    <row r="4967" spans="1:8" ht="13.2">
      <c r="A4967" s="454" t="s">
        <v>1782</v>
      </c>
      <c r="B4967" s="452" t="str">
        <f>VLOOKUP(A4967,'Thống kê'!$C$3:$D$669,2,0)</f>
        <v>Mèo xám treo gương</v>
      </c>
      <c r="C4967" s="436" t="str">
        <f>VLOOKUP(A4967,'Thống kê'!$C$3:$E$682,3,0)</f>
        <v>cái</v>
      </c>
      <c r="D4967" s="437">
        <f>VLOOKUP(A4967,'Thống kê'!$C$3:$M$682,4,0)</f>
        <v>71500</v>
      </c>
      <c r="E4967" s="438">
        <v>1</v>
      </c>
      <c r="F4967" s="439">
        <f t="shared" si="20"/>
        <v>71500</v>
      </c>
      <c r="G4967" s="440"/>
      <c r="H4967" s="448">
        <v>48666</v>
      </c>
    </row>
    <row r="4968" spans="1:8" ht="13.2">
      <c r="A4968" s="454" t="s">
        <v>1365</v>
      </c>
      <c r="B4968" s="452" t="str">
        <f>VLOOKUP(A4968,'Thống kê'!$C$3:$D$669,2,0)</f>
        <v>Móc khóa Popbean</v>
      </c>
      <c r="C4968" s="436" t="str">
        <f>VLOOKUP(A4968,'Thống kê'!$C$3:$E$682,3,0)</f>
        <v>cái</v>
      </c>
      <c r="D4968" s="437">
        <f>VLOOKUP(A4968,'Thống kê'!$C$3:$M$682,4,0)</f>
        <v>148000</v>
      </c>
      <c r="E4968" s="438">
        <v>1</v>
      </c>
      <c r="F4968" s="439">
        <f t="shared" si="20"/>
        <v>148000</v>
      </c>
      <c r="G4968" s="440"/>
      <c r="H4968" s="447">
        <v>338660</v>
      </c>
    </row>
    <row r="4969" spans="1:8" ht="13.2">
      <c r="A4969" s="454" t="s">
        <v>245</v>
      </c>
      <c r="B4969" s="452" t="str">
        <f>VLOOKUP(A4969,'Thống kê'!$C$3:$D$669,2,0)</f>
        <v>Móc khóa Popbean</v>
      </c>
      <c r="C4969" s="436" t="str">
        <f>VLOOKUP(A4969,'Thống kê'!$C$3:$E$682,3,0)</f>
        <v>cái</v>
      </c>
      <c r="D4969" s="437">
        <f>VLOOKUP(A4969,'Thống kê'!$C$3:$M$682,4,0)</f>
        <v>148000</v>
      </c>
      <c r="E4969" s="438">
        <v>1</v>
      </c>
      <c r="F4969" s="439">
        <f t="shared" si="20"/>
        <v>148000</v>
      </c>
      <c r="G4969" s="440"/>
      <c r="H4969" s="450"/>
    </row>
    <row r="4970" spans="1:8" ht="13.2">
      <c r="A4970" s="454" t="s">
        <v>1423</v>
      </c>
      <c r="B4970" s="452">
        <f>VLOOKUP(A4970,'Thống kê'!$C$3:$D$669,2,0)</f>
        <v>0</v>
      </c>
      <c r="C4970" s="436" t="str">
        <f>VLOOKUP(A4970,'Thống kê'!$C$3:$E$682,3,0)</f>
        <v>cái</v>
      </c>
      <c r="D4970" s="437">
        <f>VLOOKUP(A4970,'Thống kê'!$C$3:$M$682,4,0)</f>
        <v>0</v>
      </c>
      <c r="E4970" s="438">
        <v>1</v>
      </c>
      <c r="F4970" s="439">
        <f t="shared" si="20"/>
        <v>0</v>
      </c>
      <c r="G4970" s="440"/>
      <c r="H4970" s="450"/>
    </row>
    <row r="4971" spans="1:8" ht="13.2">
      <c r="A4971" s="454" t="s">
        <v>1760</v>
      </c>
      <c r="B4971" s="452">
        <f>VLOOKUP(A4971,'Thống kê'!$C$3:$D$669,2,0)</f>
        <v>0</v>
      </c>
      <c r="C4971" s="436">
        <f>VLOOKUP(A4971,'Thống kê'!$C$3:$E$682,3,0)</f>
        <v>0</v>
      </c>
      <c r="D4971" s="437">
        <f>VLOOKUP(A4971,'Thống kê'!$C$3:$M$682,4,0)</f>
        <v>0</v>
      </c>
      <c r="E4971" s="438">
        <v>1</v>
      </c>
      <c r="F4971" s="439">
        <f t="shared" si="20"/>
        <v>0</v>
      </c>
      <c r="G4971" s="440"/>
      <c r="H4971" s="448">
        <v>79702</v>
      </c>
    </row>
    <row r="4972" spans="1:8" ht="13.2">
      <c r="A4972" s="454" t="s">
        <v>1697</v>
      </c>
      <c r="B4972" s="452" t="str">
        <f>VLOOKUP(A4972,'Thống kê'!$C$3:$D$669,2,0)</f>
        <v>heo</v>
      </c>
      <c r="C4972" s="436" t="str">
        <f>VLOOKUP(A4972,'Thống kê'!$C$3:$E$682,3,0)</f>
        <v>cái</v>
      </c>
      <c r="D4972" s="437">
        <f>VLOOKUP(A4972,'Thống kê'!$C$3:$M$682,4,0)</f>
        <v>35000</v>
      </c>
      <c r="E4972" s="438">
        <v>1</v>
      </c>
      <c r="F4972" s="439">
        <f t="shared" si="20"/>
        <v>35000</v>
      </c>
      <c r="G4972" s="440"/>
      <c r="H4972" s="447">
        <v>47485</v>
      </c>
    </row>
    <row r="4973" spans="1:8" ht="13.2">
      <c r="A4973" s="454" t="s">
        <v>94</v>
      </c>
      <c r="B4973" s="452" t="str">
        <f>VLOOKUP(A4973,'Thống kê'!$C$3:$D$669,2,0)</f>
        <v>thỏ</v>
      </c>
      <c r="C4973" s="436" t="str">
        <f>VLOOKUP(A4973,'Thống kê'!$C$3:$E$682,3,0)</f>
        <v>cái</v>
      </c>
      <c r="D4973" s="437">
        <f>VLOOKUP(A4973,'Thống kê'!$C$3:$M$682,4,0)</f>
        <v>35000</v>
      </c>
      <c r="E4973" s="438">
        <v>1</v>
      </c>
      <c r="F4973" s="439">
        <f t="shared" si="20"/>
        <v>35000</v>
      </c>
      <c r="G4973" s="440"/>
      <c r="H4973" s="450"/>
    </row>
    <row r="4974" spans="1:8" ht="13.2">
      <c r="A4974" s="454" t="s">
        <v>1387</v>
      </c>
      <c r="B4974" s="452" t="str">
        <f>VLOOKUP(A4974,'Thống kê'!$C$3:$D$669,2,0)</f>
        <v>Móc khoá Crybaby mini Popmart</v>
      </c>
      <c r="C4974" s="436" t="str">
        <f>VLOOKUP(A4974,'Thống kê'!$C$3:$E$682,3,0)</f>
        <v>cái</v>
      </c>
      <c r="D4974" s="437">
        <f>VLOOKUP(A4974,'Thống kê'!$C$3:$M$682,4,0)</f>
        <v>0</v>
      </c>
      <c r="E4974" s="438">
        <v>1</v>
      </c>
      <c r="F4974" s="439">
        <f t="shared" si="20"/>
        <v>0</v>
      </c>
      <c r="G4974" s="440"/>
      <c r="H4974" s="448">
        <v>107420</v>
      </c>
    </row>
    <row r="4975" spans="1:8" ht="13.2">
      <c r="A4975" s="454" t="s">
        <v>1711</v>
      </c>
      <c r="B4975" s="452" t="str">
        <f>VLOOKUP(A4975,'Thống kê'!$C$3:$D$669,2,0)</f>
        <v xml:space="preserve">Bao lì xì </v>
      </c>
      <c r="C4975" s="436" t="str">
        <f>VLOOKUP(A4975,'Thống kê'!$C$3:$E$682,3,0)</f>
        <v>set 6 cái</v>
      </c>
      <c r="D4975" s="437">
        <f>VLOOKUP(A4975,'Thống kê'!$C$3:$M$682,4,0)</f>
        <v>14500</v>
      </c>
      <c r="E4975" s="438">
        <v>1</v>
      </c>
      <c r="F4975" s="439">
        <f t="shared" si="20"/>
        <v>14500</v>
      </c>
      <c r="G4975" s="440"/>
      <c r="H4975" s="448">
        <v>26481</v>
      </c>
    </row>
    <row r="4976" spans="1:8" ht="13.2">
      <c r="A4976" s="454" t="s">
        <v>1710</v>
      </c>
      <c r="B4976" s="452" t="str">
        <f>VLOOKUP(A4976,'Thống kê'!$C$3:$D$669,2,0)</f>
        <v xml:space="preserve">Bao lì xì </v>
      </c>
      <c r="C4976" s="436" t="str">
        <f>VLOOKUP(A4976,'Thống kê'!$C$3:$E$682,3,0)</f>
        <v>set 6 cái</v>
      </c>
      <c r="D4976" s="437">
        <f>VLOOKUP(A4976,'Thống kê'!$C$3:$M$682,4,0)</f>
        <v>14500</v>
      </c>
      <c r="E4976" s="438">
        <v>1</v>
      </c>
      <c r="F4976" s="439">
        <f t="shared" si="20"/>
        <v>14500</v>
      </c>
      <c r="G4976" s="440"/>
      <c r="H4976" s="448">
        <v>39442</v>
      </c>
    </row>
    <row r="4977" spans="1:8" ht="13.2">
      <c r="A4977" s="454" t="s">
        <v>1774</v>
      </c>
      <c r="B4977" s="452" t="str">
        <f>VLOOKUP(A4977,'Thống kê'!$C$3:$D$669,2,0)</f>
        <v>bao lì xì Tết 2025</v>
      </c>
      <c r="C4977" s="436" t="str">
        <f>VLOOKUP(A4977,'Thống kê'!$C$3:$E$682,3,0)</f>
        <v>túi</v>
      </c>
      <c r="D4977" s="437">
        <f>VLOOKUP(A4977,'Thống kê'!$C$3:$M$682,4,0)</f>
        <v>0</v>
      </c>
      <c r="E4977" s="438">
        <v>1</v>
      </c>
      <c r="F4977" s="439">
        <f t="shared" si="20"/>
        <v>0</v>
      </c>
      <c r="G4977" s="440"/>
      <c r="H4977" s="447">
        <v>27805</v>
      </c>
    </row>
    <row r="4978" spans="1:8" ht="13.2">
      <c r="A4978" s="454" t="s">
        <v>1767</v>
      </c>
      <c r="B4978" s="452" t="str">
        <f>VLOOKUP(A4978,'Thống kê'!$C$3:$D$669,2,0)</f>
        <v>bao lì xì Tết 2025</v>
      </c>
      <c r="C4978" s="436" t="str">
        <f>VLOOKUP(A4978,'Thống kê'!$C$3:$E$682,3,0)</f>
        <v>túi</v>
      </c>
      <c r="D4978" s="437">
        <f>VLOOKUP(A4978,'Thống kê'!$C$3:$M$682,4,0)</f>
        <v>0</v>
      </c>
      <c r="E4978" s="438">
        <v>2</v>
      </c>
      <c r="F4978" s="439">
        <f t="shared" si="20"/>
        <v>0</v>
      </c>
      <c r="G4978" s="440"/>
      <c r="H4978" s="450"/>
    </row>
    <row r="4979" spans="1:8" ht="13.2">
      <c r="A4979" s="454" t="s">
        <v>1768</v>
      </c>
      <c r="B4979" s="452" t="str">
        <f>VLOOKUP(A4979,'Thống kê'!$C$3:$D$669,2,0)</f>
        <v>bao lì xì Tết 2025</v>
      </c>
      <c r="C4979" s="436" t="str">
        <f>VLOOKUP(A4979,'Thống kê'!$C$3:$E$682,3,0)</f>
        <v>túi</v>
      </c>
      <c r="D4979" s="437">
        <f>VLOOKUP(A4979,'Thống kê'!$C$3:$M$682,4,0)</f>
        <v>0</v>
      </c>
      <c r="E4979" s="438">
        <v>1</v>
      </c>
      <c r="F4979" s="439">
        <f t="shared" si="20"/>
        <v>0</v>
      </c>
      <c r="G4979" s="440"/>
      <c r="H4979" s="450"/>
    </row>
    <row r="4980" spans="1:8" ht="13.2">
      <c r="A4980" s="454" t="s">
        <v>1384</v>
      </c>
      <c r="B4980" s="452" t="str">
        <f>VLOOKUP(A4980,'Thống kê'!$C$3:$D$669,2,0)</f>
        <v>Móc khoá Crybaby mini Popmart</v>
      </c>
      <c r="C4980" s="436" t="str">
        <f>VLOOKUP(A4980,'Thống kê'!$C$3:$E$682,3,0)</f>
        <v>cái</v>
      </c>
      <c r="D4980" s="437">
        <f>VLOOKUP(A4980,'Thống kê'!$C$3:$M$682,4,0)</f>
        <v>0</v>
      </c>
      <c r="E4980" s="438">
        <v>1</v>
      </c>
      <c r="F4980" s="439">
        <f t="shared" si="20"/>
        <v>0</v>
      </c>
      <c r="G4980" s="440"/>
      <c r="H4980" s="448">
        <v>93450</v>
      </c>
    </row>
    <row r="4981" spans="1:8" ht="13.2">
      <c r="A4981" s="454" t="s">
        <v>1873</v>
      </c>
      <c r="B4981" s="452" t="str">
        <f>VLOOKUP(A4981,'Thống kê'!$C$3:$D$669,2,0)</f>
        <v>Trâm cài 26</v>
      </c>
      <c r="C4981" s="436" t="str">
        <f>VLOOKUP(A4981,'Thống kê'!$C$3:$E$682,3,0)</f>
        <v>cây</v>
      </c>
      <c r="D4981" s="437">
        <f>VLOOKUP(A4981,'Thống kê'!$C$3:$M$682,4,0)</f>
        <v>33120</v>
      </c>
      <c r="E4981" s="438">
        <v>1</v>
      </c>
      <c r="F4981" s="439">
        <f t="shared" si="20"/>
        <v>33120</v>
      </c>
      <c r="G4981" s="440"/>
      <c r="H4981" s="447">
        <v>90255</v>
      </c>
    </row>
    <row r="4982" spans="1:8" ht="13.2">
      <c r="A4982" s="454" t="s">
        <v>1838</v>
      </c>
      <c r="B4982" s="452" t="str">
        <f>VLOOKUP(A4982,'Thống kê'!$C$3:$D$669,2,0)</f>
        <v>Ống 20 dây cột tóc đen</v>
      </c>
      <c r="C4982" s="436" t="str">
        <f>VLOOKUP(A4982,'Thống kê'!$C$3:$E$682,3,0)</f>
        <v>ống</v>
      </c>
      <c r="D4982" s="437">
        <f>VLOOKUP(A4982,'Thống kê'!$C$3:$M$682,4,0)</f>
        <v>19000</v>
      </c>
      <c r="E4982" s="438">
        <v>1</v>
      </c>
      <c r="F4982" s="439">
        <f t="shared" si="20"/>
        <v>19000</v>
      </c>
      <c r="G4982" s="440"/>
      <c r="H4982" s="450"/>
    </row>
    <row r="4983" spans="1:8" ht="13.2">
      <c r="A4983" s="454" t="s">
        <v>1707</v>
      </c>
      <c r="B4983" s="452" t="str">
        <f>VLOOKUP(A4983,'Thống kê'!$C$3:$D$669,2,0)</f>
        <v xml:space="preserve">Bao lì xì </v>
      </c>
      <c r="C4983" s="436" t="str">
        <f>VLOOKUP(A4983,'Thống kê'!$C$3:$E$682,3,0)</f>
        <v>túi 4 cái</v>
      </c>
      <c r="D4983" s="437">
        <f>VLOOKUP(A4983,'Thống kê'!$C$3:$M$682,4,0)</f>
        <v>14500</v>
      </c>
      <c r="E4983" s="438">
        <v>4</v>
      </c>
      <c r="F4983" s="439">
        <f t="shared" si="20"/>
        <v>58000</v>
      </c>
      <c r="G4983" s="440"/>
      <c r="H4983" s="450"/>
    </row>
    <row r="4984" spans="1:8" ht="13.2">
      <c r="A4984" s="454" t="s">
        <v>1586</v>
      </c>
      <c r="B4984" s="452" t="str">
        <f>VLOOKUP(A4984,'Thống kê'!$C$3:$D$669,2,0)</f>
        <v>Thỏ ú hoa</v>
      </c>
      <c r="C4984" s="436" t="str">
        <f>VLOOKUP(A4984,'Thống kê'!$C$3:$E$682,3,0)</f>
        <v>cái</v>
      </c>
      <c r="D4984" s="437">
        <f>VLOOKUP(A4984,'Thống kê'!$C$3:$M$682,4,0)</f>
        <v>64500</v>
      </c>
      <c r="E4984" s="438">
        <v>1</v>
      </c>
      <c r="F4984" s="439">
        <f t="shared" si="20"/>
        <v>64500</v>
      </c>
      <c r="G4984" s="440"/>
      <c r="H4984" s="447">
        <v>123250</v>
      </c>
    </row>
    <row r="4985" spans="1:8" ht="13.2">
      <c r="A4985" s="454" t="s">
        <v>1210</v>
      </c>
      <c r="B4985" s="452" t="str">
        <f>VLOOKUP(A4985,'Thống kê'!$C$3:$D$669,2,0)</f>
        <v>Shiba ú cầm hoa</v>
      </c>
      <c r="C4985" s="436" t="str">
        <f>VLOOKUP(A4985,'Thống kê'!$C$3:$E$682,3,0)</f>
        <v>cái</v>
      </c>
      <c r="D4985" s="437">
        <f>VLOOKUP(A4985,'Thống kê'!$C$3:$M$682,4,0)</f>
        <v>64500</v>
      </c>
      <c r="E4985" s="438">
        <v>1</v>
      </c>
      <c r="F4985" s="439">
        <f t="shared" si="20"/>
        <v>64500</v>
      </c>
      <c r="G4985" s="440"/>
      <c r="H4985" s="450"/>
    </row>
    <row r="4986" spans="1:8" ht="13.2">
      <c r="A4986" s="454" t="s">
        <v>1947</v>
      </c>
      <c r="B4986" s="452" t="str">
        <f>VLOOKUP(A4986,'Thống kê'!$C$3:$D$669,2,0)</f>
        <v>Kẹp nơ trắng</v>
      </c>
      <c r="C4986" s="436" t="str">
        <f>VLOOKUP(A4986,'Thống kê'!$C$3:$E$682,3,0)</f>
        <v>cái</v>
      </c>
      <c r="D4986" s="437">
        <f>VLOOKUP(A4986,'Thống kê'!$C$3:$M$682,4,0)</f>
        <v>22000</v>
      </c>
      <c r="E4986" s="438">
        <v>1</v>
      </c>
      <c r="F4986" s="439">
        <f t="shared" si="20"/>
        <v>22000</v>
      </c>
      <c r="G4986" s="440"/>
      <c r="H4986" s="447">
        <v>108375</v>
      </c>
    </row>
    <row r="4987" spans="1:8" ht="13.2">
      <c r="A4987" s="454" t="s">
        <v>138</v>
      </c>
      <c r="B4987" s="452" t="str">
        <f>VLOOKUP(A4987,'Thống kê'!$C$3:$D$669,2,0)</f>
        <v>Móc khoá Crybaby mini Popmart</v>
      </c>
      <c r="C4987" s="436" t="str">
        <f>VLOOKUP(A4987,'Thống kê'!$C$3:$E$682,3,0)</f>
        <v>cái</v>
      </c>
      <c r="D4987" s="437">
        <f>VLOOKUP(A4987,'Thống kê'!$C$3:$M$682,4,0)</f>
        <v>0</v>
      </c>
      <c r="E4987" s="438">
        <v>1</v>
      </c>
      <c r="F4987" s="439">
        <f t="shared" si="20"/>
        <v>0</v>
      </c>
      <c r="G4987" s="440"/>
      <c r="H4987" s="450"/>
    </row>
    <row r="4988" spans="1:8" ht="13.2">
      <c r="A4988" s="454" t="s">
        <v>1382</v>
      </c>
      <c r="B4988" s="452" t="str">
        <f>VLOOKUP(A4988,'Thống kê'!$C$3:$D$669,2,0)</f>
        <v>miếng dán silicon điện thoại</v>
      </c>
      <c r="C4988" s="436" t="str">
        <f>VLOOKUP(A4988,'Thống kê'!$C$3:$E$682,3,0)</f>
        <v>cái</v>
      </c>
      <c r="D4988" s="437">
        <f>VLOOKUP(A4988,'Thống kê'!$C$3:$M$682,4,0)</f>
        <v>0</v>
      </c>
      <c r="E4988" s="438">
        <v>1</v>
      </c>
      <c r="F4988" s="439">
        <f t="shared" si="20"/>
        <v>0</v>
      </c>
      <c r="G4988" s="440"/>
      <c r="H4988" s="450"/>
    </row>
    <row r="4989" spans="1:8" ht="13.2">
      <c r="A4989" s="454" t="s">
        <v>1384</v>
      </c>
      <c r="B4989" s="452" t="str">
        <f>VLOOKUP(A4989,'Thống kê'!$C$3:$D$669,2,0)</f>
        <v>Móc khoá Crybaby mini Popmart</v>
      </c>
      <c r="C4989" s="436" t="str">
        <f>VLOOKUP(A4989,'Thống kê'!$C$3:$E$682,3,0)</f>
        <v>cái</v>
      </c>
      <c r="D4989" s="437">
        <f>VLOOKUP(A4989,'Thống kê'!$C$3:$M$682,4,0)</f>
        <v>0</v>
      </c>
      <c r="E4989" s="438">
        <v>1</v>
      </c>
      <c r="F4989" s="439">
        <f t="shared" si="20"/>
        <v>0</v>
      </c>
      <c r="G4989" s="440"/>
      <c r="H4989" s="447">
        <v>94275</v>
      </c>
    </row>
    <row r="4990" spans="1:8" ht="13.2">
      <c r="A4990" s="454" t="s">
        <v>1382</v>
      </c>
      <c r="B4990" s="452" t="str">
        <f>VLOOKUP(A4990,'Thống kê'!$C$3:$D$669,2,0)</f>
        <v>miếng dán silicon điện thoại</v>
      </c>
      <c r="C4990" s="436" t="str">
        <f>VLOOKUP(A4990,'Thống kê'!$C$3:$E$682,3,0)</f>
        <v>cái</v>
      </c>
      <c r="D4990" s="437">
        <f>VLOOKUP(A4990,'Thống kê'!$C$3:$M$682,4,0)</f>
        <v>0</v>
      </c>
      <c r="E4990" s="438">
        <v>1</v>
      </c>
      <c r="F4990" s="439">
        <f t="shared" si="20"/>
        <v>0</v>
      </c>
      <c r="G4990" s="440"/>
      <c r="H4990" s="450"/>
    </row>
    <row r="4991" spans="1:8" ht="13.2">
      <c r="A4991" s="454" t="s">
        <v>1697</v>
      </c>
      <c r="B4991" s="452" t="str">
        <f>VLOOKUP(A4991,'Thống kê'!$C$3:$D$669,2,0)</f>
        <v>heo</v>
      </c>
      <c r="C4991" s="436" t="str">
        <f>VLOOKUP(A4991,'Thống kê'!$C$3:$E$682,3,0)</f>
        <v>cái</v>
      </c>
      <c r="D4991" s="437">
        <f>VLOOKUP(A4991,'Thống kê'!$C$3:$M$682,4,0)</f>
        <v>35000</v>
      </c>
      <c r="E4991" s="438">
        <v>1</v>
      </c>
      <c r="F4991" s="439">
        <f t="shared" si="20"/>
        <v>35000</v>
      </c>
      <c r="G4991" s="440"/>
      <c r="H4991" s="447">
        <v>73717</v>
      </c>
    </row>
    <row r="4992" spans="1:8" ht="13.2">
      <c r="A4992" s="454" t="s">
        <v>1696</v>
      </c>
      <c r="B4992" s="452" t="str">
        <f>VLOOKUP(A4992,'Thống kê'!$C$3:$D$669,2,0)</f>
        <v>gấu</v>
      </c>
      <c r="C4992" s="436" t="str">
        <f>VLOOKUP(A4992,'Thống kê'!$C$3:$E$682,3,0)</f>
        <v>cái</v>
      </c>
      <c r="D4992" s="437">
        <f>VLOOKUP(A4992,'Thống kê'!$C$3:$M$682,4,0)</f>
        <v>35000</v>
      </c>
      <c r="E4992" s="438">
        <v>1</v>
      </c>
      <c r="F4992" s="439">
        <f t="shared" si="20"/>
        <v>35000</v>
      </c>
      <c r="G4992" s="440"/>
      <c r="H4992" s="450"/>
    </row>
    <row r="4993" spans="1:8" ht="13.2">
      <c r="A4993" s="454" t="s">
        <v>94</v>
      </c>
      <c r="B4993" s="452" t="str">
        <f>VLOOKUP(A4993,'Thống kê'!$C$3:$D$669,2,0)</f>
        <v>thỏ</v>
      </c>
      <c r="C4993" s="436" t="str">
        <f>VLOOKUP(A4993,'Thống kê'!$C$3:$E$682,3,0)</f>
        <v>cái</v>
      </c>
      <c r="D4993" s="437">
        <f>VLOOKUP(A4993,'Thống kê'!$C$3:$M$682,4,0)</f>
        <v>35000</v>
      </c>
      <c r="E4993" s="438">
        <v>1</v>
      </c>
      <c r="F4993" s="439">
        <f t="shared" si="20"/>
        <v>35000</v>
      </c>
      <c r="G4993" s="440"/>
      <c r="H4993" s="450"/>
    </row>
    <row r="4994" spans="1:8" ht="13.2">
      <c r="A4994" s="454" t="s">
        <v>1711</v>
      </c>
      <c r="B4994" s="452" t="str">
        <f>VLOOKUP(A4994,'Thống kê'!$C$3:$D$669,2,0)</f>
        <v xml:space="preserve">Bao lì xì </v>
      </c>
      <c r="C4994" s="436" t="str">
        <f>VLOOKUP(A4994,'Thống kê'!$C$3:$E$682,3,0)</f>
        <v>set 6 cái</v>
      </c>
      <c r="D4994" s="437">
        <f>VLOOKUP(A4994,'Thống kê'!$C$3:$M$682,4,0)</f>
        <v>14500</v>
      </c>
      <c r="E4994" s="438">
        <v>2</v>
      </c>
      <c r="F4994" s="439">
        <f t="shared" si="20"/>
        <v>29000</v>
      </c>
      <c r="G4994" s="440"/>
      <c r="H4994" s="448">
        <v>50049</v>
      </c>
    </row>
    <row r="4995" spans="1:8" ht="13.2">
      <c r="A4995" s="454" t="s">
        <v>1711</v>
      </c>
      <c r="B4995" s="452" t="str">
        <f>VLOOKUP(A4995,'Thống kê'!$C$3:$D$669,2,0)</f>
        <v xml:space="preserve">Bao lì xì </v>
      </c>
      <c r="C4995" s="436" t="str">
        <f>VLOOKUP(A4995,'Thống kê'!$C$3:$E$682,3,0)</f>
        <v>set 6 cái</v>
      </c>
      <c r="D4995" s="437">
        <f>VLOOKUP(A4995,'Thống kê'!$C$3:$M$682,4,0)</f>
        <v>14500</v>
      </c>
      <c r="E4995" s="438">
        <v>2</v>
      </c>
      <c r="F4995" s="439">
        <f t="shared" si="20"/>
        <v>29000</v>
      </c>
      <c r="G4995" s="440"/>
      <c r="H4995" s="448">
        <v>50874</v>
      </c>
    </row>
  </sheetData>
  <mergeCells count="1104">
    <mergeCell ref="H4395:H4398"/>
    <mergeCell ref="H4400:H4401"/>
    <mergeCell ref="H4402:H4406"/>
    <mergeCell ref="H4531:H4535"/>
    <mergeCell ref="H4537:H4539"/>
    <mergeCell ref="H4540:H4542"/>
    <mergeCell ref="H4551:H4552"/>
    <mergeCell ref="H4553:H4554"/>
    <mergeCell ref="H4558:H4559"/>
    <mergeCell ref="H4560:H4563"/>
    <mergeCell ref="A1:I1"/>
    <mergeCell ref="H4497:H4499"/>
    <mergeCell ref="H4500:H4501"/>
    <mergeCell ref="H4510:H4511"/>
    <mergeCell ref="H4513:H4514"/>
    <mergeCell ref="H4518:H4519"/>
    <mergeCell ref="H4520:H4522"/>
    <mergeCell ref="H4523:H4526"/>
    <mergeCell ref="H4527:H4528"/>
    <mergeCell ref="H4272:H4273"/>
    <mergeCell ref="H4276:H4277"/>
    <mergeCell ref="H4278:H4279"/>
    <mergeCell ref="H4280:H4281"/>
    <mergeCell ref="H4282:H4283"/>
    <mergeCell ref="H4284:H4285"/>
    <mergeCell ref="H4286:H4291"/>
    <mergeCell ref="H4293:H4296"/>
    <mergeCell ref="H4297:H4298"/>
    <mergeCell ref="H4300:H4302"/>
    <mergeCell ref="H4303:H4305"/>
    <mergeCell ref="H4311:H4312"/>
    <mergeCell ref="H4314:H4317"/>
    <mergeCell ref="H4321:H4322"/>
    <mergeCell ref="H4323:H4324"/>
    <mergeCell ref="H4325:H4326"/>
    <mergeCell ref="H4327:H4329"/>
    <mergeCell ref="H4330:H4331"/>
    <mergeCell ref="H4332:H4333"/>
    <mergeCell ref="H4336:H4337"/>
    <mergeCell ref="H4338:H4339"/>
    <mergeCell ref="H4340:H4341"/>
    <mergeCell ref="H4342:H4345"/>
    <mergeCell ref="H4346:H4348"/>
    <mergeCell ref="H4423:H4424"/>
    <mergeCell ref="H4425:H4426"/>
    <mergeCell ref="H4427:H4428"/>
    <mergeCell ref="H4429:H4431"/>
    <mergeCell ref="H4432:H4437"/>
    <mergeCell ref="H4441:H4444"/>
    <mergeCell ref="H4446:H4447"/>
    <mergeCell ref="H4451:H4452"/>
    <mergeCell ref="H4453:H4454"/>
    <mergeCell ref="H4459:H4461"/>
    <mergeCell ref="H4462:H4463"/>
    <mergeCell ref="H4465:H4466"/>
    <mergeCell ref="H4471:H4472"/>
    <mergeCell ref="H4473:H4474"/>
    <mergeCell ref="H4475:H4476"/>
    <mergeCell ref="H4483:H4484"/>
    <mergeCell ref="H4488:H4491"/>
    <mergeCell ref="H4225:H4229"/>
    <mergeCell ref="H4230:H4231"/>
    <mergeCell ref="H4232:H4233"/>
    <mergeCell ref="H4234:H4235"/>
    <mergeCell ref="H4236:H4237"/>
    <mergeCell ref="H4239:H4240"/>
    <mergeCell ref="H4241:H4243"/>
    <mergeCell ref="H4249:H4250"/>
    <mergeCell ref="H4251:H4252"/>
    <mergeCell ref="H4253:H4257"/>
    <mergeCell ref="H4259:H4260"/>
    <mergeCell ref="H4261:H4265"/>
    <mergeCell ref="H4266:H4267"/>
    <mergeCell ref="H4269:H4270"/>
    <mergeCell ref="H4414:H4415"/>
    <mergeCell ref="H4417:H4418"/>
    <mergeCell ref="H4420:H4421"/>
    <mergeCell ref="H4351:H4352"/>
    <mergeCell ref="H4353:H4354"/>
    <mergeCell ref="H4357:H4358"/>
    <mergeCell ref="H4360:H4361"/>
    <mergeCell ref="H4362:H4364"/>
    <mergeCell ref="H4368:H4369"/>
    <mergeCell ref="H4370:H4371"/>
    <mergeCell ref="H4374:H4375"/>
    <mergeCell ref="H4376:H4377"/>
    <mergeCell ref="H4378:H4379"/>
    <mergeCell ref="H4380:H4382"/>
    <mergeCell ref="H4383:H4385"/>
    <mergeCell ref="H4388:H4390"/>
    <mergeCell ref="H4391:H4392"/>
    <mergeCell ref="H4393:H4394"/>
    <mergeCell ref="H4166:H4167"/>
    <mergeCell ref="H4170:H4172"/>
    <mergeCell ref="H4174:H4175"/>
    <mergeCell ref="H4176:H4177"/>
    <mergeCell ref="H4180:H4181"/>
    <mergeCell ref="H4183:H4185"/>
    <mergeCell ref="H4187:H4188"/>
    <mergeCell ref="H4189:H4190"/>
    <mergeCell ref="H4191:H4194"/>
    <mergeCell ref="H4195:H4196"/>
    <mergeCell ref="H4198:H4199"/>
    <mergeCell ref="H4200:H4201"/>
    <mergeCell ref="H4204:H4205"/>
    <mergeCell ref="H4206:H4207"/>
    <mergeCell ref="H4212:H4214"/>
    <mergeCell ref="H4217:H4218"/>
    <mergeCell ref="H4223:H4224"/>
    <mergeCell ref="H4078:H4079"/>
    <mergeCell ref="H4080:H4081"/>
    <mergeCell ref="H4084:H4086"/>
    <mergeCell ref="H4090:H4091"/>
    <mergeCell ref="H4096:H4097"/>
    <mergeCell ref="H4099:H4103"/>
    <mergeCell ref="H4104:H4106"/>
    <mergeCell ref="H4111:H4112"/>
    <mergeCell ref="H4114:H4117"/>
    <mergeCell ref="H4121:H4122"/>
    <mergeCell ref="H4129:H4130"/>
    <mergeCell ref="H4133:H4138"/>
    <mergeCell ref="H4144:H4146"/>
    <mergeCell ref="H4150:H4151"/>
    <mergeCell ref="H4154:H4156"/>
    <mergeCell ref="H4158:H4159"/>
    <mergeCell ref="H4162:H4163"/>
    <mergeCell ref="H3761:H3762"/>
    <mergeCell ref="H3763:H3766"/>
    <mergeCell ref="H3767:H3769"/>
    <mergeCell ref="H3771:H3777"/>
    <mergeCell ref="H3778:H3779"/>
    <mergeCell ref="H3780:H3782"/>
    <mergeCell ref="H3783:H3784"/>
    <mergeCell ref="H3786:H3787"/>
    <mergeCell ref="H3788:H3790"/>
    <mergeCell ref="H4045:H4048"/>
    <mergeCell ref="H4050:H4051"/>
    <mergeCell ref="H4053:H4055"/>
    <mergeCell ref="H4057:H4060"/>
    <mergeCell ref="H4063:H4065"/>
    <mergeCell ref="H4066:H4069"/>
    <mergeCell ref="H4070:H4073"/>
    <mergeCell ref="H4074:H4077"/>
    <mergeCell ref="H3975:H3977"/>
    <mergeCell ref="H3979:H3980"/>
    <mergeCell ref="H3986:H3987"/>
    <mergeCell ref="H3990:H3992"/>
    <mergeCell ref="H3994:H3995"/>
    <mergeCell ref="H3996:H3997"/>
    <mergeCell ref="H4001:H4003"/>
    <mergeCell ref="H4004:H4005"/>
    <mergeCell ref="H4013:H4023"/>
    <mergeCell ref="H4026:H4027"/>
    <mergeCell ref="H4031:H4032"/>
    <mergeCell ref="H4036:H4037"/>
    <mergeCell ref="H4038:H4039"/>
    <mergeCell ref="H4040:H4043"/>
    <mergeCell ref="H3654:H3655"/>
    <mergeCell ref="H3656:H3657"/>
    <mergeCell ref="H3658:H3659"/>
    <mergeCell ref="H3660:H3663"/>
    <mergeCell ref="H3664:H3666"/>
    <mergeCell ref="H3667:H3668"/>
    <mergeCell ref="H3669:H3670"/>
    <mergeCell ref="H3671:H3673"/>
    <mergeCell ref="H3675:H3676"/>
    <mergeCell ref="H3678:H3680"/>
    <mergeCell ref="H3682:H3683"/>
    <mergeCell ref="H3684:H3685"/>
    <mergeCell ref="H3686:H3689"/>
    <mergeCell ref="H3690:H3691"/>
    <mergeCell ref="H3692:H3693"/>
    <mergeCell ref="H3694:H3698"/>
    <mergeCell ref="H3699:H3700"/>
    <mergeCell ref="H3705:H3706"/>
    <mergeCell ref="H4702:H4705"/>
    <mergeCell ref="H4708:H4709"/>
    <mergeCell ref="H4711:H4712"/>
    <mergeCell ref="H4718:H4719"/>
    <mergeCell ref="H4721:H4722"/>
    <mergeCell ref="H4724:H4725"/>
    <mergeCell ref="H4728:H4730"/>
    <mergeCell ref="H4732:H4733"/>
    <mergeCell ref="H4734:H4735"/>
    <mergeCell ref="H4736:H4738"/>
    <mergeCell ref="H4817:H4820"/>
    <mergeCell ref="H4822:H4825"/>
    <mergeCell ref="H4826:H4827"/>
    <mergeCell ref="H4828:H4832"/>
    <mergeCell ref="H4836:H4840"/>
    <mergeCell ref="H4841:H4843"/>
    <mergeCell ref="H4844:H4847"/>
    <mergeCell ref="H4906:H4907"/>
    <mergeCell ref="H4909:H4910"/>
    <mergeCell ref="H4912:H4914"/>
    <mergeCell ref="H4981:H4983"/>
    <mergeCell ref="H4984:H4985"/>
    <mergeCell ref="H4986:H4988"/>
    <mergeCell ref="H4989:H4990"/>
    <mergeCell ref="H4991:H4993"/>
    <mergeCell ref="H4918:H4922"/>
    <mergeCell ref="H4925:H4948"/>
    <mergeCell ref="H4954:H4956"/>
    <mergeCell ref="H4957:H4958"/>
    <mergeCell ref="H4968:H4970"/>
    <mergeCell ref="H4972:H4973"/>
    <mergeCell ref="H4977:H4979"/>
    <mergeCell ref="H4565:H4567"/>
    <mergeCell ref="H4569:H4570"/>
    <mergeCell ref="H4571:H4572"/>
    <mergeCell ref="H4573:H4574"/>
    <mergeCell ref="H4575:H4576"/>
    <mergeCell ref="H4577:H4580"/>
    <mergeCell ref="H4583:H4584"/>
    <mergeCell ref="H4586:H4587"/>
    <mergeCell ref="H4588:H4589"/>
    <mergeCell ref="H4590:H4593"/>
    <mergeCell ref="H4596:H4597"/>
    <mergeCell ref="H4599:H4602"/>
    <mergeCell ref="H4603:H4604"/>
    <mergeCell ref="H4609:H4610"/>
    <mergeCell ref="H4614:H4616"/>
    <mergeCell ref="H4619:H4620"/>
    <mergeCell ref="H4623:H4624"/>
    <mergeCell ref="H4783:H4784"/>
    <mergeCell ref="H4786:H4787"/>
    <mergeCell ref="H4791:H4792"/>
    <mergeCell ref="H4798:H4799"/>
    <mergeCell ref="H4800:H4802"/>
    <mergeCell ref="H4804:H4807"/>
    <mergeCell ref="H4851:H4852"/>
    <mergeCell ref="H4857:H4858"/>
    <mergeCell ref="H4869:H4870"/>
    <mergeCell ref="H4872:H4876"/>
    <mergeCell ref="H4877:H4881"/>
    <mergeCell ref="H4882:H4883"/>
    <mergeCell ref="H4884:H4885"/>
    <mergeCell ref="H4888:H4889"/>
    <mergeCell ref="H4890:H4891"/>
    <mergeCell ref="H4893:H4894"/>
    <mergeCell ref="H4902:H4905"/>
    <mergeCell ref="H3933:H3940"/>
    <mergeCell ref="H3942:H3943"/>
    <mergeCell ref="H3944:H3945"/>
    <mergeCell ref="H3946:H3948"/>
    <mergeCell ref="H3954:H3955"/>
    <mergeCell ref="H3962:H3963"/>
    <mergeCell ref="H3964:H3965"/>
    <mergeCell ref="H3966:H3967"/>
    <mergeCell ref="H3971:H3972"/>
    <mergeCell ref="H4741:H4743"/>
    <mergeCell ref="H4748:H4749"/>
    <mergeCell ref="H4753:H4754"/>
    <mergeCell ref="H4757:H4758"/>
    <mergeCell ref="H4761:H4762"/>
    <mergeCell ref="H4768:H4770"/>
    <mergeCell ref="H4771:H4772"/>
    <mergeCell ref="H4780:H4781"/>
    <mergeCell ref="H4627:H4633"/>
    <mergeCell ref="H4637:H4638"/>
    <mergeCell ref="H4640:H4642"/>
    <mergeCell ref="H4643:H4644"/>
    <mergeCell ref="H4649:H4658"/>
    <mergeCell ref="H4659:H4660"/>
    <mergeCell ref="H4662:H4663"/>
    <mergeCell ref="H4668:H4673"/>
    <mergeCell ref="H4674:H4677"/>
    <mergeCell ref="H4680:H4681"/>
    <mergeCell ref="H4683:H4684"/>
    <mergeCell ref="H4686:H4687"/>
    <mergeCell ref="H4692:H4695"/>
    <mergeCell ref="H4696:H4697"/>
    <mergeCell ref="H4698:H4699"/>
    <mergeCell ref="H3797:H3798"/>
    <mergeCell ref="H3799:H3802"/>
    <mergeCell ref="H3804:H3806"/>
    <mergeCell ref="H3807:H3808"/>
    <mergeCell ref="H3809:H3812"/>
    <mergeCell ref="H3814:H3815"/>
    <mergeCell ref="H3816:H3817"/>
    <mergeCell ref="H3818:H3819"/>
    <mergeCell ref="H3821:H3825"/>
    <mergeCell ref="H3828:H3830"/>
    <mergeCell ref="H3831:H3832"/>
    <mergeCell ref="H3833:H3838"/>
    <mergeCell ref="H3915:H3917"/>
    <mergeCell ref="H3918:H3921"/>
    <mergeCell ref="H3922:H3924"/>
    <mergeCell ref="H3925:H3926"/>
    <mergeCell ref="H3929:H3930"/>
    <mergeCell ref="H3841:H3843"/>
    <mergeCell ref="H3845:H3846"/>
    <mergeCell ref="H3847:H3850"/>
    <mergeCell ref="H3851:H3852"/>
    <mergeCell ref="H3853:H3854"/>
    <mergeCell ref="H3858:H3859"/>
    <mergeCell ref="H3861:H3862"/>
    <mergeCell ref="H3865:H3866"/>
    <mergeCell ref="H3872:H3873"/>
    <mergeCell ref="H3876:H3877"/>
    <mergeCell ref="H3881:H3884"/>
    <mergeCell ref="H3886:H3888"/>
    <mergeCell ref="H3900:H3902"/>
    <mergeCell ref="H3904:H3906"/>
    <mergeCell ref="H3607:H3608"/>
    <mergeCell ref="H3609:H3611"/>
    <mergeCell ref="H3613:H3614"/>
    <mergeCell ref="H3615:H3616"/>
    <mergeCell ref="H3617:H3618"/>
    <mergeCell ref="H3619:H3622"/>
    <mergeCell ref="H3624:H3625"/>
    <mergeCell ref="H3627:H3629"/>
    <mergeCell ref="H3630:H3631"/>
    <mergeCell ref="H3632:H3638"/>
    <mergeCell ref="H3639:H3640"/>
    <mergeCell ref="H3641:H3642"/>
    <mergeCell ref="H3643:H3644"/>
    <mergeCell ref="H3646:H3649"/>
    <mergeCell ref="H3650:H3653"/>
    <mergeCell ref="H3792:H3793"/>
    <mergeCell ref="H3794:H3796"/>
    <mergeCell ref="H3708:H3709"/>
    <mergeCell ref="H3711:H3714"/>
    <mergeCell ref="H3715:H3716"/>
    <mergeCell ref="H3717:H3718"/>
    <mergeCell ref="H3719:H3723"/>
    <mergeCell ref="H3724:H3726"/>
    <mergeCell ref="H3727:H3728"/>
    <mergeCell ref="H3730:H3731"/>
    <mergeCell ref="H3733:H3734"/>
    <mergeCell ref="H3735:H3742"/>
    <mergeCell ref="H3744:H3748"/>
    <mergeCell ref="H3750:H3751"/>
    <mergeCell ref="H3753:H3754"/>
    <mergeCell ref="H3755:H3756"/>
    <mergeCell ref="H3757:H3759"/>
    <mergeCell ref="H3553:H3555"/>
    <mergeCell ref="H3556:H3557"/>
    <mergeCell ref="H3558:H3559"/>
    <mergeCell ref="H3560:H3562"/>
    <mergeCell ref="H3563:H3564"/>
    <mergeCell ref="H3565:H3567"/>
    <mergeCell ref="H3568:H3570"/>
    <mergeCell ref="H3571:H3576"/>
    <mergeCell ref="H3577:H3581"/>
    <mergeCell ref="H3582:H3583"/>
    <mergeCell ref="H3586:H3587"/>
    <mergeCell ref="H3588:H3590"/>
    <mergeCell ref="H3591:H3592"/>
    <mergeCell ref="H3593:H3595"/>
    <mergeCell ref="H3597:H3599"/>
    <mergeCell ref="H3601:H3603"/>
    <mergeCell ref="H3605:H3606"/>
    <mergeCell ref="H3492:H3494"/>
    <mergeCell ref="H3500:H3502"/>
    <mergeCell ref="H3503:H3504"/>
    <mergeCell ref="H3505:H3508"/>
    <mergeCell ref="H3510:H3511"/>
    <mergeCell ref="H3512:H3515"/>
    <mergeCell ref="H3516:H3518"/>
    <mergeCell ref="H3519:H3521"/>
    <mergeCell ref="H3522:H3523"/>
    <mergeCell ref="H3527:H3529"/>
    <mergeCell ref="H3530:H3531"/>
    <mergeCell ref="H3533:H3534"/>
    <mergeCell ref="H3535:H3537"/>
    <mergeCell ref="H3539:H3540"/>
    <mergeCell ref="H3541:H3543"/>
    <mergeCell ref="H3544:H3545"/>
    <mergeCell ref="H3546:H3550"/>
    <mergeCell ref="H3299:H3300"/>
    <mergeCell ref="H3304:H3306"/>
    <mergeCell ref="H3307:H3311"/>
    <mergeCell ref="H3312:H3316"/>
    <mergeCell ref="H3317:H3319"/>
    <mergeCell ref="H3320:H3321"/>
    <mergeCell ref="H3325:H3326"/>
    <mergeCell ref="H3332:H3336"/>
    <mergeCell ref="H3338:H3340"/>
    <mergeCell ref="H3341:H3342"/>
    <mergeCell ref="H3467:H3469"/>
    <mergeCell ref="H3470:H3472"/>
    <mergeCell ref="H3476:H3479"/>
    <mergeCell ref="H3480:H3481"/>
    <mergeCell ref="H3482:H3485"/>
    <mergeCell ref="H3486:H3487"/>
    <mergeCell ref="H3490:H3491"/>
    <mergeCell ref="H3403:H3405"/>
    <mergeCell ref="H3411:H3413"/>
    <mergeCell ref="H3414:H3415"/>
    <mergeCell ref="H3417:H3418"/>
    <mergeCell ref="H3421:H3424"/>
    <mergeCell ref="H3427:H3428"/>
    <mergeCell ref="H3429:H3430"/>
    <mergeCell ref="H3434:H3435"/>
    <mergeCell ref="H3436:H3439"/>
    <mergeCell ref="H3443:H3445"/>
    <mergeCell ref="H3449:H3450"/>
    <mergeCell ref="H3455:H3457"/>
    <mergeCell ref="H3459:H3460"/>
    <mergeCell ref="H3461:H3463"/>
    <mergeCell ref="H3464:H3465"/>
    <mergeCell ref="H3147:H3148"/>
    <mergeCell ref="H3151:H3154"/>
    <mergeCell ref="H3157:H3158"/>
    <mergeCell ref="H3163:H3164"/>
    <mergeCell ref="H3167:H3168"/>
    <mergeCell ref="H3173:H3175"/>
    <mergeCell ref="H3176:H3177"/>
    <mergeCell ref="H3179:H3183"/>
    <mergeCell ref="H3185:H3186"/>
    <mergeCell ref="H3189:H3190"/>
    <mergeCell ref="H3195:H3196"/>
    <mergeCell ref="H3207:H3208"/>
    <mergeCell ref="H3210:H3212"/>
    <mergeCell ref="H3216:H3217"/>
    <mergeCell ref="H3218:H3219"/>
    <mergeCell ref="H3220:H3221"/>
    <mergeCell ref="H3222:H3224"/>
    <mergeCell ref="H3124:H3125"/>
    <mergeCell ref="H3127:H3128"/>
    <mergeCell ref="H3129:H3133"/>
    <mergeCell ref="H3134:H3145"/>
    <mergeCell ref="H3346:H3347"/>
    <mergeCell ref="H3349:H3350"/>
    <mergeCell ref="H3355:H3356"/>
    <mergeCell ref="H3357:H3358"/>
    <mergeCell ref="H3360:H3363"/>
    <mergeCell ref="H3365:H3368"/>
    <mergeCell ref="H3372:H3374"/>
    <mergeCell ref="H3376:H3378"/>
    <mergeCell ref="H3381:H3383"/>
    <mergeCell ref="H3384:H3385"/>
    <mergeCell ref="H3388:H3391"/>
    <mergeCell ref="H3394:H3396"/>
    <mergeCell ref="H3397:H3399"/>
    <mergeCell ref="H3227:H3230"/>
    <mergeCell ref="H3234:H3235"/>
    <mergeCell ref="H3240:H3241"/>
    <mergeCell ref="H3249:H3250"/>
    <mergeCell ref="H3254:H3255"/>
    <mergeCell ref="H3259:H3260"/>
    <mergeCell ref="H3261:H3262"/>
    <mergeCell ref="H3263:H3264"/>
    <mergeCell ref="H3268:H3271"/>
    <mergeCell ref="H3273:H3274"/>
    <mergeCell ref="H3278:H3280"/>
    <mergeCell ref="H3281:H3282"/>
    <mergeCell ref="H3289:H3290"/>
    <mergeCell ref="H3291:H3292"/>
    <mergeCell ref="H3295:H3296"/>
    <mergeCell ref="H3032:H3034"/>
    <mergeCell ref="H3036:H3037"/>
    <mergeCell ref="H3039:H3040"/>
    <mergeCell ref="H3042:H3043"/>
    <mergeCell ref="H3048:H3049"/>
    <mergeCell ref="H3051:H3052"/>
    <mergeCell ref="H3055:H3056"/>
    <mergeCell ref="H3066:H3068"/>
    <mergeCell ref="H3075:H3076"/>
    <mergeCell ref="H3084:H3085"/>
    <mergeCell ref="H3090:H3091"/>
    <mergeCell ref="H3092:H3093"/>
    <mergeCell ref="H3094:H3096"/>
    <mergeCell ref="H3097:H3102"/>
    <mergeCell ref="H3104:H3105"/>
    <mergeCell ref="H3106:H3108"/>
    <mergeCell ref="H3111:H3112"/>
    <mergeCell ref="H2957:H2963"/>
    <mergeCell ref="H2964:H2965"/>
    <mergeCell ref="H2966:H2967"/>
    <mergeCell ref="H2974:H2975"/>
    <mergeCell ref="H2979:H2980"/>
    <mergeCell ref="H2983:H2984"/>
    <mergeCell ref="H2986:H2989"/>
    <mergeCell ref="H2992:H2993"/>
    <mergeCell ref="H2995:H2999"/>
    <mergeCell ref="H3002:H3008"/>
    <mergeCell ref="H3009:H3011"/>
    <mergeCell ref="H3016:H3017"/>
    <mergeCell ref="H3018:H3019"/>
    <mergeCell ref="H3021:H3022"/>
    <mergeCell ref="H3026:H3027"/>
    <mergeCell ref="H3028:H3029"/>
    <mergeCell ref="H3030:H3031"/>
    <mergeCell ref="H2856:H2857"/>
    <mergeCell ref="H2868:H2869"/>
    <mergeCell ref="H2873:H2874"/>
    <mergeCell ref="H2881:H2882"/>
    <mergeCell ref="H2888:H2889"/>
    <mergeCell ref="H2893:H2894"/>
    <mergeCell ref="H2897:H2903"/>
    <mergeCell ref="H2905:H2906"/>
    <mergeCell ref="H2910:H2913"/>
    <mergeCell ref="H2923:H2925"/>
    <mergeCell ref="H2929:H2932"/>
    <mergeCell ref="H2933:H2934"/>
    <mergeCell ref="H2935:H2937"/>
    <mergeCell ref="H2940:H2942"/>
    <mergeCell ref="H2947:H2948"/>
    <mergeCell ref="H2950:H2952"/>
    <mergeCell ref="H2953:H2954"/>
    <mergeCell ref="H2788:H2789"/>
    <mergeCell ref="H2790:H2791"/>
    <mergeCell ref="H2792:H2794"/>
    <mergeCell ref="H2795:H2796"/>
    <mergeCell ref="H2797:H2799"/>
    <mergeCell ref="H2801:H2803"/>
    <mergeCell ref="H2810:H2811"/>
    <mergeCell ref="H2817:H2818"/>
    <mergeCell ref="H2819:H2822"/>
    <mergeCell ref="H2826:H2827"/>
    <mergeCell ref="H2832:H2833"/>
    <mergeCell ref="H2838:H2839"/>
    <mergeCell ref="H2840:H2841"/>
    <mergeCell ref="H2843:H2844"/>
    <mergeCell ref="H2846:H2847"/>
    <mergeCell ref="H2848:H2849"/>
    <mergeCell ref="H2850:H2854"/>
    <mergeCell ref="H2714:H2715"/>
    <mergeCell ref="H2718:H2719"/>
    <mergeCell ref="H2721:H2722"/>
    <mergeCell ref="H2725:H2726"/>
    <mergeCell ref="H2730:H2731"/>
    <mergeCell ref="H2736:H2738"/>
    <mergeCell ref="H2739:H2740"/>
    <mergeCell ref="H2741:H2742"/>
    <mergeCell ref="H2745:H2746"/>
    <mergeCell ref="H2747:H2748"/>
    <mergeCell ref="H2749:H2751"/>
    <mergeCell ref="H2757:H2759"/>
    <mergeCell ref="H2760:H2762"/>
    <mergeCell ref="H2766:H2767"/>
    <mergeCell ref="H2768:H2769"/>
    <mergeCell ref="H2771:H2772"/>
    <mergeCell ref="H2776:H2779"/>
    <mergeCell ref="H2627:H2633"/>
    <mergeCell ref="H2635:H2638"/>
    <mergeCell ref="H2645:H2647"/>
    <mergeCell ref="H2648:H2649"/>
    <mergeCell ref="H2661:H2662"/>
    <mergeCell ref="H2667:H2669"/>
    <mergeCell ref="H2679:H2680"/>
    <mergeCell ref="H2681:H2682"/>
    <mergeCell ref="H2684:H2687"/>
    <mergeCell ref="H2691:H2692"/>
    <mergeCell ref="H2694:H2695"/>
    <mergeCell ref="H2696:H2697"/>
    <mergeCell ref="H2699:H2700"/>
    <mergeCell ref="H2701:H2702"/>
    <mergeCell ref="H2706:H2707"/>
    <mergeCell ref="H2708:H2709"/>
    <mergeCell ref="H2712:H2713"/>
    <mergeCell ref="H2530:H2531"/>
    <mergeCell ref="H2532:H2533"/>
    <mergeCell ref="H2536:H2539"/>
    <mergeCell ref="H2542:H2544"/>
    <mergeCell ref="H2545:H2554"/>
    <mergeCell ref="H2557:H2560"/>
    <mergeCell ref="H2574:H2575"/>
    <mergeCell ref="H2577:H2578"/>
    <mergeCell ref="H2579:H2582"/>
    <mergeCell ref="H2587:H2588"/>
    <mergeCell ref="H2592:H2594"/>
    <mergeCell ref="H2595:H2596"/>
    <mergeCell ref="H2602:H2603"/>
    <mergeCell ref="H2604:H2605"/>
    <mergeCell ref="H2611:H2612"/>
    <mergeCell ref="H2613:H2614"/>
    <mergeCell ref="H2619:H2620"/>
    <mergeCell ref="H2459:H2460"/>
    <mergeCell ref="H2462:H2463"/>
    <mergeCell ref="H2464:H2469"/>
    <mergeCell ref="H2471:H2472"/>
    <mergeCell ref="H2475:H2476"/>
    <mergeCell ref="H2478:H2480"/>
    <mergeCell ref="H2481:H2482"/>
    <mergeCell ref="H2486:H2487"/>
    <mergeCell ref="H2488:H2492"/>
    <mergeCell ref="H2494:H2495"/>
    <mergeCell ref="H2501:H2503"/>
    <mergeCell ref="H2505:H2508"/>
    <mergeCell ref="H2509:H2510"/>
    <mergeCell ref="H2511:H2512"/>
    <mergeCell ref="H2514:H2516"/>
    <mergeCell ref="H2519:H2522"/>
    <mergeCell ref="H2524:H2525"/>
    <mergeCell ref="H2301:H2302"/>
    <mergeCell ref="H2304:H2305"/>
    <mergeCell ref="H2306:H2308"/>
    <mergeCell ref="H2371:H2372"/>
    <mergeCell ref="H2375:H2376"/>
    <mergeCell ref="H2384:H2385"/>
    <mergeCell ref="H2387:H2389"/>
    <mergeCell ref="H2391:H2392"/>
    <mergeCell ref="H2397:H2398"/>
    <mergeCell ref="H2402:H2407"/>
    <mergeCell ref="H2408:H2410"/>
    <mergeCell ref="H2413:H2419"/>
    <mergeCell ref="H2427:H2428"/>
    <mergeCell ref="H2429:H2430"/>
    <mergeCell ref="H2434:H2435"/>
    <mergeCell ref="H2445:H2448"/>
    <mergeCell ref="H2457:H2458"/>
    <mergeCell ref="H2343:H2344"/>
    <mergeCell ref="H2345:H2347"/>
    <mergeCell ref="H2349:H2350"/>
    <mergeCell ref="H2351:H2352"/>
    <mergeCell ref="H2355:H2356"/>
    <mergeCell ref="H2359:H2360"/>
    <mergeCell ref="H2362:H2363"/>
    <mergeCell ref="H2365:H2366"/>
    <mergeCell ref="H2126:H2130"/>
    <mergeCell ref="H2131:H2132"/>
    <mergeCell ref="H2133:H2134"/>
    <mergeCell ref="H2139:H2141"/>
    <mergeCell ref="H2143:H2144"/>
    <mergeCell ref="H2154:H2155"/>
    <mergeCell ref="H2158:H2162"/>
    <mergeCell ref="H2163:H2164"/>
    <mergeCell ref="H2167:H2171"/>
    <mergeCell ref="H2172:H2173"/>
    <mergeCell ref="H2176:H2178"/>
    <mergeCell ref="H2182:H2184"/>
    <mergeCell ref="H2185:H2188"/>
    <mergeCell ref="H2189:H2190"/>
    <mergeCell ref="H2193:H2194"/>
    <mergeCell ref="H2199:H2200"/>
    <mergeCell ref="H2204:H2205"/>
    <mergeCell ref="H2206:H2207"/>
    <mergeCell ref="H2210:H2212"/>
    <mergeCell ref="H2213:H2215"/>
    <mergeCell ref="H2216:H2217"/>
    <mergeCell ref="H2221:H2225"/>
    <mergeCell ref="H2226:H2230"/>
    <mergeCell ref="H2234:H2235"/>
    <mergeCell ref="H1907:H1908"/>
    <mergeCell ref="H1909:H1910"/>
    <mergeCell ref="H1912:H1914"/>
    <mergeCell ref="H1916:H1918"/>
    <mergeCell ref="H2085:H2087"/>
    <mergeCell ref="H2090:H2091"/>
    <mergeCell ref="H2092:H2094"/>
    <mergeCell ref="H2098:H2099"/>
    <mergeCell ref="H2108:H2110"/>
    <mergeCell ref="H2116:H2117"/>
    <mergeCell ref="H2118:H2120"/>
    <mergeCell ref="H2312:H2315"/>
    <mergeCell ref="H2325:H2329"/>
    <mergeCell ref="H2334:H2335"/>
    <mergeCell ref="H2336:H2338"/>
    <mergeCell ref="H2339:H2340"/>
    <mergeCell ref="H2341:H2342"/>
    <mergeCell ref="H2237:H2240"/>
    <mergeCell ref="H2242:H2243"/>
    <mergeCell ref="H2244:H2245"/>
    <mergeCell ref="H2246:H2248"/>
    <mergeCell ref="H2252:H2253"/>
    <mergeCell ref="H2256:H2257"/>
    <mergeCell ref="H2258:H2260"/>
    <mergeCell ref="H2261:H2263"/>
    <mergeCell ref="H2264:H2265"/>
    <mergeCell ref="H2267:H2268"/>
    <mergeCell ref="H2274:H2277"/>
    <mergeCell ref="H2281:H2283"/>
    <mergeCell ref="H2285:H2287"/>
    <mergeCell ref="H2289:H2290"/>
    <mergeCell ref="H2292:H2299"/>
    <mergeCell ref="H1796:H1797"/>
    <mergeCell ref="H1799:H1803"/>
    <mergeCell ref="H1808:H1810"/>
    <mergeCell ref="H1816:H1817"/>
    <mergeCell ref="H1826:H1827"/>
    <mergeCell ref="H1829:H1835"/>
    <mergeCell ref="H1841:H1844"/>
    <mergeCell ref="H1853:H1855"/>
    <mergeCell ref="H1864:H1869"/>
    <mergeCell ref="H1870:H1871"/>
    <mergeCell ref="H1872:H1874"/>
    <mergeCell ref="H1876:H1877"/>
    <mergeCell ref="H1878:H1879"/>
    <mergeCell ref="H1880:H1882"/>
    <mergeCell ref="H1892:H1893"/>
    <mergeCell ref="H1894:H1895"/>
    <mergeCell ref="H1896:H1897"/>
    <mergeCell ref="H2034:H2035"/>
    <mergeCell ref="H2039:H2040"/>
    <mergeCell ref="H2047:H2050"/>
    <mergeCell ref="H2052:H2056"/>
    <mergeCell ref="H2058:H2059"/>
    <mergeCell ref="H2060:H2061"/>
    <mergeCell ref="H2063:H2065"/>
    <mergeCell ref="H2066:H2067"/>
    <mergeCell ref="H2068:H2071"/>
    <mergeCell ref="H2072:H2075"/>
    <mergeCell ref="H2078:H2079"/>
    <mergeCell ref="H1688:H1689"/>
    <mergeCell ref="H1695:H1699"/>
    <mergeCell ref="H1700:H1702"/>
    <mergeCell ref="H1706:H1708"/>
    <mergeCell ref="H1712:H1713"/>
    <mergeCell ref="H1714:H1720"/>
    <mergeCell ref="H1724:H1728"/>
    <mergeCell ref="H1729:H1731"/>
    <mergeCell ref="H1732:H1733"/>
    <mergeCell ref="H1734:H1735"/>
    <mergeCell ref="H1736:H1737"/>
    <mergeCell ref="H1740:H1741"/>
    <mergeCell ref="H1743:H1745"/>
    <mergeCell ref="H1755:H1758"/>
    <mergeCell ref="H1761:H1763"/>
    <mergeCell ref="H1765:H1766"/>
    <mergeCell ref="H1767:H1768"/>
    <mergeCell ref="H1773:H1774"/>
    <mergeCell ref="H1780:H1783"/>
    <mergeCell ref="H1788:H1790"/>
    <mergeCell ref="H1791:H1795"/>
    <mergeCell ref="H1923:H1924"/>
    <mergeCell ref="H1939:H1940"/>
    <mergeCell ref="H1946:H1949"/>
    <mergeCell ref="H1950:H1951"/>
    <mergeCell ref="H1953:H1954"/>
    <mergeCell ref="H1955:H1956"/>
    <mergeCell ref="H1960:H1961"/>
    <mergeCell ref="H1965:H1966"/>
    <mergeCell ref="H1968:H1971"/>
    <mergeCell ref="H1974:H1977"/>
    <mergeCell ref="H1978:H1979"/>
    <mergeCell ref="H1987:H1988"/>
    <mergeCell ref="H1989:H1993"/>
    <mergeCell ref="H1995:H1996"/>
    <mergeCell ref="H2011:H2015"/>
    <mergeCell ref="H2016:H2018"/>
    <mergeCell ref="H2024:H2029"/>
    <mergeCell ref="H1472:H1473"/>
    <mergeCell ref="H1475:H1479"/>
    <mergeCell ref="H1481:H1482"/>
    <mergeCell ref="H1484:H1486"/>
    <mergeCell ref="H1491:H1495"/>
    <mergeCell ref="H1498:H1499"/>
    <mergeCell ref="H1504:H1505"/>
    <mergeCell ref="H1507:H1508"/>
    <mergeCell ref="H1510:H1519"/>
    <mergeCell ref="H1521:H1522"/>
    <mergeCell ref="H1658:H1660"/>
    <mergeCell ref="H1663:H1664"/>
    <mergeCell ref="H1665:H1666"/>
    <mergeCell ref="H1670:H1671"/>
    <mergeCell ref="H1675:H1676"/>
    <mergeCell ref="H1679:H1680"/>
    <mergeCell ref="H1683:H1685"/>
    <mergeCell ref="H1588:H1590"/>
    <mergeCell ref="H1593:H1594"/>
    <mergeCell ref="H1597:H1599"/>
    <mergeCell ref="H1600:H1601"/>
    <mergeCell ref="H1604:H1606"/>
    <mergeCell ref="H1612:H1614"/>
    <mergeCell ref="H1621:H1622"/>
    <mergeCell ref="H1627:H1628"/>
    <mergeCell ref="H1629:H1630"/>
    <mergeCell ref="H1637:H1638"/>
    <mergeCell ref="H1642:H1643"/>
    <mergeCell ref="H1644:H1645"/>
    <mergeCell ref="H1649:H1650"/>
    <mergeCell ref="H1651:H1652"/>
    <mergeCell ref="H1655:H1656"/>
    <mergeCell ref="H1308:H1309"/>
    <mergeCell ref="H1310:H1312"/>
    <mergeCell ref="H1317:H1320"/>
    <mergeCell ref="H1321:H1322"/>
    <mergeCell ref="H1330:H1331"/>
    <mergeCell ref="H1333:H1335"/>
    <mergeCell ref="H1337:H1339"/>
    <mergeCell ref="H1340:H1341"/>
    <mergeCell ref="H1344:H1353"/>
    <mergeCell ref="H1357:H1358"/>
    <mergeCell ref="H1362:H1364"/>
    <mergeCell ref="H1366:H1369"/>
    <mergeCell ref="H1370:H1371"/>
    <mergeCell ref="H1372:H1373"/>
    <mergeCell ref="H1375:H1376"/>
    <mergeCell ref="H1378:H1381"/>
    <mergeCell ref="H1386:H1390"/>
    <mergeCell ref="H1286:H1288"/>
    <mergeCell ref="H1290:H1293"/>
    <mergeCell ref="H1297:H1298"/>
    <mergeCell ref="H1303:H1307"/>
    <mergeCell ref="H1524:H1525"/>
    <mergeCell ref="H1538:H1539"/>
    <mergeCell ref="H1542:H1543"/>
    <mergeCell ref="H1547:H1549"/>
    <mergeCell ref="H1552:H1554"/>
    <mergeCell ref="H1556:H1557"/>
    <mergeCell ref="H1561:H1564"/>
    <mergeCell ref="H1566:H1569"/>
    <mergeCell ref="H1571:H1572"/>
    <mergeCell ref="H1573:H1577"/>
    <mergeCell ref="H1578:H1579"/>
    <mergeCell ref="H1580:H1582"/>
    <mergeCell ref="H1583:H1584"/>
    <mergeCell ref="H1391:H1392"/>
    <mergeCell ref="H1393:H1394"/>
    <mergeCell ref="H1398:H1399"/>
    <mergeCell ref="H1401:H1403"/>
    <mergeCell ref="H1410:H1411"/>
    <mergeCell ref="H1412:H1413"/>
    <mergeCell ref="H1414:H1418"/>
    <mergeCell ref="H1420:H1421"/>
    <mergeCell ref="H1423:H1425"/>
    <mergeCell ref="H1426:H1428"/>
    <mergeCell ref="H1442:H1443"/>
    <mergeCell ref="H1446:H1449"/>
    <mergeCell ref="H1450:H1454"/>
    <mergeCell ref="H1464:H1466"/>
    <mergeCell ref="H1467:H1468"/>
    <mergeCell ref="H1168:H1170"/>
    <mergeCell ref="H1172:H1173"/>
    <mergeCell ref="H1182:H1183"/>
    <mergeCell ref="H1184:H1185"/>
    <mergeCell ref="H1186:H1196"/>
    <mergeCell ref="H1197:H1199"/>
    <mergeCell ref="H1209:H1214"/>
    <mergeCell ref="H1218:H1220"/>
    <mergeCell ref="H1228:H1230"/>
    <mergeCell ref="H1231:H1233"/>
    <mergeCell ref="H1242:H1243"/>
    <mergeCell ref="H1246:H1247"/>
    <mergeCell ref="H1250:H1251"/>
    <mergeCell ref="H1258:H1259"/>
    <mergeCell ref="H1260:H1261"/>
    <mergeCell ref="H1263:H1264"/>
    <mergeCell ref="H1272:H1273"/>
    <mergeCell ref="H1089:H1091"/>
    <mergeCell ref="H1094:H1096"/>
    <mergeCell ref="H1100:H1101"/>
    <mergeCell ref="H1102:H1104"/>
    <mergeCell ref="H1106:H1110"/>
    <mergeCell ref="H1111:H1114"/>
    <mergeCell ref="H1116:H1118"/>
    <mergeCell ref="H1119:H1121"/>
    <mergeCell ref="H1122:H1123"/>
    <mergeCell ref="H1124:H1127"/>
    <mergeCell ref="H1128:H1132"/>
    <mergeCell ref="H1136:H1137"/>
    <mergeCell ref="H1145:H1146"/>
    <mergeCell ref="H1147:H1149"/>
    <mergeCell ref="H1150:H1151"/>
    <mergeCell ref="H1152:H1158"/>
    <mergeCell ref="H1160:H1164"/>
    <mergeCell ref="H995:H996"/>
    <mergeCell ref="H997:H998"/>
    <mergeCell ref="H999:H1005"/>
    <mergeCell ref="H1007:H1010"/>
    <mergeCell ref="H1031:H1032"/>
    <mergeCell ref="H1037:H1038"/>
    <mergeCell ref="H1040:H1041"/>
    <mergeCell ref="H1044:H1045"/>
    <mergeCell ref="H1046:H1047"/>
    <mergeCell ref="H1050:H1052"/>
    <mergeCell ref="H1055:H1056"/>
    <mergeCell ref="H1058:H1060"/>
    <mergeCell ref="H1064:H1068"/>
    <mergeCell ref="H1069:H1071"/>
    <mergeCell ref="H1082:H1083"/>
    <mergeCell ref="H1084:H1085"/>
    <mergeCell ref="H1087:H1088"/>
    <mergeCell ref="H916:H917"/>
    <mergeCell ref="H920:H921"/>
    <mergeCell ref="H925:H926"/>
    <mergeCell ref="H927:H929"/>
    <mergeCell ref="H930:H936"/>
    <mergeCell ref="H937:H939"/>
    <mergeCell ref="H943:H944"/>
    <mergeCell ref="H945:H948"/>
    <mergeCell ref="H950:H953"/>
    <mergeCell ref="H959:H960"/>
    <mergeCell ref="H963:H964"/>
    <mergeCell ref="H966:H968"/>
    <mergeCell ref="H969:H970"/>
    <mergeCell ref="H971:H972"/>
    <mergeCell ref="H974:H975"/>
    <mergeCell ref="H990:H991"/>
    <mergeCell ref="H992:H994"/>
    <mergeCell ref="H845:H846"/>
    <mergeCell ref="H847:H849"/>
    <mergeCell ref="H850:H851"/>
    <mergeCell ref="H858:H860"/>
    <mergeCell ref="H865:H871"/>
    <mergeCell ref="H872:H873"/>
    <mergeCell ref="H874:H875"/>
    <mergeCell ref="H877:H879"/>
    <mergeCell ref="H881:H882"/>
    <mergeCell ref="H883:H884"/>
    <mergeCell ref="H887:H889"/>
    <mergeCell ref="H890:H892"/>
    <mergeCell ref="H896:H900"/>
    <mergeCell ref="H901:H902"/>
    <mergeCell ref="H904:H906"/>
    <mergeCell ref="H907:H908"/>
    <mergeCell ref="H909:H913"/>
    <mergeCell ref="H669:H671"/>
    <mergeCell ref="H758:H763"/>
    <mergeCell ref="H768:H772"/>
    <mergeCell ref="H774:H775"/>
    <mergeCell ref="H776:H777"/>
    <mergeCell ref="H779:H780"/>
    <mergeCell ref="H782:H783"/>
    <mergeCell ref="H785:H803"/>
    <mergeCell ref="H806:H809"/>
    <mergeCell ref="H812:H814"/>
    <mergeCell ref="H816:H817"/>
    <mergeCell ref="H820:H824"/>
    <mergeCell ref="H825:H826"/>
    <mergeCell ref="H827:H828"/>
    <mergeCell ref="H834:H835"/>
    <mergeCell ref="H838:H839"/>
    <mergeCell ref="H840:H842"/>
    <mergeCell ref="H715:H716"/>
    <mergeCell ref="H718:H720"/>
    <mergeCell ref="H725:H726"/>
    <mergeCell ref="H728:H731"/>
    <mergeCell ref="H735:H738"/>
    <mergeCell ref="H749:H751"/>
    <mergeCell ref="H502:H504"/>
    <mergeCell ref="H505:H506"/>
    <mergeCell ref="H508:H509"/>
    <mergeCell ref="H511:H513"/>
    <mergeCell ref="H514:H520"/>
    <mergeCell ref="H521:H522"/>
    <mergeCell ref="H523:H524"/>
    <mergeCell ref="H525:H526"/>
    <mergeCell ref="H527:H530"/>
    <mergeCell ref="H533:H534"/>
    <mergeCell ref="H538:H539"/>
    <mergeCell ref="H543:H544"/>
    <mergeCell ref="H545:H546"/>
    <mergeCell ref="H547:H549"/>
    <mergeCell ref="H551:H553"/>
    <mergeCell ref="H555:H557"/>
    <mergeCell ref="H558:H564"/>
    <mergeCell ref="H566:H567"/>
    <mergeCell ref="H568:H569"/>
    <mergeCell ref="H570:H572"/>
    <mergeCell ref="H574:H577"/>
    <mergeCell ref="H579:H580"/>
    <mergeCell ref="H581:H583"/>
    <mergeCell ref="H584:H588"/>
    <mergeCell ref="H589:H590"/>
    <mergeCell ref="H593:H595"/>
    <mergeCell ref="H469:H470"/>
    <mergeCell ref="H471:H474"/>
    <mergeCell ref="H476:H477"/>
    <mergeCell ref="H478:H479"/>
    <mergeCell ref="H480:H485"/>
    <mergeCell ref="H486:H487"/>
    <mergeCell ref="H489:H490"/>
    <mergeCell ref="H494:H495"/>
    <mergeCell ref="H496:H498"/>
    <mergeCell ref="H673:H674"/>
    <mergeCell ref="H675:H684"/>
    <mergeCell ref="H686:H687"/>
    <mergeCell ref="H689:H698"/>
    <mergeCell ref="H699:H700"/>
    <mergeCell ref="H703:H704"/>
    <mergeCell ref="H705:H706"/>
    <mergeCell ref="H708:H714"/>
    <mergeCell ref="H602:H605"/>
    <mergeCell ref="H606:H607"/>
    <mergeCell ref="H611:H613"/>
    <mergeCell ref="H616:H619"/>
    <mergeCell ref="H620:H621"/>
    <mergeCell ref="H623:H624"/>
    <mergeCell ref="H625:H630"/>
    <mergeCell ref="H631:H632"/>
    <mergeCell ref="H635:H636"/>
    <mergeCell ref="H637:H638"/>
    <mergeCell ref="H647:H648"/>
    <mergeCell ref="H650:H651"/>
    <mergeCell ref="H652:H653"/>
    <mergeCell ref="H657:H659"/>
    <mergeCell ref="H660:H663"/>
    <mergeCell ref="H396:H397"/>
    <mergeCell ref="H398:H401"/>
    <mergeCell ref="H403:H405"/>
    <mergeCell ref="H406:H407"/>
    <mergeCell ref="H410:H411"/>
    <mergeCell ref="H413:H414"/>
    <mergeCell ref="H415:H419"/>
    <mergeCell ref="H420:H421"/>
    <mergeCell ref="H422:H425"/>
    <mergeCell ref="H426:H427"/>
    <mergeCell ref="H431:H435"/>
    <mergeCell ref="H441:H442"/>
    <mergeCell ref="H443:H445"/>
    <mergeCell ref="H450:H453"/>
    <mergeCell ref="H455:H456"/>
    <mergeCell ref="H458:H462"/>
    <mergeCell ref="H465:H467"/>
    <mergeCell ref="H1235:H1236"/>
    <mergeCell ref="H1237:H1241"/>
    <mergeCell ref="H976:H977"/>
    <mergeCell ref="H980:H981"/>
    <mergeCell ref="H985:H986"/>
    <mergeCell ref="H1014:H1017"/>
    <mergeCell ref="H1018:H1020"/>
    <mergeCell ref="H1023:H1024"/>
    <mergeCell ref="H1025:H1027"/>
    <mergeCell ref="H287:H289"/>
    <mergeCell ref="H292:H294"/>
    <mergeCell ref="H296:H297"/>
    <mergeCell ref="H298:H299"/>
    <mergeCell ref="H300:H301"/>
    <mergeCell ref="H305:H306"/>
    <mergeCell ref="H309:H310"/>
    <mergeCell ref="H312:H313"/>
    <mergeCell ref="H314:H315"/>
    <mergeCell ref="H343:H345"/>
    <mergeCell ref="H350:H353"/>
    <mergeCell ref="H354:H355"/>
    <mergeCell ref="H356:H357"/>
    <mergeCell ref="H362:H364"/>
    <mergeCell ref="H365:H370"/>
    <mergeCell ref="H371:H372"/>
    <mergeCell ref="H374:H377"/>
    <mergeCell ref="H378:H379"/>
    <mergeCell ref="H380:H381"/>
    <mergeCell ref="H382:H383"/>
    <mergeCell ref="H385:H386"/>
    <mergeCell ref="H392:H393"/>
    <mergeCell ref="H394:H395"/>
    <mergeCell ref="H80:H81"/>
    <mergeCell ref="H82:H83"/>
    <mergeCell ref="H92:H93"/>
    <mergeCell ref="H97:H98"/>
    <mergeCell ref="H99:H101"/>
    <mergeCell ref="H104:H108"/>
    <mergeCell ref="H110:H111"/>
    <mergeCell ref="H118:H122"/>
    <mergeCell ref="H320:H321"/>
    <mergeCell ref="H322:H324"/>
    <mergeCell ref="H325:H326"/>
    <mergeCell ref="H329:H330"/>
    <mergeCell ref="H334:H335"/>
    <mergeCell ref="H336:H337"/>
    <mergeCell ref="H338:H339"/>
    <mergeCell ref="H123:H124"/>
    <mergeCell ref="H125:H130"/>
    <mergeCell ref="H133:H135"/>
    <mergeCell ref="H138:H139"/>
    <mergeCell ref="H140:H142"/>
    <mergeCell ref="H145:H147"/>
    <mergeCell ref="H148:H151"/>
    <mergeCell ref="H34:H36"/>
    <mergeCell ref="H42:H43"/>
    <mergeCell ref="H44:H45"/>
    <mergeCell ref="H46:H48"/>
    <mergeCell ref="H4:H6"/>
    <mergeCell ref="H9:H10"/>
    <mergeCell ref="H12:H13"/>
    <mergeCell ref="H20:H21"/>
    <mergeCell ref="H22:H33"/>
    <mergeCell ref="H54:H58"/>
    <mergeCell ref="H49:H51"/>
    <mergeCell ref="H52:H53"/>
    <mergeCell ref="H59:H60"/>
    <mergeCell ref="H63:H67"/>
    <mergeCell ref="H73:H74"/>
    <mergeCell ref="H75:H79"/>
    <mergeCell ref="H247:H248"/>
    <mergeCell ref="H249:H250"/>
    <mergeCell ref="H212:H214"/>
    <mergeCell ref="H216:H219"/>
    <mergeCell ref="H221:H224"/>
    <mergeCell ref="H231:H233"/>
    <mergeCell ref="H234:H236"/>
    <mergeCell ref="H239:H241"/>
    <mergeCell ref="H244:H245"/>
    <mergeCell ref="H277:H278"/>
    <mergeCell ref="H280:H281"/>
    <mergeCell ref="H253:H254"/>
    <mergeCell ref="H255:H257"/>
    <mergeCell ref="H260:H263"/>
    <mergeCell ref="H265:H266"/>
    <mergeCell ref="H267:H270"/>
    <mergeCell ref="H271:H272"/>
    <mergeCell ref="H273:H275"/>
    <mergeCell ref="H175:H176"/>
    <mergeCell ref="H177:H179"/>
    <mergeCell ref="H153:H154"/>
    <mergeCell ref="H155:H157"/>
    <mergeCell ref="H161:H163"/>
    <mergeCell ref="H164:H165"/>
    <mergeCell ref="H167:H168"/>
    <mergeCell ref="H169:H172"/>
    <mergeCell ref="H173:H174"/>
    <mergeCell ref="H206:H209"/>
    <mergeCell ref="H210:H211"/>
    <mergeCell ref="H180:H183"/>
    <mergeCell ref="H184:H185"/>
    <mergeCell ref="H186:H187"/>
    <mergeCell ref="H189:H191"/>
    <mergeCell ref="H193:H194"/>
    <mergeCell ref="H198:H200"/>
    <mergeCell ref="H201:H2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538"/>
  <sheetViews>
    <sheetView workbookViewId="0"/>
  </sheetViews>
  <sheetFormatPr defaultColWidth="12.6640625" defaultRowHeight="15.75" customHeight="1"/>
  <cols>
    <col min="2" max="2" width="15.109375" customWidth="1"/>
    <col min="3" max="3" width="35.109375" customWidth="1"/>
    <col min="4" max="4" width="19.21875" customWidth="1"/>
  </cols>
  <sheetData>
    <row r="1" spans="1:7">
      <c r="G1" s="215">
        <f>SUM(G3:G535)</f>
        <v>29584476</v>
      </c>
    </row>
    <row r="2" spans="1:7">
      <c r="A2" s="5" t="s">
        <v>381</v>
      </c>
      <c r="B2" s="94" t="s">
        <v>382</v>
      </c>
      <c r="C2" s="94" t="s">
        <v>383</v>
      </c>
      <c r="D2" s="98" t="s">
        <v>338</v>
      </c>
      <c r="E2" s="5" t="s">
        <v>2104</v>
      </c>
      <c r="F2" s="5" t="s">
        <v>2105</v>
      </c>
      <c r="G2" s="5" t="s">
        <v>1579</v>
      </c>
    </row>
    <row r="3" spans="1:7">
      <c r="A3" s="101">
        <v>1</v>
      </c>
      <c r="B3" s="28" t="s">
        <v>392</v>
      </c>
      <c r="C3" s="28" t="s">
        <v>393</v>
      </c>
      <c r="D3" s="101">
        <f>'Thống kê'!I3</f>
        <v>-1</v>
      </c>
      <c r="E3" s="16">
        <v>11.57</v>
      </c>
      <c r="F3" s="215">
        <f t="shared" ref="F3:F257" si="0">E3*3600</f>
        <v>41652</v>
      </c>
      <c r="G3" s="215">
        <f t="shared" ref="G3:G257" si="1">D3*F3</f>
        <v>-41652</v>
      </c>
    </row>
    <row r="4" spans="1:7">
      <c r="A4" s="101">
        <v>2</v>
      </c>
      <c r="B4" s="28" t="s">
        <v>395</v>
      </c>
      <c r="C4" s="28" t="s">
        <v>396</v>
      </c>
      <c r="D4" s="101">
        <f>'Thống kê'!I4</f>
        <v>1</v>
      </c>
      <c r="E4" s="16">
        <v>9.76</v>
      </c>
      <c r="F4" s="215">
        <f t="shared" si="0"/>
        <v>35136</v>
      </c>
      <c r="G4" s="215">
        <f t="shared" si="1"/>
        <v>35136</v>
      </c>
    </row>
    <row r="5" spans="1:7">
      <c r="A5" s="101">
        <v>3</v>
      </c>
      <c r="B5" s="28" t="s">
        <v>397</v>
      </c>
      <c r="C5" s="28" t="s">
        <v>398</v>
      </c>
      <c r="D5" s="101">
        <f>'Thống kê'!I5</f>
        <v>0</v>
      </c>
      <c r="E5" s="16">
        <v>11.57</v>
      </c>
      <c r="F5" s="215">
        <f t="shared" si="0"/>
        <v>41652</v>
      </c>
      <c r="G5" s="215">
        <f t="shared" si="1"/>
        <v>0</v>
      </c>
    </row>
    <row r="6" spans="1:7">
      <c r="A6" s="101">
        <v>4</v>
      </c>
      <c r="B6" s="28" t="s">
        <v>399</v>
      </c>
      <c r="C6" s="28" t="s">
        <v>400</v>
      </c>
      <c r="D6" s="101">
        <f>'Thống kê'!I6</f>
        <v>2</v>
      </c>
      <c r="E6" s="16">
        <v>9.76</v>
      </c>
      <c r="F6" s="215">
        <f t="shared" si="0"/>
        <v>35136</v>
      </c>
      <c r="G6" s="215">
        <f t="shared" si="1"/>
        <v>70272</v>
      </c>
    </row>
    <row r="7" spans="1:7">
      <c r="A7" s="101">
        <v>5</v>
      </c>
      <c r="B7" s="28" t="s">
        <v>401</v>
      </c>
      <c r="C7" s="28" t="s">
        <v>402</v>
      </c>
      <c r="D7" s="101">
        <f>'Thống kê'!I7</f>
        <v>-2</v>
      </c>
      <c r="E7" s="16">
        <v>11.57</v>
      </c>
      <c r="F7" s="215">
        <f t="shared" si="0"/>
        <v>41652</v>
      </c>
      <c r="G7" s="215">
        <f t="shared" si="1"/>
        <v>-83304</v>
      </c>
    </row>
    <row r="8" spans="1:7">
      <c r="A8" s="101">
        <v>6</v>
      </c>
      <c r="B8" s="28" t="s">
        <v>403</v>
      </c>
      <c r="C8" s="28" t="s">
        <v>404</v>
      </c>
      <c r="D8" s="101">
        <f>'Thống kê'!I8</f>
        <v>6</v>
      </c>
      <c r="E8" s="16">
        <v>9.76</v>
      </c>
      <c r="F8" s="215">
        <f t="shared" si="0"/>
        <v>35136</v>
      </c>
      <c r="G8" s="215">
        <f t="shared" si="1"/>
        <v>210816</v>
      </c>
    </row>
    <row r="9" spans="1:7">
      <c r="A9" s="101">
        <v>7</v>
      </c>
      <c r="B9" s="28" t="s">
        <v>405</v>
      </c>
      <c r="C9" s="28" t="s">
        <v>406</v>
      </c>
      <c r="D9" s="101">
        <f>'Thống kê'!I9</f>
        <v>-4</v>
      </c>
      <c r="E9" s="16">
        <v>11.57</v>
      </c>
      <c r="F9" s="215">
        <f t="shared" si="0"/>
        <v>41652</v>
      </c>
      <c r="G9" s="215">
        <f t="shared" si="1"/>
        <v>-166608</v>
      </c>
    </row>
    <row r="10" spans="1:7">
      <c r="A10" s="101">
        <v>8</v>
      </c>
      <c r="B10" s="28" t="s">
        <v>407</v>
      </c>
      <c r="C10" s="28" t="s">
        <v>408</v>
      </c>
      <c r="D10" s="101">
        <f>'Thống kê'!I10</f>
        <v>2</v>
      </c>
      <c r="E10" s="16">
        <v>9.76</v>
      </c>
      <c r="F10" s="215">
        <f t="shared" si="0"/>
        <v>35136</v>
      </c>
      <c r="G10" s="215">
        <f t="shared" si="1"/>
        <v>70272</v>
      </c>
    </row>
    <row r="11" spans="1:7">
      <c r="A11" s="101">
        <v>9</v>
      </c>
      <c r="B11" s="28" t="s">
        <v>409</v>
      </c>
      <c r="C11" s="28" t="s">
        <v>410</v>
      </c>
      <c r="D11" s="101">
        <f>'Thống kê'!I11</f>
        <v>0</v>
      </c>
      <c r="E11" s="16">
        <v>11.57</v>
      </c>
      <c r="F11" s="215">
        <f t="shared" si="0"/>
        <v>41652</v>
      </c>
      <c r="G11" s="215">
        <f t="shared" si="1"/>
        <v>0</v>
      </c>
    </row>
    <row r="12" spans="1:7">
      <c r="A12" s="101">
        <v>10</v>
      </c>
      <c r="B12" s="28" t="s">
        <v>411</v>
      </c>
      <c r="C12" s="28" t="s">
        <v>412</v>
      </c>
      <c r="D12" s="101">
        <f>'Thống kê'!I12</f>
        <v>3</v>
      </c>
      <c r="E12" s="16">
        <v>9.76</v>
      </c>
      <c r="F12" s="215">
        <f t="shared" si="0"/>
        <v>35136</v>
      </c>
      <c r="G12" s="215">
        <f t="shared" si="1"/>
        <v>105408</v>
      </c>
    </row>
    <row r="13" spans="1:7">
      <c r="A13" s="101">
        <v>27</v>
      </c>
      <c r="B13" s="33" t="s">
        <v>442</v>
      </c>
      <c r="C13" s="33" t="s">
        <v>443</v>
      </c>
      <c r="D13" s="101">
        <f>'Thống kê'!I29</f>
        <v>2</v>
      </c>
      <c r="F13" s="215">
        <f t="shared" si="0"/>
        <v>0</v>
      </c>
      <c r="G13" s="215">
        <f t="shared" si="1"/>
        <v>0</v>
      </c>
    </row>
    <row r="14" spans="1:7">
      <c r="A14" s="101">
        <v>28</v>
      </c>
      <c r="B14" s="33" t="s">
        <v>445</v>
      </c>
      <c r="C14" s="33" t="s">
        <v>446</v>
      </c>
      <c r="D14" s="101">
        <f>'Thống kê'!I30</f>
        <v>3</v>
      </c>
      <c r="F14" s="215">
        <f t="shared" si="0"/>
        <v>0</v>
      </c>
      <c r="G14" s="215">
        <f t="shared" si="1"/>
        <v>0</v>
      </c>
    </row>
    <row r="15" spans="1:7">
      <c r="A15" s="101">
        <v>29</v>
      </c>
      <c r="B15" s="33" t="s">
        <v>447</v>
      </c>
      <c r="C15" s="33" t="s">
        <v>448</v>
      </c>
      <c r="D15" s="101">
        <f>'Thống kê'!I31</f>
        <v>0</v>
      </c>
      <c r="F15" s="215">
        <f t="shared" si="0"/>
        <v>0</v>
      </c>
      <c r="G15" s="215">
        <f t="shared" si="1"/>
        <v>0</v>
      </c>
    </row>
    <row r="16" spans="1:7">
      <c r="A16" s="101">
        <v>30</v>
      </c>
      <c r="B16" s="33" t="s">
        <v>449</v>
      </c>
      <c r="C16" s="33" t="s">
        <v>450</v>
      </c>
      <c r="D16" s="101">
        <f>'Thống kê'!I32</f>
        <v>2</v>
      </c>
      <c r="F16" s="215">
        <f t="shared" si="0"/>
        <v>0</v>
      </c>
      <c r="G16" s="215">
        <f t="shared" si="1"/>
        <v>0</v>
      </c>
    </row>
    <row r="17" spans="1:7">
      <c r="A17" s="101">
        <v>31</v>
      </c>
      <c r="B17" s="33" t="s">
        <v>451</v>
      </c>
      <c r="C17" s="33" t="s">
        <v>452</v>
      </c>
      <c r="D17" s="101">
        <f>'Thống kê'!I33</f>
        <v>2</v>
      </c>
      <c r="F17" s="215">
        <f t="shared" si="0"/>
        <v>0</v>
      </c>
      <c r="G17" s="215">
        <f t="shared" si="1"/>
        <v>0</v>
      </c>
    </row>
    <row r="18" spans="1:7">
      <c r="A18" s="101">
        <v>32</v>
      </c>
      <c r="B18" s="33" t="s">
        <v>453</v>
      </c>
      <c r="C18" s="33" t="s">
        <v>454</v>
      </c>
      <c r="D18" s="101">
        <f>'Thống kê'!I34</f>
        <v>3</v>
      </c>
      <c r="F18" s="215">
        <f t="shared" si="0"/>
        <v>0</v>
      </c>
      <c r="G18" s="215">
        <f t="shared" si="1"/>
        <v>0</v>
      </c>
    </row>
    <row r="19" spans="1:7">
      <c r="A19" s="101">
        <v>33</v>
      </c>
      <c r="B19" s="33" t="s">
        <v>455</v>
      </c>
      <c r="C19" s="33" t="s">
        <v>456</v>
      </c>
      <c r="D19" s="101">
        <f>'Thống kê'!I35</f>
        <v>0</v>
      </c>
      <c r="F19" s="215">
        <f t="shared" si="0"/>
        <v>0</v>
      </c>
      <c r="G19" s="215">
        <f t="shared" si="1"/>
        <v>0</v>
      </c>
    </row>
    <row r="20" spans="1:7">
      <c r="A20" s="101">
        <v>34</v>
      </c>
      <c r="B20" s="33" t="s">
        <v>457</v>
      </c>
      <c r="C20" s="33" t="s">
        <v>458</v>
      </c>
      <c r="D20" s="101">
        <f>'Thống kê'!I36</f>
        <v>0</v>
      </c>
      <c r="F20" s="215">
        <f t="shared" si="0"/>
        <v>0</v>
      </c>
      <c r="G20" s="215">
        <f t="shared" si="1"/>
        <v>0</v>
      </c>
    </row>
    <row r="21" spans="1:7">
      <c r="A21" s="101">
        <v>35</v>
      </c>
      <c r="B21" s="33" t="s">
        <v>459</v>
      </c>
      <c r="C21" s="33" t="s">
        <v>460</v>
      </c>
      <c r="D21" s="101">
        <f>'Thống kê'!I37</f>
        <v>2</v>
      </c>
      <c r="F21" s="215">
        <f t="shared" si="0"/>
        <v>0</v>
      </c>
      <c r="G21" s="215">
        <f t="shared" si="1"/>
        <v>0</v>
      </c>
    </row>
    <row r="22" spans="1:7">
      <c r="A22" s="101">
        <v>36</v>
      </c>
      <c r="B22" s="33" t="s">
        <v>461</v>
      </c>
      <c r="C22" s="33" t="s">
        <v>462</v>
      </c>
      <c r="D22" s="101">
        <f>'Thống kê'!I38</f>
        <v>2</v>
      </c>
      <c r="F22" s="215">
        <f t="shared" si="0"/>
        <v>0</v>
      </c>
      <c r="G22" s="215">
        <f t="shared" si="1"/>
        <v>0</v>
      </c>
    </row>
    <row r="23" spans="1:7">
      <c r="A23" s="101">
        <v>37</v>
      </c>
      <c r="B23" s="33" t="s">
        <v>463</v>
      </c>
      <c r="C23" s="33" t="s">
        <v>464</v>
      </c>
      <c r="D23" s="101">
        <f>'Thống kê'!I39</f>
        <v>0</v>
      </c>
      <c r="F23" s="215">
        <f t="shared" si="0"/>
        <v>0</v>
      </c>
      <c r="G23" s="215">
        <f t="shared" si="1"/>
        <v>0</v>
      </c>
    </row>
    <row r="24" spans="1:7">
      <c r="A24" s="101">
        <v>38</v>
      </c>
      <c r="B24" s="33" t="s">
        <v>465</v>
      </c>
      <c r="C24" s="33" t="s">
        <v>466</v>
      </c>
      <c r="D24" s="101">
        <f>'Thống kê'!I40</f>
        <v>0</v>
      </c>
      <c r="F24" s="215">
        <f t="shared" si="0"/>
        <v>0</v>
      </c>
      <c r="G24" s="215">
        <f t="shared" si="1"/>
        <v>0</v>
      </c>
    </row>
    <row r="25" spans="1:7">
      <c r="A25" s="101">
        <v>39</v>
      </c>
      <c r="B25" s="33" t="s">
        <v>467</v>
      </c>
      <c r="C25" s="33" t="s">
        <v>468</v>
      </c>
      <c r="D25" s="101">
        <f>'Thống kê'!I41</f>
        <v>0</v>
      </c>
      <c r="F25" s="215">
        <f t="shared" si="0"/>
        <v>0</v>
      </c>
      <c r="G25" s="215">
        <f t="shared" si="1"/>
        <v>0</v>
      </c>
    </row>
    <row r="26" spans="1:7">
      <c r="A26" s="101">
        <v>40</v>
      </c>
      <c r="B26" s="33" t="s">
        <v>469</v>
      </c>
      <c r="C26" s="33" t="s">
        <v>470</v>
      </c>
      <c r="D26" s="101">
        <f>'Thống kê'!I42</f>
        <v>1</v>
      </c>
      <c r="F26" s="215">
        <f t="shared" si="0"/>
        <v>0</v>
      </c>
      <c r="G26" s="215">
        <f t="shared" si="1"/>
        <v>0</v>
      </c>
    </row>
    <row r="27" spans="1:7">
      <c r="A27" s="101">
        <v>41</v>
      </c>
      <c r="B27" s="112" t="s">
        <v>472</v>
      </c>
      <c r="C27" s="112" t="s">
        <v>473</v>
      </c>
      <c r="D27" s="101">
        <f>'Thống kê'!I43</f>
        <v>0</v>
      </c>
      <c r="F27" s="215">
        <f t="shared" si="0"/>
        <v>0</v>
      </c>
      <c r="G27" s="215">
        <f t="shared" si="1"/>
        <v>0</v>
      </c>
    </row>
    <row r="28" spans="1:7">
      <c r="A28" s="101">
        <v>42</v>
      </c>
      <c r="B28" s="112" t="s">
        <v>474</v>
      </c>
      <c r="C28" s="112" t="s">
        <v>475</v>
      </c>
      <c r="D28" s="101">
        <f>'Thống kê'!I44</f>
        <v>0</v>
      </c>
      <c r="F28" s="215">
        <f t="shared" si="0"/>
        <v>0</v>
      </c>
      <c r="G28" s="215">
        <f t="shared" si="1"/>
        <v>0</v>
      </c>
    </row>
    <row r="29" spans="1:7">
      <c r="A29" s="101">
        <v>43</v>
      </c>
      <c r="B29" s="112" t="s">
        <v>476</v>
      </c>
      <c r="C29" s="112" t="s">
        <v>477</v>
      </c>
      <c r="D29" s="101">
        <f>'Thống kê'!I45</f>
        <v>0</v>
      </c>
      <c r="F29" s="215">
        <f t="shared" si="0"/>
        <v>0</v>
      </c>
      <c r="G29" s="215">
        <f t="shared" si="1"/>
        <v>0</v>
      </c>
    </row>
    <row r="30" spans="1:7">
      <c r="A30" s="101">
        <v>44</v>
      </c>
      <c r="B30" s="112" t="s">
        <v>478</v>
      </c>
      <c r="C30" s="112" t="s">
        <v>479</v>
      </c>
      <c r="D30" s="101">
        <f>'Thống kê'!I46</f>
        <v>0</v>
      </c>
      <c r="F30" s="215">
        <f t="shared" si="0"/>
        <v>0</v>
      </c>
      <c r="G30" s="215">
        <f t="shared" si="1"/>
        <v>0</v>
      </c>
    </row>
    <row r="31" spans="1:7">
      <c r="A31" s="101">
        <v>45</v>
      </c>
      <c r="B31" s="112" t="s">
        <v>480</v>
      </c>
      <c r="C31" s="112" t="s">
        <v>481</v>
      </c>
      <c r="D31" s="101">
        <f>'Thống kê'!I47</f>
        <v>0</v>
      </c>
      <c r="F31" s="215">
        <f t="shared" si="0"/>
        <v>0</v>
      </c>
      <c r="G31" s="215">
        <f t="shared" si="1"/>
        <v>0</v>
      </c>
    </row>
    <row r="32" spans="1:7">
      <c r="A32" s="101">
        <v>46</v>
      </c>
      <c r="B32" s="112" t="s">
        <v>482</v>
      </c>
      <c r="C32" s="112" t="s">
        <v>483</v>
      </c>
      <c r="D32" s="101">
        <f>'Thống kê'!I48</f>
        <v>1</v>
      </c>
      <c r="F32" s="215">
        <f t="shared" si="0"/>
        <v>0</v>
      </c>
      <c r="G32" s="215">
        <f t="shared" si="1"/>
        <v>0</v>
      </c>
    </row>
    <row r="33" spans="1:7">
      <c r="A33" s="101">
        <v>47</v>
      </c>
      <c r="B33" s="112" t="s">
        <v>485</v>
      </c>
      <c r="C33" s="112" t="s">
        <v>486</v>
      </c>
      <c r="D33" s="101">
        <f>'Thống kê'!I49</f>
        <v>1</v>
      </c>
      <c r="F33" s="215">
        <f t="shared" si="0"/>
        <v>0</v>
      </c>
      <c r="G33" s="215">
        <f t="shared" si="1"/>
        <v>0</v>
      </c>
    </row>
    <row r="34" spans="1:7">
      <c r="A34" s="101">
        <v>48</v>
      </c>
      <c r="B34" s="112" t="s">
        <v>487</v>
      </c>
      <c r="C34" s="112" t="s">
        <v>488</v>
      </c>
      <c r="D34" s="101">
        <f>'Thống kê'!I50</f>
        <v>5</v>
      </c>
      <c r="F34" s="215">
        <f t="shared" si="0"/>
        <v>0</v>
      </c>
      <c r="G34" s="215">
        <f t="shared" si="1"/>
        <v>0</v>
      </c>
    </row>
    <row r="35" spans="1:7">
      <c r="A35" s="101">
        <v>49</v>
      </c>
      <c r="B35" s="112" t="s">
        <v>489</v>
      </c>
      <c r="C35" s="112" t="s">
        <v>490</v>
      </c>
      <c r="D35" s="101">
        <f>'Thống kê'!I51</f>
        <v>0</v>
      </c>
      <c r="F35" s="215">
        <f t="shared" si="0"/>
        <v>0</v>
      </c>
      <c r="G35" s="215">
        <f t="shared" si="1"/>
        <v>0</v>
      </c>
    </row>
    <row r="36" spans="1:7">
      <c r="A36" s="101">
        <v>50</v>
      </c>
      <c r="B36" s="112" t="s">
        <v>491</v>
      </c>
      <c r="C36" s="112" t="s">
        <v>492</v>
      </c>
      <c r="D36" s="101">
        <f>'Thống kê'!I52</f>
        <v>0</v>
      </c>
      <c r="F36" s="215">
        <f t="shared" si="0"/>
        <v>0</v>
      </c>
      <c r="G36" s="215">
        <f t="shared" si="1"/>
        <v>0</v>
      </c>
    </row>
    <row r="37" spans="1:7">
      <c r="A37" s="101">
        <v>51</v>
      </c>
      <c r="B37" s="112" t="s">
        <v>493</v>
      </c>
      <c r="C37" s="112" t="s">
        <v>494</v>
      </c>
      <c r="D37" s="101">
        <f>'Thống kê'!I53</f>
        <v>8</v>
      </c>
      <c r="F37" s="215">
        <f t="shared" si="0"/>
        <v>0</v>
      </c>
      <c r="G37" s="215">
        <f t="shared" si="1"/>
        <v>0</v>
      </c>
    </row>
    <row r="38" spans="1:7">
      <c r="A38" s="101">
        <v>52</v>
      </c>
      <c r="B38" s="112" t="s">
        <v>495</v>
      </c>
      <c r="C38" s="112" t="s">
        <v>496</v>
      </c>
      <c r="D38" s="101">
        <f>'Thống kê'!I54</f>
        <v>7</v>
      </c>
      <c r="F38" s="215">
        <f t="shared" si="0"/>
        <v>0</v>
      </c>
      <c r="G38" s="215">
        <f t="shared" si="1"/>
        <v>0</v>
      </c>
    </row>
    <row r="39" spans="1:7">
      <c r="A39" s="101">
        <v>53</v>
      </c>
      <c r="B39" s="112" t="s">
        <v>497</v>
      </c>
      <c r="C39" s="112" t="s">
        <v>498</v>
      </c>
      <c r="D39" s="101">
        <f>'Thống kê'!I55</f>
        <v>2</v>
      </c>
      <c r="F39" s="215">
        <f t="shared" si="0"/>
        <v>0</v>
      </c>
      <c r="G39" s="215">
        <f t="shared" si="1"/>
        <v>0</v>
      </c>
    </row>
    <row r="40" spans="1:7">
      <c r="A40" s="101">
        <v>54</v>
      </c>
      <c r="B40" s="112" t="s">
        <v>499</v>
      </c>
      <c r="C40" s="112" t="s">
        <v>500</v>
      </c>
      <c r="D40" s="101">
        <f>'Thống kê'!I56</f>
        <v>5</v>
      </c>
      <c r="F40" s="215">
        <f t="shared" si="0"/>
        <v>0</v>
      </c>
      <c r="G40" s="215">
        <f t="shared" si="1"/>
        <v>0</v>
      </c>
    </row>
    <row r="41" spans="1:7">
      <c r="A41" s="101">
        <v>55</v>
      </c>
      <c r="B41" s="112" t="s">
        <v>501</v>
      </c>
      <c r="C41" s="112" t="s">
        <v>502</v>
      </c>
      <c r="D41" s="101">
        <f>'Thống kê'!I57</f>
        <v>9</v>
      </c>
      <c r="F41" s="215">
        <f t="shared" si="0"/>
        <v>0</v>
      </c>
      <c r="G41" s="215">
        <f t="shared" si="1"/>
        <v>0</v>
      </c>
    </row>
    <row r="42" spans="1:7">
      <c r="A42" s="101">
        <v>56</v>
      </c>
      <c r="B42" s="112" t="s">
        <v>503</v>
      </c>
      <c r="C42" s="112" t="s">
        <v>504</v>
      </c>
      <c r="D42" s="101">
        <f>'Thống kê'!I58</f>
        <v>2</v>
      </c>
      <c r="F42" s="215">
        <f t="shared" si="0"/>
        <v>0</v>
      </c>
      <c r="G42" s="215">
        <f t="shared" si="1"/>
        <v>0</v>
      </c>
    </row>
    <row r="43" spans="1:7">
      <c r="A43" s="101">
        <v>57</v>
      </c>
      <c r="B43" s="112" t="s">
        <v>505</v>
      </c>
      <c r="C43" s="112" t="s">
        <v>506</v>
      </c>
      <c r="D43" s="101">
        <f>'Thống kê'!I59</f>
        <v>0</v>
      </c>
      <c r="F43" s="215">
        <f t="shared" si="0"/>
        <v>0</v>
      </c>
      <c r="G43" s="215">
        <f t="shared" si="1"/>
        <v>0</v>
      </c>
    </row>
    <row r="44" spans="1:7">
      <c r="A44" s="101">
        <v>58</v>
      </c>
      <c r="B44" s="112" t="s">
        <v>507</v>
      </c>
      <c r="C44" s="112" t="s">
        <v>508</v>
      </c>
      <c r="D44" s="101">
        <f>'Thống kê'!I60</f>
        <v>0</v>
      </c>
      <c r="F44" s="215">
        <f t="shared" si="0"/>
        <v>0</v>
      </c>
      <c r="G44" s="215">
        <f t="shared" si="1"/>
        <v>0</v>
      </c>
    </row>
    <row r="45" spans="1:7">
      <c r="A45" s="101">
        <v>59</v>
      </c>
      <c r="B45" s="112" t="s">
        <v>509</v>
      </c>
      <c r="C45" s="112" t="s">
        <v>510</v>
      </c>
      <c r="D45" s="101">
        <f>'Thống kê'!I61</f>
        <v>0</v>
      </c>
      <c r="F45" s="215">
        <f t="shared" si="0"/>
        <v>0</v>
      </c>
      <c r="G45" s="215">
        <f t="shared" si="1"/>
        <v>0</v>
      </c>
    </row>
    <row r="46" spans="1:7">
      <c r="A46" s="101">
        <v>60</v>
      </c>
      <c r="B46" s="112" t="s">
        <v>511</v>
      </c>
      <c r="C46" s="112" t="s">
        <v>512</v>
      </c>
      <c r="D46" s="101">
        <f>'Thống kê'!I62</f>
        <v>0</v>
      </c>
      <c r="F46" s="215">
        <f t="shared" si="0"/>
        <v>0</v>
      </c>
      <c r="G46" s="215">
        <f t="shared" si="1"/>
        <v>0</v>
      </c>
    </row>
    <row r="47" spans="1:7">
      <c r="A47" s="101">
        <v>61</v>
      </c>
      <c r="B47" s="112" t="s">
        <v>513</v>
      </c>
      <c r="C47" s="112" t="s">
        <v>514</v>
      </c>
      <c r="D47" s="101">
        <f>'Thống kê'!I63</f>
        <v>4</v>
      </c>
      <c r="F47" s="215">
        <f t="shared" si="0"/>
        <v>0</v>
      </c>
      <c r="G47" s="215">
        <f t="shared" si="1"/>
        <v>0</v>
      </c>
    </row>
    <row r="48" spans="1:7">
      <c r="A48" s="101">
        <v>62</v>
      </c>
      <c r="B48" s="112" t="s">
        <v>515</v>
      </c>
      <c r="C48" s="112" t="s">
        <v>516</v>
      </c>
      <c r="D48" s="101">
        <f>'Thống kê'!I64</f>
        <v>0</v>
      </c>
      <c r="F48" s="215">
        <f t="shared" si="0"/>
        <v>0</v>
      </c>
      <c r="G48" s="215">
        <f t="shared" si="1"/>
        <v>0</v>
      </c>
    </row>
    <row r="49" spans="1:7">
      <c r="A49" s="101">
        <v>63</v>
      </c>
      <c r="B49" s="112" t="s">
        <v>517</v>
      </c>
      <c r="C49" s="112" t="s">
        <v>518</v>
      </c>
      <c r="D49" s="101">
        <f>'Thống kê'!I65</f>
        <v>0</v>
      </c>
      <c r="F49" s="215">
        <f t="shared" si="0"/>
        <v>0</v>
      </c>
      <c r="G49" s="215">
        <f t="shared" si="1"/>
        <v>0</v>
      </c>
    </row>
    <row r="50" spans="1:7">
      <c r="A50" s="101">
        <v>64</v>
      </c>
      <c r="B50" s="112" t="s">
        <v>519</v>
      </c>
      <c r="C50" s="112" t="s">
        <v>520</v>
      </c>
      <c r="D50" s="101">
        <f>'Thống kê'!I66</f>
        <v>0</v>
      </c>
      <c r="F50" s="215">
        <f t="shared" si="0"/>
        <v>0</v>
      </c>
      <c r="G50" s="215">
        <f t="shared" si="1"/>
        <v>0</v>
      </c>
    </row>
    <row r="51" spans="1:7">
      <c r="A51" s="101">
        <v>65</v>
      </c>
      <c r="B51" s="112" t="s">
        <v>521</v>
      </c>
      <c r="C51" s="112" t="s">
        <v>522</v>
      </c>
      <c r="D51" s="101">
        <f>'Thống kê'!I67</f>
        <v>1</v>
      </c>
      <c r="F51" s="215">
        <f t="shared" si="0"/>
        <v>0</v>
      </c>
      <c r="G51" s="215">
        <f t="shared" si="1"/>
        <v>0</v>
      </c>
    </row>
    <row r="52" spans="1:7">
      <c r="A52" s="101">
        <v>66</v>
      </c>
      <c r="B52" s="112" t="s">
        <v>523</v>
      </c>
      <c r="C52" s="112" t="s">
        <v>524</v>
      </c>
      <c r="D52" s="101">
        <f>'Thống kê'!I68</f>
        <v>0</v>
      </c>
      <c r="F52" s="215">
        <f t="shared" si="0"/>
        <v>0</v>
      </c>
      <c r="G52" s="215">
        <f t="shared" si="1"/>
        <v>0</v>
      </c>
    </row>
    <row r="53" spans="1:7">
      <c r="A53" s="101">
        <v>67</v>
      </c>
      <c r="B53" s="112" t="s">
        <v>525</v>
      </c>
      <c r="C53" s="112" t="s">
        <v>526</v>
      </c>
      <c r="D53" s="101">
        <f>'Thống kê'!I69</f>
        <v>0</v>
      </c>
      <c r="F53" s="215">
        <f t="shared" si="0"/>
        <v>0</v>
      </c>
      <c r="G53" s="215">
        <f t="shared" si="1"/>
        <v>0</v>
      </c>
    </row>
    <row r="54" spans="1:7">
      <c r="A54" s="101">
        <v>68</v>
      </c>
      <c r="B54" s="112" t="s">
        <v>527</v>
      </c>
      <c r="C54" s="112" t="s">
        <v>528</v>
      </c>
      <c r="D54" s="101">
        <f>'Thống kê'!I70</f>
        <v>8</v>
      </c>
      <c r="F54" s="215">
        <f t="shared" si="0"/>
        <v>0</v>
      </c>
      <c r="G54" s="215">
        <f t="shared" si="1"/>
        <v>0</v>
      </c>
    </row>
    <row r="55" spans="1:7">
      <c r="A55" s="101">
        <v>69</v>
      </c>
      <c r="B55" s="112" t="s">
        <v>529</v>
      </c>
      <c r="C55" s="112" t="s">
        <v>530</v>
      </c>
      <c r="D55" s="101">
        <f>'Thống kê'!I71</f>
        <v>9</v>
      </c>
      <c r="F55" s="215">
        <f t="shared" si="0"/>
        <v>0</v>
      </c>
      <c r="G55" s="215">
        <f t="shared" si="1"/>
        <v>0</v>
      </c>
    </row>
    <row r="56" spans="1:7">
      <c r="A56" s="101">
        <v>70</v>
      </c>
      <c r="B56" s="112" t="s">
        <v>531</v>
      </c>
      <c r="C56" s="112" t="s">
        <v>532</v>
      </c>
      <c r="D56" s="101">
        <f>'Thống kê'!I72</f>
        <v>8</v>
      </c>
      <c r="F56" s="215">
        <f t="shared" si="0"/>
        <v>0</v>
      </c>
      <c r="G56" s="215">
        <f t="shared" si="1"/>
        <v>0</v>
      </c>
    </row>
    <row r="57" spans="1:7">
      <c r="A57" s="101">
        <v>71</v>
      </c>
      <c r="B57" s="112" t="s">
        <v>533</v>
      </c>
      <c r="C57" s="112" t="s">
        <v>534</v>
      </c>
      <c r="D57" s="101">
        <f>'Thống kê'!I73</f>
        <v>2</v>
      </c>
      <c r="F57" s="215">
        <f t="shared" si="0"/>
        <v>0</v>
      </c>
      <c r="G57" s="215">
        <f t="shared" si="1"/>
        <v>0</v>
      </c>
    </row>
    <row r="58" spans="1:7">
      <c r="A58" s="101">
        <v>72</v>
      </c>
      <c r="B58" s="112" t="s">
        <v>535</v>
      </c>
      <c r="C58" s="112" t="s">
        <v>536</v>
      </c>
      <c r="D58" s="101">
        <f>'Thống kê'!I74</f>
        <v>5</v>
      </c>
      <c r="F58" s="215">
        <f t="shared" si="0"/>
        <v>0</v>
      </c>
      <c r="G58" s="215">
        <f t="shared" si="1"/>
        <v>0</v>
      </c>
    </row>
    <row r="59" spans="1:7">
      <c r="A59" s="101">
        <v>73</v>
      </c>
      <c r="B59" s="112" t="s">
        <v>537</v>
      </c>
      <c r="C59" s="112" t="s">
        <v>538</v>
      </c>
      <c r="D59" s="101">
        <f>'Thống kê'!I75</f>
        <v>10</v>
      </c>
      <c r="F59" s="215">
        <f t="shared" si="0"/>
        <v>0</v>
      </c>
      <c r="G59" s="215">
        <f t="shared" si="1"/>
        <v>0</v>
      </c>
    </row>
    <row r="60" spans="1:7">
      <c r="A60" s="101">
        <v>74</v>
      </c>
      <c r="B60" s="112" t="s">
        <v>539</v>
      </c>
      <c r="C60" s="112" t="s">
        <v>540</v>
      </c>
      <c r="D60" s="101">
        <f>'Thống kê'!I76</f>
        <v>7</v>
      </c>
      <c r="F60" s="215">
        <f t="shared" si="0"/>
        <v>0</v>
      </c>
      <c r="G60" s="215">
        <f t="shared" si="1"/>
        <v>0</v>
      </c>
    </row>
    <row r="61" spans="1:7">
      <c r="A61" s="101">
        <v>75</v>
      </c>
      <c r="B61" s="112" t="s">
        <v>541</v>
      </c>
      <c r="C61" s="112" t="s">
        <v>542</v>
      </c>
      <c r="D61" s="101">
        <f>'Thống kê'!I77</f>
        <v>9</v>
      </c>
      <c r="F61" s="215">
        <f t="shared" si="0"/>
        <v>0</v>
      </c>
      <c r="G61" s="215">
        <f t="shared" si="1"/>
        <v>0</v>
      </c>
    </row>
    <row r="62" spans="1:7">
      <c r="A62" s="101">
        <v>76</v>
      </c>
      <c r="B62" s="112" t="s">
        <v>543</v>
      </c>
      <c r="C62" s="112" t="s">
        <v>544</v>
      </c>
      <c r="D62" s="101">
        <f>'Thống kê'!I78</f>
        <v>-2</v>
      </c>
      <c r="F62" s="215">
        <f t="shared" si="0"/>
        <v>0</v>
      </c>
      <c r="G62" s="215">
        <f t="shared" si="1"/>
        <v>0</v>
      </c>
    </row>
    <row r="63" spans="1:7">
      <c r="A63" s="101">
        <v>77</v>
      </c>
      <c r="B63" s="112" t="s">
        <v>545</v>
      </c>
      <c r="C63" s="112" t="s">
        <v>546</v>
      </c>
      <c r="D63" s="101">
        <f>'Thống kê'!I79</f>
        <v>3</v>
      </c>
      <c r="F63" s="215">
        <f t="shared" si="0"/>
        <v>0</v>
      </c>
      <c r="G63" s="215">
        <f t="shared" si="1"/>
        <v>0</v>
      </c>
    </row>
    <row r="64" spans="1:7">
      <c r="A64" s="101">
        <v>78</v>
      </c>
      <c r="B64" s="112" t="s">
        <v>547</v>
      </c>
      <c r="C64" s="112" t="s">
        <v>548</v>
      </c>
      <c r="D64" s="101">
        <f>'Thống kê'!I80</f>
        <v>6</v>
      </c>
      <c r="F64" s="215">
        <f t="shared" si="0"/>
        <v>0</v>
      </c>
      <c r="G64" s="215">
        <f t="shared" si="1"/>
        <v>0</v>
      </c>
    </row>
    <row r="65" spans="1:7">
      <c r="A65" s="101">
        <v>79</v>
      </c>
      <c r="B65" s="112" t="s">
        <v>549</v>
      </c>
      <c r="C65" s="112" t="s">
        <v>550</v>
      </c>
      <c r="D65" s="101">
        <f>'Thống kê'!I81</f>
        <v>0</v>
      </c>
      <c r="F65" s="215">
        <f t="shared" si="0"/>
        <v>0</v>
      </c>
      <c r="G65" s="215">
        <f t="shared" si="1"/>
        <v>0</v>
      </c>
    </row>
    <row r="66" spans="1:7">
      <c r="A66" s="101">
        <v>80</v>
      </c>
      <c r="B66" s="112" t="s">
        <v>552</v>
      </c>
      <c r="C66" s="112" t="s">
        <v>553</v>
      </c>
      <c r="D66" s="101">
        <f>'Thống kê'!I82</f>
        <v>0</v>
      </c>
      <c r="F66" s="215">
        <f t="shared" si="0"/>
        <v>0</v>
      </c>
      <c r="G66" s="215">
        <f t="shared" si="1"/>
        <v>0</v>
      </c>
    </row>
    <row r="67" spans="1:7">
      <c r="A67" s="101">
        <v>81</v>
      </c>
      <c r="B67" s="112" t="s">
        <v>554</v>
      </c>
      <c r="C67" s="112" t="s">
        <v>555</v>
      </c>
      <c r="D67" s="101">
        <f>'Thống kê'!I83</f>
        <v>3</v>
      </c>
      <c r="F67" s="215">
        <f t="shared" si="0"/>
        <v>0</v>
      </c>
      <c r="G67" s="215">
        <f t="shared" si="1"/>
        <v>0</v>
      </c>
    </row>
    <row r="68" spans="1:7">
      <c r="A68" s="101">
        <v>82</v>
      </c>
      <c r="B68" s="112" t="s">
        <v>556</v>
      </c>
      <c r="C68" s="112" t="s">
        <v>557</v>
      </c>
      <c r="D68" s="101">
        <f>'Thống kê'!I84</f>
        <v>1</v>
      </c>
      <c r="F68" s="215">
        <f t="shared" si="0"/>
        <v>0</v>
      </c>
      <c r="G68" s="215">
        <f t="shared" si="1"/>
        <v>0</v>
      </c>
    </row>
    <row r="69" spans="1:7">
      <c r="A69" s="101">
        <v>83</v>
      </c>
      <c r="B69" s="112" t="s">
        <v>558</v>
      </c>
      <c r="C69" s="112" t="s">
        <v>559</v>
      </c>
      <c r="D69" s="101">
        <f>'Thống kê'!I85</f>
        <v>1</v>
      </c>
      <c r="F69" s="215">
        <f t="shared" si="0"/>
        <v>0</v>
      </c>
      <c r="G69" s="215">
        <f t="shared" si="1"/>
        <v>0</v>
      </c>
    </row>
    <row r="70" spans="1:7">
      <c r="A70" s="101">
        <v>84</v>
      </c>
      <c r="B70" s="112" t="s">
        <v>560</v>
      </c>
      <c r="C70" s="112" t="s">
        <v>561</v>
      </c>
      <c r="D70" s="101">
        <f>'Thống kê'!I86</f>
        <v>0</v>
      </c>
      <c r="F70" s="215">
        <f t="shared" si="0"/>
        <v>0</v>
      </c>
      <c r="G70" s="215">
        <f t="shared" si="1"/>
        <v>0</v>
      </c>
    </row>
    <row r="71" spans="1:7">
      <c r="A71" s="101">
        <v>85</v>
      </c>
      <c r="B71" s="112" t="s">
        <v>562</v>
      </c>
      <c r="C71" s="112" t="s">
        <v>563</v>
      </c>
      <c r="D71" s="101">
        <f>'Thống kê'!I87</f>
        <v>-5</v>
      </c>
      <c r="F71" s="215">
        <f t="shared" si="0"/>
        <v>0</v>
      </c>
      <c r="G71" s="215">
        <f t="shared" si="1"/>
        <v>0</v>
      </c>
    </row>
    <row r="72" spans="1:7">
      <c r="A72" s="101">
        <v>86</v>
      </c>
      <c r="B72" s="112" t="s">
        <v>564</v>
      </c>
      <c r="C72" s="112" t="s">
        <v>565</v>
      </c>
      <c r="D72" s="101">
        <f>'Thống kê'!I88</f>
        <v>-2</v>
      </c>
      <c r="F72" s="215">
        <f t="shared" si="0"/>
        <v>0</v>
      </c>
      <c r="G72" s="215">
        <f t="shared" si="1"/>
        <v>0</v>
      </c>
    </row>
    <row r="73" spans="1:7">
      <c r="A73" s="101">
        <v>87</v>
      </c>
      <c r="B73" s="112" t="s">
        <v>566</v>
      </c>
      <c r="C73" s="112" t="s">
        <v>567</v>
      </c>
      <c r="D73" s="101">
        <f>'Thống kê'!I89</f>
        <v>-1</v>
      </c>
      <c r="F73" s="215">
        <f t="shared" si="0"/>
        <v>0</v>
      </c>
      <c r="G73" s="215">
        <f t="shared" si="1"/>
        <v>0</v>
      </c>
    </row>
    <row r="74" spans="1:7">
      <c r="A74" s="101">
        <v>88</v>
      </c>
      <c r="B74" s="112" t="s">
        <v>568</v>
      </c>
      <c r="C74" s="112" t="s">
        <v>569</v>
      </c>
      <c r="D74" s="101">
        <f>'Thống kê'!I90</f>
        <v>0</v>
      </c>
      <c r="F74" s="215">
        <f t="shared" si="0"/>
        <v>0</v>
      </c>
      <c r="G74" s="215">
        <f t="shared" si="1"/>
        <v>0</v>
      </c>
    </row>
    <row r="75" spans="1:7">
      <c r="A75" s="101">
        <v>89</v>
      </c>
      <c r="B75" s="112" t="s">
        <v>570</v>
      </c>
      <c r="C75" s="112" t="s">
        <v>571</v>
      </c>
      <c r="D75" s="101">
        <f>'Thống kê'!I91</f>
        <v>-1</v>
      </c>
      <c r="F75" s="215">
        <f t="shared" si="0"/>
        <v>0</v>
      </c>
      <c r="G75" s="215">
        <f t="shared" si="1"/>
        <v>0</v>
      </c>
    </row>
    <row r="76" spans="1:7">
      <c r="A76" s="101">
        <v>90</v>
      </c>
      <c r="B76" s="112" t="s">
        <v>572</v>
      </c>
      <c r="C76" s="112" t="s">
        <v>573</v>
      </c>
      <c r="D76" s="101">
        <f>'Thống kê'!I92</f>
        <v>-1</v>
      </c>
      <c r="F76" s="215">
        <f t="shared" si="0"/>
        <v>0</v>
      </c>
      <c r="G76" s="215">
        <f t="shared" si="1"/>
        <v>0</v>
      </c>
    </row>
    <row r="77" spans="1:7">
      <c r="A77" s="101">
        <v>91</v>
      </c>
      <c r="B77" s="112" t="s">
        <v>574</v>
      </c>
      <c r="C77" s="112" t="s">
        <v>575</v>
      </c>
      <c r="D77" s="101">
        <f>'Thống kê'!I93</f>
        <v>1</v>
      </c>
      <c r="F77" s="215">
        <f t="shared" si="0"/>
        <v>0</v>
      </c>
      <c r="G77" s="215">
        <f t="shared" si="1"/>
        <v>0</v>
      </c>
    </row>
    <row r="78" spans="1:7">
      <c r="A78" s="101">
        <v>92</v>
      </c>
      <c r="B78" s="112" t="s">
        <v>576</v>
      </c>
      <c r="C78" s="112" t="s">
        <v>577</v>
      </c>
      <c r="D78" s="101">
        <f>'Thống kê'!I94</f>
        <v>5</v>
      </c>
      <c r="F78" s="215">
        <f t="shared" si="0"/>
        <v>0</v>
      </c>
      <c r="G78" s="215">
        <f t="shared" si="1"/>
        <v>0</v>
      </c>
    </row>
    <row r="79" spans="1:7">
      <c r="A79" s="101">
        <v>93</v>
      </c>
      <c r="B79" s="112" t="s">
        <v>578</v>
      </c>
      <c r="C79" s="112" t="s">
        <v>579</v>
      </c>
      <c r="D79" s="101">
        <f>'Thống kê'!I95</f>
        <v>5</v>
      </c>
      <c r="F79" s="215">
        <f t="shared" si="0"/>
        <v>0</v>
      </c>
      <c r="G79" s="215">
        <f t="shared" si="1"/>
        <v>0</v>
      </c>
    </row>
    <row r="80" spans="1:7">
      <c r="A80" s="101">
        <v>94</v>
      </c>
      <c r="B80" s="112" t="s">
        <v>580</v>
      </c>
      <c r="C80" s="112" t="s">
        <v>581</v>
      </c>
      <c r="D80" s="101">
        <f>'Thống kê'!I96</f>
        <v>5</v>
      </c>
      <c r="F80" s="215">
        <f t="shared" si="0"/>
        <v>0</v>
      </c>
      <c r="G80" s="215">
        <f t="shared" si="1"/>
        <v>0</v>
      </c>
    </row>
    <row r="81" spans="1:7">
      <c r="A81" s="101">
        <v>95</v>
      </c>
      <c r="B81" s="112" t="s">
        <v>582</v>
      </c>
      <c r="C81" s="112" t="s">
        <v>583</v>
      </c>
      <c r="D81" s="101">
        <f>'Thống kê'!I97</f>
        <v>1</v>
      </c>
      <c r="F81" s="215">
        <f t="shared" si="0"/>
        <v>0</v>
      </c>
      <c r="G81" s="215">
        <f t="shared" si="1"/>
        <v>0</v>
      </c>
    </row>
    <row r="82" spans="1:7">
      <c r="A82" s="101">
        <v>96</v>
      </c>
      <c r="B82" s="112" t="s">
        <v>584</v>
      </c>
      <c r="C82" s="112" t="s">
        <v>585</v>
      </c>
      <c r="D82" s="101">
        <f>'Thống kê'!I98</f>
        <v>1</v>
      </c>
      <c r="F82" s="215">
        <f t="shared" si="0"/>
        <v>0</v>
      </c>
      <c r="G82" s="215">
        <f t="shared" si="1"/>
        <v>0</v>
      </c>
    </row>
    <row r="83" spans="1:7">
      <c r="A83" s="101">
        <v>97</v>
      </c>
      <c r="B83" s="112" t="s">
        <v>586</v>
      </c>
      <c r="C83" s="112" t="s">
        <v>587</v>
      </c>
      <c r="D83" s="101">
        <f>'Thống kê'!I99</f>
        <v>0</v>
      </c>
      <c r="F83" s="215">
        <f t="shared" si="0"/>
        <v>0</v>
      </c>
      <c r="G83" s="215">
        <f t="shared" si="1"/>
        <v>0</v>
      </c>
    </row>
    <row r="84" spans="1:7">
      <c r="A84" s="101">
        <v>98</v>
      </c>
      <c r="B84" s="112" t="s">
        <v>588</v>
      </c>
      <c r="C84" s="112" t="s">
        <v>589</v>
      </c>
      <c r="D84" s="101">
        <f>'Thống kê'!I100</f>
        <v>0</v>
      </c>
      <c r="F84" s="215">
        <f t="shared" si="0"/>
        <v>0</v>
      </c>
      <c r="G84" s="215">
        <f t="shared" si="1"/>
        <v>0</v>
      </c>
    </row>
    <row r="85" spans="1:7">
      <c r="A85" s="101">
        <v>99</v>
      </c>
      <c r="B85" s="112" t="s">
        <v>590</v>
      </c>
      <c r="C85" s="112" t="s">
        <v>591</v>
      </c>
      <c r="D85" s="101">
        <f>'Thống kê'!I101</f>
        <v>-1</v>
      </c>
      <c r="F85" s="215">
        <f t="shared" si="0"/>
        <v>0</v>
      </c>
      <c r="G85" s="215">
        <f t="shared" si="1"/>
        <v>0</v>
      </c>
    </row>
    <row r="86" spans="1:7">
      <c r="A86" s="101">
        <v>100</v>
      </c>
      <c r="B86" s="112" t="s">
        <v>592</v>
      </c>
      <c r="C86" s="112" t="s">
        <v>593</v>
      </c>
      <c r="D86" s="101">
        <f>'Thống kê'!I102</f>
        <v>2</v>
      </c>
      <c r="F86" s="215">
        <f t="shared" si="0"/>
        <v>0</v>
      </c>
      <c r="G86" s="215">
        <f t="shared" si="1"/>
        <v>0</v>
      </c>
    </row>
    <row r="87" spans="1:7">
      <c r="A87" s="101">
        <v>101</v>
      </c>
      <c r="B87" s="112" t="s">
        <v>594</v>
      </c>
      <c r="C87" s="112" t="s">
        <v>595</v>
      </c>
      <c r="D87" s="101">
        <f>'Thống kê'!I103</f>
        <v>4</v>
      </c>
      <c r="F87" s="215">
        <f t="shared" si="0"/>
        <v>0</v>
      </c>
      <c r="G87" s="215">
        <f t="shared" si="1"/>
        <v>0</v>
      </c>
    </row>
    <row r="88" spans="1:7">
      <c r="A88" s="101">
        <v>102</v>
      </c>
      <c r="B88" s="112" t="s">
        <v>596</v>
      </c>
      <c r="C88" s="112" t="s">
        <v>597</v>
      </c>
      <c r="D88" s="101">
        <f>'Thống kê'!I104</f>
        <v>8</v>
      </c>
      <c r="F88" s="215">
        <f t="shared" si="0"/>
        <v>0</v>
      </c>
      <c r="G88" s="215">
        <f t="shared" si="1"/>
        <v>0</v>
      </c>
    </row>
    <row r="89" spans="1:7">
      <c r="A89" s="101">
        <v>103</v>
      </c>
      <c r="B89" s="112" t="s">
        <v>598</v>
      </c>
      <c r="C89" s="112" t="s">
        <v>599</v>
      </c>
      <c r="D89" s="101">
        <f>'Thống kê'!I105</f>
        <v>6</v>
      </c>
      <c r="F89" s="215">
        <f t="shared" si="0"/>
        <v>0</v>
      </c>
      <c r="G89" s="215">
        <f t="shared" si="1"/>
        <v>0</v>
      </c>
    </row>
    <row r="90" spans="1:7">
      <c r="A90" s="101">
        <v>104</v>
      </c>
      <c r="B90" s="112" t="s">
        <v>600</v>
      </c>
      <c r="C90" s="112" t="s">
        <v>601</v>
      </c>
      <c r="D90" s="101">
        <f>'Thống kê'!I106</f>
        <v>0</v>
      </c>
      <c r="F90" s="215">
        <f t="shared" si="0"/>
        <v>0</v>
      </c>
      <c r="G90" s="215">
        <f t="shared" si="1"/>
        <v>0</v>
      </c>
    </row>
    <row r="91" spans="1:7">
      <c r="A91" s="101">
        <v>105</v>
      </c>
      <c r="B91" s="112" t="s">
        <v>602</v>
      </c>
      <c r="C91" s="112" t="s">
        <v>603</v>
      </c>
      <c r="D91" s="101">
        <f>'Thống kê'!I107</f>
        <v>14</v>
      </c>
      <c r="F91" s="215">
        <f t="shared" si="0"/>
        <v>0</v>
      </c>
      <c r="G91" s="215">
        <f t="shared" si="1"/>
        <v>0</v>
      </c>
    </row>
    <row r="92" spans="1:7">
      <c r="A92" s="101">
        <v>106</v>
      </c>
      <c r="B92" s="112" t="s">
        <v>604</v>
      </c>
      <c r="C92" s="112" t="s">
        <v>605</v>
      </c>
      <c r="D92" s="101">
        <f>'Thống kê'!I108</f>
        <v>9</v>
      </c>
      <c r="F92" s="215">
        <f t="shared" si="0"/>
        <v>0</v>
      </c>
      <c r="G92" s="215">
        <f t="shared" si="1"/>
        <v>0</v>
      </c>
    </row>
    <row r="93" spans="1:7">
      <c r="A93" s="101">
        <v>107</v>
      </c>
      <c r="B93" s="112" t="s">
        <v>606</v>
      </c>
      <c r="C93" s="112" t="s">
        <v>607</v>
      </c>
      <c r="D93" s="101">
        <f>'Thống kê'!I109</f>
        <v>10</v>
      </c>
      <c r="F93" s="215">
        <f t="shared" si="0"/>
        <v>0</v>
      </c>
      <c r="G93" s="215">
        <f t="shared" si="1"/>
        <v>0</v>
      </c>
    </row>
    <row r="94" spans="1:7">
      <c r="A94" s="101">
        <v>108</v>
      </c>
      <c r="B94" s="112" t="s">
        <v>608</v>
      </c>
      <c r="C94" s="112" t="s">
        <v>609</v>
      </c>
      <c r="D94" s="101">
        <f>'Thống kê'!I110</f>
        <v>1</v>
      </c>
      <c r="F94" s="215">
        <f t="shared" si="0"/>
        <v>0</v>
      </c>
      <c r="G94" s="215">
        <f t="shared" si="1"/>
        <v>0</v>
      </c>
    </row>
    <row r="95" spans="1:7">
      <c r="A95" s="101">
        <v>109</v>
      </c>
      <c r="B95" s="112" t="s">
        <v>610</v>
      </c>
      <c r="C95" s="112" t="s">
        <v>611</v>
      </c>
      <c r="D95" s="101">
        <f>'Thống kê'!I111</f>
        <v>5</v>
      </c>
      <c r="F95" s="215">
        <f t="shared" si="0"/>
        <v>0</v>
      </c>
      <c r="G95" s="215">
        <f t="shared" si="1"/>
        <v>0</v>
      </c>
    </row>
    <row r="96" spans="1:7">
      <c r="A96" s="101">
        <v>110</v>
      </c>
      <c r="B96" s="112" t="s">
        <v>612</v>
      </c>
      <c r="C96" s="112" t="s">
        <v>613</v>
      </c>
      <c r="D96" s="101">
        <f>'Thống kê'!I112</f>
        <v>6</v>
      </c>
      <c r="F96" s="215">
        <f t="shared" si="0"/>
        <v>0</v>
      </c>
      <c r="G96" s="215">
        <f t="shared" si="1"/>
        <v>0</v>
      </c>
    </row>
    <row r="97" spans="1:7">
      <c r="A97" s="101">
        <v>111</v>
      </c>
      <c r="B97" s="112" t="s">
        <v>614</v>
      </c>
      <c r="C97" s="112" t="s">
        <v>603</v>
      </c>
      <c r="D97" s="101">
        <f>'Thống kê'!I113</f>
        <v>5</v>
      </c>
      <c r="F97" s="215">
        <f t="shared" si="0"/>
        <v>0</v>
      </c>
      <c r="G97" s="215">
        <f t="shared" si="1"/>
        <v>0</v>
      </c>
    </row>
    <row r="98" spans="1:7">
      <c r="A98" s="101">
        <v>112</v>
      </c>
      <c r="B98" s="112" t="s">
        <v>615</v>
      </c>
      <c r="C98" s="112" t="s">
        <v>616</v>
      </c>
      <c r="D98" s="101">
        <f>'Thống kê'!I114</f>
        <v>9</v>
      </c>
      <c r="F98" s="215">
        <f t="shared" si="0"/>
        <v>0</v>
      </c>
      <c r="G98" s="215">
        <f t="shared" si="1"/>
        <v>0</v>
      </c>
    </row>
    <row r="99" spans="1:7">
      <c r="A99" s="101">
        <v>113</v>
      </c>
      <c r="B99" s="112" t="s">
        <v>617</v>
      </c>
      <c r="C99" s="112" t="s">
        <v>618</v>
      </c>
      <c r="D99" s="101">
        <f>'Thống kê'!I115</f>
        <v>9</v>
      </c>
      <c r="F99" s="215">
        <f t="shared" si="0"/>
        <v>0</v>
      </c>
      <c r="G99" s="215">
        <f t="shared" si="1"/>
        <v>0</v>
      </c>
    </row>
    <row r="100" spans="1:7">
      <c r="A100" s="101">
        <v>114</v>
      </c>
      <c r="B100" s="112" t="s">
        <v>619</v>
      </c>
      <c r="C100" s="112" t="s">
        <v>607</v>
      </c>
      <c r="D100" s="101">
        <f>'Thống kê'!I116</f>
        <v>7</v>
      </c>
      <c r="F100" s="215">
        <f t="shared" si="0"/>
        <v>0</v>
      </c>
      <c r="G100" s="215">
        <f t="shared" si="1"/>
        <v>0</v>
      </c>
    </row>
    <row r="101" spans="1:7">
      <c r="A101" s="101">
        <v>115</v>
      </c>
      <c r="B101" s="112" t="s">
        <v>620</v>
      </c>
      <c r="C101" s="112" t="s">
        <v>621</v>
      </c>
      <c r="D101" s="101">
        <f>'Thống kê'!I117</f>
        <v>9</v>
      </c>
      <c r="F101" s="215">
        <f t="shared" si="0"/>
        <v>0</v>
      </c>
      <c r="G101" s="215">
        <f t="shared" si="1"/>
        <v>0</v>
      </c>
    </row>
    <row r="102" spans="1:7">
      <c r="A102" s="101">
        <v>116</v>
      </c>
      <c r="B102" s="112" t="s">
        <v>622</v>
      </c>
      <c r="C102" s="112" t="s">
        <v>597</v>
      </c>
      <c r="D102" s="101">
        <f>'Thống kê'!I118</f>
        <v>21</v>
      </c>
      <c r="F102" s="215">
        <f t="shared" si="0"/>
        <v>0</v>
      </c>
      <c r="G102" s="215">
        <f t="shared" si="1"/>
        <v>0</v>
      </c>
    </row>
    <row r="103" spans="1:7">
      <c r="A103" s="101">
        <v>117</v>
      </c>
      <c r="B103" s="112" t="s">
        <v>623</v>
      </c>
      <c r="C103" s="112" t="s">
        <v>616</v>
      </c>
      <c r="D103" s="101">
        <f>'Thống kê'!I119</f>
        <v>17</v>
      </c>
      <c r="F103" s="215">
        <f t="shared" si="0"/>
        <v>0</v>
      </c>
      <c r="G103" s="215">
        <f t="shared" si="1"/>
        <v>0</v>
      </c>
    </row>
    <row r="104" spans="1:7">
      <c r="A104" s="101">
        <v>118</v>
      </c>
      <c r="B104" s="112" t="s">
        <v>624</v>
      </c>
      <c r="C104" s="112" t="s">
        <v>607</v>
      </c>
      <c r="D104" s="101">
        <f>'Thống kê'!I120</f>
        <v>5</v>
      </c>
      <c r="F104" s="215">
        <f t="shared" si="0"/>
        <v>0</v>
      </c>
      <c r="G104" s="215">
        <f t="shared" si="1"/>
        <v>0</v>
      </c>
    </row>
    <row r="105" spans="1:7">
      <c r="A105" s="101">
        <v>119</v>
      </c>
      <c r="B105" s="112" t="s">
        <v>625</v>
      </c>
      <c r="C105" s="112" t="s">
        <v>626</v>
      </c>
      <c r="D105" s="101">
        <f>'Thống kê'!I121</f>
        <v>8</v>
      </c>
      <c r="F105" s="215">
        <f t="shared" si="0"/>
        <v>0</v>
      </c>
      <c r="G105" s="215">
        <f t="shared" si="1"/>
        <v>0</v>
      </c>
    </row>
    <row r="106" spans="1:7">
      <c r="A106" s="101">
        <v>120</v>
      </c>
      <c r="B106" s="112" t="s">
        <v>627</v>
      </c>
      <c r="C106" s="112" t="s">
        <v>628</v>
      </c>
      <c r="D106" s="101">
        <f>'Thống kê'!I122</f>
        <v>10</v>
      </c>
      <c r="F106" s="215">
        <f t="shared" si="0"/>
        <v>0</v>
      </c>
      <c r="G106" s="215">
        <f t="shared" si="1"/>
        <v>0</v>
      </c>
    </row>
    <row r="107" spans="1:7">
      <c r="A107" s="101">
        <v>121</v>
      </c>
      <c r="B107" s="112" t="s">
        <v>629</v>
      </c>
      <c r="C107" s="112" t="s">
        <v>630</v>
      </c>
      <c r="D107" s="101">
        <f>'Thống kê'!I123</f>
        <v>5</v>
      </c>
      <c r="F107" s="215">
        <f t="shared" si="0"/>
        <v>0</v>
      </c>
      <c r="G107" s="215">
        <f t="shared" si="1"/>
        <v>0</v>
      </c>
    </row>
    <row r="108" spans="1:7">
      <c r="A108" s="101">
        <v>122</v>
      </c>
      <c r="B108" s="112" t="s">
        <v>631</v>
      </c>
      <c r="C108" s="112" t="s">
        <v>632</v>
      </c>
      <c r="D108" s="101">
        <f>'Thống kê'!I124</f>
        <v>0</v>
      </c>
      <c r="F108" s="215">
        <f t="shared" si="0"/>
        <v>0</v>
      </c>
      <c r="G108" s="215">
        <f t="shared" si="1"/>
        <v>0</v>
      </c>
    </row>
    <row r="109" spans="1:7">
      <c r="A109" s="101">
        <v>123</v>
      </c>
      <c r="B109" s="112" t="s">
        <v>633</v>
      </c>
      <c r="C109" s="112" t="s">
        <v>634</v>
      </c>
      <c r="D109" s="101">
        <f>'Thống kê'!I125</f>
        <v>0</v>
      </c>
      <c r="F109" s="215">
        <f t="shared" si="0"/>
        <v>0</v>
      </c>
      <c r="G109" s="215">
        <f t="shared" si="1"/>
        <v>0</v>
      </c>
    </row>
    <row r="110" spans="1:7">
      <c r="A110" s="101">
        <v>124</v>
      </c>
      <c r="B110" s="112" t="s">
        <v>635</v>
      </c>
      <c r="C110" s="112" t="s">
        <v>636</v>
      </c>
      <c r="D110" s="101">
        <f>'Thống kê'!I126</f>
        <v>0</v>
      </c>
      <c r="F110" s="215">
        <f t="shared" si="0"/>
        <v>0</v>
      </c>
      <c r="G110" s="215">
        <f t="shared" si="1"/>
        <v>0</v>
      </c>
    </row>
    <row r="111" spans="1:7">
      <c r="A111" s="101">
        <v>125</v>
      </c>
      <c r="B111" s="112" t="s">
        <v>637</v>
      </c>
      <c r="C111" s="112" t="s">
        <v>638</v>
      </c>
      <c r="D111" s="101">
        <f>'Thống kê'!I127</f>
        <v>0</v>
      </c>
      <c r="F111" s="215">
        <f t="shared" si="0"/>
        <v>0</v>
      </c>
      <c r="G111" s="215">
        <f t="shared" si="1"/>
        <v>0</v>
      </c>
    </row>
    <row r="112" spans="1:7">
      <c r="A112" s="101">
        <v>126</v>
      </c>
      <c r="B112" s="112" t="s">
        <v>639</v>
      </c>
      <c r="C112" s="112" t="s">
        <v>640</v>
      </c>
      <c r="D112" s="101">
        <f>'Thống kê'!I128</f>
        <v>0</v>
      </c>
      <c r="F112" s="215">
        <f t="shared" si="0"/>
        <v>0</v>
      </c>
      <c r="G112" s="215">
        <f t="shared" si="1"/>
        <v>0</v>
      </c>
    </row>
    <row r="113" spans="1:7">
      <c r="A113" s="101">
        <v>127</v>
      </c>
      <c r="B113" s="112" t="s">
        <v>641</v>
      </c>
      <c r="C113" s="112" t="s">
        <v>642</v>
      </c>
      <c r="D113" s="101">
        <f>'Thống kê'!I129</f>
        <v>0</v>
      </c>
      <c r="F113" s="215">
        <f t="shared" si="0"/>
        <v>0</v>
      </c>
      <c r="G113" s="215">
        <f t="shared" si="1"/>
        <v>0</v>
      </c>
    </row>
    <row r="114" spans="1:7">
      <c r="A114" s="101">
        <v>128</v>
      </c>
      <c r="B114" s="112" t="s">
        <v>643</v>
      </c>
      <c r="C114" s="112" t="s">
        <v>644</v>
      </c>
      <c r="D114" s="101">
        <f>'Thống kê'!I130</f>
        <v>0</v>
      </c>
      <c r="F114" s="215">
        <f t="shared" si="0"/>
        <v>0</v>
      </c>
      <c r="G114" s="215">
        <f t="shared" si="1"/>
        <v>0</v>
      </c>
    </row>
    <row r="115" spans="1:7">
      <c r="A115" s="101">
        <v>129</v>
      </c>
      <c r="B115" s="112" t="s">
        <v>645</v>
      </c>
      <c r="C115" s="112" t="s">
        <v>646</v>
      </c>
      <c r="D115" s="101">
        <f>'Thống kê'!I131</f>
        <v>0</v>
      </c>
      <c r="F115" s="215">
        <f t="shared" si="0"/>
        <v>0</v>
      </c>
      <c r="G115" s="215">
        <f t="shared" si="1"/>
        <v>0</v>
      </c>
    </row>
    <row r="116" spans="1:7">
      <c r="A116" s="101">
        <v>130</v>
      </c>
      <c r="B116" s="112" t="s">
        <v>647</v>
      </c>
      <c r="C116" s="112" t="s">
        <v>648</v>
      </c>
      <c r="D116" s="101">
        <f>'Thống kê'!I132</f>
        <v>0</v>
      </c>
      <c r="F116" s="215">
        <f t="shared" si="0"/>
        <v>0</v>
      </c>
      <c r="G116" s="215">
        <f t="shared" si="1"/>
        <v>0</v>
      </c>
    </row>
    <row r="117" spans="1:7">
      <c r="A117" s="101">
        <v>131</v>
      </c>
      <c r="B117" s="112" t="s">
        <v>649</v>
      </c>
      <c r="C117" s="112" t="s">
        <v>650</v>
      </c>
      <c r="D117" s="101">
        <f>'Thống kê'!I133</f>
        <v>0</v>
      </c>
      <c r="F117" s="215">
        <f t="shared" si="0"/>
        <v>0</v>
      </c>
      <c r="G117" s="215">
        <f t="shared" si="1"/>
        <v>0</v>
      </c>
    </row>
    <row r="118" spans="1:7">
      <c r="A118" s="101">
        <v>132</v>
      </c>
      <c r="B118" s="112" t="s">
        <v>651</v>
      </c>
      <c r="C118" s="112" t="s">
        <v>652</v>
      </c>
      <c r="D118" s="101">
        <f>'Thống kê'!I134</f>
        <v>1</v>
      </c>
      <c r="F118" s="215">
        <f t="shared" si="0"/>
        <v>0</v>
      </c>
      <c r="G118" s="215">
        <f t="shared" si="1"/>
        <v>0</v>
      </c>
    </row>
    <row r="119" spans="1:7">
      <c r="A119" s="101">
        <v>133</v>
      </c>
      <c r="B119" s="112" t="s">
        <v>653</v>
      </c>
      <c r="C119" s="112" t="s">
        <v>654</v>
      </c>
      <c r="D119" s="101">
        <f>'Thống kê'!I135</f>
        <v>0</v>
      </c>
      <c r="F119" s="215">
        <f t="shared" si="0"/>
        <v>0</v>
      </c>
      <c r="G119" s="215">
        <f t="shared" si="1"/>
        <v>0</v>
      </c>
    </row>
    <row r="120" spans="1:7">
      <c r="A120" s="101">
        <v>134</v>
      </c>
      <c r="B120" s="112" t="s">
        <v>655</v>
      </c>
      <c r="C120" s="112" t="s">
        <v>656</v>
      </c>
      <c r="D120" s="101">
        <f>'Thống kê'!I136</f>
        <v>0</v>
      </c>
      <c r="F120" s="215">
        <f t="shared" si="0"/>
        <v>0</v>
      </c>
      <c r="G120" s="215">
        <f t="shared" si="1"/>
        <v>0</v>
      </c>
    </row>
    <row r="121" spans="1:7">
      <c r="A121" s="101">
        <v>135</v>
      </c>
      <c r="B121" s="112" t="s">
        <v>657</v>
      </c>
      <c r="C121" s="112" t="s">
        <v>658</v>
      </c>
      <c r="D121" s="101">
        <f>'Thống kê'!I137</f>
        <v>0</v>
      </c>
      <c r="F121" s="215">
        <f t="shared" si="0"/>
        <v>0</v>
      </c>
      <c r="G121" s="215">
        <f t="shared" si="1"/>
        <v>0</v>
      </c>
    </row>
    <row r="122" spans="1:7">
      <c r="A122" s="101">
        <v>136</v>
      </c>
      <c r="B122" s="112" t="s">
        <v>659</v>
      </c>
      <c r="C122" s="112" t="s">
        <v>660</v>
      </c>
      <c r="D122" s="101">
        <f>'Thống kê'!I138</f>
        <v>1</v>
      </c>
      <c r="F122" s="215">
        <f t="shared" si="0"/>
        <v>0</v>
      </c>
      <c r="G122" s="215">
        <f t="shared" si="1"/>
        <v>0</v>
      </c>
    </row>
    <row r="123" spans="1:7">
      <c r="A123" s="101">
        <v>137</v>
      </c>
      <c r="B123" s="112" t="s">
        <v>661</v>
      </c>
      <c r="C123" s="112" t="s">
        <v>662</v>
      </c>
      <c r="D123" s="101">
        <f>'Thống kê'!I139</f>
        <v>0</v>
      </c>
      <c r="F123" s="215">
        <f t="shared" si="0"/>
        <v>0</v>
      </c>
      <c r="G123" s="215">
        <f t="shared" si="1"/>
        <v>0</v>
      </c>
    </row>
    <row r="124" spans="1:7">
      <c r="A124" s="101">
        <v>138</v>
      </c>
      <c r="B124" s="112" t="s">
        <v>663</v>
      </c>
      <c r="C124" s="112" t="s">
        <v>664</v>
      </c>
      <c r="D124" s="101">
        <f>'Thống kê'!I140</f>
        <v>0</v>
      </c>
      <c r="F124" s="215">
        <f t="shared" si="0"/>
        <v>0</v>
      </c>
      <c r="G124" s="215">
        <f t="shared" si="1"/>
        <v>0</v>
      </c>
    </row>
    <row r="125" spans="1:7">
      <c r="A125" s="101">
        <v>139</v>
      </c>
      <c r="B125" s="112" t="s">
        <v>665</v>
      </c>
      <c r="C125" s="112" t="s">
        <v>666</v>
      </c>
      <c r="D125" s="101">
        <f>'Thống kê'!I141</f>
        <v>0</v>
      </c>
      <c r="F125" s="215">
        <f t="shared" si="0"/>
        <v>0</v>
      </c>
      <c r="G125" s="215">
        <f t="shared" si="1"/>
        <v>0</v>
      </c>
    </row>
    <row r="126" spans="1:7">
      <c r="A126" s="101">
        <v>140</v>
      </c>
      <c r="B126" s="112" t="s">
        <v>667</v>
      </c>
      <c r="C126" s="112" t="s">
        <v>668</v>
      </c>
      <c r="D126" s="101">
        <f>'Thống kê'!I142</f>
        <v>0</v>
      </c>
      <c r="F126" s="215">
        <f t="shared" si="0"/>
        <v>0</v>
      </c>
      <c r="G126" s="215">
        <f t="shared" si="1"/>
        <v>0</v>
      </c>
    </row>
    <row r="127" spans="1:7">
      <c r="A127" s="101">
        <v>141</v>
      </c>
      <c r="B127" s="112" t="s">
        <v>669</v>
      </c>
      <c r="C127" s="112" t="s">
        <v>670</v>
      </c>
      <c r="D127" s="101">
        <f>'Thống kê'!I143</f>
        <v>0</v>
      </c>
      <c r="F127" s="215">
        <f t="shared" si="0"/>
        <v>0</v>
      </c>
      <c r="G127" s="215">
        <f t="shared" si="1"/>
        <v>0</v>
      </c>
    </row>
    <row r="128" spans="1:7">
      <c r="A128" s="101">
        <v>142</v>
      </c>
      <c r="B128" s="112" t="s">
        <v>671</v>
      </c>
      <c r="C128" s="112" t="s">
        <v>672</v>
      </c>
      <c r="D128" s="101">
        <f>'Thống kê'!I144</f>
        <v>0</v>
      </c>
      <c r="F128" s="215">
        <f t="shared" si="0"/>
        <v>0</v>
      </c>
      <c r="G128" s="215">
        <f t="shared" si="1"/>
        <v>0</v>
      </c>
    </row>
    <row r="129" spans="1:7">
      <c r="A129" s="101">
        <v>143</v>
      </c>
      <c r="B129" s="112" t="s">
        <v>673</v>
      </c>
      <c r="C129" s="112" t="s">
        <v>674</v>
      </c>
      <c r="D129" s="101">
        <f>'Thống kê'!I145</f>
        <v>0</v>
      </c>
      <c r="F129" s="215">
        <f t="shared" si="0"/>
        <v>0</v>
      </c>
      <c r="G129" s="215">
        <f t="shared" si="1"/>
        <v>0</v>
      </c>
    </row>
    <row r="130" spans="1:7">
      <c r="A130" s="101">
        <v>144</v>
      </c>
      <c r="B130" s="112" t="s">
        <v>675</v>
      </c>
      <c r="C130" s="112" t="s">
        <v>676</v>
      </c>
      <c r="D130" s="101">
        <f>'Thống kê'!I146</f>
        <v>1</v>
      </c>
      <c r="F130" s="215">
        <f t="shared" si="0"/>
        <v>0</v>
      </c>
      <c r="G130" s="215">
        <f t="shared" si="1"/>
        <v>0</v>
      </c>
    </row>
    <row r="131" spans="1:7">
      <c r="A131" s="101">
        <v>145</v>
      </c>
      <c r="B131" s="112" t="s">
        <v>677</v>
      </c>
      <c r="C131" s="112" t="s">
        <v>678</v>
      </c>
      <c r="D131" s="101">
        <f>'Thống kê'!I147</f>
        <v>0</v>
      </c>
      <c r="F131" s="215">
        <f t="shared" si="0"/>
        <v>0</v>
      </c>
      <c r="G131" s="215">
        <f t="shared" si="1"/>
        <v>0</v>
      </c>
    </row>
    <row r="132" spans="1:7">
      <c r="A132" s="101">
        <v>146</v>
      </c>
      <c r="B132" s="112" t="s">
        <v>679</v>
      </c>
      <c r="C132" s="112" t="s">
        <v>680</v>
      </c>
      <c r="D132" s="101">
        <f>'Thống kê'!I148</f>
        <v>0</v>
      </c>
      <c r="F132" s="215">
        <f t="shared" si="0"/>
        <v>0</v>
      </c>
      <c r="G132" s="215">
        <f t="shared" si="1"/>
        <v>0</v>
      </c>
    </row>
    <row r="133" spans="1:7">
      <c r="A133" s="101">
        <v>147</v>
      </c>
      <c r="B133" s="112" t="s">
        <v>681</v>
      </c>
      <c r="C133" s="112" t="s">
        <v>682</v>
      </c>
      <c r="D133" s="101">
        <f>'Thống kê'!I149</f>
        <v>0</v>
      </c>
      <c r="F133" s="215">
        <f t="shared" si="0"/>
        <v>0</v>
      </c>
      <c r="G133" s="215">
        <f t="shared" si="1"/>
        <v>0</v>
      </c>
    </row>
    <row r="134" spans="1:7">
      <c r="A134" s="101">
        <v>148</v>
      </c>
      <c r="B134" s="112" t="s">
        <v>683</v>
      </c>
      <c r="C134" s="112" t="s">
        <v>684</v>
      </c>
      <c r="D134" s="101">
        <f>'Thống kê'!I150</f>
        <v>0</v>
      </c>
      <c r="F134" s="215">
        <f t="shared" si="0"/>
        <v>0</v>
      </c>
      <c r="G134" s="215">
        <f t="shared" si="1"/>
        <v>0</v>
      </c>
    </row>
    <row r="135" spans="1:7">
      <c r="A135" s="101">
        <v>149</v>
      </c>
      <c r="B135" s="112" t="s">
        <v>685</v>
      </c>
      <c r="C135" s="112" t="s">
        <v>686</v>
      </c>
      <c r="D135" s="101">
        <f>'Thống kê'!I151</f>
        <v>0</v>
      </c>
      <c r="F135" s="215">
        <f t="shared" si="0"/>
        <v>0</v>
      </c>
      <c r="G135" s="215">
        <f t="shared" si="1"/>
        <v>0</v>
      </c>
    </row>
    <row r="136" spans="1:7">
      <c r="A136" s="101">
        <v>150</v>
      </c>
      <c r="B136" s="112" t="s">
        <v>687</v>
      </c>
      <c r="C136" s="112" t="s">
        <v>688</v>
      </c>
      <c r="D136" s="101">
        <f>'Thống kê'!I152</f>
        <v>0</v>
      </c>
      <c r="F136" s="215">
        <f t="shared" si="0"/>
        <v>0</v>
      </c>
      <c r="G136" s="215">
        <f t="shared" si="1"/>
        <v>0</v>
      </c>
    </row>
    <row r="137" spans="1:7">
      <c r="A137" s="101">
        <v>151</v>
      </c>
      <c r="B137" s="112" t="s">
        <v>689</v>
      </c>
      <c r="C137" s="112" t="s">
        <v>690</v>
      </c>
      <c r="D137" s="101">
        <f>'Thống kê'!I153</f>
        <v>0</v>
      </c>
      <c r="F137" s="215">
        <f t="shared" si="0"/>
        <v>0</v>
      </c>
      <c r="G137" s="215">
        <f t="shared" si="1"/>
        <v>0</v>
      </c>
    </row>
    <row r="138" spans="1:7">
      <c r="A138" s="101">
        <v>152</v>
      </c>
      <c r="B138" s="112" t="s">
        <v>691</v>
      </c>
      <c r="C138" s="112" t="s">
        <v>692</v>
      </c>
      <c r="D138" s="101">
        <f>'Thống kê'!I154</f>
        <v>1</v>
      </c>
      <c r="F138" s="215">
        <f t="shared" si="0"/>
        <v>0</v>
      </c>
      <c r="G138" s="215">
        <f t="shared" si="1"/>
        <v>0</v>
      </c>
    </row>
    <row r="139" spans="1:7">
      <c r="A139" s="101">
        <v>153</v>
      </c>
      <c r="B139" s="112" t="s">
        <v>693</v>
      </c>
      <c r="C139" s="112" t="s">
        <v>694</v>
      </c>
      <c r="D139" s="101">
        <f>'Thống kê'!I155</f>
        <v>1</v>
      </c>
      <c r="F139" s="215">
        <f t="shared" si="0"/>
        <v>0</v>
      </c>
      <c r="G139" s="215">
        <f t="shared" si="1"/>
        <v>0</v>
      </c>
    </row>
    <row r="140" spans="1:7">
      <c r="A140" s="101">
        <v>154</v>
      </c>
      <c r="B140" s="112" t="s">
        <v>695</v>
      </c>
      <c r="C140" s="112" t="s">
        <v>696</v>
      </c>
      <c r="D140" s="101">
        <f>'Thống kê'!I156</f>
        <v>0</v>
      </c>
      <c r="F140" s="215">
        <f t="shared" si="0"/>
        <v>0</v>
      </c>
      <c r="G140" s="215">
        <f t="shared" si="1"/>
        <v>0</v>
      </c>
    </row>
    <row r="141" spans="1:7">
      <c r="A141" s="101">
        <v>155</v>
      </c>
      <c r="B141" s="112" t="s">
        <v>697</v>
      </c>
      <c r="C141" s="112" t="s">
        <v>698</v>
      </c>
      <c r="D141" s="101">
        <f>'Thống kê'!I157</f>
        <v>0</v>
      </c>
      <c r="F141" s="215">
        <f t="shared" si="0"/>
        <v>0</v>
      </c>
      <c r="G141" s="215">
        <f t="shared" si="1"/>
        <v>0</v>
      </c>
    </row>
    <row r="142" spans="1:7">
      <c r="A142" s="101">
        <v>156</v>
      </c>
      <c r="B142" s="112" t="s">
        <v>699</v>
      </c>
      <c r="C142" s="112" t="s">
        <v>700</v>
      </c>
      <c r="D142" s="101">
        <f>'Thống kê'!I158</f>
        <v>1</v>
      </c>
      <c r="F142" s="215">
        <f t="shared" si="0"/>
        <v>0</v>
      </c>
      <c r="G142" s="215">
        <f t="shared" si="1"/>
        <v>0</v>
      </c>
    </row>
    <row r="143" spans="1:7">
      <c r="A143" s="101">
        <v>157</v>
      </c>
      <c r="B143" s="112" t="s">
        <v>701</v>
      </c>
      <c r="C143" s="112" t="s">
        <v>702</v>
      </c>
      <c r="D143" s="101">
        <f>'Thống kê'!I159</f>
        <v>0</v>
      </c>
      <c r="F143" s="215">
        <f t="shared" si="0"/>
        <v>0</v>
      </c>
      <c r="G143" s="215">
        <f t="shared" si="1"/>
        <v>0</v>
      </c>
    </row>
    <row r="144" spans="1:7">
      <c r="A144" s="101">
        <v>158</v>
      </c>
      <c r="B144" s="112" t="s">
        <v>703</v>
      </c>
      <c r="C144" s="112" t="s">
        <v>704</v>
      </c>
      <c r="D144" s="101">
        <f>'Thống kê'!I160</f>
        <v>0</v>
      </c>
      <c r="F144" s="215">
        <f t="shared" si="0"/>
        <v>0</v>
      </c>
      <c r="G144" s="215">
        <f t="shared" si="1"/>
        <v>0</v>
      </c>
    </row>
    <row r="145" spans="1:7">
      <c r="A145" s="101">
        <v>159</v>
      </c>
      <c r="B145" s="112" t="s">
        <v>705</v>
      </c>
      <c r="C145" s="112" t="s">
        <v>706</v>
      </c>
      <c r="D145" s="101">
        <f>'Thống kê'!I161</f>
        <v>0</v>
      </c>
      <c r="F145" s="215">
        <f t="shared" si="0"/>
        <v>0</v>
      </c>
      <c r="G145" s="215">
        <f t="shared" si="1"/>
        <v>0</v>
      </c>
    </row>
    <row r="146" spans="1:7">
      <c r="A146" s="101">
        <v>160</v>
      </c>
      <c r="B146" s="112" t="s">
        <v>707</v>
      </c>
      <c r="C146" s="112" t="s">
        <v>708</v>
      </c>
      <c r="D146" s="101">
        <f>'Thống kê'!I162</f>
        <v>0</v>
      </c>
      <c r="F146" s="215">
        <f t="shared" si="0"/>
        <v>0</v>
      </c>
      <c r="G146" s="215">
        <f t="shared" si="1"/>
        <v>0</v>
      </c>
    </row>
    <row r="147" spans="1:7">
      <c r="A147" s="101">
        <v>161</v>
      </c>
      <c r="B147" s="112" t="s">
        <v>709</v>
      </c>
      <c r="C147" s="112" t="s">
        <v>710</v>
      </c>
      <c r="D147" s="101">
        <f>'Thống kê'!I163</f>
        <v>-1</v>
      </c>
      <c r="F147" s="215">
        <f t="shared" si="0"/>
        <v>0</v>
      </c>
      <c r="G147" s="215">
        <f t="shared" si="1"/>
        <v>0</v>
      </c>
    </row>
    <row r="148" spans="1:7">
      <c r="A148" s="101">
        <v>162</v>
      </c>
      <c r="B148" s="112" t="s">
        <v>711</v>
      </c>
      <c r="C148" s="112" t="s">
        <v>712</v>
      </c>
      <c r="D148" s="101">
        <f>'Thống kê'!I164</f>
        <v>0</v>
      </c>
      <c r="F148" s="215">
        <f t="shared" si="0"/>
        <v>0</v>
      </c>
      <c r="G148" s="215">
        <f t="shared" si="1"/>
        <v>0</v>
      </c>
    </row>
    <row r="149" spans="1:7">
      <c r="A149" s="101">
        <v>163</v>
      </c>
      <c r="B149" s="112" t="s">
        <v>713</v>
      </c>
      <c r="C149" s="112" t="s">
        <v>714</v>
      </c>
      <c r="D149" s="101">
        <f>'Thống kê'!I165</f>
        <v>0</v>
      </c>
      <c r="F149" s="215">
        <f t="shared" si="0"/>
        <v>0</v>
      </c>
      <c r="G149" s="215">
        <f t="shared" si="1"/>
        <v>0</v>
      </c>
    </row>
    <row r="150" spans="1:7">
      <c r="A150" s="101">
        <v>164</v>
      </c>
      <c r="B150" s="112" t="s">
        <v>715</v>
      </c>
      <c r="C150" s="112" t="s">
        <v>716</v>
      </c>
      <c r="D150" s="101">
        <f>'Thống kê'!I166</f>
        <v>0</v>
      </c>
      <c r="F150" s="215">
        <f t="shared" si="0"/>
        <v>0</v>
      </c>
      <c r="G150" s="215">
        <f t="shared" si="1"/>
        <v>0</v>
      </c>
    </row>
    <row r="151" spans="1:7">
      <c r="A151" s="101">
        <v>165</v>
      </c>
      <c r="B151" s="112" t="s">
        <v>717</v>
      </c>
      <c r="C151" s="112" t="s">
        <v>718</v>
      </c>
      <c r="D151" s="101">
        <f>'Thống kê'!I167</f>
        <v>0</v>
      </c>
      <c r="F151" s="215">
        <f t="shared" si="0"/>
        <v>0</v>
      </c>
      <c r="G151" s="215">
        <f t="shared" si="1"/>
        <v>0</v>
      </c>
    </row>
    <row r="152" spans="1:7">
      <c r="A152" s="101">
        <v>166</v>
      </c>
      <c r="B152" s="112" t="s">
        <v>719</v>
      </c>
      <c r="C152" s="112" t="s">
        <v>718</v>
      </c>
      <c r="D152" s="101">
        <f>'Thống kê'!I168</f>
        <v>11</v>
      </c>
      <c r="F152" s="215">
        <f t="shared" si="0"/>
        <v>0</v>
      </c>
      <c r="G152" s="215">
        <f t="shared" si="1"/>
        <v>0</v>
      </c>
    </row>
    <row r="153" spans="1:7">
      <c r="A153" s="101">
        <v>167</v>
      </c>
      <c r="B153" s="112" t="s">
        <v>720</v>
      </c>
      <c r="C153" s="112" t="s">
        <v>721</v>
      </c>
      <c r="D153" s="101">
        <f>'Thống kê'!I169</f>
        <v>1</v>
      </c>
      <c r="F153" s="215">
        <f t="shared" si="0"/>
        <v>0</v>
      </c>
      <c r="G153" s="215">
        <f t="shared" si="1"/>
        <v>0</v>
      </c>
    </row>
    <row r="154" spans="1:7">
      <c r="A154" s="101">
        <v>168</v>
      </c>
      <c r="B154" s="112" t="s">
        <v>722</v>
      </c>
      <c r="C154" s="112" t="s">
        <v>723</v>
      </c>
      <c r="D154" s="101">
        <f>'Thống kê'!I170</f>
        <v>5</v>
      </c>
      <c r="F154" s="215">
        <f t="shared" si="0"/>
        <v>0</v>
      </c>
      <c r="G154" s="215">
        <f t="shared" si="1"/>
        <v>0</v>
      </c>
    </row>
    <row r="155" spans="1:7">
      <c r="A155" s="101">
        <v>169</v>
      </c>
      <c r="B155" s="112" t="s">
        <v>724</v>
      </c>
      <c r="C155" s="112" t="s">
        <v>725</v>
      </c>
      <c r="D155" s="101">
        <f>'Thống kê'!I171</f>
        <v>3</v>
      </c>
      <c r="F155" s="215">
        <f t="shared" si="0"/>
        <v>0</v>
      </c>
      <c r="G155" s="215">
        <f t="shared" si="1"/>
        <v>0</v>
      </c>
    </row>
    <row r="156" spans="1:7">
      <c r="A156" s="101">
        <v>170</v>
      </c>
      <c r="B156" s="112" t="s">
        <v>726</v>
      </c>
      <c r="C156" s="112" t="s">
        <v>727</v>
      </c>
      <c r="D156" s="101">
        <f>'Thống kê'!I172</f>
        <v>3</v>
      </c>
      <c r="F156" s="215">
        <f t="shared" si="0"/>
        <v>0</v>
      </c>
      <c r="G156" s="215">
        <f t="shared" si="1"/>
        <v>0</v>
      </c>
    </row>
    <row r="157" spans="1:7">
      <c r="A157" s="101">
        <v>171</v>
      </c>
      <c r="B157" s="112" t="s">
        <v>728</v>
      </c>
      <c r="C157" s="112" t="s">
        <v>729</v>
      </c>
      <c r="D157" s="101">
        <f>'Thống kê'!I173</f>
        <v>3</v>
      </c>
      <c r="F157" s="215">
        <f t="shared" si="0"/>
        <v>0</v>
      </c>
      <c r="G157" s="215">
        <f t="shared" si="1"/>
        <v>0</v>
      </c>
    </row>
    <row r="158" spans="1:7">
      <c r="A158" s="101">
        <v>172</v>
      </c>
      <c r="B158" s="112" t="s">
        <v>730</v>
      </c>
      <c r="C158" s="112" t="s">
        <v>731</v>
      </c>
      <c r="D158" s="101">
        <f>'Thống kê'!I174</f>
        <v>0</v>
      </c>
      <c r="F158" s="215">
        <f t="shared" si="0"/>
        <v>0</v>
      </c>
      <c r="G158" s="215">
        <f t="shared" si="1"/>
        <v>0</v>
      </c>
    </row>
    <row r="159" spans="1:7">
      <c r="A159" s="101">
        <v>173</v>
      </c>
      <c r="B159" s="112" t="s">
        <v>732</v>
      </c>
      <c r="C159" s="112" t="s">
        <v>733</v>
      </c>
      <c r="D159" s="101">
        <f>'Thống kê'!I175</f>
        <v>15</v>
      </c>
      <c r="F159" s="215">
        <f t="shared" si="0"/>
        <v>0</v>
      </c>
      <c r="G159" s="215">
        <f t="shared" si="1"/>
        <v>0</v>
      </c>
    </row>
    <row r="160" spans="1:7">
      <c r="A160" s="101">
        <v>174</v>
      </c>
      <c r="B160" s="112" t="s">
        <v>734</v>
      </c>
      <c r="C160" s="112" t="s">
        <v>735</v>
      </c>
      <c r="D160" s="101">
        <f>'Thống kê'!I176</f>
        <v>-2</v>
      </c>
      <c r="F160" s="215">
        <f t="shared" si="0"/>
        <v>0</v>
      </c>
      <c r="G160" s="215">
        <f t="shared" si="1"/>
        <v>0</v>
      </c>
    </row>
    <row r="161" spans="1:7">
      <c r="A161" s="101">
        <v>175</v>
      </c>
      <c r="B161" s="112" t="s">
        <v>736</v>
      </c>
      <c r="C161" s="112" t="s">
        <v>737</v>
      </c>
      <c r="D161" s="101">
        <f>'Thống kê'!I177</f>
        <v>0</v>
      </c>
      <c r="F161" s="215">
        <f t="shared" si="0"/>
        <v>0</v>
      </c>
      <c r="G161" s="215">
        <f t="shared" si="1"/>
        <v>0</v>
      </c>
    </row>
    <row r="162" spans="1:7">
      <c r="A162" s="101">
        <v>176</v>
      </c>
      <c r="B162" s="112" t="s">
        <v>738</v>
      </c>
      <c r="C162" s="112" t="s">
        <v>739</v>
      </c>
      <c r="D162" s="101">
        <f>'Thống kê'!I178</f>
        <v>-2</v>
      </c>
      <c r="F162" s="215">
        <f t="shared" si="0"/>
        <v>0</v>
      </c>
      <c r="G162" s="215">
        <f t="shared" si="1"/>
        <v>0</v>
      </c>
    </row>
    <row r="163" spans="1:7">
      <c r="A163" s="101">
        <v>177</v>
      </c>
      <c r="B163" s="112" t="s">
        <v>740</v>
      </c>
      <c r="C163" s="112" t="s">
        <v>741</v>
      </c>
      <c r="D163" s="101">
        <f>'Thống kê'!I179</f>
        <v>11</v>
      </c>
      <c r="F163" s="215">
        <f t="shared" si="0"/>
        <v>0</v>
      </c>
      <c r="G163" s="215">
        <f t="shared" si="1"/>
        <v>0</v>
      </c>
    </row>
    <row r="164" spans="1:7">
      <c r="A164" s="101">
        <v>178</v>
      </c>
      <c r="B164" s="112" t="s">
        <v>742</v>
      </c>
      <c r="C164" s="112" t="s">
        <v>743</v>
      </c>
      <c r="D164" s="101">
        <f>'Thống kê'!I180</f>
        <v>3</v>
      </c>
      <c r="F164" s="215">
        <f t="shared" si="0"/>
        <v>0</v>
      </c>
      <c r="G164" s="215">
        <f t="shared" si="1"/>
        <v>0</v>
      </c>
    </row>
    <row r="165" spans="1:7">
      <c r="A165" s="101">
        <v>179</v>
      </c>
      <c r="B165" s="112" t="s">
        <v>744</v>
      </c>
      <c r="C165" s="112" t="s">
        <v>745</v>
      </c>
      <c r="D165" s="101">
        <f>'Thống kê'!I181</f>
        <v>2</v>
      </c>
      <c r="F165" s="215">
        <f t="shared" si="0"/>
        <v>0</v>
      </c>
      <c r="G165" s="215">
        <f t="shared" si="1"/>
        <v>0</v>
      </c>
    </row>
    <row r="166" spans="1:7">
      <c r="A166" s="101">
        <v>180</v>
      </c>
      <c r="B166" s="112" t="s">
        <v>746</v>
      </c>
      <c r="C166" s="112" t="s">
        <v>747</v>
      </c>
      <c r="D166" s="101">
        <f>'Thống kê'!I182</f>
        <v>0</v>
      </c>
      <c r="F166" s="215">
        <f t="shared" si="0"/>
        <v>0</v>
      </c>
      <c r="G166" s="215">
        <f t="shared" si="1"/>
        <v>0</v>
      </c>
    </row>
    <row r="167" spans="1:7">
      <c r="A167" s="101">
        <v>181</v>
      </c>
      <c r="B167" s="112" t="s">
        <v>748</v>
      </c>
      <c r="C167" s="112" t="s">
        <v>749</v>
      </c>
      <c r="D167" s="101">
        <f>'Thống kê'!I183</f>
        <v>0</v>
      </c>
      <c r="F167" s="215">
        <f t="shared" si="0"/>
        <v>0</v>
      </c>
      <c r="G167" s="215">
        <f t="shared" si="1"/>
        <v>0</v>
      </c>
    </row>
    <row r="168" spans="1:7">
      <c r="A168" s="101">
        <v>182</v>
      </c>
      <c r="B168" s="112" t="s">
        <v>750</v>
      </c>
      <c r="C168" s="112" t="s">
        <v>751</v>
      </c>
      <c r="D168" s="101">
        <f>'Thống kê'!I184</f>
        <v>1</v>
      </c>
      <c r="F168" s="215">
        <f t="shared" si="0"/>
        <v>0</v>
      </c>
      <c r="G168" s="215">
        <f t="shared" si="1"/>
        <v>0</v>
      </c>
    </row>
    <row r="169" spans="1:7">
      <c r="A169" s="101">
        <v>183</v>
      </c>
      <c r="B169" s="112" t="s">
        <v>752</v>
      </c>
      <c r="C169" s="112" t="s">
        <v>753</v>
      </c>
      <c r="D169" s="101">
        <f>'Thống kê'!I185</f>
        <v>0</v>
      </c>
      <c r="F169" s="215">
        <f t="shared" si="0"/>
        <v>0</v>
      </c>
      <c r="G169" s="215">
        <f t="shared" si="1"/>
        <v>0</v>
      </c>
    </row>
    <row r="170" spans="1:7">
      <c r="A170" s="101">
        <v>184</v>
      </c>
      <c r="B170" s="112" t="s">
        <v>754</v>
      </c>
      <c r="C170" s="112" t="s">
        <v>755</v>
      </c>
      <c r="D170" s="101">
        <f>'Thống kê'!I186</f>
        <v>0</v>
      </c>
      <c r="F170" s="215">
        <f t="shared" si="0"/>
        <v>0</v>
      </c>
      <c r="G170" s="215">
        <f t="shared" si="1"/>
        <v>0</v>
      </c>
    </row>
    <row r="171" spans="1:7">
      <c r="A171" s="101">
        <v>185</v>
      </c>
      <c r="B171" s="112" t="s">
        <v>756</v>
      </c>
      <c r="C171" s="112" t="s">
        <v>757</v>
      </c>
      <c r="D171" s="101">
        <f>'Thống kê'!I187</f>
        <v>0</v>
      </c>
      <c r="F171" s="215">
        <f t="shared" si="0"/>
        <v>0</v>
      </c>
      <c r="G171" s="215">
        <f t="shared" si="1"/>
        <v>0</v>
      </c>
    </row>
    <row r="172" spans="1:7">
      <c r="A172" s="101">
        <v>186</v>
      </c>
      <c r="B172" s="112" t="s">
        <v>758</v>
      </c>
      <c r="C172" s="112" t="s">
        <v>759</v>
      </c>
      <c r="D172" s="101">
        <f>'Thống kê'!I188</f>
        <v>0</v>
      </c>
      <c r="F172" s="215">
        <f t="shared" si="0"/>
        <v>0</v>
      </c>
      <c r="G172" s="215">
        <f t="shared" si="1"/>
        <v>0</v>
      </c>
    </row>
    <row r="173" spans="1:7">
      <c r="A173" s="101">
        <v>187</v>
      </c>
      <c r="B173" s="112" t="s">
        <v>760</v>
      </c>
      <c r="C173" s="112" t="s">
        <v>761</v>
      </c>
      <c r="D173" s="101">
        <f>'Thống kê'!I189</f>
        <v>0</v>
      </c>
      <c r="F173" s="215">
        <f t="shared" si="0"/>
        <v>0</v>
      </c>
      <c r="G173" s="215">
        <f t="shared" si="1"/>
        <v>0</v>
      </c>
    </row>
    <row r="174" spans="1:7">
      <c r="A174" s="101">
        <v>188</v>
      </c>
      <c r="B174" s="112" t="s">
        <v>762</v>
      </c>
      <c r="C174" s="112" t="s">
        <v>763</v>
      </c>
      <c r="D174" s="101">
        <f>'Thống kê'!I190</f>
        <v>0</v>
      </c>
      <c r="F174" s="215">
        <f t="shared" si="0"/>
        <v>0</v>
      </c>
      <c r="G174" s="215">
        <f t="shared" si="1"/>
        <v>0</v>
      </c>
    </row>
    <row r="175" spans="1:7">
      <c r="A175" s="101">
        <v>189</v>
      </c>
      <c r="B175" s="112" t="s">
        <v>764</v>
      </c>
      <c r="C175" s="112" t="s">
        <v>765</v>
      </c>
      <c r="D175" s="101">
        <f>'Thống kê'!I191</f>
        <v>0</v>
      </c>
      <c r="F175" s="215">
        <f t="shared" si="0"/>
        <v>0</v>
      </c>
      <c r="G175" s="215">
        <f t="shared" si="1"/>
        <v>0</v>
      </c>
    </row>
    <row r="176" spans="1:7">
      <c r="A176" s="101">
        <v>190</v>
      </c>
      <c r="B176" s="112" t="s">
        <v>766</v>
      </c>
      <c r="C176" s="112" t="s">
        <v>767</v>
      </c>
      <c r="D176" s="101">
        <f>'Thống kê'!I192</f>
        <v>0</v>
      </c>
      <c r="F176" s="215">
        <f t="shared" si="0"/>
        <v>0</v>
      </c>
      <c r="G176" s="215">
        <f t="shared" si="1"/>
        <v>0</v>
      </c>
    </row>
    <row r="177" spans="1:7">
      <c r="A177" s="101">
        <v>191</v>
      </c>
      <c r="B177" s="112" t="s">
        <v>768</v>
      </c>
      <c r="C177" s="112" t="s">
        <v>769</v>
      </c>
      <c r="D177" s="101">
        <f>'Thống kê'!I193</f>
        <v>0</v>
      </c>
      <c r="F177" s="215">
        <f t="shared" si="0"/>
        <v>0</v>
      </c>
      <c r="G177" s="215">
        <f t="shared" si="1"/>
        <v>0</v>
      </c>
    </row>
    <row r="178" spans="1:7">
      <c r="A178" s="101">
        <v>192</v>
      </c>
      <c r="B178" s="112" t="s">
        <v>770</v>
      </c>
      <c r="C178" s="112" t="s">
        <v>771</v>
      </c>
      <c r="D178" s="101">
        <f>'Thống kê'!I194</f>
        <v>1</v>
      </c>
      <c r="F178" s="215">
        <f t="shared" si="0"/>
        <v>0</v>
      </c>
      <c r="G178" s="215">
        <f t="shared" si="1"/>
        <v>0</v>
      </c>
    </row>
    <row r="179" spans="1:7">
      <c r="A179" s="101">
        <v>193</v>
      </c>
      <c r="B179" s="112" t="s">
        <v>772</v>
      </c>
      <c r="C179" s="112" t="s">
        <v>773</v>
      </c>
      <c r="D179" s="101">
        <f>'Thống kê'!I195</f>
        <v>-1</v>
      </c>
      <c r="F179" s="215">
        <f t="shared" si="0"/>
        <v>0</v>
      </c>
      <c r="G179" s="215">
        <f t="shared" si="1"/>
        <v>0</v>
      </c>
    </row>
    <row r="180" spans="1:7">
      <c r="A180" s="101">
        <v>194</v>
      </c>
      <c r="B180" s="112" t="s">
        <v>774</v>
      </c>
      <c r="C180" s="112" t="s">
        <v>775</v>
      </c>
      <c r="D180" s="101">
        <f>'Thống kê'!I196</f>
        <v>0</v>
      </c>
      <c r="F180" s="215">
        <f t="shared" si="0"/>
        <v>0</v>
      </c>
      <c r="G180" s="215">
        <f t="shared" si="1"/>
        <v>0</v>
      </c>
    </row>
    <row r="181" spans="1:7">
      <c r="A181" s="101">
        <v>195</v>
      </c>
      <c r="B181" s="112" t="s">
        <v>776</v>
      </c>
      <c r="C181" s="112" t="s">
        <v>777</v>
      </c>
      <c r="D181" s="101">
        <f>'Thống kê'!I197</f>
        <v>0</v>
      </c>
      <c r="F181" s="215">
        <f t="shared" si="0"/>
        <v>0</v>
      </c>
      <c r="G181" s="215">
        <f t="shared" si="1"/>
        <v>0</v>
      </c>
    </row>
    <row r="182" spans="1:7">
      <c r="A182" s="101">
        <v>196</v>
      </c>
      <c r="B182" s="112" t="s">
        <v>778</v>
      </c>
      <c r="C182" s="112" t="s">
        <v>779</v>
      </c>
      <c r="D182" s="101">
        <f>'Thống kê'!I198</f>
        <v>0</v>
      </c>
      <c r="F182" s="215">
        <f t="shared" si="0"/>
        <v>0</v>
      </c>
      <c r="G182" s="215">
        <f t="shared" si="1"/>
        <v>0</v>
      </c>
    </row>
    <row r="183" spans="1:7">
      <c r="A183" s="101">
        <v>197</v>
      </c>
      <c r="B183" s="112" t="s">
        <v>780</v>
      </c>
      <c r="C183" s="112" t="s">
        <v>781</v>
      </c>
      <c r="D183" s="101">
        <f>'Thống kê'!I199</f>
        <v>11</v>
      </c>
      <c r="F183" s="215">
        <f t="shared" si="0"/>
        <v>0</v>
      </c>
      <c r="G183" s="215">
        <f t="shared" si="1"/>
        <v>0</v>
      </c>
    </row>
    <row r="184" spans="1:7">
      <c r="A184" s="101">
        <v>198</v>
      </c>
      <c r="B184" s="112" t="s">
        <v>782</v>
      </c>
      <c r="C184" s="112" t="s">
        <v>783</v>
      </c>
      <c r="D184" s="101">
        <f>'Thống kê'!I200</f>
        <v>9</v>
      </c>
      <c r="F184" s="215">
        <f t="shared" si="0"/>
        <v>0</v>
      </c>
      <c r="G184" s="215">
        <f t="shared" si="1"/>
        <v>0</v>
      </c>
    </row>
    <row r="185" spans="1:7">
      <c r="A185" s="101">
        <v>199</v>
      </c>
      <c r="B185" s="112" t="s">
        <v>784</v>
      </c>
      <c r="C185" s="112" t="s">
        <v>785</v>
      </c>
      <c r="D185" s="101">
        <f>'Thống kê'!I201</f>
        <v>0</v>
      </c>
      <c r="F185" s="215">
        <f t="shared" si="0"/>
        <v>0</v>
      </c>
      <c r="G185" s="215">
        <f t="shared" si="1"/>
        <v>0</v>
      </c>
    </row>
    <row r="186" spans="1:7">
      <c r="A186" s="101">
        <v>200</v>
      </c>
      <c r="B186" s="112" t="s">
        <v>786</v>
      </c>
      <c r="C186" s="112" t="s">
        <v>787</v>
      </c>
      <c r="D186" s="101">
        <f>'Thống kê'!I202</f>
        <v>0</v>
      </c>
      <c r="F186" s="215">
        <f t="shared" si="0"/>
        <v>0</v>
      </c>
      <c r="G186" s="215">
        <f t="shared" si="1"/>
        <v>0</v>
      </c>
    </row>
    <row r="187" spans="1:7">
      <c r="A187" s="101">
        <v>201</v>
      </c>
      <c r="B187" s="112" t="s">
        <v>788</v>
      </c>
      <c r="C187" s="112" t="s">
        <v>789</v>
      </c>
      <c r="D187" s="101">
        <f>'Thống kê'!I203</f>
        <v>4</v>
      </c>
      <c r="F187" s="215">
        <f t="shared" si="0"/>
        <v>0</v>
      </c>
      <c r="G187" s="215">
        <f t="shared" si="1"/>
        <v>0</v>
      </c>
    </row>
    <row r="188" spans="1:7">
      <c r="A188" s="101">
        <v>202</v>
      </c>
      <c r="B188" s="112" t="s">
        <v>790</v>
      </c>
      <c r="C188" s="112" t="s">
        <v>791</v>
      </c>
      <c r="D188" s="101">
        <f>'Thống kê'!I204</f>
        <v>5</v>
      </c>
      <c r="F188" s="215">
        <f t="shared" si="0"/>
        <v>0</v>
      </c>
      <c r="G188" s="215">
        <f t="shared" si="1"/>
        <v>0</v>
      </c>
    </row>
    <row r="189" spans="1:7">
      <c r="A189" s="101">
        <v>203</v>
      </c>
      <c r="B189" s="112" t="s">
        <v>792</v>
      </c>
      <c r="C189" s="112" t="s">
        <v>793</v>
      </c>
      <c r="D189" s="101">
        <f>'Thống kê'!I205</f>
        <v>-1</v>
      </c>
      <c r="F189" s="215">
        <f t="shared" si="0"/>
        <v>0</v>
      </c>
      <c r="G189" s="215">
        <f t="shared" si="1"/>
        <v>0</v>
      </c>
    </row>
    <row r="190" spans="1:7">
      <c r="A190" s="101">
        <v>204</v>
      </c>
      <c r="B190" s="112" t="s">
        <v>794</v>
      </c>
      <c r="C190" s="112" t="s">
        <v>795</v>
      </c>
      <c r="D190" s="101">
        <f>'Thống kê'!I206</f>
        <v>3</v>
      </c>
      <c r="F190" s="215">
        <f t="shared" si="0"/>
        <v>0</v>
      </c>
      <c r="G190" s="215">
        <f t="shared" si="1"/>
        <v>0</v>
      </c>
    </row>
    <row r="191" spans="1:7">
      <c r="A191" s="101">
        <v>205</v>
      </c>
      <c r="B191" s="112" t="s">
        <v>796</v>
      </c>
      <c r="C191" s="112" t="s">
        <v>797</v>
      </c>
      <c r="D191" s="101">
        <f>'Thống kê'!I207</f>
        <v>1</v>
      </c>
      <c r="F191" s="215">
        <f t="shared" si="0"/>
        <v>0</v>
      </c>
      <c r="G191" s="215">
        <f t="shared" si="1"/>
        <v>0</v>
      </c>
    </row>
    <row r="192" spans="1:7">
      <c r="A192" s="101">
        <v>206</v>
      </c>
      <c r="B192" s="112" t="s">
        <v>798</v>
      </c>
      <c r="C192" s="112" t="s">
        <v>799</v>
      </c>
      <c r="D192" s="101">
        <f>'Thống kê'!I208</f>
        <v>-9</v>
      </c>
      <c r="F192" s="215">
        <f t="shared" si="0"/>
        <v>0</v>
      </c>
      <c r="G192" s="215">
        <f t="shared" si="1"/>
        <v>0</v>
      </c>
    </row>
    <row r="193" spans="1:7">
      <c r="A193" s="101">
        <v>207</v>
      </c>
      <c r="B193" s="112" t="s">
        <v>800</v>
      </c>
      <c r="C193" s="112" t="s">
        <v>801</v>
      </c>
      <c r="D193" s="101">
        <f>'Thống kê'!I209</f>
        <v>1</v>
      </c>
      <c r="F193" s="215">
        <f t="shared" si="0"/>
        <v>0</v>
      </c>
      <c r="G193" s="215">
        <f t="shared" si="1"/>
        <v>0</v>
      </c>
    </row>
    <row r="194" spans="1:7">
      <c r="A194" s="101">
        <v>208</v>
      </c>
      <c r="B194" s="112" t="s">
        <v>802</v>
      </c>
      <c r="C194" s="112" t="s">
        <v>803</v>
      </c>
      <c r="D194" s="101">
        <f>'Thống kê'!I210</f>
        <v>-5</v>
      </c>
      <c r="F194" s="215">
        <f t="shared" si="0"/>
        <v>0</v>
      </c>
      <c r="G194" s="215">
        <f t="shared" si="1"/>
        <v>0</v>
      </c>
    </row>
    <row r="195" spans="1:7">
      <c r="A195" s="101">
        <v>209</v>
      </c>
      <c r="B195" s="112" t="s">
        <v>804</v>
      </c>
      <c r="C195" s="112" t="s">
        <v>797</v>
      </c>
      <c r="D195" s="101">
        <f>'Thống kê'!I211</f>
        <v>-2</v>
      </c>
      <c r="F195" s="215">
        <f t="shared" si="0"/>
        <v>0</v>
      </c>
      <c r="G195" s="215">
        <f t="shared" si="1"/>
        <v>0</v>
      </c>
    </row>
    <row r="196" spans="1:7">
      <c r="A196" s="101">
        <v>210</v>
      </c>
      <c r="B196" s="112" t="s">
        <v>805</v>
      </c>
      <c r="C196" s="112" t="s">
        <v>806</v>
      </c>
      <c r="D196" s="101">
        <f>'Thống kê'!I212</f>
        <v>1</v>
      </c>
      <c r="F196" s="215">
        <f t="shared" si="0"/>
        <v>0</v>
      </c>
      <c r="G196" s="215">
        <f t="shared" si="1"/>
        <v>0</v>
      </c>
    </row>
    <row r="197" spans="1:7">
      <c r="A197" s="101">
        <v>211</v>
      </c>
      <c r="B197" s="112" t="s">
        <v>807</v>
      </c>
      <c r="C197" s="112" t="s">
        <v>799</v>
      </c>
      <c r="D197" s="101">
        <f>'Thống kê'!I213</f>
        <v>-4</v>
      </c>
      <c r="F197" s="215">
        <f t="shared" si="0"/>
        <v>0</v>
      </c>
      <c r="G197" s="215">
        <f t="shared" si="1"/>
        <v>0</v>
      </c>
    </row>
    <row r="198" spans="1:7">
      <c r="A198" s="101">
        <v>212</v>
      </c>
      <c r="B198" s="112" t="s">
        <v>808</v>
      </c>
      <c r="C198" s="112" t="s">
        <v>809</v>
      </c>
      <c r="D198" s="101">
        <f>'Thống kê'!I214</f>
        <v>1</v>
      </c>
      <c r="F198" s="215">
        <f t="shared" si="0"/>
        <v>0</v>
      </c>
      <c r="G198" s="215">
        <f t="shared" si="1"/>
        <v>0</v>
      </c>
    </row>
    <row r="199" spans="1:7">
      <c r="A199" s="101">
        <v>213</v>
      </c>
      <c r="B199" s="112" t="s">
        <v>810</v>
      </c>
      <c r="C199" s="112" t="s">
        <v>811</v>
      </c>
      <c r="D199" s="101">
        <f>'Thống kê'!I215</f>
        <v>1</v>
      </c>
      <c r="F199" s="215">
        <f t="shared" si="0"/>
        <v>0</v>
      </c>
      <c r="G199" s="215">
        <f t="shared" si="1"/>
        <v>0</v>
      </c>
    </row>
    <row r="200" spans="1:7">
      <c r="A200" s="101">
        <v>214</v>
      </c>
      <c r="B200" s="112" t="s">
        <v>812</v>
      </c>
      <c r="C200" s="112" t="s">
        <v>797</v>
      </c>
      <c r="D200" s="101">
        <f>'Thống kê'!I216</f>
        <v>-2</v>
      </c>
      <c r="F200" s="215">
        <f t="shared" si="0"/>
        <v>0</v>
      </c>
      <c r="G200" s="215">
        <f t="shared" si="1"/>
        <v>0</v>
      </c>
    </row>
    <row r="201" spans="1:7">
      <c r="A201" s="101">
        <v>215</v>
      </c>
      <c r="B201" s="112" t="s">
        <v>813</v>
      </c>
      <c r="C201" s="112" t="s">
        <v>814</v>
      </c>
      <c r="D201" s="101">
        <f>'Thống kê'!I217</f>
        <v>0</v>
      </c>
      <c r="F201" s="215">
        <f t="shared" si="0"/>
        <v>0</v>
      </c>
      <c r="G201" s="215">
        <f t="shared" si="1"/>
        <v>0</v>
      </c>
    </row>
    <row r="202" spans="1:7">
      <c r="A202" s="101">
        <v>216</v>
      </c>
      <c r="B202" s="112" t="s">
        <v>815</v>
      </c>
      <c r="C202" s="112" t="s">
        <v>816</v>
      </c>
      <c r="D202" s="101">
        <f>'Thống kê'!I218</f>
        <v>1</v>
      </c>
      <c r="F202" s="215">
        <f t="shared" si="0"/>
        <v>0</v>
      </c>
      <c r="G202" s="215">
        <f t="shared" si="1"/>
        <v>0</v>
      </c>
    </row>
    <row r="203" spans="1:7">
      <c r="A203" s="101">
        <v>217</v>
      </c>
      <c r="B203" s="112" t="s">
        <v>817</v>
      </c>
      <c r="C203" s="112" t="s">
        <v>818</v>
      </c>
      <c r="D203" s="101">
        <f>'Thống kê'!I219</f>
        <v>2</v>
      </c>
      <c r="F203" s="215">
        <f t="shared" si="0"/>
        <v>0</v>
      </c>
      <c r="G203" s="215">
        <f t="shared" si="1"/>
        <v>0</v>
      </c>
    </row>
    <row r="204" spans="1:7">
      <c r="A204" s="101">
        <v>218</v>
      </c>
      <c r="B204" s="112" t="s">
        <v>819</v>
      </c>
      <c r="C204" s="112" t="s">
        <v>820</v>
      </c>
      <c r="D204" s="101">
        <f>'Thống kê'!I220</f>
        <v>7</v>
      </c>
      <c r="F204" s="215">
        <f t="shared" si="0"/>
        <v>0</v>
      </c>
      <c r="G204" s="215">
        <f t="shared" si="1"/>
        <v>0</v>
      </c>
    </row>
    <row r="205" spans="1:7">
      <c r="A205" s="101">
        <v>219</v>
      </c>
      <c r="B205" s="112" t="s">
        <v>821</v>
      </c>
      <c r="C205" s="112" t="s">
        <v>822</v>
      </c>
      <c r="D205" s="101">
        <f>'Thống kê'!I221</f>
        <v>0</v>
      </c>
      <c r="F205" s="215">
        <f t="shared" si="0"/>
        <v>0</v>
      </c>
      <c r="G205" s="215">
        <f t="shared" si="1"/>
        <v>0</v>
      </c>
    </row>
    <row r="206" spans="1:7">
      <c r="A206" s="101">
        <v>220</v>
      </c>
      <c r="B206" s="112" t="s">
        <v>823</v>
      </c>
      <c r="C206" s="112" t="s">
        <v>824</v>
      </c>
      <c r="D206" s="101">
        <f>'Thống kê'!I222</f>
        <v>-1</v>
      </c>
      <c r="F206" s="215">
        <f t="shared" si="0"/>
        <v>0</v>
      </c>
      <c r="G206" s="215">
        <f t="shared" si="1"/>
        <v>0</v>
      </c>
    </row>
    <row r="207" spans="1:7">
      <c r="A207" s="101">
        <v>221</v>
      </c>
      <c r="B207" s="112" t="s">
        <v>825</v>
      </c>
      <c r="C207" s="112" t="s">
        <v>826</v>
      </c>
      <c r="D207" s="101">
        <f>'Thống kê'!I223</f>
        <v>-1</v>
      </c>
      <c r="F207" s="215">
        <f t="shared" si="0"/>
        <v>0</v>
      </c>
      <c r="G207" s="215">
        <f t="shared" si="1"/>
        <v>0</v>
      </c>
    </row>
    <row r="208" spans="1:7">
      <c r="A208" s="101">
        <v>222</v>
      </c>
      <c r="B208" s="112" t="s">
        <v>827</v>
      </c>
      <c r="C208" s="112" t="s">
        <v>828</v>
      </c>
      <c r="D208" s="101">
        <f>'Thống kê'!I224</f>
        <v>-5</v>
      </c>
      <c r="F208" s="215">
        <f t="shared" si="0"/>
        <v>0</v>
      </c>
      <c r="G208" s="215">
        <f t="shared" si="1"/>
        <v>0</v>
      </c>
    </row>
    <row r="209" spans="1:7">
      <c r="A209" s="101">
        <v>223</v>
      </c>
      <c r="B209" s="112" t="s">
        <v>829</v>
      </c>
      <c r="C209" s="112" t="s">
        <v>799</v>
      </c>
      <c r="D209" s="101">
        <f>'Thống kê'!I225</f>
        <v>-2</v>
      </c>
      <c r="F209" s="215">
        <f t="shared" si="0"/>
        <v>0</v>
      </c>
      <c r="G209" s="215">
        <f t="shared" si="1"/>
        <v>0</v>
      </c>
    </row>
    <row r="210" spans="1:7">
      <c r="A210" s="101">
        <v>224</v>
      </c>
      <c r="B210" s="112" t="s">
        <v>830</v>
      </c>
      <c r="C210" s="112" t="s">
        <v>831</v>
      </c>
      <c r="D210" s="101">
        <f>'Thống kê'!I226</f>
        <v>9</v>
      </c>
      <c r="F210" s="215">
        <f t="shared" si="0"/>
        <v>0</v>
      </c>
      <c r="G210" s="215">
        <f t="shared" si="1"/>
        <v>0</v>
      </c>
    </row>
    <row r="211" spans="1:7">
      <c r="A211" s="101">
        <v>225</v>
      </c>
      <c r="B211" s="112" t="s">
        <v>832</v>
      </c>
      <c r="C211" s="112" t="s">
        <v>833</v>
      </c>
      <c r="D211" s="101">
        <f>'Thống kê'!I227</f>
        <v>8</v>
      </c>
      <c r="F211" s="215">
        <f t="shared" si="0"/>
        <v>0</v>
      </c>
      <c r="G211" s="215">
        <f t="shared" si="1"/>
        <v>0</v>
      </c>
    </row>
    <row r="212" spans="1:7">
      <c r="A212" s="101">
        <v>226</v>
      </c>
      <c r="B212" s="112" t="s">
        <v>834</v>
      </c>
      <c r="C212" s="118" t="s">
        <v>835</v>
      </c>
      <c r="D212" s="101">
        <f>'Thống kê'!I228</f>
        <v>6</v>
      </c>
      <c r="F212" s="215">
        <f t="shared" si="0"/>
        <v>0</v>
      </c>
      <c r="G212" s="215">
        <f t="shared" si="1"/>
        <v>0</v>
      </c>
    </row>
    <row r="213" spans="1:7">
      <c r="A213" s="101">
        <v>227</v>
      </c>
      <c r="B213" s="112" t="s">
        <v>836</v>
      </c>
      <c r="C213" s="118" t="s">
        <v>837</v>
      </c>
      <c r="D213" s="101">
        <f>'Thống kê'!I229</f>
        <v>8</v>
      </c>
      <c r="F213" s="215">
        <f t="shared" si="0"/>
        <v>0</v>
      </c>
      <c r="G213" s="215">
        <f t="shared" si="1"/>
        <v>0</v>
      </c>
    </row>
    <row r="214" spans="1:7">
      <c r="A214" s="101">
        <v>228</v>
      </c>
      <c r="B214" s="119" t="s">
        <v>839</v>
      </c>
      <c r="C214" s="119" t="s">
        <v>840</v>
      </c>
      <c r="D214" s="101">
        <f>'Thống kê'!I230</f>
        <v>5</v>
      </c>
      <c r="F214" s="215">
        <f t="shared" si="0"/>
        <v>0</v>
      </c>
      <c r="G214" s="215">
        <f t="shared" si="1"/>
        <v>0</v>
      </c>
    </row>
    <row r="215" spans="1:7">
      <c r="A215" s="101">
        <v>229</v>
      </c>
      <c r="B215" s="119" t="s">
        <v>842</v>
      </c>
      <c r="C215" s="119" t="s">
        <v>843</v>
      </c>
      <c r="D215" s="101">
        <f>'Thống kê'!I231</f>
        <v>4</v>
      </c>
      <c r="F215" s="215">
        <f t="shared" si="0"/>
        <v>0</v>
      </c>
      <c r="G215" s="215">
        <f t="shared" si="1"/>
        <v>0</v>
      </c>
    </row>
    <row r="216" spans="1:7">
      <c r="A216" s="101">
        <v>230</v>
      </c>
      <c r="B216" s="119" t="s">
        <v>844</v>
      </c>
      <c r="C216" s="119" t="s">
        <v>845</v>
      </c>
      <c r="D216" s="101">
        <f>'Thống kê'!I232</f>
        <v>0</v>
      </c>
      <c r="F216" s="215">
        <f t="shared" si="0"/>
        <v>0</v>
      </c>
      <c r="G216" s="215">
        <f t="shared" si="1"/>
        <v>0</v>
      </c>
    </row>
    <row r="217" spans="1:7">
      <c r="A217" s="101">
        <v>231</v>
      </c>
      <c r="B217" s="119" t="s">
        <v>846</v>
      </c>
      <c r="C217" s="119" t="s">
        <v>847</v>
      </c>
      <c r="D217" s="101">
        <f>'Thống kê'!I233</f>
        <v>0</v>
      </c>
      <c r="F217" s="215">
        <f t="shared" si="0"/>
        <v>0</v>
      </c>
      <c r="G217" s="215">
        <f t="shared" si="1"/>
        <v>0</v>
      </c>
    </row>
    <row r="218" spans="1:7">
      <c r="A218" s="101">
        <v>232</v>
      </c>
      <c r="B218" s="119" t="s">
        <v>848</v>
      </c>
      <c r="C218" s="119" t="s">
        <v>849</v>
      </c>
      <c r="D218" s="101">
        <f>'Thống kê'!I234</f>
        <v>0</v>
      </c>
      <c r="F218" s="215">
        <f t="shared" si="0"/>
        <v>0</v>
      </c>
      <c r="G218" s="215">
        <f t="shared" si="1"/>
        <v>0</v>
      </c>
    </row>
    <row r="219" spans="1:7">
      <c r="A219" s="101">
        <v>233</v>
      </c>
      <c r="B219" s="119" t="s">
        <v>850</v>
      </c>
      <c r="C219" s="119" t="s">
        <v>851</v>
      </c>
      <c r="D219" s="101">
        <f>'Thống kê'!I235</f>
        <v>0</v>
      </c>
      <c r="F219" s="215">
        <f t="shared" si="0"/>
        <v>0</v>
      </c>
      <c r="G219" s="215">
        <f t="shared" si="1"/>
        <v>0</v>
      </c>
    </row>
    <row r="220" spans="1:7">
      <c r="A220" s="101">
        <v>234</v>
      </c>
      <c r="B220" s="119" t="s">
        <v>852</v>
      </c>
      <c r="C220" s="119" t="s">
        <v>853</v>
      </c>
      <c r="D220" s="101">
        <f>'Thống kê'!I236</f>
        <v>0</v>
      </c>
      <c r="F220" s="215">
        <f t="shared" si="0"/>
        <v>0</v>
      </c>
      <c r="G220" s="215">
        <f t="shared" si="1"/>
        <v>0</v>
      </c>
    </row>
    <row r="221" spans="1:7">
      <c r="A221" s="101">
        <v>235</v>
      </c>
      <c r="B221" s="119" t="s">
        <v>854</v>
      </c>
      <c r="C221" s="119" t="s">
        <v>855</v>
      </c>
      <c r="D221" s="101">
        <f>'Thống kê'!I237</f>
        <v>2</v>
      </c>
      <c r="F221" s="215">
        <f t="shared" si="0"/>
        <v>0</v>
      </c>
      <c r="G221" s="215">
        <f t="shared" si="1"/>
        <v>0</v>
      </c>
    </row>
    <row r="222" spans="1:7">
      <c r="A222" s="101">
        <v>236</v>
      </c>
      <c r="B222" s="119" t="s">
        <v>856</v>
      </c>
      <c r="C222" s="119" t="s">
        <v>857</v>
      </c>
      <c r="D222" s="101">
        <f>'Thống kê'!I238</f>
        <v>4</v>
      </c>
      <c r="F222" s="215">
        <f t="shared" si="0"/>
        <v>0</v>
      </c>
      <c r="G222" s="215">
        <f t="shared" si="1"/>
        <v>0</v>
      </c>
    </row>
    <row r="223" spans="1:7">
      <c r="A223" s="101">
        <v>237</v>
      </c>
      <c r="B223" s="119" t="s">
        <v>858</v>
      </c>
      <c r="C223" s="119" t="s">
        <v>859</v>
      </c>
      <c r="D223" s="101">
        <f>'Thống kê'!I239</f>
        <v>1</v>
      </c>
      <c r="F223" s="215">
        <f t="shared" si="0"/>
        <v>0</v>
      </c>
      <c r="G223" s="215">
        <f t="shared" si="1"/>
        <v>0</v>
      </c>
    </row>
    <row r="224" spans="1:7">
      <c r="A224" s="101">
        <v>238</v>
      </c>
      <c r="B224" s="119" t="s">
        <v>860</v>
      </c>
      <c r="C224" s="119" t="s">
        <v>861</v>
      </c>
      <c r="D224" s="101">
        <f>'Thống kê'!I240</f>
        <v>19</v>
      </c>
      <c r="F224" s="215">
        <f t="shared" si="0"/>
        <v>0</v>
      </c>
      <c r="G224" s="215">
        <f t="shared" si="1"/>
        <v>0</v>
      </c>
    </row>
    <row r="225" spans="1:7">
      <c r="A225" s="101">
        <v>239</v>
      </c>
      <c r="B225" s="119" t="s">
        <v>862</v>
      </c>
      <c r="C225" s="119" t="s">
        <v>863</v>
      </c>
      <c r="D225" s="101">
        <f>'Thống kê'!I241</f>
        <v>19</v>
      </c>
      <c r="F225" s="215">
        <f t="shared" si="0"/>
        <v>0</v>
      </c>
      <c r="G225" s="215">
        <f t="shared" si="1"/>
        <v>0</v>
      </c>
    </row>
    <row r="226" spans="1:7">
      <c r="A226" s="101">
        <v>240</v>
      </c>
      <c r="B226" s="119" t="s">
        <v>864</v>
      </c>
      <c r="C226" s="119" t="s">
        <v>865</v>
      </c>
      <c r="D226" s="101">
        <f>'Thống kê'!I242</f>
        <v>15</v>
      </c>
      <c r="F226" s="215">
        <f t="shared" si="0"/>
        <v>0</v>
      </c>
      <c r="G226" s="215">
        <f t="shared" si="1"/>
        <v>0</v>
      </c>
    </row>
    <row r="227" spans="1:7">
      <c r="A227" s="101">
        <v>241</v>
      </c>
      <c r="B227" s="119" t="s">
        <v>866</v>
      </c>
      <c r="C227" s="119" t="s">
        <v>867</v>
      </c>
      <c r="D227" s="101">
        <f>'Thống kê'!I243</f>
        <v>8</v>
      </c>
      <c r="F227" s="215">
        <f t="shared" si="0"/>
        <v>0</v>
      </c>
      <c r="G227" s="215">
        <f t="shared" si="1"/>
        <v>0</v>
      </c>
    </row>
    <row r="228" spans="1:7">
      <c r="A228" s="101">
        <v>242</v>
      </c>
      <c r="B228" s="119" t="s">
        <v>868</v>
      </c>
      <c r="C228" s="119" t="s">
        <v>869</v>
      </c>
      <c r="D228" s="101">
        <f>'Thống kê'!I244</f>
        <v>20</v>
      </c>
      <c r="F228" s="215">
        <f t="shared" si="0"/>
        <v>0</v>
      </c>
      <c r="G228" s="215">
        <f t="shared" si="1"/>
        <v>0</v>
      </c>
    </row>
    <row r="229" spans="1:7">
      <c r="A229" s="101">
        <v>243</v>
      </c>
      <c r="B229" s="119" t="s">
        <v>870</v>
      </c>
      <c r="C229" s="119" t="s">
        <v>871</v>
      </c>
      <c r="D229" s="101">
        <f>'Thống kê'!I245</f>
        <v>6</v>
      </c>
      <c r="F229" s="215">
        <f t="shared" si="0"/>
        <v>0</v>
      </c>
      <c r="G229" s="215">
        <f t="shared" si="1"/>
        <v>0</v>
      </c>
    </row>
    <row r="230" spans="1:7">
      <c r="A230" s="101">
        <v>244</v>
      </c>
      <c r="B230" s="119" t="s">
        <v>872</v>
      </c>
      <c r="C230" s="119" t="s">
        <v>873</v>
      </c>
      <c r="D230" s="101">
        <f>'Thống kê'!I246</f>
        <v>0</v>
      </c>
      <c r="F230" s="215">
        <f t="shared" si="0"/>
        <v>0</v>
      </c>
      <c r="G230" s="215">
        <f t="shared" si="1"/>
        <v>0</v>
      </c>
    </row>
    <row r="231" spans="1:7">
      <c r="A231" s="101">
        <v>245</v>
      </c>
      <c r="B231" s="119" t="s">
        <v>874</v>
      </c>
      <c r="C231" s="119" t="s">
        <v>875</v>
      </c>
      <c r="D231" s="101">
        <f>'Thống kê'!I247</f>
        <v>0</v>
      </c>
      <c r="F231" s="215">
        <f t="shared" si="0"/>
        <v>0</v>
      </c>
      <c r="G231" s="215">
        <f t="shared" si="1"/>
        <v>0</v>
      </c>
    </row>
    <row r="232" spans="1:7">
      <c r="A232" s="101">
        <v>246</v>
      </c>
      <c r="B232" s="119" t="s">
        <v>876</v>
      </c>
      <c r="C232" s="119" t="s">
        <v>877</v>
      </c>
      <c r="D232" s="101">
        <f>'Thống kê'!I248</f>
        <v>0</v>
      </c>
      <c r="F232" s="215">
        <f t="shared" si="0"/>
        <v>0</v>
      </c>
      <c r="G232" s="215">
        <f t="shared" si="1"/>
        <v>0</v>
      </c>
    </row>
    <row r="233" spans="1:7">
      <c r="A233" s="101">
        <v>247</v>
      </c>
      <c r="B233" s="119" t="s">
        <v>878</v>
      </c>
      <c r="C233" s="119" t="s">
        <v>879</v>
      </c>
      <c r="D233" s="101">
        <f>'Thống kê'!I249</f>
        <v>0</v>
      </c>
      <c r="F233" s="215">
        <f t="shared" si="0"/>
        <v>0</v>
      </c>
      <c r="G233" s="215">
        <f t="shared" si="1"/>
        <v>0</v>
      </c>
    </row>
    <row r="234" spans="1:7">
      <c r="A234" s="101">
        <v>248</v>
      </c>
      <c r="B234" s="119" t="s">
        <v>880</v>
      </c>
      <c r="C234" s="119" t="s">
        <v>881</v>
      </c>
      <c r="D234" s="101">
        <f>'Thống kê'!I250</f>
        <v>0</v>
      </c>
      <c r="F234" s="215">
        <f t="shared" si="0"/>
        <v>0</v>
      </c>
      <c r="G234" s="215">
        <f t="shared" si="1"/>
        <v>0</v>
      </c>
    </row>
    <row r="235" spans="1:7">
      <c r="A235" s="101">
        <v>249</v>
      </c>
      <c r="B235" s="119" t="s">
        <v>882</v>
      </c>
      <c r="C235" s="119" t="s">
        <v>883</v>
      </c>
      <c r="D235" s="101">
        <f>'Thống kê'!I251</f>
        <v>0</v>
      </c>
      <c r="F235" s="215">
        <f t="shared" si="0"/>
        <v>0</v>
      </c>
      <c r="G235" s="215">
        <f t="shared" si="1"/>
        <v>0</v>
      </c>
    </row>
    <row r="236" spans="1:7">
      <c r="A236" s="101">
        <v>250</v>
      </c>
      <c r="B236" s="124" t="s">
        <v>885</v>
      </c>
      <c r="C236" s="124" t="s">
        <v>886</v>
      </c>
      <c r="D236" s="101">
        <f>'Thống kê'!I252</f>
        <v>2</v>
      </c>
      <c r="E236" s="16">
        <v>7.51</v>
      </c>
      <c r="F236" s="215">
        <f t="shared" si="0"/>
        <v>27036</v>
      </c>
      <c r="G236" s="215">
        <f t="shared" si="1"/>
        <v>54072</v>
      </c>
    </row>
    <row r="237" spans="1:7">
      <c r="A237" s="101">
        <v>251</v>
      </c>
      <c r="B237" s="124" t="s">
        <v>887</v>
      </c>
      <c r="C237" s="124" t="s">
        <v>888</v>
      </c>
      <c r="D237" s="101">
        <f>'Thống kê'!I253</f>
        <v>3</v>
      </c>
      <c r="E237" s="16">
        <v>7.51</v>
      </c>
      <c r="F237" s="215">
        <f t="shared" si="0"/>
        <v>27036</v>
      </c>
      <c r="G237" s="215">
        <f t="shared" si="1"/>
        <v>81108</v>
      </c>
    </row>
    <row r="238" spans="1:7">
      <c r="A238" s="101">
        <v>252</v>
      </c>
      <c r="B238" s="124" t="s">
        <v>889</v>
      </c>
      <c r="C238" s="124" t="s">
        <v>890</v>
      </c>
      <c r="D238" s="101">
        <f>'Thống kê'!I254</f>
        <v>-1</v>
      </c>
      <c r="E238" s="16">
        <v>8.4600000000000009</v>
      </c>
      <c r="F238" s="215">
        <f t="shared" si="0"/>
        <v>30456.000000000004</v>
      </c>
      <c r="G238" s="215">
        <f t="shared" si="1"/>
        <v>-30456.000000000004</v>
      </c>
    </row>
    <row r="239" spans="1:7">
      <c r="A239" s="101">
        <v>253</v>
      </c>
      <c r="B239" s="124" t="s">
        <v>891</v>
      </c>
      <c r="C239" s="124" t="s">
        <v>892</v>
      </c>
      <c r="D239" s="101">
        <f>'Thống kê'!I255</f>
        <v>8</v>
      </c>
      <c r="E239" s="16">
        <v>7.51</v>
      </c>
      <c r="F239" s="215">
        <f t="shared" si="0"/>
        <v>27036</v>
      </c>
      <c r="G239" s="215">
        <f t="shared" si="1"/>
        <v>216288</v>
      </c>
    </row>
    <row r="240" spans="1:7">
      <c r="A240" s="101">
        <v>254</v>
      </c>
      <c r="B240" s="124" t="s">
        <v>893</v>
      </c>
      <c r="C240" s="124" t="s">
        <v>894</v>
      </c>
      <c r="D240" s="101">
        <f>'Thống kê'!I256</f>
        <v>-6</v>
      </c>
      <c r="E240" s="16">
        <v>8.4600000000000009</v>
      </c>
      <c r="F240" s="215">
        <f t="shared" si="0"/>
        <v>30456.000000000004</v>
      </c>
      <c r="G240" s="215">
        <f t="shared" si="1"/>
        <v>-182736.00000000003</v>
      </c>
    </row>
    <row r="241" spans="1:7">
      <c r="A241" s="101">
        <v>255</v>
      </c>
      <c r="B241" s="124" t="s">
        <v>895</v>
      </c>
      <c r="C241" s="124" t="s">
        <v>896</v>
      </c>
      <c r="D241" s="101">
        <f>'Thống kê'!I257</f>
        <v>5</v>
      </c>
      <c r="E241" s="16">
        <v>7.51</v>
      </c>
      <c r="F241" s="215">
        <f t="shared" si="0"/>
        <v>27036</v>
      </c>
      <c r="G241" s="215">
        <f t="shared" si="1"/>
        <v>135180</v>
      </c>
    </row>
    <row r="242" spans="1:7">
      <c r="A242" s="101">
        <v>256</v>
      </c>
      <c r="B242" s="124" t="s">
        <v>897</v>
      </c>
      <c r="C242" s="124" t="s">
        <v>898</v>
      </c>
      <c r="D242" s="101">
        <f>'Thống kê'!I258</f>
        <v>2</v>
      </c>
      <c r="E242" s="16">
        <v>8.4600000000000009</v>
      </c>
      <c r="F242" s="215">
        <f t="shared" si="0"/>
        <v>30456.000000000004</v>
      </c>
      <c r="G242" s="215">
        <f t="shared" si="1"/>
        <v>60912.000000000007</v>
      </c>
    </row>
    <row r="243" spans="1:7">
      <c r="A243" s="101">
        <v>257</v>
      </c>
      <c r="B243" s="28" t="s">
        <v>899</v>
      </c>
      <c r="C243" s="28" t="s">
        <v>900</v>
      </c>
      <c r="D243" s="101">
        <f>'Thống kê'!I259</f>
        <v>1</v>
      </c>
      <c r="E243" s="16">
        <v>8.4600000000000009</v>
      </c>
      <c r="F243" s="215">
        <f t="shared" si="0"/>
        <v>30456.000000000004</v>
      </c>
      <c r="G243" s="215">
        <f t="shared" si="1"/>
        <v>30456.000000000004</v>
      </c>
    </row>
    <row r="244" spans="1:7">
      <c r="A244" s="101">
        <v>258</v>
      </c>
      <c r="B244" s="28" t="s">
        <v>901</v>
      </c>
      <c r="C244" s="28" t="s">
        <v>902</v>
      </c>
      <c r="D244" s="101">
        <f>'Thống kê'!I260</f>
        <v>0</v>
      </c>
      <c r="E244" s="16">
        <v>8.4600000000000009</v>
      </c>
      <c r="F244" s="215">
        <f t="shared" si="0"/>
        <v>30456.000000000004</v>
      </c>
      <c r="G244" s="215">
        <f t="shared" si="1"/>
        <v>0</v>
      </c>
    </row>
    <row r="245" spans="1:7">
      <c r="A245" s="101">
        <v>259</v>
      </c>
      <c r="B245" s="28" t="s">
        <v>903</v>
      </c>
      <c r="C245" s="28" t="s">
        <v>904</v>
      </c>
      <c r="D245" s="101">
        <f>'Thống kê'!I261</f>
        <v>0</v>
      </c>
      <c r="E245" s="16">
        <v>8.4600000000000009</v>
      </c>
      <c r="F245" s="215">
        <f t="shared" si="0"/>
        <v>30456.000000000004</v>
      </c>
      <c r="G245" s="215">
        <f t="shared" si="1"/>
        <v>0</v>
      </c>
    </row>
    <row r="246" spans="1:7">
      <c r="A246" s="101">
        <v>260</v>
      </c>
      <c r="B246" s="28" t="s">
        <v>905</v>
      </c>
      <c r="C246" s="28" t="s">
        <v>906</v>
      </c>
      <c r="D246" s="101">
        <f>'Thống kê'!I262</f>
        <v>2</v>
      </c>
      <c r="E246" s="16">
        <v>8.4600000000000009</v>
      </c>
      <c r="F246" s="215">
        <f t="shared" si="0"/>
        <v>30456.000000000004</v>
      </c>
      <c r="G246" s="215">
        <f t="shared" si="1"/>
        <v>60912.000000000007</v>
      </c>
    </row>
    <row r="247" spans="1:7">
      <c r="A247" s="101">
        <v>261</v>
      </c>
      <c r="B247" s="28" t="s">
        <v>907</v>
      </c>
      <c r="C247" s="28" t="s">
        <v>908</v>
      </c>
      <c r="D247" s="101">
        <f>'Thống kê'!I263</f>
        <v>30</v>
      </c>
      <c r="E247" s="16">
        <v>5</v>
      </c>
      <c r="F247" s="215">
        <f t="shared" si="0"/>
        <v>18000</v>
      </c>
      <c r="G247" s="215">
        <f t="shared" si="1"/>
        <v>540000</v>
      </c>
    </row>
    <row r="248" spans="1:7">
      <c r="A248" s="101">
        <v>262</v>
      </c>
      <c r="B248" s="28" t="s">
        <v>909</v>
      </c>
      <c r="C248" s="28" t="s">
        <v>910</v>
      </c>
      <c r="D248" s="101">
        <f>'Thống kê'!I264</f>
        <v>0</v>
      </c>
      <c r="E248" s="16">
        <v>5</v>
      </c>
      <c r="F248" s="215">
        <f t="shared" si="0"/>
        <v>18000</v>
      </c>
      <c r="G248" s="215">
        <f t="shared" si="1"/>
        <v>0</v>
      </c>
    </row>
    <row r="249" spans="1:7">
      <c r="A249" s="101">
        <v>263</v>
      </c>
      <c r="B249" s="28" t="s">
        <v>911</v>
      </c>
      <c r="C249" s="28" t="s">
        <v>912</v>
      </c>
      <c r="D249" s="101">
        <f>'Thống kê'!I265</f>
        <v>16</v>
      </c>
      <c r="E249" s="16">
        <v>5</v>
      </c>
      <c r="F249" s="215">
        <f t="shared" si="0"/>
        <v>18000</v>
      </c>
      <c r="G249" s="215">
        <f t="shared" si="1"/>
        <v>288000</v>
      </c>
    </row>
    <row r="250" spans="1:7">
      <c r="A250" s="101">
        <v>264</v>
      </c>
      <c r="B250" s="28" t="s">
        <v>913</v>
      </c>
      <c r="C250" s="28" t="s">
        <v>914</v>
      </c>
      <c r="D250" s="101">
        <f>'Thống kê'!I266</f>
        <v>26</v>
      </c>
      <c r="E250" s="16">
        <v>5</v>
      </c>
      <c r="F250" s="215">
        <f t="shared" si="0"/>
        <v>18000</v>
      </c>
      <c r="G250" s="215">
        <f t="shared" si="1"/>
        <v>468000</v>
      </c>
    </row>
    <row r="251" spans="1:7">
      <c r="A251" s="101">
        <v>265</v>
      </c>
      <c r="B251" s="28" t="s">
        <v>915</v>
      </c>
      <c r="C251" s="28" t="s">
        <v>916</v>
      </c>
      <c r="D251" s="101">
        <f>'Thống kê'!I267</f>
        <v>176</v>
      </c>
      <c r="E251" s="16">
        <v>5</v>
      </c>
      <c r="F251" s="215">
        <f t="shared" si="0"/>
        <v>18000</v>
      </c>
      <c r="G251" s="215">
        <f t="shared" si="1"/>
        <v>3168000</v>
      </c>
    </row>
    <row r="252" spans="1:7">
      <c r="A252" s="101">
        <v>266</v>
      </c>
      <c r="B252" s="28" t="s">
        <v>917</v>
      </c>
      <c r="C252" s="28" t="s">
        <v>918</v>
      </c>
      <c r="D252" s="101">
        <f>'Thống kê'!I268</f>
        <v>34</v>
      </c>
      <c r="E252" s="16">
        <v>5</v>
      </c>
      <c r="F252" s="215">
        <f t="shared" si="0"/>
        <v>18000</v>
      </c>
      <c r="G252" s="215">
        <f t="shared" si="1"/>
        <v>612000</v>
      </c>
    </row>
    <row r="253" spans="1:7">
      <c r="A253" s="101">
        <v>267</v>
      </c>
      <c r="B253" s="28" t="s">
        <v>919</v>
      </c>
      <c r="C253" s="28" t="s">
        <v>920</v>
      </c>
      <c r="D253" s="101">
        <f>'Thống kê'!I269</f>
        <v>23</v>
      </c>
      <c r="E253" s="16">
        <v>5</v>
      </c>
      <c r="F253" s="215">
        <f t="shared" si="0"/>
        <v>18000</v>
      </c>
      <c r="G253" s="215">
        <f t="shared" si="1"/>
        <v>414000</v>
      </c>
    </row>
    <row r="254" spans="1:7">
      <c r="A254" s="101">
        <v>268</v>
      </c>
      <c r="B254" s="28" t="s">
        <v>921</v>
      </c>
      <c r="C254" s="28" t="s">
        <v>922</v>
      </c>
      <c r="D254" s="101">
        <f>'Thống kê'!I270</f>
        <v>0</v>
      </c>
      <c r="E254" s="16">
        <v>5</v>
      </c>
      <c r="F254" s="215">
        <f t="shared" si="0"/>
        <v>18000</v>
      </c>
      <c r="G254" s="215">
        <f t="shared" si="1"/>
        <v>0</v>
      </c>
    </row>
    <row r="255" spans="1:7">
      <c r="A255" s="101">
        <v>269</v>
      </c>
      <c r="B255" s="28" t="s">
        <v>923</v>
      </c>
      <c r="C255" s="28" t="s">
        <v>924</v>
      </c>
      <c r="D255" s="101">
        <f>'Thống kê'!I271</f>
        <v>-3</v>
      </c>
      <c r="F255" s="215">
        <f t="shared" si="0"/>
        <v>0</v>
      </c>
      <c r="G255" s="215">
        <f t="shared" si="1"/>
        <v>0</v>
      </c>
    </row>
    <row r="256" spans="1:7">
      <c r="A256" s="101">
        <v>270</v>
      </c>
      <c r="B256" s="28" t="s">
        <v>925</v>
      </c>
      <c r="C256" s="28" t="s">
        <v>926</v>
      </c>
      <c r="D256" s="101">
        <f>'Thống kê'!I272</f>
        <v>-4</v>
      </c>
      <c r="F256" s="215">
        <f t="shared" si="0"/>
        <v>0</v>
      </c>
      <c r="G256" s="215">
        <f t="shared" si="1"/>
        <v>0</v>
      </c>
    </row>
    <row r="257" spans="1:7">
      <c r="A257" s="101">
        <v>271</v>
      </c>
      <c r="B257" s="28" t="s">
        <v>927</v>
      </c>
      <c r="C257" s="28" t="s">
        <v>928</v>
      </c>
      <c r="D257" s="101">
        <f>'Thống kê'!I273</f>
        <v>-2</v>
      </c>
      <c r="F257" s="215">
        <f t="shared" si="0"/>
        <v>0</v>
      </c>
      <c r="G257" s="215">
        <f t="shared" si="1"/>
        <v>0</v>
      </c>
    </row>
    <row r="258" spans="1:7">
      <c r="A258" s="101">
        <v>272</v>
      </c>
      <c r="B258" s="28" t="s">
        <v>929</v>
      </c>
      <c r="C258" s="28" t="s">
        <v>930</v>
      </c>
      <c r="D258" s="101">
        <f>'Thống kê'!I274</f>
        <v>-2</v>
      </c>
      <c r="F258" s="215">
        <f t="shared" ref="F258:F512" si="2">E258*3600</f>
        <v>0</v>
      </c>
      <c r="G258" s="215">
        <f t="shared" ref="G258:G512" si="3">D258*F258</f>
        <v>0</v>
      </c>
    </row>
    <row r="259" spans="1:7">
      <c r="A259" s="101">
        <v>273</v>
      </c>
      <c r="B259" s="28" t="s">
        <v>931</v>
      </c>
      <c r="C259" s="28" t="s">
        <v>932</v>
      </c>
      <c r="D259" s="101">
        <f>'Thống kê'!I275</f>
        <v>-1</v>
      </c>
      <c r="F259" s="215">
        <f t="shared" si="2"/>
        <v>0</v>
      </c>
      <c r="G259" s="215">
        <f t="shared" si="3"/>
        <v>0</v>
      </c>
    </row>
    <row r="260" spans="1:7">
      <c r="A260" s="101">
        <v>274</v>
      </c>
      <c r="B260" s="28" t="s">
        <v>933</v>
      </c>
      <c r="C260" s="28" t="s">
        <v>934</v>
      </c>
      <c r="D260" s="101">
        <f>'Thống kê'!I276</f>
        <v>0</v>
      </c>
      <c r="F260" s="215">
        <f t="shared" si="2"/>
        <v>0</v>
      </c>
      <c r="G260" s="215">
        <f t="shared" si="3"/>
        <v>0</v>
      </c>
    </row>
    <row r="261" spans="1:7">
      <c r="A261" s="101">
        <v>275</v>
      </c>
      <c r="B261" s="28" t="s">
        <v>935</v>
      </c>
      <c r="C261" s="28" t="s">
        <v>936</v>
      </c>
      <c r="D261" s="101">
        <f>'Thống kê'!I277</f>
        <v>0</v>
      </c>
      <c r="F261" s="215">
        <f t="shared" si="2"/>
        <v>0</v>
      </c>
      <c r="G261" s="215">
        <f t="shared" si="3"/>
        <v>0</v>
      </c>
    </row>
    <row r="262" spans="1:7">
      <c r="A262" s="101">
        <v>276</v>
      </c>
      <c r="B262" s="28" t="s">
        <v>937</v>
      </c>
      <c r="C262" s="28" t="s">
        <v>938</v>
      </c>
      <c r="D262" s="101">
        <f>'Thống kê'!I278</f>
        <v>0</v>
      </c>
      <c r="F262" s="215">
        <f t="shared" si="2"/>
        <v>0</v>
      </c>
      <c r="G262" s="215">
        <f t="shared" si="3"/>
        <v>0</v>
      </c>
    </row>
    <row r="263" spans="1:7">
      <c r="A263" s="101">
        <v>277</v>
      </c>
      <c r="B263" s="28" t="s">
        <v>939</v>
      </c>
      <c r="C263" s="28" t="s">
        <v>940</v>
      </c>
      <c r="D263" s="101">
        <f>'Thống kê'!I279</f>
        <v>-1</v>
      </c>
      <c r="F263" s="215">
        <f t="shared" si="2"/>
        <v>0</v>
      </c>
      <c r="G263" s="215">
        <f t="shared" si="3"/>
        <v>0</v>
      </c>
    </row>
    <row r="264" spans="1:7">
      <c r="A264" s="101">
        <v>278</v>
      </c>
      <c r="B264" s="28" t="s">
        <v>941</v>
      </c>
      <c r="C264" s="28" t="s">
        <v>942</v>
      </c>
      <c r="D264" s="101">
        <f>'Thống kê'!I280</f>
        <v>-2</v>
      </c>
      <c r="F264" s="215">
        <f t="shared" si="2"/>
        <v>0</v>
      </c>
      <c r="G264" s="215">
        <f t="shared" si="3"/>
        <v>0</v>
      </c>
    </row>
    <row r="265" spans="1:7">
      <c r="A265" s="101">
        <v>279</v>
      </c>
      <c r="B265" s="28" t="s">
        <v>943</v>
      </c>
      <c r="C265" s="28" t="s">
        <v>944</v>
      </c>
      <c r="D265" s="101">
        <f>'Thống kê'!I281</f>
        <v>4</v>
      </c>
      <c r="F265" s="215">
        <f t="shared" si="2"/>
        <v>0</v>
      </c>
      <c r="G265" s="215">
        <f t="shared" si="3"/>
        <v>0</v>
      </c>
    </row>
    <row r="266" spans="1:7">
      <c r="A266" s="101">
        <v>280</v>
      </c>
      <c r="B266" s="28" t="s">
        <v>945</v>
      </c>
      <c r="C266" s="28" t="s">
        <v>946</v>
      </c>
      <c r="D266" s="101">
        <f>'Thống kê'!I282</f>
        <v>4</v>
      </c>
      <c r="F266" s="215">
        <f t="shared" si="2"/>
        <v>0</v>
      </c>
      <c r="G266" s="215">
        <f t="shared" si="3"/>
        <v>0</v>
      </c>
    </row>
    <row r="267" spans="1:7">
      <c r="A267" s="101">
        <v>281</v>
      </c>
      <c r="B267" s="28" t="s">
        <v>947</v>
      </c>
      <c r="C267" s="28" t="s">
        <v>948</v>
      </c>
      <c r="D267" s="101">
        <f>'Thống kê'!I283</f>
        <v>3</v>
      </c>
      <c r="F267" s="215">
        <f t="shared" si="2"/>
        <v>0</v>
      </c>
      <c r="G267" s="215">
        <f t="shared" si="3"/>
        <v>0</v>
      </c>
    </row>
    <row r="268" spans="1:7">
      <c r="A268" s="101">
        <v>282</v>
      </c>
      <c r="B268" s="28" t="s">
        <v>949</v>
      </c>
      <c r="C268" s="28" t="s">
        <v>950</v>
      </c>
      <c r="D268" s="101">
        <f>'Thống kê'!I284</f>
        <v>0</v>
      </c>
      <c r="F268" s="215">
        <f t="shared" si="2"/>
        <v>0</v>
      </c>
      <c r="G268" s="215">
        <f t="shared" si="3"/>
        <v>0</v>
      </c>
    </row>
    <row r="269" spans="1:7">
      <c r="A269" s="101">
        <v>283</v>
      </c>
      <c r="B269" s="28" t="s">
        <v>951</v>
      </c>
      <c r="C269" s="28" t="s">
        <v>952</v>
      </c>
      <c r="D269" s="101">
        <f>'Thống kê'!I285</f>
        <v>0</v>
      </c>
      <c r="F269" s="215">
        <f t="shared" si="2"/>
        <v>0</v>
      </c>
      <c r="G269" s="215">
        <f t="shared" si="3"/>
        <v>0</v>
      </c>
    </row>
    <row r="270" spans="1:7">
      <c r="A270" s="101">
        <v>284</v>
      </c>
      <c r="B270" s="28" t="s">
        <v>953</v>
      </c>
      <c r="C270" s="28" t="s">
        <v>954</v>
      </c>
      <c r="D270" s="101">
        <f>'Thống kê'!I286</f>
        <v>0</v>
      </c>
      <c r="F270" s="215">
        <f t="shared" si="2"/>
        <v>0</v>
      </c>
      <c r="G270" s="215">
        <f t="shared" si="3"/>
        <v>0</v>
      </c>
    </row>
    <row r="271" spans="1:7">
      <c r="A271" s="101">
        <v>285</v>
      </c>
      <c r="B271" s="28" t="s">
        <v>955</v>
      </c>
      <c r="C271" s="28" t="s">
        <v>956</v>
      </c>
      <c r="D271" s="101">
        <f>'Thống kê'!I287</f>
        <v>0</v>
      </c>
      <c r="F271" s="215">
        <f t="shared" si="2"/>
        <v>0</v>
      </c>
      <c r="G271" s="215">
        <f t="shared" si="3"/>
        <v>0</v>
      </c>
    </row>
    <row r="272" spans="1:7">
      <c r="A272" s="101">
        <v>286</v>
      </c>
      <c r="B272" s="28" t="s">
        <v>957</v>
      </c>
      <c r="C272" s="28" t="s">
        <v>958</v>
      </c>
      <c r="D272" s="101">
        <f>'Thống kê'!I288</f>
        <v>1</v>
      </c>
      <c r="F272" s="215">
        <f t="shared" si="2"/>
        <v>0</v>
      </c>
      <c r="G272" s="215">
        <f t="shared" si="3"/>
        <v>0</v>
      </c>
    </row>
    <row r="273" spans="1:7">
      <c r="A273" s="101">
        <v>287</v>
      </c>
      <c r="B273" s="28" t="s">
        <v>959</v>
      </c>
      <c r="C273" s="28" t="s">
        <v>960</v>
      </c>
      <c r="D273" s="101">
        <f>'Thống kê'!I289</f>
        <v>0</v>
      </c>
      <c r="F273" s="215">
        <f t="shared" si="2"/>
        <v>0</v>
      </c>
      <c r="G273" s="215">
        <f t="shared" si="3"/>
        <v>0</v>
      </c>
    </row>
    <row r="274" spans="1:7">
      <c r="A274" s="101">
        <v>288</v>
      </c>
      <c r="B274" s="28" t="s">
        <v>961</v>
      </c>
      <c r="C274" s="28" t="s">
        <v>962</v>
      </c>
      <c r="D274" s="101">
        <f>'Thống kê'!I290</f>
        <v>0</v>
      </c>
      <c r="F274" s="215">
        <f t="shared" si="2"/>
        <v>0</v>
      </c>
      <c r="G274" s="215">
        <f t="shared" si="3"/>
        <v>0</v>
      </c>
    </row>
    <row r="275" spans="1:7">
      <c r="A275" s="101">
        <v>289</v>
      </c>
      <c r="B275" s="28" t="s">
        <v>963</v>
      </c>
      <c r="C275" s="28" t="s">
        <v>964</v>
      </c>
      <c r="D275" s="101">
        <f>'Thống kê'!I291</f>
        <v>1</v>
      </c>
      <c r="F275" s="215">
        <f t="shared" si="2"/>
        <v>0</v>
      </c>
      <c r="G275" s="215">
        <f t="shared" si="3"/>
        <v>0</v>
      </c>
    </row>
    <row r="276" spans="1:7">
      <c r="A276" s="101">
        <v>290</v>
      </c>
      <c r="B276" s="28" t="s">
        <v>965</v>
      </c>
      <c r="C276" s="28" t="s">
        <v>966</v>
      </c>
      <c r="D276" s="101">
        <f>'Thống kê'!I292</f>
        <v>0</v>
      </c>
      <c r="F276" s="215">
        <f t="shared" si="2"/>
        <v>0</v>
      </c>
      <c r="G276" s="215">
        <f t="shared" si="3"/>
        <v>0</v>
      </c>
    </row>
    <row r="277" spans="1:7">
      <c r="A277" s="101">
        <v>291</v>
      </c>
      <c r="B277" s="28" t="s">
        <v>967</v>
      </c>
      <c r="C277" s="28" t="s">
        <v>968</v>
      </c>
      <c r="D277" s="101">
        <f>'Thống kê'!I293</f>
        <v>0</v>
      </c>
      <c r="F277" s="215">
        <f t="shared" si="2"/>
        <v>0</v>
      </c>
      <c r="G277" s="215">
        <f t="shared" si="3"/>
        <v>0</v>
      </c>
    </row>
    <row r="278" spans="1:7">
      <c r="A278" s="101">
        <v>292</v>
      </c>
      <c r="B278" s="28" t="s">
        <v>969</v>
      </c>
      <c r="C278" s="28" t="s">
        <v>970</v>
      </c>
      <c r="D278" s="101">
        <f>'Thống kê'!I294</f>
        <v>0</v>
      </c>
      <c r="F278" s="215">
        <f t="shared" si="2"/>
        <v>0</v>
      </c>
      <c r="G278" s="215">
        <f t="shared" si="3"/>
        <v>0</v>
      </c>
    </row>
    <row r="279" spans="1:7">
      <c r="A279" s="101">
        <v>293</v>
      </c>
      <c r="B279" s="28" t="s">
        <v>971</v>
      </c>
      <c r="C279" s="28" t="s">
        <v>972</v>
      </c>
      <c r="D279" s="101">
        <f>'Thống kê'!I295</f>
        <v>3</v>
      </c>
      <c r="F279" s="215">
        <f t="shared" si="2"/>
        <v>0</v>
      </c>
      <c r="G279" s="215">
        <f t="shared" si="3"/>
        <v>0</v>
      </c>
    </row>
    <row r="280" spans="1:7">
      <c r="A280" s="101">
        <v>294</v>
      </c>
      <c r="B280" s="28" t="s">
        <v>973</v>
      </c>
      <c r="C280" s="28" t="s">
        <v>974</v>
      </c>
      <c r="D280" s="101">
        <f>'Thống kê'!I296</f>
        <v>10</v>
      </c>
      <c r="F280" s="215">
        <f t="shared" si="2"/>
        <v>0</v>
      </c>
      <c r="G280" s="215">
        <f t="shared" si="3"/>
        <v>0</v>
      </c>
    </row>
    <row r="281" spans="1:7">
      <c r="A281" s="101">
        <v>295</v>
      </c>
      <c r="B281" s="28" t="s">
        <v>975</v>
      </c>
      <c r="C281" s="28" t="s">
        <v>976</v>
      </c>
      <c r="D281" s="101">
        <f>'Thống kê'!I297</f>
        <v>4</v>
      </c>
      <c r="F281" s="215">
        <f t="shared" si="2"/>
        <v>0</v>
      </c>
      <c r="G281" s="215">
        <f t="shared" si="3"/>
        <v>0</v>
      </c>
    </row>
    <row r="282" spans="1:7">
      <c r="A282" s="101">
        <v>296</v>
      </c>
      <c r="B282" s="28" t="s">
        <v>977</v>
      </c>
      <c r="C282" s="28" t="s">
        <v>978</v>
      </c>
      <c r="D282" s="101">
        <f>'Thống kê'!I298</f>
        <v>-12</v>
      </c>
      <c r="E282" s="16">
        <v>5</v>
      </c>
      <c r="F282" s="215">
        <f t="shared" si="2"/>
        <v>18000</v>
      </c>
      <c r="G282" s="215">
        <f t="shared" si="3"/>
        <v>-216000</v>
      </c>
    </row>
    <row r="283" spans="1:7">
      <c r="A283" s="101">
        <v>297</v>
      </c>
      <c r="B283" s="28" t="s">
        <v>979</v>
      </c>
      <c r="C283" s="28" t="s">
        <v>980</v>
      </c>
      <c r="D283" s="101">
        <f>'Thống kê'!I299</f>
        <v>0</v>
      </c>
      <c r="E283" s="16">
        <v>5</v>
      </c>
      <c r="F283" s="215">
        <f t="shared" si="2"/>
        <v>18000</v>
      </c>
      <c r="G283" s="215">
        <f t="shared" si="3"/>
        <v>0</v>
      </c>
    </row>
    <row r="284" spans="1:7">
      <c r="A284" s="101">
        <v>298</v>
      </c>
      <c r="B284" s="28" t="s">
        <v>981</v>
      </c>
      <c r="C284" s="28" t="s">
        <v>982</v>
      </c>
      <c r="D284" s="101">
        <f>'Thống kê'!I300</f>
        <v>40</v>
      </c>
      <c r="E284" s="16">
        <v>5</v>
      </c>
      <c r="F284" s="215">
        <f t="shared" si="2"/>
        <v>18000</v>
      </c>
      <c r="G284" s="215">
        <f t="shared" si="3"/>
        <v>720000</v>
      </c>
    </row>
    <row r="285" spans="1:7">
      <c r="A285" s="101">
        <v>299</v>
      </c>
      <c r="B285" s="28" t="s">
        <v>983</v>
      </c>
      <c r="C285" s="28" t="s">
        <v>984</v>
      </c>
      <c r="D285" s="101">
        <f>'Thống kê'!I301</f>
        <v>0</v>
      </c>
      <c r="E285" s="16">
        <v>5</v>
      </c>
      <c r="F285" s="215">
        <f t="shared" si="2"/>
        <v>18000</v>
      </c>
      <c r="G285" s="215">
        <f t="shared" si="3"/>
        <v>0</v>
      </c>
    </row>
    <row r="286" spans="1:7">
      <c r="A286" s="101">
        <v>300</v>
      </c>
      <c r="B286" s="28" t="s">
        <v>985</v>
      </c>
      <c r="C286" s="28" t="s">
        <v>986</v>
      </c>
      <c r="D286" s="101">
        <f>'Thống kê'!I302</f>
        <v>16</v>
      </c>
      <c r="E286" s="16">
        <v>5</v>
      </c>
      <c r="F286" s="215">
        <f t="shared" si="2"/>
        <v>18000</v>
      </c>
      <c r="G286" s="215">
        <f t="shared" si="3"/>
        <v>288000</v>
      </c>
    </row>
    <row r="287" spans="1:7">
      <c r="A287" s="101">
        <v>301</v>
      </c>
      <c r="B287" s="28" t="s">
        <v>987</v>
      </c>
      <c r="C287" s="28" t="s">
        <v>988</v>
      </c>
      <c r="D287" s="101">
        <f>'Thống kê'!I303</f>
        <v>6</v>
      </c>
      <c r="E287" s="16">
        <v>5</v>
      </c>
      <c r="F287" s="215">
        <f t="shared" si="2"/>
        <v>18000</v>
      </c>
      <c r="G287" s="215">
        <f t="shared" si="3"/>
        <v>108000</v>
      </c>
    </row>
    <row r="288" spans="1:7">
      <c r="A288" s="101">
        <v>302</v>
      </c>
      <c r="B288" s="28" t="s">
        <v>989</v>
      </c>
      <c r="C288" s="28" t="s">
        <v>990</v>
      </c>
      <c r="D288" s="101">
        <f>'Thống kê'!I304</f>
        <v>66</v>
      </c>
      <c r="E288" s="16">
        <v>5</v>
      </c>
      <c r="F288" s="215">
        <f t="shared" si="2"/>
        <v>18000</v>
      </c>
      <c r="G288" s="215">
        <f t="shared" si="3"/>
        <v>1188000</v>
      </c>
    </row>
    <row r="289" spans="1:7">
      <c r="A289" s="101">
        <v>303</v>
      </c>
      <c r="B289" s="28" t="s">
        <v>991</v>
      </c>
      <c r="C289" s="28" t="s">
        <v>992</v>
      </c>
      <c r="D289" s="101">
        <f>'Thống kê'!I305</f>
        <v>5</v>
      </c>
      <c r="E289" s="16">
        <v>5</v>
      </c>
      <c r="F289" s="215">
        <f t="shared" si="2"/>
        <v>18000</v>
      </c>
      <c r="G289" s="215">
        <f t="shared" si="3"/>
        <v>90000</v>
      </c>
    </row>
    <row r="290" spans="1:7">
      <c r="A290" s="101">
        <v>304</v>
      </c>
      <c r="B290" s="28" t="s">
        <v>993</v>
      </c>
      <c r="C290" s="28" t="s">
        <v>994</v>
      </c>
      <c r="D290" s="101">
        <f>'Thống kê'!I306</f>
        <v>2</v>
      </c>
      <c r="E290" s="16">
        <v>5</v>
      </c>
      <c r="F290" s="215">
        <f t="shared" si="2"/>
        <v>18000</v>
      </c>
      <c r="G290" s="215">
        <f t="shared" si="3"/>
        <v>36000</v>
      </c>
    </row>
    <row r="291" spans="1:7">
      <c r="A291" s="101">
        <v>305</v>
      </c>
      <c r="B291" s="28" t="s">
        <v>995</v>
      </c>
      <c r="C291" s="28" t="s">
        <v>996</v>
      </c>
      <c r="D291" s="101">
        <f>'Thống kê'!I307</f>
        <v>8</v>
      </c>
      <c r="E291" s="16">
        <v>5</v>
      </c>
      <c r="F291" s="215">
        <f t="shared" si="2"/>
        <v>18000</v>
      </c>
      <c r="G291" s="215">
        <f t="shared" si="3"/>
        <v>144000</v>
      </c>
    </row>
    <row r="292" spans="1:7">
      <c r="A292" s="101">
        <v>306</v>
      </c>
      <c r="B292" s="28" t="s">
        <v>997</v>
      </c>
      <c r="C292" s="28" t="s">
        <v>998</v>
      </c>
      <c r="D292" s="101">
        <f>'Thống kê'!I308</f>
        <v>10</v>
      </c>
      <c r="E292" s="16">
        <v>5</v>
      </c>
      <c r="F292" s="215">
        <f t="shared" si="2"/>
        <v>18000</v>
      </c>
      <c r="G292" s="215">
        <f t="shared" si="3"/>
        <v>180000</v>
      </c>
    </row>
    <row r="293" spans="1:7">
      <c r="A293" s="101">
        <v>307</v>
      </c>
      <c r="B293" s="28" t="s">
        <v>999</v>
      </c>
      <c r="C293" s="28" t="s">
        <v>1000</v>
      </c>
      <c r="D293" s="101">
        <f>'Thống kê'!I309</f>
        <v>11</v>
      </c>
      <c r="E293" s="16">
        <v>5</v>
      </c>
      <c r="F293" s="215">
        <f t="shared" si="2"/>
        <v>18000</v>
      </c>
      <c r="G293" s="215">
        <f t="shared" si="3"/>
        <v>198000</v>
      </c>
    </row>
    <row r="294" spans="1:7">
      <c r="A294" s="101">
        <v>308</v>
      </c>
      <c r="B294" s="28" t="s">
        <v>1001</v>
      </c>
      <c r="C294" s="28" t="s">
        <v>1002</v>
      </c>
      <c r="D294" s="101">
        <f>'Thống kê'!I310</f>
        <v>8</v>
      </c>
      <c r="E294" s="16">
        <v>5</v>
      </c>
      <c r="F294" s="215">
        <f t="shared" si="2"/>
        <v>18000</v>
      </c>
      <c r="G294" s="215">
        <f t="shared" si="3"/>
        <v>144000</v>
      </c>
    </row>
    <row r="295" spans="1:7">
      <c r="A295" s="101">
        <v>309</v>
      </c>
      <c r="B295" s="28" t="s">
        <v>1003</v>
      </c>
      <c r="C295" s="28" t="s">
        <v>1004</v>
      </c>
      <c r="D295" s="101">
        <f>'Thống kê'!I311</f>
        <v>-1</v>
      </c>
      <c r="E295" s="16">
        <v>5</v>
      </c>
      <c r="F295" s="215">
        <f t="shared" si="2"/>
        <v>18000</v>
      </c>
      <c r="G295" s="215">
        <f t="shared" si="3"/>
        <v>-18000</v>
      </c>
    </row>
    <row r="296" spans="1:7">
      <c r="A296" s="101">
        <v>310</v>
      </c>
      <c r="B296" s="28" t="s">
        <v>1005</v>
      </c>
      <c r="C296" s="28" t="s">
        <v>1006</v>
      </c>
      <c r="D296" s="101">
        <f>'Thống kê'!I312</f>
        <v>12</v>
      </c>
      <c r="F296" s="215">
        <f t="shared" si="2"/>
        <v>0</v>
      </c>
      <c r="G296" s="215">
        <f t="shared" si="3"/>
        <v>0</v>
      </c>
    </row>
    <row r="297" spans="1:7">
      <c r="A297" s="101">
        <v>311</v>
      </c>
      <c r="B297" s="28" t="s">
        <v>1007</v>
      </c>
      <c r="C297" s="28" t="s">
        <v>1008</v>
      </c>
      <c r="D297" s="101">
        <f>'Thống kê'!I313</f>
        <v>12</v>
      </c>
      <c r="F297" s="215">
        <f t="shared" si="2"/>
        <v>0</v>
      </c>
      <c r="G297" s="215">
        <f t="shared" si="3"/>
        <v>0</v>
      </c>
    </row>
    <row r="298" spans="1:7">
      <c r="A298" s="101">
        <v>312</v>
      </c>
      <c r="B298" s="28" t="s">
        <v>1009</v>
      </c>
      <c r="C298" s="28" t="s">
        <v>1010</v>
      </c>
      <c r="D298" s="101">
        <f>'Thống kê'!I314</f>
        <v>10</v>
      </c>
      <c r="F298" s="215">
        <f t="shared" si="2"/>
        <v>0</v>
      </c>
      <c r="G298" s="215">
        <f t="shared" si="3"/>
        <v>0</v>
      </c>
    </row>
    <row r="299" spans="1:7">
      <c r="A299" s="101">
        <v>313</v>
      </c>
      <c r="B299" s="28" t="s">
        <v>1011</v>
      </c>
      <c r="C299" s="28" t="s">
        <v>1012</v>
      </c>
      <c r="D299" s="101">
        <f>'Thống kê'!I315</f>
        <v>12</v>
      </c>
      <c r="F299" s="215">
        <f t="shared" si="2"/>
        <v>0</v>
      </c>
      <c r="G299" s="215">
        <f t="shared" si="3"/>
        <v>0</v>
      </c>
    </row>
    <row r="300" spans="1:7">
      <c r="A300" s="101">
        <v>314</v>
      </c>
      <c r="B300" s="28" t="s">
        <v>1013</v>
      </c>
      <c r="C300" s="28" t="s">
        <v>1014</v>
      </c>
      <c r="D300" s="101">
        <f>'Thống kê'!I316</f>
        <v>13</v>
      </c>
      <c r="F300" s="215">
        <f t="shared" si="2"/>
        <v>0</v>
      </c>
      <c r="G300" s="215">
        <f t="shared" si="3"/>
        <v>0</v>
      </c>
    </row>
    <row r="301" spans="1:7">
      <c r="A301" s="101">
        <v>315</v>
      </c>
      <c r="B301" s="28" t="s">
        <v>1015</v>
      </c>
      <c r="C301" s="28" t="s">
        <v>1016</v>
      </c>
      <c r="D301" s="101">
        <f>'Thống kê'!I317</f>
        <v>13</v>
      </c>
      <c r="F301" s="215">
        <f t="shared" si="2"/>
        <v>0</v>
      </c>
      <c r="G301" s="215">
        <f t="shared" si="3"/>
        <v>0</v>
      </c>
    </row>
    <row r="302" spans="1:7">
      <c r="A302" s="101">
        <v>316</v>
      </c>
      <c r="B302" s="28" t="s">
        <v>1017</v>
      </c>
      <c r="C302" s="28" t="s">
        <v>1018</v>
      </c>
      <c r="D302" s="101">
        <f>'Thống kê'!I318</f>
        <v>11</v>
      </c>
      <c r="F302" s="215">
        <f t="shared" si="2"/>
        <v>0</v>
      </c>
      <c r="G302" s="215">
        <f t="shared" si="3"/>
        <v>0</v>
      </c>
    </row>
    <row r="303" spans="1:7">
      <c r="A303" s="101">
        <v>317</v>
      </c>
      <c r="B303" s="28" t="s">
        <v>1019</v>
      </c>
      <c r="C303" s="28" t="s">
        <v>1020</v>
      </c>
      <c r="D303" s="101">
        <f>'Thống kê'!I319</f>
        <v>13</v>
      </c>
      <c r="F303" s="215">
        <f t="shared" si="2"/>
        <v>0</v>
      </c>
      <c r="G303" s="215">
        <f t="shared" si="3"/>
        <v>0</v>
      </c>
    </row>
    <row r="304" spans="1:7">
      <c r="A304" s="101">
        <v>318</v>
      </c>
      <c r="B304" s="28" t="s">
        <v>1021</v>
      </c>
      <c r="C304" s="28" t="s">
        <v>1022</v>
      </c>
      <c r="D304" s="101">
        <f>'Thống kê'!I320</f>
        <v>13</v>
      </c>
      <c r="F304" s="215">
        <f t="shared" si="2"/>
        <v>0</v>
      </c>
      <c r="G304" s="215">
        <f t="shared" si="3"/>
        <v>0</v>
      </c>
    </row>
    <row r="305" spans="1:7">
      <c r="A305" s="101">
        <v>319</v>
      </c>
      <c r="B305" s="28" t="s">
        <v>1023</v>
      </c>
      <c r="C305" s="28" t="s">
        <v>1024</v>
      </c>
      <c r="D305" s="101">
        <f>'Thống kê'!I321</f>
        <v>13</v>
      </c>
      <c r="F305" s="215">
        <f t="shared" si="2"/>
        <v>0</v>
      </c>
      <c r="G305" s="215">
        <f t="shared" si="3"/>
        <v>0</v>
      </c>
    </row>
    <row r="306" spans="1:7">
      <c r="A306" s="101">
        <v>320</v>
      </c>
      <c r="B306" s="28" t="s">
        <v>1025</v>
      </c>
      <c r="C306" s="28" t="s">
        <v>1026</v>
      </c>
      <c r="D306" s="101">
        <f>'Thống kê'!I322</f>
        <v>9</v>
      </c>
      <c r="F306" s="215">
        <f t="shared" si="2"/>
        <v>0</v>
      </c>
      <c r="G306" s="215">
        <f t="shared" si="3"/>
        <v>0</v>
      </c>
    </row>
    <row r="307" spans="1:7">
      <c r="A307" s="101">
        <v>321</v>
      </c>
      <c r="B307" s="28" t="s">
        <v>1027</v>
      </c>
      <c r="C307" s="28" t="s">
        <v>1028</v>
      </c>
      <c r="D307" s="101">
        <f>'Thống kê'!I323</f>
        <v>6</v>
      </c>
      <c r="F307" s="215">
        <f t="shared" si="2"/>
        <v>0</v>
      </c>
      <c r="G307" s="215">
        <f t="shared" si="3"/>
        <v>0</v>
      </c>
    </row>
    <row r="308" spans="1:7">
      <c r="A308" s="101">
        <v>322</v>
      </c>
      <c r="B308" s="28" t="s">
        <v>1029</v>
      </c>
      <c r="C308" s="28" t="s">
        <v>1030</v>
      </c>
      <c r="D308" s="101">
        <f>'Thống kê'!I324</f>
        <v>12</v>
      </c>
      <c r="F308" s="215">
        <f t="shared" si="2"/>
        <v>0</v>
      </c>
      <c r="G308" s="215">
        <f t="shared" si="3"/>
        <v>0</v>
      </c>
    </row>
    <row r="309" spans="1:7">
      <c r="A309" s="101">
        <v>323</v>
      </c>
      <c r="B309" s="28" t="s">
        <v>1031</v>
      </c>
      <c r="C309" s="28" t="s">
        <v>1032</v>
      </c>
      <c r="D309" s="101">
        <f>'Thống kê'!I325</f>
        <v>10</v>
      </c>
      <c r="F309" s="215">
        <f t="shared" si="2"/>
        <v>0</v>
      </c>
      <c r="G309" s="215">
        <f t="shared" si="3"/>
        <v>0</v>
      </c>
    </row>
    <row r="310" spans="1:7">
      <c r="A310" s="101">
        <v>324</v>
      </c>
      <c r="B310" s="28" t="s">
        <v>1033</v>
      </c>
      <c r="C310" s="28" t="s">
        <v>1034</v>
      </c>
      <c r="D310" s="101">
        <f>'Thống kê'!I326</f>
        <v>10</v>
      </c>
      <c r="F310" s="215">
        <f t="shared" si="2"/>
        <v>0</v>
      </c>
      <c r="G310" s="215">
        <f t="shared" si="3"/>
        <v>0</v>
      </c>
    </row>
    <row r="311" spans="1:7">
      <c r="A311" s="101">
        <v>325</v>
      </c>
      <c r="B311" s="28" t="s">
        <v>1035</v>
      </c>
      <c r="C311" s="28" t="s">
        <v>1036</v>
      </c>
      <c r="D311" s="101">
        <f>'Thống kê'!I327</f>
        <v>0</v>
      </c>
      <c r="F311" s="215">
        <f t="shared" si="2"/>
        <v>0</v>
      </c>
      <c r="G311" s="215">
        <f t="shared" si="3"/>
        <v>0</v>
      </c>
    </row>
    <row r="312" spans="1:7">
      <c r="A312" s="101">
        <v>326</v>
      </c>
      <c r="B312" s="28" t="s">
        <v>1038</v>
      </c>
      <c r="C312" s="28" t="s">
        <v>1039</v>
      </c>
      <c r="D312" s="101">
        <f>'Thống kê'!I328</f>
        <v>0</v>
      </c>
      <c r="F312" s="215">
        <f t="shared" si="2"/>
        <v>0</v>
      </c>
      <c r="G312" s="215">
        <f t="shared" si="3"/>
        <v>0</v>
      </c>
    </row>
    <row r="313" spans="1:7">
      <c r="A313" s="101">
        <v>327</v>
      </c>
      <c r="B313" s="28" t="s">
        <v>1040</v>
      </c>
      <c r="C313" s="28" t="s">
        <v>1041</v>
      </c>
      <c r="D313" s="101">
        <f>'Thống kê'!I329</f>
        <v>0</v>
      </c>
      <c r="F313" s="215">
        <f t="shared" si="2"/>
        <v>0</v>
      </c>
      <c r="G313" s="215">
        <f t="shared" si="3"/>
        <v>0</v>
      </c>
    </row>
    <row r="314" spans="1:7">
      <c r="A314" s="101">
        <v>328</v>
      </c>
      <c r="B314" s="28" t="s">
        <v>1042</v>
      </c>
      <c r="C314" s="28" t="s">
        <v>1043</v>
      </c>
      <c r="D314" s="101">
        <f>'Thống kê'!I330</f>
        <v>0</v>
      </c>
      <c r="F314" s="215">
        <f t="shared" si="2"/>
        <v>0</v>
      </c>
      <c r="G314" s="215">
        <f t="shared" si="3"/>
        <v>0</v>
      </c>
    </row>
    <row r="315" spans="1:7">
      <c r="A315" s="101">
        <v>329</v>
      </c>
      <c r="B315" s="28" t="s">
        <v>1044</v>
      </c>
      <c r="C315" s="28" t="s">
        <v>1045</v>
      </c>
      <c r="D315" s="101">
        <f>'Thống kê'!I331</f>
        <v>0</v>
      </c>
      <c r="F315" s="215">
        <f t="shared" si="2"/>
        <v>0</v>
      </c>
      <c r="G315" s="215">
        <f t="shared" si="3"/>
        <v>0</v>
      </c>
    </row>
    <row r="316" spans="1:7">
      <c r="A316" s="101">
        <v>330</v>
      </c>
      <c r="B316" s="28" t="s">
        <v>1046</v>
      </c>
      <c r="C316" s="28" t="s">
        <v>1047</v>
      </c>
      <c r="D316" s="101">
        <f>'Thống kê'!I332</f>
        <v>0</v>
      </c>
      <c r="F316" s="215">
        <f t="shared" si="2"/>
        <v>0</v>
      </c>
      <c r="G316" s="215">
        <f t="shared" si="3"/>
        <v>0</v>
      </c>
    </row>
    <row r="317" spans="1:7">
      <c r="A317" s="101">
        <v>331</v>
      </c>
      <c r="B317" s="28" t="s">
        <v>1048</v>
      </c>
      <c r="C317" s="28" t="s">
        <v>1049</v>
      </c>
      <c r="D317" s="101">
        <f>'Thống kê'!I333</f>
        <v>0</v>
      </c>
      <c r="F317" s="215">
        <f t="shared" si="2"/>
        <v>0</v>
      </c>
      <c r="G317" s="215">
        <f t="shared" si="3"/>
        <v>0</v>
      </c>
    </row>
    <row r="318" spans="1:7">
      <c r="A318" s="101">
        <v>332</v>
      </c>
      <c r="B318" s="28" t="s">
        <v>1050</v>
      </c>
      <c r="C318" s="28" t="s">
        <v>1051</v>
      </c>
      <c r="D318" s="101">
        <f>'Thống kê'!I334</f>
        <v>0</v>
      </c>
      <c r="F318" s="215">
        <f t="shared" si="2"/>
        <v>0</v>
      </c>
      <c r="G318" s="215">
        <f t="shared" si="3"/>
        <v>0</v>
      </c>
    </row>
    <row r="319" spans="1:7">
      <c r="A319" s="101">
        <v>333</v>
      </c>
      <c r="B319" s="28" t="s">
        <v>1052</v>
      </c>
      <c r="C319" s="28" t="s">
        <v>1053</v>
      </c>
      <c r="D319" s="101">
        <f>'Thống kê'!I335</f>
        <v>0</v>
      </c>
      <c r="F319" s="215">
        <f t="shared" si="2"/>
        <v>0</v>
      </c>
      <c r="G319" s="215">
        <f t="shared" si="3"/>
        <v>0</v>
      </c>
    </row>
    <row r="320" spans="1:7">
      <c r="A320" s="101">
        <v>334</v>
      </c>
      <c r="B320" s="28" t="s">
        <v>1054</v>
      </c>
      <c r="C320" s="28" t="s">
        <v>1055</v>
      </c>
      <c r="D320" s="101">
        <f>'Thống kê'!I336</f>
        <v>0</v>
      </c>
      <c r="F320" s="215">
        <f t="shared" si="2"/>
        <v>0</v>
      </c>
      <c r="G320" s="215">
        <f t="shared" si="3"/>
        <v>0</v>
      </c>
    </row>
    <row r="321" spans="1:7">
      <c r="A321" s="101">
        <v>335</v>
      </c>
      <c r="B321" s="28" t="s">
        <v>1056</v>
      </c>
      <c r="C321" s="28" t="s">
        <v>1057</v>
      </c>
      <c r="D321" s="101">
        <f>'Thống kê'!I337</f>
        <v>0</v>
      </c>
      <c r="F321" s="215">
        <f t="shared" si="2"/>
        <v>0</v>
      </c>
      <c r="G321" s="215">
        <f t="shared" si="3"/>
        <v>0</v>
      </c>
    </row>
    <row r="322" spans="1:7">
      <c r="A322" s="101">
        <v>336</v>
      </c>
      <c r="B322" s="28" t="s">
        <v>1058</v>
      </c>
      <c r="C322" s="28" t="s">
        <v>1059</v>
      </c>
      <c r="D322" s="101">
        <f>'Thống kê'!I338</f>
        <v>0</v>
      </c>
      <c r="F322" s="215">
        <f t="shared" si="2"/>
        <v>0</v>
      </c>
      <c r="G322" s="215">
        <f t="shared" si="3"/>
        <v>0</v>
      </c>
    </row>
    <row r="323" spans="1:7">
      <c r="A323" s="101">
        <v>337</v>
      </c>
      <c r="B323" s="28" t="s">
        <v>1060</v>
      </c>
      <c r="C323" s="28" t="s">
        <v>1061</v>
      </c>
      <c r="D323" s="101">
        <f>'Thống kê'!I339</f>
        <v>0</v>
      </c>
      <c r="F323" s="215">
        <f t="shared" si="2"/>
        <v>0</v>
      </c>
      <c r="G323" s="215">
        <f t="shared" si="3"/>
        <v>0</v>
      </c>
    </row>
    <row r="324" spans="1:7">
      <c r="A324" s="101">
        <v>338</v>
      </c>
      <c r="B324" s="28" t="s">
        <v>1062</v>
      </c>
      <c r="C324" s="28" t="s">
        <v>1063</v>
      </c>
      <c r="D324" s="101">
        <f>'Thống kê'!I340</f>
        <v>0</v>
      </c>
      <c r="F324" s="215">
        <f t="shared" si="2"/>
        <v>0</v>
      </c>
      <c r="G324" s="215">
        <f t="shared" si="3"/>
        <v>0</v>
      </c>
    </row>
    <row r="325" spans="1:7">
      <c r="A325" s="101">
        <v>339</v>
      </c>
      <c r="B325" s="28" t="s">
        <v>1064</v>
      </c>
      <c r="C325" s="28" t="s">
        <v>1065</v>
      </c>
      <c r="D325" s="101">
        <f>'Thống kê'!I341</f>
        <v>-1</v>
      </c>
      <c r="F325" s="215">
        <f t="shared" si="2"/>
        <v>0</v>
      </c>
      <c r="G325" s="215">
        <f t="shared" si="3"/>
        <v>0</v>
      </c>
    </row>
    <row r="326" spans="1:7">
      <c r="A326" s="101">
        <v>340</v>
      </c>
      <c r="B326" s="28" t="s">
        <v>1066</v>
      </c>
      <c r="C326" s="28" t="s">
        <v>1067</v>
      </c>
      <c r="D326" s="101">
        <f>'Thống kê'!I342</f>
        <v>-1</v>
      </c>
      <c r="F326" s="215">
        <f t="shared" si="2"/>
        <v>0</v>
      </c>
      <c r="G326" s="215">
        <f t="shared" si="3"/>
        <v>0</v>
      </c>
    </row>
    <row r="327" spans="1:7">
      <c r="A327" s="101">
        <v>341</v>
      </c>
      <c r="B327" s="28" t="s">
        <v>1068</v>
      </c>
      <c r="C327" s="28" t="s">
        <v>1069</v>
      </c>
      <c r="D327" s="101">
        <f>'Thống kê'!I343</f>
        <v>-1</v>
      </c>
      <c r="F327" s="215">
        <f t="shared" si="2"/>
        <v>0</v>
      </c>
      <c r="G327" s="215">
        <f t="shared" si="3"/>
        <v>0</v>
      </c>
    </row>
    <row r="328" spans="1:7">
      <c r="A328" s="101">
        <v>342</v>
      </c>
      <c r="B328" s="28" t="s">
        <v>1070</v>
      </c>
      <c r="C328" s="28" t="s">
        <v>1071</v>
      </c>
      <c r="D328" s="101">
        <f>'Thống kê'!I344</f>
        <v>-1</v>
      </c>
      <c r="F328" s="215">
        <f t="shared" si="2"/>
        <v>0</v>
      </c>
      <c r="G328" s="215">
        <f t="shared" si="3"/>
        <v>0</v>
      </c>
    </row>
    <row r="329" spans="1:7">
      <c r="A329" s="101">
        <v>343</v>
      </c>
      <c r="B329" s="28" t="s">
        <v>1072</v>
      </c>
      <c r="C329" s="28" t="s">
        <v>1073</v>
      </c>
      <c r="D329" s="101">
        <f>'Thống kê'!I345</f>
        <v>-1</v>
      </c>
      <c r="F329" s="215">
        <f t="shared" si="2"/>
        <v>0</v>
      </c>
      <c r="G329" s="215">
        <f t="shared" si="3"/>
        <v>0</v>
      </c>
    </row>
    <row r="330" spans="1:7">
      <c r="A330" s="101">
        <v>344</v>
      </c>
      <c r="B330" s="28" t="s">
        <v>1074</v>
      </c>
      <c r="C330" s="28" t="s">
        <v>1075</v>
      </c>
      <c r="D330" s="101">
        <f>'Thống kê'!I346</f>
        <v>0</v>
      </c>
      <c r="F330" s="215">
        <f t="shared" si="2"/>
        <v>0</v>
      </c>
      <c r="G330" s="215">
        <f t="shared" si="3"/>
        <v>0</v>
      </c>
    </row>
    <row r="331" spans="1:7">
      <c r="A331" s="101">
        <v>345</v>
      </c>
      <c r="B331" s="28" t="s">
        <v>1076</v>
      </c>
      <c r="C331" s="28" t="s">
        <v>1077</v>
      </c>
      <c r="D331" s="101">
        <f>'Thống kê'!I347</f>
        <v>0</v>
      </c>
      <c r="F331" s="215">
        <f t="shared" si="2"/>
        <v>0</v>
      </c>
      <c r="G331" s="215">
        <f t="shared" si="3"/>
        <v>0</v>
      </c>
    </row>
    <row r="332" spans="1:7">
      <c r="A332" s="101">
        <v>346</v>
      </c>
      <c r="B332" s="28" t="s">
        <v>1078</v>
      </c>
      <c r="C332" s="28" t="s">
        <v>1079</v>
      </c>
      <c r="D332" s="101">
        <f>'Thống kê'!I348</f>
        <v>0</v>
      </c>
      <c r="F332" s="215">
        <f t="shared" si="2"/>
        <v>0</v>
      </c>
      <c r="G332" s="215">
        <f t="shared" si="3"/>
        <v>0</v>
      </c>
    </row>
    <row r="333" spans="1:7">
      <c r="A333" s="101">
        <v>347</v>
      </c>
      <c r="B333" s="28" t="s">
        <v>1080</v>
      </c>
      <c r="C333" s="28" t="s">
        <v>1081</v>
      </c>
      <c r="D333" s="101">
        <f>'Thống kê'!I349</f>
        <v>0</v>
      </c>
      <c r="F333" s="215">
        <f t="shared" si="2"/>
        <v>0</v>
      </c>
      <c r="G333" s="215">
        <f t="shared" si="3"/>
        <v>0</v>
      </c>
    </row>
    <row r="334" spans="1:7">
      <c r="A334" s="101">
        <v>348</v>
      </c>
      <c r="B334" s="28" t="s">
        <v>1082</v>
      </c>
      <c r="C334" s="28" t="s">
        <v>1083</v>
      </c>
      <c r="D334" s="101">
        <f>'Thống kê'!I350</f>
        <v>0</v>
      </c>
      <c r="F334" s="215">
        <f t="shared" si="2"/>
        <v>0</v>
      </c>
      <c r="G334" s="215">
        <f t="shared" si="3"/>
        <v>0</v>
      </c>
    </row>
    <row r="335" spans="1:7">
      <c r="A335" s="101">
        <v>349</v>
      </c>
      <c r="B335" s="28" t="s">
        <v>1084</v>
      </c>
      <c r="C335" s="28" t="s">
        <v>1085</v>
      </c>
      <c r="D335" s="101">
        <f>'Thống kê'!I351</f>
        <v>-1</v>
      </c>
      <c r="F335" s="215">
        <f t="shared" si="2"/>
        <v>0</v>
      </c>
      <c r="G335" s="215">
        <f t="shared" si="3"/>
        <v>0</v>
      </c>
    </row>
    <row r="336" spans="1:7">
      <c r="A336" s="101">
        <v>350</v>
      </c>
      <c r="B336" s="28" t="s">
        <v>1086</v>
      </c>
      <c r="C336" s="28" t="s">
        <v>1087</v>
      </c>
      <c r="D336" s="101">
        <f>'Thống kê'!I352</f>
        <v>-1</v>
      </c>
      <c r="F336" s="215">
        <f t="shared" si="2"/>
        <v>0</v>
      </c>
      <c r="G336" s="215">
        <f t="shared" si="3"/>
        <v>0</v>
      </c>
    </row>
    <row r="337" spans="1:7">
      <c r="A337" s="101">
        <v>351</v>
      </c>
      <c r="B337" s="28" t="s">
        <v>1088</v>
      </c>
      <c r="C337" s="28" t="s">
        <v>1089</v>
      </c>
      <c r="D337" s="101">
        <f>'Thống kê'!I353</f>
        <v>-1</v>
      </c>
      <c r="F337" s="215">
        <f t="shared" si="2"/>
        <v>0</v>
      </c>
      <c r="G337" s="215">
        <f t="shared" si="3"/>
        <v>0</v>
      </c>
    </row>
    <row r="338" spans="1:7">
      <c r="A338" s="101">
        <v>352</v>
      </c>
      <c r="B338" s="28" t="s">
        <v>1090</v>
      </c>
      <c r="C338" s="28" t="s">
        <v>1091</v>
      </c>
      <c r="D338" s="101">
        <f>'Thống kê'!I354</f>
        <v>-1</v>
      </c>
      <c r="F338" s="215">
        <f t="shared" si="2"/>
        <v>0</v>
      </c>
      <c r="G338" s="215">
        <f t="shared" si="3"/>
        <v>0</v>
      </c>
    </row>
    <row r="339" spans="1:7">
      <c r="A339" s="101">
        <v>353</v>
      </c>
      <c r="B339" s="28" t="s">
        <v>1092</v>
      </c>
      <c r="C339" s="28" t="s">
        <v>1093</v>
      </c>
      <c r="D339" s="101">
        <f>'Thống kê'!I355</f>
        <v>-1</v>
      </c>
      <c r="F339" s="215">
        <f t="shared" si="2"/>
        <v>0</v>
      </c>
      <c r="G339" s="215">
        <f t="shared" si="3"/>
        <v>0</v>
      </c>
    </row>
    <row r="340" spans="1:7">
      <c r="A340" s="101">
        <v>354</v>
      </c>
      <c r="B340" s="28" t="s">
        <v>1094</v>
      </c>
      <c r="C340" s="28" t="s">
        <v>1095</v>
      </c>
      <c r="D340" s="101">
        <f>'Thống kê'!I356</f>
        <v>0</v>
      </c>
      <c r="F340" s="215">
        <f t="shared" si="2"/>
        <v>0</v>
      </c>
      <c r="G340" s="215">
        <f t="shared" si="3"/>
        <v>0</v>
      </c>
    </row>
    <row r="341" spans="1:7">
      <c r="A341" s="101">
        <v>355</v>
      </c>
      <c r="B341" s="28" t="s">
        <v>1096</v>
      </c>
      <c r="C341" s="28" t="s">
        <v>1097</v>
      </c>
      <c r="D341" s="101">
        <f>'Thống kê'!I357</f>
        <v>0</v>
      </c>
      <c r="F341" s="215">
        <f t="shared" si="2"/>
        <v>0</v>
      </c>
      <c r="G341" s="215">
        <f t="shared" si="3"/>
        <v>0</v>
      </c>
    </row>
    <row r="342" spans="1:7">
      <c r="A342" s="101">
        <v>356</v>
      </c>
      <c r="B342" s="28" t="s">
        <v>1098</v>
      </c>
      <c r="C342" s="28" t="s">
        <v>1099</v>
      </c>
      <c r="D342" s="101">
        <f>'Thống kê'!I358</f>
        <v>0</v>
      </c>
      <c r="F342" s="215">
        <f t="shared" si="2"/>
        <v>0</v>
      </c>
      <c r="G342" s="215">
        <f t="shared" si="3"/>
        <v>0</v>
      </c>
    </row>
    <row r="343" spans="1:7">
      <c r="A343" s="101">
        <v>357</v>
      </c>
      <c r="B343" s="28" t="s">
        <v>1100</v>
      </c>
      <c r="C343" s="28" t="s">
        <v>1101</v>
      </c>
      <c r="D343" s="101">
        <f>'Thống kê'!I359</f>
        <v>0</v>
      </c>
      <c r="F343" s="215">
        <f t="shared" si="2"/>
        <v>0</v>
      </c>
      <c r="G343" s="215">
        <f t="shared" si="3"/>
        <v>0</v>
      </c>
    </row>
    <row r="344" spans="1:7">
      <c r="A344" s="101">
        <v>358</v>
      </c>
      <c r="B344" s="28" t="s">
        <v>1102</v>
      </c>
      <c r="C344" s="28" t="s">
        <v>1103</v>
      </c>
      <c r="D344" s="101">
        <f>'Thống kê'!I360</f>
        <v>0</v>
      </c>
      <c r="F344" s="215">
        <f t="shared" si="2"/>
        <v>0</v>
      </c>
      <c r="G344" s="215">
        <f t="shared" si="3"/>
        <v>0</v>
      </c>
    </row>
    <row r="345" spans="1:7">
      <c r="A345" s="101">
        <v>359</v>
      </c>
      <c r="B345" s="28" t="s">
        <v>1104</v>
      </c>
      <c r="C345" s="28" t="s">
        <v>1105</v>
      </c>
      <c r="D345" s="101">
        <f>'Thống kê'!I361</f>
        <v>0</v>
      </c>
      <c r="F345" s="215">
        <f t="shared" si="2"/>
        <v>0</v>
      </c>
      <c r="G345" s="215">
        <f t="shared" si="3"/>
        <v>0</v>
      </c>
    </row>
    <row r="346" spans="1:7">
      <c r="A346" s="101">
        <v>360</v>
      </c>
      <c r="B346" s="28" t="s">
        <v>1106</v>
      </c>
      <c r="C346" s="28" t="s">
        <v>1107</v>
      </c>
      <c r="D346" s="101">
        <f>'Thống kê'!I362</f>
        <v>0</v>
      </c>
      <c r="F346" s="215">
        <f t="shared" si="2"/>
        <v>0</v>
      </c>
      <c r="G346" s="215">
        <f t="shared" si="3"/>
        <v>0</v>
      </c>
    </row>
    <row r="347" spans="1:7">
      <c r="A347" s="101">
        <v>361</v>
      </c>
      <c r="B347" s="28" t="s">
        <v>1108</v>
      </c>
      <c r="C347" s="28" t="s">
        <v>1099</v>
      </c>
      <c r="D347" s="101">
        <f>'Thống kê'!I363</f>
        <v>0</v>
      </c>
      <c r="F347" s="215">
        <f t="shared" si="2"/>
        <v>0</v>
      </c>
      <c r="G347" s="215">
        <f t="shared" si="3"/>
        <v>0</v>
      </c>
    </row>
    <row r="348" spans="1:7">
      <c r="A348" s="101">
        <v>362</v>
      </c>
      <c r="B348" s="28" t="s">
        <v>1109</v>
      </c>
      <c r="C348" s="28" t="s">
        <v>1110</v>
      </c>
      <c r="D348" s="101">
        <f>'Thống kê'!I364</f>
        <v>0</v>
      </c>
      <c r="F348" s="215">
        <f t="shared" si="2"/>
        <v>0</v>
      </c>
      <c r="G348" s="215">
        <f t="shared" si="3"/>
        <v>0</v>
      </c>
    </row>
    <row r="349" spans="1:7">
      <c r="A349" s="101">
        <v>363</v>
      </c>
      <c r="B349" s="28" t="s">
        <v>1111</v>
      </c>
      <c r="C349" s="28" t="s">
        <v>1112</v>
      </c>
      <c r="D349" s="101">
        <f>'Thống kê'!I365</f>
        <v>8</v>
      </c>
      <c r="F349" s="215">
        <f t="shared" si="2"/>
        <v>0</v>
      </c>
      <c r="G349" s="215">
        <f t="shared" si="3"/>
        <v>0</v>
      </c>
    </row>
    <row r="350" spans="1:7">
      <c r="A350" s="101">
        <v>364</v>
      </c>
      <c r="B350" s="28" t="s">
        <v>1113</v>
      </c>
      <c r="C350" s="28" t="s">
        <v>1114</v>
      </c>
      <c r="D350" s="101">
        <f>'Thống kê'!I366</f>
        <v>2</v>
      </c>
      <c r="F350" s="215">
        <f t="shared" si="2"/>
        <v>0</v>
      </c>
      <c r="G350" s="215">
        <f t="shared" si="3"/>
        <v>0</v>
      </c>
    </row>
    <row r="351" spans="1:7">
      <c r="A351" s="101">
        <v>365</v>
      </c>
      <c r="B351" s="28" t="s">
        <v>1115</v>
      </c>
      <c r="C351" s="28" t="s">
        <v>1116</v>
      </c>
      <c r="D351" s="101">
        <f>'Thống kê'!I367</f>
        <v>0</v>
      </c>
      <c r="F351" s="215">
        <f t="shared" si="2"/>
        <v>0</v>
      </c>
      <c r="G351" s="215">
        <f t="shared" si="3"/>
        <v>0</v>
      </c>
    </row>
    <row r="352" spans="1:7">
      <c r="A352" s="101">
        <v>366</v>
      </c>
      <c r="B352" s="28" t="s">
        <v>1117</v>
      </c>
      <c r="C352" s="28" t="s">
        <v>1118</v>
      </c>
      <c r="D352" s="101">
        <f>'Thống kê'!I368</f>
        <v>1</v>
      </c>
      <c r="F352" s="215">
        <f t="shared" si="2"/>
        <v>0</v>
      </c>
      <c r="G352" s="215">
        <f t="shared" si="3"/>
        <v>0</v>
      </c>
    </row>
    <row r="353" spans="1:7">
      <c r="A353" s="101">
        <v>367</v>
      </c>
      <c r="B353" s="28" t="s">
        <v>1119</v>
      </c>
      <c r="C353" s="28" t="s">
        <v>1120</v>
      </c>
      <c r="D353" s="101">
        <f>'Thống kê'!I369</f>
        <v>2</v>
      </c>
      <c r="F353" s="215">
        <f t="shared" si="2"/>
        <v>0</v>
      </c>
      <c r="G353" s="215">
        <f t="shared" si="3"/>
        <v>0</v>
      </c>
    </row>
    <row r="354" spans="1:7">
      <c r="A354" s="101">
        <v>368</v>
      </c>
      <c r="B354" s="28" t="s">
        <v>1121</v>
      </c>
      <c r="C354" s="28" t="s">
        <v>1122</v>
      </c>
      <c r="D354" s="101">
        <f>'Thống kê'!I370</f>
        <v>0</v>
      </c>
      <c r="F354" s="215">
        <f t="shared" si="2"/>
        <v>0</v>
      </c>
      <c r="G354" s="215">
        <f t="shared" si="3"/>
        <v>0</v>
      </c>
    </row>
    <row r="355" spans="1:7">
      <c r="A355" s="101">
        <v>369</v>
      </c>
      <c r="B355" s="28" t="s">
        <v>1123</v>
      </c>
      <c r="C355" s="28" t="s">
        <v>1124</v>
      </c>
      <c r="D355" s="101">
        <f>'Thống kê'!I371</f>
        <v>-2</v>
      </c>
      <c r="F355" s="215">
        <f t="shared" si="2"/>
        <v>0</v>
      </c>
      <c r="G355" s="215">
        <f t="shared" si="3"/>
        <v>0</v>
      </c>
    </row>
    <row r="356" spans="1:7">
      <c r="A356" s="101">
        <v>370</v>
      </c>
      <c r="B356" s="28" t="s">
        <v>1125</v>
      </c>
      <c r="C356" s="28" t="s">
        <v>1126</v>
      </c>
      <c r="D356" s="101">
        <f>'Thống kê'!I372</f>
        <v>0</v>
      </c>
      <c r="F356" s="215">
        <f t="shared" si="2"/>
        <v>0</v>
      </c>
      <c r="G356" s="215">
        <f t="shared" si="3"/>
        <v>0</v>
      </c>
    </row>
    <row r="357" spans="1:7">
      <c r="A357" s="101">
        <v>371</v>
      </c>
      <c r="B357" s="28" t="s">
        <v>1127</v>
      </c>
      <c r="C357" s="28" t="s">
        <v>1128</v>
      </c>
      <c r="D357" s="101">
        <f>'Thống kê'!I373</f>
        <v>1</v>
      </c>
      <c r="F357" s="215">
        <f t="shared" si="2"/>
        <v>0</v>
      </c>
      <c r="G357" s="215">
        <f t="shared" si="3"/>
        <v>0</v>
      </c>
    </row>
    <row r="358" spans="1:7">
      <c r="A358" s="101">
        <v>372</v>
      </c>
      <c r="B358" s="28" t="s">
        <v>1129</v>
      </c>
      <c r="C358" s="28" t="s">
        <v>1130</v>
      </c>
      <c r="D358" s="101">
        <f>'Thống kê'!I374</f>
        <v>0</v>
      </c>
      <c r="F358" s="215">
        <f t="shared" si="2"/>
        <v>0</v>
      </c>
      <c r="G358" s="215">
        <f t="shared" si="3"/>
        <v>0</v>
      </c>
    </row>
    <row r="359" spans="1:7">
      <c r="A359" s="101">
        <v>373</v>
      </c>
      <c r="B359" s="28" t="s">
        <v>1131</v>
      </c>
      <c r="C359" s="28" t="s">
        <v>1132</v>
      </c>
      <c r="D359" s="101">
        <f>'Thống kê'!I375</f>
        <v>0</v>
      </c>
      <c r="F359" s="215">
        <f t="shared" si="2"/>
        <v>0</v>
      </c>
      <c r="G359" s="215">
        <f t="shared" si="3"/>
        <v>0</v>
      </c>
    </row>
    <row r="360" spans="1:7">
      <c r="A360" s="101">
        <v>374</v>
      </c>
      <c r="B360" s="28" t="s">
        <v>1133</v>
      </c>
      <c r="C360" s="28" t="s">
        <v>1134</v>
      </c>
      <c r="D360" s="101">
        <f>'Thống kê'!I376</f>
        <v>0</v>
      </c>
      <c r="F360" s="215">
        <f t="shared" si="2"/>
        <v>0</v>
      </c>
      <c r="G360" s="215">
        <f t="shared" si="3"/>
        <v>0</v>
      </c>
    </row>
    <row r="361" spans="1:7">
      <c r="A361" s="101">
        <v>375</v>
      </c>
      <c r="B361" s="28" t="s">
        <v>1135</v>
      </c>
      <c r="C361" s="28" t="s">
        <v>1136</v>
      </c>
      <c r="D361" s="101">
        <f>'Thống kê'!I377</f>
        <v>0</v>
      </c>
      <c r="F361" s="215">
        <f t="shared" si="2"/>
        <v>0</v>
      </c>
      <c r="G361" s="215">
        <f t="shared" si="3"/>
        <v>0</v>
      </c>
    </row>
    <row r="362" spans="1:7">
      <c r="A362" s="101">
        <v>376</v>
      </c>
      <c r="B362" s="28" t="s">
        <v>1137</v>
      </c>
      <c r="C362" s="28" t="s">
        <v>1138</v>
      </c>
      <c r="D362" s="101">
        <f>'Thống kê'!I378</f>
        <v>1</v>
      </c>
      <c r="F362" s="215">
        <f t="shared" si="2"/>
        <v>0</v>
      </c>
      <c r="G362" s="215">
        <f t="shared" si="3"/>
        <v>0</v>
      </c>
    </row>
    <row r="363" spans="1:7">
      <c r="A363" s="101">
        <v>377</v>
      </c>
      <c r="B363" s="28" t="s">
        <v>1139</v>
      </c>
      <c r="C363" s="28" t="s">
        <v>1140</v>
      </c>
      <c r="D363" s="101">
        <f>'Thống kê'!I379</f>
        <v>0</v>
      </c>
      <c r="F363" s="215">
        <f t="shared" si="2"/>
        <v>0</v>
      </c>
      <c r="G363" s="215">
        <f t="shared" si="3"/>
        <v>0</v>
      </c>
    </row>
    <row r="364" spans="1:7">
      <c r="A364" s="101">
        <v>378</v>
      </c>
      <c r="B364" s="28" t="s">
        <v>1141</v>
      </c>
      <c r="C364" s="28" t="s">
        <v>1142</v>
      </c>
      <c r="D364" s="101">
        <f>'Thống kê'!I380</f>
        <v>0</v>
      </c>
      <c r="F364" s="215">
        <f t="shared" si="2"/>
        <v>0</v>
      </c>
      <c r="G364" s="215">
        <f t="shared" si="3"/>
        <v>0</v>
      </c>
    </row>
    <row r="365" spans="1:7">
      <c r="A365" s="101">
        <v>379</v>
      </c>
      <c r="B365" s="28" t="s">
        <v>1143</v>
      </c>
      <c r="C365" s="28" t="s">
        <v>1144</v>
      </c>
      <c r="D365" s="101">
        <f>'Thống kê'!I381</f>
        <v>1</v>
      </c>
      <c r="F365" s="215">
        <f t="shared" si="2"/>
        <v>0</v>
      </c>
      <c r="G365" s="215">
        <f t="shared" si="3"/>
        <v>0</v>
      </c>
    </row>
    <row r="366" spans="1:7">
      <c r="A366" s="101">
        <v>380</v>
      </c>
      <c r="B366" s="28" t="s">
        <v>1145</v>
      </c>
      <c r="C366" s="28" t="s">
        <v>1146</v>
      </c>
      <c r="D366" s="101">
        <f>'Thống kê'!I382</f>
        <v>0</v>
      </c>
      <c r="F366" s="215">
        <f t="shared" si="2"/>
        <v>0</v>
      </c>
      <c r="G366" s="215">
        <f t="shared" si="3"/>
        <v>0</v>
      </c>
    </row>
    <row r="367" spans="1:7">
      <c r="A367" s="101">
        <v>381</v>
      </c>
      <c r="B367" s="28" t="s">
        <v>1147</v>
      </c>
      <c r="C367" s="28" t="s">
        <v>1148</v>
      </c>
      <c r="D367" s="101">
        <f>'Thống kê'!I383</f>
        <v>0</v>
      </c>
      <c r="F367" s="215">
        <f t="shared" si="2"/>
        <v>0</v>
      </c>
      <c r="G367" s="215">
        <f t="shared" si="3"/>
        <v>0</v>
      </c>
    </row>
    <row r="368" spans="1:7">
      <c r="A368" s="101">
        <v>382</v>
      </c>
      <c r="B368" s="28" t="s">
        <v>1149</v>
      </c>
      <c r="C368" s="28" t="s">
        <v>1150</v>
      </c>
      <c r="D368" s="101">
        <f>'Thống kê'!I384</f>
        <v>0</v>
      </c>
      <c r="F368" s="215">
        <f t="shared" si="2"/>
        <v>0</v>
      </c>
      <c r="G368" s="215">
        <f t="shared" si="3"/>
        <v>0</v>
      </c>
    </row>
    <row r="369" spans="1:7">
      <c r="A369" s="101">
        <v>383</v>
      </c>
      <c r="B369" s="28" t="s">
        <v>1151</v>
      </c>
      <c r="C369" s="28" t="s">
        <v>1152</v>
      </c>
      <c r="D369" s="101">
        <f>'Thống kê'!I385</f>
        <v>2</v>
      </c>
      <c r="F369" s="215">
        <f t="shared" si="2"/>
        <v>0</v>
      </c>
      <c r="G369" s="215">
        <f t="shared" si="3"/>
        <v>0</v>
      </c>
    </row>
    <row r="370" spans="1:7">
      <c r="A370" s="101">
        <v>384</v>
      </c>
      <c r="B370" s="28" t="s">
        <v>1153</v>
      </c>
      <c r="C370" s="28" t="s">
        <v>1154</v>
      </c>
      <c r="D370" s="101">
        <f>'Thống kê'!I386</f>
        <v>1</v>
      </c>
      <c r="F370" s="215">
        <f t="shared" si="2"/>
        <v>0</v>
      </c>
      <c r="G370" s="215">
        <f t="shared" si="3"/>
        <v>0</v>
      </c>
    </row>
    <row r="371" spans="1:7">
      <c r="A371" s="101">
        <v>385</v>
      </c>
      <c r="B371" s="28" t="s">
        <v>1155</v>
      </c>
      <c r="C371" s="28" t="s">
        <v>1156</v>
      </c>
      <c r="D371" s="101">
        <f>'Thống kê'!I387</f>
        <v>7</v>
      </c>
      <c r="F371" s="215">
        <f t="shared" si="2"/>
        <v>0</v>
      </c>
      <c r="G371" s="215">
        <f t="shared" si="3"/>
        <v>0</v>
      </c>
    </row>
    <row r="372" spans="1:7">
      <c r="A372" s="101">
        <v>386</v>
      </c>
      <c r="B372" s="28" t="s">
        <v>1157</v>
      </c>
      <c r="C372" s="28" t="s">
        <v>1158</v>
      </c>
      <c r="D372" s="101">
        <f>'Thống kê'!I388</f>
        <v>0</v>
      </c>
      <c r="F372" s="215">
        <f t="shared" si="2"/>
        <v>0</v>
      </c>
      <c r="G372" s="215">
        <f t="shared" si="3"/>
        <v>0</v>
      </c>
    </row>
    <row r="373" spans="1:7">
      <c r="A373" s="101">
        <v>387</v>
      </c>
      <c r="B373" s="28" t="s">
        <v>1159</v>
      </c>
      <c r="C373" s="28" t="s">
        <v>1160</v>
      </c>
      <c r="D373" s="101">
        <f>'Thống kê'!I389</f>
        <v>13</v>
      </c>
      <c r="F373" s="215">
        <f t="shared" si="2"/>
        <v>0</v>
      </c>
      <c r="G373" s="215">
        <f t="shared" si="3"/>
        <v>0</v>
      </c>
    </row>
    <row r="374" spans="1:7">
      <c r="A374" s="101">
        <v>388</v>
      </c>
      <c r="B374" s="28" t="s">
        <v>1161</v>
      </c>
      <c r="C374" s="28" t="s">
        <v>1162</v>
      </c>
      <c r="D374" s="101">
        <f>'Thống kê'!I390</f>
        <v>16</v>
      </c>
      <c r="F374" s="215">
        <f t="shared" si="2"/>
        <v>0</v>
      </c>
      <c r="G374" s="215">
        <f t="shared" si="3"/>
        <v>0</v>
      </c>
    </row>
    <row r="375" spans="1:7">
      <c r="A375" s="101">
        <v>389</v>
      </c>
      <c r="B375" s="28" t="s">
        <v>1163</v>
      </c>
      <c r="C375" s="28" t="s">
        <v>1164</v>
      </c>
      <c r="D375" s="101">
        <f>'Thống kê'!I391</f>
        <v>14</v>
      </c>
      <c r="F375" s="215">
        <f t="shared" si="2"/>
        <v>0</v>
      </c>
      <c r="G375" s="215">
        <f t="shared" si="3"/>
        <v>0</v>
      </c>
    </row>
    <row r="376" spans="1:7">
      <c r="A376" s="101">
        <v>390</v>
      </c>
      <c r="B376" s="28" t="s">
        <v>1165</v>
      </c>
      <c r="C376" s="28" t="s">
        <v>1166</v>
      </c>
      <c r="D376" s="101">
        <f>'Thống kê'!I392</f>
        <v>12</v>
      </c>
      <c r="F376" s="215">
        <f t="shared" si="2"/>
        <v>0</v>
      </c>
      <c r="G376" s="215">
        <f t="shared" si="3"/>
        <v>0</v>
      </c>
    </row>
    <row r="377" spans="1:7">
      <c r="A377" s="101">
        <v>391</v>
      </c>
      <c r="B377" s="28" t="s">
        <v>1167</v>
      </c>
      <c r="C377" s="28" t="s">
        <v>1168</v>
      </c>
      <c r="D377" s="101">
        <f>'Thống kê'!I393</f>
        <v>10</v>
      </c>
      <c r="F377" s="215">
        <f t="shared" si="2"/>
        <v>0</v>
      </c>
      <c r="G377" s="215">
        <f t="shared" si="3"/>
        <v>0</v>
      </c>
    </row>
    <row r="378" spans="1:7">
      <c r="A378" s="101">
        <v>392</v>
      </c>
      <c r="B378" s="28" t="s">
        <v>1169</v>
      </c>
      <c r="C378" s="28" t="s">
        <v>1170</v>
      </c>
      <c r="D378" s="101">
        <f>'Thống kê'!I394</f>
        <v>12</v>
      </c>
      <c r="F378" s="215">
        <f t="shared" si="2"/>
        <v>0</v>
      </c>
      <c r="G378" s="215">
        <f t="shared" si="3"/>
        <v>0</v>
      </c>
    </row>
    <row r="379" spans="1:7">
      <c r="A379" s="101">
        <v>393</v>
      </c>
      <c r="B379" s="28" t="s">
        <v>1171</v>
      </c>
      <c r="C379" s="28" t="s">
        <v>1172</v>
      </c>
      <c r="D379" s="101">
        <f>'Thống kê'!I395</f>
        <v>14</v>
      </c>
      <c r="F379" s="215">
        <f t="shared" si="2"/>
        <v>0</v>
      </c>
      <c r="G379" s="215">
        <f t="shared" si="3"/>
        <v>0</v>
      </c>
    </row>
    <row r="380" spans="1:7">
      <c r="A380" s="101">
        <v>394</v>
      </c>
      <c r="B380" s="28" t="s">
        <v>1173</v>
      </c>
      <c r="C380" s="28" t="s">
        <v>1174</v>
      </c>
      <c r="D380" s="101">
        <f>'Thống kê'!I396</f>
        <v>19</v>
      </c>
      <c r="F380" s="215">
        <f t="shared" si="2"/>
        <v>0</v>
      </c>
      <c r="G380" s="215">
        <f t="shared" si="3"/>
        <v>0</v>
      </c>
    </row>
    <row r="381" spans="1:7">
      <c r="A381" s="101">
        <v>395</v>
      </c>
      <c r="B381" s="28" t="s">
        <v>1175</v>
      </c>
      <c r="C381" s="28" t="s">
        <v>1176</v>
      </c>
      <c r="D381" s="101">
        <f>'Thống kê'!I397</f>
        <v>13</v>
      </c>
      <c r="F381" s="215">
        <f t="shared" si="2"/>
        <v>0</v>
      </c>
      <c r="G381" s="215">
        <f t="shared" si="3"/>
        <v>0</v>
      </c>
    </row>
    <row r="382" spans="1:7">
      <c r="A382" s="101">
        <v>396</v>
      </c>
      <c r="B382" s="28" t="s">
        <v>1177</v>
      </c>
      <c r="C382" s="28" t="s">
        <v>1178</v>
      </c>
      <c r="D382" s="101">
        <f>'Thống kê'!I398</f>
        <v>10</v>
      </c>
      <c r="F382" s="215">
        <f t="shared" si="2"/>
        <v>0</v>
      </c>
      <c r="G382" s="215">
        <f t="shared" si="3"/>
        <v>0</v>
      </c>
    </row>
    <row r="383" spans="1:7">
      <c r="A383" s="101">
        <v>397</v>
      </c>
      <c r="B383" s="28" t="s">
        <v>1179</v>
      </c>
      <c r="C383" s="28" t="s">
        <v>1180</v>
      </c>
      <c r="D383" s="101">
        <f>'Thống kê'!I399</f>
        <v>17</v>
      </c>
      <c r="F383" s="215">
        <f t="shared" si="2"/>
        <v>0</v>
      </c>
      <c r="G383" s="215">
        <f t="shared" si="3"/>
        <v>0</v>
      </c>
    </row>
    <row r="384" spans="1:7">
      <c r="A384" s="101">
        <v>398</v>
      </c>
      <c r="B384" s="128" t="s">
        <v>1181</v>
      </c>
      <c r="C384" s="129" t="s">
        <v>1182</v>
      </c>
      <c r="D384" s="101">
        <f>'Thống kê'!I400</f>
        <v>24</v>
      </c>
      <c r="F384" s="215">
        <f t="shared" si="2"/>
        <v>0</v>
      </c>
      <c r="G384" s="215">
        <f t="shared" si="3"/>
        <v>0</v>
      </c>
    </row>
    <row r="385" spans="1:7">
      <c r="A385" s="101">
        <v>399</v>
      </c>
      <c r="B385" s="130" t="s">
        <v>1183</v>
      </c>
      <c r="C385" s="131" t="s">
        <v>1184</v>
      </c>
      <c r="D385" s="101">
        <f>'Thống kê'!I401</f>
        <v>47</v>
      </c>
      <c r="F385" s="215">
        <f t="shared" si="2"/>
        <v>0</v>
      </c>
      <c r="G385" s="215">
        <f t="shared" si="3"/>
        <v>0</v>
      </c>
    </row>
    <row r="386" spans="1:7">
      <c r="A386" s="101">
        <v>400</v>
      </c>
      <c r="B386" s="28" t="s">
        <v>1185</v>
      </c>
      <c r="C386" s="28" t="s">
        <v>1186</v>
      </c>
      <c r="D386" s="101">
        <f>'Thống kê'!I402</f>
        <v>5</v>
      </c>
      <c r="F386" s="215">
        <f t="shared" si="2"/>
        <v>0</v>
      </c>
      <c r="G386" s="215">
        <f t="shared" si="3"/>
        <v>0</v>
      </c>
    </row>
    <row r="387" spans="1:7">
      <c r="A387" s="101">
        <v>401</v>
      </c>
      <c r="B387" s="28" t="s">
        <v>1187</v>
      </c>
      <c r="C387" s="28" t="s">
        <v>1188</v>
      </c>
      <c r="D387" s="101">
        <f>'Thống kê'!I403</f>
        <v>3</v>
      </c>
      <c r="F387" s="215">
        <f t="shared" si="2"/>
        <v>0</v>
      </c>
      <c r="G387" s="215">
        <f t="shared" si="3"/>
        <v>0</v>
      </c>
    </row>
    <row r="388" spans="1:7">
      <c r="A388" s="101">
        <v>402</v>
      </c>
      <c r="B388" s="28" t="s">
        <v>1189</v>
      </c>
      <c r="C388" s="28" t="s">
        <v>1190</v>
      </c>
      <c r="D388" s="101">
        <f>'Thống kê'!I404</f>
        <v>4</v>
      </c>
      <c r="F388" s="215">
        <f t="shared" si="2"/>
        <v>0</v>
      </c>
      <c r="G388" s="215">
        <f t="shared" si="3"/>
        <v>0</v>
      </c>
    </row>
    <row r="389" spans="1:7">
      <c r="A389" s="101">
        <v>403</v>
      </c>
      <c r="B389" s="28" t="s">
        <v>1191</v>
      </c>
      <c r="C389" s="28" t="s">
        <v>1192</v>
      </c>
      <c r="D389" s="101">
        <f>'Thống kê'!I405</f>
        <v>11</v>
      </c>
      <c r="F389" s="215">
        <f t="shared" si="2"/>
        <v>0</v>
      </c>
      <c r="G389" s="215">
        <f t="shared" si="3"/>
        <v>0</v>
      </c>
    </row>
    <row r="390" spans="1:7">
      <c r="A390" s="101">
        <v>404</v>
      </c>
      <c r="B390" s="28" t="s">
        <v>1193</v>
      </c>
      <c r="C390" s="28" t="s">
        <v>1194</v>
      </c>
      <c r="D390" s="101">
        <f>'Thống kê'!I406</f>
        <v>4</v>
      </c>
      <c r="F390" s="215">
        <f t="shared" si="2"/>
        <v>0</v>
      </c>
      <c r="G390" s="215">
        <f t="shared" si="3"/>
        <v>0</v>
      </c>
    </row>
    <row r="391" spans="1:7">
      <c r="A391" s="101">
        <v>405</v>
      </c>
      <c r="B391" s="28" t="s">
        <v>1195</v>
      </c>
      <c r="C391" s="28" t="s">
        <v>425</v>
      </c>
      <c r="D391" s="101">
        <f>'Thống kê'!I407</f>
        <v>3</v>
      </c>
      <c r="E391" s="16">
        <v>8</v>
      </c>
      <c r="F391" s="215">
        <f t="shared" si="2"/>
        <v>28800</v>
      </c>
      <c r="G391" s="215">
        <f t="shared" si="3"/>
        <v>86400</v>
      </c>
    </row>
    <row r="392" spans="1:7">
      <c r="A392" s="101">
        <v>406</v>
      </c>
      <c r="B392" s="28" t="s">
        <v>1196</v>
      </c>
      <c r="C392" s="28" t="s">
        <v>1197</v>
      </c>
      <c r="D392" s="101">
        <f>'Thống kê'!I408</f>
        <v>3</v>
      </c>
      <c r="E392" s="16">
        <v>8</v>
      </c>
      <c r="F392" s="215">
        <f t="shared" si="2"/>
        <v>28800</v>
      </c>
      <c r="G392" s="215">
        <f t="shared" si="3"/>
        <v>86400</v>
      </c>
    </row>
    <row r="393" spans="1:7">
      <c r="A393" s="101">
        <v>407</v>
      </c>
      <c r="B393" s="28" t="s">
        <v>1198</v>
      </c>
      <c r="C393" s="28" t="s">
        <v>1199</v>
      </c>
      <c r="D393" s="101">
        <f>'Thống kê'!I409</f>
        <v>5</v>
      </c>
      <c r="E393" s="16">
        <v>8</v>
      </c>
      <c r="F393" s="215">
        <f t="shared" si="2"/>
        <v>28800</v>
      </c>
      <c r="G393" s="215">
        <f t="shared" si="3"/>
        <v>144000</v>
      </c>
    </row>
    <row r="394" spans="1:7">
      <c r="A394" s="101">
        <v>408</v>
      </c>
      <c r="B394" s="28" t="s">
        <v>1200</v>
      </c>
      <c r="C394" s="28" t="s">
        <v>423</v>
      </c>
      <c r="D394" s="101">
        <f>'Thống kê'!I410</f>
        <v>2</v>
      </c>
      <c r="E394" s="16">
        <v>8</v>
      </c>
      <c r="F394" s="215">
        <f t="shared" si="2"/>
        <v>28800</v>
      </c>
      <c r="G394" s="215">
        <f t="shared" si="3"/>
        <v>57600</v>
      </c>
    </row>
    <row r="395" spans="1:7">
      <c r="A395" s="101">
        <v>409</v>
      </c>
      <c r="B395" s="28" t="s">
        <v>1201</v>
      </c>
      <c r="C395" s="28" t="s">
        <v>1202</v>
      </c>
      <c r="D395" s="101">
        <f>'Thống kê'!I411</f>
        <v>1</v>
      </c>
      <c r="E395" s="16">
        <v>8</v>
      </c>
      <c r="F395" s="215">
        <f t="shared" si="2"/>
        <v>28800</v>
      </c>
      <c r="G395" s="215">
        <f t="shared" si="3"/>
        <v>28800</v>
      </c>
    </row>
    <row r="396" spans="1:7">
      <c r="A396" s="101">
        <v>410</v>
      </c>
      <c r="B396" s="28" t="s">
        <v>1203</v>
      </c>
      <c r="C396" s="28" t="s">
        <v>427</v>
      </c>
      <c r="D396" s="101">
        <f>'Thống kê'!I412</f>
        <v>-1</v>
      </c>
      <c r="E396" s="16">
        <v>8</v>
      </c>
      <c r="F396" s="215">
        <f t="shared" si="2"/>
        <v>28800</v>
      </c>
      <c r="G396" s="215">
        <f t="shared" si="3"/>
        <v>-28800</v>
      </c>
    </row>
    <row r="397" spans="1:7">
      <c r="A397" s="101">
        <v>411</v>
      </c>
      <c r="B397" s="28" t="s">
        <v>1204</v>
      </c>
      <c r="C397" s="28" t="s">
        <v>1205</v>
      </c>
      <c r="D397" s="101">
        <f>'Thống kê'!I413</f>
        <v>5</v>
      </c>
      <c r="E397" s="16">
        <v>8</v>
      </c>
      <c r="F397" s="215">
        <f t="shared" si="2"/>
        <v>28800</v>
      </c>
      <c r="G397" s="215">
        <f t="shared" si="3"/>
        <v>144000</v>
      </c>
    </row>
    <row r="398" spans="1:7">
      <c r="A398" s="101">
        <v>412</v>
      </c>
      <c r="B398" s="16" t="s">
        <v>1206</v>
      </c>
      <c r="C398" s="16" t="s">
        <v>1207</v>
      </c>
      <c r="D398" s="101">
        <f>'Thống kê'!I414</f>
        <v>15</v>
      </c>
      <c r="E398" s="16">
        <v>5</v>
      </c>
      <c r="F398" s="215">
        <f t="shared" si="2"/>
        <v>18000</v>
      </c>
      <c r="G398" s="215">
        <f t="shared" si="3"/>
        <v>270000</v>
      </c>
    </row>
    <row r="399" spans="1:7">
      <c r="A399" s="101">
        <v>413</v>
      </c>
      <c r="B399" s="16" t="s">
        <v>1208</v>
      </c>
      <c r="C399" s="16" t="s">
        <v>1209</v>
      </c>
      <c r="D399" s="101">
        <f>'Thống kê'!I415</f>
        <v>2</v>
      </c>
      <c r="E399" s="16">
        <v>5</v>
      </c>
      <c r="F399" s="215">
        <f t="shared" si="2"/>
        <v>18000</v>
      </c>
      <c r="G399" s="215">
        <f t="shared" si="3"/>
        <v>36000</v>
      </c>
    </row>
    <row r="400" spans="1:7">
      <c r="A400" s="101">
        <v>414</v>
      </c>
      <c r="B400" s="16" t="s">
        <v>1210</v>
      </c>
      <c r="C400" s="16" t="s">
        <v>1211</v>
      </c>
      <c r="D400" s="101">
        <f>'Thống kê'!I416</f>
        <v>3</v>
      </c>
      <c r="F400" s="215">
        <f t="shared" si="2"/>
        <v>0</v>
      </c>
      <c r="G400" s="215">
        <f t="shared" si="3"/>
        <v>0</v>
      </c>
    </row>
    <row r="401" spans="1:7">
      <c r="A401" s="101">
        <v>415</v>
      </c>
      <c r="B401" s="16" t="s">
        <v>116</v>
      </c>
      <c r="C401" s="16" t="s">
        <v>1212</v>
      </c>
      <c r="D401" s="101">
        <f>'Thống kê'!I417</f>
        <v>7</v>
      </c>
      <c r="F401" s="215">
        <f t="shared" si="2"/>
        <v>0</v>
      </c>
      <c r="G401" s="215">
        <f t="shared" si="3"/>
        <v>0</v>
      </c>
    </row>
    <row r="402" spans="1:7">
      <c r="A402" s="101">
        <v>416</v>
      </c>
      <c r="B402" s="16" t="s">
        <v>1213</v>
      </c>
      <c r="C402" s="28" t="s">
        <v>1214</v>
      </c>
      <c r="D402" s="101">
        <f>'Thống kê'!I418</f>
        <v>1</v>
      </c>
      <c r="F402" s="215">
        <f t="shared" si="2"/>
        <v>0</v>
      </c>
      <c r="G402" s="215">
        <f t="shared" si="3"/>
        <v>0</v>
      </c>
    </row>
    <row r="403" spans="1:7">
      <c r="A403" s="101">
        <v>417</v>
      </c>
      <c r="B403" s="16" t="s">
        <v>1215</v>
      </c>
      <c r="C403" s="28" t="s">
        <v>1214</v>
      </c>
      <c r="D403" s="101">
        <f>'Thống kê'!I419</f>
        <v>4</v>
      </c>
      <c r="F403" s="215">
        <f t="shared" si="2"/>
        <v>0</v>
      </c>
      <c r="G403" s="215">
        <f t="shared" si="3"/>
        <v>0</v>
      </c>
    </row>
    <row r="404" spans="1:7">
      <c r="A404" s="101">
        <v>418</v>
      </c>
      <c r="B404" s="16" t="s">
        <v>1216</v>
      </c>
      <c r="C404" s="28" t="s">
        <v>1214</v>
      </c>
      <c r="D404" s="101">
        <f>'Thống kê'!I420</f>
        <v>0</v>
      </c>
      <c r="F404" s="215">
        <f t="shared" si="2"/>
        <v>0</v>
      </c>
      <c r="G404" s="215">
        <f t="shared" si="3"/>
        <v>0</v>
      </c>
    </row>
    <row r="405" spans="1:7">
      <c r="A405" s="101">
        <v>419</v>
      </c>
      <c r="B405" s="16" t="s">
        <v>1217</v>
      </c>
      <c r="C405" s="28" t="s">
        <v>1214</v>
      </c>
      <c r="D405" s="101">
        <f>'Thống kê'!I421</f>
        <v>0</v>
      </c>
      <c r="F405" s="215">
        <f t="shared" si="2"/>
        <v>0</v>
      </c>
      <c r="G405" s="215">
        <f t="shared" si="3"/>
        <v>0</v>
      </c>
    </row>
    <row r="406" spans="1:7">
      <c r="A406" s="101">
        <v>420</v>
      </c>
      <c r="B406" s="16" t="s">
        <v>1218</v>
      </c>
      <c r="C406" s="16" t="s">
        <v>1219</v>
      </c>
      <c r="D406" s="101">
        <f>'Thống kê'!I422</f>
        <v>1</v>
      </c>
      <c r="E406" s="16">
        <v>5</v>
      </c>
      <c r="F406" s="215">
        <f t="shared" si="2"/>
        <v>18000</v>
      </c>
      <c r="G406" s="215">
        <f t="shared" si="3"/>
        <v>18000</v>
      </c>
    </row>
    <row r="407" spans="1:7">
      <c r="A407" s="101">
        <v>421</v>
      </c>
      <c r="B407" s="16" t="s">
        <v>1220</v>
      </c>
      <c r="C407" s="16" t="s">
        <v>1221</v>
      </c>
      <c r="D407" s="101">
        <f>'Thống kê'!I423</f>
        <v>6</v>
      </c>
      <c r="E407" s="16">
        <v>5</v>
      </c>
      <c r="F407" s="215">
        <f t="shared" si="2"/>
        <v>18000</v>
      </c>
      <c r="G407" s="215">
        <f t="shared" si="3"/>
        <v>108000</v>
      </c>
    </row>
    <row r="408" spans="1:7">
      <c r="A408" s="101">
        <v>422</v>
      </c>
      <c r="B408" s="16" t="s">
        <v>1222</v>
      </c>
      <c r="C408" s="16" t="s">
        <v>1223</v>
      </c>
      <c r="D408" s="101">
        <f>'Thống kê'!I424</f>
        <v>0</v>
      </c>
      <c r="E408" s="16">
        <v>5</v>
      </c>
      <c r="F408" s="215">
        <f t="shared" si="2"/>
        <v>18000</v>
      </c>
      <c r="G408" s="215">
        <f t="shared" si="3"/>
        <v>0</v>
      </c>
    </row>
    <row r="409" spans="1:7">
      <c r="A409" s="101">
        <v>423</v>
      </c>
      <c r="B409" s="16" t="s">
        <v>1224</v>
      </c>
      <c r="C409" s="16" t="s">
        <v>1225</v>
      </c>
      <c r="D409" s="101">
        <f>'Thống kê'!I425</f>
        <v>13</v>
      </c>
      <c r="E409" s="16">
        <v>5</v>
      </c>
      <c r="F409" s="215">
        <f t="shared" si="2"/>
        <v>18000</v>
      </c>
      <c r="G409" s="215">
        <f t="shared" si="3"/>
        <v>234000</v>
      </c>
    </row>
    <row r="410" spans="1:7">
      <c r="A410" s="101">
        <v>424</v>
      </c>
      <c r="B410" s="16" t="s">
        <v>1226</v>
      </c>
      <c r="C410" s="16" t="s">
        <v>1227</v>
      </c>
      <c r="D410" s="101">
        <f>'Thống kê'!I426</f>
        <v>0</v>
      </c>
      <c r="E410" s="16">
        <v>5</v>
      </c>
      <c r="F410" s="215">
        <f t="shared" si="2"/>
        <v>18000</v>
      </c>
      <c r="G410" s="215">
        <f t="shared" si="3"/>
        <v>0</v>
      </c>
    </row>
    <row r="411" spans="1:7">
      <c r="A411" s="101">
        <v>425</v>
      </c>
      <c r="B411" s="16" t="s">
        <v>1228</v>
      </c>
      <c r="C411" s="16" t="s">
        <v>1229</v>
      </c>
      <c r="D411" s="101">
        <f>'Thống kê'!I427</f>
        <v>10</v>
      </c>
      <c r="E411" s="16">
        <v>5</v>
      </c>
      <c r="F411" s="215">
        <f t="shared" si="2"/>
        <v>18000</v>
      </c>
      <c r="G411" s="215">
        <f t="shared" si="3"/>
        <v>180000</v>
      </c>
    </row>
    <row r="412" spans="1:7">
      <c r="A412" s="101">
        <v>426</v>
      </c>
      <c r="B412" s="16" t="s">
        <v>1230</v>
      </c>
      <c r="C412" s="16" t="s">
        <v>1231</v>
      </c>
      <c r="D412" s="101">
        <f>'Thống kê'!I428</f>
        <v>1</v>
      </c>
      <c r="E412" s="16">
        <v>5</v>
      </c>
      <c r="F412" s="215">
        <f t="shared" si="2"/>
        <v>18000</v>
      </c>
      <c r="G412" s="215">
        <f t="shared" si="3"/>
        <v>18000</v>
      </c>
    </row>
    <row r="413" spans="1:7">
      <c r="A413" s="101">
        <v>427</v>
      </c>
      <c r="B413" s="16" t="s">
        <v>1232</v>
      </c>
      <c r="C413" s="16" t="s">
        <v>1233</v>
      </c>
      <c r="D413" s="101">
        <f>'Thống kê'!I429</f>
        <v>2</v>
      </c>
      <c r="E413" s="16">
        <v>5</v>
      </c>
      <c r="F413" s="215">
        <f t="shared" si="2"/>
        <v>18000</v>
      </c>
      <c r="G413" s="215">
        <f t="shared" si="3"/>
        <v>36000</v>
      </c>
    </row>
    <row r="414" spans="1:7">
      <c r="A414" s="101">
        <v>428</v>
      </c>
      <c r="B414" s="16" t="s">
        <v>1234</v>
      </c>
      <c r="C414" s="16" t="s">
        <v>1235</v>
      </c>
      <c r="D414" s="101">
        <f>'Thống kê'!I430</f>
        <v>22</v>
      </c>
      <c r="E414" s="16">
        <v>5</v>
      </c>
      <c r="F414" s="215">
        <f t="shared" si="2"/>
        <v>18000</v>
      </c>
      <c r="G414" s="215">
        <f t="shared" si="3"/>
        <v>396000</v>
      </c>
    </row>
    <row r="415" spans="1:7">
      <c r="A415" s="101">
        <v>429</v>
      </c>
      <c r="B415" s="35" t="s">
        <v>1236</v>
      </c>
      <c r="C415" s="35" t="s">
        <v>1237</v>
      </c>
      <c r="D415" s="101">
        <f>'Thống kê'!I431</f>
        <v>18</v>
      </c>
      <c r="F415" s="215">
        <f t="shared" si="2"/>
        <v>0</v>
      </c>
      <c r="G415" s="215">
        <f t="shared" si="3"/>
        <v>0</v>
      </c>
    </row>
    <row r="416" spans="1:7">
      <c r="A416" s="101">
        <v>430</v>
      </c>
      <c r="B416" s="35" t="s">
        <v>1238</v>
      </c>
      <c r="C416" s="35" t="s">
        <v>1239</v>
      </c>
      <c r="D416" s="101">
        <f>'Thống kê'!I432</f>
        <v>5</v>
      </c>
      <c r="F416" s="215">
        <f t="shared" si="2"/>
        <v>0</v>
      </c>
      <c r="G416" s="215">
        <f t="shared" si="3"/>
        <v>0</v>
      </c>
    </row>
    <row r="417" spans="1:7">
      <c r="A417" s="101">
        <v>431</v>
      </c>
      <c r="B417" s="35" t="s">
        <v>1240</v>
      </c>
      <c r="C417" s="35" t="s">
        <v>1241</v>
      </c>
      <c r="D417" s="101">
        <f>'Thống kê'!I433</f>
        <v>8</v>
      </c>
      <c r="F417" s="215">
        <f t="shared" si="2"/>
        <v>0</v>
      </c>
      <c r="G417" s="215">
        <f t="shared" si="3"/>
        <v>0</v>
      </c>
    </row>
    <row r="418" spans="1:7">
      <c r="A418" s="101">
        <v>432</v>
      </c>
      <c r="B418" s="35" t="s">
        <v>1242</v>
      </c>
      <c r="C418" s="35" t="s">
        <v>1243</v>
      </c>
      <c r="D418" s="101">
        <f>'Thống kê'!I434</f>
        <v>7</v>
      </c>
      <c r="F418" s="215">
        <f t="shared" si="2"/>
        <v>0</v>
      </c>
      <c r="G418" s="215">
        <f t="shared" si="3"/>
        <v>0</v>
      </c>
    </row>
    <row r="419" spans="1:7">
      <c r="A419" s="101">
        <v>433</v>
      </c>
      <c r="B419" s="35" t="s">
        <v>1244</v>
      </c>
      <c r="C419" s="35" t="s">
        <v>1245</v>
      </c>
      <c r="D419" s="101">
        <f>'Thống kê'!I435</f>
        <v>3</v>
      </c>
      <c r="F419" s="215">
        <f t="shared" si="2"/>
        <v>0</v>
      </c>
      <c r="G419" s="215">
        <f t="shared" si="3"/>
        <v>0</v>
      </c>
    </row>
    <row r="420" spans="1:7">
      <c r="A420" s="101">
        <v>434</v>
      </c>
      <c r="B420" s="35" t="s">
        <v>1246</v>
      </c>
      <c r="C420" s="35" t="s">
        <v>1247</v>
      </c>
      <c r="D420" s="101">
        <f>'Thống kê'!I436</f>
        <v>2</v>
      </c>
      <c r="F420" s="215">
        <f t="shared" si="2"/>
        <v>0</v>
      </c>
      <c r="G420" s="215">
        <f t="shared" si="3"/>
        <v>0</v>
      </c>
    </row>
    <row r="421" spans="1:7">
      <c r="A421" s="101">
        <v>435</v>
      </c>
      <c r="B421" s="35" t="s">
        <v>1248</v>
      </c>
      <c r="C421" s="35" t="s">
        <v>1249</v>
      </c>
      <c r="D421" s="101">
        <f>'Thống kê'!I437</f>
        <v>7</v>
      </c>
      <c r="F421" s="215">
        <f t="shared" si="2"/>
        <v>0</v>
      </c>
      <c r="G421" s="215">
        <f t="shared" si="3"/>
        <v>0</v>
      </c>
    </row>
    <row r="422" spans="1:7">
      <c r="A422" s="101">
        <v>436</v>
      </c>
      <c r="B422" s="35" t="s">
        <v>1250</v>
      </c>
      <c r="C422" s="35" t="s">
        <v>1251</v>
      </c>
      <c r="D422" s="101">
        <f>'Thống kê'!I438</f>
        <v>3</v>
      </c>
      <c r="F422" s="215">
        <f t="shared" si="2"/>
        <v>0</v>
      </c>
      <c r="G422" s="215">
        <f t="shared" si="3"/>
        <v>0</v>
      </c>
    </row>
    <row r="423" spans="1:7">
      <c r="A423" s="101">
        <v>437</v>
      </c>
      <c r="B423" s="35" t="s">
        <v>1252</v>
      </c>
      <c r="C423" s="35" t="s">
        <v>1253</v>
      </c>
      <c r="D423" s="101">
        <f>'Thống kê'!I439</f>
        <v>4</v>
      </c>
      <c r="F423" s="215">
        <f t="shared" si="2"/>
        <v>0</v>
      </c>
      <c r="G423" s="215">
        <f t="shared" si="3"/>
        <v>0</v>
      </c>
    </row>
    <row r="424" spans="1:7">
      <c r="A424" s="101">
        <v>438</v>
      </c>
      <c r="B424" s="35" t="s">
        <v>1254</v>
      </c>
      <c r="C424" s="35" t="s">
        <v>1255</v>
      </c>
      <c r="D424" s="101">
        <f>'Thống kê'!I440</f>
        <v>4</v>
      </c>
      <c r="F424" s="215">
        <f t="shared" si="2"/>
        <v>0</v>
      </c>
      <c r="G424" s="215">
        <f t="shared" si="3"/>
        <v>0</v>
      </c>
    </row>
    <row r="425" spans="1:7">
      <c r="A425" s="101">
        <v>439</v>
      </c>
      <c r="B425" s="35" t="s">
        <v>1256</v>
      </c>
      <c r="C425" s="35" t="s">
        <v>1257</v>
      </c>
      <c r="D425" s="101">
        <f>'Thống kê'!I441</f>
        <v>0</v>
      </c>
      <c r="F425" s="215">
        <f t="shared" si="2"/>
        <v>0</v>
      </c>
      <c r="G425" s="215">
        <f t="shared" si="3"/>
        <v>0</v>
      </c>
    </row>
    <row r="426" spans="1:7">
      <c r="A426" s="101">
        <v>440</v>
      </c>
      <c r="B426" s="35" t="s">
        <v>1258</v>
      </c>
      <c r="C426" s="35" t="s">
        <v>1259</v>
      </c>
      <c r="D426" s="101">
        <f>'Thống kê'!I442</f>
        <v>2</v>
      </c>
      <c r="F426" s="215">
        <f t="shared" si="2"/>
        <v>0</v>
      </c>
      <c r="G426" s="215">
        <f t="shared" si="3"/>
        <v>0</v>
      </c>
    </row>
    <row r="427" spans="1:7">
      <c r="A427" s="101">
        <v>441</v>
      </c>
      <c r="B427" s="35" t="s">
        <v>1260</v>
      </c>
      <c r="C427" s="35" t="s">
        <v>1261</v>
      </c>
      <c r="D427" s="101">
        <f>'Thống kê'!I443</f>
        <v>1</v>
      </c>
      <c r="F427" s="215">
        <f t="shared" si="2"/>
        <v>0</v>
      </c>
      <c r="G427" s="215">
        <f t="shared" si="3"/>
        <v>0</v>
      </c>
    </row>
    <row r="428" spans="1:7">
      <c r="A428" s="101">
        <v>442</v>
      </c>
      <c r="B428" s="35" t="s">
        <v>1262</v>
      </c>
      <c r="C428" s="35" t="s">
        <v>1263</v>
      </c>
      <c r="D428" s="101">
        <f>'Thống kê'!I444</f>
        <v>4</v>
      </c>
      <c r="F428" s="215">
        <f t="shared" si="2"/>
        <v>0</v>
      </c>
      <c r="G428" s="215">
        <f t="shared" si="3"/>
        <v>0</v>
      </c>
    </row>
    <row r="429" spans="1:7">
      <c r="A429" s="101">
        <v>443</v>
      </c>
      <c r="B429" s="35" t="s">
        <v>1264</v>
      </c>
      <c r="C429" s="35" t="s">
        <v>1265</v>
      </c>
      <c r="D429" s="101">
        <f>'Thống kê'!I445</f>
        <v>0</v>
      </c>
      <c r="F429" s="215">
        <f t="shared" si="2"/>
        <v>0</v>
      </c>
      <c r="G429" s="215">
        <f t="shared" si="3"/>
        <v>0</v>
      </c>
    </row>
    <row r="430" spans="1:7">
      <c r="A430" s="101">
        <v>444</v>
      </c>
      <c r="B430" s="35" t="s">
        <v>1266</v>
      </c>
      <c r="C430" s="35" t="s">
        <v>1267</v>
      </c>
      <c r="D430" s="101">
        <f>'Thống kê'!I446</f>
        <v>4</v>
      </c>
      <c r="F430" s="215">
        <f t="shared" si="2"/>
        <v>0</v>
      </c>
      <c r="G430" s="215">
        <f t="shared" si="3"/>
        <v>0</v>
      </c>
    </row>
    <row r="431" spans="1:7">
      <c r="A431" s="101">
        <v>445</v>
      </c>
      <c r="B431" s="28" t="s">
        <v>1268</v>
      </c>
      <c r="C431" s="28" t="s">
        <v>1269</v>
      </c>
      <c r="D431" s="101">
        <f>'Thống kê'!I447</f>
        <v>1</v>
      </c>
      <c r="F431" s="215">
        <f t="shared" si="2"/>
        <v>0</v>
      </c>
      <c r="G431" s="215">
        <f t="shared" si="3"/>
        <v>0</v>
      </c>
    </row>
    <row r="432" spans="1:7">
      <c r="A432" s="101">
        <v>446</v>
      </c>
      <c r="B432" s="28" t="s">
        <v>1270</v>
      </c>
      <c r="C432" s="28" t="s">
        <v>1271</v>
      </c>
      <c r="D432" s="101">
        <f>'Thống kê'!I448</f>
        <v>-1</v>
      </c>
      <c r="F432" s="215">
        <f t="shared" si="2"/>
        <v>0</v>
      </c>
      <c r="G432" s="215">
        <f t="shared" si="3"/>
        <v>0</v>
      </c>
    </row>
    <row r="433" spans="1:7">
      <c r="A433" s="101">
        <v>447</v>
      </c>
      <c r="B433" s="28" t="s">
        <v>1272</v>
      </c>
      <c r="C433" s="28" t="s">
        <v>1273</v>
      </c>
      <c r="D433" s="101">
        <f>'Thống kê'!I449</f>
        <v>0</v>
      </c>
      <c r="F433" s="215">
        <f t="shared" si="2"/>
        <v>0</v>
      </c>
      <c r="G433" s="215">
        <f t="shared" si="3"/>
        <v>0</v>
      </c>
    </row>
    <row r="434" spans="1:7">
      <c r="A434" s="101">
        <v>448</v>
      </c>
      <c r="B434" s="28" t="s">
        <v>1274</v>
      </c>
      <c r="C434" s="28" t="s">
        <v>1275</v>
      </c>
      <c r="D434" s="101">
        <f>'Thống kê'!I450</f>
        <v>1</v>
      </c>
      <c r="F434" s="215">
        <f t="shared" si="2"/>
        <v>0</v>
      </c>
      <c r="G434" s="215">
        <f t="shared" si="3"/>
        <v>0</v>
      </c>
    </row>
    <row r="435" spans="1:7">
      <c r="A435" s="101">
        <v>449</v>
      </c>
      <c r="B435" s="28" t="s">
        <v>1276</v>
      </c>
      <c r="C435" s="28" t="s">
        <v>1277</v>
      </c>
      <c r="D435" s="101">
        <f>'Thống kê'!I451</f>
        <v>0</v>
      </c>
      <c r="F435" s="215">
        <f t="shared" si="2"/>
        <v>0</v>
      </c>
      <c r="G435" s="215">
        <f t="shared" si="3"/>
        <v>0</v>
      </c>
    </row>
    <row r="436" spans="1:7">
      <c r="A436" s="101">
        <v>450</v>
      </c>
      <c r="B436" s="28" t="s">
        <v>1278</v>
      </c>
      <c r="C436" s="28" t="s">
        <v>1279</v>
      </c>
      <c r="D436" s="101">
        <f>'Thống kê'!I452</f>
        <v>3</v>
      </c>
      <c r="F436" s="215">
        <f t="shared" si="2"/>
        <v>0</v>
      </c>
      <c r="G436" s="215">
        <f t="shared" si="3"/>
        <v>0</v>
      </c>
    </row>
    <row r="437" spans="1:7">
      <c r="A437" s="101">
        <v>451</v>
      </c>
      <c r="B437" s="28" t="s">
        <v>1280</v>
      </c>
      <c r="C437" s="28" t="s">
        <v>1281</v>
      </c>
      <c r="D437" s="101">
        <f>'Thống kê'!I453</f>
        <v>1</v>
      </c>
      <c r="F437" s="215">
        <f t="shared" si="2"/>
        <v>0</v>
      </c>
      <c r="G437" s="215">
        <f t="shared" si="3"/>
        <v>0</v>
      </c>
    </row>
    <row r="438" spans="1:7">
      <c r="A438" s="101">
        <v>452</v>
      </c>
      <c r="B438" s="28" t="s">
        <v>1282</v>
      </c>
      <c r="C438" s="28" t="s">
        <v>1283</v>
      </c>
      <c r="D438" s="101">
        <f>'Thống kê'!I454</f>
        <v>3</v>
      </c>
      <c r="F438" s="215">
        <f t="shared" si="2"/>
        <v>0</v>
      </c>
      <c r="G438" s="215">
        <f t="shared" si="3"/>
        <v>0</v>
      </c>
    </row>
    <row r="439" spans="1:7">
      <c r="A439" s="101">
        <v>453</v>
      </c>
      <c r="B439" s="28" t="s">
        <v>1284</v>
      </c>
      <c r="C439" s="28" t="s">
        <v>1285</v>
      </c>
      <c r="D439" s="101">
        <f>'Thống kê'!I455</f>
        <v>0</v>
      </c>
      <c r="F439" s="215">
        <f t="shared" si="2"/>
        <v>0</v>
      </c>
      <c r="G439" s="215">
        <f t="shared" si="3"/>
        <v>0</v>
      </c>
    </row>
    <row r="440" spans="1:7">
      <c r="A440" s="101">
        <v>454</v>
      </c>
      <c r="B440" s="28" t="s">
        <v>1286</v>
      </c>
      <c r="C440" s="28" t="s">
        <v>1287</v>
      </c>
      <c r="D440" s="101">
        <f>'Thống kê'!I456</f>
        <v>2</v>
      </c>
      <c r="F440" s="215">
        <f t="shared" si="2"/>
        <v>0</v>
      </c>
      <c r="G440" s="215">
        <f t="shared" si="3"/>
        <v>0</v>
      </c>
    </row>
    <row r="441" spans="1:7">
      <c r="A441" s="101">
        <v>455</v>
      </c>
      <c r="B441" s="28" t="s">
        <v>1288</v>
      </c>
      <c r="C441" s="28" t="s">
        <v>1289</v>
      </c>
      <c r="D441" s="101">
        <f>'Thống kê'!I457</f>
        <v>0</v>
      </c>
      <c r="F441" s="215">
        <f t="shared" si="2"/>
        <v>0</v>
      </c>
      <c r="G441" s="215">
        <f t="shared" si="3"/>
        <v>0</v>
      </c>
    </row>
    <row r="442" spans="1:7">
      <c r="A442" s="101">
        <v>456</v>
      </c>
      <c r="B442" s="28" t="s">
        <v>1290</v>
      </c>
      <c r="C442" s="28" t="s">
        <v>1291</v>
      </c>
      <c r="D442" s="101">
        <f>'Thống kê'!I458</f>
        <v>3</v>
      </c>
      <c r="F442" s="215">
        <f t="shared" si="2"/>
        <v>0</v>
      </c>
      <c r="G442" s="215">
        <f t="shared" si="3"/>
        <v>0</v>
      </c>
    </row>
    <row r="443" spans="1:7">
      <c r="A443" s="101">
        <v>457</v>
      </c>
      <c r="B443" s="28" t="s">
        <v>1292</v>
      </c>
      <c r="C443" s="28" t="s">
        <v>1293</v>
      </c>
      <c r="D443" s="101">
        <f>'Thống kê'!I459</f>
        <v>0</v>
      </c>
      <c r="F443" s="215">
        <f t="shared" si="2"/>
        <v>0</v>
      </c>
      <c r="G443" s="215">
        <f t="shared" si="3"/>
        <v>0</v>
      </c>
    </row>
    <row r="444" spans="1:7">
      <c r="A444" s="101">
        <v>458</v>
      </c>
      <c r="B444" s="28" t="s">
        <v>1294</v>
      </c>
      <c r="C444" s="28" t="s">
        <v>1295</v>
      </c>
      <c r="D444" s="101">
        <f>'Thống kê'!I460</f>
        <v>0</v>
      </c>
      <c r="F444" s="215">
        <f t="shared" si="2"/>
        <v>0</v>
      </c>
      <c r="G444" s="215">
        <f t="shared" si="3"/>
        <v>0</v>
      </c>
    </row>
    <row r="445" spans="1:7">
      <c r="A445" s="101">
        <v>459</v>
      </c>
      <c r="B445" s="28" t="s">
        <v>1296</v>
      </c>
      <c r="C445" s="28" t="s">
        <v>1297</v>
      </c>
      <c r="D445" s="101">
        <f>'Thống kê'!I461</f>
        <v>0</v>
      </c>
      <c r="F445" s="215">
        <f t="shared" si="2"/>
        <v>0</v>
      </c>
      <c r="G445" s="215">
        <f t="shared" si="3"/>
        <v>0</v>
      </c>
    </row>
    <row r="446" spans="1:7">
      <c r="A446" s="101">
        <v>460</v>
      </c>
      <c r="B446" s="16" t="s">
        <v>1298</v>
      </c>
      <c r="C446" s="16" t="s">
        <v>1299</v>
      </c>
      <c r="D446" s="101">
        <f>'Thống kê'!I462</f>
        <v>1</v>
      </c>
      <c r="F446" s="215">
        <f t="shared" si="2"/>
        <v>0</v>
      </c>
      <c r="G446" s="215">
        <f t="shared" si="3"/>
        <v>0</v>
      </c>
    </row>
    <row r="447" spans="1:7">
      <c r="A447" s="101">
        <v>461</v>
      </c>
      <c r="B447" s="16" t="s">
        <v>1300</v>
      </c>
      <c r="C447" s="16" t="s">
        <v>1301</v>
      </c>
      <c r="D447" s="101">
        <f>'Thống kê'!I463</f>
        <v>6</v>
      </c>
      <c r="F447" s="215">
        <f t="shared" si="2"/>
        <v>0</v>
      </c>
      <c r="G447" s="215">
        <f t="shared" si="3"/>
        <v>0</v>
      </c>
    </row>
    <row r="448" spans="1:7">
      <c r="A448" s="101">
        <v>462</v>
      </c>
      <c r="B448" s="16" t="s">
        <v>1302</v>
      </c>
      <c r="C448" s="28" t="s">
        <v>1303</v>
      </c>
      <c r="D448" s="101">
        <f>'Thống kê'!I464</f>
        <v>0</v>
      </c>
      <c r="E448" s="16">
        <v>15</v>
      </c>
      <c r="F448" s="215">
        <f t="shared" si="2"/>
        <v>54000</v>
      </c>
      <c r="G448" s="215">
        <f t="shared" si="3"/>
        <v>0</v>
      </c>
    </row>
    <row r="449" spans="1:7">
      <c r="A449" s="101">
        <v>463</v>
      </c>
      <c r="B449" s="16" t="s">
        <v>1304</v>
      </c>
      <c r="C449" s="28" t="s">
        <v>1305</v>
      </c>
      <c r="D449" s="101">
        <f>'Thống kê'!I465</f>
        <v>1</v>
      </c>
      <c r="E449" s="16">
        <v>15</v>
      </c>
      <c r="F449" s="215">
        <f t="shared" si="2"/>
        <v>54000</v>
      </c>
      <c r="G449" s="215">
        <f t="shared" si="3"/>
        <v>54000</v>
      </c>
    </row>
    <row r="450" spans="1:7">
      <c r="A450" s="101">
        <v>464</v>
      </c>
      <c r="B450" s="16" t="s">
        <v>1306</v>
      </c>
      <c r="C450" s="28" t="s">
        <v>1307</v>
      </c>
      <c r="D450" s="101">
        <f>'Thống kê'!I466</f>
        <v>0</v>
      </c>
      <c r="E450" s="16">
        <v>15</v>
      </c>
      <c r="F450" s="215">
        <f t="shared" si="2"/>
        <v>54000</v>
      </c>
      <c r="G450" s="215">
        <f t="shared" si="3"/>
        <v>0</v>
      </c>
    </row>
    <row r="451" spans="1:7">
      <c r="A451" s="101">
        <v>465</v>
      </c>
      <c r="B451" s="16" t="s">
        <v>1308</v>
      </c>
      <c r="C451" s="28" t="s">
        <v>1305</v>
      </c>
      <c r="D451" s="101">
        <f>'Thống kê'!I467</f>
        <v>2</v>
      </c>
      <c r="E451" s="16">
        <v>15</v>
      </c>
      <c r="F451" s="215">
        <f t="shared" si="2"/>
        <v>54000</v>
      </c>
      <c r="G451" s="215">
        <f t="shared" si="3"/>
        <v>108000</v>
      </c>
    </row>
    <row r="452" spans="1:7">
      <c r="A452" s="101">
        <v>466</v>
      </c>
      <c r="B452" s="16" t="s">
        <v>1309</v>
      </c>
      <c r="C452" s="28" t="s">
        <v>1310</v>
      </c>
      <c r="D452" s="101">
        <f>'Thống kê'!I468</f>
        <v>0</v>
      </c>
      <c r="E452" s="16">
        <v>15</v>
      </c>
      <c r="F452" s="215">
        <f t="shared" si="2"/>
        <v>54000</v>
      </c>
      <c r="G452" s="215">
        <f t="shared" si="3"/>
        <v>0</v>
      </c>
    </row>
    <row r="453" spans="1:7">
      <c r="A453" s="101">
        <v>467</v>
      </c>
      <c r="B453" s="16" t="s">
        <v>1311</v>
      </c>
      <c r="C453" s="28" t="s">
        <v>1312</v>
      </c>
      <c r="D453" s="101">
        <f>'Thống kê'!I469</f>
        <v>-1</v>
      </c>
      <c r="E453" s="16">
        <v>15</v>
      </c>
      <c r="F453" s="215">
        <f t="shared" si="2"/>
        <v>54000</v>
      </c>
      <c r="G453" s="215">
        <f t="shared" si="3"/>
        <v>-54000</v>
      </c>
    </row>
    <row r="454" spans="1:7">
      <c r="A454" s="101">
        <v>468</v>
      </c>
      <c r="B454" s="16" t="s">
        <v>1313</v>
      </c>
      <c r="C454" s="28" t="s">
        <v>1314</v>
      </c>
      <c r="D454" s="101">
        <f>'Thống kê'!I470</f>
        <v>0</v>
      </c>
      <c r="E454" s="16">
        <v>15</v>
      </c>
      <c r="F454" s="215">
        <f t="shared" si="2"/>
        <v>54000</v>
      </c>
      <c r="G454" s="215">
        <f t="shared" si="3"/>
        <v>0</v>
      </c>
    </row>
    <row r="455" spans="1:7">
      <c r="A455" s="101">
        <v>469</v>
      </c>
      <c r="B455" s="16" t="s">
        <v>1315</v>
      </c>
      <c r="C455" s="28" t="s">
        <v>1312</v>
      </c>
      <c r="D455" s="101">
        <f>'Thống kê'!I471</f>
        <v>2</v>
      </c>
      <c r="E455" s="16">
        <v>15</v>
      </c>
      <c r="F455" s="215">
        <f t="shared" si="2"/>
        <v>54000</v>
      </c>
      <c r="G455" s="215">
        <f t="shared" si="3"/>
        <v>108000</v>
      </c>
    </row>
    <row r="456" spans="1:7">
      <c r="A456" s="101">
        <v>470</v>
      </c>
      <c r="B456" s="16" t="s">
        <v>1316</v>
      </c>
      <c r="C456" s="28" t="s">
        <v>1317</v>
      </c>
      <c r="D456" s="101">
        <f>'Thống kê'!I472</f>
        <v>1</v>
      </c>
      <c r="E456" s="16">
        <v>15</v>
      </c>
      <c r="F456" s="215">
        <f t="shared" si="2"/>
        <v>54000</v>
      </c>
      <c r="G456" s="215">
        <f t="shared" si="3"/>
        <v>54000</v>
      </c>
    </row>
    <row r="457" spans="1:7">
      <c r="A457" s="101">
        <v>471</v>
      </c>
      <c r="B457" s="16" t="s">
        <v>1318</v>
      </c>
      <c r="C457" s="28" t="s">
        <v>1319</v>
      </c>
      <c r="D457" s="101">
        <f>'Thống kê'!I473</f>
        <v>9</v>
      </c>
      <c r="F457" s="215">
        <f t="shared" si="2"/>
        <v>0</v>
      </c>
      <c r="G457" s="215">
        <f t="shared" si="3"/>
        <v>0</v>
      </c>
    </row>
    <row r="458" spans="1:7">
      <c r="A458" s="101">
        <v>472</v>
      </c>
      <c r="B458" s="16" t="s">
        <v>1320</v>
      </c>
      <c r="C458" s="28" t="s">
        <v>1321</v>
      </c>
      <c r="D458" s="101">
        <f>'Thống kê'!I474</f>
        <v>0</v>
      </c>
      <c r="E458" s="16">
        <v>15</v>
      </c>
      <c r="F458" s="215">
        <f t="shared" si="2"/>
        <v>54000</v>
      </c>
      <c r="G458" s="215">
        <f t="shared" si="3"/>
        <v>0</v>
      </c>
    </row>
    <row r="459" spans="1:7">
      <c r="A459" s="101">
        <v>473</v>
      </c>
      <c r="B459" s="16" t="s">
        <v>1322</v>
      </c>
      <c r="C459" s="28" t="s">
        <v>1314</v>
      </c>
      <c r="D459" s="101">
        <f>'Thống kê'!I475</f>
        <v>4</v>
      </c>
      <c r="E459" s="16">
        <v>15</v>
      </c>
      <c r="F459" s="215">
        <f t="shared" si="2"/>
        <v>54000</v>
      </c>
      <c r="G459" s="215">
        <f t="shared" si="3"/>
        <v>216000</v>
      </c>
    </row>
    <row r="460" spans="1:7">
      <c r="A460" s="101">
        <v>474</v>
      </c>
      <c r="B460" s="16" t="s">
        <v>1323</v>
      </c>
      <c r="C460" s="28" t="s">
        <v>1324</v>
      </c>
      <c r="D460" s="101">
        <f>'Thống kê'!I476</f>
        <v>2</v>
      </c>
      <c r="E460" s="16">
        <v>15</v>
      </c>
      <c r="F460" s="215">
        <f t="shared" si="2"/>
        <v>54000</v>
      </c>
      <c r="G460" s="215">
        <f t="shared" si="3"/>
        <v>108000</v>
      </c>
    </row>
    <row r="461" spans="1:7">
      <c r="A461" s="101">
        <v>475</v>
      </c>
      <c r="B461" s="16" t="s">
        <v>1325</v>
      </c>
      <c r="C461" s="28" t="s">
        <v>1326</v>
      </c>
      <c r="D461" s="101">
        <f>'Thống kê'!I477</f>
        <v>8</v>
      </c>
      <c r="E461" s="16">
        <v>15</v>
      </c>
      <c r="F461" s="215">
        <f t="shared" si="2"/>
        <v>54000</v>
      </c>
      <c r="G461" s="215">
        <f t="shared" si="3"/>
        <v>432000</v>
      </c>
    </row>
    <row r="462" spans="1:7">
      <c r="A462" s="101">
        <v>476</v>
      </c>
      <c r="B462" s="28" t="s">
        <v>1327</v>
      </c>
      <c r="C462" s="28" t="s">
        <v>1328</v>
      </c>
      <c r="D462" s="101">
        <f>'Thống kê'!I478</f>
        <v>1</v>
      </c>
      <c r="E462" s="16">
        <v>15</v>
      </c>
      <c r="F462" s="215">
        <f t="shared" si="2"/>
        <v>54000</v>
      </c>
      <c r="G462" s="215">
        <f t="shared" si="3"/>
        <v>54000</v>
      </c>
    </row>
    <row r="463" spans="1:7">
      <c r="A463" s="101">
        <v>477</v>
      </c>
      <c r="B463" s="28" t="s">
        <v>1329</v>
      </c>
      <c r="C463" s="28" t="s">
        <v>1328</v>
      </c>
      <c r="D463" s="101">
        <f>'Thống kê'!I479</f>
        <v>0</v>
      </c>
      <c r="F463" s="215">
        <f t="shared" si="2"/>
        <v>0</v>
      </c>
      <c r="G463" s="215">
        <f t="shared" si="3"/>
        <v>0</v>
      </c>
    </row>
    <row r="464" spans="1:7">
      <c r="A464" s="101">
        <v>478</v>
      </c>
      <c r="B464" s="28" t="s">
        <v>1330</v>
      </c>
      <c r="C464" s="28" t="s">
        <v>1328</v>
      </c>
      <c r="D464" s="101">
        <f>'Thống kê'!I480</f>
        <v>4</v>
      </c>
      <c r="F464" s="215">
        <f t="shared" si="2"/>
        <v>0</v>
      </c>
      <c r="G464" s="215">
        <f t="shared" si="3"/>
        <v>0</v>
      </c>
    </row>
    <row r="465" spans="1:7">
      <c r="A465" s="101">
        <v>479</v>
      </c>
      <c r="B465" s="28" t="s">
        <v>1331</v>
      </c>
      <c r="C465" s="28" t="s">
        <v>1328</v>
      </c>
      <c r="D465" s="101">
        <f>'Thống kê'!I481</f>
        <v>0</v>
      </c>
      <c r="F465" s="215">
        <f t="shared" si="2"/>
        <v>0</v>
      </c>
      <c r="G465" s="215">
        <f t="shared" si="3"/>
        <v>0</v>
      </c>
    </row>
    <row r="466" spans="1:7">
      <c r="A466" s="101">
        <v>480</v>
      </c>
      <c r="B466" s="28" t="s">
        <v>1332</v>
      </c>
      <c r="C466" s="28" t="s">
        <v>1328</v>
      </c>
      <c r="D466" s="101">
        <f>'Thống kê'!I482</f>
        <v>0</v>
      </c>
      <c r="F466" s="215">
        <f t="shared" si="2"/>
        <v>0</v>
      </c>
      <c r="G466" s="215">
        <f t="shared" si="3"/>
        <v>0</v>
      </c>
    </row>
    <row r="467" spans="1:7">
      <c r="A467" s="101">
        <v>481</v>
      </c>
      <c r="B467" s="28" t="s">
        <v>1333</v>
      </c>
      <c r="C467" s="28" t="s">
        <v>1328</v>
      </c>
      <c r="D467" s="101">
        <f>'Thống kê'!I483</f>
        <v>9</v>
      </c>
      <c r="F467" s="215">
        <f t="shared" si="2"/>
        <v>0</v>
      </c>
      <c r="G467" s="215">
        <f t="shared" si="3"/>
        <v>0</v>
      </c>
    </row>
    <row r="468" spans="1:7">
      <c r="A468" s="101">
        <v>482</v>
      </c>
      <c r="B468" s="16" t="s">
        <v>1334</v>
      </c>
      <c r="C468" s="28" t="s">
        <v>1328</v>
      </c>
      <c r="D468" s="101">
        <f>'Thống kê'!I484</f>
        <v>8</v>
      </c>
      <c r="F468" s="215">
        <f t="shared" si="2"/>
        <v>0</v>
      </c>
      <c r="G468" s="215">
        <f t="shared" si="3"/>
        <v>0</v>
      </c>
    </row>
    <row r="469" spans="1:7">
      <c r="A469" s="101">
        <v>483</v>
      </c>
      <c r="B469" s="16" t="s">
        <v>1335</v>
      </c>
      <c r="C469" s="28" t="s">
        <v>1328</v>
      </c>
      <c r="D469" s="101">
        <f>'Thống kê'!I485</f>
        <v>1</v>
      </c>
      <c r="F469" s="215">
        <f t="shared" si="2"/>
        <v>0</v>
      </c>
      <c r="G469" s="215">
        <f t="shared" si="3"/>
        <v>0</v>
      </c>
    </row>
    <row r="470" spans="1:7">
      <c r="A470" s="101">
        <v>484</v>
      </c>
      <c r="B470" s="16" t="s">
        <v>244</v>
      </c>
      <c r="C470" s="16" t="s">
        <v>1336</v>
      </c>
      <c r="D470" s="101">
        <f>'Thống kê'!I486</f>
        <v>19</v>
      </c>
      <c r="E470" s="16">
        <v>15</v>
      </c>
      <c r="F470" s="215">
        <f t="shared" si="2"/>
        <v>54000</v>
      </c>
      <c r="G470" s="215">
        <f t="shared" si="3"/>
        <v>1026000</v>
      </c>
    </row>
    <row r="471" spans="1:7">
      <c r="A471" s="101">
        <v>485</v>
      </c>
      <c r="B471" s="16" t="s">
        <v>1337</v>
      </c>
      <c r="C471" s="16" t="s">
        <v>1336</v>
      </c>
      <c r="D471" s="101">
        <f>'Thống kê'!I487</f>
        <v>6</v>
      </c>
      <c r="E471" s="16">
        <v>15</v>
      </c>
      <c r="F471" s="215">
        <f t="shared" si="2"/>
        <v>54000</v>
      </c>
      <c r="G471" s="215">
        <f t="shared" si="3"/>
        <v>324000</v>
      </c>
    </row>
    <row r="472" spans="1:7">
      <c r="A472" s="101">
        <v>486</v>
      </c>
      <c r="B472" s="16" t="s">
        <v>1338</v>
      </c>
      <c r="C472" s="16" t="s">
        <v>1336</v>
      </c>
      <c r="D472" s="101">
        <f>'Thống kê'!I488</f>
        <v>16</v>
      </c>
      <c r="E472" s="16">
        <v>15</v>
      </c>
      <c r="F472" s="215">
        <f t="shared" si="2"/>
        <v>54000</v>
      </c>
      <c r="G472" s="215">
        <f t="shared" si="3"/>
        <v>864000</v>
      </c>
    </row>
    <row r="473" spans="1:7">
      <c r="A473" s="101">
        <v>487</v>
      </c>
      <c r="B473" s="16" t="s">
        <v>1339</v>
      </c>
      <c r="C473" s="16" t="s">
        <v>1336</v>
      </c>
      <c r="D473" s="101">
        <f>'Thống kê'!I489</f>
        <v>10</v>
      </c>
      <c r="E473" s="16">
        <v>15</v>
      </c>
      <c r="F473" s="215">
        <f t="shared" si="2"/>
        <v>54000</v>
      </c>
      <c r="G473" s="215">
        <f t="shared" si="3"/>
        <v>540000</v>
      </c>
    </row>
    <row r="474" spans="1:7">
      <c r="A474" s="101">
        <v>488</v>
      </c>
      <c r="B474" s="16" t="s">
        <v>1340</v>
      </c>
      <c r="C474" s="16" t="s">
        <v>1336</v>
      </c>
      <c r="D474" s="101">
        <f>'Thống kê'!I490</f>
        <v>11</v>
      </c>
      <c r="E474" s="16">
        <v>15</v>
      </c>
      <c r="F474" s="215">
        <f t="shared" si="2"/>
        <v>54000</v>
      </c>
      <c r="G474" s="215">
        <f t="shared" si="3"/>
        <v>594000</v>
      </c>
    </row>
    <row r="475" spans="1:7">
      <c r="A475" s="101">
        <v>489</v>
      </c>
      <c r="B475" s="16" t="s">
        <v>1341</v>
      </c>
      <c r="C475" s="16" t="s">
        <v>1336</v>
      </c>
      <c r="D475" s="101">
        <f>'Thống kê'!I491</f>
        <v>0</v>
      </c>
      <c r="E475" s="16">
        <v>15</v>
      </c>
      <c r="F475" s="215">
        <f t="shared" si="2"/>
        <v>54000</v>
      </c>
      <c r="G475" s="215">
        <f t="shared" si="3"/>
        <v>0</v>
      </c>
    </row>
    <row r="476" spans="1:7">
      <c r="A476" s="101">
        <v>490</v>
      </c>
      <c r="B476" s="16" t="s">
        <v>1342</v>
      </c>
      <c r="C476" s="16" t="s">
        <v>1336</v>
      </c>
      <c r="D476" s="101">
        <f>'Thống kê'!I492</f>
        <v>0</v>
      </c>
      <c r="E476" s="16">
        <v>15</v>
      </c>
      <c r="F476" s="215">
        <f t="shared" si="2"/>
        <v>54000</v>
      </c>
      <c r="G476" s="215">
        <f t="shared" si="3"/>
        <v>0</v>
      </c>
    </row>
    <row r="477" spans="1:7">
      <c r="A477" s="101">
        <v>491</v>
      </c>
      <c r="B477" s="16" t="s">
        <v>1343</v>
      </c>
      <c r="C477" s="16" t="s">
        <v>1336</v>
      </c>
      <c r="D477" s="101">
        <f>'Thống kê'!I493</f>
        <v>1</v>
      </c>
      <c r="E477" s="16">
        <v>15</v>
      </c>
      <c r="F477" s="215">
        <f t="shared" si="2"/>
        <v>54000</v>
      </c>
      <c r="G477" s="215">
        <f t="shared" si="3"/>
        <v>54000</v>
      </c>
    </row>
    <row r="478" spans="1:7">
      <c r="A478" s="101">
        <v>492</v>
      </c>
      <c r="B478" s="16" t="s">
        <v>170</v>
      </c>
      <c r="C478" s="16" t="s">
        <v>1336</v>
      </c>
      <c r="D478" s="101">
        <f>'Thống kê'!I494</f>
        <v>5</v>
      </c>
      <c r="E478" s="16">
        <v>15</v>
      </c>
      <c r="F478" s="215">
        <f t="shared" si="2"/>
        <v>54000</v>
      </c>
      <c r="G478" s="215">
        <f t="shared" si="3"/>
        <v>270000</v>
      </c>
    </row>
    <row r="479" spans="1:7">
      <c r="A479" s="101">
        <v>493</v>
      </c>
      <c r="B479" s="16" t="s">
        <v>1344</v>
      </c>
      <c r="C479" s="16" t="s">
        <v>1336</v>
      </c>
      <c r="D479" s="101">
        <f>'Thống kê'!I495</f>
        <v>0</v>
      </c>
      <c r="E479" s="16">
        <v>15</v>
      </c>
      <c r="F479" s="215">
        <f t="shared" si="2"/>
        <v>54000</v>
      </c>
      <c r="G479" s="215">
        <f t="shared" si="3"/>
        <v>0</v>
      </c>
    </row>
    <row r="480" spans="1:7">
      <c r="A480" s="101">
        <v>494</v>
      </c>
      <c r="B480" s="16" t="s">
        <v>1345</v>
      </c>
      <c r="C480" s="16" t="s">
        <v>1336</v>
      </c>
      <c r="D480" s="101">
        <f>'Thống kê'!I496</f>
        <v>14</v>
      </c>
      <c r="E480" s="16">
        <v>15</v>
      </c>
      <c r="F480" s="215">
        <f t="shared" si="2"/>
        <v>54000</v>
      </c>
      <c r="G480" s="215">
        <f t="shared" si="3"/>
        <v>756000</v>
      </c>
    </row>
    <row r="481" spans="1:7">
      <c r="A481" s="101">
        <v>495</v>
      </c>
      <c r="B481" s="16" t="s">
        <v>1346</v>
      </c>
      <c r="C481" s="16" t="s">
        <v>1336</v>
      </c>
      <c r="D481" s="101">
        <f>'Thống kê'!I497</f>
        <v>0</v>
      </c>
      <c r="E481" s="16">
        <v>15</v>
      </c>
      <c r="F481" s="215">
        <f t="shared" si="2"/>
        <v>54000</v>
      </c>
      <c r="G481" s="215">
        <f t="shared" si="3"/>
        <v>0</v>
      </c>
    </row>
    <row r="482" spans="1:7">
      <c r="B482" s="16" t="s">
        <v>1347</v>
      </c>
      <c r="C482" s="16" t="s">
        <v>1348</v>
      </c>
      <c r="D482" s="101">
        <f>'Thống kê'!I498</f>
        <v>2</v>
      </c>
      <c r="E482" s="16">
        <v>8</v>
      </c>
      <c r="F482" s="215">
        <f t="shared" si="2"/>
        <v>28800</v>
      </c>
      <c r="G482" s="215">
        <f t="shared" si="3"/>
        <v>57600</v>
      </c>
    </row>
    <row r="483" spans="1:7">
      <c r="B483" s="16" t="s">
        <v>1349</v>
      </c>
      <c r="C483" s="16" t="s">
        <v>1350</v>
      </c>
      <c r="D483" s="101">
        <f>'Thống kê'!I499</f>
        <v>-6</v>
      </c>
      <c r="E483" s="16">
        <v>10</v>
      </c>
      <c r="F483" s="215">
        <f t="shared" si="2"/>
        <v>36000</v>
      </c>
      <c r="G483" s="215">
        <f t="shared" si="3"/>
        <v>-216000</v>
      </c>
    </row>
    <row r="484" spans="1:7">
      <c r="B484" s="16" t="s">
        <v>1351</v>
      </c>
      <c r="C484" s="16" t="s">
        <v>1352</v>
      </c>
      <c r="D484" s="101">
        <f>'Thống kê'!I500</f>
        <v>2</v>
      </c>
      <c r="F484" s="215">
        <f t="shared" si="2"/>
        <v>0</v>
      </c>
      <c r="G484" s="215">
        <f t="shared" si="3"/>
        <v>0</v>
      </c>
    </row>
    <row r="485" spans="1:7">
      <c r="B485" s="16" t="s">
        <v>310</v>
      </c>
      <c r="C485" s="134" t="s">
        <v>1352</v>
      </c>
      <c r="D485" s="101">
        <f>'Thống kê'!I501</f>
        <v>22</v>
      </c>
      <c r="F485" s="215">
        <f t="shared" si="2"/>
        <v>0</v>
      </c>
      <c r="G485" s="215">
        <f t="shared" si="3"/>
        <v>0</v>
      </c>
    </row>
    <row r="486" spans="1:7">
      <c r="B486" s="16" t="s">
        <v>1353</v>
      </c>
      <c r="C486" s="134" t="s">
        <v>1354</v>
      </c>
      <c r="D486" s="101">
        <f>'Thống kê'!I502</f>
        <v>11</v>
      </c>
      <c r="F486" s="215">
        <f t="shared" si="2"/>
        <v>0</v>
      </c>
      <c r="G486" s="215">
        <f t="shared" si="3"/>
        <v>0</v>
      </c>
    </row>
    <row r="487" spans="1:7">
      <c r="B487" s="16" t="s">
        <v>1355</v>
      </c>
      <c r="C487" s="134" t="s">
        <v>1356</v>
      </c>
      <c r="D487" s="101">
        <f>'Thống kê'!I503</f>
        <v>4</v>
      </c>
      <c r="F487" s="215">
        <f t="shared" si="2"/>
        <v>0</v>
      </c>
      <c r="G487" s="215">
        <f t="shared" si="3"/>
        <v>0</v>
      </c>
    </row>
    <row r="488" spans="1:7">
      <c r="B488" s="16" t="s">
        <v>1357</v>
      </c>
      <c r="C488" s="134" t="s">
        <v>1358</v>
      </c>
      <c r="D488" s="101">
        <f>'Thống kê'!I504</f>
        <v>2</v>
      </c>
      <c r="F488" s="215">
        <f t="shared" si="2"/>
        <v>0</v>
      </c>
      <c r="G488" s="215">
        <f t="shared" si="3"/>
        <v>0</v>
      </c>
    </row>
    <row r="489" spans="1:7">
      <c r="B489" s="16" t="s">
        <v>1359</v>
      </c>
      <c r="C489" s="134" t="s">
        <v>1360</v>
      </c>
      <c r="D489" s="101">
        <f>'Thống kê'!I505</f>
        <v>0</v>
      </c>
      <c r="F489" s="215">
        <f t="shared" si="2"/>
        <v>0</v>
      </c>
      <c r="G489" s="215">
        <f t="shared" si="3"/>
        <v>0</v>
      </c>
    </row>
    <row r="490" spans="1:7">
      <c r="B490" s="16" t="s">
        <v>1361</v>
      </c>
      <c r="C490" s="16" t="s">
        <v>1362</v>
      </c>
      <c r="D490" s="101">
        <f>'Thống kê'!I506</f>
        <v>0</v>
      </c>
      <c r="F490" s="215">
        <f t="shared" si="2"/>
        <v>0</v>
      </c>
      <c r="G490" s="215">
        <f t="shared" si="3"/>
        <v>0</v>
      </c>
    </row>
    <row r="491" spans="1:7">
      <c r="B491" s="16" t="s">
        <v>1363</v>
      </c>
      <c r="C491" s="28" t="s">
        <v>1328</v>
      </c>
      <c r="D491" s="101">
        <f>'Thống kê'!I507</f>
        <v>-4</v>
      </c>
      <c r="E491" s="16">
        <v>20</v>
      </c>
      <c r="F491" s="215">
        <f t="shared" si="2"/>
        <v>72000</v>
      </c>
      <c r="G491" s="215">
        <f t="shared" si="3"/>
        <v>-288000</v>
      </c>
    </row>
    <row r="492" spans="1:7">
      <c r="B492" s="16" t="s">
        <v>246</v>
      </c>
      <c r="C492" s="28" t="s">
        <v>1328</v>
      </c>
      <c r="D492" s="101">
        <f>'Thống kê'!I508</f>
        <v>14</v>
      </c>
      <c r="E492" s="16">
        <v>20</v>
      </c>
      <c r="F492" s="215">
        <f t="shared" si="2"/>
        <v>72000</v>
      </c>
      <c r="G492" s="215">
        <f t="shared" si="3"/>
        <v>1008000</v>
      </c>
    </row>
    <row r="493" spans="1:7">
      <c r="B493" s="16" t="s">
        <v>245</v>
      </c>
      <c r="C493" s="28" t="s">
        <v>1328</v>
      </c>
      <c r="D493" s="101">
        <f>'Thống kê'!I509</f>
        <v>22</v>
      </c>
      <c r="E493" s="16">
        <v>20</v>
      </c>
      <c r="F493" s="215">
        <f t="shared" si="2"/>
        <v>72000</v>
      </c>
      <c r="G493" s="215">
        <f t="shared" si="3"/>
        <v>1584000</v>
      </c>
    </row>
    <row r="494" spans="1:7">
      <c r="B494" s="16" t="s">
        <v>1364</v>
      </c>
      <c r="C494" s="28" t="s">
        <v>1328</v>
      </c>
      <c r="D494" s="101">
        <f>'Thống kê'!I510</f>
        <v>-1</v>
      </c>
      <c r="E494" s="16">
        <v>20</v>
      </c>
      <c r="F494" s="215">
        <f t="shared" si="2"/>
        <v>72000</v>
      </c>
      <c r="G494" s="215">
        <f t="shared" si="3"/>
        <v>-72000</v>
      </c>
    </row>
    <row r="495" spans="1:7">
      <c r="B495" s="16" t="s">
        <v>1365</v>
      </c>
      <c r="C495" s="28" t="s">
        <v>1328</v>
      </c>
      <c r="D495" s="101">
        <f>'Thống kê'!I511</f>
        <v>7</v>
      </c>
      <c r="E495" s="16">
        <v>20</v>
      </c>
      <c r="F495" s="215">
        <f t="shared" si="2"/>
        <v>72000</v>
      </c>
      <c r="G495" s="215">
        <f t="shared" si="3"/>
        <v>504000</v>
      </c>
    </row>
    <row r="496" spans="1:7">
      <c r="B496" s="16" t="s">
        <v>165</v>
      </c>
      <c r="C496" s="28" t="s">
        <v>1328</v>
      </c>
      <c r="D496" s="101">
        <f>'Thống kê'!I512</f>
        <v>11</v>
      </c>
      <c r="E496" s="16">
        <v>20</v>
      </c>
      <c r="F496" s="215">
        <f t="shared" si="2"/>
        <v>72000</v>
      </c>
      <c r="G496" s="215">
        <f t="shared" si="3"/>
        <v>792000</v>
      </c>
    </row>
    <row r="497" spans="2:7">
      <c r="B497" s="16" t="s">
        <v>1366</v>
      </c>
      <c r="C497" s="28" t="s">
        <v>1328</v>
      </c>
      <c r="D497" s="101">
        <f>'Thống kê'!I513</f>
        <v>0</v>
      </c>
      <c r="E497" s="16">
        <v>20</v>
      </c>
      <c r="F497" s="215">
        <f t="shared" si="2"/>
        <v>72000</v>
      </c>
      <c r="G497" s="215">
        <f t="shared" si="3"/>
        <v>0</v>
      </c>
    </row>
    <row r="498" spans="2:7">
      <c r="B498" s="16" t="s">
        <v>1367</v>
      </c>
      <c r="C498" s="28" t="s">
        <v>1328</v>
      </c>
      <c r="D498" s="101">
        <f>'Thống kê'!I514</f>
        <v>3</v>
      </c>
      <c r="E498" s="16">
        <v>20</v>
      </c>
      <c r="F498" s="215">
        <f t="shared" si="2"/>
        <v>72000</v>
      </c>
      <c r="G498" s="215">
        <f t="shared" si="3"/>
        <v>216000</v>
      </c>
    </row>
    <row r="499" spans="2:7">
      <c r="B499" s="16" t="s">
        <v>1368</v>
      </c>
      <c r="C499" s="28" t="s">
        <v>1328</v>
      </c>
      <c r="D499" s="101">
        <f>'Thống kê'!I515</f>
        <v>0</v>
      </c>
      <c r="E499" s="16">
        <v>20</v>
      </c>
      <c r="F499" s="215">
        <f t="shared" si="2"/>
        <v>72000</v>
      </c>
      <c r="G499" s="215">
        <f t="shared" si="3"/>
        <v>0</v>
      </c>
    </row>
    <row r="500" spans="2:7">
      <c r="B500" s="16" t="s">
        <v>1369</v>
      </c>
      <c r="C500" s="28" t="s">
        <v>1328</v>
      </c>
      <c r="D500" s="101">
        <f>'Thống kê'!I516</f>
        <v>0</v>
      </c>
      <c r="E500" s="16">
        <v>20</v>
      </c>
      <c r="F500" s="215">
        <f t="shared" si="2"/>
        <v>72000</v>
      </c>
      <c r="G500" s="215">
        <f t="shared" si="3"/>
        <v>0</v>
      </c>
    </row>
    <row r="501" spans="2:7">
      <c r="B501" s="16" t="s">
        <v>1370</v>
      </c>
      <c r="C501" s="28" t="s">
        <v>1328</v>
      </c>
      <c r="D501" s="101">
        <f>'Thống kê'!I517</f>
        <v>1</v>
      </c>
      <c r="E501" s="16">
        <v>20</v>
      </c>
      <c r="F501" s="215">
        <f t="shared" si="2"/>
        <v>72000</v>
      </c>
      <c r="G501" s="215">
        <f t="shared" si="3"/>
        <v>72000</v>
      </c>
    </row>
    <row r="502" spans="2:7">
      <c r="B502" s="16" t="s">
        <v>1371</v>
      </c>
      <c r="C502" s="28" t="s">
        <v>1328</v>
      </c>
      <c r="D502" s="101">
        <f>'Thống kê'!I518</f>
        <v>0</v>
      </c>
      <c r="E502" s="16">
        <v>20</v>
      </c>
      <c r="F502" s="215">
        <f t="shared" si="2"/>
        <v>72000</v>
      </c>
      <c r="G502" s="215">
        <f t="shared" si="3"/>
        <v>0</v>
      </c>
    </row>
    <row r="503" spans="2:7">
      <c r="B503" s="16" t="s">
        <v>1372</v>
      </c>
      <c r="C503" s="28" t="s">
        <v>1328</v>
      </c>
      <c r="D503" s="101">
        <f>'Thống kê'!I519</f>
        <v>12</v>
      </c>
      <c r="E503" s="16">
        <v>20</v>
      </c>
      <c r="F503" s="215">
        <f t="shared" si="2"/>
        <v>72000</v>
      </c>
      <c r="G503" s="215">
        <f t="shared" si="3"/>
        <v>864000</v>
      </c>
    </row>
    <row r="504" spans="2:7">
      <c r="B504" s="16" t="s">
        <v>1373</v>
      </c>
      <c r="C504" s="16" t="s">
        <v>1374</v>
      </c>
      <c r="D504" s="101">
        <f>'Thống kê'!I520</f>
        <v>5</v>
      </c>
      <c r="E504" s="16">
        <v>6</v>
      </c>
      <c r="F504" s="215">
        <f t="shared" si="2"/>
        <v>21600</v>
      </c>
      <c r="G504" s="215">
        <f t="shared" si="3"/>
        <v>108000</v>
      </c>
    </row>
    <row r="505" spans="2:7">
      <c r="B505" s="16" t="s">
        <v>1375</v>
      </c>
      <c r="C505" s="16" t="s">
        <v>1376</v>
      </c>
      <c r="D505" s="101">
        <f>'Thống kê'!I521</f>
        <v>43</v>
      </c>
      <c r="E505" s="16">
        <v>6</v>
      </c>
      <c r="F505" s="215">
        <f t="shared" si="2"/>
        <v>21600</v>
      </c>
      <c r="G505" s="215">
        <f t="shared" si="3"/>
        <v>928800</v>
      </c>
    </row>
    <row r="506" spans="2:7">
      <c r="B506" s="16" t="s">
        <v>1377</v>
      </c>
      <c r="C506" s="16" t="s">
        <v>1328</v>
      </c>
      <c r="D506" s="101">
        <f>'Thống kê'!I522</f>
        <v>2</v>
      </c>
      <c r="E506" s="16">
        <v>20</v>
      </c>
      <c r="F506" s="215">
        <f t="shared" si="2"/>
        <v>72000</v>
      </c>
      <c r="G506" s="215">
        <f t="shared" si="3"/>
        <v>144000</v>
      </c>
    </row>
    <row r="507" spans="2:7">
      <c r="B507" s="16" t="s">
        <v>1378</v>
      </c>
      <c r="D507" s="101">
        <f>'Thống kê'!I523</f>
        <v>32</v>
      </c>
      <c r="F507" s="215">
        <f t="shared" si="2"/>
        <v>0</v>
      </c>
      <c r="G507" s="215">
        <f t="shared" si="3"/>
        <v>0</v>
      </c>
    </row>
    <row r="508" spans="2:7">
      <c r="B508" s="16" t="s">
        <v>1379</v>
      </c>
      <c r="D508" s="101">
        <f>'Thống kê'!I524</f>
        <v>0</v>
      </c>
      <c r="F508" s="215">
        <f t="shared" si="2"/>
        <v>0</v>
      </c>
      <c r="G508" s="215">
        <f t="shared" si="3"/>
        <v>0</v>
      </c>
    </row>
    <row r="509" spans="2:7">
      <c r="B509" s="16" t="s">
        <v>1380</v>
      </c>
      <c r="D509" s="101">
        <f>'Thống kê'!I525</f>
        <v>0</v>
      </c>
      <c r="F509" s="215">
        <f t="shared" si="2"/>
        <v>0</v>
      </c>
      <c r="G509" s="215">
        <f t="shared" si="3"/>
        <v>0</v>
      </c>
    </row>
    <row r="510" spans="2:7">
      <c r="B510" s="16" t="s">
        <v>1381</v>
      </c>
      <c r="D510" s="101">
        <f>'Thống kê'!I526</f>
        <v>19</v>
      </c>
      <c r="F510" s="215">
        <f t="shared" si="2"/>
        <v>0</v>
      </c>
      <c r="G510" s="215">
        <f t="shared" si="3"/>
        <v>0</v>
      </c>
    </row>
    <row r="511" spans="2:7">
      <c r="B511" s="16" t="s">
        <v>1382</v>
      </c>
      <c r="C511" s="16" t="s">
        <v>1383</v>
      </c>
      <c r="D511" s="101">
        <f>'Thống kê'!I527</f>
        <v>385</v>
      </c>
      <c r="F511" s="215">
        <f t="shared" si="2"/>
        <v>0</v>
      </c>
      <c r="G511" s="215">
        <f t="shared" si="3"/>
        <v>0</v>
      </c>
    </row>
    <row r="512" spans="2:7">
      <c r="B512" s="16" t="s">
        <v>1384</v>
      </c>
      <c r="C512" s="16" t="s">
        <v>1385</v>
      </c>
      <c r="D512" s="101">
        <f>'Thống kê'!I528</f>
        <v>-35</v>
      </c>
      <c r="E512" s="16">
        <v>18</v>
      </c>
      <c r="F512" s="215">
        <f t="shared" si="2"/>
        <v>64800</v>
      </c>
      <c r="G512" s="215">
        <f t="shared" si="3"/>
        <v>-2268000</v>
      </c>
    </row>
    <row r="513" spans="2:7">
      <c r="B513" s="16" t="s">
        <v>1386</v>
      </c>
      <c r="C513" s="16" t="s">
        <v>1385</v>
      </c>
      <c r="D513" s="101">
        <f>'Thống kê'!I529</f>
        <v>1</v>
      </c>
      <c r="E513" s="16">
        <v>18</v>
      </c>
      <c r="F513" s="215">
        <f t="shared" ref="F513:F535" si="4">E513*3600</f>
        <v>64800</v>
      </c>
      <c r="G513" s="215">
        <f t="shared" ref="G513:G535" si="5">D513*F513</f>
        <v>64800</v>
      </c>
    </row>
    <row r="514" spans="2:7">
      <c r="B514" s="16" t="s">
        <v>1387</v>
      </c>
      <c r="C514" s="16" t="s">
        <v>1385</v>
      </c>
      <c r="D514" s="101">
        <f>'Thống kê'!I530</f>
        <v>6</v>
      </c>
      <c r="E514" s="16">
        <v>18</v>
      </c>
      <c r="F514" s="215">
        <f t="shared" si="4"/>
        <v>64800</v>
      </c>
      <c r="G514" s="215">
        <f t="shared" si="5"/>
        <v>388800</v>
      </c>
    </row>
    <row r="515" spans="2:7">
      <c r="B515" s="16" t="s">
        <v>1388</v>
      </c>
      <c r="C515" s="16" t="s">
        <v>1385</v>
      </c>
      <c r="D515" s="101">
        <f>'Thống kê'!I531</f>
        <v>5</v>
      </c>
      <c r="E515" s="16">
        <v>18</v>
      </c>
      <c r="F515" s="215">
        <f t="shared" si="4"/>
        <v>64800</v>
      </c>
      <c r="G515" s="215">
        <f t="shared" si="5"/>
        <v>324000</v>
      </c>
    </row>
    <row r="516" spans="2:7">
      <c r="B516" s="16" t="s">
        <v>138</v>
      </c>
      <c r="C516" s="16" t="s">
        <v>1385</v>
      </c>
      <c r="D516" s="101">
        <f>'Thống kê'!I532</f>
        <v>7</v>
      </c>
      <c r="E516" s="16">
        <v>18</v>
      </c>
      <c r="F516" s="215">
        <f t="shared" si="4"/>
        <v>64800</v>
      </c>
      <c r="G516" s="215">
        <f t="shared" si="5"/>
        <v>453600</v>
      </c>
    </row>
    <row r="517" spans="2:7">
      <c r="B517" s="16" t="s">
        <v>1389</v>
      </c>
      <c r="C517" s="16" t="s">
        <v>1385</v>
      </c>
      <c r="D517" s="101">
        <f>'Thống kê'!I533</f>
        <v>5</v>
      </c>
      <c r="E517" s="16">
        <v>18</v>
      </c>
      <c r="F517" s="215">
        <f t="shared" si="4"/>
        <v>64800</v>
      </c>
      <c r="G517" s="215">
        <f t="shared" si="5"/>
        <v>324000</v>
      </c>
    </row>
    <row r="518" spans="2:7">
      <c r="B518" s="16" t="s">
        <v>258</v>
      </c>
      <c r="C518" s="16" t="s">
        <v>1385</v>
      </c>
      <c r="D518" s="101">
        <f>'Thống kê'!I534</f>
        <v>16</v>
      </c>
      <c r="E518" s="16">
        <v>18</v>
      </c>
      <c r="F518" s="215">
        <f t="shared" si="4"/>
        <v>64800</v>
      </c>
      <c r="G518" s="215">
        <f t="shared" si="5"/>
        <v>1036800</v>
      </c>
    </row>
    <row r="519" spans="2:7">
      <c r="B519" s="16" t="s">
        <v>230</v>
      </c>
      <c r="C519" s="16" t="s">
        <v>1385</v>
      </c>
      <c r="D519" s="101">
        <f>'Thống kê'!I535</f>
        <v>19</v>
      </c>
      <c r="E519" s="16">
        <v>18</v>
      </c>
      <c r="F519" s="215">
        <f t="shared" si="4"/>
        <v>64800</v>
      </c>
      <c r="G519" s="215">
        <f t="shared" si="5"/>
        <v>1231200</v>
      </c>
    </row>
    <row r="520" spans="2:7">
      <c r="B520" s="16" t="s">
        <v>259</v>
      </c>
      <c r="C520" s="16" t="s">
        <v>1385</v>
      </c>
      <c r="D520" s="101">
        <f>'Thống kê'!I536</f>
        <v>-5</v>
      </c>
      <c r="E520" s="16">
        <v>18</v>
      </c>
      <c r="F520" s="215">
        <f t="shared" si="4"/>
        <v>64800</v>
      </c>
      <c r="G520" s="215">
        <f t="shared" si="5"/>
        <v>-324000</v>
      </c>
    </row>
    <row r="521" spans="2:7">
      <c r="B521" s="16" t="s">
        <v>1390</v>
      </c>
      <c r="C521" s="16" t="s">
        <v>1391</v>
      </c>
      <c r="D521" s="101">
        <f>'Thống kê'!I537</f>
        <v>4</v>
      </c>
      <c r="E521" s="16">
        <v>18</v>
      </c>
      <c r="F521" s="215">
        <f t="shared" si="4"/>
        <v>64800</v>
      </c>
      <c r="G521" s="215">
        <f t="shared" si="5"/>
        <v>259200</v>
      </c>
    </row>
    <row r="522" spans="2:7">
      <c r="B522" s="16" t="s">
        <v>1392</v>
      </c>
      <c r="C522" s="16" t="s">
        <v>1391</v>
      </c>
      <c r="D522" s="101">
        <f>'Thống kê'!I538</f>
        <v>4</v>
      </c>
      <c r="E522" s="16">
        <v>18</v>
      </c>
      <c r="F522" s="215">
        <f t="shared" si="4"/>
        <v>64800</v>
      </c>
      <c r="G522" s="215">
        <f t="shared" si="5"/>
        <v>259200</v>
      </c>
    </row>
    <row r="523" spans="2:7">
      <c r="B523" s="16" t="s">
        <v>1393</v>
      </c>
      <c r="C523" s="16" t="s">
        <v>1391</v>
      </c>
      <c r="D523" s="101">
        <f>'Thống kê'!I539</f>
        <v>6</v>
      </c>
      <c r="E523" s="16">
        <v>18</v>
      </c>
      <c r="F523" s="215">
        <f t="shared" si="4"/>
        <v>64800</v>
      </c>
      <c r="G523" s="215">
        <f t="shared" si="5"/>
        <v>388800</v>
      </c>
    </row>
    <row r="524" spans="2:7">
      <c r="B524" s="16" t="s">
        <v>1394</v>
      </c>
      <c r="C524" s="16" t="s">
        <v>1391</v>
      </c>
      <c r="D524" s="101">
        <f>'Thống kê'!I540</f>
        <v>2</v>
      </c>
      <c r="E524" s="16">
        <v>18</v>
      </c>
      <c r="F524" s="215">
        <f t="shared" si="4"/>
        <v>64800</v>
      </c>
      <c r="G524" s="215">
        <f t="shared" si="5"/>
        <v>129600</v>
      </c>
    </row>
    <row r="525" spans="2:7">
      <c r="B525" s="16" t="s">
        <v>1395</v>
      </c>
      <c r="C525" s="16" t="s">
        <v>1391</v>
      </c>
      <c r="D525" s="101">
        <f>'Thống kê'!I541</f>
        <v>0</v>
      </c>
      <c r="E525" s="16">
        <v>18</v>
      </c>
      <c r="F525" s="215">
        <f t="shared" si="4"/>
        <v>64800</v>
      </c>
      <c r="G525" s="215">
        <f t="shared" si="5"/>
        <v>0</v>
      </c>
    </row>
    <row r="526" spans="2:7">
      <c r="B526" s="16" t="s">
        <v>1396</v>
      </c>
      <c r="C526" s="16" t="s">
        <v>1391</v>
      </c>
      <c r="D526" s="101">
        <f>'Thống kê'!I542</f>
        <v>3</v>
      </c>
      <c r="E526" s="16">
        <v>18</v>
      </c>
      <c r="F526" s="215">
        <f t="shared" si="4"/>
        <v>64800</v>
      </c>
      <c r="G526" s="215">
        <f t="shared" si="5"/>
        <v>194400</v>
      </c>
    </row>
    <row r="527" spans="2:7">
      <c r="B527" s="16" t="s">
        <v>285</v>
      </c>
      <c r="C527" s="16" t="s">
        <v>1391</v>
      </c>
      <c r="D527" s="101">
        <f>'Thống kê'!I543</f>
        <v>8</v>
      </c>
      <c r="E527" s="16">
        <v>18</v>
      </c>
      <c r="F527" s="215">
        <f t="shared" si="4"/>
        <v>64800</v>
      </c>
      <c r="G527" s="215">
        <f t="shared" si="5"/>
        <v>518400</v>
      </c>
    </row>
    <row r="528" spans="2:7">
      <c r="B528" s="16" t="s">
        <v>1397</v>
      </c>
      <c r="C528" s="16" t="s">
        <v>1391</v>
      </c>
      <c r="D528" s="101">
        <f>'Thống kê'!I544</f>
        <v>13</v>
      </c>
      <c r="E528" s="16">
        <v>18</v>
      </c>
      <c r="F528" s="215">
        <f t="shared" si="4"/>
        <v>64800</v>
      </c>
      <c r="G528" s="215">
        <f t="shared" si="5"/>
        <v>842400</v>
      </c>
    </row>
    <row r="529" spans="2:7">
      <c r="B529" s="16" t="s">
        <v>1398</v>
      </c>
      <c r="C529" s="16" t="s">
        <v>1391</v>
      </c>
      <c r="D529" s="101">
        <f>'Thống kê'!I545</f>
        <v>3</v>
      </c>
      <c r="E529" s="16">
        <v>18</v>
      </c>
      <c r="F529" s="215">
        <f t="shared" si="4"/>
        <v>64800</v>
      </c>
      <c r="G529" s="215">
        <f t="shared" si="5"/>
        <v>194400</v>
      </c>
    </row>
    <row r="530" spans="2:7">
      <c r="B530" s="16" t="s">
        <v>1399</v>
      </c>
      <c r="C530" s="16" t="s">
        <v>1391</v>
      </c>
      <c r="D530" s="101">
        <f>'Thống kê'!I546</f>
        <v>0</v>
      </c>
      <c r="E530" s="16">
        <v>18</v>
      </c>
      <c r="F530" s="215">
        <f t="shared" si="4"/>
        <v>64800</v>
      </c>
      <c r="G530" s="215">
        <f t="shared" si="5"/>
        <v>0</v>
      </c>
    </row>
    <row r="531" spans="2:7">
      <c r="B531" s="16" t="s">
        <v>113</v>
      </c>
      <c r="C531" s="16" t="s">
        <v>1400</v>
      </c>
      <c r="D531" s="101">
        <f>'Thống kê'!I547</f>
        <v>41</v>
      </c>
      <c r="E531" s="16">
        <v>18</v>
      </c>
      <c r="F531" s="215">
        <f t="shared" si="4"/>
        <v>64800</v>
      </c>
      <c r="G531" s="215">
        <f t="shared" si="5"/>
        <v>2656800</v>
      </c>
    </row>
    <row r="532" spans="2:7">
      <c r="B532" s="16" t="s">
        <v>1401</v>
      </c>
      <c r="C532" s="16" t="s">
        <v>1400</v>
      </c>
      <c r="D532" s="101">
        <f>'Thống kê'!I548</f>
        <v>0</v>
      </c>
      <c r="E532" s="16">
        <v>18</v>
      </c>
      <c r="F532" s="215">
        <f t="shared" si="4"/>
        <v>64800</v>
      </c>
      <c r="G532" s="215">
        <f t="shared" si="5"/>
        <v>0</v>
      </c>
    </row>
    <row r="533" spans="2:7">
      <c r="B533" s="16" t="s">
        <v>1402</v>
      </c>
      <c r="C533" s="16" t="s">
        <v>1400</v>
      </c>
      <c r="D533" s="101">
        <f>'Thống kê'!I549</f>
        <v>9</v>
      </c>
      <c r="E533" s="16">
        <v>18</v>
      </c>
      <c r="F533" s="215">
        <f t="shared" si="4"/>
        <v>64800</v>
      </c>
      <c r="G533" s="215">
        <f t="shared" si="5"/>
        <v>583200</v>
      </c>
    </row>
    <row r="534" spans="2:7">
      <c r="B534" s="16" t="s">
        <v>1403</v>
      </c>
      <c r="C534" s="16" t="s">
        <v>1404</v>
      </c>
      <c r="D534" s="101">
        <f>'Thống kê'!I550</f>
        <v>0</v>
      </c>
      <c r="E534" s="16">
        <v>18</v>
      </c>
      <c r="F534" s="215">
        <f t="shared" si="4"/>
        <v>64800</v>
      </c>
      <c r="G534" s="215">
        <f t="shared" si="5"/>
        <v>0</v>
      </c>
    </row>
    <row r="535" spans="2:7">
      <c r="B535" s="16" t="s">
        <v>1405</v>
      </c>
      <c r="C535" s="16" t="s">
        <v>1400</v>
      </c>
      <c r="D535" s="101">
        <f>'Thống kê'!I551</f>
        <v>5</v>
      </c>
      <c r="E535" s="16">
        <v>18</v>
      </c>
      <c r="F535" s="215">
        <f t="shared" si="4"/>
        <v>64800</v>
      </c>
      <c r="G535" s="215">
        <f t="shared" si="5"/>
        <v>324000</v>
      </c>
    </row>
    <row r="538" spans="2:7">
      <c r="D538" s="39"/>
    </row>
  </sheetData>
  <conditionalFormatting sqref="D2:D535">
    <cfRule type="cellIs" dxfId="5" priority="1" operator="lessThanOrEqual">
      <formula>0</formula>
    </cfRule>
    <cfRule type="cellIs" dxfId="4" priority="2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025"/>
  <sheetViews>
    <sheetView workbookViewId="0"/>
  </sheetViews>
  <sheetFormatPr defaultColWidth="12.6640625" defaultRowHeight="15.75" customHeight="1"/>
  <cols>
    <col min="2" max="2" width="22.77734375" customWidth="1"/>
    <col min="3" max="3" width="14.21875" customWidth="1"/>
  </cols>
  <sheetData>
    <row r="1" spans="1:9" ht="13.2">
      <c r="A1" s="16" t="s">
        <v>2106</v>
      </c>
      <c r="C1" s="75"/>
      <c r="D1" s="75"/>
      <c r="E1" s="75"/>
      <c r="F1" s="75"/>
      <c r="G1" s="75"/>
      <c r="H1" s="75"/>
      <c r="I1" s="75"/>
    </row>
    <row r="2" spans="1:9" ht="13.2">
      <c r="A2" s="76"/>
      <c r="C2" s="75"/>
      <c r="D2" s="75"/>
      <c r="E2" s="75"/>
      <c r="F2" s="75"/>
      <c r="G2" s="75"/>
      <c r="H2" s="75"/>
      <c r="I2" s="75"/>
    </row>
    <row r="3" spans="1:9" ht="22.5" customHeight="1">
      <c r="A3" s="77" t="s">
        <v>333</v>
      </c>
      <c r="B3" s="78" t="s">
        <v>72</v>
      </c>
      <c r="C3" s="79" t="s">
        <v>74</v>
      </c>
      <c r="D3" s="79" t="s">
        <v>336</v>
      </c>
      <c r="E3" s="79" t="s">
        <v>388</v>
      </c>
      <c r="F3" s="79" t="s">
        <v>337</v>
      </c>
      <c r="G3" s="79" t="s">
        <v>2107</v>
      </c>
      <c r="H3" s="79" t="s">
        <v>338</v>
      </c>
      <c r="I3" s="79" t="s">
        <v>390</v>
      </c>
    </row>
    <row r="4" spans="1:9" ht="22.5" customHeight="1">
      <c r="A4" s="216" t="s">
        <v>392</v>
      </c>
      <c r="B4" s="80" t="s">
        <v>1533</v>
      </c>
      <c r="C4" s="217">
        <v>99500</v>
      </c>
      <c r="D4" s="82">
        <f>+ SUMIF('Nhập xuất GG'!B:B, A4,'Nhập xuất GG'!E:E)</f>
        <v>5</v>
      </c>
      <c r="E4" s="82"/>
      <c r="F4" s="82">
        <f>+ SUMIF('Nhập xuất GG'!B:B, A4,'Nhập xuất GG'!H:H)</f>
        <v>0</v>
      </c>
      <c r="G4" s="82"/>
      <c r="H4" s="82">
        <f t="shared" ref="H4:H36" si="0">D4-F4</f>
        <v>5</v>
      </c>
      <c r="I4" s="82"/>
    </row>
    <row r="5" spans="1:9" ht="22.5" customHeight="1">
      <c r="A5" s="216" t="s">
        <v>397</v>
      </c>
      <c r="B5" s="80" t="s">
        <v>1533</v>
      </c>
      <c r="C5" s="217">
        <v>99500</v>
      </c>
      <c r="D5" s="82">
        <f>+ SUMIF('Nhập xuất GG'!B:B, A5,'Nhập xuất GG'!E:E)</f>
        <v>5</v>
      </c>
      <c r="E5" s="82"/>
      <c r="F5" s="82">
        <f>+ SUMIF('Nhập xuất GG'!B:B, A5,'Nhập xuất GG'!H:H)</f>
        <v>0</v>
      </c>
      <c r="G5" s="82"/>
      <c r="H5" s="82">
        <f t="shared" si="0"/>
        <v>5</v>
      </c>
      <c r="I5" s="82"/>
    </row>
    <row r="6" spans="1:9" ht="22.5" customHeight="1">
      <c r="A6" s="216" t="s">
        <v>401</v>
      </c>
      <c r="B6" s="80" t="s">
        <v>1533</v>
      </c>
      <c r="C6" s="217">
        <v>99500</v>
      </c>
      <c r="D6" s="82">
        <f>+ SUMIF('Nhập xuất GG'!B:B, A6,'Nhập xuất GG'!E:E)</f>
        <v>5</v>
      </c>
      <c r="E6" s="82"/>
      <c r="F6" s="82">
        <f>+ SUMIF('Nhập xuất GG'!B:B, A6,'Nhập xuất GG'!H:H)</f>
        <v>0</v>
      </c>
      <c r="G6" s="82"/>
      <c r="H6" s="82">
        <f t="shared" si="0"/>
        <v>5</v>
      </c>
      <c r="I6" s="82"/>
    </row>
    <row r="7" spans="1:9" ht="22.5" customHeight="1">
      <c r="A7" s="216" t="s">
        <v>405</v>
      </c>
      <c r="B7" s="80" t="s">
        <v>1533</v>
      </c>
      <c r="C7" s="217">
        <v>99500</v>
      </c>
      <c r="D7" s="82">
        <f>+ SUMIF('Nhập xuất GG'!B:B, A7,'Nhập xuất GG'!E:E)</f>
        <v>5</v>
      </c>
      <c r="E7" s="82"/>
      <c r="F7" s="82">
        <f>+ SUMIF('Nhập xuất GG'!B:B, A7,'Nhập xuất GG'!H:H)</f>
        <v>0</v>
      </c>
      <c r="G7" s="82"/>
      <c r="H7" s="82">
        <f t="shared" si="0"/>
        <v>5</v>
      </c>
      <c r="I7" s="82"/>
    </row>
    <row r="8" spans="1:9" ht="22.5" customHeight="1">
      <c r="A8" s="80" t="s">
        <v>1534</v>
      </c>
      <c r="B8" s="80" t="s">
        <v>1535</v>
      </c>
      <c r="C8" s="217">
        <v>25000</v>
      </c>
      <c r="D8" s="82">
        <f>+ SUMIF('Nhập xuất GG'!B:B, A8,'Nhập xuất GG'!E:E)</f>
        <v>35</v>
      </c>
      <c r="E8" s="82"/>
      <c r="F8" s="82">
        <f>+ SUMIF('Nhập xuất GG'!B:B, A8,'Nhập xuất GG'!H:H)</f>
        <v>0</v>
      </c>
      <c r="G8" s="82"/>
      <c r="H8" s="82">
        <f t="shared" si="0"/>
        <v>35</v>
      </c>
      <c r="I8" s="82"/>
    </row>
    <row r="9" spans="1:9" ht="22.5" customHeight="1">
      <c r="A9" s="80" t="s">
        <v>1536</v>
      </c>
      <c r="B9" s="80" t="s">
        <v>1535</v>
      </c>
      <c r="C9" s="217">
        <v>25000</v>
      </c>
      <c r="D9" s="82">
        <f>+ SUMIF('Nhập xuất GG'!B:B, A9,'Nhập xuất GG'!E:E)</f>
        <v>35</v>
      </c>
      <c r="E9" s="82"/>
      <c r="F9" s="82">
        <f>+ SUMIF('Nhập xuất GG'!B:B, A9,'Nhập xuất GG'!H:H)</f>
        <v>0</v>
      </c>
      <c r="G9" s="82"/>
      <c r="H9" s="82">
        <f t="shared" si="0"/>
        <v>35</v>
      </c>
      <c r="I9" s="82"/>
    </row>
    <row r="10" spans="1:9" ht="22.5" customHeight="1">
      <c r="A10" s="80" t="s">
        <v>1537</v>
      </c>
      <c r="B10" s="80" t="s">
        <v>1535</v>
      </c>
      <c r="C10" s="217">
        <v>25000</v>
      </c>
      <c r="D10" s="82">
        <f>+ SUMIF('Nhập xuất GG'!B:B, A10,'Nhập xuất GG'!E:E)</f>
        <v>35</v>
      </c>
      <c r="E10" s="82"/>
      <c r="F10" s="82">
        <f>+ SUMIF('Nhập xuất GG'!B:B, A10,'Nhập xuất GG'!H:H)</f>
        <v>0</v>
      </c>
      <c r="G10" s="82"/>
      <c r="H10" s="82">
        <f t="shared" si="0"/>
        <v>35</v>
      </c>
      <c r="I10" s="82"/>
    </row>
    <row r="11" spans="1:9" ht="22.5" customHeight="1">
      <c r="A11" s="80" t="s">
        <v>1538</v>
      </c>
      <c r="B11" s="80" t="s">
        <v>1535</v>
      </c>
      <c r="C11" s="217">
        <v>16000</v>
      </c>
      <c r="D11" s="82">
        <f>+ SUMIF('Nhập xuất GG'!B:B, A11,'Nhập xuất GG'!E:E)</f>
        <v>30</v>
      </c>
      <c r="E11" s="82"/>
      <c r="F11" s="82">
        <f>+ SUMIF('Nhập xuất GG'!B:B, A11,'Nhập xuất GG'!H:H)</f>
        <v>0</v>
      </c>
      <c r="G11" s="82"/>
      <c r="H11" s="82">
        <f t="shared" si="0"/>
        <v>30</v>
      </c>
      <c r="I11" s="82"/>
    </row>
    <row r="12" spans="1:9" ht="22.5" customHeight="1">
      <c r="A12" s="80" t="s">
        <v>1539</v>
      </c>
      <c r="B12" s="80" t="s">
        <v>1535</v>
      </c>
      <c r="C12" s="217">
        <v>16000</v>
      </c>
      <c r="D12" s="82">
        <f>+ SUMIF('Nhập xuất GG'!B:B, A12,'Nhập xuất GG'!E:E)</f>
        <v>30</v>
      </c>
      <c r="E12" s="91"/>
      <c r="F12" s="82">
        <f>+ SUMIF('Nhập xuất GG'!B:B, A12,'Nhập xuất GG'!H:H)</f>
        <v>0</v>
      </c>
      <c r="G12" s="91"/>
      <c r="H12" s="82">
        <f t="shared" si="0"/>
        <v>30</v>
      </c>
      <c r="I12" s="91"/>
    </row>
    <row r="13" spans="1:9" ht="22.5" customHeight="1">
      <c r="A13" s="80" t="s">
        <v>1540</v>
      </c>
      <c r="B13" s="80" t="s">
        <v>1535</v>
      </c>
      <c r="C13" s="217">
        <v>16000</v>
      </c>
      <c r="D13" s="82">
        <f>+ SUMIF('Nhập xuất GG'!B:B, A13,'Nhập xuất GG'!E:E)</f>
        <v>20</v>
      </c>
      <c r="E13" s="91"/>
      <c r="F13" s="82">
        <f>+ SUMIF('Nhập xuất GG'!B:B, A13,'Nhập xuất GG'!H:H)</f>
        <v>0</v>
      </c>
      <c r="G13" s="91"/>
      <c r="H13" s="82">
        <f t="shared" si="0"/>
        <v>20</v>
      </c>
      <c r="I13" s="91"/>
    </row>
    <row r="14" spans="1:9" ht="22.5" customHeight="1">
      <c r="A14" s="80" t="s">
        <v>1541</v>
      </c>
      <c r="B14" s="80" t="s">
        <v>1535</v>
      </c>
      <c r="C14" s="217">
        <v>16000</v>
      </c>
      <c r="D14" s="82">
        <f>+ SUMIF('Nhập xuất GG'!B:B, A14,'Nhập xuất GG'!E:E)</f>
        <v>20</v>
      </c>
      <c r="E14" s="91"/>
      <c r="F14" s="82">
        <f>+ SUMIF('Nhập xuất GG'!B:B, A14,'Nhập xuất GG'!H:H)</f>
        <v>0</v>
      </c>
      <c r="G14" s="91"/>
      <c r="H14" s="82">
        <f t="shared" si="0"/>
        <v>20</v>
      </c>
      <c r="I14" s="91"/>
    </row>
    <row r="15" spans="1:9" ht="22.5" customHeight="1">
      <c r="A15" s="80" t="s">
        <v>1542</v>
      </c>
      <c r="B15" s="80" t="s">
        <v>1535</v>
      </c>
      <c r="C15" s="217">
        <v>16000</v>
      </c>
      <c r="D15" s="82">
        <f>+ SUMIF('Nhập xuất GG'!B:B, A15,'Nhập xuất GG'!E:E)</f>
        <v>20</v>
      </c>
      <c r="E15" s="91"/>
      <c r="F15" s="82">
        <f>+ SUMIF('Nhập xuất GG'!B:B, A15,'Nhập xuất GG'!H:H)</f>
        <v>0</v>
      </c>
      <c r="G15" s="91"/>
      <c r="H15" s="82">
        <f t="shared" si="0"/>
        <v>20</v>
      </c>
      <c r="I15" s="91"/>
    </row>
    <row r="16" spans="1:9" ht="22.5" customHeight="1">
      <c r="A16" s="80" t="s">
        <v>1543</v>
      </c>
      <c r="B16" s="80" t="s">
        <v>1535</v>
      </c>
      <c r="C16" s="217">
        <v>16000</v>
      </c>
      <c r="D16" s="82">
        <f>+ SUMIF('Nhập xuất GG'!B:B, A16,'Nhập xuất GG'!E:E)</f>
        <v>20</v>
      </c>
      <c r="E16" s="91"/>
      <c r="F16" s="82">
        <f>+ SUMIF('Nhập xuất GG'!B:B, A16,'Nhập xuất GG'!H:H)</f>
        <v>0</v>
      </c>
      <c r="G16" s="91"/>
      <c r="H16" s="82">
        <f t="shared" si="0"/>
        <v>20</v>
      </c>
      <c r="I16" s="91"/>
    </row>
    <row r="17" spans="1:12" ht="22.5" customHeight="1">
      <c r="A17" s="80" t="s">
        <v>1544</v>
      </c>
      <c r="B17" s="80" t="s">
        <v>1545</v>
      </c>
      <c r="C17" s="217">
        <v>49000</v>
      </c>
      <c r="D17" s="82">
        <f>+ SUMIF('Nhập xuất GG'!B:B, A17,'Nhập xuất GG'!E:E)</f>
        <v>10</v>
      </c>
      <c r="E17" s="91"/>
      <c r="F17" s="82">
        <f>+ SUMIF('Nhập xuất GG'!B:B, A17,'Nhập xuất GG'!H:H)</f>
        <v>0</v>
      </c>
      <c r="G17" s="91"/>
      <c r="H17" s="82">
        <f t="shared" si="0"/>
        <v>10</v>
      </c>
      <c r="I17" s="91"/>
    </row>
    <row r="18" spans="1:12" ht="22.5" customHeight="1">
      <c r="A18" s="80" t="s">
        <v>1546</v>
      </c>
      <c r="B18" s="80" t="s">
        <v>1545</v>
      </c>
      <c r="C18" s="217">
        <v>49000</v>
      </c>
      <c r="D18" s="82">
        <f>+ SUMIF('Nhập xuất GG'!B:B, A18,'Nhập xuất GG'!E:E)</f>
        <v>4</v>
      </c>
      <c r="E18" s="91"/>
      <c r="F18" s="82">
        <f>+ SUMIF('Nhập xuất GG'!B:B, A18,'Nhập xuất GG'!H:H)</f>
        <v>0</v>
      </c>
      <c r="G18" s="91"/>
      <c r="H18" s="82">
        <f t="shared" si="0"/>
        <v>4</v>
      </c>
      <c r="I18" s="91"/>
      <c r="L18" s="218"/>
    </row>
    <row r="19" spans="1:12" ht="22.5" customHeight="1">
      <c r="A19" s="80" t="s">
        <v>1547</v>
      </c>
      <c r="B19" s="80" t="s">
        <v>1545</v>
      </c>
      <c r="C19" s="217">
        <v>49000</v>
      </c>
      <c r="D19" s="82">
        <f>+ SUMIF('Nhập xuất GG'!B:B, A19,'Nhập xuất GG'!E:E)</f>
        <v>4</v>
      </c>
      <c r="E19" s="91"/>
      <c r="F19" s="82">
        <f>+ SUMIF('Nhập xuất GG'!B:B, A19,'Nhập xuất GG'!H:H)</f>
        <v>0</v>
      </c>
      <c r="G19" s="91"/>
      <c r="H19" s="82">
        <f t="shared" si="0"/>
        <v>4</v>
      </c>
      <c r="I19" s="91"/>
    </row>
    <row r="20" spans="1:12" ht="22.5" customHeight="1">
      <c r="A20" s="80" t="s">
        <v>1548</v>
      </c>
      <c r="B20" s="80" t="s">
        <v>1545</v>
      </c>
      <c r="C20" s="217">
        <v>49000</v>
      </c>
      <c r="D20" s="82">
        <f>+ SUMIF('Nhập xuất GG'!B:B, A20,'Nhập xuất GG'!E:E)</f>
        <v>4</v>
      </c>
      <c r="E20" s="91"/>
      <c r="F20" s="82">
        <f>+ SUMIF('Nhập xuất GG'!B:B, A20,'Nhập xuất GG'!H:H)</f>
        <v>0</v>
      </c>
      <c r="G20" s="91"/>
      <c r="H20" s="82">
        <f t="shared" si="0"/>
        <v>4</v>
      </c>
      <c r="I20" s="91"/>
    </row>
    <row r="21" spans="1:12" ht="22.5" customHeight="1">
      <c r="A21" s="80" t="s">
        <v>1549</v>
      </c>
      <c r="B21" s="80" t="s">
        <v>1550</v>
      </c>
      <c r="C21" s="217">
        <v>59000</v>
      </c>
      <c r="D21" s="82">
        <f>+ SUMIF('Nhập xuất GG'!B:B, A21,'Nhập xuất GG'!E:E)</f>
        <v>9</v>
      </c>
      <c r="E21" s="91"/>
      <c r="F21" s="82">
        <f>+ SUMIF('Nhập xuất GG'!B:B, A21,'Nhập xuất GG'!H:H)</f>
        <v>0</v>
      </c>
      <c r="G21" s="91"/>
      <c r="H21" s="82">
        <f t="shared" si="0"/>
        <v>9</v>
      </c>
      <c r="I21" s="91"/>
    </row>
    <row r="22" spans="1:12" ht="22.5" customHeight="1">
      <c r="A22" s="80" t="s">
        <v>1551</v>
      </c>
      <c r="B22" s="80" t="s">
        <v>1550</v>
      </c>
      <c r="C22" s="217">
        <v>59000</v>
      </c>
      <c r="D22" s="82">
        <f>+ SUMIF('Nhập xuất GG'!B:B, A22,'Nhập xuất GG'!E:E)</f>
        <v>4</v>
      </c>
      <c r="E22" s="91"/>
      <c r="F22" s="82">
        <f>+ SUMIF('Nhập xuất GG'!B:B, A22,'Nhập xuất GG'!H:H)</f>
        <v>0</v>
      </c>
      <c r="G22" s="91"/>
      <c r="H22" s="82">
        <f t="shared" si="0"/>
        <v>4</v>
      </c>
      <c r="I22" s="91"/>
    </row>
    <row r="23" spans="1:12" ht="22.5" customHeight="1">
      <c r="A23" s="80" t="s">
        <v>1552</v>
      </c>
      <c r="B23" s="80" t="s">
        <v>1550</v>
      </c>
      <c r="C23" s="217">
        <v>59000</v>
      </c>
      <c r="D23" s="82">
        <f>+ SUMIF('Nhập xuất GG'!B:B, A23,'Nhập xuất GG'!E:E)</f>
        <v>4</v>
      </c>
      <c r="E23" s="91"/>
      <c r="F23" s="82">
        <f>+ SUMIF('Nhập xuất GG'!B:B, A23,'Nhập xuất GG'!H:H)</f>
        <v>0</v>
      </c>
      <c r="G23" s="91"/>
      <c r="H23" s="82">
        <f t="shared" si="0"/>
        <v>4</v>
      </c>
      <c r="I23" s="91"/>
    </row>
    <row r="24" spans="1:12" ht="22.5" customHeight="1">
      <c r="A24" s="80" t="s">
        <v>1553</v>
      </c>
      <c r="B24" s="80" t="s">
        <v>1550</v>
      </c>
      <c r="C24" s="217">
        <v>59000</v>
      </c>
      <c r="D24" s="82">
        <f>+ SUMIF('Nhập xuất GG'!B:B, A24,'Nhập xuất GG'!E:E)</f>
        <v>4</v>
      </c>
      <c r="E24" s="91"/>
      <c r="F24" s="82">
        <f>+ SUMIF('Nhập xuất GG'!B:B, A24,'Nhập xuất GG'!H:H)</f>
        <v>0</v>
      </c>
      <c r="G24" s="91"/>
      <c r="H24" s="82">
        <f t="shared" si="0"/>
        <v>4</v>
      </c>
      <c r="I24" s="91"/>
    </row>
    <row r="25" spans="1:12" ht="22.5" customHeight="1">
      <c r="A25" s="80" t="s">
        <v>1554</v>
      </c>
      <c r="B25" s="80" t="s">
        <v>1555</v>
      </c>
      <c r="C25" s="217">
        <v>109000</v>
      </c>
      <c r="D25" s="82">
        <f>+ SUMIF('Nhập xuất GG'!B:B, A25,'Nhập xuất GG'!E:E)</f>
        <v>10</v>
      </c>
      <c r="E25" s="91"/>
      <c r="F25" s="82">
        <f>+ SUMIF('Nhập xuất GG'!B:B, A25,'Nhập xuất GG'!H:H)</f>
        <v>0</v>
      </c>
      <c r="G25" s="91"/>
      <c r="H25" s="82">
        <f t="shared" si="0"/>
        <v>10</v>
      </c>
      <c r="I25" s="91"/>
    </row>
    <row r="26" spans="1:12" ht="22.5" customHeight="1">
      <c r="A26" s="80" t="s">
        <v>1556</v>
      </c>
      <c r="B26" s="80" t="s">
        <v>1555</v>
      </c>
      <c r="C26" s="217">
        <v>109000</v>
      </c>
      <c r="D26" s="82">
        <f>+ SUMIF('Nhập xuất GG'!B:B, A26,'Nhập xuất GG'!E:E)</f>
        <v>4</v>
      </c>
      <c r="E26" s="91"/>
      <c r="F26" s="82">
        <f>+ SUMIF('Nhập xuất GG'!B:B, A26,'Nhập xuất GG'!H:H)</f>
        <v>0</v>
      </c>
      <c r="G26" s="91"/>
      <c r="H26" s="82">
        <f t="shared" si="0"/>
        <v>4</v>
      </c>
      <c r="I26" s="91"/>
    </row>
    <row r="27" spans="1:12" ht="22.5" customHeight="1">
      <c r="A27" s="80" t="s">
        <v>1557</v>
      </c>
      <c r="B27" s="80" t="s">
        <v>1555</v>
      </c>
      <c r="C27" s="217">
        <v>109000</v>
      </c>
      <c r="D27" s="82">
        <f>+ SUMIF('Nhập xuất GG'!B:B, A27,'Nhập xuất GG'!E:E)</f>
        <v>4</v>
      </c>
      <c r="E27" s="91"/>
      <c r="F27" s="82">
        <f>+ SUMIF('Nhập xuất GG'!B:B, A27,'Nhập xuất GG'!H:H)</f>
        <v>0</v>
      </c>
      <c r="G27" s="91"/>
      <c r="H27" s="82">
        <f t="shared" si="0"/>
        <v>4</v>
      </c>
      <c r="I27" s="91"/>
    </row>
    <row r="28" spans="1:12" ht="22.5" customHeight="1">
      <c r="A28" s="80" t="s">
        <v>1558</v>
      </c>
      <c r="B28" s="80" t="s">
        <v>1555</v>
      </c>
      <c r="C28" s="217">
        <v>109000</v>
      </c>
      <c r="D28" s="82">
        <f>+ SUMIF('Nhập xuất GG'!B:B, A28,'Nhập xuất GG'!E:E)</f>
        <v>4</v>
      </c>
      <c r="E28" s="91"/>
      <c r="F28" s="82">
        <f>+ SUMIF('Nhập xuất GG'!B:B, A28,'Nhập xuất GG'!H:H)</f>
        <v>0</v>
      </c>
      <c r="G28" s="91"/>
      <c r="H28" s="82">
        <f t="shared" si="0"/>
        <v>4</v>
      </c>
      <c r="I28" s="91"/>
    </row>
    <row r="29" spans="1:12" ht="22.5" customHeight="1">
      <c r="A29" s="80" t="s">
        <v>1559</v>
      </c>
      <c r="B29" s="80" t="s">
        <v>1560</v>
      </c>
      <c r="C29" s="217">
        <v>69000</v>
      </c>
      <c r="D29" s="82">
        <f>+ SUMIF('Nhập xuất GG'!B:B, A29,'Nhập xuất GG'!E:E)</f>
        <v>10</v>
      </c>
      <c r="E29" s="91"/>
      <c r="F29" s="82">
        <f>+ SUMIF('Nhập xuất GG'!B:B, A29,'Nhập xuất GG'!H:H)</f>
        <v>0</v>
      </c>
      <c r="G29" s="91"/>
      <c r="H29" s="82">
        <f t="shared" si="0"/>
        <v>10</v>
      </c>
      <c r="I29" s="91"/>
    </row>
    <row r="30" spans="1:12" ht="22.5" customHeight="1">
      <c r="A30" s="80" t="s">
        <v>1561</v>
      </c>
      <c r="B30" s="80" t="s">
        <v>1560</v>
      </c>
      <c r="C30" s="217">
        <v>69000</v>
      </c>
      <c r="D30" s="82">
        <f>+ SUMIF('Nhập xuất GG'!B:B, A30,'Nhập xuất GG'!E:E)</f>
        <v>4</v>
      </c>
      <c r="E30" s="91"/>
      <c r="F30" s="82">
        <f>+ SUMIF('Nhập xuất GG'!B:B, A30,'Nhập xuất GG'!H:H)</f>
        <v>0</v>
      </c>
      <c r="G30" s="91"/>
      <c r="H30" s="82">
        <f t="shared" si="0"/>
        <v>4</v>
      </c>
      <c r="I30" s="91"/>
    </row>
    <row r="31" spans="1:12" ht="22.5" customHeight="1">
      <c r="A31" s="80" t="s">
        <v>1562</v>
      </c>
      <c r="B31" s="80" t="s">
        <v>1560</v>
      </c>
      <c r="C31" s="217">
        <v>69000</v>
      </c>
      <c r="D31" s="82">
        <f>+ SUMIF('Nhập xuất GG'!B:B, A31,'Nhập xuất GG'!E:E)</f>
        <v>4</v>
      </c>
      <c r="E31" s="91"/>
      <c r="F31" s="82">
        <f>+ SUMIF('Nhập xuất GG'!B:B, A31,'Nhập xuất GG'!H:H)</f>
        <v>0</v>
      </c>
      <c r="G31" s="91"/>
      <c r="H31" s="82">
        <f t="shared" si="0"/>
        <v>4</v>
      </c>
      <c r="I31" s="91"/>
    </row>
    <row r="32" spans="1:12" ht="22.5" customHeight="1">
      <c r="A32" s="80" t="s">
        <v>1563</v>
      </c>
      <c r="B32" s="80" t="s">
        <v>1560</v>
      </c>
      <c r="C32" s="217">
        <v>69000</v>
      </c>
      <c r="D32" s="82">
        <f>+ SUMIF('Nhập xuất GG'!B:B, A32,'Nhập xuất GG'!E:E)</f>
        <v>4</v>
      </c>
      <c r="E32" s="91"/>
      <c r="F32" s="82">
        <f>+ SUMIF('Nhập xuất GG'!B:B, A32,'Nhập xuất GG'!H:H)</f>
        <v>0</v>
      </c>
      <c r="G32" s="91"/>
      <c r="H32" s="82">
        <f t="shared" si="0"/>
        <v>4</v>
      </c>
      <c r="I32" s="91"/>
    </row>
    <row r="33" spans="1:9" ht="22.5" customHeight="1">
      <c r="A33" s="80" t="s">
        <v>1564</v>
      </c>
      <c r="B33" s="80" t="s">
        <v>1565</v>
      </c>
      <c r="C33" s="217">
        <v>119000</v>
      </c>
      <c r="D33" s="82">
        <f>+ SUMIF('Nhập xuất GG'!B:B, A33,'Nhập xuất GG'!E:E)</f>
        <v>27</v>
      </c>
      <c r="E33" s="91"/>
      <c r="F33" s="82">
        <f>+ SUMIF('Nhập xuất GG'!B:B, A33,'Nhập xuất GG'!H:H)</f>
        <v>0</v>
      </c>
      <c r="G33" s="91"/>
      <c r="H33" s="82">
        <f t="shared" si="0"/>
        <v>27</v>
      </c>
      <c r="I33" s="91"/>
    </row>
    <row r="34" spans="1:9" ht="22.5" customHeight="1">
      <c r="A34" s="80" t="s">
        <v>1566</v>
      </c>
      <c r="B34" s="80" t="s">
        <v>1565</v>
      </c>
      <c r="C34" s="217">
        <v>119000</v>
      </c>
      <c r="D34" s="82">
        <f>+ SUMIF('Nhập xuất GG'!B:B, A34,'Nhập xuất GG'!E:E)</f>
        <v>7</v>
      </c>
      <c r="E34" s="91"/>
      <c r="F34" s="82">
        <f>+ SUMIF('Nhập xuất GG'!B:B, A34,'Nhập xuất GG'!H:H)</f>
        <v>0</v>
      </c>
      <c r="G34" s="91"/>
      <c r="H34" s="82">
        <f t="shared" si="0"/>
        <v>7</v>
      </c>
      <c r="I34" s="91"/>
    </row>
    <row r="35" spans="1:9" ht="22.5" customHeight="1">
      <c r="A35" s="80"/>
      <c r="B35" s="91"/>
      <c r="C35" s="217"/>
      <c r="D35" s="82">
        <f>+ SUMIF('Nhập xuất GG'!B:B, A35,'Nhập xuất GG'!E:E)</f>
        <v>0</v>
      </c>
      <c r="E35" s="91"/>
      <c r="F35" s="82">
        <f>+ SUMIF('Nhập xuất GG'!B:B, A35,'Nhập xuất GG'!H:H)</f>
        <v>0</v>
      </c>
      <c r="G35" s="91"/>
      <c r="H35" s="82">
        <f t="shared" si="0"/>
        <v>0</v>
      </c>
      <c r="I35" s="91"/>
    </row>
    <row r="36" spans="1:9" ht="22.5" customHeight="1">
      <c r="A36" s="80"/>
      <c r="B36" s="91"/>
      <c r="C36" s="217"/>
      <c r="D36" s="82">
        <f>+ SUMIF('Nhập xuất GG'!B:B, A36,'Nhập xuất GG'!E:E)</f>
        <v>0</v>
      </c>
      <c r="E36" s="91"/>
      <c r="F36" s="82">
        <f>+ SUMIF('Nhập xuất GG'!B:B, A36,'Nhập xuất GG'!H:H)</f>
        <v>0</v>
      </c>
      <c r="G36" s="91"/>
      <c r="H36" s="82">
        <f t="shared" si="0"/>
        <v>0</v>
      </c>
      <c r="I36" s="91"/>
    </row>
    <row r="37" spans="1:9" ht="22.5" customHeight="1">
      <c r="A37" s="91"/>
      <c r="B37" s="91"/>
      <c r="C37" s="80"/>
      <c r="D37" s="82">
        <f>+ SUMIF('Nhập xuất GG'!B:B, A37,'Nhập xuất GG'!E:E)</f>
        <v>0</v>
      </c>
      <c r="E37" s="91"/>
      <c r="F37" s="82">
        <f>+ SUMIF('Nhập xuất GG'!B:B, A37,'Nhập xuất GG'!H:H)</f>
        <v>0</v>
      </c>
      <c r="G37" s="91"/>
      <c r="H37" s="91"/>
      <c r="I37" s="91"/>
    </row>
    <row r="38" spans="1:9" ht="22.5" customHeight="1">
      <c r="A38" s="77" t="s">
        <v>333</v>
      </c>
      <c r="B38" s="78" t="s">
        <v>72</v>
      </c>
      <c r="C38" s="78" t="s">
        <v>74</v>
      </c>
      <c r="D38" s="79" t="s">
        <v>336</v>
      </c>
      <c r="E38" s="78" t="s">
        <v>388</v>
      </c>
      <c r="F38" s="79" t="s">
        <v>337</v>
      </c>
      <c r="G38" s="78" t="s">
        <v>2107</v>
      </c>
      <c r="H38" s="78" t="s">
        <v>338</v>
      </c>
      <c r="I38" s="78" t="s">
        <v>390</v>
      </c>
    </row>
    <row r="39" spans="1:9" ht="22.5" customHeight="1">
      <c r="A39" s="80" t="s">
        <v>911</v>
      </c>
      <c r="B39" s="80" t="s">
        <v>2108</v>
      </c>
      <c r="C39" s="217">
        <v>45000</v>
      </c>
      <c r="D39" s="82"/>
      <c r="E39" s="91"/>
      <c r="F39" s="81"/>
      <c r="G39" s="91"/>
      <c r="H39" s="91"/>
      <c r="I39" s="91"/>
    </row>
    <row r="40" spans="1:9" ht="22.5" customHeight="1">
      <c r="A40" s="80" t="s">
        <v>907</v>
      </c>
      <c r="B40" s="80" t="s">
        <v>2109</v>
      </c>
      <c r="C40" s="217">
        <v>45000</v>
      </c>
      <c r="D40" s="82"/>
      <c r="E40" s="91"/>
      <c r="F40" s="82"/>
      <c r="G40" s="91"/>
      <c r="H40" s="91"/>
      <c r="I40" s="91"/>
    </row>
    <row r="41" spans="1:9" ht="22.5" customHeight="1">
      <c r="A41" s="80" t="s">
        <v>909</v>
      </c>
      <c r="B41" s="80" t="s">
        <v>2110</v>
      </c>
      <c r="C41" s="217">
        <v>45000</v>
      </c>
      <c r="D41" s="82"/>
      <c r="E41" s="91"/>
      <c r="F41" s="82"/>
      <c r="G41" s="91"/>
      <c r="H41" s="91"/>
      <c r="I41" s="91"/>
    </row>
    <row r="42" spans="1:9" ht="22.5" customHeight="1">
      <c r="A42" s="80" t="s">
        <v>913</v>
      </c>
      <c r="B42" s="80" t="s">
        <v>2111</v>
      </c>
      <c r="C42" s="217">
        <v>45000</v>
      </c>
      <c r="D42" s="82"/>
      <c r="E42" s="91"/>
      <c r="F42" s="82"/>
      <c r="G42" s="91"/>
      <c r="H42" s="91"/>
      <c r="I42" s="91"/>
    </row>
    <row r="43" spans="1:9" ht="22.5" customHeight="1">
      <c r="A43" s="80" t="s">
        <v>917</v>
      </c>
      <c r="B43" s="80" t="s">
        <v>2112</v>
      </c>
      <c r="C43" s="217">
        <v>45000</v>
      </c>
      <c r="D43" s="82"/>
      <c r="E43" s="91"/>
      <c r="F43" s="82"/>
      <c r="G43" s="91"/>
      <c r="H43" s="91"/>
      <c r="I43" s="91"/>
    </row>
    <row r="44" spans="1:9" ht="22.5" customHeight="1">
      <c r="A44" s="80" t="s">
        <v>915</v>
      </c>
      <c r="B44" s="80" t="s">
        <v>2113</v>
      </c>
      <c r="C44" s="217">
        <v>45000</v>
      </c>
      <c r="D44" s="82"/>
      <c r="E44" s="91"/>
      <c r="F44" s="82"/>
      <c r="G44" s="91"/>
      <c r="H44" s="91"/>
      <c r="I44" s="91"/>
    </row>
    <row r="45" spans="1:9" ht="22.5" customHeight="1">
      <c r="A45" s="80" t="s">
        <v>919</v>
      </c>
      <c r="B45" s="80" t="s">
        <v>2114</v>
      </c>
      <c r="C45" s="217">
        <v>45000</v>
      </c>
      <c r="D45" s="82"/>
      <c r="E45" s="91"/>
      <c r="F45" s="82"/>
      <c r="G45" s="91"/>
      <c r="H45" s="91"/>
      <c r="I45" s="91"/>
    </row>
    <row r="46" spans="1:9" ht="22.5" customHeight="1">
      <c r="A46" s="80" t="s">
        <v>921</v>
      </c>
      <c r="B46" s="80" t="s">
        <v>2115</v>
      </c>
      <c r="C46" s="217">
        <v>45000</v>
      </c>
      <c r="D46" s="82"/>
      <c r="E46" s="91"/>
      <c r="F46" s="82"/>
      <c r="G46" s="91"/>
      <c r="H46" s="91"/>
      <c r="I46" s="91"/>
    </row>
    <row r="47" spans="1:9" ht="22.5" customHeight="1">
      <c r="A47" s="91"/>
      <c r="B47" s="91"/>
      <c r="C47" s="219"/>
      <c r="D47" s="82"/>
      <c r="E47" s="91"/>
      <c r="F47" s="82"/>
      <c r="G47" s="91"/>
      <c r="H47" s="91"/>
      <c r="I47" s="91"/>
    </row>
    <row r="48" spans="1:9" ht="13.2">
      <c r="C48" s="75"/>
      <c r="D48" s="75"/>
      <c r="E48" s="75"/>
      <c r="F48" s="75"/>
      <c r="G48" s="75"/>
      <c r="H48" s="75"/>
      <c r="I48" s="75"/>
    </row>
    <row r="49" spans="3:9" ht="13.2">
      <c r="C49" s="75"/>
      <c r="D49" s="75"/>
      <c r="E49" s="75"/>
      <c r="F49" s="75"/>
      <c r="G49" s="75"/>
      <c r="H49" s="75"/>
      <c r="I49" s="75"/>
    </row>
    <row r="50" spans="3:9" ht="13.2">
      <c r="C50" s="75"/>
      <c r="D50" s="75"/>
      <c r="E50" s="75"/>
      <c r="F50" s="75"/>
      <c r="G50" s="75"/>
      <c r="H50" s="75"/>
      <c r="I50" s="75"/>
    </row>
    <row r="51" spans="3:9" ht="13.2">
      <c r="C51" s="75"/>
      <c r="D51" s="75"/>
      <c r="E51" s="75"/>
      <c r="F51" s="75"/>
      <c r="G51" s="75"/>
      <c r="H51" s="75"/>
      <c r="I51" s="75"/>
    </row>
    <row r="52" spans="3:9" ht="13.2">
      <c r="C52" s="75"/>
      <c r="D52" s="75"/>
      <c r="E52" s="75"/>
      <c r="F52" s="75"/>
      <c r="G52" s="75"/>
      <c r="H52" s="75"/>
      <c r="I52" s="75"/>
    </row>
    <row r="53" spans="3:9" ht="13.2">
      <c r="C53" s="75"/>
      <c r="D53" s="75"/>
      <c r="E53" s="75"/>
      <c r="F53" s="75"/>
      <c r="G53" s="75"/>
      <c r="H53" s="75"/>
      <c r="I53" s="75"/>
    </row>
    <row r="54" spans="3:9" ht="13.2">
      <c r="C54" s="75"/>
      <c r="D54" s="75"/>
      <c r="E54" s="75"/>
      <c r="F54" s="75"/>
      <c r="G54" s="75"/>
      <c r="H54" s="75"/>
      <c r="I54" s="75"/>
    </row>
    <row r="55" spans="3:9" ht="13.2">
      <c r="C55" s="75"/>
      <c r="D55" s="75"/>
      <c r="E55" s="75"/>
      <c r="F55" s="75"/>
      <c r="G55" s="75"/>
      <c r="H55" s="75"/>
      <c r="I55" s="75"/>
    </row>
    <row r="56" spans="3:9" ht="13.2">
      <c r="C56" s="75"/>
      <c r="D56" s="75"/>
      <c r="E56" s="75"/>
      <c r="F56" s="75"/>
      <c r="G56" s="75"/>
      <c r="H56" s="75"/>
      <c r="I56" s="75"/>
    </row>
    <row r="57" spans="3:9" ht="13.2">
      <c r="C57" s="75"/>
      <c r="D57" s="75"/>
      <c r="E57" s="75"/>
      <c r="F57" s="75"/>
      <c r="G57" s="75"/>
      <c r="H57" s="75"/>
      <c r="I57" s="75"/>
    </row>
    <row r="58" spans="3:9" ht="13.2">
      <c r="C58" s="75"/>
      <c r="D58" s="75"/>
      <c r="E58" s="75"/>
      <c r="F58" s="75"/>
      <c r="G58" s="75"/>
      <c r="H58" s="75"/>
      <c r="I58" s="75"/>
    </row>
    <row r="59" spans="3:9" ht="13.2">
      <c r="C59" s="75"/>
      <c r="D59" s="75"/>
      <c r="E59" s="75"/>
      <c r="F59" s="75"/>
      <c r="G59" s="75"/>
      <c r="H59" s="75"/>
      <c r="I59" s="75"/>
    </row>
    <row r="60" spans="3:9" ht="13.2">
      <c r="C60" s="75"/>
      <c r="D60" s="75"/>
      <c r="E60" s="75"/>
      <c r="F60" s="75"/>
      <c r="G60" s="75"/>
      <c r="H60" s="75"/>
      <c r="I60" s="75"/>
    </row>
    <row r="61" spans="3:9" ht="13.2">
      <c r="C61" s="75"/>
      <c r="D61" s="75"/>
      <c r="E61" s="75"/>
      <c r="F61" s="75"/>
      <c r="G61" s="75"/>
      <c r="H61" s="75"/>
      <c r="I61" s="75"/>
    </row>
    <row r="62" spans="3:9" ht="13.2">
      <c r="C62" s="75"/>
      <c r="D62" s="75"/>
      <c r="E62" s="75"/>
      <c r="F62" s="75"/>
      <c r="G62" s="75"/>
      <c r="H62" s="75"/>
      <c r="I62" s="75"/>
    </row>
    <row r="63" spans="3:9" ht="13.2">
      <c r="C63" s="75"/>
      <c r="D63" s="75"/>
      <c r="E63" s="75"/>
      <c r="F63" s="75"/>
      <c r="G63" s="75"/>
      <c r="H63" s="75"/>
      <c r="I63" s="75"/>
    </row>
    <row r="64" spans="3:9" ht="13.2">
      <c r="C64" s="75"/>
      <c r="D64" s="75"/>
      <c r="E64" s="75"/>
      <c r="F64" s="75"/>
      <c r="G64" s="75"/>
      <c r="H64" s="75"/>
      <c r="I64" s="75"/>
    </row>
    <row r="65" spans="3:9" ht="13.2">
      <c r="C65" s="75"/>
      <c r="D65" s="75"/>
      <c r="E65" s="75"/>
      <c r="F65" s="75"/>
      <c r="G65" s="75"/>
      <c r="H65" s="75"/>
      <c r="I65" s="75"/>
    </row>
    <row r="66" spans="3:9" ht="13.2">
      <c r="C66" s="75"/>
      <c r="D66" s="75"/>
      <c r="E66" s="75"/>
      <c r="F66" s="75"/>
      <c r="G66" s="75"/>
      <c r="H66" s="75"/>
      <c r="I66" s="75"/>
    </row>
    <row r="67" spans="3:9" ht="13.2">
      <c r="C67" s="75"/>
      <c r="D67" s="75"/>
      <c r="E67" s="75"/>
      <c r="F67" s="75"/>
      <c r="G67" s="75"/>
      <c r="H67" s="75"/>
      <c r="I67" s="75"/>
    </row>
    <row r="68" spans="3:9" ht="13.2">
      <c r="C68" s="75"/>
      <c r="D68" s="75"/>
      <c r="E68" s="75"/>
      <c r="F68" s="75"/>
      <c r="G68" s="75"/>
      <c r="H68" s="75"/>
      <c r="I68" s="75"/>
    </row>
    <row r="69" spans="3:9" ht="13.2">
      <c r="C69" s="75"/>
      <c r="D69" s="75"/>
      <c r="E69" s="75"/>
      <c r="F69" s="75"/>
      <c r="G69" s="75"/>
      <c r="H69" s="75"/>
      <c r="I69" s="75"/>
    </row>
    <row r="70" spans="3:9" ht="13.2">
      <c r="C70" s="75"/>
      <c r="D70" s="75"/>
      <c r="E70" s="75"/>
      <c r="F70" s="75"/>
      <c r="G70" s="75"/>
      <c r="H70" s="75"/>
      <c r="I70" s="75"/>
    </row>
    <row r="71" spans="3:9" ht="13.2">
      <c r="C71" s="75"/>
      <c r="D71" s="75"/>
      <c r="E71" s="75"/>
      <c r="F71" s="75"/>
      <c r="G71" s="75"/>
      <c r="H71" s="75"/>
      <c r="I71" s="75"/>
    </row>
    <row r="72" spans="3:9" ht="13.2">
      <c r="C72" s="75"/>
      <c r="D72" s="75"/>
      <c r="E72" s="75"/>
      <c r="F72" s="75"/>
      <c r="G72" s="75"/>
      <c r="H72" s="75"/>
      <c r="I72" s="75"/>
    </row>
    <row r="73" spans="3:9" ht="13.2">
      <c r="C73" s="75"/>
      <c r="D73" s="75"/>
      <c r="E73" s="75"/>
      <c r="F73" s="75"/>
      <c r="G73" s="75"/>
      <c r="H73" s="75"/>
      <c r="I73" s="75"/>
    </row>
    <row r="74" spans="3:9" ht="13.2">
      <c r="C74" s="75"/>
      <c r="D74" s="75"/>
      <c r="E74" s="75"/>
      <c r="F74" s="75"/>
      <c r="G74" s="75"/>
      <c r="H74" s="75"/>
      <c r="I74" s="75"/>
    </row>
    <row r="75" spans="3:9" ht="13.2">
      <c r="C75" s="75"/>
      <c r="D75" s="75"/>
      <c r="E75" s="75"/>
      <c r="F75" s="75"/>
      <c r="G75" s="75"/>
      <c r="H75" s="75"/>
      <c r="I75" s="75"/>
    </row>
    <row r="76" spans="3:9" ht="13.2">
      <c r="C76" s="75"/>
      <c r="D76" s="75"/>
      <c r="E76" s="75"/>
      <c r="F76" s="75"/>
      <c r="G76" s="75"/>
      <c r="H76" s="75"/>
      <c r="I76" s="75"/>
    </row>
    <row r="77" spans="3:9" ht="13.2">
      <c r="C77" s="75"/>
      <c r="D77" s="75"/>
      <c r="E77" s="75"/>
      <c r="F77" s="75"/>
      <c r="G77" s="75"/>
      <c r="H77" s="75"/>
      <c r="I77" s="75"/>
    </row>
    <row r="78" spans="3:9" ht="13.2">
      <c r="C78" s="75"/>
      <c r="D78" s="75"/>
      <c r="E78" s="75"/>
      <c r="F78" s="75"/>
      <c r="G78" s="75"/>
      <c r="H78" s="75"/>
      <c r="I78" s="75"/>
    </row>
    <row r="79" spans="3:9" ht="13.2">
      <c r="C79" s="75"/>
      <c r="D79" s="75"/>
      <c r="E79" s="75"/>
      <c r="F79" s="75"/>
      <c r="G79" s="75"/>
      <c r="H79" s="75"/>
      <c r="I79" s="75"/>
    </row>
    <row r="80" spans="3:9" ht="13.2">
      <c r="C80" s="75"/>
      <c r="D80" s="75"/>
      <c r="E80" s="75"/>
      <c r="F80" s="75"/>
      <c r="G80" s="75"/>
      <c r="H80" s="75"/>
      <c r="I80" s="75"/>
    </row>
    <row r="81" spans="3:9" ht="13.2">
      <c r="C81" s="75"/>
      <c r="D81" s="75"/>
      <c r="E81" s="75"/>
      <c r="F81" s="75"/>
      <c r="G81" s="75"/>
      <c r="H81" s="75"/>
      <c r="I81" s="75"/>
    </row>
    <row r="82" spans="3:9" ht="13.2">
      <c r="C82" s="75"/>
      <c r="D82" s="75"/>
      <c r="E82" s="75"/>
      <c r="F82" s="75"/>
      <c r="G82" s="75"/>
      <c r="H82" s="75"/>
      <c r="I82" s="75"/>
    </row>
    <row r="83" spans="3:9" ht="13.2">
      <c r="C83" s="75"/>
      <c r="D83" s="75"/>
      <c r="E83" s="75"/>
      <c r="F83" s="75"/>
      <c r="G83" s="75"/>
      <c r="H83" s="75"/>
      <c r="I83" s="75"/>
    </row>
    <row r="84" spans="3:9" ht="13.2">
      <c r="C84" s="75"/>
      <c r="D84" s="75"/>
      <c r="E84" s="75"/>
      <c r="F84" s="75"/>
      <c r="G84" s="75"/>
      <c r="H84" s="75"/>
      <c r="I84" s="75"/>
    </row>
    <row r="85" spans="3:9" ht="13.2">
      <c r="C85" s="75"/>
      <c r="D85" s="75"/>
      <c r="E85" s="75"/>
      <c r="F85" s="75"/>
      <c r="G85" s="75"/>
      <c r="H85" s="75"/>
      <c r="I85" s="75"/>
    </row>
    <row r="86" spans="3:9" ht="13.2">
      <c r="C86" s="75"/>
      <c r="D86" s="75"/>
      <c r="E86" s="75"/>
      <c r="F86" s="75"/>
      <c r="G86" s="75"/>
      <c r="H86" s="75"/>
      <c r="I86" s="75"/>
    </row>
    <row r="87" spans="3:9" ht="13.2">
      <c r="C87" s="75"/>
      <c r="D87" s="75"/>
      <c r="E87" s="75"/>
      <c r="F87" s="75"/>
      <c r="G87" s="75"/>
      <c r="H87" s="75"/>
      <c r="I87" s="75"/>
    </row>
    <row r="88" spans="3:9" ht="13.2">
      <c r="C88" s="75"/>
      <c r="D88" s="75"/>
      <c r="E88" s="75"/>
      <c r="F88" s="75"/>
      <c r="G88" s="75"/>
      <c r="H88" s="75"/>
      <c r="I88" s="75"/>
    </row>
    <row r="89" spans="3:9" ht="13.2">
      <c r="C89" s="75"/>
      <c r="D89" s="75"/>
      <c r="E89" s="75"/>
      <c r="F89" s="75"/>
      <c r="G89" s="75"/>
      <c r="H89" s="75"/>
      <c r="I89" s="75"/>
    </row>
    <row r="90" spans="3:9" ht="13.2">
      <c r="C90" s="75"/>
      <c r="D90" s="75"/>
      <c r="E90" s="75"/>
      <c r="F90" s="75"/>
      <c r="G90" s="75"/>
      <c r="H90" s="75"/>
      <c r="I90" s="75"/>
    </row>
    <row r="91" spans="3:9" ht="13.2">
      <c r="C91" s="75"/>
      <c r="D91" s="75"/>
      <c r="E91" s="75"/>
      <c r="F91" s="75"/>
      <c r="G91" s="75"/>
      <c r="H91" s="75"/>
      <c r="I91" s="75"/>
    </row>
    <row r="92" spans="3:9" ht="13.2">
      <c r="C92" s="75"/>
      <c r="D92" s="75"/>
      <c r="E92" s="75"/>
      <c r="F92" s="75"/>
      <c r="G92" s="75"/>
      <c r="H92" s="75"/>
      <c r="I92" s="75"/>
    </row>
    <row r="93" spans="3:9" ht="13.2">
      <c r="C93" s="75"/>
      <c r="D93" s="75"/>
      <c r="E93" s="75"/>
      <c r="F93" s="75"/>
      <c r="G93" s="75"/>
      <c r="H93" s="75"/>
      <c r="I93" s="75"/>
    </row>
    <row r="94" spans="3:9" ht="13.2">
      <c r="C94" s="75"/>
      <c r="D94" s="75"/>
      <c r="E94" s="75"/>
      <c r="F94" s="75"/>
      <c r="G94" s="75"/>
      <c r="H94" s="75"/>
      <c r="I94" s="75"/>
    </row>
    <row r="95" spans="3:9" ht="13.2">
      <c r="C95" s="75"/>
      <c r="D95" s="75"/>
      <c r="E95" s="75"/>
      <c r="F95" s="75"/>
      <c r="G95" s="75"/>
      <c r="H95" s="75"/>
      <c r="I95" s="75"/>
    </row>
    <row r="96" spans="3:9" ht="13.2">
      <c r="C96" s="75"/>
      <c r="D96" s="75"/>
      <c r="E96" s="75"/>
      <c r="F96" s="75"/>
      <c r="G96" s="75"/>
      <c r="H96" s="75"/>
      <c r="I96" s="75"/>
    </row>
    <row r="97" spans="3:9" ht="13.2">
      <c r="C97" s="75"/>
      <c r="D97" s="75"/>
      <c r="E97" s="75"/>
      <c r="F97" s="75"/>
      <c r="G97" s="75"/>
      <c r="H97" s="75"/>
      <c r="I97" s="75"/>
    </row>
    <row r="98" spans="3:9" ht="13.2">
      <c r="C98" s="75"/>
      <c r="D98" s="75"/>
      <c r="E98" s="75"/>
      <c r="F98" s="75"/>
      <c r="G98" s="75"/>
      <c r="H98" s="75"/>
      <c r="I98" s="75"/>
    </row>
    <row r="99" spans="3:9" ht="13.2">
      <c r="C99" s="75"/>
      <c r="D99" s="75"/>
      <c r="E99" s="75"/>
      <c r="F99" s="75"/>
      <c r="G99" s="75"/>
      <c r="H99" s="75"/>
      <c r="I99" s="75"/>
    </row>
    <row r="100" spans="3:9" ht="13.2">
      <c r="C100" s="75"/>
      <c r="D100" s="75"/>
      <c r="E100" s="75"/>
      <c r="F100" s="75"/>
      <c r="G100" s="75"/>
      <c r="H100" s="75"/>
      <c r="I100" s="75"/>
    </row>
    <row r="101" spans="3:9" ht="13.2">
      <c r="C101" s="75"/>
      <c r="D101" s="75"/>
      <c r="E101" s="75"/>
      <c r="F101" s="75"/>
      <c r="G101" s="75"/>
      <c r="H101" s="75"/>
      <c r="I101" s="75"/>
    </row>
    <row r="102" spans="3:9" ht="13.2">
      <c r="C102" s="75"/>
      <c r="D102" s="75"/>
      <c r="E102" s="75"/>
      <c r="F102" s="75"/>
      <c r="G102" s="75"/>
      <c r="H102" s="75"/>
      <c r="I102" s="75"/>
    </row>
    <row r="103" spans="3:9" ht="13.2">
      <c r="C103" s="75"/>
      <c r="D103" s="75"/>
      <c r="E103" s="75"/>
      <c r="F103" s="75"/>
      <c r="G103" s="75"/>
      <c r="H103" s="75"/>
      <c r="I103" s="75"/>
    </row>
    <row r="104" spans="3:9" ht="13.2">
      <c r="C104" s="75"/>
      <c r="D104" s="75"/>
      <c r="E104" s="75"/>
      <c r="F104" s="75"/>
      <c r="G104" s="75"/>
      <c r="H104" s="75"/>
      <c r="I104" s="75"/>
    </row>
    <row r="105" spans="3:9" ht="13.2">
      <c r="C105" s="75"/>
      <c r="D105" s="75"/>
      <c r="E105" s="75"/>
      <c r="F105" s="75"/>
      <c r="G105" s="75"/>
      <c r="H105" s="75"/>
      <c r="I105" s="75"/>
    </row>
    <row r="106" spans="3:9" ht="13.2">
      <c r="C106" s="75"/>
      <c r="D106" s="75"/>
      <c r="E106" s="75"/>
      <c r="F106" s="75"/>
      <c r="G106" s="75"/>
      <c r="H106" s="75"/>
      <c r="I106" s="75"/>
    </row>
    <row r="107" spans="3:9" ht="13.2">
      <c r="C107" s="75"/>
      <c r="D107" s="75"/>
      <c r="E107" s="75"/>
      <c r="F107" s="75"/>
      <c r="G107" s="75"/>
      <c r="H107" s="75"/>
      <c r="I107" s="75"/>
    </row>
    <row r="108" spans="3:9" ht="13.2">
      <c r="C108" s="75"/>
      <c r="D108" s="75"/>
      <c r="E108" s="75"/>
      <c r="F108" s="75"/>
      <c r="G108" s="75"/>
      <c r="H108" s="75"/>
      <c r="I108" s="75"/>
    </row>
    <row r="109" spans="3:9" ht="13.2">
      <c r="C109" s="75"/>
      <c r="D109" s="75"/>
      <c r="E109" s="75"/>
      <c r="F109" s="75"/>
      <c r="G109" s="75"/>
      <c r="H109" s="75"/>
      <c r="I109" s="75"/>
    </row>
    <row r="110" spans="3:9" ht="13.2">
      <c r="C110" s="75"/>
      <c r="D110" s="75"/>
      <c r="E110" s="75"/>
      <c r="F110" s="75"/>
      <c r="G110" s="75"/>
      <c r="H110" s="75"/>
      <c r="I110" s="75"/>
    </row>
    <row r="111" spans="3:9" ht="13.2">
      <c r="C111" s="75"/>
      <c r="D111" s="75"/>
      <c r="E111" s="75"/>
      <c r="F111" s="75"/>
      <c r="G111" s="75"/>
      <c r="H111" s="75"/>
      <c r="I111" s="75"/>
    </row>
    <row r="112" spans="3:9" ht="13.2">
      <c r="C112" s="75"/>
      <c r="D112" s="75"/>
      <c r="E112" s="75"/>
      <c r="F112" s="75"/>
      <c r="G112" s="75"/>
      <c r="H112" s="75"/>
      <c r="I112" s="75"/>
    </row>
    <row r="113" spans="3:9" ht="13.2">
      <c r="C113" s="75"/>
      <c r="D113" s="75"/>
      <c r="E113" s="75"/>
      <c r="F113" s="75"/>
      <c r="G113" s="75"/>
      <c r="H113" s="75"/>
      <c r="I113" s="75"/>
    </row>
    <row r="114" spans="3:9" ht="13.2">
      <c r="C114" s="75"/>
      <c r="D114" s="75"/>
      <c r="E114" s="75"/>
      <c r="F114" s="75"/>
      <c r="G114" s="75"/>
      <c r="H114" s="75"/>
      <c r="I114" s="75"/>
    </row>
    <row r="115" spans="3:9" ht="13.2">
      <c r="C115" s="75"/>
      <c r="D115" s="75"/>
      <c r="E115" s="75"/>
      <c r="F115" s="75"/>
      <c r="G115" s="75"/>
      <c r="H115" s="75"/>
      <c r="I115" s="75"/>
    </row>
    <row r="116" spans="3:9" ht="13.2">
      <c r="C116" s="75"/>
      <c r="D116" s="75"/>
      <c r="E116" s="75"/>
      <c r="F116" s="75"/>
      <c r="G116" s="75"/>
      <c r="H116" s="75"/>
      <c r="I116" s="75"/>
    </row>
    <row r="117" spans="3:9" ht="13.2">
      <c r="C117" s="75"/>
      <c r="D117" s="75"/>
      <c r="E117" s="75"/>
      <c r="F117" s="75"/>
      <c r="G117" s="75"/>
      <c r="H117" s="75"/>
      <c r="I117" s="75"/>
    </row>
    <row r="118" spans="3:9" ht="13.2">
      <c r="C118" s="75"/>
      <c r="D118" s="75"/>
      <c r="E118" s="75"/>
      <c r="F118" s="75"/>
      <c r="G118" s="75"/>
      <c r="H118" s="75"/>
      <c r="I118" s="75"/>
    </row>
    <row r="119" spans="3:9" ht="13.2">
      <c r="C119" s="75"/>
      <c r="D119" s="75"/>
      <c r="E119" s="75"/>
      <c r="F119" s="75"/>
      <c r="G119" s="75"/>
      <c r="H119" s="75"/>
      <c r="I119" s="75"/>
    </row>
    <row r="120" spans="3:9" ht="13.2">
      <c r="C120" s="75"/>
      <c r="D120" s="75"/>
      <c r="E120" s="75"/>
      <c r="F120" s="75"/>
      <c r="G120" s="75"/>
      <c r="H120" s="75"/>
      <c r="I120" s="75"/>
    </row>
    <row r="121" spans="3:9" ht="13.2">
      <c r="C121" s="75"/>
      <c r="D121" s="75"/>
      <c r="E121" s="75"/>
      <c r="F121" s="75"/>
      <c r="G121" s="75"/>
      <c r="H121" s="75"/>
      <c r="I121" s="75"/>
    </row>
    <row r="122" spans="3:9" ht="13.2">
      <c r="C122" s="75"/>
      <c r="D122" s="75"/>
      <c r="E122" s="75"/>
      <c r="F122" s="75"/>
      <c r="G122" s="75"/>
      <c r="H122" s="75"/>
      <c r="I122" s="75"/>
    </row>
    <row r="123" spans="3:9" ht="13.2">
      <c r="C123" s="75"/>
      <c r="D123" s="75"/>
      <c r="E123" s="75"/>
      <c r="F123" s="75"/>
      <c r="G123" s="75"/>
      <c r="H123" s="75"/>
      <c r="I123" s="75"/>
    </row>
    <row r="124" spans="3:9" ht="13.2">
      <c r="C124" s="75"/>
      <c r="D124" s="75"/>
      <c r="E124" s="75"/>
      <c r="F124" s="75"/>
      <c r="G124" s="75"/>
      <c r="H124" s="75"/>
      <c r="I124" s="75"/>
    </row>
    <row r="125" spans="3:9" ht="13.2">
      <c r="C125" s="75"/>
      <c r="D125" s="75"/>
      <c r="E125" s="75"/>
      <c r="F125" s="75"/>
      <c r="G125" s="75"/>
      <c r="H125" s="75"/>
      <c r="I125" s="75"/>
    </row>
    <row r="126" spans="3:9" ht="13.2">
      <c r="C126" s="75"/>
      <c r="D126" s="75"/>
      <c r="E126" s="75"/>
      <c r="F126" s="75"/>
      <c r="G126" s="75"/>
      <c r="H126" s="75"/>
      <c r="I126" s="75"/>
    </row>
    <row r="127" spans="3:9" ht="13.2">
      <c r="C127" s="75"/>
      <c r="D127" s="75"/>
      <c r="E127" s="75"/>
      <c r="F127" s="75"/>
      <c r="G127" s="75"/>
      <c r="H127" s="75"/>
      <c r="I127" s="75"/>
    </row>
    <row r="128" spans="3:9" ht="13.2">
      <c r="C128" s="75"/>
      <c r="D128" s="75"/>
      <c r="E128" s="75"/>
      <c r="F128" s="75"/>
      <c r="G128" s="75"/>
      <c r="H128" s="75"/>
      <c r="I128" s="75"/>
    </row>
    <row r="129" spans="3:9" ht="13.2">
      <c r="C129" s="75"/>
      <c r="D129" s="75"/>
      <c r="E129" s="75"/>
      <c r="F129" s="75"/>
      <c r="G129" s="75"/>
      <c r="H129" s="75"/>
      <c r="I129" s="75"/>
    </row>
    <row r="130" spans="3:9" ht="13.2">
      <c r="C130" s="75"/>
      <c r="D130" s="75"/>
      <c r="E130" s="75"/>
      <c r="F130" s="75"/>
      <c r="G130" s="75"/>
      <c r="H130" s="75"/>
      <c r="I130" s="75"/>
    </row>
    <row r="131" spans="3:9" ht="13.2">
      <c r="C131" s="75"/>
      <c r="D131" s="75"/>
      <c r="E131" s="75"/>
      <c r="F131" s="75"/>
      <c r="G131" s="75"/>
      <c r="H131" s="75"/>
      <c r="I131" s="75"/>
    </row>
    <row r="132" spans="3:9" ht="13.2">
      <c r="C132" s="75"/>
      <c r="D132" s="75"/>
      <c r="E132" s="75"/>
      <c r="F132" s="75"/>
      <c r="G132" s="75"/>
      <c r="H132" s="75"/>
      <c r="I132" s="75"/>
    </row>
    <row r="133" spans="3:9" ht="13.2">
      <c r="C133" s="75"/>
      <c r="D133" s="75"/>
      <c r="E133" s="75"/>
      <c r="F133" s="75"/>
      <c r="G133" s="75"/>
      <c r="H133" s="75"/>
      <c r="I133" s="75"/>
    </row>
    <row r="134" spans="3:9" ht="13.2">
      <c r="C134" s="75"/>
      <c r="D134" s="75"/>
      <c r="E134" s="75"/>
      <c r="F134" s="75"/>
      <c r="G134" s="75"/>
      <c r="H134" s="75"/>
      <c r="I134" s="75"/>
    </row>
    <row r="135" spans="3:9" ht="13.2">
      <c r="C135" s="75"/>
      <c r="D135" s="75"/>
      <c r="E135" s="75"/>
      <c r="F135" s="75"/>
      <c r="G135" s="75"/>
      <c r="H135" s="75"/>
      <c r="I135" s="75"/>
    </row>
    <row r="136" spans="3:9" ht="13.2">
      <c r="C136" s="75"/>
      <c r="D136" s="75"/>
      <c r="E136" s="75"/>
      <c r="F136" s="75"/>
      <c r="G136" s="75"/>
      <c r="H136" s="75"/>
      <c r="I136" s="75"/>
    </row>
    <row r="137" spans="3:9" ht="13.2">
      <c r="C137" s="75"/>
      <c r="D137" s="75"/>
      <c r="E137" s="75"/>
      <c r="F137" s="75"/>
      <c r="G137" s="75"/>
      <c r="H137" s="75"/>
      <c r="I137" s="75"/>
    </row>
    <row r="138" spans="3:9" ht="13.2">
      <c r="C138" s="75"/>
      <c r="D138" s="75"/>
      <c r="E138" s="75"/>
      <c r="F138" s="75"/>
      <c r="G138" s="75"/>
      <c r="H138" s="75"/>
      <c r="I138" s="75"/>
    </row>
    <row r="139" spans="3:9" ht="13.2">
      <c r="C139" s="75"/>
      <c r="D139" s="75"/>
      <c r="E139" s="75"/>
      <c r="F139" s="75"/>
      <c r="G139" s="75"/>
      <c r="H139" s="75"/>
      <c r="I139" s="75"/>
    </row>
    <row r="140" spans="3:9" ht="13.2">
      <c r="C140" s="75"/>
      <c r="D140" s="75"/>
      <c r="E140" s="75"/>
      <c r="F140" s="75"/>
      <c r="G140" s="75"/>
      <c r="H140" s="75"/>
      <c r="I140" s="75"/>
    </row>
    <row r="141" spans="3:9" ht="13.2">
      <c r="C141" s="75"/>
      <c r="D141" s="75"/>
      <c r="E141" s="75"/>
      <c r="F141" s="75"/>
      <c r="G141" s="75"/>
      <c r="H141" s="75"/>
      <c r="I141" s="75"/>
    </row>
    <row r="142" spans="3:9" ht="13.2">
      <c r="C142" s="75"/>
      <c r="D142" s="75"/>
      <c r="E142" s="75"/>
      <c r="F142" s="75"/>
      <c r="G142" s="75"/>
      <c r="H142" s="75"/>
      <c r="I142" s="75"/>
    </row>
    <row r="143" spans="3:9" ht="13.2">
      <c r="C143" s="75"/>
      <c r="D143" s="75"/>
      <c r="E143" s="75"/>
      <c r="F143" s="75"/>
      <c r="G143" s="75"/>
      <c r="H143" s="75"/>
      <c r="I143" s="75"/>
    </row>
    <row r="144" spans="3:9" ht="13.2">
      <c r="C144" s="75"/>
      <c r="D144" s="75"/>
      <c r="E144" s="75"/>
      <c r="F144" s="75"/>
      <c r="G144" s="75"/>
      <c r="H144" s="75"/>
      <c r="I144" s="75"/>
    </row>
    <row r="145" spans="3:9" ht="13.2">
      <c r="C145" s="75"/>
      <c r="D145" s="75"/>
      <c r="E145" s="75"/>
      <c r="F145" s="75"/>
      <c r="G145" s="75"/>
      <c r="H145" s="75"/>
      <c r="I145" s="75"/>
    </row>
    <row r="146" spans="3:9" ht="13.2">
      <c r="C146" s="75"/>
      <c r="D146" s="75"/>
      <c r="E146" s="75"/>
      <c r="F146" s="75"/>
      <c r="G146" s="75"/>
      <c r="H146" s="75"/>
      <c r="I146" s="75"/>
    </row>
    <row r="147" spans="3:9" ht="13.2">
      <c r="C147" s="75"/>
      <c r="D147" s="75"/>
      <c r="E147" s="75"/>
      <c r="F147" s="75"/>
      <c r="G147" s="75"/>
      <c r="H147" s="75"/>
      <c r="I147" s="75"/>
    </row>
    <row r="148" spans="3:9" ht="13.2">
      <c r="C148" s="75"/>
      <c r="D148" s="75"/>
      <c r="E148" s="75"/>
      <c r="F148" s="75"/>
      <c r="G148" s="75"/>
      <c r="H148" s="75"/>
      <c r="I148" s="75"/>
    </row>
    <row r="149" spans="3:9" ht="13.2">
      <c r="C149" s="75"/>
      <c r="D149" s="75"/>
      <c r="E149" s="75"/>
      <c r="F149" s="75"/>
      <c r="G149" s="75"/>
      <c r="H149" s="75"/>
      <c r="I149" s="75"/>
    </row>
    <row r="150" spans="3:9" ht="13.2">
      <c r="C150" s="75"/>
      <c r="D150" s="75"/>
      <c r="E150" s="75"/>
      <c r="F150" s="75"/>
      <c r="G150" s="75"/>
      <c r="H150" s="75"/>
      <c r="I150" s="75"/>
    </row>
    <row r="151" spans="3:9" ht="13.2">
      <c r="C151" s="75"/>
      <c r="D151" s="75"/>
      <c r="E151" s="75"/>
      <c r="F151" s="75"/>
      <c r="G151" s="75"/>
      <c r="H151" s="75"/>
      <c r="I151" s="75"/>
    </row>
    <row r="152" spans="3:9" ht="13.2">
      <c r="C152" s="75"/>
      <c r="D152" s="75"/>
      <c r="E152" s="75"/>
      <c r="F152" s="75"/>
      <c r="G152" s="75"/>
      <c r="H152" s="75"/>
      <c r="I152" s="75"/>
    </row>
    <row r="153" spans="3:9" ht="13.2">
      <c r="C153" s="75"/>
      <c r="D153" s="75"/>
      <c r="E153" s="75"/>
      <c r="F153" s="75"/>
      <c r="G153" s="75"/>
      <c r="H153" s="75"/>
      <c r="I153" s="75"/>
    </row>
    <row r="154" spans="3:9" ht="13.2">
      <c r="C154" s="75"/>
      <c r="D154" s="75"/>
      <c r="E154" s="75"/>
      <c r="F154" s="75"/>
      <c r="G154" s="75"/>
      <c r="H154" s="75"/>
      <c r="I154" s="75"/>
    </row>
    <row r="155" spans="3:9" ht="13.2">
      <c r="C155" s="75"/>
      <c r="D155" s="75"/>
      <c r="E155" s="75"/>
      <c r="F155" s="75"/>
      <c r="G155" s="75"/>
      <c r="H155" s="75"/>
      <c r="I155" s="75"/>
    </row>
    <row r="156" spans="3:9" ht="13.2">
      <c r="C156" s="75"/>
      <c r="D156" s="75"/>
      <c r="E156" s="75"/>
      <c r="F156" s="75"/>
      <c r="G156" s="75"/>
      <c r="H156" s="75"/>
      <c r="I156" s="75"/>
    </row>
    <row r="157" spans="3:9" ht="13.2">
      <c r="C157" s="75"/>
      <c r="D157" s="75"/>
      <c r="E157" s="75"/>
      <c r="F157" s="75"/>
      <c r="G157" s="75"/>
      <c r="H157" s="75"/>
      <c r="I157" s="75"/>
    </row>
    <row r="158" spans="3:9" ht="13.2">
      <c r="C158" s="75"/>
      <c r="D158" s="75"/>
      <c r="E158" s="75"/>
      <c r="F158" s="75"/>
      <c r="G158" s="75"/>
      <c r="H158" s="75"/>
      <c r="I158" s="75"/>
    </row>
    <row r="159" spans="3:9" ht="13.2">
      <c r="C159" s="75"/>
      <c r="D159" s="75"/>
      <c r="E159" s="75"/>
      <c r="F159" s="75"/>
      <c r="G159" s="75"/>
      <c r="H159" s="75"/>
      <c r="I159" s="75"/>
    </row>
    <row r="160" spans="3:9" ht="13.2">
      <c r="C160" s="75"/>
      <c r="D160" s="75"/>
      <c r="E160" s="75"/>
      <c r="F160" s="75"/>
      <c r="G160" s="75"/>
      <c r="H160" s="75"/>
      <c r="I160" s="75"/>
    </row>
    <row r="161" spans="3:9" ht="13.2">
      <c r="C161" s="75"/>
      <c r="D161" s="75"/>
      <c r="E161" s="75"/>
      <c r="F161" s="75"/>
      <c r="G161" s="75"/>
      <c r="H161" s="75"/>
      <c r="I161" s="75"/>
    </row>
    <row r="162" spans="3:9" ht="13.2">
      <c r="C162" s="75"/>
      <c r="D162" s="75"/>
      <c r="E162" s="75"/>
      <c r="F162" s="75"/>
      <c r="G162" s="75"/>
      <c r="H162" s="75"/>
      <c r="I162" s="75"/>
    </row>
    <row r="163" spans="3:9" ht="13.2">
      <c r="C163" s="75"/>
      <c r="D163" s="75"/>
      <c r="E163" s="75"/>
      <c r="F163" s="75"/>
      <c r="G163" s="75"/>
      <c r="H163" s="75"/>
      <c r="I163" s="75"/>
    </row>
    <row r="164" spans="3:9" ht="13.2">
      <c r="C164" s="75"/>
      <c r="D164" s="75"/>
      <c r="E164" s="75"/>
      <c r="F164" s="75"/>
      <c r="G164" s="75"/>
      <c r="H164" s="75"/>
      <c r="I164" s="75"/>
    </row>
    <row r="165" spans="3:9" ht="13.2">
      <c r="C165" s="75"/>
      <c r="D165" s="75"/>
      <c r="E165" s="75"/>
      <c r="F165" s="75"/>
      <c r="G165" s="75"/>
      <c r="H165" s="75"/>
      <c r="I165" s="75"/>
    </row>
    <row r="166" spans="3:9" ht="13.2">
      <c r="C166" s="75"/>
      <c r="D166" s="75"/>
      <c r="E166" s="75"/>
      <c r="F166" s="75"/>
      <c r="G166" s="75"/>
      <c r="H166" s="75"/>
      <c r="I166" s="75"/>
    </row>
    <row r="167" spans="3:9" ht="13.2">
      <c r="C167" s="75"/>
      <c r="D167" s="75"/>
      <c r="E167" s="75"/>
      <c r="F167" s="75"/>
      <c r="G167" s="75"/>
      <c r="H167" s="75"/>
      <c r="I167" s="75"/>
    </row>
    <row r="168" spans="3:9" ht="13.2">
      <c r="C168" s="75"/>
      <c r="D168" s="75"/>
      <c r="E168" s="75"/>
      <c r="F168" s="75"/>
      <c r="G168" s="75"/>
      <c r="H168" s="75"/>
      <c r="I168" s="75"/>
    </row>
    <row r="169" spans="3:9" ht="13.2">
      <c r="C169" s="75"/>
      <c r="D169" s="75"/>
      <c r="E169" s="75"/>
      <c r="F169" s="75"/>
      <c r="G169" s="75"/>
      <c r="H169" s="75"/>
      <c r="I169" s="75"/>
    </row>
    <row r="170" spans="3:9" ht="13.2">
      <c r="C170" s="75"/>
      <c r="D170" s="75"/>
      <c r="E170" s="75"/>
      <c r="F170" s="75"/>
      <c r="G170" s="75"/>
      <c r="H170" s="75"/>
      <c r="I170" s="75"/>
    </row>
    <row r="171" spans="3:9" ht="13.2">
      <c r="C171" s="75"/>
      <c r="D171" s="75"/>
      <c r="E171" s="75"/>
      <c r="F171" s="75"/>
      <c r="G171" s="75"/>
      <c r="H171" s="75"/>
      <c r="I171" s="75"/>
    </row>
    <row r="172" spans="3:9" ht="13.2">
      <c r="C172" s="75"/>
      <c r="D172" s="75"/>
      <c r="E172" s="75"/>
      <c r="F172" s="75"/>
      <c r="G172" s="75"/>
      <c r="H172" s="75"/>
      <c r="I172" s="75"/>
    </row>
    <row r="173" spans="3:9" ht="13.2">
      <c r="C173" s="75"/>
      <c r="D173" s="75"/>
      <c r="E173" s="75"/>
      <c r="F173" s="75"/>
      <c r="G173" s="75"/>
      <c r="H173" s="75"/>
      <c r="I173" s="75"/>
    </row>
    <row r="174" spans="3:9" ht="13.2">
      <c r="C174" s="75"/>
      <c r="D174" s="75"/>
      <c r="E174" s="75"/>
      <c r="F174" s="75"/>
      <c r="G174" s="75"/>
      <c r="H174" s="75"/>
      <c r="I174" s="75"/>
    </row>
    <row r="175" spans="3:9" ht="13.2">
      <c r="C175" s="75"/>
      <c r="D175" s="75"/>
      <c r="E175" s="75"/>
      <c r="F175" s="75"/>
      <c r="G175" s="75"/>
      <c r="H175" s="75"/>
      <c r="I175" s="75"/>
    </row>
    <row r="176" spans="3:9" ht="13.2">
      <c r="C176" s="75"/>
      <c r="D176" s="75"/>
      <c r="E176" s="75"/>
      <c r="F176" s="75"/>
      <c r="G176" s="75"/>
      <c r="H176" s="75"/>
      <c r="I176" s="75"/>
    </row>
    <row r="177" spans="3:9" ht="13.2">
      <c r="C177" s="75"/>
      <c r="D177" s="75"/>
      <c r="E177" s="75"/>
      <c r="F177" s="75"/>
      <c r="G177" s="75"/>
      <c r="H177" s="75"/>
      <c r="I177" s="75"/>
    </row>
    <row r="178" spans="3:9" ht="13.2">
      <c r="C178" s="75"/>
      <c r="D178" s="75"/>
      <c r="E178" s="75"/>
      <c r="F178" s="75"/>
      <c r="G178" s="75"/>
      <c r="H178" s="75"/>
      <c r="I178" s="75"/>
    </row>
    <row r="179" spans="3:9" ht="13.2">
      <c r="C179" s="75"/>
      <c r="D179" s="75"/>
      <c r="E179" s="75"/>
      <c r="F179" s="75"/>
      <c r="G179" s="75"/>
      <c r="H179" s="75"/>
      <c r="I179" s="75"/>
    </row>
    <row r="180" spans="3:9" ht="13.2">
      <c r="C180" s="75"/>
      <c r="D180" s="75"/>
      <c r="E180" s="75"/>
      <c r="F180" s="75"/>
      <c r="G180" s="75"/>
      <c r="H180" s="75"/>
      <c r="I180" s="75"/>
    </row>
    <row r="181" spans="3:9" ht="13.2">
      <c r="C181" s="75"/>
      <c r="D181" s="75"/>
      <c r="E181" s="75"/>
      <c r="F181" s="75"/>
      <c r="G181" s="75"/>
      <c r="H181" s="75"/>
      <c r="I181" s="75"/>
    </row>
    <row r="182" spans="3:9" ht="13.2">
      <c r="C182" s="75"/>
      <c r="D182" s="75"/>
      <c r="E182" s="75"/>
      <c r="F182" s="75"/>
      <c r="G182" s="75"/>
      <c r="H182" s="75"/>
      <c r="I182" s="75"/>
    </row>
    <row r="183" spans="3:9" ht="13.2">
      <c r="C183" s="75"/>
      <c r="D183" s="75"/>
      <c r="E183" s="75"/>
      <c r="F183" s="75"/>
      <c r="G183" s="75"/>
      <c r="H183" s="75"/>
      <c r="I183" s="75"/>
    </row>
    <row r="184" spans="3:9" ht="13.2">
      <c r="C184" s="75"/>
      <c r="D184" s="75"/>
      <c r="E184" s="75"/>
      <c r="F184" s="75"/>
      <c r="G184" s="75"/>
      <c r="H184" s="75"/>
      <c r="I184" s="75"/>
    </row>
    <row r="185" spans="3:9" ht="13.2">
      <c r="C185" s="75"/>
      <c r="D185" s="75"/>
      <c r="E185" s="75"/>
      <c r="F185" s="75"/>
      <c r="G185" s="75"/>
      <c r="H185" s="75"/>
      <c r="I185" s="75"/>
    </row>
    <row r="186" spans="3:9" ht="13.2">
      <c r="C186" s="75"/>
      <c r="D186" s="75"/>
      <c r="E186" s="75"/>
      <c r="F186" s="75"/>
      <c r="G186" s="75"/>
      <c r="H186" s="75"/>
      <c r="I186" s="75"/>
    </row>
    <row r="187" spans="3:9" ht="13.2">
      <c r="C187" s="75"/>
      <c r="D187" s="75"/>
      <c r="E187" s="75"/>
      <c r="F187" s="75"/>
      <c r="G187" s="75"/>
      <c r="H187" s="75"/>
      <c r="I187" s="75"/>
    </row>
    <row r="188" spans="3:9" ht="13.2">
      <c r="C188" s="75"/>
      <c r="D188" s="75"/>
      <c r="E188" s="75"/>
      <c r="F188" s="75"/>
      <c r="G188" s="75"/>
      <c r="H188" s="75"/>
      <c r="I188" s="75"/>
    </row>
    <row r="189" spans="3:9" ht="13.2">
      <c r="C189" s="75"/>
      <c r="D189" s="75"/>
      <c r="E189" s="75"/>
      <c r="F189" s="75"/>
      <c r="G189" s="75"/>
      <c r="H189" s="75"/>
      <c r="I189" s="75"/>
    </row>
    <row r="190" spans="3:9" ht="13.2">
      <c r="C190" s="75"/>
      <c r="D190" s="75"/>
      <c r="E190" s="75"/>
      <c r="F190" s="75"/>
      <c r="G190" s="75"/>
      <c r="H190" s="75"/>
      <c r="I190" s="75"/>
    </row>
    <row r="191" spans="3:9" ht="13.2">
      <c r="C191" s="75"/>
      <c r="D191" s="75"/>
      <c r="E191" s="75"/>
      <c r="F191" s="75"/>
      <c r="G191" s="75"/>
      <c r="H191" s="75"/>
      <c r="I191" s="75"/>
    </row>
    <row r="192" spans="3:9" ht="13.2">
      <c r="C192" s="75"/>
      <c r="D192" s="75"/>
      <c r="E192" s="75"/>
      <c r="F192" s="75"/>
      <c r="G192" s="75"/>
      <c r="H192" s="75"/>
      <c r="I192" s="75"/>
    </row>
    <row r="193" spans="3:9" ht="13.2">
      <c r="C193" s="75"/>
      <c r="D193" s="75"/>
      <c r="E193" s="75"/>
      <c r="F193" s="75"/>
      <c r="G193" s="75"/>
      <c r="H193" s="75"/>
      <c r="I193" s="75"/>
    </row>
    <row r="194" spans="3:9" ht="13.2">
      <c r="C194" s="75"/>
      <c r="D194" s="75"/>
      <c r="E194" s="75"/>
      <c r="F194" s="75"/>
      <c r="G194" s="75"/>
      <c r="H194" s="75"/>
      <c r="I194" s="75"/>
    </row>
    <row r="195" spans="3:9" ht="13.2">
      <c r="C195" s="75"/>
      <c r="D195" s="75"/>
      <c r="E195" s="75"/>
      <c r="F195" s="75"/>
      <c r="G195" s="75"/>
      <c r="H195" s="75"/>
      <c r="I195" s="75"/>
    </row>
    <row r="196" spans="3:9" ht="13.2">
      <c r="C196" s="75"/>
      <c r="D196" s="75"/>
      <c r="E196" s="75"/>
      <c r="F196" s="75"/>
      <c r="G196" s="75"/>
      <c r="H196" s="75"/>
      <c r="I196" s="75"/>
    </row>
    <row r="197" spans="3:9" ht="13.2">
      <c r="C197" s="75"/>
      <c r="D197" s="75"/>
      <c r="E197" s="75"/>
      <c r="F197" s="75"/>
      <c r="G197" s="75"/>
      <c r="H197" s="75"/>
      <c r="I197" s="75"/>
    </row>
    <row r="198" spans="3:9" ht="13.2">
      <c r="C198" s="75"/>
      <c r="D198" s="75"/>
      <c r="E198" s="75"/>
      <c r="F198" s="75"/>
      <c r="G198" s="75"/>
      <c r="H198" s="75"/>
      <c r="I198" s="75"/>
    </row>
    <row r="199" spans="3:9" ht="13.2">
      <c r="C199" s="75"/>
      <c r="D199" s="75"/>
      <c r="E199" s="75"/>
      <c r="F199" s="75"/>
      <c r="G199" s="75"/>
      <c r="H199" s="75"/>
      <c r="I199" s="75"/>
    </row>
    <row r="200" spans="3:9" ht="13.2">
      <c r="C200" s="75"/>
      <c r="D200" s="75"/>
      <c r="E200" s="75"/>
      <c r="F200" s="75"/>
      <c r="G200" s="75"/>
      <c r="H200" s="75"/>
      <c r="I200" s="75"/>
    </row>
    <row r="201" spans="3:9" ht="13.2">
      <c r="C201" s="75"/>
      <c r="D201" s="75"/>
      <c r="E201" s="75"/>
      <c r="F201" s="75"/>
      <c r="G201" s="75"/>
      <c r="H201" s="75"/>
      <c r="I201" s="75"/>
    </row>
    <row r="202" spans="3:9" ht="13.2">
      <c r="C202" s="75"/>
      <c r="D202" s="75"/>
      <c r="E202" s="75"/>
      <c r="F202" s="75"/>
      <c r="G202" s="75"/>
      <c r="H202" s="75"/>
      <c r="I202" s="75"/>
    </row>
    <row r="203" spans="3:9" ht="13.2">
      <c r="C203" s="75"/>
      <c r="D203" s="75"/>
      <c r="E203" s="75"/>
      <c r="F203" s="75"/>
      <c r="G203" s="75"/>
      <c r="H203" s="75"/>
      <c r="I203" s="75"/>
    </row>
    <row r="204" spans="3:9" ht="13.2">
      <c r="C204" s="75"/>
      <c r="D204" s="75"/>
      <c r="E204" s="75"/>
      <c r="F204" s="75"/>
      <c r="G204" s="75"/>
      <c r="H204" s="75"/>
      <c r="I204" s="75"/>
    </row>
    <row r="205" spans="3:9" ht="13.2">
      <c r="C205" s="75"/>
      <c r="D205" s="75"/>
      <c r="E205" s="75"/>
      <c r="F205" s="75"/>
      <c r="G205" s="75"/>
      <c r="H205" s="75"/>
      <c r="I205" s="75"/>
    </row>
    <row r="206" spans="3:9" ht="13.2">
      <c r="C206" s="75"/>
      <c r="D206" s="75"/>
      <c r="E206" s="75"/>
      <c r="F206" s="75"/>
      <c r="G206" s="75"/>
      <c r="H206" s="75"/>
      <c r="I206" s="75"/>
    </row>
    <row r="207" spans="3:9" ht="13.2">
      <c r="C207" s="75"/>
      <c r="D207" s="75"/>
      <c r="E207" s="75"/>
      <c r="F207" s="75"/>
      <c r="G207" s="75"/>
      <c r="H207" s="75"/>
      <c r="I207" s="75"/>
    </row>
    <row r="208" spans="3:9" ht="13.2">
      <c r="C208" s="75"/>
      <c r="D208" s="75"/>
      <c r="E208" s="75"/>
      <c r="F208" s="75"/>
      <c r="G208" s="75"/>
      <c r="H208" s="75"/>
      <c r="I208" s="75"/>
    </row>
    <row r="209" spans="3:9" ht="13.2">
      <c r="C209" s="75"/>
      <c r="D209" s="75"/>
      <c r="E209" s="75"/>
      <c r="F209" s="75"/>
      <c r="G209" s="75"/>
      <c r="H209" s="75"/>
      <c r="I209" s="75"/>
    </row>
    <row r="210" spans="3:9" ht="13.2">
      <c r="C210" s="75"/>
      <c r="D210" s="75"/>
      <c r="E210" s="75"/>
      <c r="F210" s="75"/>
      <c r="G210" s="75"/>
      <c r="H210" s="75"/>
      <c r="I210" s="75"/>
    </row>
    <row r="211" spans="3:9" ht="13.2">
      <c r="C211" s="75"/>
      <c r="D211" s="75"/>
      <c r="E211" s="75"/>
      <c r="F211" s="75"/>
      <c r="G211" s="75"/>
      <c r="H211" s="75"/>
      <c r="I211" s="75"/>
    </row>
    <row r="212" spans="3:9" ht="13.2">
      <c r="C212" s="75"/>
      <c r="D212" s="75"/>
      <c r="E212" s="75"/>
      <c r="F212" s="75"/>
      <c r="G212" s="75"/>
      <c r="H212" s="75"/>
      <c r="I212" s="75"/>
    </row>
    <row r="213" spans="3:9" ht="13.2">
      <c r="C213" s="75"/>
      <c r="D213" s="75"/>
      <c r="E213" s="75"/>
      <c r="F213" s="75"/>
      <c r="G213" s="75"/>
      <c r="H213" s="75"/>
      <c r="I213" s="75"/>
    </row>
    <row r="214" spans="3:9" ht="13.2">
      <c r="C214" s="75"/>
      <c r="D214" s="75"/>
      <c r="E214" s="75"/>
      <c r="F214" s="75"/>
      <c r="G214" s="75"/>
      <c r="H214" s="75"/>
      <c r="I214" s="75"/>
    </row>
    <row r="215" spans="3:9" ht="13.2">
      <c r="C215" s="75"/>
      <c r="D215" s="75"/>
      <c r="E215" s="75"/>
      <c r="F215" s="75"/>
      <c r="G215" s="75"/>
      <c r="H215" s="75"/>
      <c r="I215" s="75"/>
    </row>
    <row r="216" spans="3:9" ht="13.2">
      <c r="C216" s="75"/>
      <c r="D216" s="75"/>
      <c r="E216" s="75"/>
      <c r="F216" s="75"/>
      <c r="G216" s="75"/>
      <c r="H216" s="75"/>
      <c r="I216" s="75"/>
    </row>
    <row r="217" spans="3:9" ht="13.2">
      <c r="C217" s="75"/>
      <c r="D217" s="75"/>
      <c r="E217" s="75"/>
      <c r="F217" s="75"/>
      <c r="G217" s="75"/>
      <c r="H217" s="75"/>
      <c r="I217" s="75"/>
    </row>
    <row r="218" spans="3:9" ht="13.2">
      <c r="C218" s="75"/>
      <c r="D218" s="75"/>
      <c r="E218" s="75"/>
      <c r="F218" s="75"/>
      <c r="G218" s="75"/>
      <c r="H218" s="75"/>
      <c r="I218" s="75"/>
    </row>
    <row r="219" spans="3:9" ht="13.2">
      <c r="C219" s="75"/>
      <c r="D219" s="75"/>
      <c r="E219" s="75"/>
      <c r="F219" s="75"/>
      <c r="G219" s="75"/>
      <c r="H219" s="75"/>
      <c r="I219" s="75"/>
    </row>
    <row r="220" spans="3:9" ht="13.2">
      <c r="C220" s="75"/>
      <c r="D220" s="75"/>
      <c r="E220" s="75"/>
      <c r="F220" s="75"/>
      <c r="G220" s="75"/>
      <c r="H220" s="75"/>
      <c r="I220" s="75"/>
    </row>
    <row r="221" spans="3:9" ht="13.2">
      <c r="C221" s="75"/>
      <c r="D221" s="75"/>
      <c r="E221" s="75"/>
      <c r="F221" s="75"/>
      <c r="G221" s="75"/>
      <c r="H221" s="75"/>
      <c r="I221" s="75"/>
    </row>
    <row r="222" spans="3:9" ht="13.2">
      <c r="C222" s="75"/>
      <c r="D222" s="75"/>
      <c r="E222" s="75"/>
      <c r="F222" s="75"/>
      <c r="G222" s="75"/>
      <c r="H222" s="75"/>
      <c r="I222" s="75"/>
    </row>
    <row r="223" spans="3:9" ht="13.2">
      <c r="C223" s="75"/>
      <c r="D223" s="75"/>
      <c r="E223" s="75"/>
      <c r="F223" s="75"/>
      <c r="G223" s="75"/>
      <c r="H223" s="75"/>
      <c r="I223" s="75"/>
    </row>
    <row r="224" spans="3:9" ht="13.2">
      <c r="C224" s="75"/>
      <c r="D224" s="75"/>
      <c r="E224" s="75"/>
      <c r="F224" s="75"/>
      <c r="G224" s="75"/>
      <c r="H224" s="75"/>
      <c r="I224" s="75"/>
    </row>
    <row r="225" spans="3:9" ht="13.2">
      <c r="C225" s="75"/>
      <c r="D225" s="75"/>
      <c r="E225" s="75"/>
      <c r="F225" s="75"/>
      <c r="G225" s="75"/>
      <c r="H225" s="75"/>
      <c r="I225" s="75"/>
    </row>
    <row r="226" spans="3:9" ht="13.2">
      <c r="C226" s="75"/>
      <c r="D226" s="75"/>
      <c r="E226" s="75"/>
      <c r="F226" s="75"/>
      <c r="G226" s="75"/>
      <c r="H226" s="75"/>
      <c r="I226" s="75"/>
    </row>
    <row r="227" spans="3:9" ht="13.2">
      <c r="C227" s="75"/>
      <c r="D227" s="75"/>
      <c r="E227" s="75"/>
      <c r="F227" s="75"/>
      <c r="G227" s="75"/>
      <c r="H227" s="75"/>
      <c r="I227" s="75"/>
    </row>
    <row r="228" spans="3:9" ht="13.2">
      <c r="C228" s="75"/>
      <c r="D228" s="75"/>
      <c r="E228" s="75"/>
      <c r="F228" s="75"/>
      <c r="G228" s="75"/>
      <c r="H228" s="75"/>
      <c r="I228" s="75"/>
    </row>
    <row r="229" spans="3:9" ht="13.2">
      <c r="C229" s="75"/>
      <c r="D229" s="75"/>
      <c r="E229" s="75"/>
      <c r="F229" s="75"/>
      <c r="G229" s="75"/>
      <c r="H229" s="75"/>
      <c r="I229" s="75"/>
    </row>
    <row r="230" spans="3:9" ht="13.2">
      <c r="C230" s="75"/>
      <c r="D230" s="75"/>
      <c r="E230" s="75"/>
      <c r="F230" s="75"/>
      <c r="G230" s="75"/>
      <c r="H230" s="75"/>
      <c r="I230" s="75"/>
    </row>
    <row r="231" spans="3:9" ht="13.2">
      <c r="C231" s="75"/>
      <c r="D231" s="75"/>
      <c r="E231" s="75"/>
      <c r="F231" s="75"/>
      <c r="G231" s="75"/>
      <c r="H231" s="75"/>
      <c r="I231" s="75"/>
    </row>
    <row r="232" spans="3:9" ht="13.2">
      <c r="C232" s="75"/>
      <c r="D232" s="75"/>
      <c r="E232" s="75"/>
      <c r="F232" s="75"/>
      <c r="G232" s="75"/>
      <c r="H232" s="75"/>
      <c r="I232" s="75"/>
    </row>
    <row r="233" spans="3:9" ht="13.2">
      <c r="C233" s="75"/>
      <c r="D233" s="75"/>
      <c r="E233" s="75"/>
      <c r="F233" s="75"/>
      <c r="G233" s="75"/>
      <c r="H233" s="75"/>
      <c r="I233" s="75"/>
    </row>
    <row r="234" spans="3:9" ht="13.2">
      <c r="C234" s="75"/>
      <c r="D234" s="75"/>
      <c r="E234" s="75"/>
      <c r="F234" s="75"/>
      <c r="G234" s="75"/>
      <c r="H234" s="75"/>
      <c r="I234" s="75"/>
    </row>
    <row r="235" spans="3:9" ht="13.2">
      <c r="C235" s="75"/>
      <c r="D235" s="75"/>
      <c r="E235" s="75"/>
      <c r="F235" s="75"/>
      <c r="G235" s="75"/>
      <c r="H235" s="75"/>
      <c r="I235" s="75"/>
    </row>
    <row r="236" spans="3:9" ht="13.2">
      <c r="C236" s="75"/>
      <c r="D236" s="75"/>
      <c r="E236" s="75"/>
      <c r="F236" s="75"/>
      <c r="G236" s="75"/>
      <c r="H236" s="75"/>
      <c r="I236" s="75"/>
    </row>
    <row r="237" spans="3:9" ht="13.2">
      <c r="C237" s="75"/>
      <c r="D237" s="75"/>
      <c r="E237" s="75"/>
      <c r="F237" s="75"/>
      <c r="G237" s="75"/>
      <c r="H237" s="75"/>
      <c r="I237" s="75"/>
    </row>
    <row r="238" spans="3:9" ht="13.2">
      <c r="C238" s="75"/>
      <c r="D238" s="75"/>
      <c r="E238" s="75"/>
      <c r="F238" s="75"/>
      <c r="G238" s="75"/>
      <c r="H238" s="75"/>
      <c r="I238" s="75"/>
    </row>
    <row r="239" spans="3:9" ht="13.2">
      <c r="C239" s="75"/>
      <c r="D239" s="75"/>
      <c r="E239" s="75"/>
      <c r="F239" s="75"/>
      <c r="G239" s="75"/>
      <c r="H239" s="75"/>
      <c r="I239" s="75"/>
    </row>
    <row r="240" spans="3:9" ht="13.2">
      <c r="C240" s="75"/>
      <c r="D240" s="75"/>
      <c r="E240" s="75"/>
      <c r="F240" s="75"/>
      <c r="G240" s="75"/>
      <c r="H240" s="75"/>
      <c r="I240" s="75"/>
    </row>
    <row r="241" spans="3:9" ht="13.2">
      <c r="C241" s="75"/>
      <c r="D241" s="75"/>
      <c r="E241" s="75"/>
      <c r="F241" s="75"/>
      <c r="G241" s="75"/>
      <c r="H241" s="75"/>
      <c r="I241" s="75"/>
    </row>
    <row r="242" spans="3:9" ht="13.2">
      <c r="C242" s="75"/>
      <c r="D242" s="75"/>
      <c r="E242" s="75"/>
      <c r="F242" s="75"/>
      <c r="G242" s="75"/>
      <c r="H242" s="75"/>
      <c r="I242" s="75"/>
    </row>
    <row r="243" spans="3:9" ht="13.2">
      <c r="C243" s="75"/>
      <c r="D243" s="75"/>
      <c r="E243" s="75"/>
      <c r="F243" s="75"/>
      <c r="G243" s="75"/>
      <c r="H243" s="75"/>
      <c r="I243" s="75"/>
    </row>
    <row r="244" spans="3:9" ht="13.2">
      <c r="C244" s="75"/>
      <c r="D244" s="75"/>
      <c r="E244" s="75"/>
      <c r="F244" s="75"/>
      <c r="G244" s="75"/>
      <c r="H244" s="75"/>
      <c r="I244" s="75"/>
    </row>
    <row r="245" spans="3:9" ht="13.2">
      <c r="C245" s="75"/>
      <c r="D245" s="75"/>
      <c r="E245" s="75"/>
      <c r="F245" s="75"/>
      <c r="G245" s="75"/>
      <c r="H245" s="75"/>
      <c r="I245" s="75"/>
    </row>
    <row r="246" spans="3:9" ht="13.2">
      <c r="C246" s="75"/>
      <c r="D246" s="75"/>
      <c r="E246" s="75"/>
      <c r="F246" s="75"/>
      <c r="G246" s="75"/>
      <c r="H246" s="75"/>
      <c r="I246" s="75"/>
    </row>
    <row r="247" spans="3:9" ht="13.2">
      <c r="C247" s="75"/>
      <c r="D247" s="75"/>
      <c r="E247" s="75"/>
      <c r="F247" s="75"/>
      <c r="G247" s="75"/>
      <c r="H247" s="75"/>
      <c r="I247" s="75"/>
    </row>
    <row r="248" spans="3:9" ht="13.2">
      <c r="C248" s="75"/>
      <c r="D248" s="75"/>
      <c r="E248" s="75"/>
      <c r="F248" s="75"/>
      <c r="G248" s="75"/>
      <c r="H248" s="75"/>
      <c r="I248" s="75"/>
    </row>
    <row r="249" spans="3:9" ht="13.2">
      <c r="C249" s="75"/>
      <c r="D249" s="75"/>
      <c r="E249" s="75"/>
      <c r="F249" s="75"/>
      <c r="G249" s="75"/>
      <c r="H249" s="75"/>
      <c r="I249" s="75"/>
    </row>
    <row r="250" spans="3:9" ht="13.2">
      <c r="C250" s="75"/>
      <c r="D250" s="75"/>
      <c r="E250" s="75"/>
      <c r="F250" s="75"/>
      <c r="G250" s="75"/>
      <c r="H250" s="75"/>
      <c r="I250" s="75"/>
    </row>
    <row r="251" spans="3:9" ht="13.2">
      <c r="C251" s="75"/>
      <c r="D251" s="75"/>
      <c r="E251" s="75"/>
      <c r="F251" s="75"/>
      <c r="G251" s="75"/>
      <c r="H251" s="75"/>
      <c r="I251" s="75"/>
    </row>
    <row r="252" spans="3:9" ht="13.2">
      <c r="C252" s="75"/>
      <c r="D252" s="75"/>
      <c r="E252" s="75"/>
      <c r="F252" s="75"/>
      <c r="G252" s="75"/>
      <c r="H252" s="75"/>
      <c r="I252" s="75"/>
    </row>
    <row r="253" spans="3:9" ht="13.2">
      <c r="C253" s="75"/>
      <c r="D253" s="75"/>
      <c r="E253" s="75"/>
      <c r="F253" s="75"/>
      <c r="G253" s="75"/>
      <c r="H253" s="75"/>
      <c r="I253" s="75"/>
    </row>
    <row r="254" spans="3:9" ht="13.2">
      <c r="C254" s="75"/>
      <c r="D254" s="75"/>
      <c r="E254" s="75"/>
      <c r="F254" s="75"/>
      <c r="G254" s="75"/>
      <c r="H254" s="75"/>
      <c r="I254" s="75"/>
    </row>
    <row r="255" spans="3:9" ht="13.2">
      <c r="C255" s="75"/>
      <c r="D255" s="75"/>
      <c r="E255" s="75"/>
      <c r="F255" s="75"/>
      <c r="G255" s="75"/>
      <c r="H255" s="75"/>
      <c r="I255" s="75"/>
    </row>
    <row r="256" spans="3:9" ht="13.2">
      <c r="C256" s="75"/>
      <c r="D256" s="75"/>
      <c r="E256" s="75"/>
      <c r="F256" s="75"/>
      <c r="G256" s="75"/>
      <c r="H256" s="75"/>
      <c r="I256" s="75"/>
    </row>
    <row r="257" spans="3:9" ht="13.2">
      <c r="C257" s="75"/>
      <c r="D257" s="75"/>
      <c r="E257" s="75"/>
      <c r="F257" s="75"/>
      <c r="G257" s="75"/>
      <c r="H257" s="75"/>
      <c r="I257" s="75"/>
    </row>
    <row r="258" spans="3:9" ht="13.2">
      <c r="C258" s="75"/>
      <c r="D258" s="75"/>
      <c r="E258" s="75"/>
      <c r="F258" s="75"/>
      <c r="G258" s="75"/>
      <c r="H258" s="75"/>
      <c r="I258" s="75"/>
    </row>
    <row r="259" spans="3:9" ht="13.2">
      <c r="C259" s="75"/>
      <c r="D259" s="75"/>
      <c r="E259" s="75"/>
      <c r="F259" s="75"/>
      <c r="G259" s="75"/>
      <c r="H259" s="75"/>
      <c r="I259" s="75"/>
    </row>
    <row r="260" spans="3:9" ht="13.2">
      <c r="C260" s="75"/>
      <c r="D260" s="75"/>
      <c r="E260" s="75"/>
      <c r="F260" s="75"/>
      <c r="G260" s="75"/>
      <c r="H260" s="75"/>
      <c r="I260" s="75"/>
    </row>
    <row r="261" spans="3:9" ht="13.2">
      <c r="C261" s="75"/>
      <c r="D261" s="75"/>
      <c r="E261" s="75"/>
      <c r="F261" s="75"/>
      <c r="G261" s="75"/>
      <c r="H261" s="75"/>
      <c r="I261" s="75"/>
    </row>
    <row r="262" spans="3:9" ht="13.2">
      <c r="C262" s="75"/>
      <c r="D262" s="75"/>
      <c r="E262" s="75"/>
      <c r="F262" s="75"/>
      <c r="G262" s="75"/>
      <c r="H262" s="75"/>
      <c r="I262" s="75"/>
    </row>
    <row r="263" spans="3:9" ht="13.2">
      <c r="C263" s="75"/>
      <c r="D263" s="75"/>
      <c r="E263" s="75"/>
      <c r="F263" s="75"/>
      <c r="G263" s="75"/>
      <c r="H263" s="75"/>
      <c r="I263" s="75"/>
    </row>
    <row r="264" spans="3:9" ht="13.2">
      <c r="C264" s="75"/>
      <c r="D264" s="75"/>
      <c r="E264" s="75"/>
      <c r="F264" s="75"/>
      <c r="G264" s="75"/>
      <c r="H264" s="75"/>
      <c r="I264" s="75"/>
    </row>
    <row r="265" spans="3:9" ht="13.2">
      <c r="C265" s="75"/>
      <c r="D265" s="75"/>
      <c r="E265" s="75"/>
      <c r="F265" s="75"/>
      <c r="G265" s="75"/>
      <c r="H265" s="75"/>
      <c r="I265" s="75"/>
    </row>
    <row r="266" spans="3:9" ht="13.2">
      <c r="C266" s="75"/>
      <c r="D266" s="75"/>
      <c r="E266" s="75"/>
      <c r="F266" s="75"/>
      <c r="G266" s="75"/>
      <c r="H266" s="75"/>
      <c r="I266" s="75"/>
    </row>
    <row r="267" spans="3:9" ht="13.2">
      <c r="C267" s="75"/>
      <c r="D267" s="75"/>
      <c r="E267" s="75"/>
      <c r="F267" s="75"/>
      <c r="G267" s="75"/>
      <c r="H267" s="75"/>
      <c r="I267" s="75"/>
    </row>
    <row r="268" spans="3:9" ht="13.2">
      <c r="C268" s="75"/>
      <c r="D268" s="75"/>
      <c r="E268" s="75"/>
      <c r="F268" s="75"/>
      <c r="G268" s="75"/>
      <c r="H268" s="75"/>
      <c r="I268" s="75"/>
    </row>
    <row r="269" spans="3:9" ht="13.2">
      <c r="C269" s="75"/>
      <c r="D269" s="75"/>
      <c r="E269" s="75"/>
      <c r="F269" s="75"/>
      <c r="G269" s="75"/>
      <c r="H269" s="75"/>
      <c r="I269" s="75"/>
    </row>
    <row r="270" spans="3:9" ht="13.2">
      <c r="C270" s="75"/>
      <c r="D270" s="75"/>
      <c r="E270" s="75"/>
      <c r="F270" s="75"/>
      <c r="G270" s="75"/>
      <c r="H270" s="75"/>
      <c r="I270" s="75"/>
    </row>
    <row r="271" spans="3:9" ht="13.2">
      <c r="C271" s="75"/>
      <c r="D271" s="75"/>
      <c r="E271" s="75"/>
      <c r="F271" s="75"/>
      <c r="G271" s="75"/>
      <c r="H271" s="75"/>
      <c r="I271" s="75"/>
    </row>
    <row r="272" spans="3:9" ht="13.2">
      <c r="C272" s="75"/>
      <c r="D272" s="75"/>
      <c r="E272" s="75"/>
      <c r="F272" s="75"/>
      <c r="G272" s="75"/>
      <c r="H272" s="75"/>
      <c r="I272" s="75"/>
    </row>
    <row r="273" spans="3:9" ht="13.2">
      <c r="C273" s="75"/>
      <c r="D273" s="75"/>
      <c r="E273" s="75"/>
      <c r="F273" s="75"/>
      <c r="G273" s="75"/>
      <c r="H273" s="75"/>
      <c r="I273" s="75"/>
    </row>
    <row r="274" spans="3:9" ht="13.2">
      <c r="C274" s="75"/>
      <c r="D274" s="75"/>
      <c r="E274" s="75"/>
      <c r="F274" s="75"/>
      <c r="G274" s="75"/>
      <c r="H274" s="75"/>
      <c r="I274" s="75"/>
    </row>
    <row r="275" spans="3:9" ht="13.2">
      <c r="C275" s="75"/>
      <c r="D275" s="75"/>
      <c r="E275" s="75"/>
      <c r="F275" s="75"/>
      <c r="G275" s="75"/>
      <c r="H275" s="75"/>
      <c r="I275" s="75"/>
    </row>
    <row r="276" spans="3:9" ht="13.2">
      <c r="C276" s="75"/>
      <c r="D276" s="75"/>
      <c r="E276" s="75"/>
      <c r="F276" s="75"/>
      <c r="G276" s="75"/>
      <c r="H276" s="75"/>
      <c r="I276" s="75"/>
    </row>
    <row r="277" spans="3:9" ht="13.2">
      <c r="C277" s="75"/>
      <c r="D277" s="75"/>
      <c r="E277" s="75"/>
      <c r="F277" s="75"/>
      <c r="G277" s="75"/>
      <c r="H277" s="75"/>
      <c r="I277" s="75"/>
    </row>
    <row r="278" spans="3:9" ht="13.2">
      <c r="C278" s="75"/>
      <c r="D278" s="75"/>
      <c r="E278" s="75"/>
      <c r="F278" s="75"/>
      <c r="G278" s="75"/>
      <c r="H278" s="75"/>
      <c r="I278" s="75"/>
    </row>
    <row r="279" spans="3:9" ht="13.2">
      <c r="C279" s="75"/>
      <c r="D279" s="75"/>
      <c r="E279" s="75"/>
      <c r="F279" s="75"/>
      <c r="G279" s="75"/>
      <c r="H279" s="75"/>
      <c r="I279" s="75"/>
    </row>
    <row r="280" spans="3:9" ht="13.2">
      <c r="C280" s="75"/>
      <c r="D280" s="75"/>
      <c r="E280" s="75"/>
      <c r="F280" s="75"/>
      <c r="G280" s="75"/>
      <c r="H280" s="75"/>
      <c r="I280" s="75"/>
    </row>
    <row r="281" spans="3:9" ht="13.2">
      <c r="C281" s="75"/>
      <c r="D281" s="75"/>
      <c r="E281" s="75"/>
      <c r="F281" s="75"/>
      <c r="G281" s="75"/>
      <c r="H281" s="75"/>
      <c r="I281" s="75"/>
    </row>
    <row r="282" spans="3:9" ht="13.2">
      <c r="C282" s="75"/>
      <c r="D282" s="75"/>
      <c r="E282" s="75"/>
      <c r="F282" s="75"/>
      <c r="G282" s="75"/>
      <c r="H282" s="75"/>
      <c r="I282" s="75"/>
    </row>
    <row r="283" spans="3:9" ht="13.2">
      <c r="C283" s="75"/>
      <c r="D283" s="75"/>
      <c r="E283" s="75"/>
      <c r="F283" s="75"/>
      <c r="G283" s="75"/>
      <c r="H283" s="75"/>
      <c r="I283" s="75"/>
    </row>
    <row r="284" spans="3:9" ht="13.2">
      <c r="C284" s="75"/>
      <c r="D284" s="75"/>
      <c r="E284" s="75"/>
      <c r="F284" s="75"/>
      <c r="G284" s="75"/>
      <c r="H284" s="75"/>
      <c r="I284" s="75"/>
    </row>
    <row r="285" spans="3:9" ht="13.2">
      <c r="C285" s="75"/>
      <c r="D285" s="75"/>
      <c r="E285" s="75"/>
      <c r="F285" s="75"/>
      <c r="G285" s="75"/>
      <c r="H285" s="75"/>
      <c r="I285" s="75"/>
    </row>
    <row r="286" spans="3:9" ht="13.2">
      <c r="C286" s="75"/>
      <c r="D286" s="75"/>
      <c r="E286" s="75"/>
      <c r="F286" s="75"/>
      <c r="G286" s="75"/>
      <c r="H286" s="75"/>
      <c r="I286" s="75"/>
    </row>
    <row r="287" spans="3:9" ht="13.2">
      <c r="C287" s="75"/>
      <c r="D287" s="75"/>
      <c r="E287" s="75"/>
      <c r="F287" s="75"/>
      <c r="G287" s="75"/>
      <c r="H287" s="75"/>
      <c r="I287" s="75"/>
    </row>
    <row r="288" spans="3:9" ht="13.2">
      <c r="C288" s="75"/>
      <c r="D288" s="75"/>
      <c r="E288" s="75"/>
      <c r="F288" s="75"/>
      <c r="G288" s="75"/>
      <c r="H288" s="75"/>
      <c r="I288" s="75"/>
    </row>
    <row r="289" spans="3:9" ht="13.2">
      <c r="C289" s="75"/>
      <c r="D289" s="75"/>
      <c r="E289" s="75"/>
      <c r="F289" s="75"/>
      <c r="G289" s="75"/>
      <c r="H289" s="75"/>
      <c r="I289" s="75"/>
    </row>
    <row r="290" spans="3:9" ht="13.2">
      <c r="C290" s="75"/>
      <c r="D290" s="75"/>
      <c r="E290" s="75"/>
      <c r="F290" s="75"/>
      <c r="G290" s="75"/>
      <c r="H290" s="75"/>
      <c r="I290" s="75"/>
    </row>
    <row r="291" spans="3:9" ht="13.2">
      <c r="C291" s="75"/>
      <c r="D291" s="75"/>
      <c r="E291" s="75"/>
      <c r="F291" s="75"/>
      <c r="G291" s="75"/>
      <c r="H291" s="75"/>
      <c r="I291" s="75"/>
    </row>
    <row r="292" spans="3:9" ht="13.2">
      <c r="C292" s="75"/>
      <c r="D292" s="75"/>
      <c r="E292" s="75"/>
      <c r="F292" s="75"/>
      <c r="G292" s="75"/>
      <c r="H292" s="75"/>
      <c r="I292" s="75"/>
    </row>
    <row r="293" spans="3:9" ht="13.2">
      <c r="C293" s="75"/>
      <c r="D293" s="75"/>
      <c r="E293" s="75"/>
      <c r="F293" s="75"/>
      <c r="G293" s="75"/>
      <c r="H293" s="75"/>
      <c r="I293" s="75"/>
    </row>
    <row r="294" spans="3:9" ht="13.2">
      <c r="C294" s="75"/>
      <c r="D294" s="75"/>
      <c r="E294" s="75"/>
      <c r="F294" s="75"/>
      <c r="G294" s="75"/>
      <c r="H294" s="75"/>
      <c r="I294" s="75"/>
    </row>
    <row r="295" spans="3:9" ht="13.2">
      <c r="C295" s="75"/>
      <c r="D295" s="75"/>
      <c r="E295" s="75"/>
      <c r="F295" s="75"/>
      <c r="G295" s="75"/>
      <c r="H295" s="75"/>
      <c r="I295" s="75"/>
    </row>
    <row r="296" spans="3:9" ht="13.2">
      <c r="C296" s="75"/>
      <c r="D296" s="75"/>
      <c r="E296" s="75"/>
      <c r="F296" s="75"/>
      <c r="G296" s="75"/>
      <c r="H296" s="75"/>
      <c r="I296" s="75"/>
    </row>
    <row r="297" spans="3:9" ht="13.2">
      <c r="C297" s="75"/>
      <c r="D297" s="75"/>
      <c r="E297" s="75"/>
      <c r="F297" s="75"/>
      <c r="G297" s="75"/>
      <c r="H297" s="75"/>
      <c r="I297" s="75"/>
    </row>
    <row r="298" spans="3:9" ht="13.2">
      <c r="C298" s="75"/>
      <c r="D298" s="75"/>
      <c r="E298" s="75"/>
      <c r="F298" s="75"/>
      <c r="G298" s="75"/>
      <c r="H298" s="75"/>
      <c r="I298" s="75"/>
    </row>
    <row r="299" spans="3:9" ht="13.2">
      <c r="C299" s="75"/>
      <c r="D299" s="75"/>
      <c r="E299" s="75"/>
      <c r="F299" s="75"/>
      <c r="G299" s="75"/>
      <c r="H299" s="75"/>
      <c r="I299" s="75"/>
    </row>
    <row r="300" spans="3:9" ht="13.2">
      <c r="C300" s="75"/>
      <c r="D300" s="75"/>
      <c r="E300" s="75"/>
      <c r="F300" s="75"/>
      <c r="G300" s="75"/>
      <c r="H300" s="75"/>
      <c r="I300" s="75"/>
    </row>
    <row r="301" spans="3:9" ht="13.2">
      <c r="C301" s="75"/>
      <c r="D301" s="75"/>
      <c r="E301" s="75"/>
      <c r="F301" s="75"/>
      <c r="G301" s="75"/>
      <c r="H301" s="75"/>
      <c r="I301" s="75"/>
    </row>
    <row r="302" spans="3:9" ht="13.2">
      <c r="C302" s="75"/>
      <c r="D302" s="75"/>
      <c r="E302" s="75"/>
      <c r="F302" s="75"/>
      <c r="G302" s="75"/>
      <c r="H302" s="75"/>
      <c r="I302" s="75"/>
    </row>
    <row r="303" spans="3:9" ht="13.2">
      <c r="C303" s="75"/>
      <c r="D303" s="75"/>
      <c r="E303" s="75"/>
      <c r="F303" s="75"/>
      <c r="G303" s="75"/>
      <c r="H303" s="75"/>
      <c r="I303" s="75"/>
    </row>
    <row r="304" spans="3:9" ht="13.2">
      <c r="C304" s="75"/>
      <c r="D304" s="75"/>
      <c r="E304" s="75"/>
      <c r="F304" s="75"/>
      <c r="G304" s="75"/>
      <c r="H304" s="75"/>
      <c r="I304" s="75"/>
    </row>
    <row r="305" spans="3:9" ht="13.2">
      <c r="C305" s="75"/>
      <c r="D305" s="75"/>
      <c r="E305" s="75"/>
      <c r="F305" s="75"/>
      <c r="G305" s="75"/>
      <c r="H305" s="75"/>
      <c r="I305" s="75"/>
    </row>
    <row r="306" spans="3:9" ht="13.2">
      <c r="C306" s="75"/>
      <c r="D306" s="75"/>
      <c r="E306" s="75"/>
      <c r="F306" s="75"/>
      <c r="G306" s="75"/>
      <c r="H306" s="75"/>
      <c r="I306" s="75"/>
    </row>
    <row r="307" spans="3:9" ht="13.2">
      <c r="C307" s="75"/>
      <c r="D307" s="75"/>
      <c r="E307" s="75"/>
      <c r="F307" s="75"/>
      <c r="G307" s="75"/>
      <c r="H307" s="75"/>
      <c r="I307" s="75"/>
    </row>
    <row r="308" spans="3:9" ht="13.2">
      <c r="C308" s="75"/>
      <c r="D308" s="75"/>
      <c r="E308" s="75"/>
      <c r="F308" s="75"/>
      <c r="G308" s="75"/>
      <c r="H308" s="75"/>
      <c r="I308" s="75"/>
    </row>
    <row r="309" spans="3:9" ht="13.2">
      <c r="C309" s="75"/>
      <c r="D309" s="75"/>
      <c r="E309" s="75"/>
      <c r="F309" s="75"/>
      <c r="G309" s="75"/>
      <c r="H309" s="75"/>
      <c r="I309" s="75"/>
    </row>
    <row r="310" spans="3:9" ht="13.2">
      <c r="C310" s="75"/>
      <c r="D310" s="75"/>
      <c r="E310" s="75"/>
      <c r="F310" s="75"/>
      <c r="G310" s="75"/>
      <c r="H310" s="75"/>
      <c r="I310" s="75"/>
    </row>
    <row r="311" spans="3:9" ht="13.2">
      <c r="C311" s="75"/>
      <c r="D311" s="75"/>
      <c r="E311" s="75"/>
      <c r="F311" s="75"/>
      <c r="G311" s="75"/>
      <c r="H311" s="75"/>
      <c r="I311" s="75"/>
    </row>
    <row r="312" spans="3:9" ht="13.2">
      <c r="C312" s="75"/>
      <c r="D312" s="75"/>
      <c r="E312" s="75"/>
      <c r="F312" s="75"/>
      <c r="G312" s="75"/>
      <c r="H312" s="75"/>
      <c r="I312" s="75"/>
    </row>
    <row r="313" spans="3:9" ht="13.2">
      <c r="C313" s="75"/>
      <c r="D313" s="75"/>
      <c r="E313" s="75"/>
      <c r="F313" s="75"/>
      <c r="G313" s="75"/>
      <c r="H313" s="75"/>
      <c r="I313" s="75"/>
    </row>
    <row r="314" spans="3:9" ht="13.2">
      <c r="C314" s="75"/>
      <c r="D314" s="75"/>
      <c r="E314" s="75"/>
      <c r="F314" s="75"/>
      <c r="G314" s="75"/>
      <c r="H314" s="75"/>
      <c r="I314" s="75"/>
    </row>
    <row r="315" spans="3:9" ht="13.2">
      <c r="C315" s="75"/>
      <c r="D315" s="75"/>
      <c r="E315" s="75"/>
      <c r="F315" s="75"/>
      <c r="G315" s="75"/>
      <c r="H315" s="75"/>
      <c r="I315" s="75"/>
    </row>
    <row r="316" spans="3:9" ht="13.2">
      <c r="C316" s="75"/>
      <c r="D316" s="75"/>
      <c r="E316" s="75"/>
      <c r="F316" s="75"/>
      <c r="G316" s="75"/>
      <c r="H316" s="75"/>
      <c r="I316" s="75"/>
    </row>
    <row r="317" spans="3:9" ht="13.2">
      <c r="C317" s="75"/>
      <c r="D317" s="75"/>
      <c r="E317" s="75"/>
      <c r="F317" s="75"/>
      <c r="G317" s="75"/>
      <c r="H317" s="75"/>
      <c r="I317" s="75"/>
    </row>
    <row r="318" spans="3:9" ht="13.2">
      <c r="C318" s="75"/>
      <c r="D318" s="75"/>
      <c r="E318" s="75"/>
      <c r="F318" s="75"/>
      <c r="G318" s="75"/>
      <c r="H318" s="75"/>
      <c r="I318" s="75"/>
    </row>
    <row r="319" spans="3:9" ht="13.2">
      <c r="C319" s="75"/>
      <c r="D319" s="75"/>
      <c r="E319" s="75"/>
      <c r="F319" s="75"/>
      <c r="G319" s="75"/>
      <c r="H319" s="75"/>
      <c r="I319" s="75"/>
    </row>
    <row r="320" spans="3:9" ht="13.2">
      <c r="C320" s="75"/>
      <c r="D320" s="75"/>
      <c r="E320" s="75"/>
      <c r="F320" s="75"/>
      <c r="G320" s="75"/>
      <c r="H320" s="75"/>
      <c r="I320" s="75"/>
    </row>
    <row r="321" spans="3:9" ht="13.2">
      <c r="C321" s="75"/>
      <c r="D321" s="75"/>
      <c r="E321" s="75"/>
      <c r="F321" s="75"/>
      <c r="G321" s="75"/>
      <c r="H321" s="75"/>
      <c r="I321" s="75"/>
    </row>
    <row r="322" spans="3:9" ht="13.2">
      <c r="C322" s="75"/>
      <c r="D322" s="75"/>
      <c r="E322" s="75"/>
      <c r="F322" s="75"/>
      <c r="G322" s="75"/>
      <c r="H322" s="75"/>
      <c r="I322" s="75"/>
    </row>
    <row r="323" spans="3:9" ht="13.2">
      <c r="C323" s="75"/>
      <c r="D323" s="75"/>
      <c r="E323" s="75"/>
      <c r="F323" s="75"/>
      <c r="G323" s="75"/>
      <c r="H323" s="75"/>
      <c r="I323" s="75"/>
    </row>
    <row r="324" spans="3:9" ht="13.2">
      <c r="C324" s="75"/>
      <c r="D324" s="75"/>
      <c r="E324" s="75"/>
      <c r="F324" s="75"/>
      <c r="G324" s="75"/>
      <c r="H324" s="75"/>
      <c r="I324" s="75"/>
    </row>
    <row r="325" spans="3:9" ht="13.2">
      <c r="C325" s="75"/>
      <c r="D325" s="75"/>
      <c r="E325" s="75"/>
      <c r="F325" s="75"/>
      <c r="G325" s="75"/>
      <c r="H325" s="75"/>
      <c r="I325" s="75"/>
    </row>
    <row r="326" spans="3:9" ht="13.2">
      <c r="C326" s="75"/>
      <c r="D326" s="75"/>
      <c r="E326" s="75"/>
      <c r="F326" s="75"/>
      <c r="G326" s="75"/>
      <c r="H326" s="75"/>
      <c r="I326" s="75"/>
    </row>
    <row r="327" spans="3:9" ht="13.2">
      <c r="C327" s="75"/>
      <c r="D327" s="75"/>
      <c r="E327" s="75"/>
      <c r="F327" s="75"/>
      <c r="G327" s="75"/>
      <c r="H327" s="75"/>
      <c r="I327" s="75"/>
    </row>
    <row r="328" spans="3:9" ht="13.2">
      <c r="C328" s="75"/>
      <c r="D328" s="75"/>
      <c r="E328" s="75"/>
      <c r="F328" s="75"/>
      <c r="G328" s="75"/>
      <c r="H328" s="75"/>
      <c r="I328" s="75"/>
    </row>
    <row r="329" spans="3:9" ht="13.2">
      <c r="C329" s="75"/>
      <c r="D329" s="75"/>
      <c r="E329" s="75"/>
      <c r="F329" s="75"/>
      <c r="G329" s="75"/>
      <c r="H329" s="75"/>
      <c r="I329" s="75"/>
    </row>
    <row r="330" spans="3:9" ht="13.2">
      <c r="C330" s="75"/>
      <c r="D330" s="75"/>
      <c r="E330" s="75"/>
      <c r="F330" s="75"/>
      <c r="G330" s="75"/>
      <c r="H330" s="75"/>
      <c r="I330" s="75"/>
    </row>
    <row r="331" spans="3:9" ht="13.2">
      <c r="C331" s="75"/>
      <c r="D331" s="75"/>
      <c r="E331" s="75"/>
      <c r="F331" s="75"/>
      <c r="G331" s="75"/>
      <c r="H331" s="75"/>
      <c r="I331" s="75"/>
    </row>
    <row r="332" spans="3:9" ht="13.2">
      <c r="C332" s="75"/>
      <c r="D332" s="75"/>
      <c r="E332" s="75"/>
      <c r="F332" s="75"/>
      <c r="G332" s="75"/>
      <c r="H332" s="75"/>
      <c r="I332" s="75"/>
    </row>
    <row r="333" spans="3:9" ht="13.2">
      <c r="C333" s="75"/>
      <c r="D333" s="75"/>
      <c r="E333" s="75"/>
      <c r="F333" s="75"/>
      <c r="G333" s="75"/>
      <c r="H333" s="75"/>
      <c r="I333" s="75"/>
    </row>
    <row r="334" spans="3:9" ht="13.2">
      <c r="C334" s="75"/>
      <c r="D334" s="75"/>
      <c r="E334" s="75"/>
      <c r="F334" s="75"/>
      <c r="G334" s="75"/>
      <c r="H334" s="75"/>
      <c r="I334" s="75"/>
    </row>
    <row r="335" spans="3:9" ht="13.2">
      <c r="C335" s="75"/>
      <c r="D335" s="75"/>
      <c r="E335" s="75"/>
      <c r="F335" s="75"/>
      <c r="G335" s="75"/>
      <c r="H335" s="75"/>
      <c r="I335" s="75"/>
    </row>
    <row r="336" spans="3:9" ht="13.2">
      <c r="C336" s="75"/>
      <c r="D336" s="75"/>
      <c r="E336" s="75"/>
      <c r="F336" s="75"/>
      <c r="G336" s="75"/>
      <c r="H336" s="75"/>
      <c r="I336" s="75"/>
    </row>
    <row r="337" spans="3:9" ht="13.2">
      <c r="C337" s="75"/>
      <c r="D337" s="75"/>
      <c r="E337" s="75"/>
      <c r="F337" s="75"/>
      <c r="G337" s="75"/>
      <c r="H337" s="75"/>
      <c r="I337" s="75"/>
    </row>
    <row r="338" spans="3:9" ht="13.2">
      <c r="C338" s="75"/>
      <c r="D338" s="75"/>
      <c r="E338" s="75"/>
      <c r="F338" s="75"/>
      <c r="G338" s="75"/>
      <c r="H338" s="75"/>
      <c r="I338" s="75"/>
    </row>
    <row r="339" spans="3:9" ht="13.2">
      <c r="C339" s="75"/>
      <c r="D339" s="75"/>
      <c r="E339" s="75"/>
      <c r="F339" s="75"/>
      <c r="G339" s="75"/>
      <c r="H339" s="75"/>
      <c r="I339" s="75"/>
    </row>
    <row r="340" spans="3:9" ht="13.2">
      <c r="C340" s="75"/>
      <c r="D340" s="75"/>
      <c r="E340" s="75"/>
      <c r="F340" s="75"/>
      <c r="G340" s="75"/>
      <c r="H340" s="75"/>
      <c r="I340" s="75"/>
    </row>
    <row r="341" spans="3:9" ht="13.2">
      <c r="C341" s="75"/>
      <c r="D341" s="75"/>
      <c r="E341" s="75"/>
      <c r="F341" s="75"/>
      <c r="G341" s="75"/>
      <c r="H341" s="75"/>
      <c r="I341" s="75"/>
    </row>
    <row r="342" spans="3:9" ht="13.2">
      <c r="C342" s="75"/>
      <c r="D342" s="75"/>
      <c r="E342" s="75"/>
      <c r="F342" s="75"/>
      <c r="G342" s="75"/>
      <c r="H342" s="75"/>
      <c r="I342" s="75"/>
    </row>
    <row r="343" spans="3:9" ht="13.2">
      <c r="C343" s="75"/>
      <c r="D343" s="75"/>
      <c r="E343" s="75"/>
      <c r="F343" s="75"/>
      <c r="G343" s="75"/>
      <c r="H343" s="75"/>
      <c r="I343" s="75"/>
    </row>
    <row r="344" spans="3:9" ht="13.2">
      <c r="C344" s="75"/>
      <c r="D344" s="75"/>
      <c r="E344" s="75"/>
      <c r="F344" s="75"/>
      <c r="G344" s="75"/>
      <c r="H344" s="75"/>
      <c r="I344" s="75"/>
    </row>
    <row r="345" spans="3:9" ht="13.2">
      <c r="C345" s="75"/>
      <c r="D345" s="75"/>
      <c r="E345" s="75"/>
      <c r="F345" s="75"/>
      <c r="G345" s="75"/>
      <c r="H345" s="75"/>
      <c r="I345" s="75"/>
    </row>
    <row r="346" spans="3:9" ht="13.2">
      <c r="C346" s="75"/>
      <c r="D346" s="75"/>
      <c r="E346" s="75"/>
      <c r="F346" s="75"/>
      <c r="G346" s="75"/>
      <c r="H346" s="75"/>
      <c r="I346" s="75"/>
    </row>
    <row r="347" spans="3:9" ht="13.2">
      <c r="C347" s="75"/>
      <c r="D347" s="75"/>
      <c r="E347" s="75"/>
      <c r="F347" s="75"/>
      <c r="G347" s="75"/>
      <c r="H347" s="75"/>
      <c r="I347" s="75"/>
    </row>
    <row r="348" spans="3:9" ht="13.2">
      <c r="C348" s="75"/>
      <c r="D348" s="75"/>
      <c r="E348" s="75"/>
      <c r="F348" s="75"/>
      <c r="G348" s="75"/>
      <c r="H348" s="75"/>
      <c r="I348" s="75"/>
    </row>
    <row r="349" spans="3:9" ht="13.2">
      <c r="C349" s="75"/>
      <c r="D349" s="75"/>
      <c r="E349" s="75"/>
      <c r="F349" s="75"/>
      <c r="G349" s="75"/>
      <c r="H349" s="75"/>
      <c r="I349" s="75"/>
    </row>
    <row r="350" spans="3:9" ht="13.2">
      <c r="C350" s="75"/>
      <c r="D350" s="75"/>
      <c r="E350" s="75"/>
      <c r="F350" s="75"/>
      <c r="G350" s="75"/>
      <c r="H350" s="75"/>
      <c r="I350" s="75"/>
    </row>
    <row r="351" spans="3:9" ht="13.2">
      <c r="C351" s="75"/>
      <c r="D351" s="75"/>
      <c r="E351" s="75"/>
      <c r="F351" s="75"/>
      <c r="G351" s="75"/>
      <c r="H351" s="75"/>
      <c r="I351" s="75"/>
    </row>
    <row r="352" spans="3:9" ht="13.2">
      <c r="C352" s="75"/>
      <c r="D352" s="75"/>
      <c r="E352" s="75"/>
      <c r="F352" s="75"/>
      <c r="G352" s="75"/>
      <c r="H352" s="75"/>
      <c r="I352" s="75"/>
    </row>
    <row r="353" spans="3:9" ht="13.2">
      <c r="C353" s="75"/>
      <c r="D353" s="75"/>
      <c r="E353" s="75"/>
      <c r="F353" s="75"/>
      <c r="G353" s="75"/>
      <c r="H353" s="75"/>
      <c r="I353" s="75"/>
    </row>
    <row r="354" spans="3:9" ht="13.2">
      <c r="C354" s="75"/>
      <c r="D354" s="75"/>
      <c r="E354" s="75"/>
      <c r="F354" s="75"/>
      <c r="G354" s="75"/>
      <c r="H354" s="75"/>
      <c r="I354" s="75"/>
    </row>
    <row r="355" spans="3:9" ht="13.2">
      <c r="C355" s="75"/>
      <c r="D355" s="75"/>
      <c r="E355" s="75"/>
      <c r="F355" s="75"/>
      <c r="G355" s="75"/>
      <c r="H355" s="75"/>
      <c r="I355" s="75"/>
    </row>
    <row r="356" spans="3:9" ht="13.2">
      <c r="C356" s="75"/>
      <c r="D356" s="75"/>
      <c r="E356" s="75"/>
      <c r="F356" s="75"/>
      <c r="G356" s="75"/>
      <c r="H356" s="75"/>
      <c r="I356" s="75"/>
    </row>
    <row r="357" spans="3:9" ht="13.2">
      <c r="C357" s="75"/>
      <c r="D357" s="75"/>
      <c r="E357" s="75"/>
      <c r="F357" s="75"/>
      <c r="G357" s="75"/>
      <c r="H357" s="75"/>
      <c r="I357" s="75"/>
    </row>
    <row r="358" spans="3:9" ht="13.2">
      <c r="C358" s="75"/>
      <c r="D358" s="75"/>
      <c r="E358" s="75"/>
      <c r="F358" s="75"/>
      <c r="G358" s="75"/>
      <c r="H358" s="75"/>
      <c r="I358" s="75"/>
    </row>
    <row r="359" spans="3:9" ht="13.2">
      <c r="C359" s="75"/>
      <c r="D359" s="75"/>
      <c r="E359" s="75"/>
      <c r="F359" s="75"/>
      <c r="G359" s="75"/>
      <c r="H359" s="75"/>
      <c r="I359" s="75"/>
    </row>
    <row r="360" spans="3:9" ht="13.2">
      <c r="C360" s="75"/>
      <c r="D360" s="75"/>
      <c r="E360" s="75"/>
      <c r="F360" s="75"/>
      <c r="G360" s="75"/>
      <c r="H360" s="75"/>
      <c r="I360" s="75"/>
    </row>
    <row r="361" spans="3:9" ht="13.2">
      <c r="C361" s="75"/>
      <c r="D361" s="75"/>
      <c r="E361" s="75"/>
      <c r="F361" s="75"/>
      <c r="G361" s="75"/>
      <c r="H361" s="75"/>
      <c r="I361" s="75"/>
    </row>
    <row r="362" spans="3:9" ht="13.2">
      <c r="C362" s="75"/>
      <c r="D362" s="75"/>
      <c r="E362" s="75"/>
      <c r="F362" s="75"/>
      <c r="G362" s="75"/>
      <c r="H362" s="75"/>
      <c r="I362" s="75"/>
    </row>
    <row r="363" spans="3:9" ht="13.2">
      <c r="C363" s="75"/>
      <c r="D363" s="75"/>
      <c r="E363" s="75"/>
      <c r="F363" s="75"/>
      <c r="G363" s="75"/>
      <c r="H363" s="75"/>
      <c r="I363" s="75"/>
    </row>
    <row r="364" spans="3:9" ht="13.2">
      <c r="C364" s="75"/>
      <c r="D364" s="75"/>
      <c r="E364" s="75"/>
      <c r="F364" s="75"/>
      <c r="G364" s="75"/>
      <c r="H364" s="75"/>
      <c r="I364" s="75"/>
    </row>
    <row r="365" spans="3:9" ht="13.2">
      <c r="C365" s="75"/>
      <c r="D365" s="75"/>
      <c r="E365" s="75"/>
      <c r="F365" s="75"/>
      <c r="G365" s="75"/>
      <c r="H365" s="75"/>
      <c r="I365" s="75"/>
    </row>
    <row r="366" spans="3:9" ht="13.2">
      <c r="C366" s="75"/>
      <c r="D366" s="75"/>
      <c r="E366" s="75"/>
      <c r="F366" s="75"/>
      <c r="G366" s="75"/>
      <c r="H366" s="75"/>
      <c r="I366" s="75"/>
    </row>
    <row r="367" spans="3:9" ht="13.2">
      <c r="C367" s="75"/>
      <c r="D367" s="75"/>
      <c r="E367" s="75"/>
      <c r="F367" s="75"/>
      <c r="G367" s="75"/>
      <c r="H367" s="75"/>
      <c r="I367" s="75"/>
    </row>
    <row r="368" spans="3:9" ht="13.2">
      <c r="C368" s="75"/>
      <c r="D368" s="75"/>
      <c r="E368" s="75"/>
      <c r="F368" s="75"/>
      <c r="G368" s="75"/>
      <c r="H368" s="75"/>
      <c r="I368" s="75"/>
    </row>
    <row r="369" spans="3:9" ht="13.2">
      <c r="C369" s="75"/>
      <c r="D369" s="75"/>
      <c r="E369" s="75"/>
      <c r="F369" s="75"/>
      <c r="G369" s="75"/>
      <c r="H369" s="75"/>
      <c r="I369" s="75"/>
    </row>
    <row r="370" spans="3:9" ht="13.2">
      <c r="C370" s="75"/>
      <c r="D370" s="75"/>
      <c r="E370" s="75"/>
      <c r="F370" s="75"/>
      <c r="G370" s="75"/>
      <c r="H370" s="75"/>
      <c r="I370" s="75"/>
    </row>
    <row r="371" spans="3:9" ht="13.2">
      <c r="C371" s="75"/>
      <c r="D371" s="75"/>
      <c r="E371" s="75"/>
      <c r="F371" s="75"/>
      <c r="G371" s="75"/>
      <c r="H371" s="75"/>
      <c r="I371" s="75"/>
    </row>
    <row r="372" spans="3:9" ht="13.2">
      <c r="C372" s="75"/>
      <c r="D372" s="75"/>
      <c r="E372" s="75"/>
      <c r="F372" s="75"/>
      <c r="G372" s="75"/>
      <c r="H372" s="75"/>
      <c r="I372" s="75"/>
    </row>
    <row r="373" spans="3:9" ht="13.2">
      <c r="C373" s="75"/>
      <c r="D373" s="75"/>
      <c r="E373" s="75"/>
      <c r="F373" s="75"/>
      <c r="G373" s="75"/>
      <c r="H373" s="75"/>
      <c r="I373" s="75"/>
    </row>
    <row r="374" spans="3:9" ht="13.2">
      <c r="C374" s="75"/>
      <c r="D374" s="75"/>
      <c r="E374" s="75"/>
      <c r="F374" s="75"/>
      <c r="G374" s="75"/>
      <c r="H374" s="75"/>
      <c r="I374" s="75"/>
    </row>
    <row r="375" spans="3:9" ht="13.2">
      <c r="C375" s="75"/>
      <c r="D375" s="75"/>
      <c r="E375" s="75"/>
      <c r="F375" s="75"/>
      <c r="G375" s="75"/>
      <c r="H375" s="75"/>
      <c r="I375" s="75"/>
    </row>
    <row r="376" spans="3:9" ht="13.2">
      <c r="C376" s="75"/>
      <c r="D376" s="75"/>
      <c r="E376" s="75"/>
      <c r="F376" s="75"/>
      <c r="G376" s="75"/>
      <c r="H376" s="75"/>
      <c r="I376" s="75"/>
    </row>
    <row r="377" spans="3:9" ht="13.2">
      <c r="C377" s="75"/>
      <c r="D377" s="75"/>
      <c r="E377" s="75"/>
      <c r="F377" s="75"/>
      <c r="G377" s="75"/>
      <c r="H377" s="75"/>
      <c r="I377" s="75"/>
    </row>
    <row r="378" spans="3:9" ht="13.2">
      <c r="C378" s="75"/>
      <c r="D378" s="75"/>
      <c r="E378" s="75"/>
      <c r="F378" s="75"/>
      <c r="G378" s="75"/>
      <c r="H378" s="75"/>
      <c r="I378" s="75"/>
    </row>
    <row r="379" spans="3:9" ht="13.2">
      <c r="C379" s="75"/>
      <c r="D379" s="75"/>
      <c r="E379" s="75"/>
      <c r="F379" s="75"/>
      <c r="G379" s="75"/>
      <c r="H379" s="75"/>
      <c r="I379" s="75"/>
    </row>
    <row r="380" spans="3:9" ht="13.2">
      <c r="C380" s="75"/>
      <c r="D380" s="75"/>
      <c r="E380" s="75"/>
      <c r="F380" s="75"/>
      <c r="G380" s="75"/>
      <c r="H380" s="75"/>
      <c r="I380" s="75"/>
    </row>
    <row r="381" spans="3:9" ht="13.2">
      <c r="C381" s="75"/>
      <c r="D381" s="75"/>
      <c r="E381" s="75"/>
      <c r="F381" s="75"/>
      <c r="G381" s="75"/>
      <c r="H381" s="75"/>
      <c r="I381" s="75"/>
    </row>
    <row r="382" spans="3:9" ht="13.2">
      <c r="C382" s="75"/>
      <c r="D382" s="75"/>
      <c r="E382" s="75"/>
      <c r="F382" s="75"/>
      <c r="G382" s="75"/>
      <c r="H382" s="75"/>
      <c r="I382" s="75"/>
    </row>
    <row r="383" spans="3:9" ht="13.2">
      <c r="C383" s="75"/>
      <c r="D383" s="75"/>
      <c r="E383" s="75"/>
      <c r="F383" s="75"/>
      <c r="G383" s="75"/>
      <c r="H383" s="75"/>
      <c r="I383" s="75"/>
    </row>
    <row r="384" spans="3:9" ht="13.2">
      <c r="C384" s="75"/>
      <c r="D384" s="75"/>
      <c r="E384" s="75"/>
      <c r="F384" s="75"/>
      <c r="G384" s="75"/>
      <c r="H384" s="75"/>
      <c r="I384" s="75"/>
    </row>
    <row r="385" spans="3:9" ht="13.2">
      <c r="C385" s="75"/>
      <c r="D385" s="75"/>
      <c r="E385" s="75"/>
      <c r="F385" s="75"/>
      <c r="G385" s="75"/>
      <c r="H385" s="75"/>
      <c r="I385" s="75"/>
    </row>
    <row r="386" spans="3:9" ht="13.2">
      <c r="C386" s="75"/>
      <c r="D386" s="75"/>
      <c r="E386" s="75"/>
      <c r="F386" s="75"/>
      <c r="G386" s="75"/>
      <c r="H386" s="75"/>
      <c r="I386" s="75"/>
    </row>
    <row r="387" spans="3:9" ht="13.2">
      <c r="C387" s="75"/>
      <c r="D387" s="75"/>
      <c r="E387" s="75"/>
      <c r="F387" s="75"/>
      <c r="G387" s="75"/>
      <c r="H387" s="75"/>
      <c r="I387" s="75"/>
    </row>
    <row r="388" spans="3:9" ht="13.2">
      <c r="C388" s="75"/>
      <c r="D388" s="75"/>
      <c r="E388" s="75"/>
      <c r="F388" s="75"/>
      <c r="G388" s="75"/>
      <c r="H388" s="75"/>
      <c r="I388" s="75"/>
    </row>
    <row r="389" spans="3:9" ht="13.2">
      <c r="C389" s="75"/>
      <c r="D389" s="75"/>
      <c r="E389" s="75"/>
      <c r="F389" s="75"/>
      <c r="G389" s="75"/>
      <c r="H389" s="75"/>
      <c r="I389" s="75"/>
    </row>
    <row r="390" spans="3:9" ht="13.2">
      <c r="C390" s="75"/>
      <c r="D390" s="75"/>
      <c r="E390" s="75"/>
      <c r="F390" s="75"/>
      <c r="G390" s="75"/>
      <c r="H390" s="75"/>
      <c r="I390" s="75"/>
    </row>
    <row r="391" spans="3:9" ht="13.2">
      <c r="C391" s="75"/>
      <c r="D391" s="75"/>
      <c r="E391" s="75"/>
      <c r="F391" s="75"/>
      <c r="G391" s="75"/>
      <c r="H391" s="75"/>
      <c r="I391" s="75"/>
    </row>
    <row r="392" spans="3:9" ht="13.2">
      <c r="C392" s="75"/>
      <c r="D392" s="75"/>
      <c r="E392" s="75"/>
      <c r="F392" s="75"/>
      <c r="G392" s="75"/>
      <c r="H392" s="75"/>
      <c r="I392" s="75"/>
    </row>
    <row r="393" spans="3:9" ht="13.2">
      <c r="C393" s="75"/>
      <c r="D393" s="75"/>
      <c r="E393" s="75"/>
      <c r="F393" s="75"/>
      <c r="G393" s="75"/>
      <c r="H393" s="75"/>
      <c r="I393" s="75"/>
    </row>
    <row r="394" spans="3:9" ht="13.2">
      <c r="C394" s="75"/>
      <c r="D394" s="75"/>
      <c r="E394" s="75"/>
      <c r="F394" s="75"/>
      <c r="G394" s="75"/>
      <c r="H394" s="75"/>
      <c r="I394" s="75"/>
    </row>
    <row r="395" spans="3:9" ht="13.2">
      <c r="C395" s="75"/>
      <c r="D395" s="75"/>
      <c r="E395" s="75"/>
      <c r="F395" s="75"/>
      <c r="G395" s="75"/>
      <c r="H395" s="75"/>
      <c r="I395" s="75"/>
    </row>
    <row r="396" spans="3:9" ht="13.2">
      <c r="C396" s="75"/>
      <c r="D396" s="75"/>
      <c r="E396" s="75"/>
      <c r="F396" s="75"/>
      <c r="G396" s="75"/>
      <c r="H396" s="75"/>
      <c r="I396" s="75"/>
    </row>
    <row r="397" spans="3:9" ht="13.2">
      <c r="C397" s="75"/>
      <c r="D397" s="75"/>
      <c r="E397" s="75"/>
      <c r="F397" s="75"/>
      <c r="G397" s="75"/>
      <c r="H397" s="75"/>
      <c r="I397" s="75"/>
    </row>
    <row r="398" spans="3:9" ht="13.2">
      <c r="C398" s="75"/>
      <c r="D398" s="75"/>
      <c r="E398" s="75"/>
      <c r="F398" s="75"/>
      <c r="G398" s="75"/>
      <c r="H398" s="75"/>
      <c r="I398" s="75"/>
    </row>
    <row r="399" spans="3:9" ht="13.2">
      <c r="C399" s="75"/>
      <c r="D399" s="75"/>
      <c r="E399" s="75"/>
      <c r="F399" s="75"/>
      <c r="G399" s="75"/>
      <c r="H399" s="75"/>
      <c r="I399" s="75"/>
    </row>
    <row r="400" spans="3:9" ht="13.2">
      <c r="C400" s="75"/>
      <c r="D400" s="75"/>
      <c r="E400" s="75"/>
      <c r="F400" s="75"/>
      <c r="G400" s="75"/>
      <c r="H400" s="75"/>
      <c r="I400" s="75"/>
    </row>
    <row r="401" spans="3:9" ht="13.2">
      <c r="C401" s="75"/>
      <c r="D401" s="75"/>
      <c r="E401" s="75"/>
      <c r="F401" s="75"/>
      <c r="G401" s="75"/>
      <c r="H401" s="75"/>
      <c r="I401" s="75"/>
    </row>
    <row r="402" spans="3:9" ht="13.2">
      <c r="C402" s="75"/>
      <c r="D402" s="75"/>
      <c r="E402" s="75"/>
      <c r="F402" s="75"/>
      <c r="G402" s="75"/>
      <c r="H402" s="75"/>
      <c r="I402" s="75"/>
    </row>
    <row r="403" spans="3:9" ht="13.2">
      <c r="C403" s="75"/>
      <c r="D403" s="75"/>
      <c r="E403" s="75"/>
      <c r="F403" s="75"/>
      <c r="G403" s="75"/>
      <c r="H403" s="75"/>
      <c r="I403" s="75"/>
    </row>
    <row r="404" spans="3:9" ht="13.2">
      <c r="C404" s="75"/>
      <c r="D404" s="75"/>
      <c r="E404" s="75"/>
      <c r="F404" s="75"/>
      <c r="G404" s="75"/>
      <c r="H404" s="75"/>
      <c r="I404" s="75"/>
    </row>
    <row r="405" spans="3:9" ht="13.2">
      <c r="C405" s="75"/>
      <c r="D405" s="75"/>
      <c r="E405" s="75"/>
      <c r="F405" s="75"/>
      <c r="G405" s="75"/>
      <c r="H405" s="75"/>
      <c r="I405" s="75"/>
    </row>
    <row r="406" spans="3:9" ht="13.2">
      <c r="C406" s="75"/>
      <c r="D406" s="75"/>
      <c r="E406" s="75"/>
      <c r="F406" s="75"/>
      <c r="G406" s="75"/>
      <c r="H406" s="75"/>
      <c r="I406" s="75"/>
    </row>
    <row r="407" spans="3:9" ht="13.2">
      <c r="C407" s="75"/>
      <c r="D407" s="75"/>
      <c r="E407" s="75"/>
      <c r="F407" s="75"/>
      <c r="G407" s="75"/>
      <c r="H407" s="75"/>
      <c r="I407" s="75"/>
    </row>
    <row r="408" spans="3:9" ht="13.2">
      <c r="C408" s="75"/>
      <c r="D408" s="75"/>
      <c r="E408" s="75"/>
      <c r="F408" s="75"/>
      <c r="G408" s="75"/>
      <c r="H408" s="75"/>
      <c r="I408" s="75"/>
    </row>
    <row r="409" spans="3:9" ht="13.2">
      <c r="C409" s="75"/>
      <c r="D409" s="75"/>
      <c r="E409" s="75"/>
      <c r="F409" s="75"/>
      <c r="G409" s="75"/>
      <c r="H409" s="75"/>
      <c r="I409" s="75"/>
    </row>
    <row r="410" spans="3:9" ht="13.2">
      <c r="C410" s="75"/>
      <c r="D410" s="75"/>
      <c r="E410" s="75"/>
      <c r="F410" s="75"/>
      <c r="G410" s="75"/>
      <c r="H410" s="75"/>
      <c r="I410" s="75"/>
    </row>
    <row r="411" spans="3:9" ht="13.2">
      <c r="C411" s="75"/>
      <c r="D411" s="75"/>
      <c r="E411" s="75"/>
      <c r="F411" s="75"/>
      <c r="G411" s="75"/>
      <c r="H411" s="75"/>
      <c r="I411" s="75"/>
    </row>
    <row r="412" spans="3:9" ht="13.2">
      <c r="C412" s="75"/>
      <c r="D412" s="75"/>
      <c r="E412" s="75"/>
      <c r="F412" s="75"/>
      <c r="G412" s="75"/>
      <c r="H412" s="75"/>
      <c r="I412" s="75"/>
    </row>
    <row r="413" spans="3:9" ht="13.2">
      <c r="C413" s="75"/>
      <c r="D413" s="75"/>
      <c r="E413" s="75"/>
      <c r="F413" s="75"/>
      <c r="G413" s="75"/>
      <c r="H413" s="75"/>
      <c r="I413" s="75"/>
    </row>
    <row r="414" spans="3:9" ht="13.2">
      <c r="C414" s="75"/>
      <c r="D414" s="75"/>
      <c r="E414" s="75"/>
      <c r="F414" s="75"/>
      <c r="G414" s="75"/>
      <c r="H414" s="75"/>
      <c r="I414" s="75"/>
    </row>
    <row r="415" spans="3:9" ht="13.2">
      <c r="C415" s="75"/>
      <c r="D415" s="75"/>
      <c r="E415" s="75"/>
      <c r="F415" s="75"/>
      <c r="G415" s="75"/>
      <c r="H415" s="75"/>
      <c r="I415" s="75"/>
    </row>
    <row r="416" spans="3:9" ht="13.2">
      <c r="C416" s="75"/>
      <c r="D416" s="75"/>
      <c r="E416" s="75"/>
      <c r="F416" s="75"/>
      <c r="G416" s="75"/>
      <c r="H416" s="75"/>
      <c r="I416" s="75"/>
    </row>
    <row r="417" spans="3:9" ht="13.2">
      <c r="C417" s="75"/>
      <c r="D417" s="75"/>
      <c r="E417" s="75"/>
      <c r="F417" s="75"/>
      <c r="G417" s="75"/>
      <c r="H417" s="75"/>
      <c r="I417" s="75"/>
    </row>
    <row r="418" spans="3:9" ht="13.2">
      <c r="C418" s="75"/>
      <c r="D418" s="75"/>
      <c r="E418" s="75"/>
      <c r="F418" s="75"/>
      <c r="G418" s="75"/>
      <c r="H418" s="75"/>
      <c r="I418" s="75"/>
    </row>
    <row r="419" spans="3:9" ht="13.2">
      <c r="C419" s="75"/>
      <c r="D419" s="75"/>
      <c r="E419" s="75"/>
      <c r="F419" s="75"/>
      <c r="G419" s="75"/>
      <c r="H419" s="75"/>
      <c r="I419" s="75"/>
    </row>
    <row r="420" spans="3:9" ht="13.2">
      <c r="C420" s="75"/>
      <c r="D420" s="75"/>
      <c r="E420" s="75"/>
      <c r="F420" s="75"/>
      <c r="G420" s="75"/>
      <c r="H420" s="75"/>
      <c r="I420" s="75"/>
    </row>
    <row r="421" spans="3:9" ht="13.2">
      <c r="C421" s="75"/>
      <c r="D421" s="75"/>
      <c r="E421" s="75"/>
      <c r="F421" s="75"/>
      <c r="G421" s="75"/>
      <c r="H421" s="75"/>
      <c r="I421" s="75"/>
    </row>
    <row r="422" spans="3:9" ht="13.2">
      <c r="C422" s="75"/>
      <c r="D422" s="75"/>
      <c r="E422" s="75"/>
      <c r="F422" s="75"/>
      <c r="G422" s="75"/>
      <c r="H422" s="75"/>
      <c r="I422" s="75"/>
    </row>
    <row r="423" spans="3:9" ht="13.2">
      <c r="C423" s="75"/>
      <c r="D423" s="75"/>
      <c r="E423" s="75"/>
      <c r="F423" s="75"/>
      <c r="G423" s="75"/>
      <c r="H423" s="75"/>
      <c r="I423" s="75"/>
    </row>
    <row r="424" spans="3:9" ht="13.2">
      <c r="C424" s="75"/>
      <c r="D424" s="75"/>
      <c r="E424" s="75"/>
      <c r="F424" s="75"/>
      <c r="G424" s="75"/>
      <c r="H424" s="75"/>
      <c r="I424" s="75"/>
    </row>
    <row r="425" spans="3:9" ht="13.2">
      <c r="C425" s="75"/>
      <c r="D425" s="75"/>
      <c r="E425" s="75"/>
      <c r="F425" s="75"/>
      <c r="G425" s="75"/>
      <c r="H425" s="75"/>
      <c r="I425" s="75"/>
    </row>
    <row r="426" spans="3:9" ht="13.2">
      <c r="C426" s="75"/>
      <c r="D426" s="75"/>
      <c r="E426" s="75"/>
      <c r="F426" s="75"/>
      <c r="G426" s="75"/>
      <c r="H426" s="75"/>
      <c r="I426" s="75"/>
    </row>
    <row r="427" spans="3:9" ht="13.2">
      <c r="C427" s="75"/>
      <c r="D427" s="75"/>
      <c r="E427" s="75"/>
      <c r="F427" s="75"/>
      <c r="G427" s="75"/>
      <c r="H427" s="75"/>
      <c r="I427" s="75"/>
    </row>
    <row r="428" spans="3:9" ht="13.2">
      <c r="C428" s="75"/>
      <c r="D428" s="75"/>
      <c r="E428" s="75"/>
      <c r="F428" s="75"/>
      <c r="G428" s="75"/>
      <c r="H428" s="75"/>
      <c r="I428" s="75"/>
    </row>
    <row r="429" spans="3:9" ht="13.2">
      <c r="C429" s="75"/>
      <c r="D429" s="75"/>
      <c r="E429" s="75"/>
      <c r="F429" s="75"/>
      <c r="G429" s="75"/>
      <c r="H429" s="75"/>
      <c r="I429" s="75"/>
    </row>
    <row r="430" spans="3:9" ht="13.2">
      <c r="C430" s="75"/>
      <c r="D430" s="75"/>
      <c r="E430" s="75"/>
      <c r="F430" s="75"/>
      <c r="G430" s="75"/>
      <c r="H430" s="75"/>
      <c r="I430" s="75"/>
    </row>
    <row r="431" spans="3:9" ht="13.2">
      <c r="C431" s="75"/>
      <c r="D431" s="75"/>
      <c r="E431" s="75"/>
      <c r="F431" s="75"/>
      <c r="G431" s="75"/>
      <c r="H431" s="75"/>
      <c r="I431" s="75"/>
    </row>
    <row r="432" spans="3:9" ht="13.2">
      <c r="C432" s="75"/>
      <c r="D432" s="75"/>
      <c r="E432" s="75"/>
      <c r="F432" s="75"/>
      <c r="G432" s="75"/>
      <c r="H432" s="75"/>
      <c r="I432" s="75"/>
    </row>
    <row r="433" spans="3:9" ht="13.2">
      <c r="C433" s="75"/>
      <c r="D433" s="75"/>
      <c r="E433" s="75"/>
      <c r="F433" s="75"/>
      <c r="G433" s="75"/>
      <c r="H433" s="75"/>
      <c r="I433" s="75"/>
    </row>
    <row r="434" spans="3:9" ht="13.2">
      <c r="C434" s="75"/>
      <c r="D434" s="75"/>
      <c r="E434" s="75"/>
      <c r="F434" s="75"/>
      <c r="G434" s="75"/>
      <c r="H434" s="75"/>
      <c r="I434" s="75"/>
    </row>
    <row r="435" spans="3:9" ht="13.2">
      <c r="C435" s="75"/>
      <c r="D435" s="75"/>
      <c r="E435" s="75"/>
      <c r="F435" s="75"/>
      <c r="G435" s="75"/>
      <c r="H435" s="75"/>
      <c r="I435" s="75"/>
    </row>
    <row r="436" spans="3:9" ht="13.2">
      <c r="C436" s="75"/>
      <c r="D436" s="75"/>
      <c r="E436" s="75"/>
      <c r="F436" s="75"/>
      <c r="G436" s="75"/>
      <c r="H436" s="75"/>
      <c r="I436" s="75"/>
    </row>
    <row r="437" spans="3:9" ht="13.2">
      <c r="C437" s="75"/>
      <c r="D437" s="75"/>
      <c r="E437" s="75"/>
      <c r="F437" s="75"/>
      <c r="G437" s="75"/>
      <c r="H437" s="75"/>
      <c r="I437" s="75"/>
    </row>
    <row r="438" spans="3:9" ht="13.2">
      <c r="C438" s="75"/>
      <c r="D438" s="75"/>
      <c r="E438" s="75"/>
      <c r="F438" s="75"/>
      <c r="G438" s="75"/>
      <c r="H438" s="75"/>
      <c r="I438" s="75"/>
    </row>
    <row r="439" spans="3:9" ht="13.2">
      <c r="C439" s="75"/>
      <c r="D439" s="75"/>
      <c r="E439" s="75"/>
      <c r="F439" s="75"/>
      <c r="G439" s="75"/>
      <c r="H439" s="75"/>
      <c r="I439" s="75"/>
    </row>
    <row r="440" spans="3:9" ht="13.2">
      <c r="C440" s="75"/>
      <c r="D440" s="75"/>
      <c r="E440" s="75"/>
      <c r="F440" s="75"/>
      <c r="G440" s="75"/>
      <c r="H440" s="75"/>
      <c r="I440" s="75"/>
    </row>
    <row r="441" spans="3:9" ht="13.2">
      <c r="C441" s="75"/>
      <c r="D441" s="75"/>
      <c r="E441" s="75"/>
      <c r="F441" s="75"/>
      <c r="G441" s="75"/>
      <c r="H441" s="75"/>
      <c r="I441" s="75"/>
    </row>
    <row r="442" spans="3:9" ht="13.2">
      <c r="C442" s="75"/>
      <c r="D442" s="75"/>
      <c r="E442" s="75"/>
      <c r="F442" s="75"/>
      <c r="G442" s="75"/>
      <c r="H442" s="75"/>
      <c r="I442" s="75"/>
    </row>
    <row r="443" spans="3:9" ht="13.2">
      <c r="C443" s="75"/>
      <c r="D443" s="75"/>
      <c r="E443" s="75"/>
      <c r="F443" s="75"/>
      <c r="G443" s="75"/>
      <c r="H443" s="75"/>
      <c r="I443" s="75"/>
    </row>
    <row r="444" spans="3:9" ht="13.2">
      <c r="C444" s="75"/>
      <c r="D444" s="75"/>
      <c r="E444" s="75"/>
      <c r="F444" s="75"/>
      <c r="G444" s="75"/>
      <c r="H444" s="75"/>
      <c r="I444" s="75"/>
    </row>
    <row r="445" spans="3:9" ht="13.2">
      <c r="C445" s="75"/>
      <c r="D445" s="75"/>
      <c r="E445" s="75"/>
      <c r="F445" s="75"/>
      <c r="G445" s="75"/>
      <c r="H445" s="75"/>
      <c r="I445" s="75"/>
    </row>
    <row r="446" spans="3:9" ht="13.2">
      <c r="C446" s="75"/>
      <c r="D446" s="75"/>
      <c r="E446" s="75"/>
      <c r="F446" s="75"/>
      <c r="G446" s="75"/>
      <c r="H446" s="75"/>
      <c r="I446" s="75"/>
    </row>
    <row r="447" spans="3:9" ht="13.2">
      <c r="C447" s="75"/>
      <c r="D447" s="75"/>
      <c r="E447" s="75"/>
      <c r="F447" s="75"/>
      <c r="G447" s="75"/>
      <c r="H447" s="75"/>
      <c r="I447" s="75"/>
    </row>
    <row r="448" spans="3:9" ht="13.2">
      <c r="C448" s="75"/>
      <c r="D448" s="75"/>
      <c r="E448" s="75"/>
      <c r="F448" s="75"/>
      <c r="G448" s="75"/>
      <c r="H448" s="75"/>
      <c r="I448" s="75"/>
    </row>
    <row r="449" spans="3:9" ht="13.2">
      <c r="C449" s="75"/>
      <c r="D449" s="75"/>
      <c r="E449" s="75"/>
      <c r="F449" s="75"/>
      <c r="G449" s="75"/>
      <c r="H449" s="75"/>
      <c r="I449" s="75"/>
    </row>
    <row r="450" spans="3:9" ht="13.2">
      <c r="C450" s="75"/>
      <c r="D450" s="75"/>
      <c r="E450" s="75"/>
      <c r="F450" s="75"/>
      <c r="G450" s="75"/>
      <c r="H450" s="75"/>
      <c r="I450" s="75"/>
    </row>
    <row r="451" spans="3:9" ht="13.2">
      <c r="C451" s="75"/>
      <c r="D451" s="75"/>
      <c r="E451" s="75"/>
      <c r="F451" s="75"/>
      <c r="G451" s="75"/>
      <c r="H451" s="75"/>
      <c r="I451" s="75"/>
    </row>
    <row r="452" spans="3:9" ht="13.2">
      <c r="C452" s="75"/>
      <c r="D452" s="75"/>
      <c r="E452" s="75"/>
      <c r="F452" s="75"/>
      <c r="G452" s="75"/>
      <c r="H452" s="75"/>
      <c r="I452" s="75"/>
    </row>
    <row r="453" spans="3:9" ht="13.2">
      <c r="C453" s="75"/>
      <c r="D453" s="75"/>
      <c r="E453" s="75"/>
      <c r="F453" s="75"/>
      <c r="G453" s="75"/>
      <c r="H453" s="75"/>
      <c r="I453" s="75"/>
    </row>
    <row r="454" spans="3:9" ht="13.2">
      <c r="C454" s="75"/>
      <c r="D454" s="75"/>
      <c r="E454" s="75"/>
      <c r="F454" s="75"/>
      <c r="G454" s="75"/>
      <c r="H454" s="75"/>
      <c r="I454" s="75"/>
    </row>
    <row r="455" spans="3:9" ht="13.2">
      <c r="C455" s="75"/>
      <c r="D455" s="75"/>
      <c r="E455" s="75"/>
      <c r="F455" s="75"/>
      <c r="G455" s="75"/>
      <c r="H455" s="75"/>
      <c r="I455" s="75"/>
    </row>
    <row r="456" spans="3:9" ht="13.2">
      <c r="C456" s="75"/>
      <c r="D456" s="75"/>
      <c r="E456" s="75"/>
      <c r="F456" s="75"/>
      <c r="G456" s="75"/>
      <c r="H456" s="75"/>
      <c r="I456" s="75"/>
    </row>
    <row r="457" spans="3:9" ht="13.2">
      <c r="C457" s="75"/>
      <c r="D457" s="75"/>
      <c r="E457" s="75"/>
      <c r="F457" s="75"/>
      <c r="G457" s="75"/>
      <c r="H457" s="75"/>
      <c r="I457" s="75"/>
    </row>
    <row r="458" spans="3:9" ht="13.2">
      <c r="C458" s="75"/>
      <c r="D458" s="75"/>
      <c r="E458" s="75"/>
      <c r="F458" s="75"/>
      <c r="G458" s="75"/>
      <c r="H458" s="75"/>
      <c r="I458" s="75"/>
    </row>
    <row r="459" spans="3:9" ht="13.2">
      <c r="C459" s="75"/>
      <c r="D459" s="75"/>
      <c r="E459" s="75"/>
      <c r="F459" s="75"/>
      <c r="G459" s="75"/>
      <c r="H459" s="75"/>
      <c r="I459" s="75"/>
    </row>
    <row r="460" spans="3:9" ht="13.2">
      <c r="C460" s="75"/>
      <c r="D460" s="75"/>
      <c r="E460" s="75"/>
      <c r="F460" s="75"/>
      <c r="G460" s="75"/>
      <c r="H460" s="75"/>
      <c r="I460" s="75"/>
    </row>
    <row r="461" spans="3:9" ht="13.2">
      <c r="C461" s="75"/>
      <c r="D461" s="75"/>
      <c r="E461" s="75"/>
      <c r="F461" s="75"/>
      <c r="G461" s="75"/>
      <c r="H461" s="75"/>
      <c r="I461" s="75"/>
    </row>
    <row r="462" spans="3:9" ht="13.2">
      <c r="C462" s="75"/>
      <c r="D462" s="75"/>
      <c r="E462" s="75"/>
      <c r="F462" s="75"/>
      <c r="G462" s="75"/>
      <c r="H462" s="75"/>
      <c r="I462" s="75"/>
    </row>
    <row r="463" spans="3:9" ht="13.2">
      <c r="C463" s="75"/>
      <c r="D463" s="75"/>
      <c r="E463" s="75"/>
      <c r="F463" s="75"/>
      <c r="G463" s="75"/>
      <c r="H463" s="75"/>
      <c r="I463" s="75"/>
    </row>
    <row r="464" spans="3:9" ht="13.2">
      <c r="C464" s="75"/>
      <c r="D464" s="75"/>
      <c r="E464" s="75"/>
      <c r="F464" s="75"/>
      <c r="G464" s="75"/>
      <c r="H464" s="75"/>
      <c r="I464" s="75"/>
    </row>
    <row r="465" spans="3:9" ht="13.2">
      <c r="C465" s="75"/>
      <c r="D465" s="75"/>
      <c r="E465" s="75"/>
      <c r="F465" s="75"/>
      <c r="G465" s="75"/>
      <c r="H465" s="75"/>
      <c r="I465" s="75"/>
    </row>
    <row r="466" spans="3:9" ht="13.2">
      <c r="C466" s="75"/>
      <c r="D466" s="75"/>
      <c r="E466" s="75"/>
      <c r="F466" s="75"/>
      <c r="G466" s="75"/>
      <c r="H466" s="75"/>
      <c r="I466" s="75"/>
    </row>
    <row r="467" spans="3:9" ht="13.2">
      <c r="C467" s="75"/>
      <c r="D467" s="75"/>
      <c r="E467" s="75"/>
      <c r="F467" s="75"/>
      <c r="G467" s="75"/>
      <c r="H467" s="75"/>
      <c r="I467" s="75"/>
    </row>
    <row r="468" spans="3:9" ht="13.2">
      <c r="C468" s="75"/>
      <c r="D468" s="75"/>
      <c r="E468" s="75"/>
      <c r="F468" s="75"/>
      <c r="G468" s="75"/>
      <c r="H468" s="75"/>
      <c r="I468" s="75"/>
    </row>
    <row r="469" spans="3:9" ht="13.2">
      <c r="C469" s="75"/>
      <c r="D469" s="75"/>
      <c r="E469" s="75"/>
      <c r="F469" s="75"/>
      <c r="G469" s="75"/>
      <c r="H469" s="75"/>
      <c r="I469" s="75"/>
    </row>
    <row r="470" spans="3:9" ht="13.2">
      <c r="C470" s="75"/>
      <c r="D470" s="75"/>
      <c r="E470" s="75"/>
      <c r="F470" s="75"/>
      <c r="G470" s="75"/>
      <c r="H470" s="75"/>
      <c r="I470" s="75"/>
    </row>
    <row r="471" spans="3:9" ht="13.2">
      <c r="C471" s="75"/>
      <c r="D471" s="75"/>
      <c r="E471" s="75"/>
      <c r="F471" s="75"/>
      <c r="G471" s="75"/>
      <c r="H471" s="75"/>
      <c r="I471" s="75"/>
    </row>
    <row r="472" spans="3:9" ht="13.2">
      <c r="C472" s="75"/>
      <c r="D472" s="75"/>
      <c r="E472" s="75"/>
      <c r="F472" s="75"/>
      <c r="G472" s="75"/>
      <c r="H472" s="75"/>
      <c r="I472" s="75"/>
    </row>
    <row r="473" spans="3:9" ht="13.2">
      <c r="C473" s="75"/>
      <c r="D473" s="75"/>
      <c r="E473" s="75"/>
      <c r="F473" s="75"/>
      <c r="G473" s="75"/>
      <c r="H473" s="75"/>
      <c r="I473" s="75"/>
    </row>
    <row r="474" spans="3:9" ht="13.2">
      <c r="C474" s="75"/>
      <c r="D474" s="75"/>
      <c r="E474" s="75"/>
      <c r="F474" s="75"/>
      <c r="G474" s="75"/>
      <c r="H474" s="75"/>
      <c r="I474" s="75"/>
    </row>
    <row r="475" spans="3:9" ht="13.2">
      <c r="C475" s="75"/>
      <c r="D475" s="75"/>
      <c r="E475" s="75"/>
      <c r="F475" s="75"/>
      <c r="G475" s="75"/>
      <c r="H475" s="75"/>
      <c r="I475" s="75"/>
    </row>
    <row r="476" spans="3:9" ht="13.2">
      <c r="C476" s="75"/>
      <c r="D476" s="75"/>
      <c r="E476" s="75"/>
      <c r="F476" s="75"/>
      <c r="G476" s="75"/>
      <c r="H476" s="75"/>
      <c r="I476" s="75"/>
    </row>
    <row r="477" spans="3:9" ht="13.2">
      <c r="C477" s="75"/>
      <c r="D477" s="75"/>
      <c r="E477" s="75"/>
      <c r="F477" s="75"/>
      <c r="G477" s="75"/>
      <c r="H477" s="75"/>
      <c r="I477" s="75"/>
    </row>
    <row r="478" spans="3:9" ht="13.2">
      <c r="C478" s="75"/>
      <c r="D478" s="75"/>
      <c r="E478" s="75"/>
      <c r="F478" s="75"/>
      <c r="G478" s="75"/>
      <c r="H478" s="75"/>
      <c r="I478" s="75"/>
    </row>
    <row r="479" spans="3:9" ht="13.2">
      <c r="C479" s="75"/>
      <c r="D479" s="75"/>
      <c r="E479" s="75"/>
      <c r="F479" s="75"/>
      <c r="G479" s="75"/>
      <c r="H479" s="75"/>
      <c r="I479" s="75"/>
    </row>
    <row r="480" spans="3:9" ht="13.2">
      <c r="C480" s="75"/>
      <c r="D480" s="75"/>
      <c r="E480" s="75"/>
      <c r="F480" s="75"/>
      <c r="G480" s="75"/>
      <c r="H480" s="75"/>
      <c r="I480" s="75"/>
    </row>
    <row r="481" spans="3:9" ht="13.2">
      <c r="C481" s="75"/>
      <c r="D481" s="75"/>
      <c r="E481" s="75"/>
      <c r="F481" s="75"/>
      <c r="G481" s="75"/>
      <c r="H481" s="75"/>
      <c r="I481" s="75"/>
    </row>
    <row r="482" spans="3:9" ht="13.2">
      <c r="C482" s="75"/>
      <c r="D482" s="75"/>
      <c r="E482" s="75"/>
      <c r="F482" s="75"/>
      <c r="G482" s="75"/>
      <c r="H482" s="75"/>
      <c r="I482" s="75"/>
    </row>
    <row r="483" spans="3:9" ht="13.2">
      <c r="C483" s="75"/>
      <c r="D483" s="75"/>
      <c r="E483" s="75"/>
      <c r="F483" s="75"/>
      <c r="G483" s="75"/>
      <c r="H483" s="75"/>
      <c r="I483" s="75"/>
    </row>
    <row r="484" spans="3:9" ht="13.2">
      <c r="C484" s="75"/>
      <c r="D484" s="75"/>
      <c r="E484" s="75"/>
      <c r="F484" s="75"/>
      <c r="G484" s="75"/>
      <c r="H484" s="75"/>
      <c r="I484" s="75"/>
    </row>
    <row r="485" spans="3:9" ht="13.2">
      <c r="C485" s="75"/>
      <c r="D485" s="75"/>
      <c r="E485" s="75"/>
      <c r="F485" s="75"/>
      <c r="G485" s="75"/>
      <c r="H485" s="75"/>
      <c r="I485" s="75"/>
    </row>
    <row r="486" spans="3:9" ht="13.2">
      <c r="C486" s="75"/>
      <c r="D486" s="75"/>
      <c r="E486" s="75"/>
      <c r="F486" s="75"/>
      <c r="G486" s="75"/>
      <c r="H486" s="75"/>
      <c r="I486" s="75"/>
    </row>
    <row r="487" spans="3:9" ht="13.2">
      <c r="C487" s="75"/>
      <c r="D487" s="75"/>
      <c r="E487" s="75"/>
      <c r="F487" s="75"/>
      <c r="G487" s="75"/>
      <c r="H487" s="75"/>
      <c r="I487" s="75"/>
    </row>
    <row r="488" spans="3:9" ht="13.2">
      <c r="C488" s="75"/>
      <c r="D488" s="75"/>
      <c r="E488" s="75"/>
      <c r="F488" s="75"/>
      <c r="G488" s="75"/>
      <c r="H488" s="75"/>
      <c r="I488" s="75"/>
    </row>
    <row r="489" spans="3:9" ht="13.2">
      <c r="C489" s="75"/>
      <c r="D489" s="75"/>
      <c r="E489" s="75"/>
      <c r="F489" s="75"/>
      <c r="G489" s="75"/>
      <c r="H489" s="75"/>
      <c r="I489" s="75"/>
    </row>
    <row r="490" spans="3:9" ht="13.2">
      <c r="C490" s="75"/>
      <c r="D490" s="75"/>
      <c r="E490" s="75"/>
      <c r="F490" s="75"/>
      <c r="G490" s="75"/>
      <c r="H490" s="75"/>
      <c r="I490" s="75"/>
    </row>
    <row r="491" spans="3:9" ht="13.2">
      <c r="C491" s="75"/>
      <c r="D491" s="75"/>
      <c r="E491" s="75"/>
      <c r="F491" s="75"/>
      <c r="G491" s="75"/>
      <c r="H491" s="75"/>
      <c r="I491" s="75"/>
    </row>
    <row r="492" spans="3:9" ht="13.2">
      <c r="C492" s="75"/>
      <c r="D492" s="75"/>
      <c r="E492" s="75"/>
      <c r="F492" s="75"/>
      <c r="G492" s="75"/>
      <c r="H492" s="75"/>
      <c r="I492" s="75"/>
    </row>
    <row r="493" spans="3:9" ht="13.2">
      <c r="C493" s="75"/>
      <c r="D493" s="75"/>
      <c r="E493" s="75"/>
      <c r="F493" s="75"/>
      <c r="G493" s="75"/>
      <c r="H493" s="75"/>
      <c r="I493" s="75"/>
    </row>
    <row r="494" spans="3:9" ht="13.2">
      <c r="C494" s="75"/>
      <c r="D494" s="75"/>
      <c r="E494" s="75"/>
      <c r="F494" s="75"/>
      <c r="G494" s="75"/>
      <c r="H494" s="75"/>
      <c r="I494" s="75"/>
    </row>
    <row r="495" spans="3:9" ht="13.2">
      <c r="C495" s="75"/>
      <c r="D495" s="75"/>
      <c r="E495" s="75"/>
      <c r="F495" s="75"/>
      <c r="G495" s="75"/>
      <c r="H495" s="75"/>
      <c r="I495" s="75"/>
    </row>
    <row r="496" spans="3:9" ht="13.2">
      <c r="C496" s="75"/>
      <c r="D496" s="75"/>
      <c r="E496" s="75"/>
      <c r="F496" s="75"/>
      <c r="G496" s="75"/>
      <c r="H496" s="75"/>
      <c r="I496" s="75"/>
    </row>
    <row r="497" spans="3:9" ht="13.2">
      <c r="C497" s="75"/>
      <c r="D497" s="75"/>
      <c r="E497" s="75"/>
      <c r="F497" s="75"/>
      <c r="G497" s="75"/>
      <c r="H497" s="75"/>
      <c r="I497" s="75"/>
    </row>
    <row r="498" spans="3:9" ht="13.2">
      <c r="C498" s="75"/>
      <c r="D498" s="75"/>
      <c r="E498" s="75"/>
      <c r="F498" s="75"/>
      <c r="G498" s="75"/>
      <c r="H498" s="75"/>
      <c r="I498" s="75"/>
    </row>
    <row r="499" spans="3:9" ht="13.2">
      <c r="C499" s="75"/>
      <c r="D499" s="75"/>
      <c r="E499" s="75"/>
      <c r="F499" s="75"/>
      <c r="G499" s="75"/>
      <c r="H499" s="75"/>
      <c r="I499" s="75"/>
    </row>
    <row r="500" spans="3:9" ht="13.2">
      <c r="C500" s="75"/>
      <c r="D500" s="75"/>
      <c r="E500" s="75"/>
      <c r="F500" s="75"/>
      <c r="G500" s="75"/>
      <c r="H500" s="75"/>
      <c r="I500" s="75"/>
    </row>
    <row r="501" spans="3:9" ht="13.2">
      <c r="C501" s="75"/>
      <c r="D501" s="75"/>
      <c r="E501" s="75"/>
      <c r="F501" s="75"/>
      <c r="G501" s="75"/>
      <c r="H501" s="75"/>
      <c r="I501" s="75"/>
    </row>
    <row r="502" spans="3:9" ht="13.2">
      <c r="C502" s="75"/>
      <c r="D502" s="75"/>
      <c r="E502" s="75"/>
      <c r="F502" s="75"/>
      <c r="G502" s="75"/>
      <c r="H502" s="75"/>
      <c r="I502" s="75"/>
    </row>
    <row r="503" spans="3:9" ht="13.2">
      <c r="C503" s="75"/>
      <c r="D503" s="75"/>
      <c r="E503" s="75"/>
      <c r="F503" s="75"/>
      <c r="G503" s="75"/>
      <c r="H503" s="75"/>
      <c r="I503" s="75"/>
    </row>
    <row r="504" spans="3:9" ht="13.2">
      <c r="C504" s="75"/>
      <c r="D504" s="75"/>
      <c r="E504" s="75"/>
      <c r="F504" s="75"/>
      <c r="G504" s="75"/>
      <c r="H504" s="75"/>
      <c r="I504" s="75"/>
    </row>
    <row r="505" spans="3:9" ht="13.2">
      <c r="C505" s="75"/>
      <c r="D505" s="75"/>
      <c r="E505" s="75"/>
      <c r="F505" s="75"/>
      <c r="G505" s="75"/>
      <c r="H505" s="75"/>
      <c r="I505" s="75"/>
    </row>
    <row r="506" spans="3:9" ht="13.2">
      <c r="C506" s="75"/>
      <c r="D506" s="75"/>
      <c r="E506" s="75"/>
      <c r="F506" s="75"/>
      <c r="G506" s="75"/>
      <c r="H506" s="75"/>
      <c r="I506" s="75"/>
    </row>
    <row r="507" spans="3:9" ht="13.2">
      <c r="C507" s="75"/>
      <c r="D507" s="75"/>
      <c r="E507" s="75"/>
      <c r="F507" s="75"/>
      <c r="G507" s="75"/>
      <c r="H507" s="75"/>
      <c r="I507" s="75"/>
    </row>
    <row r="508" spans="3:9" ht="13.2">
      <c r="C508" s="75"/>
      <c r="D508" s="75"/>
      <c r="E508" s="75"/>
      <c r="F508" s="75"/>
      <c r="G508" s="75"/>
      <c r="H508" s="75"/>
      <c r="I508" s="75"/>
    </row>
    <row r="509" spans="3:9" ht="13.2">
      <c r="C509" s="75"/>
      <c r="D509" s="75"/>
      <c r="E509" s="75"/>
      <c r="F509" s="75"/>
      <c r="G509" s="75"/>
      <c r="H509" s="75"/>
      <c r="I509" s="75"/>
    </row>
    <row r="510" spans="3:9" ht="13.2">
      <c r="C510" s="75"/>
      <c r="D510" s="75"/>
      <c r="E510" s="75"/>
      <c r="F510" s="75"/>
      <c r="G510" s="75"/>
      <c r="H510" s="75"/>
      <c r="I510" s="75"/>
    </row>
    <row r="511" spans="3:9" ht="13.2">
      <c r="C511" s="75"/>
      <c r="D511" s="75"/>
      <c r="E511" s="75"/>
      <c r="F511" s="75"/>
      <c r="G511" s="75"/>
      <c r="H511" s="75"/>
      <c r="I511" s="75"/>
    </row>
    <row r="512" spans="3:9" ht="13.2">
      <c r="C512" s="75"/>
      <c r="D512" s="75"/>
      <c r="E512" s="75"/>
      <c r="F512" s="75"/>
      <c r="G512" s="75"/>
      <c r="H512" s="75"/>
      <c r="I512" s="75"/>
    </row>
    <row r="513" spans="3:9" ht="13.2">
      <c r="C513" s="75"/>
      <c r="D513" s="75"/>
      <c r="E513" s="75"/>
      <c r="F513" s="75"/>
      <c r="G513" s="75"/>
      <c r="H513" s="75"/>
      <c r="I513" s="75"/>
    </row>
    <row r="514" spans="3:9" ht="13.2">
      <c r="C514" s="75"/>
      <c r="D514" s="75"/>
      <c r="E514" s="75"/>
      <c r="F514" s="75"/>
      <c r="G514" s="75"/>
      <c r="H514" s="75"/>
      <c r="I514" s="75"/>
    </row>
    <row r="515" spans="3:9" ht="13.2">
      <c r="C515" s="75"/>
      <c r="D515" s="75"/>
      <c r="E515" s="75"/>
      <c r="F515" s="75"/>
      <c r="G515" s="75"/>
      <c r="H515" s="75"/>
      <c r="I515" s="75"/>
    </row>
    <row r="516" spans="3:9" ht="13.2">
      <c r="C516" s="75"/>
      <c r="D516" s="75"/>
      <c r="E516" s="75"/>
      <c r="F516" s="75"/>
      <c r="G516" s="75"/>
      <c r="H516" s="75"/>
      <c r="I516" s="75"/>
    </row>
    <row r="517" spans="3:9" ht="13.2">
      <c r="C517" s="75"/>
      <c r="D517" s="75"/>
      <c r="E517" s="75"/>
      <c r="F517" s="75"/>
      <c r="G517" s="75"/>
      <c r="H517" s="75"/>
      <c r="I517" s="75"/>
    </row>
    <row r="518" spans="3:9" ht="13.2">
      <c r="C518" s="75"/>
      <c r="D518" s="75"/>
      <c r="E518" s="75"/>
      <c r="F518" s="75"/>
      <c r="G518" s="75"/>
      <c r="H518" s="75"/>
      <c r="I518" s="75"/>
    </row>
    <row r="519" spans="3:9" ht="13.2">
      <c r="C519" s="75"/>
      <c r="D519" s="75"/>
      <c r="E519" s="75"/>
      <c r="F519" s="75"/>
      <c r="G519" s="75"/>
      <c r="H519" s="75"/>
      <c r="I519" s="75"/>
    </row>
    <row r="520" spans="3:9" ht="13.2">
      <c r="C520" s="75"/>
      <c r="D520" s="75"/>
      <c r="E520" s="75"/>
      <c r="F520" s="75"/>
      <c r="G520" s="75"/>
      <c r="H520" s="75"/>
      <c r="I520" s="75"/>
    </row>
    <row r="521" spans="3:9" ht="13.2">
      <c r="C521" s="75"/>
      <c r="D521" s="75"/>
      <c r="E521" s="75"/>
      <c r="F521" s="75"/>
      <c r="G521" s="75"/>
      <c r="H521" s="75"/>
      <c r="I521" s="75"/>
    </row>
    <row r="522" spans="3:9" ht="13.2">
      <c r="C522" s="75"/>
      <c r="D522" s="75"/>
      <c r="E522" s="75"/>
      <c r="F522" s="75"/>
      <c r="G522" s="75"/>
      <c r="H522" s="75"/>
      <c r="I522" s="75"/>
    </row>
    <row r="523" spans="3:9" ht="13.2">
      <c r="C523" s="75"/>
      <c r="D523" s="75"/>
      <c r="E523" s="75"/>
      <c r="F523" s="75"/>
      <c r="G523" s="75"/>
      <c r="H523" s="75"/>
      <c r="I523" s="75"/>
    </row>
    <row r="524" spans="3:9" ht="13.2">
      <c r="C524" s="75"/>
      <c r="D524" s="75"/>
      <c r="E524" s="75"/>
      <c r="F524" s="75"/>
      <c r="G524" s="75"/>
      <c r="H524" s="75"/>
      <c r="I524" s="75"/>
    </row>
    <row r="525" spans="3:9" ht="13.2">
      <c r="C525" s="75"/>
      <c r="D525" s="75"/>
      <c r="E525" s="75"/>
      <c r="F525" s="75"/>
      <c r="G525" s="75"/>
      <c r="H525" s="75"/>
      <c r="I525" s="75"/>
    </row>
    <row r="526" spans="3:9" ht="13.2">
      <c r="C526" s="75"/>
      <c r="D526" s="75"/>
      <c r="E526" s="75"/>
      <c r="F526" s="75"/>
      <c r="G526" s="75"/>
      <c r="H526" s="75"/>
      <c r="I526" s="75"/>
    </row>
    <row r="527" spans="3:9" ht="13.2">
      <c r="C527" s="75"/>
      <c r="D527" s="75"/>
      <c r="E527" s="75"/>
      <c r="F527" s="75"/>
      <c r="G527" s="75"/>
      <c r="H527" s="75"/>
      <c r="I527" s="75"/>
    </row>
    <row r="528" spans="3:9" ht="13.2">
      <c r="C528" s="75"/>
      <c r="D528" s="75"/>
      <c r="E528" s="75"/>
      <c r="F528" s="75"/>
      <c r="G528" s="75"/>
      <c r="H528" s="75"/>
      <c r="I528" s="75"/>
    </row>
    <row r="529" spans="3:9" ht="13.2">
      <c r="C529" s="75"/>
      <c r="D529" s="75"/>
      <c r="E529" s="75"/>
      <c r="F529" s="75"/>
      <c r="G529" s="75"/>
      <c r="H529" s="75"/>
      <c r="I529" s="75"/>
    </row>
    <row r="530" spans="3:9" ht="13.2">
      <c r="C530" s="75"/>
      <c r="D530" s="75"/>
      <c r="E530" s="75"/>
      <c r="F530" s="75"/>
      <c r="G530" s="75"/>
      <c r="H530" s="75"/>
      <c r="I530" s="75"/>
    </row>
    <row r="531" spans="3:9" ht="13.2">
      <c r="C531" s="75"/>
      <c r="D531" s="75"/>
      <c r="E531" s="75"/>
      <c r="F531" s="75"/>
      <c r="G531" s="75"/>
      <c r="H531" s="75"/>
      <c r="I531" s="75"/>
    </row>
    <row r="532" spans="3:9" ht="13.2">
      <c r="C532" s="75"/>
      <c r="D532" s="75"/>
      <c r="E532" s="75"/>
      <c r="F532" s="75"/>
      <c r="G532" s="75"/>
      <c r="H532" s="75"/>
      <c r="I532" s="75"/>
    </row>
    <row r="533" spans="3:9" ht="13.2">
      <c r="C533" s="75"/>
      <c r="D533" s="75"/>
      <c r="E533" s="75"/>
      <c r="F533" s="75"/>
      <c r="G533" s="75"/>
      <c r="H533" s="75"/>
      <c r="I533" s="75"/>
    </row>
    <row r="534" spans="3:9" ht="13.2">
      <c r="C534" s="75"/>
      <c r="D534" s="75"/>
      <c r="E534" s="75"/>
      <c r="F534" s="75"/>
      <c r="G534" s="75"/>
      <c r="H534" s="75"/>
      <c r="I534" s="75"/>
    </row>
    <row r="535" spans="3:9" ht="13.2">
      <c r="C535" s="75"/>
      <c r="D535" s="75"/>
      <c r="E535" s="75"/>
      <c r="F535" s="75"/>
      <c r="G535" s="75"/>
      <c r="H535" s="75"/>
      <c r="I535" s="75"/>
    </row>
    <row r="536" spans="3:9" ht="13.2">
      <c r="C536" s="75"/>
      <c r="D536" s="75"/>
      <c r="E536" s="75"/>
      <c r="F536" s="75"/>
      <c r="G536" s="75"/>
      <c r="H536" s="75"/>
      <c r="I536" s="75"/>
    </row>
    <row r="537" spans="3:9" ht="13.2">
      <c r="C537" s="75"/>
      <c r="D537" s="75"/>
      <c r="E537" s="75"/>
      <c r="F537" s="75"/>
      <c r="G537" s="75"/>
      <c r="H537" s="75"/>
      <c r="I537" s="75"/>
    </row>
    <row r="538" spans="3:9" ht="13.2">
      <c r="C538" s="75"/>
      <c r="D538" s="75"/>
      <c r="E538" s="75"/>
      <c r="F538" s="75"/>
      <c r="G538" s="75"/>
      <c r="H538" s="75"/>
      <c r="I538" s="75"/>
    </row>
    <row r="539" spans="3:9" ht="13.2">
      <c r="C539" s="75"/>
      <c r="D539" s="75"/>
      <c r="E539" s="75"/>
      <c r="F539" s="75"/>
      <c r="G539" s="75"/>
      <c r="H539" s="75"/>
      <c r="I539" s="75"/>
    </row>
    <row r="540" spans="3:9" ht="13.2">
      <c r="C540" s="75"/>
      <c r="D540" s="75"/>
      <c r="E540" s="75"/>
      <c r="F540" s="75"/>
      <c r="G540" s="75"/>
      <c r="H540" s="75"/>
      <c r="I540" s="75"/>
    </row>
    <row r="541" spans="3:9" ht="13.2">
      <c r="C541" s="75"/>
      <c r="D541" s="75"/>
      <c r="E541" s="75"/>
      <c r="F541" s="75"/>
      <c r="G541" s="75"/>
      <c r="H541" s="75"/>
      <c r="I541" s="75"/>
    </row>
    <row r="542" spans="3:9" ht="13.2">
      <c r="C542" s="75"/>
      <c r="D542" s="75"/>
      <c r="E542" s="75"/>
      <c r="F542" s="75"/>
      <c r="G542" s="75"/>
      <c r="H542" s="75"/>
      <c r="I542" s="75"/>
    </row>
    <row r="543" spans="3:9" ht="13.2">
      <c r="C543" s="75"/>
      <c r="D543" s="75"/>
      <c r="E543" s="75"/>
      <c r="F543" s="75"/>
      <c r="G543" s="75"/>
      <c r="H543" s="75"/>
      <c r="I543" s="75"/>
    </row>
    <row r="544" spans="3:9" ht="13.2">
      <c r="C544" s="75"/>
      <c r="D544" s="75"/>
      <c r="E544" s="75"/>
      <c r="F544" s="75"/>
      <c r="G544" s="75"/>
      <c r="H544" s="75"/>
      <c r="I544" s="75"/>
    </row>
    <row r="545" spans="3:9" ht="13.2">
      <c r="C545" s="75"/>
      <c r="D545" s="75"/>
      <c r="E545" s="75"/>
      <c r="F545" s="75"/>
      <c r="G545" s="75"/>
      <c r="H545" s="75"/>
      <c r="I545" s="75"/>
    </row>
    <row r="546" spans="3:9" ht="13.2">
      <c r="C546" s="75"/>
      <c r="D546" s="75"/>
      <c r="E546" s="75"/>
      <c r="F546" s="75"/>
      <c r="G546" s="75"/>
      <c r="H546" s="75"/>
      <c r="I546" s="75"/>
    </row>
    <row r="547" spans="3:9" ht="13.2">
      <c r="C547" s="75"/>
      <c r="D547" s="75"/>
      <c r="E547" s="75"/>
      <c r="F547" s="75"/>
      <c r="G547" s="75"/>
      <c r="H547" s="75"/>
      <c r="I547" s="75"/>
    </row>
    <row r="548" spans="3:9" ht="13.2">
      <c r="C548" s="75"/>
      <c r="D548" s="75"/>
      <c r="E548" s="75"/>
      <c r="F548" s="75"/>
      <c r="G548" s="75"/>
      <c r="H548" s="75"/>
      <c r="I548" s="75"/>
    </row>
    <row r="549" spans="3:9" ht="13.2">
      <c r="C549" s="75"/>
      <c r="D549" s="75"/>
      <c r="E549" s="75"/>
      <c r="F549" s="75"/>
      <c r="G549" s="75"/>
      <c r="H549" s="75"/>
      <c r="I549" s="75"/>
    </row>
    <row r="550" spans="3:9" ht="13.2">
      <c r="C550" s="75"/>
      <c r="D550" s="75"/>
      <c r="E550" s="75"/>
      <c r="F550" s="75"/>
      <c r="G550" s="75"/>
      <c r="H550" s="75"/>
      <c r="I550" s="75"/>
    </row>
    <row r="551" spans="3:9" ht="13.2">
      <c r="C551" s="75"/>
      <c r="D551" s="75"/>
      <c r="E551" s="75"/>
      <c r="F551" s="75"/>
      <c r="G551" s="75"/>
      <c r="H551" s="75"/>
      <c r="I551" s="75"/>
    </row>
    <row r="552" spans="3:9" ht="13.2">
      <c r="C552" s="75"/>
      <c r="D552" s="75"/>
      <c r="E552" s="75"/>
      <c r="F552" s="75"/>
      <c r="G552" s="75"/>
      <c r="H552" s="75"/>
      <c r="I552" s="75"/>
    </row>
    <row r="553" spans="3:9" ht="13.2">
      <c r="C553" s="75"/>
      <c r="D553" s="75"/>
      <c r="E553" s="75"/>
      <c r="F553" s="75"/>
      <c r="G553" s="75"/>
      <c r="H553" s="75"/>
      <c r="I553" s="75"/>
    </row>
    <row r="554" spans="3:9" ht="13.2">
      <c r="C554" s="75"/>
      <c r="D554" s="75"/>
      <c r="E554" s="75"/>
      <c r="F554" s="75"/>
      <c r="G554" s="75"/>
      <c r="H554" s="75"/>
      <c r="I554" s="75"/>
    </row>
    <row r="555" spans="3:9" ht="13.2">
      <c r="C555" s="75"/>
      <c r="D555" s="75"/>
      <c r="E555" s="75"/>
      <c r="F555" s="75"/>
      <c r="G555" s="75"/>
      <c r="H555" s="75"/>
      <c r="I555" s="75"/>
    </row>
    <row r="556" spans="3:9" ht="13.2">
      <c r="C556" s="75"/>
      <c r="D556" s="75"/>
      <c r="E556" s="75"/>
      <c r="F556" s="75"/>
      <c r="G556" s="75"/>
      <c r="H556" s="75"/>
      <c r="I556" s="75"/>
    </row>
    <row r="557" spans="3:9" ht="13.2">
      <c r="C557" s="75"/>
      <c r="D557" s="75"/>
      <c r="E557" s="75"/>
      <c r="F557" s="75"/>
      <c r="G557" s="75"/>
      <c r="H557" s="75"/>
      <c r="I557" s="75"/>
    </row>
    <row r="558" spans="3:9" ht="13.2">
      <c r="C558" s="75"/>
      <c r="D558" s="75"/>
      <c r="E558" s="75"/>
      <c r="F558" s="75"/>
      <c r="G558" s="75"/>
      <c r="H558" s="75"/>
      <c r="I558" s="75"/>
    </row>
    <row r="559" spans="3:9" ht="13.2">
      <c r="C559" s="75"/>
      <c r="D559" s="75"/>
      <c r="E559" s="75"/>
      <c r="F559" s="75"/>
      <c r="G559" s="75"/>
      <c r="H559" s="75"/>
      <c r="I559" s="75"/>
    </row>
    <row r="560" spans="3:9" ht="13.2">
      <c r="C560" s="75"/>
      <c r="D560" s="75"/>
      <c r="E560" s="75"/>
      <c r="F560" s="75"/>
      <c r="G560" s="75"/>
      <c r="H560" s="75"/>
      <c r="I560" s="75"/>
    </row>
    <row r="561" spans="3:9" ht="13.2">
      <c r="C561" s="75"/>
      <c r="D561" s="75"/>
      <c r="E561" s="75"/>
      <c r="F561" s="75"/>
      <c r="G561" s="75"/>
      <c r="H561" s="75"/>
      <c r="I561" s="75"/>
    </row>
    <row r="562" spans="3:9" ht="13.2">
      <c r="C562" s="75"/>
      <c r="D562" s="75"/>
      <c r="E562" s="75"/>
      <c r="F562" s="75"/>
      <c r="G562" s="75"/>
      <c r="H562" s="75"/>
      <c r="I562" s="75"/>
    </row>
    <row r="563" spans="3:9" ht="13.2">
      <c r="C563" s="75"/>
      <c r="D563" s="75"/>
      <c r="E563" s="75"/>
      <c r="F563" s="75"/>
      <c r="G563" s="75"/>
      <c r="H563" s="75"/>
      <c r="I563" s="75"/>
    </row>
    <row r="564" spans="3:9" ht="13.2">
      <c r="C564" s="75"/>
      <c r="D564" s="75"/>
      <c r="E564" s="75"/>
      <c r="F564" s="75"/>
      <c r="G564" s="75"/>
      <c r="H564" s="75"/>
      <c r="I564" s="75"/>
    </row>
    <row r="565" spans="3:9" ht="13.2">
      <c r="C565" s="75"/>
      <c r="D565" s="75"/>
      <c r="E565" s="75"/>
      <c r="F565" s="75"/>
      <c r="G565" s="75"/>
      <c r="H565" s="75"/>
      <c r="I565" s="75"/>
    </row>
    <row r="566" spans="3:9" ht="13.2">
      <c r="C566" s="75"/>
      <c r="D566" s="75"/>
      <c r="E566" s="75"/>
      <c r="F566" s="75"/>
      <c r="G566" s="75"/>
      <c r="H566" s="75"/>
      <c r="I566" s="75"/>
    </row>
    <row r="567" spans="3:9" ht="13.2">
      <c r="C567" s="75"/>
      <c r="D567" s="75"/>
      <c r="E567" s="75"/>
      <c r="F567" s="75"/>
      <c r="G567" s="75"/>
      <c r="H567" s="75"/>
      <c r="I567" s="75"/>
    </row>
    <row r="568" spans="3:9" ht="13.2">
      <c r="C568" s="75"/>
      <c r="D568" s="75"/>
      <c r="E568" s="75"/>
      <c r="F568" s="75"/>
      <c r="G568" s="75"/>
      <c r="H568" s="75"/>
      <c r="I568" s="75"/>
    </row>
    <row r="569" spans="3:9" ht="13.2">
      <c r="C569" s="75"/>
      <c r="D569" s="75"/>
      <c r="E569" s="75"/>
      <c r="F569" s="75"/>
      <c r="G569" s="75"/>
      <c r="H569" s="75"/>
      <c r="I569" s="75"/>
    </row>
    <row r="570" spans="3:9" ht="13.2">
      <c r="C570" s="75"/>
      <c r="D570" s="75"/>
      <c r="E570" s="75"/>
      <c r="F570" s="75"/>
      <c r="G570" s="75"/>
      <c r="H570" s="75"/>
      <c r="I570" s="75"/>
    </row>
    <row r="571" spans="3:9" ht="13.2">
      <c r="C571" s="75"/>
      <c r="D571" s="75"/>
      <c r="E571" s="75"/>
      <c r="F571" s="75"/>
      <c r="G571" s="75"/>
      <c r="H571" s="75"/>
      <c r="I571" s="75"/>
    </row>
    <row r="572" spans="3:9" ht="13.2">
      <c r="C572" s="75"/>
      <c r="D572" s="75"/>
      <c r="E572" s="75"/>
      <c r="F572" s="75"/>
      <c r="G572" s="75"/>
      <c r="H572" s="75"/>
      <c r="I572" s="75"/>
    </row>
    <row r="573" spans="3:9" ht="13.2">
      <c r="C573" s="75"/>
      <c r="D573" s="75"/>
      <c r="E573" s="75"/>
      <c r="F573" s="75"/>
      <c r="G573" s="75"/>
      <c r="H573" s="75"/>
      <c r="I573" s="75"/>
    </row>
    <row r="574" spans="3:9" ht="13.2">
      <c r="C574" s="75"/>
      <c r="D574" s="75"/>
      <c r="E574" s="75"/>
      <c r="F574" s="75"/>
      <c r="G574" s="75"/>
      <c r="H574" s="75"/>
      <c r="I574" s="75"/>
    </row>
    <row r="575" spans="3:9" ht="13.2">
      <c r="C575" s="75"/>
      <c r="D575" s="75"/>
      <c r="E575" s="75"/>
      <c r="F575" s="75"/>
      <c r="G575" s="75"/>
      <c r="H575" s="75"/>
      <c r="I575" s="75"/>
    </row>
    <row r="576" spans="3:9" ht="13.2">
      <c r="C576" s="75"/>
      <c r="D576" s="75"/>
      <c r="E576" s="75"/>
      <c r="F576" s="75"/>
      <c r="G576" s="75"/>
      <c r="H576" s="75"/>
      <c r="I576" s="75"/>
    </row>
    <row r="577" spans="3:9" ht="13.2">
      <c r="C577" s="75"/>
      <c r="D577" s="75"/>
      <c r="E577" s="75"/>
      <c r="F577" s="75"/>
      <c r="G577" s="75"/>
      <c r="H577" s="75"/>
      <c r="I577" s="75"/>
    </row>
    <row r="578" spans="3:9" ht="13.2">
      <c r="C578" s="75"/>
      <c r="D578" s="75"/>
      <c r="E578" s="75"/>
      <c r="F578" s="75"/>
      <c r="G578" s="75"/>
      <c r="H578" s="75"/>
      <c r="I578" s="75"/>
    </row>
    <row r="579" spans="3:9" ht="13.2">
      <c r="C579" s="75"/>
      <c r="D579" s="75"/>
      <c r="E579" s="75"/>
      <c r="F579" s="75"/>
      <c r="G579" s="75"/>
      <c r="H579" s="75"/>
      <c r="I579" s="75"/>
    </row>
    <row r="580" spans="3:9" ht="13.2">
      <c r="C580" s="75"/>
      <c r="D580" s="75"/>
      <c r="E580" s="75"/>
      <c r="F580" s="75"/>
      <c r="G580" s="75"/>
      <c r="H580" s="75"/>
      <c r="I580" s="75"/>
    </row>
    <row r="581" spans="3:9" ht="13.2">
      <c r="C581" s="75"/>
      <c r="D581" s="75"/>
      <c r="E581" s="75"/>
      <c r="F581" s="75"/>
      <c r="G581" s="75"/>
      <c r="H581" s="75"/>
      <c r="I581" s="75"/>
    </row>
    <row r="582" spans="3:9" ht="13.2">
      <c r="C582" s="75"/>
      <c r="D582" s="75"/>
      <c r="E582" s="75"/>
      <c r="F582" s="75"/>
      <c r="G582" s="75"/>
      <c r="H582" s="75"/>
      <c r="I582" s="75"/>
    </row>
    <row r="583" spans="3:9" ht="13.2">
      <c r="C583" s="75"/>
      <c r="D583" s="75"/>
      <c r="E583" s="75"/>
      <c r="F583" s="75"/>
      <c r="G583" s="75"/>
      <c r="H583" s="75"/>
      <c r="I583" s="75"/>
    </row>
    <row r="584" spans="3:9" ht="13.2">
      <c r="C584" s="75"/>
      <c r="D584" s="75"/>
      <c r="E584" s="75"/>
      <c r="F584" s="75"/>
      <c r="G584" s="75"/>
      <c r="H584" s="75"/>
      <c r="I584" s="75"/>
    </row>
    <row r="585" spans="3:9" ht="13.2">
      <c r="C585" s="75"/>
      <c r="D585" s="75"/>
      <c r="E585" s="75"/>
      <c r="F585" s="75"/>
      <c r="G585" s="75"/>
      <c r="H585" s="75"/>
      <c r="I585" s="75"/>
    </row>
    <row r="586" spans="3:9" ht="13.2">
      <c r="C586" s="75"/>
      <c r="D586" s="75"/>
      <c r="E586" s="75"/>
      <c r="F586" s="75"/>
      <c r="G586" s="75"/>
      <c r="H586" s="75"/>
      <c r="I586" s="75"/>
    </row>
    <row r="587" spans="3:9" ht="13.2">
      <c r="C587" s="75"/>
      <c r="D587" s="75"/>
      <c r="E587" s="75"/>
      <c r="F587" s="75"/>
      <c r="G587" s="75"/>
      <c r="H587" s="75"/>
      <c r="I587" s="75"/>
    </row>
    <row r="588" spans="3:9" ht="13.2">
      <c r="C588" s="75"/>
      <c r="D588" s="75"/>
      <c r="E588" s="75"/>
      <c r="F588" s="75"/>
      <c r="G588" s="75"/>
      <c r="H588" s="75"/>
      <c r="I588" s="75"/>
    </row>
    <row r="589" spans="3:9" ht="13.2">
      <c r="C589" s="75"/>
      <c r="D589" s="75"/>
      <c r="E589" s="75"/>
      <c r="F589" s="75"/>
      <c r="G589" s="75"/>
      <c r="H589" s="75"/>
      <c r="I589" s="75"/>
    </row>
    <row r="590" spans="3:9" ht="13.2">
      <c r="C590" s="75"/>
      <c r="D590" s="75"/>
      <c r="E590" s="75"/>
      <c r="F590" s="75"/>
      <c r="G590" s="75"/>
      <c r="H590" s="75"/>
      <c r="I590" s="75"/>
    </row>
    <row r="591" spans="3:9" ht="13.2">
      <c r="C591" s="75"/>
      <c r="D591" s="75"/>
      <c r="E591" s="75"/>
      <c r="F591" s="75"/>
      <c r="G591" s="75"/>
      <c r="H591" s="75"/>
      <c r="I591" s="75"/>
    </row>
    <row r="592" spans="3:9" ht="13.2">
      <c r="C592" s="75"/>
      <c r="D592" s="75"/>
      <c r="E592" s="75"/>
      <c r="F592" s="75"/>
      <c r="G592" s="75"/>
      <c r="H592" s="75"/>
      <c r="I592" s="75"/>
    </row>
    <row r="593" spans="3:9" ht="13.2">
      <c r="C593" s="75"/>
      <c r="D593" s="75"/>
      <c r="E593" s="75"/>
      <c r="F593" s="75"/>
      <c r="G593" s="75"/>
      <c r="H593" s="75"/>
      <c r="I593" s="75"/>
    </row>
    <row r="594" spans="3:9" ht="13.2">
      <c r="C594" s="75"/>
      <c r="D594" s="75"/>
      <c r="E594" s="75"/>
      <c r="F594" s="75"/>
      <c r="G594" s="75"/>
      <c r="H594" s="75"/>
      <c r="I594" s="75"/>
    </row>
    <row r="595" spans="3:9" ht="13.2">
      <c r="C595" s="75"/>
      <c r="D595" s="75"/>
      <c r="E595" s="75"/>
      <c r="F595" s="75"/>
      <c r="G595" s="75"/>
      <c r="H595" s="75"/>
      <c r="I595" s="75"/>
    </row>
    <row r="596" spans="3:9" ht="13.2">
      <c r="C596" s="75"/>
      <c r="D596" s="75"/>
      <c r="E596" s="75"/>
      <c r="F596" s="75"/>
      <c r="G596" s="75"/>
      <c r="H596" s="75"/>
      <c r="I596" s="75"/>
    </row>
    <row r="597" spans="3:9" ht="13.2">
      <c r="C597" s="75"/>
      <c r="D597" s="75"/>
      <c r="E597" s="75"/>
      <c r="F597" s="75"/>
      <c r="G597" s="75"/>
      <c r="H597" s="75"/>
      <c r="I597" s="75"/>
    </row>
    <row r="598" spans="3:9" ht="13.2">
      <c r="C598" s="75"/>
      <c r="D598" s="75"/>
      <c r="E598" s="75"/>
      <c r="F598" s="75"/>
      <c r="G598" s="75"/>
      <c r="H598" s="75"/>
      <c r="I598" s="75"/>
    </row>
    <row r="599" spans="3:9" ht="13.2">
      <c r="C599" s="75"/>
      <c r="D599" s="75"/>
      <c r="E599" s="75"/>
      <c r="F599" s="75"/>
      <c r="G599" s="75"/>
      <c r="H599" s="75"/>
      <c r="I599" s="75"/>
    </row>
    <row r="600" spans="3:9" ht="13.2">
      <c r="C600" s="75"/>
      <c r="D600" s="75"/>
      <c r="E600" s="75"/>
      <c r="F600" s="75"/>
      <c r="G600" s="75"/>
      <c r="H600" s="75"/>
      <c r="I600" s="75"/>
    </row>
    <row r="601" spans="3:9" ht="13.2">
      <c r="C601" s="75"/>
      <c r="D601" s="75"/>
      <c r="E601" s="75"/>
      <c r="F601" s="75"/>
      <c r="G601" s="75"/>
      <c r="H601" s="75"/>
      <c r="I601" s="75"/>
    </row>
    <row r="602" spans="3:9" ht="13.2">
      <c r="C602" s="75"/>
      <c r="D602" s="75"/>
      <c r="E602" s="75"/>
      <c r="F602" s="75"/>
      <c r="G602" s="75"/>
      <c r="H602" s="75"/>
      <c r="I602" s="75"/>
    </row>
    <row r="603" spans="3:9" ht="13.2">
      <c r="C603" s="75"/>
      <c r="D603" s="75"/>
      <c r="E603" s="75"/>
      <c r="F603" s="75"/>
      <c r="G603" s="75"/>
      <c r="H603" s="75"/>
      <c r="I603" s="75"/>
    </row>
    <row r="604" spans="3:9" ht="13.2">
      <c r="C604" s="75"/>
      <c r="D604" s="75"/>
      <c r="E604" s="75"/>
      <c r="F604" s="75"/>
      <c r="G604" s="75"/>
      <c r="H604" s="75"/>
      <c r="I604" s="75"/>
    </row>
    <row r="605" spans="3:9" ht="13.2">
      <c r="C605" s="75"/>
      <c r="D605" s="75"/>
      <c r="E605" s="75"/>
      <c r="F605" s="75"/>
      <c r="G605" s="75"/>
      <c r="H605" s="75"/>
      <c r="I605" s="75"/>
    </row>
    <row r="606" spans="3:9" ht="13.2">
      <c r="C606" s="75"/>
      <c r="D606" s="75"/>
      <c r="E606" s="75"/>
      <c r="F606" s="75"/>
      <c r="G606" s="75"/>
      <c r="H606" s="75"/>
      <c r="I606" s="75"/>
    </row>
    <row r="607" spans="3:9" ht="13.2">
      <c r="C607" s="75"/>
      <c r="D607" s="75"/>
      <c r="E607" s="75"/>
      <c r="F607" s="75"/>
      <c r="G607" s="75"/>
      <c r="H607" s="75"/>
      <c r="I607" s="75"/>
    </row>
    <row r="608" spans="3:9" ht="13.2">
      <c r="C608" s="75"/>
      <c r="D608" s="75"/>
      <c r="E608" s="75"/>
      <c r="F608" s="75"/>
      <c r="G608" s="75"/>
      <c r="H608" s="75"/>
      <c r="I608" s="75"/>
    </row>
    <row r="609" spans="3:9" ht="13.2">
      <c r="C609" s="75"/>
      <c r="D609" s="75"/>
      <c r="E609" s="75"/>
      <c r="F609" s="75"/>
      <c r="G609" s="75"/>
      <c r="H609" s="75"/>
      <c r="I609" s="75"/>
    </row>
    <row r="610" spans="3:9" ht="13.2">
      <c r="C610" s="75"/>
      <c r="D610" s="75"/>
      <c r="E610" s="75"/>
      <c r="F610" s="75"/>
      <c r="G610" s="75"/>
      <c r="H610" s="75"/>
      <c r="I610" s="75"/>
    </row>
    <row r="611" spans="3:9" ht="13.2">
      <c r="C611" s="75"/>
      <c r="D611" s="75"/>
      <c r="E611" s="75"/>
      <c r="F611" s="75"/>
      <c r="G611" s="75"/>
      <c r="H611" s="75"/>
      <c r="I611" s="75"/>
    </row>
    <row r="612" spans="3:9" ht="13.2">
      <c r="C612" s="75"/>
      <c r="D612" s="75"/>
      <c r="E612" s="75"/>
      <c r="F612" s="75"/>
      <c r="G612" s="75"/>
      <c r="H612" s="75"/>
      <c r="I612" s="75"/>
    </row>
    <row r="613" spans="3:9" ht="13.2">
      <c r="C613" s="75"/>
      <c r="D613" s="75"/>
      <c r="E613" s="75"/>
      <c r="F613" s="75"/>
      <c r="G613" s="75"/>
      <c r="H613" s="75"/>
      <c r="I613" s="75"/>
    </row>
    <row r="614" spans="3:9" ht="13.2">
      <c r="C614" s="75"/>
      <c r="D614" s="75"/>
      <c r="E614" s="75"/>
      <c r="F614" s="75"/>
      <c r="G614" s="75"/>
      <c r="H614" s="75"/>
      <c r="I614" s="75"/>
    </row>
    <row r="615" spans="3:9" ht="13.2">
      <c r="C615" s="75"/>
      <c r="D615" s="75"/>
      <c r="E615" s="75"/>
      <c r="F615" s="75"/>
      <c r="G615" s="75"/>
      <c r="H615" s="75"/>
      <c r="I615" s="75"/>
    </row>
    <row r="616" spans="3:9" ht="13.2">
      <c r="C616" s="75"/>
      <c r="D616" s="75"/>
      <c r="E616" s="75"/>
      <c r="F616" s="75"/>
      <c r="G616" s="75"/>
      <c r="H616" s="75"/>
      <c r="I616" s="75"/>
    </row>
    <row r="617" spans="3:9" ht="13.2">
      <c r="C617" s="75"/>
      <c r="D617" s="75"/>
      <c r="E617" s="75"/>
      <c r="F617" s="75"/>
      <c r="G617" s="75"/>
      <c r="H617" s="75"/>
      <c r="I617" s="75"/>
    </row>
    <row r="618" spans="3:9" ht="13.2">
      <c r="C618" s="75"/>
      <c r="D618" s="75"/>
      <c r="E618" s="75"/>
      <c r="F618" s="75"/>
      <c r="G618" s="75"/>
      <c r="H618" s="75"/>
      <c r="I618" s="75"/>
    </row>
    <row r="619" spans="3:9" ht="13.2">
      <c r="C619" s="75"/>
      <c r="D619" s="75"/>
      <c r="E619" s="75"/>
      <c r="F619" s="75"/>
      <c r="G619" s="75"/>
      <c r="H619" s="75"/>
      <c r="I619" s="75"/>
    </row>
    <row r="620" spans="3:9" ht="13.2">
      <c r="C620" s="75"/>
      <c r="D620" s="75"/>
      <c r="E620" s="75"/>
      <c r="F620" s="75"/>
      <c r="G620" s="75"/>
      <c r="H620" s="75"/>
      <c r="I620" s="75"/>
    </row>
    <row r="621" spans="3:9" ht="13.2">
      <c r="C621" s="75"/>
      <c r="D621" s="75"/>
      <c r="E621" s="75"/>
      <c r="F621" s="75"/>
      <c r="G621" s="75"/>
      <c r="H621" s="75"/>
      <c r="I621" s="75"/>
    </row>
    <row r="622" spans="3:9" ht="13.2">
      <c r="C622" s="75"/>
      <c r="D622" s="75"/>
      <c r="E622" s="75"/>
      <c r="F622" s="75"/>
      <c r="G622" s="75"/>
      <c r="H622" s="75"/>
      <c r="I622" s="75"/>
    </row>
    <row r="623" spans="3:9" ht="13.2">
      <c r="C623" s="75"/>
      <c r="D623" s="75"/>
      <c r="E623" s="75"/>
      <c r="F623" s="75"/>
      <c r="G623" s="75"/>
      <c r="H623" s="75"/>
      <c r="I623" s="75"/>
    </row>
    <row r="624" spans="3:9" ht="13.2">
      <c r="C624" s="75"/>
      <c r="D624" s="75"/>
      <c r="E624" s="75"/>
      <c r="F624" s="75"/>
      <c r="G624" s="75"/>
      <c r="H624" s="75"/>
      <c r="I624" s="75"/>
    </row>
    <row r="625" spans="3:9" ht="13.2">
      <c r="C625" s="75"/>
      <c r="D625" s="75"/>
      <c r="E625" s="75"/>
      <c r="F625" s="75"/>
      <c r="G625" s="75"/>
      <c r="H625" s="75"/>
      <c r="I625" s="75"/>
    </row>
    <row r="626" spans="3:9" ht="13.2">
      <c r="C626" s="75"/>
      <c r="D626" s="75"/>
      <c r="E626" s="75"/>
      <c r="F626" s="75"/>
      <c r="G626" s="75"/>
      <c r="H626" s="75"/>
      <c r="I626" s="75"/>
    </row>
    <row r="627" spans="3:9" ht="13.2">
      <c r="C627" s="75"/>
      <c r="D627" s="75"/>
      <c r="E627" s="75"/>
      <c r="F627" s="75"/>
      <c r="G627" s="75"/>
      <c r="H627" s="75"/>
      <c r="I627" s="75"/>
    </row>
    <row r="628" spans="3:9" ht="13.2">
      <c r="C628" s="75"/>
      <c r="D628" s="75"/>
      <c r="E628" s="75"/>
      <c r="F628" s="75"/>
      <c r="G628" s="75"/>
      <c r="H628" s="75"/>
      <c r="I628" s="75"/>
    </row>
    <row r="629" spans="3:9" ht="13.2">
      <c r="C629" s="75"/>
      <c r="D629" s="75"/>
      <c r="E629" s="75"/>
      <c r="F629" s="75"/>
      <c r="G629" s="75"/>
      <c r="H629" s="75"/>
      <c r="I629" s="75"/>
    </row>
    <row r="630" spans="3:9" ht="13.2">
      <c r="C630" s="75"/>
      <c r="D630" s="75"/>
      <c r="E630" s="75"/>
      <c r="F630" s="75"/>
      <c r="G630" s="75"/>
      <c r="H630" s="75"/>
      <c r="I630" s="75"/>
    </row>
    <row r="631" spans="3:9" ht="13.2">
      <c r="C631" s="75"/>
      <c r="D631" s="75"/>
      <c r="E631" s="75"/>
      <c r="F631" s="75"/>
      <c r="G631" s="75"/>
      <c r="H631" s="75"/>
      <c r="I631" s="75"/>
    </row>
    <row r="632" spans="3:9" ht="13.2">
      <c r="C632" s="75"/>
      <c r="D632" s="75"/>
      <c r="E632" s="75"/>
      <c r="F632" s="75"/>
      <c r="G632" s="75"/>
      <c r="H632" s="75"/>
      <c r="I632" s="75"/>
    </row>
    <row r="633" spans="3:9" ht="13.2">
      <c r="C633" s="75"/>
      <c r="D633" s="75"/>
      <c r="E633" s="75"/>
      <c r="F633" s="75"/>
      <c r="G633" s="75"/>
      <c r="H633" s="75"/>
      <c r="I633" s="75"/>
    </row>
    <row r="634" spans="3:9" ht="13.2">
      <c r="C634" s="75"/>
      <c r="D634" s="75"/>
      <c r="E634" s="75"/>
      <c r="F634" s="75"/>
      <c r="G634" s="75"/>
      <c r="H634" s="75"/>
      <c r="I634" s="75"/>
    </row>
    <row r="635" spans="3:9" ht="13.2">
      <c r="C635" s="75"/>
      <c r="D635" s="75"/>
      <c r="E635" s="75"/>
      <c r="F635" s="75"/>
      <c r="G635" s="75"/>
      <c r="H635" s="75"/>
      <c r="I635" s="75"/>
    </row>
    <row r="636" spans="3:9" ht="13.2">
      <c r="C636" s="75"/>
      <c r="D636" s="75"/>
      <c r="E636" s="75"/>
      <c r="F636" s="75"/>
      <c r="G636" s="75"/>
      <c r="H636" s="75"/>
      <c r="I636" s="75"/>
    </row>
    <row r="637" spans="3:9" ht="13.2">
      <c r="C637" s="75"/>
      <c r="D637" s="75"/>
      <c r="E637" s="75"/>
      <c r="F637" s="75"/>
      <c r="G637" s="75"/>
      <c r="H637" s="75"/>
      <c r="I637" s="75"/>
    </row>
    <row r="638" spans="3:9" ht="13.2">
      <c r="C638" s="75"/>
      <c r="D638" s="75"/>
      <c r="E638" s="75"/>
      <c r="F638" s="75"/>
      <c r="G638" s="75"/>
      <c r="H638" s="75"/>
      <c r="I638" s="75"/>
    </row>
    <row r="639" spans="3:9" ht="13.2">
      <c r="C639" s="75"/>
      <c r="D639" s="75"/>
      <c r="E639" s="75"/>
      <c r="F639" s="75"/>
      <c r="G639" s="75"/>
      <c r="H639" s="75"/>
      <c r="I639" s="75"/>
    </row>
    <row r="640" spans="3:9" ht="13.2">
      <c r="C640" s="75"/>
      <c r="D640" s="75"/>
      <c r="E640" s="75"/>
      <c r="F640" s="75"/>
      <c r="G640" s="75"/>
      <c r="H640" s="75"/>
      <c r="I640" s="75"/>
    </row>
    <row r="641" spans="3:9" ht="13.2">
      <c r="C641" s="75"/>
      <c r="D641" s="75"/>
      <c r="E641" s="75"/>
      <c r="F641" s="75"/>
      <c r="G641" s="75"/>
      <c r="H641" s="75"/>
      <c r="I641" s="75"/>
    </row>
    <row r="642" spans="3:9" ht="13.2">
      <c r="C642" s="75"/>
      <c r="D642" s="75"/>
      <c r="E642" s="75"/>
      <c r="F642" s="75"/>
      <c r="G642" s="75"/>
      <c r="H642" s="75"/>
      <c r="I642" s="75"/>
    </row>
    <row r="643" spans="3:9" ht="13.2">
      <c r="C643" s="75"/>
      <c r="D643" s="75"/>
      <c r="E643" s="75"/>
      <c r="F643" s="75"/>
      <c r="G643" s="75"/>
      <c r="H643" s="75"/>
      <c r="I643" s="75"/>
    </row>
    <row r="644" spans="3:9" ht="13.2">
      <c r="C644" s="75"/>
      <c r="D644" s="75"/>
      <c r="E644" s="75"/>
      <c r="F644" s="75"/>
      <c r="G644" s="75"/>
      <c r="H644" s="75"/>
      <c r="I644" s="75"/>
    </row>
    <row r="645" spans="3:9" ht="13.2">
      <c r="C645" s="75"/>
      <c r="D645" s="75"/>
      <c r="E645" s="75"/>
      <c r="F645" s="75"/>
      <c r="G645" s="75"/>
      <c r="H645" s="75"/>
      <c r="I645" s="75"/>
    </row>
    <row r="646" spans="3:9" ht="13.2">
      <c r="C646" s="75"/>
      <c r="D646" s="75"/>
      <c r="E646" s="75"/>
      <c r="F646" s="75"/>
      <c r="G646" s="75"/>
      <c r="H646" s="75"/>
      <c r="I646" s="75"/>
    </row>
    <row r="647" spans="3:9" ht="13.2">
      <c r="C647" s="75"/>
      <c r="D647" s="75"/>
      <c r="E647" s="75"/>
      <c r="F647" s="75"/>
      <c r="G647" s="75"/>
      <c r="H647" s="75"/>
      <c r="I647" s="75"/>
    </row>
    <row r="648" spans="3:9" ht="13.2">
      <c r="C648" s="75"/>
      <c r="D648" s="75"/>
      <c r="E648" s="75"/>
      <c r="F648" s="75"/>
      <c r="G648" s="75"/>
      <c r="H648" s="75"/>
      <c r="I648" s="75"/>
    </row>
    <row r="649" spans="3:9" ht="13.2">
      <c r="C649" s="75"/>
      <c r="D649" s="75"/>
      <c r="E649" s="75"/>
      <c r="F649" s="75"/>
      <c r="G649" s="75"/>
      <c r="H649" s="75"/>
      <c r="I649" s="75"/>
    </row>
    <row r="650" spans="3:9" ht="13.2">
      <c r="C650" s="75"/>
      <c r="D650" s="75"/>
      <c r="E650" s="75"/>
      <c r="F650" s="75"/>
      <c r="G650" s="75"/>
      <c r="H650" s="75"/>
      <c r="I650" s="75"/>
    </row>
    <row r="651" spans="3:9" ht="13.2">
      <c r="C651" s="75"/>
      <c r="D651" s="75"/>
      <c r="E651" s="75"/>
      <c r="F651" s="75"/>
      <c r="G651" s="75"/>
      <c r="H651" s="75"/>
      <c r="I651" s="75"/>
    </row>
    <row r="652" spans="3:9" ht="13.2">
      <c r="C652" s="75"/>
      <c r="D652" s="75"/>
      <c r="E652" s="75"/>
      <c r="F652" s="75"/>
      <c r="G652" s="75"/>
      <c r="H652" s="75"/>
      <c r="I652" s="75"/>
    </row>
    <row r="653" spans="3:9" ht="13.2">
      <c r="C653" s="75"/>
      <c r="D653" s="75"/>
      <c r="E653" s="75"/>
      <c r="F653" s="75"/>
      <c r="G653" s="75"/>
      <c r="H653" s="75"/>
      <c r="I653" s="75"/>
    </row>
    <row r="654" spans="3:9" ht="13.2">
      <c r="C654" s="75"/>
      <c r="D654" s="75"/>
      <c r="E654" s="75"/>
      <c r="F654" s="75"/>
      <c r="G654" s="75"/>
      <c r="H654" s="75"/>
      <c r="I654" s="75"/>
    </row>
    <row r="655" spans="3:9" ht="13.2">
      <c r="C655" s="75"/>
      <c r="D655" s="75"/>
      <c r="E655" s="75"/>
      <c r="F655" s="75"/>
      <c r="G655" s="75"/>
      <c r="H655" s="75"/>
      <c r="I655" s="75"/>
    </row>
    <row r="656" spans="3:9" ht="13.2">
      <c r="C656" s="75"/>
      <c r="D656" s="75"/>
      <c r="E656" s="75"/>
      <c r="F656" s="75"/>
      <c r="G656" s="75"/>
      <c r="H656" s="75"/>
      <c r="I656" s="75"/>
    </row>
    <row r="657" spans="3:9" ht="13.2">
      <c r="C657" s="75"/>
      <c r="D657" s="75"/>
      <c r="E657" s="75"/>
      <c r="F657" s="75"/>
      <c r="G657" s="75"/>
      <c r="H657" s="75"/>
      <c r="I657" s="75"/>
    </row>
    <row r="658" spans="3:9" ht="13.2">
      <c r="C658" s="75"/>
      <c r="D658" s="75"/>
      <c r="E658" s="75"/>
      <c r="F658" s="75"/>
      <c r="G658" s="75"/>
      <c r="H658" s="75"/>
      <c r="I658" s="75"/>
    </row>
    <row r="659" spans="3:9" ht="13.2">
      <c r="C659" s="75"/>
      <c r="D659" s="75"/>
      <c r="E659" s="75"/>
      <c r="F659" s="75"/>
      <c r="G659" s="75"/>
      <c r="H659" s="75"/>
      <c r="I659" s="75"/>
    </row>
    <row r="660" spans="3:9" ht="13.2">
      <c r="C660" s="75"/>
      <c r="D660" s="75"/>
      <c r="E660" s="75"/>
      <c r="F660" s="75"/>
      <c r="G660" s="75"/>
      <c r="H660" s="75"/>
      <c r="I660" s="75"/>
    </row>
    <row r="661" spans="3:9" ht="13.2">
      <c r="C661" s="75"/>
      <c r="D661" s="75"/>
      <c r="E661" s="75"/>
      <c r="F661" s="75"/>
      <c r="G661" s="75"/>
      <c r="H661" s="75"/>
      <c r="I661" s="75"/>
    </row>
    <row r="662" spans="3:9" ht="13.2">
      <c r="C662" s="75"/>
      <c r="D662" s="75"/>
      <c r="E662" s="75"/>
      <c r="F662" s="75"/>
      <c r="G662" s="75"/>
      <c r="H662" s="75"/>
      <c r="I662" s="75"/>
    </row>
    <row r="663" spans="3:9" ht="13.2">
      <c r="C663" s="75"/>
      <c r="D663" s="75"/>
      <c r="E663" s="75"/>
      <c r="F663" s="75"/>
      <c r="G663" s="75"/>
      <c r="H663" s="75"/>
      <c r="I663" s="75"/>
    </row>
    <row r="664" spans="3:9" ht="13.2">
      <c r="C664" s="75"/>
      <c r="D664" s="75"/>
      <c r="E664" s="75"/>
      <c r="F664" s="75"/>
      <c r="G664" s="75"/>
      <c r="H664" s="75"/>
      <c r="I664" s="75"/>
    </row>
    <row r="665" spans="3:9" ht="13.2">
      <c r="C665" s="75"/>
      <c r="D665" s="75"/>
      <c r="E665" s="75"/>
      <c r="F665" s="75"/>
      <c r="G665" s="75"/>
      <c r="H665" s="75"/>
      <c r="I665" s="75"/>
    </row>
    <row r="666" spans="3:9" ht="13.2">
      <c r="C666" s="75"/>
      <c r="D666" s="75"/>
      <c r="E666" s="75"/>
      <c r="F666" s="75"/>
      <c r="G666" s="75"/>
      <c r="H666" s="75"/>
      <c r="I666" s="75"/>
    </row>
    <row r="667" spans="3:9" ht="13.2">
      <c r="C667" s="75"/>
      <c r="D667" s="75"/>
      <c r="E667" s="75"/>
      <c r="F667" s="75"/>
      <c r="G667" s="75"/>
      <c r="H667" s="75"/>
      <c r="I667" s="75"/>
    </row>
    <row r="668" spans="3:9" ht="13.2">
      <c r="C668" s="75"/>
      <c r="D668" s="75"/>
      <c r="E668" s="75"/>
      <c r="F668" s="75"/>
      <c r="G668" s="75"/>
      <c r="H668" s="75"/>
      <c r="I668" s="75"/>
    </row>
    <row r="669" spans="3:9" ht="13.2">
      <c r="C669" s="75"/>
      <c r="D669" s="75"/>
      <c r="E669" s="75"/>
      <c r="F669" s="75"/>
      <c r="G669" s="75"/>
      <c r="H669" s="75"/>
      <c r="I669" s="75"/>
    </row>
    <row r="670" spans="3:9" ht="13.2">
      <c r="C670" s="75"/>
      <c r="D670" s="75"/>
      <c r="E670" s="75"/>
      <c r="F670" s="75"/>
      <c r="G670" s="75"/>
      <c r="H670" s="75"/>
      <c r="I670" s="75"/>
    </row>
    <row r="671" spans="3:9" ht="13.2">
      <c r="C671" s="75"/>
      <c r="D671" s="75"/>
      <c r="E671" s="75"/>
      <c r="F671" s="75"/>
      <c r="G671" s="75"/>
      <c r="H671" s="75"/>
      <c r="I671" s="75"/>
    </row>
    <row r="672" spans="3:9" ht="13.2">
      <c r="C672" s="75"/>
      <c r="D672" s="75"/>
      <c r="E672" s="75"/>
      <c r="F672" s="75"/>
      <c r="G672" s="75"/>
      <c r="H672" s="75"/>
      <c r="I672" s="75"/>
    </row>
    <row r="673" spans="3:9" ht="13.2">
      <c r="C673" s="75"/>
      <c r="D673" s="75"/>
      <c r="E673" s="75"/>
      <c r="F673" s="75"/>
      <c r="G673" s="75"/>
      <c r="H673" s="75"/>
      <c r="I673" s="75"/>
    </row>
    <row r="674" spans="3:9" ht="13.2">
      <c r="C674" s="75"/>
      <c r="D674" s="75"/>
      <c r="E674" s="75"/>
      <c r="F674" s="75"/>
      <c r="G674" s="75"/>
      <c r="H674" s="75"/>
      <c r="I674" s="75"/>
    </row>
    <row r="675" spans="3:9" ht="13.2">
      <c r="C675" s="75"/>
      <c r="D675" s="75"/>
      <c r="E675" s="75"/>
      <c r="F675" s="75"/>
      <c r="G675" s="75"/>
      <c r="H675" s="75"/>
      <c r="I675" s="75"/>
    </row>
    <row r="676" spans="3:9" ht="13.2">
      <c r="C676" s="75"/>
      <c r="D676" s="75"/>
      <c r="E676" s="75"/>
      <c r="F676" s="75"/>
      <c r="G676" s="75"/>
      <c r="H676" s="75"/>
      <c r="I676" s="75"/>
    </row>
    <row r="677" spans="3:9" ht="13.2">
      <c r="C677" s="75"/>
      <c r="D677" s="75"/>
      <c r="E677" s="75"/>
      <c r="F677" s="75"/>
      <c r="G677" s="75"/>
      <c r="H677" s="75"/>
      <c r="I677" s="75"/>
    </row>
    <row r="678" spans="3:9" ht="13.2">
      <c r="C678" s="75"/>
      <c r="D678" s="75"/>
      <c r="E678" s="75"/>
      <c r="F678" s="75"/>
      <c r="G678" s="75"/>
      <c r="H678" s="75"/>
      <c r="I678" s="75"/>
    </row>
    <row r="679" spans="3:9" ht="13.2">
      <c r="C679" s="75"/>
      <c r="D679" s="75"/>
      <c r="E679" s="75"/>
      <c r="F679" s="75"/>
      <c r="G679" s="75"/>
      <c r="H679" s="75"/>
      <c r="I679" s="75"/>
    </row>
    <row r="680" spans="3:9" ht="13.2">
      <c r="C680" s="75"/>
      <c r="D680" s="75"/>
      <c r="E680" s="75"/>
      <c r="F680" s="75"/>
      <c r="G680" s="75"/>
      <c r="H680" s="75"/>
      <c r="I680" s="75"/>
    </row>
    <row r="681" spans="3:9" ht="13.2">
      <c r="C681" s="75"/>
      <c r="D681" s="75"/>
      <c r="E681" s="75"/>
      <c r="F681" s="75"/>
      <c r="G681" s="75"/>
      <c r="H681" s="75"/>
      <c r="I681" s="75"/>
    </row>
    <row r="682" spans="3:9" ht="13.2">
      <c r="C682" s="75"/>
      <c r="D682" s="75"/>
      <c r="E682" s="75"/>
      <c r="F682" s="75"/>
      <c r="G682" s="75"/>
      <c r="H682" s="75"/>
      <c r="I682" s="75"/>
    </row>
    <row r="683" spans="3:9" ht="13.2">
      <c r="C683" s="75"/>
      <c r="D683" s="75"/>
      <c r="E683" s="75"/>
      <c r="F683" s="75"/>
      <c r="G683" s="75"/>
      <c r="H683" s="75"/>
      <c r="I683" s="75"/>
    </row>
    <row r="684" spans="3:9" ht="13.2">
      <c r="C684" s="75"/>
      <c r="D684" s="75"/>
      <c r="E684" s="75"/>
      <c r="F684" s="75"/>
      <c r="G684" s="75"/>
      <c r="H684" s="75"/>
      <c r="I684" s="75"/>
    </row>
    <row r="685" spans="3:9" ht="13.2">
      <c r="C685" s="75"/>
      <c r="D685" s="75"/>
      <c r="E685" s="75"/>
      <c r="F685" s="75"/>
      <c r="G685" s="75"/>
      <c r="H685" s="75"/>
      <c r="I685" s="75"/>
    </row>
    <row r="686" spans="3:9" ht="13.2">
      <c r="C686" s="75"/>
      <c r="D686" s="75"/>
      <c r="E686" s="75"/>
      <c r="F686" s="75"/>
      <c r="G686" s="75"/>
      <c r="H686" s="75"/>
      <c r="I686" s="75"/>
    </row>
    <row r="687" spans="3:9" ht="13.2">
      <c r="C687" s="75"/>
      <c r="D687" s="75"/>
      <c r="E687" s="75"/>
      <c r="F687" s="75"/>
      <c r="G687" s="75"/>
      <c r="H687" s="75"/>
      <c r="I687" s="75"/>
    </row>
    <row r="688" spans="3:9" ht="13.2">
      <c r="C688" s="75"/>
      <c r="D688" s="75"/>
      <c r="E688" s="75"/>
      <c r="F688" s="75"/>
      <c r="G688" s="75"/>
      <c r="H688" s="75"/>
      <c r="I688" s="75"/>
    </row>
    <row r="689" spans="3:9" ht="13.2">
      <c r="C689" s="75"/>
      <c r="D689" s="75"/>
      <c r="E689" s="75"/>
      <c r="F689" s="75"/>
      <c r="G689" s="75"/>
      <c r="H689" s="75"/>
      <c r="I689" s="75"/>
    </row>
    <row r="690" spans="3:9" ht="13.2">
      <c r="C690" s="75"/>
      <c r="D690" s="75"/>
      <c r="E690" s="75"/>
      <c r="F690" s="75"/>
      <c r="G690" s="75"/>
      <c r="H690" s="75"/>
      <c r="I690" s="75"/>
    </row>
    <row r="691" spans="3:9" ht="13.2">
      <c r="C691" s="75"/>
      <c r="D691" s="75"/>
      <c r="E691" s="75"/>
      <c r="F691" s="75"/>
      <c r="G691" s="75"/>
      <c r="H691" s="75"/>
      <c r="I691" s="75"/>
    </row>
    <row r="692" spans="3:9" ht="13.2">
      <c r="C692" s="75"/>
      <c r="D692" s="75"/>
      <c r="E692" s="75"/>
      <c r="F692" s="75"/>
      <c r="G692" s="75"/>
      <c r="H692" s="75"/>
      <c r="I692" s="75"/>
    </row>
    <row r="693" spans="3:9" ht="13.2">
      <c r="C693" s="75"/>
      <c r="D693" s="75"/>
      <c r="E693" s="75"/>
      <c r="F693" s="75"/>
      <c r="G693" s="75"/>
      <c r="H693" s="75"/>
      <c r="I693" s="75"/>
    </row>
    <row r="694" spans="3:9" ht="13.2">
      <c r="C694" s="75"/>
      <c r="D694" s="75"/>
      <c r="E694" s="75"/>
      <c r="F694" s="75"/>
      <c r="G694" s="75"/>
      <c r="H694" s="75"/>
      <c r="I694" s="75"/>
    </row>
    <row r="695" spans="3:9" ht="13.2">
      <c r="C695" s="75"/>
      <c r="D695" s="75"/>
      <c r="E695" s="75"/>
      <c r="F695" s="75"/>
      <c r="G695" s="75"/>
      <c r="H695" s="75"/>
      <c r="I695" s="75"/>
    </row>
    <row r="696" spans="3:9" ht="13.2">
      <c r="C696" s="75"/>
      <c r="D696" s="75"/>
      <c r="E696" s="75"/>
      <c r="F696" s="75"/>
      <c r="G696" s="75"/>
      <c r="H696" s="75"/>
      <c r="I696" s="75"/>
    </row>
    <row r="697" spans="3:9" ht="13.2">
      <c r="C697" s="75"/>
      <c r="D697" s="75"/>
      <c r="E697" s="75"/>
      <c r="F697" s="75"/>
      <c r="G697" s="75"/>
      <c r="H697" s="75"/>
      <c r="I697" s="75"/>
    </row>
    <row r="698" spans="3:9" ht="13.2">
      <c r="C698" s="75"/>
      <c r="D698" s="75"/>
      <c r="E698" s="75"/>
      <c r="F698" s="75"/>
      <c r="G698" s="75"/>
      <c r="H698" s="75"/>
      <c r="I698" s="75"/>
    </row>
    <row r="699" spans="3:9" ht="13.2">
      <c r="C699" s="75"/>
      <c r="D699" s="75"/>
      <c r="E699" s="75"/>
      <c r="F699" s="75"/>
      <c r="G699" s="75"/>
      <c r="H699" s="75"/>
      <c r="I699" s="75"/>
    </row>
    <row r="700" spans="3:9" ht="13.2">
      <c r="C700" s="75"/>
      <c r="D700" s="75"/>
      <c r="E700" s="75"/>
      <c r="F700" s="75"/>
      <c r="G700" s="75"/>
      <c r="H700" s="75"/>
      <c r="I700" s="75"/>
    </row>
    <row r="701" spans="3:9" ht="13.2">
      <c r="C701" s="75"/>
      <c r="D701" s="75"/>
      <c r="E701" s="75"/>
      <c r="F701" s="75"/>
      <c r="G701" s="75"/>
      <c r="H701" s="75"/>
      <c r="I701" s="75"/>
    </row>
    <row r="702" spans="3:9" ht="13.2">
      <c r="C702" s="75"/>
      <c r="D702" s="75"/>
      <c r="E702" s="75"/>
      <c r="F702" s="75"/>
      <c r="G702" s="75"/>
      <c r="H702" s="75"/>
      <c r="I702" s="75"/>
    </row>
    <row r="703" spans="3:9" ht="13.2">
      <c r="C703" s="75"/>
      <c r="D703" s="75"/>
      <c r="E703" s="75"/>
      <c r="F703" s="75"/>
      <c r="G703" s="75"/>
      <c r="H703" s="75"/>
      <c r="I703" s="75"/>
    </row>
    <row r="704" spans="3:9" ht="13.2">
      <c r="C704" s="75"/>
      <c r="D704" s="75"/>
      <c r="E704" s="75"/>
      <c r="F704" s="75"/>
      <c r="G704" s="75"/>
      <c r="H704" s="75"/>
      <c r="I704" s="75"/>
    </row>
    <row r="705" spans="3:9" ht="13.2">
      <c r="C705" s="75"/>
      <c r="D705" s="75"/>
      <c r="E705" s="75"/>
      <c r="F705" s="75"/>
      <c r="G705" s="75"/>
      <c r="H705" s="75"/>
      <c r="I705" s="75"/>
    </row>
    <row r="706" spans="3:9" ht="13.2">
      <c r="C706" s="75"/>
      <c r="D706" s="75"/>
      <c r="E706" s="75"/>
      <c r="F706" s="75"/>
      <c r="G706" s="75"/>
      <c r="H706" s="75"/>
      <c r="I706" s="75"/>
    </row>
    <row r="707" spans="3:9" ht="13.2">
      <c r="C707" s="75"/>
      <c r="D707" s="75"/>
      <c r="E707" s="75"/>
      <c r="F707" s="75"/>
      <c r="G707" s="75"/>
      <c r="H707" s="75"/>
      <c r="I707" s="75"/>
    </row>
    <row r="708" spans="3:9" ht="13.2">
      <c r="C708" s="75"/>
      <c r="D708" s="75"/>
      <c r="E708" s="75"/>
      <c r="F708" s="75"/>
      <c r="G708" s="75"/>
      <c r="H708" s="75"/>
      <c r="I708" s="75"/>
    </row>
    <row r="709" spans="3:9" ht="13.2">
      <c r="C709" s="75"/>
      <c r="D709" s="75"/>
      <c r="E709" s="75"/>
      <c r="F709" s="75"/>
      <c r="G709" s="75"/>
      <c r="H709" s="75"/>
      <c r="I709" s="75"/>
    </row>
    <row r="710" spans="3:9" ht="13.2">
      <c r="C710" s="75"/>
      <c r="D710" s="75"/>
      <c r="E710" s="75"/>
      <c r="F710" s="75"/>
      <c r="G710" s="75"/>
      <c r="H710" s="75"/>
      <c r="I710" s="75"/>
    </row>
    <row r="711" spans="3:9" ht="13.2">
      <c r="C711" s="75"/>
      <c r="D711" s="75"/>
      <c r="E711" s="75"/>
      <c r="F711" s="75"/>
      <c r="G711" s="75"/>
      <c r="H711" s="75"/>
      <c r="I711" s="75"/>
    </row>
    <row r="712" spans="3:9" ht="13.2">
      <c r="C712" s="75"/>
      <c r="D712" s="75"/>
      <c r="E712" s="75"/>
      <c r="F712" s="75"/>
      <c r="G712" s="75"/>
      <c r="H712" s="75"/>
      <c r="I712" s="75"/>
    </row>
    <row r="713" spans="3:9" ht="13.2">
      <c r="C713" s="75"/>
      <c r="D713" s="75"/>
      <c r="E713" s="75"/>
      <c r="F713" s="75"/>
      <c r="G713" s="75"/>
      <c r="H713" s="75"/>
      <c r="I713" s="75"/>
    </row>
    <row r="714" spans="3:9" ht="13.2">
      <c r="C714" s="75"/>
      <c r="D714" s="75"/>
      <c r="E714" s="75"/>
      <c r="F714" s="75"/>
      <c r="G714" s="75"/>
      <c r="H714" s="75"/>
      <c r="I714" s="75"/>
    </row>
    <row r="715" spans="3:9" ht="13.2">
      <c r="C715" s="75"/>
      <c r="D715" s="75"/>
      <c r="E715" s="75"/>
      <c r="F715" s="75"/>
      <c r="G715" s="75"/>
      <c r="H715" s="75"/>
      <c r="I715" s="75"/>
    </row>
    <row r="716" spans="3:9" ht="13.2">
      <c r="C716" s="75"/>
      <c r="D716" s="75"/>
      <c r="E716" s="75"/>
      <c r="F716" s="75"/>
      <c r="G716" s="75"/>
      <c r="H716" s="75"/>
      <c r="I716" s="75"/>
    </row>
    <row r="717" spans="3:9" ht="13.2">
      <c r="C717" s="75"/>
      <c r="D717" s="75"/>
      <c r="E717" s="75"/>
      <c r="F717" s="75"/>
      <c r="G717" s="75"/>
      <c r="H717" s="75"/>
      <c r="I717" s="75"/>
    </row>
    <row r="718" spans="3:9" ht="13.2">
      <c r="C718" s="75"/>
      <c r="D718" s="75"/>
      <c r="E718" s="75"/>
      <c r="F718" s="75"/>
      <c r="G718" s="75"/>
      <c r="H718" s="75"/>
      <c r="I718" s="75"/>
    </row>
    <row r="719" spans="3:9" ht="13.2">
      <c r="C719" s="75"/>
      <c r="D719" s="75"/>
      <c r="E719" s="75"/>
      <c r="F719" s="75"/>
      <c r="G719" s="75"/>
      <c r="H719" s="75"/>
      <c r="I719" s="75"/>
    </row>
    <row r="720" spans="3:9" ht="13.2">
      <c r="C720" s="75"/>
      <c r="D720" s="75"/>
      <c r="E720" s="75"/>
      <c r="F720" s="75"/>
      <c r="G720" s="75"/>
      <c r="H720" s="75"/>
      <c r="I720" s="75"/>
    </row>
    <row r="721" spans="3:9" ht="13.2">
      <c r="C721" s="75"/>
      <c r="D721" s="75"/>
      <c r="E721" s="75"/>
      <c r="F721" s="75"/>
      <c r="G721" s="75"/>
      <c r="H721" s="75"/>
      <c r="I721" s="75"/>
    </row>
    <row r="722" spans="3:9" ht="13.2">
      <c r="C722" s="75"/>
      <c r="D722" s="75"/>
      <c r="E722" s="75"/>
      <c r="F722" s="75"/>
      <c r="G722" s="75"/>
      <c r="H722" s="75"/>
      <c r="I722" s="75"/>
    </row>
    <row r="723" spans="3:9" ht="13.2">
      <c r="C723" s="75"/>
      <c r="D723" s="75"/>
      <c r="E723" s="75"/>
      <c r="F723" s="75"/>
      <c r="G723" s="75"/>
      <c r="H723" s="75"/>
      <c r="I723" s="75"/>
    </row>
    <row r="724" spans="3:9" ht="13.2">
      <c r="C724" s="75"/>
      <c r="D724" s="75"/>
      <c r="E724" s="75"/>
      <c r="F724" s="75"/>
      <c r="G724" s="75"/>
      <c r="H724" s="75"/>
      <c r="I724" s="75"/>
    </row>
    <row r="725" spans="3:9" ht="13.2">
      <c r="C725" s="75"/>
      <c r="D725" s="75"/>
      <c r="E725" s="75"/>
      <c r="F725" s="75"/>
      <c r="G725" s="75"/>
      <c r="H725" s="75"/>
      <c r="I725" s="75"/>
    </row>
    <row r="726" spans="3:9" ht="13.2">
      <c r="C726" s="75"/>
      <c r="D726" s="75"/>
      <c r="E726" s="75"/>
      <c r="F726" s="75"/>
      <c r="G726" s="75"/>
      <c r="H726" s="75"/>
      <c r="I726" s="75"/>
    </row>
    <row r="727" spans="3:9" ht="13.2">
      <c r="C727" s="75"/>
      <c r="D727" s="75"/>
      <c r="E727" s="75"/>
      <c r="F727" s="75"/>
      <c r="G727" s="75"/>
      <c r="H727" s="75"/>
      <c r="I727" s="75"/>
    </row>
    <row r="728" spans="3:9" ht="13.2">
      <c r="C728" s="75"/>
      <c r="D728" s="75"/>
      <c r="E728" s="75"/>
      <c r="F728" s="75"/>
      <c r="G728" s="75"/>
      <c r="H728" s="75"/>
      <c r="I728" s="75"/>
    </row>
    <row r="729" spans="3:9" ht="13.2">
      <c r="C729" s="75"/>
      <c r="D729" s="75"/>
      <c r="E729" s="75"/>
      <c r="F729" s="75"/>
      <c r="G729" s="75"/>
      <c r="H729" s="75"/>
      <c r="I729" s="75"/>
    </row>
    <row r="730" spans="3:9" ht="13.2">
      <c r="C730" s="75"/>
      <c r="D730" s="75"/>
      <c r="E730" s="75"/>
      <c r="F730" s="75"/>
      <c r="G730" s="75"/>
      <c r="H730" s="75"/>
      <c r="I730" s="75"/>
    </row>
    <row r="731" spans="3:9" ht="13.2">
      <c r="C731" s="75"/>
      <c r="D731" s="75"/>
      <c r="E731" s="75"/>
      <c r="F731" s="75"/>
      <c r="G731" s="75"/>
      <c r="H731" s="75"/>
      <c r="I731" s="75"/>
    </row>
    <row r="732" spans="3:9" ht="13.2">
      <c r="C732" s="75"/>
      <c r="D732" s="75"/>
      <c r="E732" s="75"/>
      <c r="F732" s="75"/>
      <c r="G732" s="75"/>
      <c r="H732" s="75"/>
      <c r="I732" s="75"/>
    </row>
    <row r="733" spans="3:9" ht="13.2">
      <c r="C733" s="75"/>
      <c r="D733" s="75"/>
      <c r="E733" s="75"/>
      <c r="F733" s="75"/>
      <c r="G733" s="75"/>
      <c r="H733" s="75"/>
      <c r="I733" s="75"/>
    </row>
    <row r="734" spans="3:9" ht="13.2">
      <c r="C734" s="75"/>
      <c r="D734" s="75"/>
      <c r="E734" s="75"/>
      <c r="F734" s="75"/>
      <c r="G734" s="75"/>
      <c r="H734" s="75"/>
      <c r="I734" s="75"/>
    </row>
    <row r="735" spans="3:9" ht="13.2">
      <c r="C735" s="75"/>
      <c r="D735" s="75"/>
      <c r="E735" s="75"/>
      <c r="F735" s="75"/>
      <c r="G735" s="75"/>
      <c r="H735" s="75"/>
      <c r="I735" s="75"/>
    </row>
    <row r="736" spans="3:9" ht="13.2">
      <c r="C736" s="75"/>
      <c r="D736" s="75"/>
      <c r="E736" s="75"/>
      <c r="F736" s="75"/>
      <c r="G736" s="75"/>
      <c r="H736" s="75"/>
      <c r="I736" s="75"/>
    </row>
    <row r="737" spans="3:9" ht="13.2">
      <c r="C737" s="75"/>
      <c r="D737" s="75"/>
      <c r="E737" s="75"/>
      <c r="F737" s="75"/>
      <c r="G737" s="75"/>
      <c r="H737" s="75"/>
      <c r="I737" s="75"/>
    </row>
    <row r="738" spans="3:9" ht="13.2">
      <c r="C738" s="75"/>
      <c r="D738" s="75"/>
      <c r="E738" s="75"/>
      <c r="F738" s="75"/>
      <c r="G738" s="75"/>
      <c r="H738" s="75"/>
      <c r="I738" s="75"/>
    </row>
    <row r="739" spans="3:9" ht="13.2">
      <c r="C739" s="75"/>
      <c r="D739" s="75"/>
      <c r="E739" s="75"/>
      <c r="F739" s="75"/>
      <c r="G739" s="75"/>
      <c r="H739" s="75"/>
      <c r="I739" s="75"/>
    </row>
    <row r="740" spans="3:9" ht="13.2">
      <c r="C740" s="75"/>
      <c r="D740" s="75"/>
      <c r="E740" s="75"/>
      <c r="F740" s="75"/>
      <c r="G740" s="75"/>
      <c r="H740" s="75"/>
      <c r="I740" s="75"/>
    </row>
    <row r="741" spans="3:9" ht="13.2">
      <c r="C741" s="75"/>
      <c r="D741" s="75"/>
      <c r="E741" s="75"/>
      <c r="F741" s="75"/>
      <c r="G741" s="75"/>
      <c r="H741" s="75"/>
      <c r="I741" s="75"/>
    </row>
    <row r="742" spans="3:9" ht="13.2">
      <c r="C742" s="75"/>
      <c r="D742" s="75"/>
      <c r="E742" s="75"/>
      <c r="F742" s="75"/>
      <c r="G742" s="75"/>
      <c r="H742" s="75"/>
      <c r="I742" s="75"/>
    </row>
    <row r="743" spans="3:9" ht="13.2">
      <c r="C743" s="75"/>
      <c r="D743" s="75"/>
      <c r="E743" s="75"/>
      <c r="F743" s="75"/>
      <c r="G743" s="75"/>
      <c r="H743" s="75"/>
      <c r="I743" s="75"/>
    </row>
    <row r="744" spans="3:9" ht="13.2">
      <c r="C744" s="75"/>
      <c r="D744" s="75"/>
      <c r="E744" s="75"/>
      <c r="F744" s="75"/>
      <c r="G744" s="75"/>
      <c r="H744" s="75"/>
      <c r="I744" s="75"/>
    </row>
    <row r="745" spans="3:9" ht="13.2">
      <c r="C745" s="75"/>
      <c r="D745" s="75"/>
      <c r="E745" s="75"/>
      <c r="F745" s="75"/>
      <c r="G745" s="75"/>
      <c r="H745" s="75"/>
      <c r="I745" s="75"/>
    </row>
    <row r="746" spans="3:9" ht="13.2">
      <c r="C746" s="75"/>
      <c r="D746" s="75"/>
      <c r="E746" s="75"/>
      <c r="F746" s="75"/>
      <c r="G746" s="75"/>
      <c r="H746" s="75"/>
      <c r="I746" s="75"/>
    </row>
    <row r="747" spans="3:9" ht="13.2">
      <c r="C747" s="75"/>
      <c r="D747" s="75"/>
      <c r="E747" s="75"/>
      <c r="F747" s="75"/>
      <c r="G747" s="75"/>
      <c r="H747" s="75"/>
      <c r="I747" s="75"/>
    </row>
    <row r="748" spans="3:9" ht="13.2">
      <c r="C748" s="75"/>
      <c r="D748" s="75"/>
      <c r="E748" s="75"/>
      <c r="F748" s="75"/>
      <c r="G748" s="75"/>
      <c r="H748" s="75"/>
      <c r="I748" s="75"/>
    </row>
    <row r="749" spans="3:9" ht="13.2">
      <c r="C749" s="75"/>
      <c r="D749" s="75"/>
      <c r="E749" s="75"/>
      <c r="F749" s="75"/>
      <c r="G749" s="75"/>
      <c r="H749" s="75"/>
      <c r="I749" s="75"/>
    </row>
    <row r="750" spans="3:9" ht="13.2">
      <c r="C750" s="75"/>
      <c r="D750" s="75"/>
      <c r="E750" s="75"/>
      <c r="F750" s="75"/>
      <c r="G750" s="75"/>
      <c r="H750" s="75"/>
      <c r="I750" s="75"/>
    </row>
    <row r="751" spans="3:9" ht="13.2">
      <c r="C751" s="75"/>
      <c r="D751" s="75"/>
      <c r="E751" s="75"/>
      <c r="F751" s="75"/>
      <c r="G751" s="75"/>
      <c r="H751" s="75"/>
      <c r="I751" s="75"/>
    </row>
    <row r="752" spans="3:9" ht="13.2">
      <c r="C752" s="75"/>
      <c r="D752" s="75"/>
      <c r="E752" s="75"/>
      <c r="F752" s="75"/>
      <c r="G752" s="75"/>
      <c r="H752" s="75"/>
      <c r="I752" s="75"/>
    </row>
    <row r="753" spans="3:9" ht="13.2">
      <c r="C753" s="75"/>
      <c r="D753" s="75"/>
      <c r="E753" s="75"/>
      <c r="F753" s="75"/>
      <c r="G753" s="75"/>
      <c r="H753" s="75"/>
      <c r="I753" s="75"/>
    </row>
    <row r="754" spans="3:9" ht="13.2">
      <c r="C754" s="75"/>
      <c r="D754" s="75"/>
      <c r="E754" s="75"/>
      <c r="F754" s="75"/>
      <c r="G754" s="75"/>
      <c r="H754" s="75"/>
      <c r="I754" s="75"/>
    </row>
    <row r="755" spans="3:9" ht="13.2">
      <c r="C755" s="75"/>
      <c r="D755" s="75"/>
      <c r="E755" s="75"/>
      <c r="F755" s="75"/>
      <c r="G755" s="75"/>
      <c r="H755" s="75"/>
      <c r="I755" s="75"/>
    </row>
    <row r="756" spans="3:9" ht="13.2">
      <c r="C756" s="75"/>
      <c r="D756" s="75"/>
      <c r="E756" s="75"/>
      <c r="F756" s="75"/>
      <c r="G756" s="75"/>
      <c r="H756" s="75"/>
      <c r="I756" s="75"/>
    </row>
    <row r="757" spans="3:9" ht="13.2">
      <c r="C757" s="75"/>
      <c r="D757" s="75"/>
      <c r="E757" s="75"/>
      <c r="F757" s="75"/>
      <c r="G757" s="75"/>
      <c r="H757" s="75"/>
      <c r="I757" s="75"/>
    </row>
    <row r="758" spans="3:9" ht="13.2">
      <c r="C758" s="75"/>
      <c r="D758" s="75"/>
      <c r="E758" s="75"/>
      <c r="F758" s="75"/>
      <c r="G758" s="75"/>
      <c r="H758" s="75"/>
      <c r="I758" s="75"/>
    </row>
    <row r="759" spans="3:9" ht="13.2">
      <c r="C759" s="75"/>
      <c r="D759" s="75"/>
      <c r="E759" s="75"/>
      <c r="F759" s="75"/>
      <c r="G759" s="75"/>
      <c r="H759" s="75"/>
      <c r="I759" s="75"/>
    </row>
    <row r="760" spans="3:9" ht="13.2">
      <c r="C760" s="75"/>
      <c r="D760" s="75"/>
      <c r="E760" s="75"/>
      <c r="F760" s="75"/>
      <c r="G760" s="75"/>
      <c r="H760" s="75"/>
      <c r="I760" s="75"/>
    </row>
    <row r="761" spans="3:9" ht="13.2">
      <c r="C761" s="75"/>
      <c r="D761" s="75"/>
      <c r="E761" s="75"/>
      <c r="F761" s="75"/>
      <c r="G761" s="75"/>
      <c r="H761" s="75"/>
      <c r="I761" s="75"/>
    </row>
    <row r="762" spans="3:9" ht="13.2">
      <c r="C762" s="75"/>
      <c r="D762" s="75"/>
      <c r="E762" s="75"/>
      <c r="F762" s="75"/>
      <c r="G762" s="75"/>
      <c r="H762" s="75"/>
      <c r="I762" s="75"/>
    </row>
    <row r="763" spans="3:9" ht="13.2">
      <c r="C763" s="75"/>
      <c r="D763" s="75"/>
      <c r="E763" s="75"/>
      <c r="F763" s="75"/>
      <c r="G763" s="75"/>
      <c r="H763" s="75"/>
      <c r="I763" s="75"/>
    </row>
    <row r="764" spans="3:9" ht="13.2">
      <c r="C764" s="75"/>
      <c r="D764" s="75"/>
      <c r="E764" s="75"/>
      <c r="F764" s="75"/>
      <c r="G764" s="75"/>
      <c r="H764" s="75"/>
      <c r="I764" s="75"/>
    </row>
    <row r="765" spans="3:9" ht="13.2">
      <c r="C765" s="75"/>
      <c r="D765" s="75"/>
      <c r="E765" s="75"/>
      <c r="F765" s="75"/>
      <c r="G765" s="75"/>
      <c r="H765" s="75"/>
      <c r="I765" s="75"/>
    </row>
    <row r="766" spans="3:9" ht="13.2">
      <c r="C766" s="75"/>
      <c r="D766" s="75"/>
      <c r="E766" s="75"/>
      <c r="F766" s="75"/>
      <c r="G766" s="75"/>
      <c r="H766" s="75"/>
      <c r="I766" s="75"/>
    </row>
    <row r="767" spans="3:9" ht="13.2">
      <c r="C767" s="75"/>
      <c r="D767" s="75"/>
      <c r="E767" s="75"/>
      <c r="F767" s="75"/>
      <c r="G767" s="75"/>
      <c r="H767" s="75"/>
      <c r="I767" s="75"/>
    </row>
    <row r="768" spans="3:9" ht="13.2">
      <c r="C768" s="75"/>
      <c r="D768" s="75"/>
      <c r="E768" s="75"/>
      <c r="F768" s="75"/>
      <c r="G768" s="75"/>
      <c r="H768" s="75"/>
      <c r="I768" s="75"/>
    </row>
    <row r="769" spans="3:9" ht="13.2">
      <c r="C769" s="75"/>
      <c r="D769" s="75"/>
      <c r="E769" s="75"/>
      <c r="F769" s="75"/>
      <c r="G769" s="75"/>
      <c r="H769" s="75"/>
      <c r="I769" s="75"/>
    </row>
    <row r="770" spans="3:9" ht="13.2">
      <c r="C770" s="75"/>
      <c r="D770" s="75"/>
      <c r="E770" s="75"/>
      <c r="F770" s="75"/>
      <c r="G770" s="75"/>
      <c r="H770" s="75"/>
      <c r="I770" s="75"/>
    </row>
    <row r="771" spans="3:9" ht="13.2">
      <c r="C771" s="75"/>
      <c r="D771" s="75"/>
      <c r="E771" s="75"/>
      <c r="F771" s="75"/>
      <c r="G771" s="75"/>
      <c r="H771" s="75"/>
      <c r="I771" s="75"/>
    </row>
    <row r="772" spans="3:9" ht="13.2">
      <c r="C772" s="75"/>
      <c r="D772" s="75"/>
      <c r="E772" s="75"/>
      <c r="F772" s="75"/>
      <c r="G772" s="75"/>
      <c r="H772" s="75"/>
      <c r="I772" s="75"/>
    </row>
    <row r="773" spans="3:9" ht="13.2">
      <c r="C773" s="75"/>
      <c r="D773" s="75"/>
      <c r="E773" s="75"/>
      <c r="F773" s="75"/>
      <c r="G773" s="75"/>
      <c r="H773" s="75"/>
      <c r="I773" s="75"/>
    </row>
    <row r="774" spans="3:9" ht="13.2">
      <c r="C774" s="75"/>
      <c r="D774" s="75"/>
      <c r="E774" s="75"/>
      <c r="F774" s="75"/>
      <c r="G774" s="75"/>
      <c r="H774" s="75"/>
      <c r="I774" s="75"/>
    </row>
    <row r="775" spans="3:9" ht="13.2">
      <c r="C775" s="75"/>
      <c r="D775" s="75"/>
      <c r="E775" s="75"/>
      <c r="F775" s="75"/>
      <c r="G775" s="75"/>
      <c r="H775" s="75"/>
      <c r="I775" s="75"/>
    </row>
    <row r="776" spans="3:9" ht="13.2">
      <c r="C776" s="75"/>
      <c r="D776" s="75"/>
      <c r="E776" s="75"/>
      <c r="F776" s="75"/>
      <c r="G776" s="75"/>
      <c r="H776" s="75"/>
      <c r="I776" s="75"/>
    </row>
    <row r="777" spans="3:9" ht="13.2">
      <c r="C777" s="75"/>
      <c r="D777" s="75"/>
      <c r="E777" s="75"/>
      <c r="F777" s="75"/>
      <c r="G777" s="75"/>
      <c r="H777" s="75"/>
      <c r="I777" s="75"/>
    </row>
    <row r="778" spans="3:9" ht="13.2">
      <c r="C778" s="75"/>
      <c r="D778" s="75"/>
      <c r="E778" s="75"/>
      <c r="F778" s="75"/>
      <c r="G778" s="75"/>
      <c r="H778" s="75"/>
      <c r="I778" s="75"/>
    </row>
    <row r="779" spans="3:9" ht="13.2">
      <c r="C779" s="75"/>
      <c r="D779" s="75"/>
      <c r="E779" s="75"/>
      <c r="F779" s="75"/>
      <c r="G779" s="75"/>
      <c r="H779" s="75"/>
      <c r="I779" s="75"/>
    </row>
    <row r="780" spans="3:9" ht="13.2">
      <c r="C780" s="75"/>
      <c r="D780" s="75"/>
      <c r="E780" s="75"/>
      <c r="F780" s="75"/>
      <c r="G780" s="75"/>
      <c r="H780" s="75"/>
      <c r="I780" s="75"/>
    </row>
    <row r="781" spans="3:9" ht="13.2">
      <c r="C781" s="75"/>
      <c r="D781" s="75"/>
      <c r="E781" s="75"/>
      <c r="F781" s="75"/>
      <c r="G781" s="75"/>
      <c r="H781" s="75"/>
      <c r="I781" s="75"/>
    </row>
    <row r="782" spans="3:9" ht="13.2">
      <c r="C782" s="75"/>
      <c r="D782" s="75"/>
      <c r="E782" s="75"/>
      <c r="F782" s="75"/>
      <c r="G782" s="75"/>
      <c r="H782" s="75"/>
      <c r="I782" s="75"/>
    </row>
    <row r="783" spans="3:9" ht="13.2">
      <c r="C783" s="75"/>
      <c r="D783" s="75"/>
      <c r="E783" s="75"/>
      <c r="F783" s="75"/>
      <c r="G783" s="75"/>
      <c r="H783" s="75"/>
      <c r="I783" s="75"/>
    </row>
    <row r="784" spans="3:9" ht="13.2">
      <c r="C784" s="75"/>
      <c r="D784" s="75"/>
      <c r="E784" s="75"/>
      <c r="F784" s="75"/>
      <c r="G784" s="75"/>
      <c r="H784" s="75"/>
      <c r="I784" s="75"/>
    </row>
    <row r="785" spans="3:9" ht="13.2">
      <c r="C785" s="75"/>
      <c r="D785" s="75"/>
      <c r="E785" s="75"/>
      <c r="F785" s="75"/>
      <c r="G785" s="75"/>
      <c r="H785" s="75"/>
      <c r="I785" s="75"/>
    </row>
    <row r="786" spans="3:9" ht="13.2">
      <c r="C786" s="75"/>
      <c r="D786" s="75"/>
      <c r="E786" s="75"/>
      <c r="F786" s="75"/>
      <c r="G786" s="75"/>
      <c r="H786" s="75"/>
      <c r="I786" s="75"/>
    </row>
    <row r="787" spans="3:9" ht="13.2">
      <c r="C787" s="75"/>
      <c r="D787" s="75"/>
      <c r="E787" s="75"/>
      <c r="F787" s="75"/>
      <c r="G787" s="75"/>
      <c r="H787" s="75"/>
      <c r="I787" s="75"/>
    </row>
    <row r="788" spans="3:9" ht="13.2">
      <c r="C788" s="75"/>
      <c r="D788" s="75"/>
      <c r="E788" s="75"/>
      <c r="F788" s="75"/>
      <c r="G788" s="75"/>
      <c r="H788" s="75"/>
      <c r="I788" s="75"/>
    </row>
    <row r="789" spans="3:9" ht="13.2">
      <c r="C789" s="75"/>
      <c r="D789" s="75"/>
      <c r="E789" s="75"/>
      <c r="F789" s="75"/>
      <c r="G789" s="75"/>
      <c r="H789" s="75"/>
      <c r="I789" s="75"/>
    </row>
    <row r="790" spans="3:9" ht="13.2">
      <c r="C790" s="75"/>
      <c r="D790" s="75"/>
      <c r="E790" s="75"/>
      <c r="F790" s="75"/>
      <c r="G790" s="75"/>
      <c r="H790" s="75"/>
      <c r="I790" s="75"/>
    </row>
    <row r="791" spans="3:9" ht="13.2">
      <c r="C791" s="75"/>
      <c r="D791" s="75"/>
      <c r="E791" s="75"/>
      <c r="F791" s="75"/>
      <c r="G791" s="75"/>
      <c r="H791" s="75"/>
      <c r="I791" s="75"/>
    </row>
    <row r="792" spans="3:9" ht="13.2">
      <c r="C792" s="75"/>
      <c r="D792" s="75"/>
      <c r="E792" s="75"/>
      <c r="F792" s="75"/>
      <c r="G792" s="75"/>
      <c r="H792" s="75"/>
      <c r="I792" s="75"/>
    </row>
    <row r="793" spans="3:9" ht="13.2">
      <c r="C793" s="75"/>
      <c r="D793" s="75"/>
      <c r="E793" s="75"/>
      <c r="F793" s="75"/>
      <c r="G793" s="75"/>
      <c r="H793" s="75"/>
      <c r="I793" s="75"/>
    </row>
    <row r="794" spans="3:9" ht="13.2">
      <c r="C794" s="75"/>
      <c r="D794" s="75"/>
      <c r="E794" s="75"/>
      <c r="F794" s="75"/>
      <c r="G794" s="75"/>
      <c r="H794" s="75"/>
      <c r="I794" s="75"/>
    </row>
    <row r="795" spans="3:9" ht="13.2">
      <c r="C795" s="75"/>
      <c r="D795" s="75"/>
      <c r="E795" s="75"/>
      <c r="F795" s="75"/>
      <c r="G795" s="75"/>
      <c r="H795" s="75"/>
      <c r="I795" s="75"/>
    </row>
    <row r="796" spans="3:9" ht="13.2">
      <c r="C796" s="75"/>
      <c r="D796" s="75"/>
      <c r="E796" s="75"/>
      <c r="F796" s="75"/>
      <c r="G796" s="75"/>
      <c r="H796" s="75"/>
      <c r="I796" s="75"/>
    </row>
    <row r="797" spans="3:9" ht="13.2">
      <c r="C797" s="75"/>
      <c r="D797" s="75"/>
      <c r="E797" s="75"/>
      <c r="F797" s="75"/>
      <c r="G797" s="75"/>
      <c r="H797" s="75"/>
      <c r="I797" s="75"/>
    </row>
    <row r="798" spans="3:9" ht="13.2">
      <c r="C798" s="75"/>
      <c r="D798" s="75"/>
      <c r="E798" s="75"/>
      <c r="F798" s="75"/>
      <c r="G798" s="75"/>
      <c r="H798" s="75"/>
      <c r="I798" s="75"/>
    </row>
    <row r="799" spans="3:9" ht="13.2">
      <c r="C799" s="75"/>
      <c r="D799" s="75"/>
      <c r="E799" s="75"/>
      <c r="F799" s="75"/>
      <c r="G799" s="75"/>
      <c r="H799" s="75"/>
      <c r="I799" s="75"/>
    </row>
    <row r="800" spans="3:9" ht="13.2">
      <c r="C800" s="75"/>
      <c r="D800" s="75"/>
      <c r="E800" s="75"/>
      <c r="F800" s="75"/>
      <c r="G800" s="75"/>
      <c r="H800" s="75"/>
      <c r="I800" s="75"/>
    </row>
    <row r="801" spans="3:9" ht="13.2">
      <c r="C801" s="75"/>
      <c r="D801" s="75"/>
      <c r="E801" s="75"/>
      <c r="F801" s="75"/>
      <c r="G801" s="75"/>
      <c r="H801" s="75"/>
      <c r="I801" s="75"/>
    </row>
    <row r="802" spans="3:9" ht="13.2">
      <c r="C802" s="75"/>
      <c r="D802" s="75"/>
      <c r="E802" s="75"/>
      <c r="F802" s="75"/>
      <c r="G802" s="75"/>
      <c r="H802" s="75"/>
      <c r="I802" s="75"/>
    </row>
    <row r="803" spans="3:9" ht="13.2">
      <c r="C803" s="75"/>
      <c r="D803" s="75"/>
      <c r="E803" s="75"/>
      <c r="F803" s="75"/>
      <c r="G803" s="75"/>
      <c r="H803" s="75"/>
      <c r="I803" s="75"/>
    </row>
    <row r="804" spans="3:9" ht="13.2">
      <c r="C804" s="75"/>
      <c r="D804" s="75"/>
      <c r="E804" s="75"/>
      <c r="F804" s="75"/>
      <c r="G804" s="75"/>
      <c r="H804" s="75"/>
      <c r="I804" s="75"/>
    </row>
    <row r="805" spans="3:9" ht="13.2">
      <c r="C805" s="75"/>
      <c r="D805" s="75"/>
      <c r="E805" s="75"/>
      <c r="F805" s="75"/>
      <c r="G805" s="75"/>
      <c r="H805" s="75"/>
      <c r="I805" s="75"/>
    </row>
    <row r="806" spans="3:9" ht="13.2">
      <c r="C806" s="75"/>
      <c r="D806" s="75"/>
      <c r="E806" s="75"/>
      <c r="F806" s="75"/>
      <c r="G806" s="75"/>
      <c r="H806" s="75"/>
      <c r="I806" s="75"/>
    </row>
    <row r="807" spans="3:9" ht="13.2">
      <c r="C807" s="75"/>
      <c r="D807" s="75"/>
      <c r="E807" s="75"/>
      <c r="F807" s="75"/>
      <c r="G807" s="75"/>
      <c r="H807" s="75"/>
      <c r="I807" s="75"/>
    </row>
    <row r="808" spans="3:9" ht="13.2">
      <c r="C808" s="75"/>
      <c r="D808" s="75"/>
      <c r="E808" s="75"/>
      <c r="F808" s="75"/>
      <c r="G808" s="75"/>
      <c r="H808" s="75"/>
      <c r="I808" s="75"/>
    </row>
    <row r="809" spans="3:9" ht="13.2">
      <c r="C809" s="75"/>
      <c r="D809" s="75"/>
      <c r="E809" s="75"/>
      <c r="F809" s="75"/>
      <c r="G809" s="75"/>
      <c r="H809" s="75"/>
      <c r="I809" s="75"/>
    </row>
    <row r="810" spans="3:9" ht="13.2">
      <c r="C810" s="75"/>
      <c r="D810" s="75"/>
      <c r="E810" s="75"/>
      <c r="F810" s="75"/>
      <c r="G810" s="75"/>
      <c r="H810" s="75"/>
      <c r="I810" s="75"/>
    </row>
    <row r="811" spans="3:9" ht="13.2">
      <c r="C811" s="75"/>
      <c r="D811" s="75"/>
      <c r="E811" s="75"/>
      <c r="F811" s="75"/>
      <c r="G811" s="75"/>
      <c r="H811" s="75"/>
      <c r="I811" s="75"/>
    </row>
    <row r="812" spans="3:9" ht="13.2">
      <c r="C812" s="75"/>
      <c r="D812" s="75"/>
      <c r="E812" s="75"/>
      <c r="F812" s="75"/>
      <c r="G812" s="75"/>
      <c r="H812" s="75"/>
      <c r="I812" s="75"/>
    </row>
    <row r="813" spans="3:9" ht="13.2">
      <c r="C813" s="75"/>
      <c r="D813" s="75"/>
      <c r="E813" s="75"/>
      <c r="F813" s="75"/>
      <c r="G813" s="75"/>
      <c r="H813" s="75"/>
      <c r="I813" s="75"/>
    </row>
    <row r="814" spans="3:9" ht="13.2">
      <c r="C814" s="75"/>
      <c r="D814" s="75"/>
      <c r="E814" s="75"/>
      <c r="F814" s="75"/>
      <c r="G814" s="75"/>
      <c r="H814" s="75"/>
      <c r="I814" s="75"/>
    </row>
    <row r="815" spans="3:9" ht="13.2">
      <c r="C815" s="75"/>
      <c r="D815" s="75"/>
      <c r="E815" s="75"/>
      <c r="F815" s="75"/>
      <c r="G815" s="75"/>
      <c r="H815" s="75"/>
      <c r="I815" s="75"/>
    </row>
    <row r="816" spans="3:9" ht="13.2">
      <c r="C816" s="75"/>
      <c r="D816" s="75"/>
      <c r="E816" s="75"/>
      <c r="F816" s="75"/>
      <c r="G816" s="75"/>
      <c r="H816" s="75"/>
      <c r="I816" s="75"/>
    </row>
    <row r="817" spans="3:9" ht="13.2">
      <c r="C817" s="75"/>
      <c r="D817" s="75"/>
      <c r="E817" s="75"/>
      <c r="F817" s="75"/>
      <c r="G817" s="75"/>
      <c r="H817" s="75"/>
      <c r="I817" s="75"/>
    </row>
    <row r="818" spans="3:9" ht="13.2">
      <c r="C818" s="75"/>
      <c r="D818" s="75"/>
      <c r="E818" s="75"/>
      <c r="F818" s="75"/>
      <c r="G818" s="75"/>
      <c r="H818" s="75"/>
      <c r="I818" s="75"/>
    </row>
    <row r="819" spans="3:9" ht="13.2">
      <c r="C819" s="75"/>
      <c r="D819" s="75"/>
      <c r="E819" s="75"/>
      <c r="F819" s="75"/>
      <c r="G819" s="75"/>
      <c r="H819" s="75"/>
      <c r="I819" s="75"/>
    </row>
    <row r="820" spans="3:9" ht="13.2">
      <c r="C820" s="75"/>
      <c r="D820" s="75"/>
      <c r="E820" s="75"/>
      <c r="F820" s="75"/>
      <c r="G820" s="75"/>
      <c r="H820" s="75"/>
      <c r="I820" s="75"/>
    </row>
    <row r="821" spans="3:9" ht="13.2">
      <c r="C821" s="75"/>
      <c r="D821" s="75"/>
      <c r="E821" s="75"/>
      <c r="F821" s="75"/>
      <c r="G821" s="75"/>
      <c r="H821" s="75"/>
      <c r="I821" s="75"/>
    </row>
    <row r="822" spans="3:9" ht="13.2">
      <c r="C822" s="75"/>
      <c r="D822" s="75"/>
      <c r="E822" s="75"/>
      <c r="F822" s="75"/>
      <c r="G822" s="75"/>
      <c r="H822" s="75"/>
      <c r="I822" s="75"/>
    </row>
    <row r="823" spans="3:9" ht="13.2">
      <c r="C823" s="75"/>
      <c r="D823" s="75"/>
      <c r="E823" s="75"/>
      <c r="F823" s="75"/>
      <c r="G823" s="75"/>
      <c r="H823" s="75"/>
      <c r="I823" s="75"/>
    </row>
    <row r="824" spans="3:9" ht="13.2">
      <c r="C824" s="75"/>
      <c r="D824" s="75"/>
      <c r="E824" s="75"/>
      <c r="F824" s="75"/>
      <c r="G824" s="75"/>
      <c r="H824" s="75"/>
      <c r="I824" s="75"/>
    </row>
    <row r="825" spans="3:9" ht="13.2">
      <c r="C825" s="75"/>
      <c r="D825" s="75"/>
      <c r="E825" s="75"/>
      <c r="F825" s="75"/>
      <c r="G825" s="75"/>
      <c r="H825" s="75"/>
      <c r="I825" s="75"/>
    </row>
    <row r="826" spans="3:9" ht="13.2">
      <c r="C826" s="75"/>
      <c r="D826" s="75"/>
      <c r="E826" s="75"/>
      <c r="F826" s="75"/>
      <c r="G826" s="75"/>
      <c r="H826" s="75"/>
      <c r="I826" s="75"/>
    </row>
    <row r="827" spans="3:9" ht="13.2">
      <c r="C827" s="75"/>
      <c r="D827" s="75"/>
      <c r="E827" s="75"/>
      <c r="F827" s="75"/>
      <c r="G827" s="75"/>
      <c r="H827" s="75"/>
      <c r="I827" s="75"/>
    </row>
    <row r="828" spans="3:9" ht="13.2">
      <c r="C828" s="75"/>
      <c r="D828" s="75"/>
      <c r="E828" s="75"/>
      <c r="F828" s="75"/>
      <c r="G828" s="75"/>
      <c r="H828" s="75"/>
      <c r="I828" s="75"/>
    </row>
    <row r="829" spans="3:9" ht="13.2">
      <c r="C829" s="75"/>
      <c r="D829" s="75"/>
      <c r="E829" s="75"/>
      <c r="F829" s="75"/>
      <c r="G829" s="75"/>
      <c r="H829" s="75"/>
      <c r="I829" s="75"/>
    </row>
    <row r="830" spans="3:9" ht="13.2">
      <c r="C830" s="75"/>
      <c r="D830" s="75"/>
      <c r="E830" s="75"/>
      <c r="F830" s="75"/>
      <c r="G830" s="75"/>
      <c r="H830" s="75"/>
      <c r="I830" s="75"/>
    </row>
    <row r="831" spans="3:9" ht="13.2">
      <c r="C831" s="75"/>
      <c r="D831" s="75"/>
      <c r="E831" s="75"/>
      <c r="F831" s="75"/>
      <c r="G831" s="75"/>
      <c r="H831" s="75"/>
      <c r="I831" s="75"/>
    </row>
    <row r="832" spans="3:9" ht="13.2">
      <c r="C832" s="75"/>
      <c r="D832" s="75"/>
      <c r="E832" s="75"/>
      <c r="F832" s="75"/>
      <c r="G832" s="75"/>
      <c r="H832" s="75"/>
      <c r="I832" s="75"/>
    </row>
    <row r="833" spans="3:9" ht="13.2">
      <c r="C833" s="75"/>
      <c r="D833" s="75"/>
      <c r="E833" s="75"/>
      <c r="F833" s="75"/>
      <c r="G833" s="75"/>
      <c r="H833" s="75"/>
      <c r="I833" s="75"/>
    </row>
    <row r="834" spans="3:9" ht="13.2">
      <c r="C834" s="75"/>
      <c r="D834" s="75"/>
      <c r="E834" s="75"/>
      <c r="F834" s="75"/>
      <c r="G834" s="75"/>
      <c r="H834" s="75"/>
      <c r="I834" s="75"/>
    </row>
    <row r="835" spans="3:9" ht="13.2">
      <c r="C835" s="75"/>
      <c r="D835" s="75"/>
      <c r="E835" s="75"/>
      <c r="F835" s="75"/>
      <c r="G835" s="75"/>
      <c r="H835" s="75"/>
      <c r="I835" s="75"/>
    </row>
    <row r="836" spans="3:9" ht="13.2">
      <c r="C836" s="75"/>
      <c r="D836" s="75"/>
      <c r="E836" s="75"/>
      <c r="F836" s="75"/>
      <c r="G836" s="75"/>
      <c r="H836" s="75"/>
      <c r="I836" s="75"/>
    </row>
    <row r="837" spans="3:9" ht="13.2">
      <c r="C837" s="75"/>
      <c r="D837" s="75"/>
      <c r="E837" s="75"/>
      <c r="F837" s="75"/>
      <c r="G837" s="75"/>
      <c r="H837" s="75"/>
      <c r="I837" s="75"/>
    </row>
    <row r="838" spans="3:9" ht="13.2">
      <c r="C838" s="75"/>
      <c r="D838" s="75"/>
      <c r="E838" s="75"/>
      <c r="F838" s="75"/>
      <c r="G838" s="75"/>
      <c r="H838" s="75"/>
      <c r="I838" s="75"/>
    </row>
    <row r="839" spans="3:9" ht="13.2">
      <c r="C839" s="75"/>
      <c r="D839" s="75"/>
      <c r="E839" s="75"/>
      <c r="F839" s="75"/>
      <c r="G839" s="75"/>
      <c r="H839" s="75"/>
      <c r="I839" s="75"/>
    </row>
    <row r="840" spans="3:9" ht="13.2">
      <c r="C840" s="75"/>
      <c r="D840" s="75"/>
      <c r="E840" s="75"/>
      <c r="F840" s="75"/>
      <c r="G840" s="75"/>
      <c r="H840" s="75"/>
      <c r="I840" s="75"/>
    </row>
    <row r="841" spans="3:9" ht="13.2">
      <c r="C841" s="75"/>
      <c r="D841" s="75"/>
      <c r="E841" s="75"/>
      <c r="F841" s="75"/>
      <c r="G841" s="75"/>
      <c r="H841" s="75"/>
      <c r="I841" s="75"/>
    </row>
    <row r="842" spans="3:9" ht="13.2">
      <c r="C842" s="75"/>
      <c r="D842" s="75"/>
      <c r="E842" s="75"/>
      <c r="F842" s="75"/>
      <c r="G842" s="75"/>
      <c r="H842" s="75"/>
      <c r="I842" s="75"/>
    </row>
    <row r="843" spans="3:9" ht="13.2">
      <c r="C843" s="75"/>
      <c r="D843" s="75"/>
      <c r="E843" s="75"/>
      <c r="F843" s="75"/>
      <c r="G843" s="75"/>
      <c r="H843" s="75"/>
      <c r="I843" s="75"/>
    </row>
    <row r="844" spans="3:9" ht="13.2">
      <c r="C844" s="75"/>
      <c r="D844" s="75"/>
      <c r="E844" s="75"/>
      <c r="F844" s="75"/>
      <c r="G844" s="75"/>
      <c r="H844" s="75"/>
      <c r="I844" s="75"/>
    </row>
    <row r="845" spans="3:9" ht="13.2">
      <c r="C845" s="75"/>
      <c r="D845" s="75"/>
      <c r="E845" s="75"/>
      <c r="F845" s="75"/>
      <c r="G845" s="75"/>
      <c r="H845" s="75"/>
      <c r="I845" s="75"/>
    </row>
    <row r="846" spans="3:9" ht="13.2">
      <c r="C846" s="75"/>
      <c r="D846" s="75"/>
      <c r="E846" s="75"/>
      <c r="F846" s="75"/>
      <c r="G846" s="75"/>
      <c r="H846" s="75"/>
      <c r="I846" s="75"/>
    </row>
    <row r="847" spans="3:9" ht="13.2">
      <c r="C847" s="75"/>
      <c r="D847" s="75"/>
      <c r="E847" s="75"/>
      <c r="F847" s="75"/>
      <c r="G847" s="75"/>
      <c r="H847" s="75"/>
      <c r="I847" s="75"/>
    </row>
    <row r="848" spans="3:9" ht="13.2">
      <c r="C848" s="75"/>
      <c r="D848" s="75"/>
      <c r="E848" s="75"/>
      <c r="F848" s="75"/>
      <c r="G848" s="75"/>
      <c r="H848" s="75"/>
      <c r="I848" s="75"/>
    </row>
    <row r="849" spans="3:9" ht="13.2">
      <c r="C849" s="75"/>
      <c r="D849" s="75"/>
      <c r="E849" s="75"/>
      <c r="F849" s="75"/>
      <c r="G849" s="75"/>
      <c r="H849" s="75"/>
      <c r="I849" s="75"/>
    </row>
    <row r="850" spans="3:9" ht="13.2">
      <c r="C850" s="75"/>
      <c r="D850" s="75"/>
      <c r="E850" s="75"/>
      <c r="F850" s="75"/>
      <c r="G850" s="75"/>
      <c r="H850" s="75"/>
      <c r="I850" s="75"/>
    </row>
    <row r="851" spans="3:9" ht="13.2">
      <c r="C851" s="75"/>
      <c r="D851" s="75"/>
      <c r="E851" s="75"/>
      <c r="F851" s="75"/>
      <c r="G851" s="75"/>
      <c r="H851" s="75"/>
      <c r="I851" s="75"/>
    </row>
    <row r="852" spans="3:9" ht="13.2">
      <c r="C852" s="75"/>
      <c r="D852" s="75"/>
      <c r="E852" s="75"/>
      <c r="F852" s="75"/>
      <c r="G852" s="75"/>
      <c r="H852" s="75"/>
      <c r="I852" s="75"/>
    </row>
    <row r="853" spans="3:9" ht="13.2">
      <c r="C853" s="75"/>
      <c r="D853" s="75"/>
      <c r="E853" s="75"/>
      <c r="F853" s="75"/>
      <c r="G853" s="75"/>
      <c r="H853" s="75"/>
      <c r="I853" s="75"/>
    </row>
    <row r="854" spans="3:9" ht="13.2">
      <c r="C854" s="75"/>
      <c r="D854" s="75"/>
      <c r="E854" s="75"/>
      <c r="F854" s="75"/>
      <c r="G854" s="75"/>
      <c r="H854" s="75"/>
      <c r="I854" s="75"/>
    </row>
    <row r="855" spans="3:9" ht="13.2">
      <c r="C855" s="75"/>
      <c r="D855" s="75"/>
      <c r="E855" s="75"/>
      <c r="F855" s="75"/>
      <c r="G855" s="75"/>
      <c r="H855" s="75"/>
      <c r="I855" s="75"/>
    </row>
    <row r="856" spans="3:9" ht="13.2">
      <c r="C856" s="75"/>
      <c r="D856" s="75"/>
      <c r="E856" s="75"/>
      <c r="F856" s="75"/>
      <c r="G856" s="75"/>
      <c r="H856" s="75"/>
      <c r="I856" s="75"/>
    </row>
    <row r="857" spans="3:9" ht="13.2">
      <c r="C857" s="75"/>
      <c r="D857" s="75"/>
      <c r="E857" s="75"/>
      <c r="F857" s="75"/>
      <c r="G857" s="75"/>
      <c r="H857" s="75"/>
      <c r="I857" s="75"/>
    </row>
    <row r="858" spans="3:9" ht="13.2">
      <c r="C858" s="75"/>
      <c r="D858" s="75"/>
      <c r="E858" s="75"/>
      <c r="F858" s="75"/>
      <c r="G858" s="75"/>
      <c r="H858" s="75"/>
      <c r="I858" s="75"/>
    </row>
    <row r="859" spans="3:9" ht="13.2">
      <c r="C859" s="75"/>
      <c r="D859" s="75"/>
      <c r="E859" s="75"/>
      <c r="F859" s="75"/>
      <c r="G859" s="75"/>
      <c r="H859" s="75"/>
      <c r="I859" s="75"/>
    </row>
    <row r="860" spans="3:9" ht="13.2">
      <c r="C860" s="75"/>
      <c r="D860" s="75"/>
      <c r="E860" s="75"/>
      <c r="F860" s="75"/>
      <c r="G860" s="75"/>
      <c r="H860" s="75"/>
      <c r="I860" s="75"/>
    </row>
    <row r="861" spans="3:9" ht="13.2">
      <c r="C861" s="75"/>
      <c r="D861" s="75"/>
      <c r="E861" s="75"/>
      <c r="F861" s="75"/>
      <c r="G861" s="75"/>
      <c r="H861" s="75"/>
      <c r="I861" s="75"/>
    </row>
    <row r="862" spans="3:9" ht="13.2">
      <c r="C862" s="75"/>
      <c r="D862" s="75"/>
      <c r="E862" s="75"/>
      <c r="F862" s="75"/>
      <c r="G862" s="75"/>
      <c r="H862" s="75"/>
      <c r="I862" s="75"/>
    </row>
    <row r="863" spans="3:9" ht="13.2">
      <c r="C863" s="75"/>
      <c r="D863" s="75"/>
      <c r="E863" s="75"/>
      <c r="F863" s="75"/>
      <c r="G863" s="75"/>
      <c r="H863" s="75"/>
      <c r="I863" s="75"/>
    </row>
    <row r="864" spans="3:9" ht="13.2">
      <c r="C864" s="75"/>
      <c r="D864" s="75"/>
      <c r="E864" s="75"/>
      <c r="F864" s="75"/>
      <c r="G864" s="75"/>
      <c r="H864" s="75"/>
      <c r="I864" s="75"/>
    </row>
    <row r="865" spans="3:9" ht="13.2">
      <c r="C865" s="75"/>
      <c r="D865" s="75"/>
      <c r="E865" s="75"/>
      <c r="F865" s="75"/>
      <c r="G865" s="75"/>
      <c r="H865" s="75"/>
      <c r="I865" s="75"/>
    </row>
    <row r="866" spans="3:9" ht="13.2">
      <c r="C866" s="75"/>
      <c r="D866" s="75"/>
      <c r="E866" s="75"/>
      <c r="F866" s="75"/>
      <c r="G866" s="75"/>
      <c r="H866" s="75"/>
      <c r="I866" s="75"/>
    </row>
    <row r="867" spans="3:9" ht="13.2">
      <c r="C867" s="75"/>
      <c r="D867" s="75"/>
      <c r="E867" s="75"/>
      <c r="F867" s="75"/>
      <c r="G867" s="75"/>
      <c r="H867" s="75"/>
      <c r="I867" s="75"/>
    </row>
    <row r="868" spans="3:9" ht="13.2">
      <c r="C868" s="75"/>
      <c r="D868" s="75"/>
      <c r="E868" s="75"/>
      <c r="F868" s="75"/>
      <c r="G868" s="75"/>
      <c r="H868" s="75"/>
      <c r="I868" s="75"/>
    </row>
    <row r="869" spans="3:9" ht="13.2">
      <c r="C869" s="75"/>
      <c r="D869" s="75"/>
      <c r="E869" s="75"/>
      <c r="F869" s="75"/>
      <c r="G869" s="75"/>
      <c r="H869" s="75"/>
      <c r="I869" s="75"/>
    </row>
    <row r="870" spans="3:9" ht="13.2">
      <c r="C870" s="75"/>
      <c r="D870" s="75"/>
      <c r="E870" s="75"/>
      <c r="F870" s="75"/>
      <c r="G870" s="75"/>
      <c r="H870" s="75"/>
      <c r="I870" s="75"/>
    </row>
    <row r="871" spans="3:9" ht="13.2">
      <c r="C871" s="75"/>
      <c r="D871" s="75"/>
      <c r="E871" s="75"/>
      <c r="F871" s="75"/>
      <c r="G871" s="75"/>
      <c r="H871" s="75"/>
      <c r="I871" s="75"/>
    </row>
    <row r="872" spans="3:9" ht="13.2">
      <c r="C872" s="75"/>
      <c r="D872" s="75"/>
      <c r="E872" s="75"/>
      <c r="F872" s="75"/>
      <c r="G872" s="75"/>
      <c r="H872" s="75"/>
      <c r="I872" s="75"/>
    </row>
    <row r="873" spans="3:9" ht="13.2">
      <c r="C873" s="75"/>
      <c r="D873" s="75"/>
      <c r="E873" s="75"/>
      <c r="F873" s="75"/>
      <c r="G873" s="75"/>
      <c r="H873" s="75"/>
      <c r="I873" s="75"/>
    </row>
    <row r="874" spans="3:9" ht="13.2">
      <c r="C874" s="75"/>
      <c r="D874" s="75"/>
      <c r="E874" s="75"/>
      <c r="F874" s="75"/>
      <c r="G874" s="75"/>
      <c r="H874" s="75"/>
      <c r="I874" s="75"/>
    </row>
    <row r="875" spans="3:9" ht="13.2">
      <c r="C875" s="75"/>
      <c r="D875" s="75"/>
      <c r="E875" s="75"/>
      <c r="F875" s="75"/>
      <c r="G875" s="75"/>
      <c r="H875" s="75"/>
      <c r="I875" s="75"/>
    </row>
    <row r="876" spans="3:9" ht="13.2">
      <c r="C876" s="75"/>
      <c r="D876" s="75"/>
      <c r="E876" s="75"/>
      <c r="F876" s="75"/>
      <c r="G876" s="75"/>
      <c r="H876" s="75"/>
      <c r="I876" s="75"/>
    </row>
    <row r="877" spans="3:9" ht="13.2">
      <c r="C877" s="75"/>
      <c r="D877" s="75"/>
      <c r="E877" s="75"/>
      <c r="F877" s="75"/>
      <c r="G877" s="75"/>
      <c r="H877" s="75"/>
      <c r="I877" s="75"/>
    </row>
    <row r="878" spans="3:9" ht="13.2">
      <c r="C878" s="75"/>
      <c r="D878" s="75"/>
      <c r="E878" s="75"/>
      <c r="F878" s="75"/>
      <c r="G878" s="75"/>
      <c r="H878" s="75"/>
      <c r="I878" s="75"/>
    </row>
    <row r="879" spans="3:9" ht="13.2">
      <c r="C879" s="75"/>
      <c r="D879" s="75"/>
      <c r="E879" s="75"/>
      <c r="F879" s="75"/>
      <c r="G879" s="75"/>
      <c r="H879" s="75"/>
      <c r="I879" s="75"/>
    </row>
    <row r="880" spans="3:9" ht="13.2">
      <c r="C880" s="75"/>
      <c r="D880" s="75"/>
      <c r="E880" s="75"/>
      <c r="F880" s="75"/>
      <c r="G880" s="75"/>
      <c r="H880" s="75"/>
      <c r="I880" s="75"/>
    </row>
    <row r="881" spans="3:9" ht="13.2">
      <c r="C881" s="75"/>
      <c r="D881" s="75"/>
      <c r="E881" s="75"/>
      <c r="F881" s="75"/>
      <c r="G881" s="75"/>
      <c r="H881" s="75"/>
      <c r="I881" s="75"/>
    </row>
    <row r="882" spans="3:9" ht="13.2">
      <c r="C882" s="75"/>
      <c r="D882" s="75"/>
      <c r="E882" s="75"/>
      <c r="F882" s="75"/>
      <c r="G882" s="75"/>
      <c r="H882" s="75"/>
      <c r="I882" s="75"/>
    </row>
    <row r="883" spans="3:9" ht="13.2">
      <c r="C883" s="75"/>
      <c r="D883" s="75"/>
      <c r="E883" s="75"/>
      <c r="F883" s="75"/>
      <c r="G883" s="75"/>
      <c r="H883" s="75"/>
      <c r="I883" s="75"/>
    </row>
    <row r="884" spans="3:9" ht="13.2">
      <c r="C884" s="75"/>
      <c r="D884" s="75"/>
      <c r="E884" s="75"/>
      <c r="F884" s="75"/>
      <c r="G884" s="75"/>
      <c r="H884" s="75"/>
      <c r="I884" s="75"/>
    </row>
    <row r="885" spans="3:9" ht="13.2">
      <c r="C885" s="75"/>
      <c r="D885" s="75"/>
      <c r="E885" s="75"/>
      <c r="F885" s="75"/>
      <c r="G885" s="75"/>
      <c r="H885" s="75"/>
      <c r="I885" s="75"/>
    </row>
    <row r="886" spans="3:9" ht="13.2">
      <c r="C886" s="75"/>
      <c r="D886" s="75"/>
      <c r="E886" s="75"/>
      <c r="F886" s="75"/>
      <c r="G886" s="75"/>
      <c r="H886" s="75"/>
      <c r="I886" s="75"/>
    </row>
    <row r="887" spans="3:9" ht="13.2">
      <c r="C887" s="75"/>
      <c r="D887" s="75"/>
      <c r="E887" s="75"/>
      <c r="F887" s="75"/>
      <c r="G887" s="75"/>
      <c r="H887" s="75"/>
      <c r="I887" s="75"/>
    </row>
    <row r="888" spans="3:9" ht="13.2">
      <c r="C888" s="75"/>
      <c r="D888" s="75"/>
      <c r="E888" s="75"/>
      <c r="F888" s="75"/>
      <c r="G888" s="75"/>
      <c r="H888" s="75"/>
      <c r="I888" s="75"/>
    </row>
    <row r="889" spans="3:9" ht="13.2">
      <c r="C889" s="75"/>
      <c r="D889" s="75"/>
      <c r="E889" s="75"/>
      <c r="F889" s="75"/>
      <c r="G889" s="75"/>
      <c r="H889" s="75"/>
      <c r="I889" s="75"/>
    </row>
    <row r="890" spans="3:9" ht="13.2">
      <c r="C890" s="75"/>
      <c r="D890" s="75"/>
      <c r="E890" s="75"/>
      <c r="F890" s="75"/>
      <c r="G890" s="75"/>
      <c r="H890" s="75"/>
      <c r="I890" s="75"/>
    </row>
    <row r="891" spans="3:9" ht="13.2">
      <c r="C891" s="75"/>
      <c r="D891" s="75"/>
      <c r="E891" s="75"/>
      <c r="F891" s="75"/>
      <c r="G891" s="75"/>
      <c r="H891" s="75"/>
      <c r="I891" s="75"/>
    </row>
    <row r="892" spans="3:9" ht="13.2">
      <c r="C892" s="75"/>
      <c r="D892" s="75"/>
      <c r="E892" s="75"/>
      <c r="F892" s="75"/>
      <c r="G892" s="75"/>
      <c r="H892" s="75"/>
      <c r="I892" s="75"/>
    </row>
    <row r="893" spans="3:9" ht="13.2">
      <c r="C893" s="75"/>
      <c r="D893" s="75"/>
      <c r="E893" s="75"/>
      <c r="F893" s="75"/>
      <c r="G893" s="75"/>
      <c r="H893" s="75"/>
      <c r="I893" s="75"/>
    </row>
    <row r="894" spans="3:9" ht="13.2">
      <c r="C894" s="75"/>
      <c r="D894" s="75"/>
      <c r="E894" s="75"/>
      <c r="F894" s="75"/>
      <c r="G894" s="75"/>
      <c r="H894" s="75"/>
      <c r="I894" s="75"/>
    </row>
    <row r="895" spans="3:9" ht="13.2">
      <c r="C895" s="75"/>
      <c r="D895" s="75"/>
      <c r="E895" s="75"/>
      <c r="F895" s="75"/>
      <c r="G895" s="75"/>
      <c r="H895" s="75"/>
      <c r="I895" s="75"/>
    </row>
    <row r="896" spans="3:9" ht="13.2">
      <c r="C896" s="75"/>
      <c r="D896" s="75"/>
      <c r="E896" s="75"/>
      <c r="F896" s="75"/>
      <c r="G896" s="75"/>
      <c r="H896" s="75"/>
      <c r="I896" s="75"/>
    </row>
    <row r="897" spans="3:9" ht="13.2">
      <c r="C897" s="75"/>
      <c r="D897" s="75"/>
      <c r="E897" s="75"/>
      <c r="F897" s="75"/>
      <c r="G897" s="75"/>
      <c r="H897" s="75"/>
      <c r="I897" s="75"/>
    </row>
    <row r="898" spans="3:9" ht="13.2">
      <c r="C898" s="75"/>
      <c r="D898" s="75"/>
      <c r="E898" s="75"/>
      <c r="F898" s="75"/>
      <c r="G898" s="75"/>
      <c r="H898" s="75"/>
      <c r="I898" s="75"/>
    </row>
    <row r="899" spans="3:9" ht="13.2">
      <c r="C899" s="75"/>
      <c r="D899" s="75"/>
      <c r="E899" s="75"/>
      <c r="F899" s="75"/>
      <c r="G899" s="75"/>
      <c r="H899" s="75"/>
      <c r="I899" s="75"/>
    </row>
    <row r="900" spans="3:9" ht="13.2">
      <c r="C900" s="75"/>
      <c r="D900" s="75"/>
      <c r="E900" s="75"/>
      <c r="F900" s="75"/>
      <c r="G900" s="75"/>
      <c r="H900" s="75"/>
      <c r="I900" s="75"/>
    </row>
    <row r="901" spans="3:9" ht="13.2">
      <c r="C901" s="75"/>
      <c r="D901" s="75"/>
      <c r="E901" s="75"/>
      <c r="F901" s="75"/>
      <c r="G901" s="75"/>
      <c r="H901" s="75"/>
      <c r="I901" s="75"/>
    </row>
    <row r="902" spans="3:9" ht="13.2">
      <c r="C902" s="75"/>
      <c r="D902" s="75"/>
      <c r="E902" s="75"/>
      <c r="F902" s="75"/>
      <c r="G902" s="75"/>
      <c r="H902" s="75"/>
      <c r="I902" s="75"/>
    </row>
    <row r="903" spans="3:9" ht="13.2">
      <c r="C903" s="75"/>
      <c r="D903" s="75"/>
      <c r="E903" s="75"/>
      <c r="F903" s="75"/>
      <c r="G903" s="75"/>
      <c r="H903" s="75"/>
      <c r="I903" s="75"/>
    </row>
    <row r="904" spans="3:9" ht="13.2">
      <c r="C904" s="75"/>
      <c r="D904" s="75"/>
      <c r="E904" s="75"/>
      <c r="F904" s="75"/>
      <c r="G904" s="75"/>
      <c r="H904" s="75"/>
      <c r="I904" s="75"/>
    </row>
    <row r="905" spans="3:9" ht="13.2">
      <c r="C905" s="75"/>
      <c r="D905" s="75"/>
      <c r="E905" s="75"/>
      <c r="F905" s="75"/>
      <c r="G905" s="75"/>
      <c r="H905" s="75"/>
      <c r="I905" s="75"/>
    </row>
    <row r="906" spans="3:9" ht="13.2">
      <c r="C906" s="75"/>
      <c r="D906" s="75"/>
      <c r="E906" s="75"/>
      <c r="F906" s="75"/>
      <c r="G906" s="75"/>
      <c r="H906" s="75"/>
      <c r="I906" s="75"/>
    </row>
    <row r="907" spans="3:9" ht="13.2">
      <c r="C907" s="75"/>
      <c r="D907" s="75"/>
      <c r="E907" s="75"/>
      <c r="F907" s="75"/>
      <c r="G907" s="75"/>
      <c r="H907" s="75"/>
      <c r="I907" s="75"/>
    </row>
    <row r="908" spans="3:9" ht="13.2">
      <c r="C908" s="75"/>
      <c r="D908" s="75"/>
      <c r="E908" s="75"/>
      <c r="F908" s="75"/>
      <c r="G908" s="75"/>
      <c r="H908" s="75"/>
      <c r="I908" s="75"/>
    </row>
    <row r="909" spans="3:9" ht="13.2">
      <c r="C909" s="75"/>
      <c r="D909" s="75"/>
      <c r="E909" s="75"/>
      <c r="F909" s="75"/>
      <c r="G909" s="75"/>
      <c r="H909" s="75"/>
      <c r="I909" s="75"/>
    </row>
    <row r="910" spans="3:9" ht="13.2">
      <c r="C910" s="75"/>
      <c r="D910" s="75"/>
      <c r="E910" s="75"/>
      <c r="F910" s="75"/>
      <c r="G910" s="75"/>
      <c r="H910" s="75"/>
      <c r="I910" s="75"/>
    </row>
    <row r="911" spans="3:9" ht="13.2">
      <c r="C911" s="75"/>
      <c r="D911" s="75"/>
      <c r="E911" s="75"/>
      <c r="F911" s="75"/>
      <c r="G911" s="75"/>
      <c r="H911" s="75"/>
      <c r="I911" s="75"/>
    </row>
    <row r="912" spans="3:9" ht="13.2">
      <c r="C912" s="75"/>
      <c r="D912" s="75"/>
      <c r="E912" s="75"/>
      <c r="F912" s="75"/>
      <c r="G912" s="75"/>
      <c r="H912" s="75"/>
      <c r="I912" s="75"/>
    </row>
    <row r="913" spans="3:9" ht="13.2">
      <c r="C913" s="75"/>
      <c r="D913" s="75"/>
      <c r="E913" s="75"/>
      <c r="F913" s="75"/>
      <c r="G913" s="75"/>
      <c r="H913" s="75"/>
      <c r="I913" s="75"/>
    </row>
    <row r="914" spans="3:9" ht="13.2">
      <c r="C914" s="75"/>
      <c r="D914" s="75"/>
      <c r="E914" s="75"/>
      <c r="F914" s="75"/>
      <c r="G914" s="75"/>
      <c r="H914" s="75"/>
      <c r="I914" s="75"/>
    </row>
    <row r="915" spans="3:9" ht="13.2">
      <c r="C915" s="75"/>
      <c r="D915" s="75"/>
      <c r="E915" s="75"/>
      <c r="F915" s="75"/>
      <c r="G915" s="75"/>
      <c r="H915" s="75"/>
      <c r="I915" s="75"/>
    </row>
    <row r="916" spans="3:9" ht="13.2">
      <c r="C916" s="75"/>
      <c r="D916" s="75"/>
      <c r="E916" s="75"/>
      <c r="F916" s="75"/>
      <c r="G916" s="75"/>
      <c r="H916" s="75"/>
      <c r="I916" s="75"/>
    </row>
    <row r="917" spans="3:9" ht="13.2">
      <c r="C917" s="75"/>
      <c r="D917" s="75"/>
      <c r="E917" s="75"/>
      <c r="F917" s="75"/>
      <c r="G917" s="75"/>
      <c r="H917" s="75"/>
      <c r="I917" s="75"/>
    </row>
    <row r="918" spans="3:9" ht="13.2">
      <c r="C918" s="75"/>
      <c r="D918" s="75"/>
      <c r="E918" s="75"/>
      <c r="F918" s="75"/>
      <c r="G918" s="75"/>
      <c r="H918" s="75"/>
      <c r="I918" s="75"/>
    </row>
    <row r="919" spans="3:9" ht="13.2">
      <c r="C919" s="75"/>
      <c r="D919" s="75"/>
      <c r="E919" s="75"/>
      <c r="F919" s="75"/>
      <c r="G919" s="75"/>
      <c r="H919" s="75"/>
      <c r="I919" s="75"/>
    </row>
    <row r="920" spans="3:9" ht="13.2">
      <c r="C920" s="75"/>
      <c r="D920" s="75"/>
      <c r="E920" s="75"/>
      <c r="F920" s="75"/>
      <c r="G920" s="75"/>
      <c r="H920" s="75"/>
      <c r="I920" s="75"/>
    </row>
    <row r="921" spans="3:9" ht="13.2">
      <c r="C921" s="75"/>
      <c r="D921" s="75"/>
      <c r="E921" s="75"/>
      <c r="F921" s="75"/>
      <c r="G921" s="75"/>
      <c r="H921" s="75"/>
      <c r="I921" s="75"/>
    </row>
    <row r="922" spans="3:9" ht="13.2">
      <c r="C922" s="75"/>
      <c r="D922" s="75"/>
      <c r="E922" s="75"/>
      <c r="F922" s="75"/>
      <c r="G922" s="75"/>
      <c r="H922" s="75"/>
      <c r="I922" s="75"/>
    </row>
    <row r="923" spans="3:9" ht="13.2">
      <c r="C923" s="75"/>
      <c r="D923" s="75"/>
      <c r="E923" s="75"/>
      <c r="F923" s="75"/>
      <c r="G923" s="75"/>
      <c r="H923" s="75"/>
      <c r="I923" s="75"/>
    </row>
    <row r="924" spans="3:9" ht="13.2">
      <c r="C924" s="75"/>
      <c r="D924" s="75"/>
      <c r="E924" s="75"/>
      <c r="F924" s="75"/>
      <c r="G924" s="75"/>
      <c r="H924" s="75"/>
      <c r="I924" s="75"/>
    </row>
    <row r="925" spans="3:9" ht="13.2">
      <c r="C925" s="75"/>
      <c r="D925" s="75"/>
      <c r="E925" s="75"/>
      <c r="F925" s="75"/>
      <c r="G925" s="75"/>
      <c r="H925" s="75"/>
      <c r="I925" s="75"/>
    </row>
    <row r="926" spans="3:9" ht="13.2">
      <c r="C926" s="75"/>
      <c r="D926" s="75"/>
      <c r="E926" s="75"/>
      <c r="F926" s="75"/>
      <c r="G926" s="75"/>
      <c r="H926" s="75"/>
      <c r="I926" s="75"/>
    </row>
    <row r="927" spans="3:9" ht="13.2">
      <c r="C927" s="75"/>
      <c r="D927" s="75"/>
      <c r="E927" s="75"/>
      <c r="F927" s="75"/>
      <c r="G927" s="75"/>
      <c r="H927" s="75"/>
      <c r="I927" s="75"/>
    </row>
    <row r="928" spans="3:9" ht="13.2">
      <c r="C928" s="75"/>
      <c r="D928" s="75"/>
      <c r="E928" s="75"/>
      <c r="F928" s="75"/>
      <c r="G928" s="75"/>
      <c r="H928" s="75"/>
      <c r="I928" s="75"/>
    </row>
    <row r="929" spans="3:9" ht="13.2">
      <c r="C929" s="75"/>
      <c r="D929" s="75"/>
      <c r="E929" s="75"/>
      <c r="F929" s="75"/>
      <c r="G929" s="75"/>
      <c r="H929" s="75"/>
      <c r="I929" s="75"/>
    </row>
    <row r="930" spans="3:9" ht="13.2">
      <c r="C930" s="75"/>
      <c r="D930" s="75"/>
      <c r="E930" s="75"/>
      <c r="F930" s="75"/>
      <c r="G930" s="75"/>
      <c r="H930" s="75"/>
      <c r="I930" s="75"/>
    </row>
    <row r="931" spans="3:9" ht="13.2">
      <c r="C931" s="75"/>
      <c r="D931" s="75"/>
      <c r="E931" s="75"/>
      <c r="F931" s="75"/>
      <c r="G931" s="75"/>
      <c r="H931" s="75"/>
      <c r="I931" s="75"/>
    </row>
    <row r="932" spans="3:9" ht="13.2">
      <c r="C932" s="75"/>
      <c r="D932" s="75"/>
      <c r="E932" s="75"/>
      <c r="F932" s="75"/>
      <c r="G932" s="75"/>
      <c r="H932" s="75"/>
      <c r="I932" s="75"/>
    </row>
    <row r="933" spans="3:9" ht="13.2">
      <c r="C933" s="75"/>
      <c r="D933" s="75"/>
      <c r="E933" s="75"/>
      <c r="F933" s="75"/>
      <c r="G933" s="75"/>
      <c r="H933" s="75"/>
      <c r="I933" s="75"/>
    </row>
    <row r="934" spans="3:9" ht="13.2">
      <c r="C934" s="75"/>
      <c r="D934" s="75"/>
      <c r="E934" s="75"/>
      <c r="F934" s="75"/>
      <c r="G934" s="75"/>
      <c r="H934" s="75"/>
      <c r="I934" s="75"/>
    </row>
    <row r="935" spans="3:9" ht="13.2">
      <c r="C935" s="75"/>
      <c r="D935" s="75"/>
      <c r="E935" s="75"/>
      <c r="F935" s="75"/>
      <c r="G935" s="75"/>
      <c r="H935" s="75"/>
      <c r="I935" s="75"/>
    </row>
    <row r="936" spans="3:9" ht="13.2">
      <c r="C936" s="75"/>
      <c r="D936" s="75"/>
      <c r="E936" s="75"/>
      <c r="F936" s="75"/>
      <c r="G936" s="75"/>
      <c r="H936" s="75"/>
      <c r="I936" s="75"/>
    </row>
    <row r="937" spans="3:9" ht="13.2">
      <c r="C937" s="75"/>
      <c r="D937" s="75"/>
      <c r="E937" s="75"/>
      <c r="F937" s="75"/>
      <c r="G937" s="75"/>
      <c r="H937" s="75"/>
      <c r="I937" s="75"/>
    </row>
    <row r="938" spans="3:9" ht="13.2">
      <c r="C938" s="75"/>
      <c r="D938" s="75"/>
      <c r="E938" s="75"/>
      <c r="F938" s="75"/>
      <c r="G938" s="75"/>
      <c r="H938" s="75"/>
      <c r="I938" s="75"/>
    </row>
    <row r="939" spans="3:9" ht="13.2">
      <c r="C939" s="75"/>
      <c r="D939" s="75"/>
      <c r="E939" s="75"/>
      <c r="F939" s="75"/>
      <c r="G939" s="75"/>
      <c r="H939" s="75"/>
      <c r="I939" s="75"/>
    </row>
    <row r="940" spans="3:9" ht="13.2">
      <c r="C940" s="75"/>
      <c r="D940" s="75"/>
      <c r="E940" s="75"/>
      <c r="F940" s="75"/>
      <c r="G940" s="75"/>
      <c r="H940" s="75"/>
      <c r="I940" s="75"/>
    </row>
    <row r="941" spans="3:9" ht="13.2">
      <c r="C941" s="75"/>
      <c r="D941" s="75"/>
      <c r="E941" s="75"/>
      <c r="F941" s="75"/>
      <c r="G941" s="75"/>
      <c r="H941" s="75"/>
      <c r="I941" s="75"/>
    </row>
    <row r="942" spans="3:9" ht="13.2">
      <c r="C942" s="75"/>
      <c r="D942" s="75"/>
      <c r="E942" s="75"/>
      <c r="F942" s="75"/>
      <c r="G942" s="75"/>
      <c r="H942" s="75"/>
      <c r="I942" s="75"/>
    </row>
    <row r="943" spans="3:9" ht="13.2">
      <c r="C943" s="75"/>
      <c r="D943" s="75"/>
      <c r="E943" s="75"/>
      <c r="F943" s="75"/>
      <c r="G943" s="75"/>
      <c r="H943" s="75"/>
      <c r="I943" s="75"/>
    </row>
    <row r="944" spans="3:9" ht="13.2">
      <c r="C944" s="75"/>
      <c r="D944" s="75"/>
      <c r="E944" s="75"/>
      <c r="F944" s="75"/>
      <c r="G944" s="75"/>
      <c r="H944" s="75"/>
      <c r="I944" s="75"/>
    </row>
    <row r="945" spans="3:9" ht="13.2">
      <c r="C945" s="75"/>
      <c r="D945" s="75"/>
      <c r="E945" s="75"/>
      <c r="F945" s="75"/>
      <c r="G945" s="75"/>
      <c r="H945" s="75"/>
      <c r="I945" s="75"/>
    </row>
    <row r="946" spans="3:9" ht="13.2">
      <c r="C946" s="75"/>
      <c r="D946" s="75"/>
      <c r="E946" s="75"/>
      <c r="F946" s="75"/>
      <c r="G946" s="75"/>
      <c r="H946" s="75"/>
      <c r="I946" s="75"/>
    </row>
    <row r="947" spans="3:9" ht="13.2">
      <c r="C947" s="75"/>
      <c r="D947" s="75"/>
      <c r="E947" s="75"/>
      <c r="F947" s="75"/>
      <c r="G947" s="75"/>
      <c r="H947" s="75"/>
      <c r="I947" s="75"/>
    </row>
    <row r="948" spans="3:9" ht="13.2">
      <c r="C948" s="75"/>
      <c r="D948" s="75"/>
      <c r="E948" s="75"/>
      <c r="F948" s="75"/>
      <c r="G948" s="75"/>
      <c r="H948" s="75"/>
      <c r="I948" s="75"/>
    </row>
    <row r="949" spans="3:9" ht="13.2">
      <c r="C949" s="75"/>
      <c r="D949" s="75"/>
      <c r="E949" s="75"/>
      <c r="F949" s="75"/>
      <c r="G949" s="75"/>
      <c r="H949" s="75"/>
      <c r="I949" s="75"/>
    </row>
    <row r="950" spans="3:9" ht="13.2">
      <c r="C950" s="75"/>
      <c r="D950" s="75"/>
      <c r="E950" s="75"/>
      <c r="F950" s="75"/>
      <c r="G950" s="75"/>
      <c r="H950" s="75"/>
      <c r="I950" s="75"/>
    </row>
    <row r="951" spans="3:9" ht="13.2">
      <c r="C951" s="75"/>
      <c r="D951" s="75"/>
      <c r="E951" s="75"/>
      <c r="F951" s="75"/>
      <c r="G951" s="75"/>
      <c r="H951" s="75"/>
      <c r="I951" s="75"/>
    </row>
    <row r="952" spans="3:9" ht="13.2">
      <c r="C952" s="75"/>
      <c r="D952" s="75"/>
      <c r="E952" s="75"/>
      <c r="F952" s="75"/>
      <c r="G952" s="75"/>
      <c r="H952" s="75"/>
      <c r="I952" s="75"/>
    </row>
    <row r="953" spans="3:9" ht="13.2">
      <c r="C953" s="75"/>
      <c r="D953" s="75"/>
      <c r="E953" s="75"/>
      <c r="F953" s="75"/>
      <c r="G953" s="75"/>
      <c r="H953" s="75"/>
      <c r="I953" s="75"/>
    </row>
    <row r="954" spans="3:9" ht="13.2">
      <c r="C954" s="75"/>
      <c r="D954" s="75"/>
      <c r="E954" s="75"/>
      <c r="F954" s="75"/>
      <c r="G954" s="75"/>
      <c r="H954" s="75"/>
      <c r="I954" s="75"/>
    </row>
    <row r="955" spans="3:9" ht="13.2">
      <c r="C955" s="75"/>
      <c r="D955" s="75"/>
      <c r="E955" s="75"/>
      <c r="F955" s="75"/>
      <c r="G955" s="75"/>
      <c r="H955" s="75"/>
      <c r="I955" s="75"/>
    </row>
    <row r="956" spans="3:9" ht="13.2">
      <c r="C956" s="75"/>
      <c r="D956" s="75"/>
      <c r="E956" s="75"/>
      <c r="F956" s="75"/>
      <c r="G956" s="75"/>
      <c r="H956" s="75"/>
      <c r="I956" s="75"/>
    </row>
    <row r="957" spans="3:9" ht="13.2">
      <c r="C957" s="75"/>
      <c r="D957" s="75"/>
      <c r="E957" s="75"/>
      <c r="F957" s="75"/>
      <c r="G957" s="75"/>
      <c r="H957" s="75"/>
      <c r="I957" s="75"/>
    </row>
    <row r="958" spans="3:9" ht="13.2">
      <c r="C958" s="75"/>
      <c r="D958" s="75"/>
      <c r="E958" s="75"/>
      <c r="F958" s="75"/>
      <c r="G958" s="75"/>
      <c r="H958" s="75"/>
      <c r="I958" s="75"/>
    </row>
    <row r="959" spans="3:9" ht="13.2">
      <c r="C959" s="75"/>
      <c r="D959" s="75"/>
      <c r="E959" s="75"/>
      <c r="F959" s="75"/>
      <c r="G959" s="75"/>
      <c r="H959" s="75"/>
      <c r="I959" s="75"/>
    </row>
    <row r="960" spans="3:9" ht="13.2">
      <c r="C960" s="75"/>
      <c r="D960" s="75"/>
      <c r="E960" s="75"/>
      <c r="F960" s="75"/>
      <c r="G960" s="75"/>
      <c r="H960" s="75"/>
      <c r="I960" s="75"/>
    </row>
    <row r="961" spans="3:9" ht="13.2">
      <c r="C961" s="75"/>
      <c r="D961" s="75"/>
      <c r="E961" s="75"/>
      <c r="F961" s="75"/>
      <c r="G961" s="75"/>
      <c r="H961" s="75"/>
      <c r="I961" s="75"/>
    </row>
    <row r="962" spans="3:9" ht="13.2">
      <c r="C962" s="75"/>
      <c r="D962" s="75"/>
      <c r="E962" s="75"/>
      <c r="F962" s="75"/>
      <c r="G962" s="75"/>
      <c r="H962" s="75"/>
      <c r="I962" s="75"/>
    </row>
    <row r="963" spans="3:9" ht="13.2">
      <c r="C963" s="75"/>
      <c r="D963" s="75"/>
      <c r="E963" s="75"/>
      <c r="F963" s="75"/>
      <c r="G963" s="75"/>
      <c r="H963" s="75"/>
      <c r="I963" s="75"/>
    </row>
    <row r="964" spans="3:9" ht="13.2">
      <c r="C964" s="75"/>
      <c r="D964" s="75"/>
      <c r="E964" s="75"/>
      <c r="F964" s="75"/>
      <c r="G964" s="75"/>
      <c r="H964" s="75"/>
      <c r="I964" s="75"/>
    </row>
    <row r="965" spans="3:9" ht="13.2">
      <c r="C965" s="75"/>
      <c r="D965" s="75"/>
      <c r="E965" s="75"/>
      <c r="F965" s="75"/>
      <c r="G965" s="75"/>
      <c r="H965" s="75"/>
      <c r="I965" s="75"/>
    </row>
    <row r="966" spans="3:9" ht="13.2">
      <c r="C966" s="75"/>
      <c r="D966" s="75"/>
      <c r="E966" s="75"/>
      <c r="F966" s="75"/>
      <c r="G966" s="75"/>
      <c r="H966" s="75"/>
      <c r="I966" s="75"/>
    </row>
    <row r="967" spans="3:9" ht="13.2">
      <c r="C967" s="75"/>
      <c r="D967" s="75"/>
      <c r="E967" s="75"/>
      <c r="F967" s="75"/>
      <c r="G967" s="75"/>
      <c r="H967" s="75"/>
      <c r="I967" s="75"/>
    </row>
    <row r="968" spans="3:9" ht="13.2">
      <c r="C968" s="75"/>
      <c r="D968" s="75"/>
      <c r="E968" s="75"/>
      <c r="F968" s="75"/>
      <c r="G968" s="75"/>
      <c r="H968" s="75"/>
      <c r="I968" s="75"/>
    </row>
    <row r="969" spans="3:9" ht="13.2">
      <c r="C969" s="75"/>
      <c r="D969" s="75"/>
      <c r="E969" s="75"/>
      <c r="F969" s="75"/>
      <c r="G969" s="75"/>
      <c r="H969" s="75"/>
      <c r="I969" s="75"/>
    </row>
    <row r="970" spans="3:9" ht="13.2">
      <c r="C970" s="75"/>
      <c r="D970" s="75"/>
      <c r="E970" s="75"/>
      <c r="F970" s="75"/>
      <c r="G970" s="75"/>
      <c r="H970" s="75"/>
      <c r="I970" s="75"/>
    </row>
    <row r="971" spans="3:9" ht="13.2">
      <c r="C971" s="75"/>
      <c r="D971" s="75"/>
      <c r="E971" s="75"/>
      <c r="F971" s="75"/>
      <c r="G971" s="75"/>
      <c r="H971" s="75"/>
      <c r="I971" s="75"/>
    </row>
    <row r="972" spans="3:9" ht="13.2">
      <c r="C972" s="75"/>
      <c r="D972" s="75"/>
      <c r="E972" s="75"/>
      <c r="F972" s="75"/>
      <c r="G972" s="75"/>
      <c r="H972" s="75"/>
      <c r="I972" s="75"/>
    </row>
    <row r="973" spans="3:9" ht="13.2">
      <c r="C973" s="75"/>
      <c r="D973" s="75"/>
      <c r="E973" s="75"/>
      <c r="F973" s="75"/>
      <c r="G973" s="75"/>
      <c r="H973" s="75"/>
      <c r="I973" s="75"/>
    </row>
    <row r="974" spans="3:9" ht="13.2">
      <c r="C974" s="75"/>
      <c r="D974" s="75"/>
      <c r="E974" s="75"/>
      <c r="F974" s="75"/>
      <c r="G974" s="75"/>
      <c r="H974" s="75"/>
      <c r="I974" s="75"/>
    </row>
    <row r="975" spans="3:9" ht="13.2">
      <c r="C975" s="75"/>
      <c r="D975" s="75"/>
      <c r="E975" s="75"/>
      <c r="F975" s="75"/>
      <c r="G975" s="75"/>
      <c r="H975" s="75"/>
      <c r="I975" s="75"/>
    </row>
    <row r="976" spans="3:9" ht="13.2">
      <c r="C976" s="75"/>
      <c r="D976" s="75"/>
      <c r="E976" s="75"/>
      <c r="F976" s="75"/>
      <c r="G976" s="75"/>
      <c r="H976" s="75"/>
      <c r="I976" s="75"/>
    </row>
    <row r="977" spans="3:9" ht="13.2">
      <c r="C977" s="75"/>
      <c r="D977" s="75"/>
      <c r="E977" s="75"/>
      <c r="F977" s="75"/>
      <c r="G977" s="75"/>
      <c r="H977" s="75"/>
      <c r="I977" s="75"/>
    </row>
    <row r="978" spans="3:9" ht="13.2">
      <c r="C978" s="75"/>
      <c r="D978" s="75"/>
      <c r="E978" s="75"/>
      <c r="F978" s="75"/>
      <c r="G978" s="75"/>
      <c r="H978" s="75"/>
      <c r="I978" s="75"/>
    </row>
    <row r="979" spans="3:9" ht="13.2">
      <c r="C979" s="75"/>
      <c r="D979" s="75"/>
      <c r="E979" s="75"/>
      <c r="F979" s="75"/>
      <c r="G979" s="75"/>
      <c r="H979" s="75"/>
      <c r="I979" s="75"/>
    </row>
    <row r="980" spans="3:9" ht="13.2">
      <c r="C980" s="75"/>
      <c r="D980" s="75"/>
      <c r="E980" s="75"/>
      <c r="F980" s="75"/>
      <c r="G980" s="75"/>
      <c r="H980" s="75"/>
      <c r="I980" s="75"/>
    </row>
    <row r="981" spans="3:9" ht="13.2">
      <c r="C981" s="75"/>
      <c r="D981" s="75"/>
      <c r="E981" s="75"/>
      <c r="F981" s="75"/>
      <c r="G981" s="75"/>
      <c r="H981" s="75"/>
      <c r="I981" s="75"/>
    </row>
    <row r="982" spans="3:9" ht="13.2">
      <c r="C982" s="75"/>
      <c r="D982" s="75"/>
      <c r="E982" s="75"/>
      <c r="F982" s="75"/>
      <c r="G982" s="75"/>
      <c r="H982" s="75"/>
      <c r="I982" s="75"/>
    </row>
    <row r="983" spans="3:9" ht="13.2">
      <c r="C983" s="75"/>
      <c r="D983" s="75"/>
      <c r="E983" s="75"/>
      <c r="F983" s="75"/>
      <c r="G983" s="75"/>
      <c r="H983" s="75"/>
      <c r="I983" s="75"/>
    </row>
    <row r="984" spans="3:9" ht="13.2">
      <c r="C984" s="75"/>
      <c r="D984" s="75"/>
      <c r="E984" s="75"/>
      <c r="F984" s="75"/>
      <c r="G984" s="75"/>
      <c r="H984" s="75"/>
      <c r="I984" s="75"/>
    </row>
    <row r="985" spans="3:9" ht="13.2">
      <c r="C985" s="75"/>
      <c r="D985" s="75"/>
      <c r="E985" s="75"/>
      <c r="F985" s="75"/>
      <c r="G985" s="75"/>
      <c r="H985" s="75"/>
      <c r="I985" s="75"/>
    </row>
    <row r="986" spans="3:9" ht="13.2">
      <c r="C986" s="75"/>
      <c r="D986" s="75"/>
      <c r="E986" s="75"/>
      <c r="F986" s="75"/>
      <c r="G986" s="75"/>
      <c r="H986" s="75"/>
      <c r="I986" s="75"/>
    </row>
    <row r="987" spans="3:9" ht="13.2">
      <c r="C987" s="75"/>
      <c r="D987" s="75"/>
      <c r="E987" s="75"/>
      <c r="F987" s="75"/>
      <c r="G987" s="75"/>
      <c r="H987" s="75"/>
      <c r="I987" s="75"/>
    </row>
    <row r="988" spans="3:9" ht="13.2">
      <c r="C988" s="75"/>
      <c r="D988" s="75"/>
      <c r="E988" s="75"/>
      <c r="F988" s="75"/>
      <c r="G988" s="75"/>
      <c r="H988" s="75"/>
      <c r="I988" s="75"/>
    </row>
    <row r="989" spans="3:9" ht="13.2">
      <c r="C989" s="75"/>
      <c r="D989" s="75"/>
      <c r="E989" s="75"/>
      <c r="F989" s="75"/>
      <c r="G989" s="75"/>
      <c r="H989" s="75"/>
      <c r="I989" s="75"/>
    </row>
    <row r="990" spans="3:9" ht="13.2">
      <c r="C990" s="75"/>
      <c r="D990" s="75"/>
      <c r="E990" s="75"/>
      <c r="F990" s="75"/>
      <c r="G990" s="75"/>
      <c r="H990" s="75"/>
      <c r="I990" s="75"/>
    </row>
    <row r="991" spans="3:9" ht="13.2">
      <c r="C991" s="75"/>
      <c r="D991" s="75"/>
      <c r="E991" s="75"/>
      <c r="F991" s="75"/>
      <c r="G991" s="75"/>
      <c r="H991" s="75"/>
      <c r="I991" s="75"/>
    </row>
    <row r="992" spans="3:9" ht="13.2">
      <c r="C992" s="75"/>
      <c r="D992" s="75"/>
      <c r="E992" s="75"/>
      <c r="F992" s="75"/>
      <c r="G992" s="75"/>
      <c r="H992" s="75"/>
      <c r="I992" s="75"/>
    </row>
    <row r="993" spans="3:9" ht="13.2">
      <c r="C993" s="75"/>
      <c r="D993" s="75"/>
      <c r="E993" s="75"/>
      <c r="F993" s="75"/>
      <c r="G993" s="75"/>
      <c r="H993" s="75"/>
      <c r="I993" s="75"/>
    </row>
    <row r="994" spans="3:9" ht="13.2">
      <c r="C994" s="75"/>
      <c r="D994" s="75"/>
      <c r="E994" s="75"/>
      <c r="F994" s="75"/>
      <c r="G994" s="75"/>
      <c r="H994" s="75"/>
      <c r="I994" s="75"/>
    </row>
    <row r="995" spans="3:9" ht="13.2">
      <c r="C995" s="75"/>
      <c r="D995" s="75"/>
      <c r="E995" s="75"/>
      <c r="F995" s="75"/>
      <c r="G995" s="75"/>
      <c r="H995" s="75"/>
      <c r="I995" s="75"/>
    </row>
    <row r="996" spans="3:9" ht="13.2">
      <c r="C996" s="75"/>
      <c r="D996" s="75"/>
      <c r="E996" s="75"/>
      <c r="F996" s="75"/>
      <c r="G996" s="75"/>
      <c r="H996" s="75"/>
      <c r="I996" s="75"/>
    </row>
    <row r="997" spans="3:9" ht="13.2">
      <c r="C997" s="75"/>
      <c r="D997" s="75"/>
      <c r="E997" s="75"/>
      <c r="F997" s="75"/>
      <c r="G997" s="75"/>
      <c r="H997" s="75"/>
      <c r="I997" s="75"/>
    </row>
    <row r="998" spans="3:9" ht="13.2">
      <c r="C998" s="75"/>
      <c r="D998" s="75"/>
      <c r="E998" s="75"/>
      <c r="F998" s="75"/>
      <c r="G998" s="75"/>
      <c r="H998" s="75"/>
      <c r="I998" s="75"/>
    </row>
    <row r="999" spans="3:9" ht="13.2">
      <c r="C999" s="75"/>
      <c r="D999" s="75"/>
      <c r="E999" s="75"/>
      <c r="F999" s="75"/>
      <c r="G999" s="75"/>
      <c r="H999" s="75"/>
      <c r="I999" s="75"/>
    </row>
    <row r="1000" spans="3:9" ht="13.2">
      <c r="C1000" s="75"/>
      <c r="D1000" s="75"/>
      <c r="E1000" s="75"/>
      <c r="F1000" s="75"/>
      <c r="G1000" s="75"/>
      <c r="H1000" s="75"/>
      <c r="I1000" s="75"/>
    </row>
    <row r="1001" spans="3:9" ht="13.2">
      <c r="C1001" s="75"/>
      <c r="D1001" s="75"/>
      <c r="E1001" s="75"/>
      <c r="F1001" s="75"/>
      <c r="G1001" s="75"/>
      <c r="H1001" s="75"/>
      <c r="I1001" s="75"/>
    </row>
    <row r="1002" spans="3:9" ht="13.2">
      <c r="C1002" s="75"/>
      <c r="D1002" s="75"/>
      <c r="E1002" s="75"/>
      <c r="F1002" s="75"/>
      <c r="G1002" s="75"/>
      <c r="H1002" s="75"/>
      <c r="I1002" s="75"/>
    </row>
    <row r="1003" spans="3:9" ht="13.2">
      <c r="C1003" s="75"/>
      <c r="D1003" s="75"/>
      <c r="E1003" s="75"/>
      <c r="F1003" s="75"/>
      <c r="G1003" s="75"/>
      <c r="H1003" s="75"/>
      <c r="I1003" s="75"/>
    </row>
    <row r="1004" spans="3:9" ht="13.2">
      <c r="C1004" s="75"/>
      <c r="D1004" s="75"/>
      <c r="E1004" s="75"/>
      <c r="F1004" s="75"/>
      <c r="G1004" s="75"/>
      <c r="H1004" s="75"/>
      <c r="I1004" s="75"/>
    </row>
    <row r="1005" spans="3:9" ht="13.2">
      <c r="C1005" s="75"/>
      <c r="D1005" s="75"/>
      <c r="E1005" s="75"/>
      <c r="F1005" s="75"/>
      <c r="G1005" s="75"/>
      <c r="H1005" s="75"/>
      <c r="I1005" s="75"/>
    </row>
    <row r="1006" spans="3:9" ht="13.2">
      <c r="C1006" s="75"/>
      <c r="D1006" s="75"/>
      <c r="E1006" s="75"/>
      <c r="F1006" s="75"/>
      <c r="G1006" s="75"/>
      <c r="H1006" s="75"/>
      <c r="I1006" s="75"/>
    </row>
    <row r="1007" spans="3:9" ht="13.2">
      <c r="C1007" s="75"/>
      <c r="D1007" s="75"/>
      <c r="E1007" s="75"/>
      <c r="F1007" s="75"/>
      <c r="G1007" s="75"/>
      <c r="H1007" s="75"/>
      <c r="I1007" s="75"/>
    </row>
    <row r="1008" spans="3:9" ht="13.2">
      <c r="C1008" s="75"/>
      <c r="D1008" s="75"/>
      <c r="E1008" s="75"/>
      <c r="F1008" s="75"/>
      <c r="G1008" s="75"/>
      <c r="H1008" s="75"/>
      <c r="I1008" s="75"/>
    </row>
    <row r="1009" spans="3:9" ht="13.2">
      <c r="C1009" s="75"/>
      <c r="D1009" s="75"/>
      <c r="E1009" s="75"/>
      <c r="F1009" s="75"/>
      <c r="G1009" s="75"/>
      <c r="H1009" s="75"/>
      <c r="I1009" s="75"/>
    </row>
    <row r="1010" spans="3:9" ht="13.2">
      <c r="C1010" s="75"/>
      <c r="D1010" s="75"/>
      <c r="E1010" s="75"/>
      <c r="F1010" s="75"/>
      <c r="G1010" s="75"/>
      <c r="H1010" s="75"/>
      <c r="I1010" s="75"/>
    </row>
    <row r="1011" spans="3:9" ht="13.2">
      <c r="C1011" s="75"/>
      <c r="D1011" s="75"/>
      <c r="E1011" s="75"/>
      <c r="F1011" s="75"/>
      <c r="G1011" s="75"/>
      <c r="H1011" s="75"/>
      <c r="I1011" s="75"/>
    </row>
    <row r="1012" spans="3:9" ht="13.2">
      <c r="C1012" s="75"/>
      <c r="D1012" s="75"/>
      <c r="E1012" s="75"/>
      <c r="F1012" s="75"/>
      <c r="G1012" s="75"/>
      <c r="H1012" s="75"/>
      <c r="I1012" s="75"/>
    </row>
    <row r="1013" spans="3:9" ht="13.2">
      <c r="C1013" s="75"/>
      <c r="D1013" s="75"/>
      <c r="E1013" s="75"/>
      <c r="F1013" s="75"/>
      <c r="G1013" s="75"/>
      <c r="H1013" s="75"/>
      <c r="I1013" s="75"/>
    </row>
    <row r="1014" spans="3:9" ht="13.2">
      <c r="C1014" s="75"/>
      <c r="D1014" s="75"/>
      <c r="E1014" s="75"/>
      <c r="F1014" s="75"/>
      <c r="G1014" s="75"/>
      <c r="H1014" s="75"/>
      <c r="I1014" s="75"/>
    </row>
    <row r="1015" spans="3:9" ht="13.2">
      <c r="C1015" s="75"/>
      <c r="D1015" s="75"/>
      <c r="E1015" s="75"/>
      <c r="F1015" s="75"/>
      <c r="G1015" s="75"/>
      <c r="H1015" s="75"/>
      <c r="I1015" s="75"/>
    </row>
    <row r="1016" spans="3:9" ht="13.2">
      <c r="C1016" s="75"/>
      <c r="D1016" s="75"/>
      <c r="E1016" s="75"/>
      <c r="F1016" s="75"/>
      <c r="G1016" s="75"/>
      <c r="H1016" s="75"/>
      <c r="I1016" s="75"/>
    </row>
    <row r="1017" spans="3:9" ht="13.2">
      <c r="C1017" s="75"/>
      <c r="D1017" s="75"/>
      <c r="E1017" s="75"/>
      <c r="F1017" s="75"/>
      <c r="G1017" s="75"/>
      <c r="H1017" s="75"/>
      <c r="I1017" s="75"/>
    </row>
    <row r="1018" spans="3:9" ht="13.2">
      <c r="C1018" s="75"/>
      <c r="D1018" s="75"/>
      <c r="E1018" s="75"/>
      <c r="F1018" s="75"/>
      <c r="G1018" s="75"/>
      <c r="H1018" s="75"/>
      <c r="I1018" s="75"/>
    </row>
    <row r="1019" spans="3:9" ht="13.2">
      <c r="C1019" s="75"/>
      <c r="D1019" s="75"/>
      <c r="E1019" s="75"/>
      <c r="F1019" s="75"/>
      <c r="G1019" s="75"/>
      <c r="H1019" s="75"/>
      <c r="I1019" s="75"/>
    </row>
    <row r="1020" spans="3:9" ht="13.2">
      <c r="C1020" s="75"/>
      <c r="D1020" s="75"/>
      <c r="E1020" s="75"/>
      <c r="F1020" s="75"/>
      <c r="G1020" s="75"/>
      <c r="H1020" s="75"/>
      <c r="I1020" s="75"/>
    </row>
    <row r="1021" spans="3:9" ht="13.2">
      <c r="C1021" s="75"/>
      <c r="D1021" s="75"/>
      <c r="E1021" s="75"/>
      <c r="F1021" s="75"/>
      <c r="G1021" s="75"/>
      <c r="H1021" s="75"/>
      <c r="I1021" s="75"/>
    </row>
    <row r="1022" spans="3:9" ht="13.2">
      <c r="C1022" s="75"/>
      <c r="D1022" s="75"/>
      <c r="E1022" s="75"/>
      <c r="F1022" s="75"/>
      <c r="G1022" s="75"/>
      <c r="H1022" s="75"/>
      <c r="I1022" s="75"/>
    </row>
    <row r="1023" spans="3:9" ht="13.2">
      <c r="C1023" s="75"/>
      <c r="D1023" s="75"/>
      <c r="E1023" s="75"/>
      <c r="F1023" s="75"/>
      <c r="G1023" s="75"/>
      <c r="H1023" s="75"/>
      <c r="I1023" s="75"/>
    </row>
    <row r="1024" spans="3:9" ht="13.2">
      <c r="C1024" s="75"/>
      <c r="D1024" s="75"/>
      <c r="E1024" s="75"/>
      <c r="F1024" s="75"/>
      <c r="G1024" s="75"/>
      <c r="H1024" s="75"/>
      <c r="I1024" s="75"/>
    </row>
    <row r="1025" spans="3:9" ht="13.2">
      <c r="C1025" s="75"/>
      <c r="D1025" s="75"/>
      <c r="E1025" s="75"/>
      <c r="F1025" s="75"/>
      <c r="G1025" s="75"/>
      <c r="H1025" s="75"/>
      <c r="I1025" s="75"/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01"/>
  <sheetViews>
    <sheetView workbookViewId="0"/>
  </sheetViews>
  <sheetFormatPr defaultColWidth="12.6640625" defaultRowHeight="15.75" customHeight="1"/>
  <cols>
    <col min="2" max="2" width="24" customWidth="1"/>
    <col min="3" max="3" width="21.6640625" customWidth="1"/>
  </cols>
  <sheetData>
    <row r="1" spans="1:10">
      <c r="A1" s="397" t="s">
        <v>2116</v>
      </c>
      <c r="B1" s="385"/>
      <c r="C1" s="385"/>
      <c r="D1" s="385"/>
      <c r="E1" s="385"/>
      <c r="F1" s="385"/>
      <c r="G1" s="385"/>
      <c r="H1" s="385"/>
      <c r="I1" s="386"/>
    </row>
    <row r="2" spans="1:10">
      <c r="A2" s="18"/>
      <c r="B2" s="18"/>
      <c r="C2" s="94"/>
      <c r="D2" s="411" t="s">
        <v>336</v>
      </c>
      <c r="E2" s="385"/>
      <c r="F2" s="386"/>
      <c r="G2" s="411" t="s">
        <v>337</v>
      </c>
      <c r="H2" s="385"/>
      <c r="I2" s="386"/>
      <c r="J2" s="220"/>
    </row>
    <row r="3" spans="1:10">
      <c r="A3" s="18" t="s">
        <v>69</v>
      </c>
      <c r="B3" s="18" t="s">
        <v>382</v>
      </c>
      <c r="C3" s="94" t="s">
        <v>383</v>
      </c>
      <c r="D3" s="95" t="s">
        <v>2117</v>
      </c>
      <c r="E3" s="161" t="s">
        <v>73</v>
      </c>
      <c r="F3" s="162" t="s">
        <v>1579</v>
      </c>
      <c r="G3" s="95" t="s">
        <v>1577</v>
      </c>
      <c r="H3" s="95" t="s">
        <v>73</v>
      </c>
      <c r="I3" s="163" t="s">
        <v>1579</v>
      </c>
      <c r="J3" s="220">
        <f>SUM(I4:I5495)</f>
        <v>0</v>
      </c>
    </row>
    <row r="4" spans="1:10">
      <c r="A4" s="68">
        <v>45709</v>
      </c>
      <c r="B4" s="1" t="s">
        <v>392</v>
      </c>
      <c r="C4" s="215" t="str">
        <f>VLOOKUP(B4,'Thống kê GG'!$A$3:$D$672,2,0)</f>
        <v>Túi Xách Vải Chần Bông</v>
      </c>
      <c r="D4" s="16">
        <v>10.36</v>
      </c>
      <c r="E4" s="16">
        <v>5</v>
      </c>
    </row>
    <row r="5" spans="1:10">
      <c r="A5" s="49"/>
      <c r="B5" s="1" t="s">
        <v>397</v>
      </c>
      <c r="C5" s="215" t="str">
        <f>VLOOKUP(B5,'Thống kê GG'!$A$3:$D$672,2,0)</f>
        <v>Túi Xách Vải Chần Bông</v>
      </c>
      <c r="D5" s="16">
        <v>10.36</v>
      </c>
      <c r="E5" s="16">
        <v>5</v>
      </c>
    </row>
    <row r="6" spans="1:10">
      <c r="A6" s="49"/>
      <c r="B6" s="1" t="s">
        <v>401</v>
      </c>
      <c r="C6" s="215" t="str">
        <f>VLOOKUP(B6,'Thống kê GG'!$A$3:$D$672,2,0)</f>
        <v>Túi Xách Vải Chần Bông</v>
      </c>
      <c r="D6" s="16">
        <v>10.36</v>
      </c>
      <c r="E6" s="16">
        <v>5</v>
      </c>
    </row>
    <row r="7" spans="1:10">
      <c r="A7" s="49"/>
      <c r="B7" s="1" t="s">
        <v>405</v>
      </c>
      <c r="C7" s="215" t="str">
        <f>VLOOKUP(B7,'Thống kê GG'!$A$3:$D$672,2,0)</f>
        <v>Túi Xách Vải Chần Bông</v>
      </c>
      <c r="D7" s="16">
        <v>10.36</v>
      </c>
      <c r="E7" s="16">
        <v>5</v>
      </c>
    </row>
    <row r="8" spans="1:10">
      <c r="A8" s="49"/>
      <c r="B8" s="1" t="s">
        <v>1538</v>
      </c>
      <c r="C8" s="215" t="str">
        <f>VLOOKUP(B8,'Thống kê GG'!$A$3:$D$672,2,0)</f>
        <v>Túi Đựng Mắt Kính Da Pu</v>
      </c>
      <c r="D8" s="16">
        <v>1.6</v>
      </c>
      <c r="E8" s="16">
        <v>30</v>
      </c>
    </row>
    <row r="9" spans="1:10">
      <c r="A9" s="49"/>
      <c r="B9" s="1" t="s">
        <v>1539</v>
      </c>
      <c r="C9" s="215" t="str">
        <f>VLOOKUP(B9,'Thống kê GG'!$A$3:$D$672,2,0)</f>
        <v>Túi Đựng Mắt Kính Da Pu</v>
      </c>
      <c r="D9" s="16">
        <v>1.6</v>
      </c>
      <c r="E9" s="16">
        <v>30</v>
      </c>
    </row>
    <row r="10" spans="1:10">
      <c r="A10" s="49"/>
      <c r="B10" s="1" t="s">
        <v>1540</v>
      </c>
      <c r="C10" s="215" t="str">
        <f>VLOOKUP(B10,'Thống kê GG'!$A$3:$D$672,2,0)</f>
        <v>Túi Đựng Mắt Kính Da Pu</v>
      </c>
      <c r="D10" s="16">
        <v>1.6</v>
      </c>
      <c r="E10" s="16">
        <v>20</v>
      </c>
    </row>
    <row r="11" spans="1:10">
      <c r="A11" s="49"/>
      <c r="B11" s="1" t="s">
        <v>1541</v>
      </c>
      <c r="C11" s="215" t="str">
        <f>VLOOKUP(B11,'Thống kê GG'!$A$3:$D$672,2,0)</f>
        <v>Túi Đựng Mắt Kính Da Pu</v>
      </c>
      <c r="D11" s="16">
        <v>1.6</v>
      </c>
      <c r="E11" s="16">
        <v>20</v>
      </c>
    </row>
    <row r="12" spans="1:10">
      <c r="A12" s="49"/>
      <c r="B12" s="1" t="s">
        <v>1542</v>
      </c>
      <c r="C12" s="215" t="str">
        <f>VLOOKUP(B12,'Thống kê GG'!$A$3:$D$672,2,0)</f>
        <v>Túi Đựng Mắt Kính Da Pu</v>
      </c>
      <c r="D12" s="16">
        <v>1.6</v>
      </c>
      <c r="E12" s="16">
        <v>20</v>
      </c>
    </row>
    <row r="13" spans="1:10">
      <c r="A13" s="49"/>
      <c r="B13" s="1" t="s">
        <v>1543</v>
      </c>
      <c r="C13" s="215" t="str">
        <f>VLOOKUP(B13,'Thống kê GG'!$A$3:$D$672,2,0)</f>
        <v>Túi Đựng Mắt Kính Da Pu</v>
      </c>
      <c r="D13" s="16">
        <v>1.6</v>
      </c>
      <c r="E13" s="16">
        <v>20</v>
      </c>
    </row>
    <row r="14" spans="1:10">
      <c r="A14" s="49"/>
      <c r="B14" s="1" t="s">
        <v>1534</v>
      </c>
      <c r="C14" s="215" t="str">
        <f>VLOOKUP(B14,'Thống kê GG'!$A$3:$D$672,2,0)</f>
        <v>Túi Đựng Mắt Kính Da Pu</v>
      </c>
      <c r="D14" s="16">
        <v>2.84</v>
      </c>
      <c r="E14" s="16">
        <v>35</v>
      </c>
    </row>
    <row r="15" spans="1:10">
      <c r="A15" s="49"/>
      <c r="B15" s="1" t="s">
        <v>1536</v>
      </c>
      <c r="C15" s="215" t="str">
        <f>VLOOKUP(B15,'Thống kê GG'!$A$3:$D$672,2,0)</f>
        <v>Túi Đựng Mắt Kính Da Pu</v>
      </c>
      <c r="D15" s="16">
        <v>2.84</v>
      </c>
      <c r="E15" s="16">
        <v>35</v>
      </c>
    </row>
    <row r="16" spans="1:10">
      <c r="A16" s="49"/>
      <c r="B16" s="1" t="s">
        <v>1537</v>
      </c>
      <c r="C16" s="215" t="str">
        <f>VLOOKUP(B16,'Thống kê GG'!$A$3:$D$672,2,0)</f>
        <v>Túi Đựng Mắt Kính Da Pu</v>
      </c>
      <c r="D16" s="16">
        <v>2.84</v>
      </c>
      <c r="E16" s="16">
        <v>35</v>
      </c>
    </row>
    <row r="17" spans="1:5">
      <c r="A17" s="49"/>
      <c r="B17" s="1" t="s">
        <v>1544</v>
      </c>
      <c r="C17" s="215" t="str">
        <f>VLOOKUP(B17,'Thống kê GG'!$A$3:$D$672,2,0)</f>
        <v>Túi đựng đồ trang điểm nhỏ</v>
      </c>
      <c r="D17" s="16">
        <v>5.4</v>
      </c>
      <c r="E17" s="16">
        <v>10</v>
      </c>
    </row>
    <row r="18" spans="1:5">
      <c r="A18" s="49"/>
      <c r="B18" s="1" t="s">
        <v>1546</v>
      </c>
      <c r="C18" s="215" t="str">
        <f>VLOOKUP(B18,'Thống kê GG'!$A$3:$D$672,2,0)</f>
        <v>Túi đựng đồ trang điểm nhỏ</v>
      </c>
      <c r="D18" s="16">
        <v>5.4</v>
      </c>
      <c r="E18" s="16">
        <v>4</v>
      </c>
    </row>
    <row r="19" spans="1:5">
      <c r="A19" s="49"/>
      <c r="B19" s="1" t="s">
        <v>1547</v>
      </c>
      <c r="C19" s="215" t="str">
        <f>VLOOKUP(B19,'Thống kê GG'!$A$3:$D$672,2,0)</f>
        <v>Túi đựng đồ trang điểm nhỏ</v>
      </c>
      <c r="D19" s="16">
        <v>5.4</v>
      </c>
      <c r="E19" s="16">
        <v>4</v>
      </c>
    </row>
    <row r="20" spans="1:5">
      <c r="A20" s="49"/>
      <c r="B20" s="1" t="s">
        <v>1548</v>
      </c>
      <c r="C20" s="215" t="str">
        <f>VLOOKUP(B20,'Thống kê GG'!$A$3:$D$672,2,0)</f>
        <v>Túi đựng đồ trang điểm nhỏ</v>
      </c>
      <c r="D20" s="16">
        <v>5.4</v>
      </c>
      <c r="E20" s="16">
        <v>4</v>
      </c>
    </row>
    <row r="21" spans="1:5">
      <c r="A21" s="49"/>
      <c r="B21" s="76" t="s">
        <v>1549</v>
      </c>
      <c r="C21" s="215" t="str">
        <f>VLOOKUP(B21,'Thống kê GG'!$A$3:$D$672,2,0)</f>
        <v>Túi đựng trang điểm</v>
      </c>
      <c r="D21" s="16">
        <v>6.4</v>
      </c>
      <c r="E21" s="16">
        <v>9</v>
      </c>
    </row>
    <row r="22" spans="1:5">
      <c r="A22" s="49"/>
      <c r="B22" s="76" t="s">
        <v>1551</v>
      </c>
      <c r="C22" s="215" t="str">
        <f>VLOOKUP(B22,'Thống kê GG'!$A$3:$D$672,2,0)</f>
        <v>Túi đựng trang điểm</v>
      </c>
      <c r="D22" s="16">
        <v>6.4</v>
      </c>
      <c r="E22" s="16">
        <v>4</v>
      </c>
    </row>
    <row r="23" spans="1:5">
      <c r="A23" s="49"/>
      <c r="B23" s="76" t="s">
        <v>1552</v>
      </c>
      <c r="C23" s="215" t="str">
        <f>VLOOKUP(B23,'Thống kê GG'!$A$3:$D$672,2,0)</f>
        <v>Túi đựng trang điểm</v>
      </c>
      <c r="D23" s="16">
        <v>6.4</v>
      </c>
      <c r="E23" s="16">
        <v>4</v>
      </c>
    </row>
    <row r="24" spans="1:5">
      <c r="A24" s="49"/>
      <c r="B24" s="76" t="s">
        <v>1553</v>
      </c>
      <c r="C24" s="215" t="str">
        <f>VLOOKUP(B24,'Thống kê GG'!$A$3:$D$672,2,0)</f>
        <v>Túi đựng trang điểm</v>
      </c>
      <c r="D24" s="16">
        <v>6.4</v>
      </c>
      <c r="E24" s="16">
        <v>4</v>
      </c>
    </row>
    <row r="25" spans="1:5">
      <c r="A25" s="49"/>
      <c r="B25" s="76" t="s">
        <v>1554</v>
      </c>
      <c r="C25" s="215" t="str">
        <f>VLOOKUP(B25,'Thống kê GG'!$A$3:$D$672,2,0)</f>
        <v>Túi đựng mỹ phẩm cầm tay</v>
      </c>
      <c r="D25" s="16">
        <v>11.8</v>
      </c>
      <c r="E25" s="16">
        <v>10</v>
      </c>
    </row>
    <row r="26" spans="1:5">
      <c r="A26" s="49"/>
      <c r="B26" s="76" t="s">
        <v>1556</v>
      </c>
      <c r="C26" s="215" t="str">
        <f>VLOOKUP(B26,'Thống kê GG'!$A$3:$D$672,2,0)</f>
        <v>Túi đựng mỹ phẩm cầm tay</v>
      </c>
      <c r="D26" s="16">
        <v>11.8</v>
      </c>
      <c r="E26" s="16">
        <v>4</v>
      </c>
    </row>
    <row r="27" spans="1:5">
      <c r="A27" s="49"/>
      <c r="B27" s="76" t="s">
        <v>1557</v>
      </c>
      <c r="C27" s="215" t="str">
        <f>VLOOKUP(B27,'Thống kê GG'!$A$3:$D$672,2,0)</f>
        <v>Túi đựng mỹ phẩm cầm tay</v>
      </c>
      <c r="D27" s="16">
        <v>11.8</v>
      </c>
      <c r="E27" s="16">
        <v>4</v>
      </c>
    </row>
    <row r="28" spans="1:5">
      <c r="A28" s="49"/>
      <c r="B28" s="76" t="s">
        <v>1558</v>
      </c>
      <c r="C28" s="215" t="str">
        <f>VLOOKUP(B28,'Thống kê GG'!$A$3:$D$672,2,0)</f>
        <v>Túi đựng mỹ phẩm cầm tay</v>
      </c>
      <c r="D28" s="16">
        <v>11.8</v>
      </c>
      <c r="E28" s="16">
        <v>4</v>
      </c>
    </row>
    <row r="29" spans="1:5">
      <c r="A29" s="49"/>
      <c r="B29" s="76" t="s">
        <v>1559</v>
      </c>
      <c r="C29" s="215" t="str">
        <f>VLOOKUP(B29,'Thống kê GG'!$A$3:$D$672,2,0)</f>
        <v>Túi đựng đồ trang điểm nơ</v>
      </c>
      <c r="D29" s="16">
        <v>5.8</v>
      </c>
      <c r="E29" s="16">
        <v>10</v>
      </c>
    </row>
    <row r="30" spans="1:5">
      <c r="A30" s="49"/>
      <c r="B30" s="76" t="s">
        <v>1561</v>
      </c>
      <c r="C30" s="215" t="str">
        <f>VLOOKUP(B30,'Thống kê GG'!$A$3:$D$672,2,0)</f>
        <v>Túi đựng đồ trang điểm nơ</v>
      </c>
      <c r="D30" s="16">
        <v>5.8</v>
      </c>
      <c r="E30" s="16">
        <v>4</v>
      </c>
    </row>
    <row r="31" spans="1:5">
      <c r="A31" s="49"/>
      <c r="B31" s="76" t="s">
        <v>1562</v>
      </c>
      <c r="C31" s="215" t="str">
        <f>VLOOKUP(B31,'Thống kê GG'!$A$3:$D$672,2,0)</f>
        <v>Túi đựng đồ trang điểm nơ</v>
      </c>
      <c r="D31" s="16">
        <v>5.8</v>
      </c>
      <c r="E31" s="16">
        <v>4</v>
      </c>
    </row>
    <row r="32" spans="1:5">
      <c r="A32" s="49"/>
      <c r="B32" s="76" t="s">
        <v>1563</v>
      </c>
      <c r="C32" s="215" t="str">
        <f>VLOOKUP(B32,'Thống kê GG'!$A$3:$D$672,2,0)</f>
        <v>Túi đựng đồ trang điểm nơ</v>
      </c>
      <c r="D32" s="16">
        <v>5.8</v>
      </c>
      <c r="E32" s="16">
        <v>4</v>
      </c>
    </row>
    <row r="33" spans="1:5">
      <c r="A33" s="49"/>
      <c r="B33" s="221" t="s">
        <v>1564</v>
      </c>
      <c r="C33" s="215" t="str">
        <f>VLOOKUP(B33,'Thống kê GG'!$A$3:$D$672,2,0)</f>
        <v>Túi Tote Denim</v>
      </c>
      <c r="D33" s="16">
        <v>12.77</v>
      </c>
      <c r="E33" s="16">
        <v>27</v>
      </c>
    </row>
    <row r="34" spans="1:5">
      <c r="A34" s="49"/>
      <c r="B34" s="221" t="s">
        <v>1566</v>
      </c>
      <c r="C34" s="215" t="str">
        <f>VLOOKUP(B34,'Thống kê GG'!$A$3:$D$672,2,0)</f>
        <v>Túi Tote Denim</v>
      </c>
      <c r="D34" s="16">
        <v>12.77</v>
      </c>
      <c r="E34" s="16">
        <v>7</v>
      </c>
    </row>
    <row r="35" spans="1:5">
      <c r="A35" s="49"/>
      <c r="B35" s="49"/>
      <c r="C35" s="215" t="e">
        <f>VLOOKUP(B35,'Thống kê GG'!$A$3:$D$672,2,0)</f>
        <v>#N/A</v>
      </c>
    </row>
    <row r="36" spans="1:5">
      <c r="A36" s="49"/>
      <c r="B36" s="49"/>
      <c r="C36" s="215" t="e">
        <f>VLOOKUP(B36,'Thống kê GG'!$A$3:$D$672,2,0)</f>
        <v>#N/A</v>
      </c>
    </row>
    <row r="37" spans="1:5">
      <c r="A37" s="49"/>
      <c r="B37" s="49"/>
      <c r="C37" s="215" t="e">
        <f>VLOOKUP(B37,'Thống kê GG'!$A$3:$D$672,2,0)</f>
        <v>#N/A</v>
      </c>
    </row>
    <row r="38" spans="1:5">
      <c r="A38" s="49"/>
      <c r="B38" s="49"/>
      <c r="C38" s="215" t="e">
        <f>VLOOKUP(B38,'Thống kê GG'!$A$3:$D$672,2,0)</f>
        <v>#N/A</v>
      </c>
    </row>
    <row r="39" spans="1:5">
      <c r="A39" s="49"/>
      <c r="B39" s="49"/>
      <c r="C39" s="215" t="e">
        <f>VLOOKUP(B39,'Thống kê GG'!$A$3:$D$672,2,0)</f>
        <v>#N/A</v>
      </c>
    </row>
    <row r="40" spans="1:5">
      <c r="A40" s="49"/>
      <c r="B40" s="49"/>
      <c r="C40" s="215" t="e">
        <f>VLOOKUP(B40,'Thống kê GG'!$A$3:$D$672,2,0)</f>
        <v>#N/A</v>
      </c>
    </row>
    <row r="41" spans="1:5">
      <c r="A41" s="49"/>
      <c r="B41" s="49"/>
      <c r="C41" s="215" t="e">
        <f>VLOOKUP(B41,'Thống kê GG'!$A$3:$D$672,2,0)</f>
        <v>#N/A</v>
      </c>
    </row>
    <row r="42" spans="1:5">
      <c r="A42" s="49"/>
      <c r="B42" s="49"/>
      <c r="C42" s="215" t="e">
        <f>VLOOKUP(B42,'Thống kê GG'!$A$3:$D$672,2,0)</f>
        <v>#N/A</v>
      </c>
    </row>
    <row r="43" spans="1:5">
      <c r="A43" s="49"/>
      <c r="B43" s="49"/>
      <c r="C43" s="215" t="e">
        <f>VLOOKUP(B43,'Thống kê GG'!$A$3:$D$672,2,0)</f>
        <v>#N/A</v>
      </c>
    </row>
    <row r="44" spans="1:5">
      <c r="A44" s="49"/>
      <c r="B44" s="49"/>
      <c r="C44" s="215" t="e">
        <f>VLOOKUP(B44,'Thống kê GG'!$A$3:$D$672,2,0)</f>
        <v>#N/A</v>
      </c>
    </row>
    <row r="45" spans="1:5">
      <c r="A45" s="49"/>
      <c r="B45" s="49"/>
      <c r="C45" s="215" t="e">
        <f>VLOOKUP(B45,'Thống kê GG'!$A$3:$D$672,2,0)</f>
        <v>#N/A</v>
      </c>
    </row>
    <row r="46" spans="1:5">
      <c r="A46" s="49"/>
      <c r="B46" s="49"/>
      <c r="C46" s="215" t="e">
        <f>VLOOKUP(B46,'Thống kê GG'!$A$3:$D$672,2,0)</f>
        <v>#N/A</v>
      </c>
    </row>
    <row r="47" spans="1:5">
      <c r="A47" s="49"/>
      <c r="B47" s="49"/>
      <c r="C47" s="215" t="e">
        <f>VLOOKUP(B47,'Thống kê GG'!$A$3:$D$672,2,0)</f>
        <v>#N/A</v>
      </c>
    </row>
    <row r="48" spans="1:5">
      <c r="A48" s="49"/>
      <c r="B48" s="49"/>
      <c r="C48" s="215" t="e">
        <f>VLOOKUP(B48,'Thống kê GG'!$A$3:$D$672,2,0)</f>
        <v>#N/A</v>
      </c>
    </row>
    <row r="49" spans="1:3">
      <c r="A49" s="49"/>
      <c r="B49" s="49"/>
      <c r="C49" s="215" t="e">
        <f>VLOOKUP(B49,'Thống kê GG'!$A$3:$D$672,2,0)</f>
        <v>#N/A</v>
      </c>
    </row>
    <row r="50" spans="1:3">
      <c r="A50" s="49"/>
      <c r="B50" s="49"/>
      <c r="C50" s="215" t="e">
        <f>VLOOKUP(B50,'Thống kê GG'!$A$3:$D$672,2,0)</f>
        <v>#N/A</v>
      </c>
    </row>
    <row r="51" spans="1:3">
      <c r="A51" s="49"/>
      <c r="B51" s="49"/>
      <c r="C51" s="215" t="e">
        <f>VLOOKUP(B51,'Thống kê GG'!$A$3:$D$672,2,0)</f>
        <v>#N/A</v>
      </c>
    </row>
    <row r="52" spans="1:3">
      <c r="A52" s="49"/>
      <c r="B52" s="49"/>
      <c r="C52" s="215" t="e">
        <f>VLOOKUP(B52,'Thống kê GG'!$A$3:$D$672,2,0)</f>
        <v>#N/A</v>
      </c>
    </row>
    <row r="53" spans="1:3">
      <c r="A53" s="49"/>
      <c r="B53" s="49"/>
      <c r="C53" s="215" t="e">
        <f>VLOOKUP(B53,'Thống kê GG'!$A$3:$D$672,2,0)</f>
        <v>#N/A</v>
      </c>
    </row>
    <row r="54" spans="1:3">
      <c r="A54" s="49"/>
      <c r="B54" s="49"/>
      <c r="C54" s="215" t="e">
        <f>VLOOKUP(B54,'Thống kê GG'!$A$3:$D$672,2,0)</f>
        <v>#N/A</v>
      </c>
    </row>
    <row r="55" spans="1:3">
      <c r="A55" s="49"/>
      <c r="B55" s="49"/>
      <c r="C55" s="215" t="e">
        <f>VLOOKUP(B55,'Thống kê GG'!$A$3:$D$672,2,0)</f>
        <v>#N/A</v>
      </c>
    </row>
    <row r="56" spans="1:3">
      <c r="A56" s="49"/>
      <c r="B56" s="49"/>
      <c r="C56" s="215" t="e">
        <f>VLOOKUP(B56,'Thống kê GG'!$A$3:$D$672,2,0)</f>
        <v>#N/A</v>
      </c>
    </row>
    <row r="57" spans="1:3">
      <c r="A57" s="49"/>
      <c r="B57" s="49"/>
      <c r="C57" s="215" t="e">
        <f>VLOOKUP(B57,'Thống kê GG'!$A$3:$D$672,2,0)</f>
        <v>#N/A</v>
      </c>
    </row>
    <row r="58" spans="1:3">
      <c r="A58" s="49"/>
      <c r="B58" s="49"/>
      <c r="C58" s="215" t="e">
        <f>VLOOKUP(B58,'Thống kê GG'!$A$3:$D$672,2,0)</f>
        <v>#N/A</v>
      </c>
    </row>
    <row r="59" spans="1:3">
      <c r="A59" s="49"/>
      <c r="B59" s="49"/>
      <c r="C59" s="215" t="e">
        <f>VLOOKUP(B59,'Thống kê GG'!$A$3:$D$672,2,0)</f>
        <v>#N/A</v>
      </c>
    </row>
    <row r="60" spans="1:3">
      <c r="A60" s="49"/>
      <c r="B60" s="49"/>
      <c r="C60" s="215" t="e">
        <f>VLOOKUP(B60,'Thống kê GG'!$A$3:$D$672,2,0)</f>
        <v>#N/A</v>
      </c>
    </row>
    <row r="61" spans="1:3">
      <c r="A61" s="49"/>
      <c r="B61" s="49"/>
    </row>
    <row r="62" spans="1:3">
      <c r="A62" s="49"/>
      <c r="B62" s="49"/>
    </row>
    <row r="63" spans="1:3">
      <c r="A63" s="49"/>
      <c r="B63" s="49"/>
    </row>
    <row r="64" spans="1:3">
      <c r="A64" s="49"/>
      <c r="B64" s="49"/>
    </row>
    <row r="65" spans="1:2">
      <c r="A65" s="49"/>
      <c r="B65" s="49"/>
    </row>
    <row r="66" spans="1:2">
      <c r="A66" s="49"/>
      <c r="B66" s="49"/>
    </row>
    <row r="67" spans="1:2">
      <c r="A67" s="49"/>
      <c r="B67" s="49"/>
    </row>
    <row r="68" spans="1:2">
      <c r="A68" s="49"/>
      <c r="B68" s="49"/>
    </row>
    <row r="69" spans="1:2">
      <c r="A69" s="49"/>
      <c r="B69" s="49"/>
    </row>
    <row r="70" spans="1:2">
      <c r="A70" s="49"/>
      <c r="B70" s="49"/>
    </row>
    <row r="71" spans="1:2">
      <c r="A71" s="49"/>
      <c r="B71" s="49"/>
    </row>
    <row r="72" spans="1:2">
      <c r="A72" s="49"/>
      <c r="B72" s="49"/>
    </row>
    <row r="73" spans="1:2">
      <c r="A73" s="49"/>
      <c r="B73" s="49"/>
    </row>
    <row r="74" spans="1:2">
      <c r="A74" s="49"/>
      <c r="B74" s="49"/>
    </row>
    <row r="75" spans="1:2">
      <c r="A75" s="49"/>
      <c r="B75" s="49"/>
    </row>
    <row r="76" spans="1:2">
      <c r="A76" s="49"/>
      <c r="B76" s="49"/>
    </row>
    <row r="77" spans="1:2">
      <c r="A77" s="49"/>
      <c r="B77" s="49"/>
    </row>
    <row r="78" spans="1:2">
      <c r="A78" s="49"/>
      <c r="B78" s="49"/>
    </row>
    <row r="79" spans="1:2">
      <c r="A79" s="49"/>
      <c r="B79" s="49"/>
    </row>
    <row r="80" spans="1:2">
      <c r="A80" s="49"/>
      <c r="B80" s="49"/>
    </row>
    <row r="81" spans="1:2">
      <c r="A81" s="49"/>
      <c r="B81" s="49"/>
    </row>
    <row r="82" spans="1:2">
      <c r="A82" s="49"/>
      <c r="B82" s="49"/>
    </row>
    <row r="83" spans="1:2">
      <c r="A83" s="49"/>
      <c r="B83" s="49"/>
    </row>
    <row r="84" spans="1:2">
      <c r="A84" s="49"/>
      <c r="B84" s="49"/>
    </row>
    <row r="85" spans="1:2">
      <c r="A85" s="49"/>
      <c r="B85" s="49"/>
    </row>
    <row r="86" spans="1:2">
      <c r="A86" s="49"/>
      <c r="B86" s="49"/>
    </row>
    <row r="87" spans="1:2">
      <c r="A87" s="49"/>
      <c r="B87" s="49"/>
    </row>
    <row r="88" spans="1:2">
      <c r="A88" s="49"/>
      <c r="B88" s="49"/>
    </row>
    <row r="89" spans="1:2">
      <c r="A89" s="49"/>
      <c r="B89" s="49"/>
    </row>
    <row r="90" spans="1:2">
      <c r="A90" s="49"/>
      <c r="B90" s="49"/>
    </row>
    <row r="91" spans="1:2">
      <c r="A91" s="49"/>
      <c r="B91" s="49"/>
    </row>
    <row r="92" spans="1:2">
      <c r="A92" s="49"/>
      <c r="B92" s="49"/>
    </row>
    <row r="93" spans="1:2">
      <c r="A93" s="49"/>
      <c r="B93" s="49"/>
    </row>
    <row r="94" spans="1:2">
      <c r="A94" s="49"/>
      <c r="B94" s="49"/>
    </row>
    <row r="95" spans="1:2">
      <c r="A95" s="49"/>
      <c r="B95" s="49"/>
    </row>
    <row r="96" spans="1:2">
      <c r="A96" s="49"/>
      <c r="B96" s="49"/>
    </row>
    <row r="97" spans="1:2">
      <c r="A97" s="49"/>
      <c r="B97" s="49"/>
    </row>
    <row r="98" spans="1:2">
      <c r="A98" s="49"/>
      <c r="B98" s="49"/>
    </row>
    <row r="99" spans="1:2">
      <c r="A99" s="49"/>
      <c r="B99" s="49"/>
    </row>
    <row r="100" spans="1:2">
      <c r="A100" s="49"/>
      <c r="B100" s="49"/>
    </row>
    <row r="101" spans="1:2">
      <c r="A101" s="49"/>
      <c r="B101" s="49"/>
    </row>
    <row r="102" spans="1:2">
      <c r="A102" s="49"/>
      <c r="B102" s="49"/>
    </row>
    <row r="103" spans="1:2">
      <c r="A103" s="49"/>
      <c r="B103" s="49"/>
    </row>
    <row r="104" spans="1:2">
      <c r="A104" s="49"/>
      <c r="B104" s="49"/>
    </row>
    <row r="105" spans="1:2">
      <c r="A105" s="49"/>
      <c r="B105" s="49"/>
    </row>
    <row r="106" spans="1:2">
      <c r="A106" s="49"/>
      <c r="B106" s="49"/>
    </row>
    <row r="107" spans="1:2">
      <c r="A107" s="49"/>
      <c r="B107" s="49"/>
    </row>
    <row r="108" spans="1:2">
      <c r="A108" s="49"/>
      <c r="B108" s="49"/>
    </row>
    <row r="109" spans="1:2">
      <c r="A109" s="49"/>
      <c r="B109" s="49"/>
    </row>
    <row r="110" spans="1:2">
      <c r="A110" s="49"/>
      <c r="B110" s="49"/>
    </row>
    <row r="111" spans="1:2">
      <c r="A111" s="49"/>
      <c r="B111" s="49"/>
    </row>
    <row r="112" spans="1:2">
      <c r="A112" s="49"/>
      <c r="B112" s="49"/>
    </row>
    <row r="113" spans="1:2">
      <c r="A113" s="49"/>
      <c r="B113" s="49"/>
    </row>
    <row r="114" spans="1:2">
      <c r="A114" s="49"/>
      <c r="B114" s="49"/>
    </row>
    <row r="115" spans="1:2">
      <c r="A115" s="49"/>
      <c r="B115" s="49"/>
    </row>
    <row r="116" spans="1:2">
      <c r="A116" s="49"/>
      <c r="B116" s="49"/>
    </row>
    <row r="117" spans="1:2">
      <c r="A117" s="49"/>
      <c r="B117" s="49"/>
    </row>
    <row r="118" spans="1:2">
      <c r="A118" s="49"/>
      <c r="B118" s="49"/>
    </row>
    <row r="119" spans="1:2">
      <c r="A119" s="49"/>
      <c r="B119" s="49"/>
    </row>
    <row r="120" spans="1:2">
      <c r="A120" s="49"/>
      <c r="B120" s="49"/>
    </row>
    <row r="121" spans="1:2">
      <c r="A121" s="49"/>
      <c r="B121" s="49"/>
    </row>
    <row r="122" spans="1:2">
      <c r="A122" s="49"/>
      <c r="B122" s="49"/>
    </row>
    <row r="123" spans="1:2">
      <c r="A123" s="49"/>
      <c r="B123" s="49"/>
    </row>
    <row r="124" spans="1:2">
      <c r="A124" s="49"/>
      <c r="B124" s="49"/>
    </row>
    <row r="125" spans="1:2">
      <c r="A125" s="49"/>
      <c r="B125" s="49"/>
    </row>
    <row r="126" spans="1:2">
      <c r="A126" s="49"/>
      <c r="B126" s="49"/>
    </row>
    <row r="127" spans="1:2">
      <c r="A127" s="49"/>
      <c r="B127" s="49"/>
    </row>
    <row r="128" spans="1:2">
      <c r="A128" s="49"/>
      <c r="B128" s="49"/>
    </row>
    <row r="129" spans="1:2">
      <c r="A129" s="49"/>
      <c r="B129" s="49"/>
    </row>
    <row r="130" spans="1:2">
      <c r="A130" s="49"/>
      <c r="B130" s="49"/>
    </row>
    <row r="131" spans="1:2">
      <c r="A131" s="49"/>
      <c r="B131" s="49"/>
    </row>
    <row r="132" spans="1:2">
      <c r="A132" s="49"/>
      <c r="B132" s="49"/>
    </row>
    <row r="133" spans="1:2">
      <c r="A133" s="49"/>
      <c r="B133" s="49"/>
    </row>
    <row r="134" spans="1:2">
      <c r="A134" s="49"/>
      <c r="B134" s="49"/>
    </row>
    <row r="135" spans="1:2">
      <c r="A135" s="49"/>
      <c r="B135" s="49"/>
    </row>
    <row r="136" spans="1:2">
      <c r="A136" s="49"/>
      <c r="B136" s="49"/>
    </row>
    <row r="137" spans="1:2">
      <c r="A137" s="49"/>
      <c r="B137" s="49"/>
    </row>
    <row r="138" spans="1:2">
      <c r="A138" s="49"/>
      <c r="B138" s="49"/>
    </row>
    <row r="139" spans="1:2">
      <c r="A139" s="49"/>
      <c r="B139" s="49"/>
    </row>
    <row r="140" spans="1:2">
      <c r="A140" s="49"/>
      <c r="B140" s="49"/>
    </row>
    <row r="141" spans="1:2">
      <c r="A141" s="49"/>
      <c r="B141" s="49"/>
    </row>
    <row r="142" spans="1:2">
      <c r="A142" s="49"/>
      <c r="B142" s="49"/>
    </row>
    <row r="143" spans="1:2">
      <c r="A143" s="49"/>
      <c r="B143" s="49"/>
    </row>
    <row r="144" spans="1:2">
      <c r="A144" s="49"/>
      <c r="B144" s="49"/>
    </row>
    <row r="145" spans="1:2">
      <c r="A145" s="49"/>
      <c r="B145" s="49"/>
    </row>
    <row r="146" spans="1:2">
      <c r="A146" s="49"/>
      <c r="B146" s="49"/>
    </row>
    <row r="147" spans="1:2">
      <c r="A147" s="49"/>
      <c r="B147" s="49"/>
    </row>
    <row r="148" spans="1:2">
      <c r="A148" s="49"/>
      <c r="B148" s="49"/>
    </row>
    <row r="149" spans="1:2">
      <c r="A149" s="49"/>
      <c r="B149" s="49"/>
    </row>
    <row r="150" spans="1:2">
      <c r="A150" s="49"/>
      <c r="B150" s="49"/>
    </row>
    <row r="151" spans="1:2">
      <c r="A151" s="49"/>
      <c r="B151" s="49"/>
    </row>
    <row r="152" spans="1:2">
      <c r="A152" s="49"/>
      <c r="B152" s="49"/>
    </row>
    <row r="153" spans="1:2">
      <c r="A153" s="49"/>
      <c r="B153" s="49"/>
    </row>
    <row r="154" spans="1:2">
      <c r="A154" s="49"/>
      <c r="B154" s="49"/>
    </row>
    <row r="155" spans="1:2">
      <c r="A155" s="49"/>
      <c r="B155" s="49"/>
    </row>
    <row r="156" spans="1:2">
      <c r="A156" s="49"/>
      <c r="B156" s="49"/>
    </row>
    <row r="157" spans="1:2">
      <c r="A157" s="49"/>
      <c r="B157" s="49"/>
    </row>
    <row r="158" spans="1:2">
      <c r="A158" s="49"/>
      <c r="B158" s="49"/>
    </row>
    <row r="159" spans="1:2">
      <c r="A159" s="49"/>
      <c r="B159" s="49"/>
    </row>
    <row r="160" spans="1:2">
      <c r="A160" s="49"/>
      <c r="B160" s="49"/>
    </row>
    <row r="161" spans="1:2">
      <c r="A161" s="49"/>
      <c r="B161" s="49"/>
    </row>
    <row r="162" spans="1:2">
      <c r="A162" s="49"/>
      <c r="B162" s="49"/>
    </row>
    <row r="163" spans="1:2">
      <c r="A163" s="49"/>
      <c r="B163" s="49"/>
    </row>
    <row r="164" spans="1:2">
      <c r="A164" s="49"/>
      <c r="B164" s="49"/>
    </row>
    <row r="165" spans="1:2">
      <c r="A165" s="49"/>
      <c r="B165" s="49"/>
    </row>
    <row r="166" spans="1:2">
      <c r="A166" s="49"/>
      <c r="B166" s="49"/>
    </row>
    <row r="167" spans="1:2">
      <c r="A167" s="49"/>
      <c r="B167" s="49"/>
    </row>
    <row r="168" spans="1:2">
      <c r="A168" s="49"/>
      <c r="B168" s="49"/>
    </row>
    <row r="169" spans="1:2">
      <c r="A169" s="49"/>
      <c r="B169" s="49"/>
    </row>
    <row r="170" spans="1:2">
      <c r="A170" s="49"/>
      <c r="B170" s="49"/>
    </row>
    <row r="171" spans="1:2">
      <c r="A171" s="49"/>
      <c r="B171" s="49"/>
    </row>
    <row r="172" spans="1:2">
      <c r="A172" s="49"/>
      <c r="B172" s="49"/>
    </row>
    <row r="173" spans="1:2">
      <c r="A173" s="49"/>
      <c r="B173" s="49"/>
    </row>
    <row r="174" spans="1:2">
      <c r="A174" s="49"/>
      <c r="B174" s="49"/>
    </row>
    <row r="175" spans="1:2">
      <c r="A175" s="49"/>
      <c r="B175" s="49"/>
    </row>
    <row r="176" spans="1:2">
      <c r="A176" s="49"/>
      <c r="B176" s="49"/>
    </row>
    <row r="177" spans="1:2">
      <c r="A177" s="49"/>
      <c r="B177" s="49"/>
    </row>
    <row r="178" spans="1:2">
      <c r="A178" s="49"/>
      <c r="B178" s="49"/>
    </row>
    <row r="179" spans="1:2">
      <c r="A179" s="49"/>
      <c r="B179" s="49"/>
    </row>
    <row r="180" spans="1:2">
      <c r="A180" s="49"/>
      <c r="B180" s="49"/>
    </row>
    <row r="181" spans="1:2">
      <c r="A181" s="49"/>
      <c r="B181" s="49"/>
    </row>
    <row r="182" spans="1:2">
      <c r="A182" s="49"/>
      <c r="B182" s="49"/>
    </row>
    <row r="183" spans="1:2">
      <c r="A183" s="49"/>
      <c r="B183" s="49"/>
    </row>
    <row r="184" spans="1:2">
      <c r="A184" s="49"/>
      <c r="B184" s="49"/>
    </row>
    <row r="185" spans="1:2">
      <c r="A185" s="49"/>
      <c r="B185" s="49"/>
    </row>
    <row r="186" spans="1:2">
      <c r="A186" s="49"/>
      <c r="B186" s="49"/>
    </row>
    <row r="187" spans="1:2">
      <c r="A187" s="49"/>
      <c r="B187" s="49"/>
    </row>
    <row r="188" spans="1:2">
      <c r="A188" s="49"/>
      <c r="B188" s="49"/>
    </row>
    <row r="189" spans="1:2">
      <c r="A189" s="49"/>
      <c r="B189" s="49"/>
    </row>
    <row r="190" spans="1:2">
      <c r="A190" s="49"/>
      <c r="B190" s="49"/>
    </row>
    <row r="191" spans="1:2">
      <c r="A191" s="49"/>
      <c r="B191" s="49"/>
    </row>
    <row r="192" spans="1:2">
      <c r="A192" s="49"/>
      <c r="B192" s="49"/>
    </row>
    <row r="193" spans="1:2">
      <c r="A193" s="49"/>
      <c r="B193" s="49"/>
    </row>
    <row r="194" spans="1:2">
      <c r="A194" s="49"/>
      <c r="B194" s="49"/>
    </row>
    <row r="195" spans="1:2">
      <c r="A195" s="49"/>
      <c r="B195" s="49"/>
    </row>
    <row r="196" spans="1:2">
      <c r="A196" s="49"/>
      <c r="B196" s="49"/>
    </row>
    <row r="197" spans="1:2">
      <c r="A197" s="49"/>
      <c r="B197" s="49"/>
    </row>
    <row r="198" spans="1:2">
      <c r="A198" s="49"/>
      <c r="B198" s="49"/>
    </row>
    <row r="199" spans="1:2">
      <c r="A199" s="49"/>
      <c r="B199" s="49"/>
    </row>
    <row r="200" spans="1:2">
      <c r="A200" s="49"/>
      <c r="B200" s="49"/>
    </row>
    <row r="201" spans="1:2">
      <c r="A201" s="49"/>
      <c r="B201" s="49"/>
    </row>
    <row r="202" spans="1:2">
      <c r="A202" s="49"/>
      <c r="B202" s="49"/>
    </row>
    <row r="203" spans="1:2">
      <c r="A203" s="49"/>
      <c r="B203" s="49"/>
    </row>
    <row r="204" spans="1:2">
      <c r="A204" s="49"/>
      <c r="B204" s="49"/>
    </row>
    <row r="205" spans="1:2">
      <c r="A205" s="49"/>
      <c r="B205" s="49"/>
    </row>
    <row r="206" spans="1:2">
      <c r="A206" s="49"/>
      <c r="B206" s="49"/>
    </row>
    <row r="207" spans="1:2">
      <c r="A207" s="49"/>
      <c r="B207" s="49"/>
    </row>
    <row r="208" spans="1:2">
      <c r="A208" s="49"/>
      <c r="B208" s="49"/>
    </row>
    <row r="209" spans="1:2">
      <c r="A209" s="49"/>
      <c r="B209" s="49"/>
    </row>
    <row r="210" spans="1:2">
      <c r="A210" s="49"/>
      <c r="B210" s="49"/>
    </row>
    <row r="211" spans="1:2">
      <c r="A211" s="49"/>
      <c r="B211" s="49"/>
    </row>
    <row r="212" spans="1:2">
      <c r="A212" s="49"/>
      <c r="B212" s="49"/>
    </row>
    <row r="213" spans="1:2">
      <c r="A213" s="49"/>
      <c r="B213" s="49"/>
    </row>
    <row r="214" spans="1:2">
      <c r="A214" s="49"/>
      <c r="B214" s="49"/>
    </row>
    <row r="215" spans="1:2">
      <c r="A215" s="49"/>
      <c r="B215" s="49"/>
    </row>
    <row r="216" spans="1:2">
      <c r="A216" s="49"/>
      <c r="B216" s="49"/>
    </row>
    <row r="217" spans="1:2">
      <c r="A217" s="49"/>
      <c r="B217" s="49"/>
    </row>
    <row r="218" spans="1:2">
      <c r="A218" s="49"/>
      <c r="B218" s="49"/>
    </row>
    <row r="219" spans="1:2">
      <c r="A219" s="49"/>
      <c r="B219" s="49"/>
    </row>
    <row r="220" spans="1:2">
      <c r="A220" s="49"/>
      <c r="B220" s="49"/>
    </row>
    <row r="221" spans="1:2">
      <c r="A221" s="49"/>
      <c r="B221" s="49"/>
    </row>
    <row r="222" spans="1:2">
      <c r="A222" s="49"/>
      <c r="B222" s="49"/>
    </row>
    <row r="223" spans="1:2">
      <c r="A223" s="49"/>
      <c r="B223" s="49"/>
    </row>
    <row r="224" spans="1:2">
      <c r="A224" s="49"/>
      <c r="B224" s="49"/>
    </row>
    <row r="225" spans="1:2">
      <c r="A225" s="49"/>
      <c r="B225" s="49"/>
    </row>
    <row r="226" spans="1:2">
      <c r="A226" s="49"/>
      <c r="B226" s="49"/>
    </row>
    <row r="227" spans="1:2">
      <c r="A227" s="49"/>
      <c r="B227" s="49"/>
    </row>
    <row r="228" spans="1:2">
      <c r="A228" s="49"/>
      <c r="B228" s="49"/>
    </row>
    <row r="229" spans="1:2">
      <c r="A229" s="49"/>
      <c r="B229" s="49"/>
    </row>
    <row r="230" spans="1:2">
      <c r="A230" s="49"/>
      <c r="B230" s="49"/>
    </row>
    <row r="231" spans="1:2">
      <c r="A231" s="49"/>
      <c r="B231" s="49"/>
    </row>
    <row r="232" spans="1:2">
      <c r="A232" s="49"/>
      <c r="B232" s="49"/>
    </row>
    <row r="233" spans="1:2">
      <c r="A233" s="49"/>
      <c r="B233" s="49"/>
    </row>
    <row r="234" spans="1:2">
      <c r="A234" s="49"/>
      <c r="B234" s="49"/>
    </row>
    <row r="235" spans="1:2">
      <c r="A235" s="49"/>
      <c r="B235" s="49"/>
    </row>
    <row r="236" spans="1:2">
      <c r="A236" s="49"/>
      <c r="B236" s="49"/>
    </row>
    <row r="237" spans="1:2">
      <c r="A237" s="49"/>
      <c r="B237" s="49"/>
    </row>
    <row r="238" spans="1:2">
      <c r="A238" s="49"/>
      <c r="B238" s="49"/>
    </row>
    <row r="239" spans="1:2">
      <c r="A239" s="49"/>
      <c r="B239" s="49"/>
    </row>
    <row r="240" spans="1:2">
      <c r="A240" s="49"/>
      <c r="B240" s="49"/>
    </row>
    <row r="241" spans="1:2">
      <c r="A241" s="49"/>
      <c r="B241" s="49"/>
    </row>
    <row r="242" spans="1:2">
      <c r="A242" s="49"/>
      <c r="B242" s="49"/>
    </row>
    <row r="243" spans="1:2">
      <c r="A243" s="49"/>
      <c r="B243" s="49"/>
    </row>
    <row r="244" spans="1:2">
      <c r="A244" s="49"/>
      <c r="B244" s="49"/>
    </row>
    <row r="245" spans="1:2">
      <c r="A245" s="49"/>
      <c r="B245" s="49"/>
    </row>
    <row r="246" spans="1:2">
      <c r="A246" s="49"/>
      <c r="B246" s="49"/>
    </row>
    <row r="247" spans="1:2">
      <c r="A247" s="49"/>
      <c r="B247" s="49"/>
    </row>
    <row r="248" spans="1:2">
      <c r="A248" s="49"/>
      <c r="B248" s="49"/>
    </row>
    <row r="249" spans="1:2">
      <c r="A249" s="49"/>
      <c r="B249" s="49"/>
    </row>
    <row r="250" spans="1:2">
      <c r="A250" s="49"/>
      <c r="B250" s="49"/>
    </row>
    <row r="251" spans="1:2">
      <c r="A251" s="49"/>
      <c r="B251" s="49"/>
    </row>
    <row r="252" spans="1:2">
      <c r="A252" s="49"/>
      <c r="B252" s="49"/>
    </row>
    <row r="253" spans="1:2">
      <c r="A253" s="49"/>
      <c r="B253" s="49"/>
    </row>
    <row r="254" spans="1:2">
      <c r="A254" s="49"/>
      <c r="B254" s="49"/>
    </row>
    <row r="255" spans="1:2">
      <c r="A255" s="49"/>
      <c r="B255" s="49"/>
    </row>
    <row r="256" spans="1:2">
      <c r="A256" s="49"/>
      <c r="B256" s="49"/>
    </row>
    <row r="257" spans="1:2">
      <c r="A257" s="49"/>
      <c r="B257" s="49"/>
    </row>
    <row r="258" spans="1:2">
      <c r="A258" s="49"/>
      <c r="B258" s="49"/>
    </row>
    <row r="259" spans="1:2">
      <c r="A259" s="49"/>
      <c r="B259" s="49"/>
    </row>
    <row r="260" spans="1:2">
      <c r="A260" s="49"/>
      <c r="B260" s="49"/>
    </row>
    <row r="261" spans="1:2">
      <c r="A261" s="49"/>
      <c r="B261" s="49"/>
    </row>
    <row r="262" spans="1:2">
      <c r="A262" s="49"/>
      <c r="B262" s="49"/>
    </row>
    <row r="263" spans="1:2">
      <c r="A263" s="49"/>
      <c r="B263" s="49"/>
    </row>
    <row r="264" spans="1:2">
      <c r="A264" s="49"/>
      <c r="B264" s="49"/>
    </row>
    <row r="265" spans="1:2">
      <c r="A265" s="49"/>
      <c r="B265" s="49"/>
    </row>
    <row r="266" spans="1:2">
      <c r="A266" s="49"/>
      <c r="B266" s="49"/>
    </row>
    <row r="267" spans="1:2">
      <c r="A267" s="49"/>
      <c r="B267" s="49"/>
    </row>
    <row r="268" spans="1:2">
      <c r="A268" s="49"/>
      <c r="B268" s="49"/>
    </row>
    <row r="269" spans="1:2">
      <c r="A269" s="49"/>
      <c r="B269" s="49"/>
    </row>
    <row r="270" spans="1:2">
      <c r="A270" s="49"/>
      <c r="B270" s="49"/>
    </row>
    <row r="271" spans="1:2">
      <c r="A271" s="49"/>
      <c r="B271" s="49"/>
    </row>
    <row r="272" spans="1:2">
      <c r="A272" s="49"/>
      <c r="B272" s="49"/>
    </row>
    <row r="273" spans="1:2">
      <c r="A273" s="49"/>
      <c r="B273" s="49"/>
    </row>
    <row r="274" spans="1:2">
      <c r="A274" s="49"/>
      <c r="B274" s="49"/>
    </row>
    <row r="275" spans="1:2">
      <c r="A275" s="49"/>
      <c r="B275" s="49"/>
    </row>
    <row r="276" spans="1:2">
      <c r="A276" s="49"/>
      <c r="B276" s="49"/>
    </row>
    <row r="277" spans="1:2">
      <c r="A277" s="49"/>
      <c r="B277" s="49"/>
    </row>
    <row r="278" spans="1:2">
      <c r="A278" s="49"/>
      <c r="B278" s="49"/>
    </row>
    <row r="279" spans="1:2">
      <c r="A279" s="49"/>
      <c r="B279" s="49"/>
    </row>
    <row r="280" spans="1:2">
      <c r="A280" s="49"/>
      <c r="B280" s="49"/>
    </row>
    <row r="281" spans="1:2">
      <c r="A281" s="49"/>
      <c r="B281" s="49"/>
    </row>
    <row r="282" spans="1:2">
      <c r="A282" s="49"/>
      <c r="B282" s="49"/>
    </row>
    <row r="283" spans="1:2">
      <c r="A283" s="49"/>
      <c r="B283" s="49"/>
    </row>
    <row r="284" spans="1:2">
      <c r="A284" s="49"/>
      <c r="B284" s="49"/>
    </row>
    <row r="285" spans="1:2">
      <c r="A285" s="49"/>
      <c r="B285" s="49"/>
    </row>
    <row r="286" spans="1:2">
      <c r="A286" s="49"/>
      <c r="B286" s="49"/>
    </row>
    <row r="287" spans="1:2">
      <c r="A287" s="49"/>
      <c r="B287" s="49"/>
    </row>
    <row r="288" spans="1:2">
      <c r="A288" s="49"/>
      <c r="B288" s="49"/>
    </row>
    <row r="289" spans="1:2">
      <c r="A289" s="49"/>
      <c r="B289" s="49"/>
    </row>
    <row r="290" spans="1:2">
      <c r="A290" s="49"/>
      <c r="B290" s="49"/>
    </row>
    <row r="291" spans="1:2">
      <c r="A291" s="49"/>
      <c r="B291" s="49"/>
    </row>
    <row r="292" spans="1:2">
      <c r="A292" s="49"/>
      <c r="B292" s="49"/>
    </row>
    <row r="293" spans="1:2">
      <c r="A293" s="49"/>
      <c r="B293" s="49"/>
    </row>
    <row r="294" spans="1:2">
      <c r="A294" s="49"/>
      <c r="B294" s="49"/>
    </row>
    <row r="295" spans="1:2">
      <c r="A295" s="49"/>
      <c r="B295" s="49"/>
    </row>
    <row r="296" spans="1:2">
      <c r="A296" s="49"/>
      <c r="B296" s="49"/>
    </row>
    <row r="297" spans="1:2">
      <c r="A297" s="49"/>
      <c r="B297" s="49"/>
    </row>
    <row r="298" spans="1:2">
      <c r="A298" s="49"/>
      <c r="B298" s="49"/>
    </row>
    <row r="299" spans="1:2">
      <c r="A299" s="49"/>
      <c r="B299" s="49"/>
    </row>
    <row r="300" spans="1:2">
      <c r="A300" s="49"/>
      <c r="B300" s="49"/>
    </row>
    <row r="301" spans="1:2">
      <c r="A301" s="49"/>
      <c r="B301" s="49"/>
    </row>
    <row r="302" spans="1:2">
      <c r="A302" s="49"/>
      <c r="B302" s="49"/>
    </row>
    <row r="303" spans="1:2">
      <c r="A303" s="49"/>
      <c r="B303" s="49"/>
    </row>
    <row r="304" spans="1:2">
      <c r="A304" s="49"/>
      <c r="B304" s="49"/>
    </row>
    <row r="305" spans="1:2">
      <c r="A305" s="49"/>
      <c r="B305" s="49"/>
    </row>
    <row r="306" spans="1:2">
      <c r="A306" s="49"/>
      <c r="B306" s="49"/>
    </row>
    <row r="307" spans="1:2">
      <c r="A307" s="49"/>
      <c r="B307" s="49"/>
    </row>
    <row r="308" spans="1:2">
      <c r="A308" s="49"/>
      <c r="B308" s="49"/>
    </row>
    <row r="309" spans="1:2">
      <c r="A309" s="49"/>
      <c r="B309" s="49"/>
    </row>
    <row r="310" spans="1:2">
      <c r="A310" s="49"/>
      <c r="B310" s="49"/>
    </row>
    <row r="311" spans="1:2">
      <c r="A311" s="49"/>
      <c r="B311" s="49"/>
    </row>
    <row r="312" spans="1:2">
      <c r="A312" s="49"/>
      <c r="B312" s="49"/>
    </row>
    <row r="313" spans="1:2">
      <c r="A313" s="49"/>
      <c r="B313" s="49"/>
    </row>
    <row r="314" spans="1:2">
      <c r="A314" s="49"/>
      <c r="B314" s="49"/>
    </row>
    <row r="315" spans="1:2">
      <c r="A315" s="49"/>
      <c r="B315" s="49"/>
    </row>
    <row r="316" spans="1:2">
      <c r="A316" s="49"/>
      <c r="B316" s="49"/>
    </row>
    <row r="317" spans="1:2">
      <c r="A317" s="49"/>
      <c r="B317" s="49"/>
    </row>
    <row r="318" spans="1:2">
      <c r="A318" s="49"/>
      <c r="B318" s="49"/>
    </row>
    <row r="319" spans="1:2">
      <c r="A319" s="49"/>
      <c r="B319" s="49"/>
    </row>
    <row r="320" spans="1:2">
      <c r="A320" s="49"/>
      <c r="B320" s="49"/>
    </row>
    <row r="321" spans="1:2">
      <c r="A321" s="49"/>
      <c r="B321" s="49"/>
    </row>
    <row r="322" spans="1:2">
      <c r="A322" s="49"/>
      <c r="B322" s="49"/>
    </row>
    <row r="323" spans="1:2">
      <c r="A323" s="49"/>
      <c r="B323" s="49"/>
    </row>
    <row r="324" spans="1:2">
      <c r="A324" s="49"/>
      <c r="B324" s="49"/>
    </row>
    <row r="325" spans="1:2">
      <c r="A325" s="49"/>
      <c r="B325" s="49"/>
    </row>
    <row r="326" spans="1:2">
      <c r="A326" s="49"/>
      <c r="B326" s="49"/>
    </row>
    <row r="327" spans="1:2">
      <c r="A327" s="49"/>
      <c r="B327" s="49"/>
    </row>
    <row r="328" spans="1:2">
      <c r="A328" s="49"/>
      <c r="B328" s="49"/>
    </row>
    <row r="329" spans="1:2">
      <c r="A329" s="49"/>
      <c r="B329" s="49"/>
    </row>
    <row r="330" spans="1:2">
      <c r="A330" s="49"/>
      <c r="B330" s="49"/>
    </row>
    <row r="331" spans="1:2">
      <c r="A331" s="49"/>
      <c r="B331" s="49"/>
    </row>
    <row r="332" spans="1:2">
      <c r="A332" s="49"/>
      <c r="B332" s="49"/>
    </row>
    <row r="333" spans="1:2">
      <c r="A333" s="49"/>
      <c r="B333" s="49"/>
    </row>
    <row r="334" spans="1:2">
      <c r="A334" s="49"/>
      <c r="B334" s="49"/>
    </row>
    <row r="335" spans="1:2">
      <c r="A335" s="49"/>
      <c r="B335" s="49"/>
    </row>
    <row r="336" spans="1:2">
      <c r="A336" s="49"/>
      <c r="B336" s="49"/>
    </row>
    <row r="337" spans="1:2">
      <c r="A337" s="49"/>
      <c r="B337" s="49"/>
    </row>
    <row r="338" spans="1:2">
      <c r="A338" s="49"/>
      <c r="B338" s="49"/>
    </row>
    <row r="339" spans="1:2">
      <c r="A339" s="49"/>
      <c r="B339" s="49"/>
    </row>
    <row r="340" spans="1:2">
      <c r="A340" s="49"/>
      <c r="B340" s="49"/>
    </row>
    <row r="341" spans="1:2">
      <c r="A341" s="49"/>
      <c r="B341" s="49"/>
    </row>
    <row r="342" spans="1:2">
      <c r="A342" s="49"/>
      <c r="B342" s="49"/>
    </row>
    <row r="343" spans="1:2">
      <c r="A343" s="49"/>
      <c r="B343" s="49"/>
    </row>
    <row r="344" spans="1:2">
      <c r="A344" s="49"/>
      <c r="B344" s="49"/>
    </row>
    <row r="345" spans="1:2">
      <c r="A345" s="49"/>
      <c r="B345" s="49"/>
    </row>
    <row r="346" spans="1:2">
      <c r="A346" s="49"/>
      <c r="B346" s="49"/>
    </row>
    <row r="347" spans="1:2">
      <c r="A347" s="49"/>
      <c r="B347" s="49"/>
    </row>
    <row r="348" spans="1:2">
      <c r="A348" s="49"/>
      <c r="B348" s="49"/>
    </row>
    <row r="349" spans="1:2">
      <c r="A349" s="49"/>
      <c r="B349" s="49"/>
    </row>
    <row r="350" spans="1:2">
      <c r="A350" s="49"/>
      <c r="B350" s="49"/>
    </row>
    <row r="351" spans="1:2">
      <c r="A351" s="49"/>
      <c r="B351" s="49"/>
    </row>
    <row r="352" spans="1:2">
      <c r="A352" s="49"/>
      <c r="B352" s="49"/>
    </row>
    <row r="353" spans="1:2">
      <c r="A353" s="49"/>
      <c r="B353" s="49"/>
    </row>
    <row r="354" spans="1:2">
      <c r="A354" s="49"/>
      <c r="B354" s="49"/>
    </row>
    <row r="355" spans="1:2">
      <c r="A355" s="49"/>
      <c r="B355" s="49"/>
    </row>
    <row r="356" spans="1:2">
      <c r="A356" s="49"/>
      <c r="B356" s="49"/>
    </row>
    <row r="357" spans="1:2">
      <c r="A357" s="49"/>
      <c r="B357" s="49"/>
    </row>
    <row r="358" spans="1:2">
      <c r="A358" s="49"/>
      <c r="B358" s="49"/>
    </row>
    <row r="359" spans="1:2">
      <c r="A359" s="49"/>
      <c r="B359" s="49"/>
    </row>
    <row r="360" spans="1:2">
      <c r="A360" s="49"/>
      <c r="B360" s="49"/>
    </row>
    <row r="361" spans="1:2">
      <c r="A361" s="49"/>
      <c r="B361" s="49"/>
    </row>
    <row r="362" spans="1:2">
      <c r="A362" s="49"/>
      <c r="B362" s="49"/>
    </row>
    <row r="363" spans="1:2">
      <c r="A363" s="49"/>
      <c r="B363" s="49"/>
    </row>
    <row r="364" spans="1:2">
      <c r="A364" s="49"/>
      <c r="B364" s="49"/>
    </row>
    <row r="365" spans="1:2">
      <c r="A365" s="49"/>
      <c r="B365" s="49"/>
    </row>
    <row r="366" spans="1:2">
      <c r="A366" s="49"/>
      <c r="B366" s="49"/>
    </row>
    <row r="367" spans="1:2">
      <c r="A367" s="49"/>
      <c r="B367" s="49"/>
    </row>
    <row r="368" spans="1:2">
      <c r="A368" s="49"/>
      <c r="B368" s="49"/>
    </row>
    <row r="369" spans="1:2">
      <c r="A369" s="49"/>
      <c r="B369" s="49"/>
    </row>
    <row r="370" spans="1:2">
      <c r="A370" s="49"/>
      <c r="B370" s="49"/>
    </row>
    <row r="371" spans="1:2">
      <c r="A371" s="49"/>
      <c r="B371" s="49"/>
    </row>
    <row r="372" spans="1:2">
      <c r="A372" s="49"/>
      <c r="B372" s="49"/>
    </row>
    <row r="373" spans="1:2">
      <c r="A373" s="49"/>
      <c r="B373" s="49"/>
    </row>
    <row r="374" spans="1:2">
      <c r="A374" s="49"/>
      <c r="B374" s="49"/>
    </row>
    <row r="375" spans="1:2">
      <c r="A375" s="49"/>
      <c r="B375" s="49"/>
    </row>
    <row r="376" spans="1:2">
      <c r="A376" s="49"/>
      <c r="B376" s="49"/>
    </row>
    <row r="377" spans="1:2">
      <c r="A377" s="49"/>
      <c r="B377" s="49"/>
    </row>
    <row r="378" spans="1:2">
      <c r="A378" s="49"/>
      <c r="B378" s="49"/>
    </row>
    <row r="379" spans="1:2">
      <c r="A379" s="49"/>
      <c r="B379" s="49"/>
    </row>
    <row r="380" spans="1:2">
      <c r="A380" s="49"/>
      <c r="B380" s="49"/>
    </row>
    <row r="381" spans="1:2">
      <c r="A381" s="49"/>
      <c r="B381" s="49"/>
    </row>
    <row r="382" spans="1:2">
      <c r="A382" s="49"/>
      <c r="B382" s="49"/>
    </row>
    <row r="383" spans="1:2">
      <c r="A383" s="49"/>
      <c r="B383" s="49"/>
    </row>
    <row r="384" spans="1:2">
      <c r="A384" s="49"/>
      <c r="B384" s="49"/>
    </row>
    <row r="385" spans="1:2">
      <c r="A385" s="49"/>
      <c r="B385" s="49"/>
    </row>
    <row r="386" spans="1:2">
      <c r="A386" s="49"/>
      <c r="B386" s="49"/>
    </row>
    <row r="387" spans="1:2">
      <c r="A387" s="49"/>
      <c r="B387" s="49"/>
    </row>
    <row r="388" spans="1:2">
      <c r="A388" s="49"/>
      <c r="B388" s="49"/>
    </row>
    <row r="389" spans="1:2">
      <c r="A389" s="49"/>
      <c r="B389" s="49"/>
    </row>
    <row r="390" spans="1:2">
      <c r="A390" s="49"/>
      <c r="B390" s="49"/>
    </row>
    <row r="391" spans="1:2">
      <c r="A391" s="49"/>
      <c r="B391" s="49"/>
    </row>
    <row r="392" spans="1:2">
      <c r="A392" s="49"/>
      <c r="B392" s="49"/>
    </row>
    <row r="393" spans="1:2">
      <c r="A393" s="49"/>
      <c r="B393" s="49"/>
    </row>
    <row r="394" spans="1:2">
      <c r="A394" s="49"/>
      <c r="B394" s="49"/>
    </row>
    <row r="395" spans="1:2">
      <c r="A395" s="49"/>
      <c r="B395" s="49"/>
    </row>
    <row r="396" spans="1:2">
      <c r="A396" s="49"/>
      <c r="B396" s="49"/>
    </row>
    <row r="397" spans="1:2">
      <c r="A397" s="49"/>
      <c r="B397" s="49"/>
    </row>
    <row r="398" spans="1:2">
      <c r="A398" s="49"/>
      <c r="B398" s="49"/>
    </row>
    <row r="399" spans="1:2">
      <c r="A399" s="49"/>
      <c r="B399" s="49"/>
    </row>
    <row r="400" spans="1:2">
      <c r="A400" s="49"/>
      <c r="B400" s="49"/>
    </row>
    <row r="401" spans="1:2">
      <c r="A401" s="49"/>
      <c r="B401" s="49"/>
    </row>
    <row r="402" spans="1:2">
      <c r="A402" s="49"/>
      <c r="B402" s="49"/>
    </row>
    <row r="403" spans="1:2">
      <c r="A403" s="49"/>
      <c r="B403" s="49"/>
    </row>
    <row r="404" spans="1:2">
      <c r="A404" s="49"/>
      <c r="B404" s="49"/>
    </row>
    <row r="405" spans="1:2">
      <c r="A405" s="49"/>
      <c r="B405" s="49"/>
    </row>
    <row r="406" spans="1:2">
      <c r="A406" s="49"/>
      <c r="B406" s="49"/>
    </row>
    <row r="407" spans="1:2">
      <c r="A407" s="49"/>
      <c r="B407" s="49"/>
    </row>
    <row r="408" spans="1:2">
      <c r="A408" s="49"/>
      <c r="B408" s="49"/>
    </row>
    <row r="409" spans="1:2">
      <c r="A409" s="49"/>
      <c r="B409" s="49"/>
    </row>
    <row r="410" spans="1:2">
      <c r="A410" s="49"/>
      <c r="B410" s="49"/>
    </row>
    <row r="411" spans="1:2">
      <c r="A411" s="49"/>
      <c r="B411" s="49"/>
    </row>
    <row r="412" spans="1:2">
      <c r="A412" s="49"/>
      <c r="B412" s="49"/>
    </row>
    <row r="413" spans="1:2">
      <c r="A413" s="49"/>
      <c r="B413" s="49"/>
    </row>
    <row r="414" spans="1:2">
      <c r="A414" s="49"/>
      <c r="B414" s="49"/>
    </row>
    <row r="415" spans="1:2">
      <c r="A415" s="49"/>
      <c r="B415" s="49"/>
    </row>
    <row r="416" spans="1:2">
      <c r="A416" s="49"/>
      <c r="B416" s="49"/>
    </row>
    <row r="417" spans="1:2">
      <c r="A417" s="49"/>
      <c r="B417" s="49"/>
    </row>
    <row r="418" spans="1:2">
      <c r="A418" s="49"/>
      <c r="B418" s="49"/>
    </row>
    <row r="419" spans="1:2">
      <c r="A419" s="49"/>
      <c r="B419" s="49"/>
    </row>
    <row r="420" spans="1:2">
      <c r="A420" s="49"/>
      <c r="B420" s="49"/>
    </row>
    <row r="421" spans="1:2">
      <c r="A421" s="49"/>
      <c r="B421" s="49"/>
    </row>
    <row r="422" spans="1:2">
      <c r="A422" s="49"/>
      <c r="B422" s="49"/>
    </row>
    <row r="423" spans="1:2">
      <c r="A423" s="49"/>
      <c r="B423" s="49"/>
    </row>
    <row r="424" spans="1:2">
      <c r="A424" s="49"/>
      <c r="B424" s="49"/>
    </row>
    <row r="425" spans="1:2">
      <c r="A425" s="49"/>
      <c r="B425" s="49"/>
    </row>
    <row r="426" spans="1:2">
      <c r="A426" s="49"/>
      <c r="B426" s="49"/>
    </row>
    <row r="427" spans="1:2">
      <c r="A427" s="49"/>
      <c r="B427" s="49"/>
    </row>
    <row r="428" spans="1:2">
      <c r="A428" s="49"/>
      <c r="B428" s="49"/>
    </row>
    <row r="429" spans="1:2">
      <c r="A429" s="49"/>
      <c r="B429" s="49"/>
    </row>
    <row r="430" spans="1:2">
      <c r="A430" s="49"/>
      <c r="B430" s="49"/>
    </row>
    <row r="431" spans="1:2">
      <c r="A431" s="49"/>
      <c r="B431" s="49"/>
    </row>
    <row r="432" spans="1:2">
      <c r="A432" s="49"/>
      <c r="B432" s="49"/>
    </row>
    <row r="433" spans="1:2">
      <c r="A433" s="49"/>
      <c r="B433" s="49"/>
    </row>
    <row r="434" spans="1:2">
      <c r="A434" s="49"/>
      <c r="B434" s="49"/>
    </row>
    <row r="435" spans="1:2">
      <c r="A435" s="49"/>
      <c r="B435" s="49"/>
    </row>
    <row r="436" spans="1:2">
      <c r="A436" s="49"/>
      <c r="B436" s="49"/>
    </row>
    <row r="437" spans="1:2">
      <c r="A437" s="49"/>
      <c r="B437" s="49"/>
    </row>
    <row r="438" spans="1:2">
      <c r="A438" s="49"/>
      <c r="B438" s="49"/>
    </row>
    <row r="439" spans="1:2">
      <c r="A439" s="49"/>
      <c r="B439" s="49"/>
    </row>
    <row r="440" spans="1:2">
      <c r="A440" s="49"/>
      <c r="B440" s="49"/>
    </row>
    <row r="441" spans="1:2">
      <c r="A441" s="49"/>
      <c r="B441" s="49"/>
    </row>
    <row r="442" spans="1:2">
      <c r="A442" s="49"/>
      <c r="B442" s="49"/>
    </row>
    <row r="443" spans="1:2">
      <c r="A443" s="49"/>
      <c r="B443" s="49"/>
    </row>
    <row r="444" spans="1:2">
      <c r="A444" s="49"/>
      <c r="B444" s="49"/>
    </row>
    <row r="445" spans="1:2">
      <c r="A445" s="49"/>
      <c r="B445" s="49"/>
    </row>
    <row r="446" spans="1:2">
      <c r="A446" s="49"/>
      <c r="B446" s="49"/>
    </row>
    <row r="447" spans="1:2">
      <c r="A447" s="49"/>
      <c r="B447" s="49"/>
    </row>
    <row r="448" spans="1:2">
      <c r="A448" s="49"/>
      <c r="B448" s="49"/>
    </row>
    <row r="449" spans="1:2">
      <c r="A449" s="49"/>
      <c r="B449" s="49"/>
    </row>
    <row r="450" spans="1:2">
      <c r="A450" s="49"/>
      <c r="B450" s="49"/>
    </row>
    <row r="451" spans="1:2">
      <c r="A451" s="49"/>
      <c r="B451" s="49"/>
    </row>
    <row r="452" spans="1:2">
      <c r="A452" s="49"/>
      <c r="B452" s="49"/>
    </row>
    <row r="453" spans="1:2">
      <c r="A453" s="49"/>
      <c r="B453" s="49"/>
    </row>
    <row r="454" spans="1:2">
      <c r="A454" s="49"/>
      <c r="B454" s="49"/>
    </row>
    <row r="455" spans="1:2">
      <c r="A455" s="49"/>
      <c r="B455" s="49"/>
    </row>
    <row r="456" spans="1:2">
      <c r="A456" s="49"/>
      <c r="B456" s="49"/>
    </row>
    <row r="457" spans="1:2">
      <c r="A457" s="49"/>
      <c r="B457" s="49"/>
    </row>
    <row r="458" spans="1:2">
      <c r="A458" s="49"/>
      <c r="B458" s="49"/>
    </row>
    <row r="459" spans="1:2">
      <c r="A459" s="49"/>
      <c r="B459" s="49"/>
    </row>
    <row r="460" spans="1:2">
      <c r="A460" s="49"/>
      <c r="B460" s="49"/>
    </row>
    <row r="461" spans="1:2">
      <c r="A461" s="49"/>
      <c r="B461" s="49"/>
    </row>
    <row r="462" spans="1:2">
      <c r="A462" s="49"/>
      <c r="B462" s="49"/>
    </row>
    <row r="463" spans="1:2">
      <c r="A463" s="49"/>
      <c r="B463" s="49"/>
    </row>
    <row r="464" spans="1:2">
      <c r="A464" s="49"/>
      <c r="B464" s="49"/>
    </row>
    <row r="465" spans="1:2">
      <c r="A465" s="49"/>
      <c r="B465" s="49"/>
    </row>
    <row r="466" spans="1:2">
      <c r="A466" s="49"/>
      <c r="B466" s="49"/>
    </row>
    <row r="467" spans="1:2">
      <c r="A467" s="49"/>
      <c r="B467" s="49"/>
    </row>
    <row r="468" spans="1:2">
      <c r="A468" s="49"/>
      <c r="B468" s="49"/>
    </row>
    <row r="469" spans="1:2">
      <c r="A469" s="49"/>
      <c r="B469" s="49"/>
    </row>
    <row r="470" spans="1:2">
      <c r="A470" s="49"/>
      <c r="B470" s="49"/>
    </row>
    <row r="471" spans="1:2">
      <c r="A471" s="49"/>
      <c r="B471" s="49"/>
    </row>
    <row r="472" spans="1:2">
      <c r="A472" s="49"/>
      <c r="B472" s="49"/>
    </row>
    <row r="473" spans="1:2">
      <c r="A473" s="49"/>
      <c r="B473" s="49"/>
    </row>
    <row r="474" spans="1:2">
      <c r="A474" s="49"/>
      <c r="B474" s="49"/>
    </row>
    <row r="475" spans="1:2">
      <c r="A475" s="49"/>
      <c r="B475" s="49"/>
    </row>
    <row r="476" spans="1:2">
      <c r="A476" s="49"/>
      <c r="B476" s="49"/>
    </row>
    <row r="477" spans="1:2">
      <c r="A477" s="49"/>
      <c r="B477" s="49"/>
    </row>
    <row r="478" spans="1:2">
      <c r="A478" s="49"/>
      <c r="B478" s="49"/>
    </row>
    <row r="479" spans="1:2">
      <c r="A479" s="49"/>
      <c r="B479" s="49"/>
    </row>
    <row r="480" spans="1:2">
      <c r="A480" s="49"/>
      <c r="B480" s="49"/>
    </row>
    <row r="481" spans="1:2">
      <c r="A481" s="49"/>
      <c r="B481" s="49"/>
    </row>
    <row r="482" spans="1:2">
      <c r="A482" s="49"/>
      <c r="B482" s="49"/>
    </row>
    <row r="483" spans="1:2">
      <c r="A483" s="49"/>
      <c r="B483" s="49"/>
    </row>
    <row r="484" spans="1:2">
      <c r="A484" s="49"/>
      <c r="B484" s="49"/>
    </row>
    <row r="485" spans="1:2">
      <c r="A485" s="49"/>
      <c r="B485" s="49"/>
    </row>
    <row r="486" spans="1:2">
      <c r="A486" s="49"/>
      <c r="B486" s="49"/>
    </row>
    <row r="487" spans="1:2">
      <c r="A487" s="49"/>
      <c r="B487" s="49"/>
    </row>
    <row r="488" spans="1:2">
      <c r="A488" s="49"/>
      <c r="B488" s="49"/>
    </row>
    <row r="489" spans="1:2">
      <c r="A489" s="49"/>
      <c r="B489" s="49"/>
    </row>
    <row r="490" spans="1:2">
      <c r="A490" s="49"/>
      <c r="B490" s="49"/>
    </row>
    <row r="491" spans="1:2">
      <c r="A491" s="49"/>
      <c r="B491" s="49"/>
    </row>
    <row r="492" spans="1:2">
      <c r="A492" s="49"/>
      <c r="B492" s="49"/>
    </row>
    <row r="493" spans="1:2">
      <c r="A493" s="49"/>
      <c r="B493" s="49"/>
    </row>
    <row r="494" spans="1:2">
      <c r="A494" s="49"/>
      <c r="B494" s="49"/>
    </row>
    <row r="495" spans="1:2">
      <c r="A495" s="49"/>
      <c r="B495" s="49"/>
    </row>
    <row r="496" spans="1:2">
      <c r="A496" s="49"/>
      <c r="B496" s="49"/>
    </row>
    <row r="497" spans="1:2">
      <c r="A497" s="49"/>
      <c r="B497" s="49"/>
    </row>
    <row r="498" spans="1:2">
      <c r="A498" s="49"/>
      <c r="B498" s="49"/>
    </row>
    <row r="499" spans="1:2">
      <c r="A499" s="49"/>
      <c r="B499" s="49"/>
    </row>
    <row r="500" spans="1:2">
      <c r="A500" s="49"/>
      <c r="B500" s="49"/>
    </row>
    <row r="501" spans="1:2">
      <c r="A501" s="49"/>
      <c r="B501" s="49"/>
    </row>
    <row r="502" spans="1:2">
      <c r="A502" s="49"/>
      <c r="B502" s="49"/>
    </row>
    <row r="503" spans="1:2">
      <c r="A503" s="49"/>
      <c r="B503" s="49"/>
    </row>
    <row r="504" spans="1:2">
      <c r="A504" s="49"/>
      <c r="B504" s="49"/>
    </row>
    <row r="505" spans="1:2">
      <c r="A505" s="49"/>
      <c r="B505" s="49"/>
    </row>
    <row r="506" spans="1:2">
      <c r="A506" s="49"/>
      <c r="B506" s="49"/>
    </row>
    <row r="507" spans="1:2">
      <c r="A507" s="49"/>
      <c r="B507" s="49"/>
    </row>
    <row r="508" spans="1:2">
      <c r="A508" s="49"/>
      <c r="B508" s="49"/>
    </row>
    <row r="509" spans="1:2">
      <c r="A509" s="49"/>
      <c r="B509" s="49"/>
    </row>
    <row r="510" spans="1:2">
      <c r="A510" s="49"/>
      <c r="B510" s="49"/>
    </row>
    <row r="511" spans="1:2">
      <c r="A511" s="49"/>
      <c r="B511" s="49"/>
    </row>
    <row r="512" spans="1:2">
      <c r="A512" s="49"/>
      <c r="B512" s="49"/>
    </row>
    <row r="513" spans="1:2">
      <c r="A513" s="49"/>
      <c r="B513" s="49"/>
    </row>
    <row r="514" spans="1:2">
      <c r="A514" s="49"/>
      <c r="B514" s="49"/>
    </row>
    <row r="515" spans="1:2">
      <c r="A515" s="49"/>
      <c r="B515" s="49"/>
    </row>
    <row r="516" spans="1:2">
      <c r="A516" s="49"/>
      <c r="B516" s="49"/>
    </row>
    <row r="517" spans="1:2">
      <c r="A517" s="49"/>
      <c r="B517" s="49"/>
    </row>
    <row r="518" spans="1:2">
      <c r="A518" s="49"/>
      <c r="B518" s="49"/>
    </row>
    <row r="519" spans="1:2">
      <c r="A519" s="49"/>
      <c r="B519" s="49"/>
    </row>
    <row r="520" spans="1:2">
      <c r="A520" s="49"/>
      <c r="B520" s="49"/>
    </row>
    <row r="521" spans="1:2">
      <c r="A521" s="49"/>
      <c r="B521" s="49"/>
    </row>
    <row r="522" spans="1:2">
      <c r="A522" s="49"/>
      <c r="B522" s="49"/>
    </row>
    <row r="523" spans="1:2">
      <c r="A523" s="49"/>
      <c r="B523" s="49"/>
    </row>
    <row r="524" spans="1:2">
      <c r="A524" s="49"/>
      <c r="B524" s="49"/>
    </row>
    <row r="525" spans="1:2">
      <c r="A525" s="49"/>
      <c r="B525" s="49"/>
    </row>
    <row r="526" spans="1:2">
      <c r="A526" s="49"/>
      <c r="B526" s="49"/>
    </row>
    <row r="527" spans="1:2">
      <c r="A527" s="49"/>
      <c r="B527" s="49"/>
    </row>
    <row r="528" spans="1:2">
      <c r="A528" s="49"/>
      <c r="B528" s="49"/>
    </row>
    <row r="529" spans="1:2">
      <c r="A529" s="49"/>
      <c r="B529" s="49"/>
    </row>
    <row r="530" spans="1:2">
      <c r="A530" s="49"/>
      <c r="B530" s="49"/>
    </row>
    <row r="531" spans="1:2">
      <c r="A531" s="49"/>
      <c r="B531" s="49"/>
    </row>
    <row r="532" spans="1:2">
      <c r="A532" s="49"/>
      <c r="B532" s="49"/>
    </row>
    <row r="533" spans="1:2">
      <c r="A533" s="49"/>
      <c r="B533" s="49"/>
    </row>
    <row r="534" spans="1:2">
      <c r="A534" s="49"/>
      <c r="B534" s="49"/>
    </row>
    <row r="535" spans="1:2">
      <c r="A535" s="49"/>
      <c r="B535" s="49"/>
    </row>
    <row r="536" spans="1:2">
      <c r="A536" s="49"/>
      <c r="B536" s="49"/>
    </row>
    <row r="537" spans="1:2">
      <c r="A537" s="49"/>
      <c r="B537" s="49"/>
    </row>
    <row r="538" spans="1:2">
      <c r="A538" s="49"/>
      <c r="B538" s="49"/>
    </row>
    <row r="539" spans="1:2">
      <c r="A539" s="49"/>
      <c r="B539" s="49"/>
    </row>
    <row r="540" spans="1:2">
      <c r="A540" s="49"/>
      <c r="B540" s="49"/>
    </row>
    <row r="541" spans="1:2">
      <c r="A541" s="49"/>
      <c r="B541" s="49"/>
    </row>
    <row r="542" spans="1:2">
      <c r="A542" s="49"/>
      <c r="B542" s="49"/>
    </row>
    <row r="543" spans="1:2">
      <c r="A543" s="49"/>
      <c r="B543" s="49"/>
    </row>
    <row r="544" spans="1:2">
      <c r="A544" s="49"/>
      <c r="B544" s="49"/>
    </row>
    <row r="545" spans="1:2">
      <c r="A545" s="49"/>
      <c r="B545" s="49"/>
    </row>
    <row r="546" spans="1:2">
      <c r="A546" s="49"/>
      <c r="B546" s="49"/>
    </row>
    <row r="547" spans="1:2">
      <c r="A547" s="49"/>
      <c r="B547" s="49"/>
    </row>
    <row r="548" spans="1:2">
      <c r="A548" s="49"/>
      <c r="B548" s="49"/>
    </row>
    <row r="549" spans="1:2">
      <c r="A549" s="49"/>
      <c r="B549" s="49"/>
    </row>
    <row r="550" spans="1:2">
      <c r="A550" s="49"/>
      <c r="B550" s="49"/>
    </row>
    <row r="551" spans="1:2">
      <c r="A551" s="49"/>
      <c r="B551" s="49"/>
    </row>
    <row r="552" spans="1:2">
      <c r="A552" s="49"/>
      <c r="B552" s="49"/>
    </row>
    <row r="553" spans="1:2">
      <c r="A553" s="49"/>
      <c r="B553" s="49"/>
    </row>
    <row r="554" spans="1:2">
      <c r="A554" s="49"/>
      <c r="B554" s="49"/>
    </row>
    <row r="555" spans="1:2">
      <c r="A555" s="49"/>
      <c r="B555" s="49"/>
    </row>
    <row r="556" spans="1:2">
      <c r="A556" s="49"/>
      <c r="B556" s="49"/>
    </row>
    <row r="557" spans="1:2">
      <c r="A557" s="49"/>
      <c r="B557" s="49"/>
    </row>
    <row r="558" spans="1:2">
      <c r="A558" s="49"/>
      <c r="B558" s="49"/>
    </row>
    <row r="559" spans="1:2">
      <c r="A559" s="49"/>
      <c r="B559" s="49"/>
    </row>
    <row r="560" spans="1:2">
      <c r="A560" s="49"/>
      <c r="B560" s="49"/>
    </row>
    <row r="561" spans="1:2">
      <c r="A561" s="49"/>
      <c r="B561" s="49"/>
    </row>
    <row r="562" spans="1:2">
      <c r="A562" s="49"/>
      <c r="B562" s="49"/>
    </row>
    <row r="563" spans="1:2">
      <c r="A563" s="49"/>
      <c r="B563" s="49"/>
    </row>
    <row r="564" spans="1:2">
      <c r="A564" s="49"/>
      <c r="B564" s="49"/>
    </row>
    <row r="565" spans="1:2">
      <c r="A565" s="49"/>
      <c r="B565" s="49"/>
    </row>
    <row r="566" spans="1:2">
      <c r="A566" s="49"/>
      <c r="B566" s="49"/>
    </row>
    <row r="567" spans="1:2">
      <c r="A567" s="49"/>
      <c r="B567" s="49"/>
    </row>
    <row r="568" spans="1:2">
      <c r="A568" s="49"/>
      <c r="B568" s="49"/>
    </row>
    <row r="569" spans="1:2">
      <c r="A569" s="49"/>
      <c r="B569" s="49"/>
    </row>
    <row r="570" spans="1:2">
      <c r="A570" s="49"/>
      <c r="B570" s="49"/>
    </row>
    <row r="571" spans="1:2">
      <c r="A571" s="49"/>
      <c r="B571" s="49"/>
    </row>
    <row r="572" spans="1:2">
      <c r="A572" s="49"/>
      <c r="B572" s="49"/>
    </row>
    <row r="573" spans="1:2">
      <c r="A573" s="49"/>
      <c r="B573" s="49"/>
    </row>
    <row r="574" spans="1:2">
      <c r="A574" s="49"/>
      <c r="B574" s="49"/>
    </row>
    <row r="575" spans="1:2">
      <c r="A575" s="49"/>
      <c r="B575" s="49"/>
    </row>
    <row r="576" spans="1:2">
      <c r="A576" s="49"/>
      <c r="B576" s="49"/>
    </row>
    <row r="577" spans="1:2">
      <c r="A577" s="49"/>
      <c r="B577" s="49"/>
    </row>
    <row r="578" spans="1:2">
      <c r="A578" s="49"/>
      <c r="B578" s="49"/>
    </row>
    <row r="579" spans="1:2">
      <c r="A579" s="49"/>
      <c r="B579" s="49"/>
    </row>
    <row r="580" spans="1:2">
      <c r="A580" s="49"/>
      <c r="B580" s="49"/>
    </row>
    <row r="581" spans="1:2">
      <c r="A581" s="49"/>
      <c r="B581" s="49"/>
    </row>
    <row r="582" spans="1:2">
      <c r="A582" s="49"/>
      <c r="B582" s="49"/>
    </row>
    <row r="583" spans="1:2">
      <c r="A583" s="49"/>
      <c r="B583" s="49"/>
    </row>
    <row r="584" spans="1:2">
      <c r="A584" s="49"/>
      <c r="B584" s="49"/>
    </row>
    <row r="585" spans="1:2">
      <c r="A585" s="49"/>
      <c r="B585" s="49"/>
    </row>
    <row r="586" spans="1:2">
      <c r="A586" s="49"/>
      <c r="B586" s="49"/>
    </row>
    <row r="587" spans="1:2">
      <c r="A587" s="49"/>
      <c r="B587" s="49"/>
    </row>
    <row r="588" spans="1:2">
      <c r="A588" s="49"/>
      <c r="B588" s="49"/>
    </row>
    <row r="589" spans="1:2">
      <c r="A589" s="49"/>
      <c r="B589" s="49"/>
    </row>
    <row r="590" spans="1:2">
      <c r="A590" s="49"/>
      <c r="B590" s="49"/>
    </row>
    <row r="591" spans="1:2">
      <c r="A591" s="49"/>
      <c r="B591" s="49"/>
    </row>
    <row r="592" spans="1:2">
      <c r="A592" s="49"/>
      <c r="B592" s="49"/>
    </row>
    <row r="593" spans="1:2">
      <c r="A593" s="49"/>
      <c r="B593" s="49"/>
    </row>
    <row r="594" spans="1:2">
      <c r="A594" s="49"/>
      <c r="B594" s="49"/>
    </row>
    <row r="595" spans="1:2">
      <c r="A595" s="49"/>
      <c r="B595" s="49"/>
    </row>
    <row r="596" spans="1:2">
      <c r="A596" s="49"/>
      <c r="B596" s="49"/>
    </row>
    <row r="597" spans="1:2">
      <c r="A597" s="49"/>
      <c r="B597" s="49"/>
    </row>
    <row r="598" spans="1:2">
      <c r="A598" s="49"/>
      <c r="B598" s="49"/>
    </row>
    <row r="599" spans="1:2">
      <c r="A599" s="49"/>
      <c r="B599" s="49"/>
    </row>
    <row r="600" spans="1:2">
      <c r="A600" s="49"/>
      <c r="B600" s="49"/>
    </row>
    <row r="601" spans="1:2">
      <c r="A601" s="49"/>
      <c r="B601" s="49"/>
    </row>
    <row r="602" spans="1:2">
      <c r="A602" s="49"/>
      <c r="B602" s="49"/>
    </row>
    <row r="603" spans="1:2">
      <c r="A603" s="49"/>
      <c r="B603" s="49"/>
    </row>
    <row r="604" spans="1:2">
      <c r="A604" s="49"/>
      <c r="B604" s="49"/>
    </row>
    <row r="605" spans="1:2">
      <c r="A605" s="49"/>
      <c r="B605" s="49"/>
    </row>
    <row r="606" spans="1:2">
      <c r="A606" s="49"/>
      <c r="B606" s="49"/>
    </row>
    <row r="607" spans="1:2">
      <c r="A607" s="49"/>
      <c r="B607" s="49"/>
    </row>
    <row r="608" spans="1:2">
      <c r="A608" s="49"/>
      <c r="B608" s="49"/>
    </row>
    <row r="609" spans="1:2">
      <c r="A609" s="49"/>
      <c r="B609" s="49"/>
    </row>
    <row r="610" spans="1:2">
      <c r="A610" s="49"/>
      <c r="B610" s="49"/>
    </row>
    <row r="611" spans="1:2">
      <c r="A611" s="49"/>
      <c r="B611" s="49"/>
    </row>
    <row r="612" spans="1:2">
      <c r="A612" s="49"/>
      <c r="B612" s="49"/>
    </row>
    <row r="613" spans="1:2">
      <c r="A613" s="49"/>
      <c r="B613" s="49"/>
    </row>
    <row r="614" spans="1:2">
      <c r="A614" s="49"/>
      <c r="B614" s="49"/>
    </row>
    <row r="615" spans="1:2">
      <c r="A615" s="49"/>
      <c r="B615" s="49"/>
    </row>
    <row r="616" spans="1:2">
      <c r="A616" s="49"/>
      <c r="B616" s="49"/>
    </row>
    <row r="617" spans="1:2">
      <c r="A617" s="49"/>
      <c r="B617" s="49"/>
    </row>
    <row r="618" spans="1:2">
      <c r="A618" s="49"/>
      <c r="B618" s="49"/>
    </row>
    <row r="619" spans="1:2">
      <c r="A619" s="49"/>
      <c r="B619" s="49"/>
    </row>
    <row r="620" spans="1:2">
      <c r="A620" s="49"/>
      <c r="B620" s="49"/>
    </row>
    <row r="621" spans="1:2">
      <c r="A621" s="49"/>
      <c r="B621" s="49"/>
    </row>
    <row r="622" spans="1:2">
      <c r="A622" s="49"/>
      <c r="B622" s="49"/>
    </row>
    <row r="623" spans="1:2">
      <c r="A623" s="49"/>
      <c r="B623" s="49"/>
    </row>
    <row r="624" spans="1:2">
      <c r="A624" s="49"/>
      <c r="B624" s="49"/>
    </row>
    <row r="625" spans="1:2">
      <c r="A625" s="49"/>
      <c r="B625" s="49"/>
    </row>
    <row r="626" spans="1:2">
      <c r="A626" s="49"/>
      <c r="B626" s="49"/>
    </row>
    <row r="627" spans="1:2">
      <c r="A627" s="49"/>
      <c r="B627" s="49"/>
    </row>
    <row r="628" spans="1:2">
      <c r="A628" s="49"/>
      <c r="B628" s="49"/>
    </row>
    <row r="629" spans="1:2">
      <c r="A629" s="49"/>
      <c r="B629" s="49"/>
    </row>
    <row r="630" spans="1:2">
      <c r="A630" s="49"/>
      <c r="B630" s="49"/>
    </row>
    <row r="631" spans="1:2">
      <c r="A631" s="49"/>
      <c r="B631" s="49"/>
    </row>
    <row r="632" spans="1:2">
      <c r="A632" s="49"/>
      <c r="B632" s="49"/>
    </row>
    <row r="633" spans="1:2">
      <c r="A633" s="49"/>
      <c r="B633" s="49"/>
    </row>
    <row r="634" spans="1:2">
      <c r="A634" s="49"/>
      <c r="B634" s="49"/>
    </row>
    <row r="635" spans="1:2">
      <c r="A635" s="49"/>
      <c r="B635" s="49"/>
    </row>
    <row r="636" spans="1:2">
      <c r="A636" s="49"/>
      <c r="B636" s="49"/>
    </row>
    <row r="637" spans="1:2">
      <c r="A637" s="49"/>
      <c r="B637" s="49"/>
    </row>
    <row r="638" spans="1:2">
      <c r="A638" s="49"/>
      <c r="B638" s="49"/>
    </row>
    <row r="639" spans="1:2">
      <c r="A639" s="49"/>
      <c r="B639" s="49"/>
    </row>
    <row r="640" spans="1:2">
      <c r="A640" s="49"/>
      <c r="B640" s="49"/>
    </row>
    <row r="641" spans="1:2">
      <c r="A641" s="49"/>
      <c r="B641" s="49"/>
    </row>
    <row r="642" spans="1:2">
      <c r="A642" s="49"/>
      <c r="B642" s="49"/>
    </row>
    <row r="643" spans="1:2">
      <c r="A643" s="49"/>
      <c r="B643" s="49"/>
    </row>
    <row r="644" spans="1:2">
      <c r="A644" s="49"/>
      <c r="B644" s="49"/>
    </row>
    <row r="645" spans="1:2">
      <c r="A645" s="49"/>
      <c r="B645" s="49"/>
    </row>
    <row r="646" spans="1:2">
      <c r="A646" s="49"/>
      <c r="B646" s="49"/>
    </row>
    <row r="647" spans="1:2">
      <c r="A647" s="49"/>
      <c r="B647" s="49"/>
    </row>
    <row r="648" spans="1:2">
      <c r="A648" s="49"/>
      <c r="B648" s="49"/>
    </row>
    <row r="649" spans="1:2">
      <c r="A649" s="49"/>
      <c r="B649" s="49"/>
    </row>
    <row r="650" spans="1:2">
      <c r="A650" s="49"/>
      <c r="B650" s="49"/>
    </row>
    <row r="651" spans="1:2">
      <c r="A651" s="49"/>
      <c r="B651" s="49"/>
    </row>
    <row r="652" spans="1:2">
      <c r="A652" s="49"/>
      <c r="B652" s="49"/>
    </row>
    <row r="653" spans="1:2">
      <c r="A653" s="49"/>
      <c r="B653" s="49"/>
    </row>
    <row r="654" spans="1:2">
      <c r="A654" s="49"/>
      <c r="B654" s="49"/>
    </row>
    <row r="655" spans="1:2">
      <c r="A655" s="49"/>
      <c r="B655" s="49"/>
    </row>
    <row r="656" spans="1:2">
      <c r="A656" s="49"/>
      <c r="B656" s="49"/>
    </row>
    <row r="657" spans="1:2">
      <c r="A657" s="49"/>
      <c r="B657" s="49"/>
    </row>
    <row r="658" spans="1:2">
      <c r="A658" s="49"/>
      <c r="B658" s="49"/>
    </row>
    <row r="659" spans="1:2">
      <c r="A659" s="49"/>
      <c r="B659" s="49"/>
    </row>
    <row r="660" spans="1:2">
      <c r="A660" s="49"/>
      <c r="B660" s="49"/>
    </row>
    <row r="661" spans="1:2">
      <c r="A661" s="49"/>
      <c r="B661" s="49"/>
    </row>
    <row r="662" spans="1:2">
      <c r="A662" s="49"/>
      <c r="B662" s="49"/>
    </row>
    <row r="663" spans="1:2">
      <c r="A663" s="49"/>
      <c r="B663" s="49"/>
    </row>
    <row r="664" spans="1:2">
      <c r="A664" s="49"/>
      <c r="B664" s="49"/>
    </row>
    <row r="665" spans="1:2">
      <c r="A665" s="49"/>
      <c r="B665" s="49"/>
    </row>
    <row r="666" spans="1:2">
      <c r="A666" s="49"/>
      <c r="B666" s="49"/>
    </row>
    <row r="667" spans="1:2">
      <c r="A667" s="49"/>
      <c r="B667" s="49"/>
    </row>
    <row r="668" spans="1:2">
      <c r="A668" s="49"/>
      <c r="B668" s="49"/>
    </row>
    <row r="669" spans="1:2">
      <c r="A669" s="49"/>
      <c r="B669" s="49"/>
    </row>
    <row r="670" spans="1:2">
      <c r="A670" s="49"/>
      <c r="B670" s="49"/>
    </row>
    <row r="671" spans="1:2">
      <c r="A671" s="49"/>
      <c r="B671" s="49"/>
    </row>
    <row r="672" spans="1:2">
      <c r="A672" s="49"/>
      <c r="B672" s="49"/>
    </row>
    <row r="673" spans="1:2">
      <c r="A673" s="49"/>
      <c r="B673" s="49"/>
    </row>
    <row r="674" spans="1:2">
      <c r="A674" s="49"/>
      <c r="B674" s="49"/>
    </row>
    <row r="675" spans="1:2">
      <c r="A675" s="49"/>
      <c r="B675" s="49"/>
    </row>
    <row r="676" spans="1:2">
      <c r="A676" s="49"/>
      <c r="B676" s="49"/>
    </row>
    <row r="677" spans="1:2">
      <c r="A677" s="49"/>
      <c r="B677" s="49"/>
    </row>
    <row r="678" spans="1:2">
      <c r="A678" s="49"/>
      <c r="B678" s="49"/>
    </row>
    <row r="679" spans="1:2">
      <c r="A679" s="49"/>
      <c r="B679" s="49"/>
    </row>
    <row r="680" spans="1:2">
      <c r="A680" s="49"/>
      <c r="B680" s="49"/>
    </row>
    <row r="681" spans="1:2">
      <c r="A681" s="49"/>
      <c r="B681" s="49"/>
    </row>
    <row r="682" spans="1:2">
      <c r="A682" s="49"/>
      <c r="B682" s="49"/>
    </row>
    <row r="683" spans="1:2">
      <c r="A683" s="49"/>
      <c r="B683" s="49"/>
    </row>
    <row r="684" spans="1:2">
      <c r="A684" s="49"/>
      <c r="B684" s="49"/>
    </row>
    <row r="685" spans="1:2">
      <c r="A685" s="49"/>
      <c r="B685" s="49"/>
    </row>
    <row r="686" spans="1:2">
      <c r="A686" s="49"/>
      <c r="B686" s="49"/>
    </row>
    <row r="687" spans="1:2">
      <c r="A687" s="49"/>
      <c r="B687" s="49"/>
    </row>
    <row r="688" spans="1:2">
      <c r="A688" s="49"/>
      <c r="B688" s="49"/>
    </row>
    <row r="689" spans="1:2">
      <c r="A689" s="49"/>
      <c r="B689" s="49"/>
    </row>
    <row r="690" spans="1:2">
      <c r="A690" s="49"/>
      <c r="B690" s="49"/>
    </row>
    <row r="691" spans="1:2">
      <c r="A691" s="49"/>
      <c r="B691" s="49"/>
    </row>
    <row r="692" spans="1:2">
      <c r="A692" s="49"/>
      <c r="B692" s="49"/>
    </row>
    <row r="693" spans="1:2">
      <c r="A693" s="49"/>
      <c r="B693" s="49"/>
    </row>
    <row r="694" spans="1:2">
      <c r="A694" s="49"/>
      <c r="B694" s="49"/>
    </row>
    <row r="695" spans="1:2">
      <c r="A695" s="49"/>
      <c r="B695" s="49"/>
    </row>
    <row r="696" spans="1:2">
      <c r="A696" s="49"/>
      <c r="B696" s="49"/>
    </row>
    <row r="697" spans="1:2">
      <c r="A697" s="49"/>
      <c r="B697" s="49"/>
    </row>
    <row r="698" spans="1:2">
      <c r="A698" s="49"/>
      <c r="B698" s="49"/>
    </row>
    <row r="699" spans="1:2">
      <c r="A699" s="49"/>
      <c r="B699" s="49"/>
    </row>
    <row r="700" spans="1:2">
      <c r="A700" s="49"/>
      <c r="B700" s="49"/>
    </row>
    <row r="701" spans="1:2">
      <c r="A701" s="49"/>
      <c r="B701" s="49"/>
    </row>
    <row r="702" spans="1:2">
      <c r="A702" s="49"/>
      <c r="B702" s="49"/>
    </row>
    <row r="703" spans="1:2">
      <c r="A703" s="49"/>
      <c r="B703" s="49"/>
    </row>
    <row r="704" spans="1:2">
      <c r="A704" s="49"/>
      <c r="B704" s="49"/>
    </row>
    <row r="705" spans="1:2">
      <c r="A705" s="49"/>
      <c r="B705" s="49"/>
    </row>
    <row r="706" spans="1:2">
      <c r="A706" s="49"/>
      <c r="B706" s="49"/>
    </row>
    <row r="707" spans="1:2">
      <c r="A707" s="49"/>
      <c r="B707" s="49"/>
    </row>
    <row r="708" spans="1:2">
      <c r="A708" s="49"/>
      <c r="B708" s="49"/>
    </row>
    <row r="709" spans="1:2">
      <c r="A709" s="49"/>
      <c r="B709" s="49"/>
    </row>
    <row r="710" spans="1:2">
      <c r="A710" s="49"/>
      <c r="B710" s="49"/>
    </row>
    <row r="711" spans="1:2">
      <c r="A711" s="49"/>
      <c r="B711" s="49"/>
    </row>
    <row r="712" spans="1:2">
      <c r="A712" s="49"/>
      <c r="B712" s="49"/>
    </row>
    <row r="713" spans="1:2">
      <c r="A713" s="49"/>
      <c r="B713" s="49"/>
    </row>
    <row r="714" spans="1:2">
      <c r="A714" s="49"/>
      <c r="B714" s="49"/>
    </row>
    <row r="715" spans="1:2">
      <c r="A715" s="49"/>
      <c r="B715" s="49"/>
    </row>
    <row r="716" spans="1:2">
      <c r="A716" s="49"/>
      <c r="B716" s="49"/>
    </row>
    <row r="717" spans="1:2">
      <c r="A717" s="49"/>
      <c r="B717" s="49"/>
    </row>
    <row r="718" spans="1:2">
      <c r="A718" s="49"/>
      <c r="B718" s="49"/>
    </row>
    <row r="719" spans="1:2">
      <c r="A719" s="49"/>
      <c r="B719" s="49"/>
    </row>
    <row r="720" spans="1:2">
      <c r="A720" s="49"/>
      <c r="B720" s="49"/>
    </row>
    <row r="721" spans="1:2">
      <c r="A721" s="49"/>
      <c r="B721" s="49"/>
    </row>
    <row r="722" spans="1:2">
      <c r="A722" s="49"/>
      <c r="B722" s="49"/>
    </row>
    <row r="723" spans="1:2">
      <c r="A723" s="49"/>
      <c r="B723" s="49"/>
    </row>
    <row r="724" spans="1:2">
      <c r="A724" s="49"/>
      <c r="B724" s="49"/>
    </row>
    <row r="725" spans="1:2">
      <c r="A725" s="49"/>
      <c r="B725" s="49"/>
    </row>
    <row r="726" spans="1:2">
      <c r="A726" s="49"/>
      <c r="B726" s="49"/>
    </row>
    <row r="727" spans="1:2">
      <c r="A727" s="49"/>
      <c r="B727" s="49"/>
    </row>
    <row r="728" spans="1:2">
      <c r="A728" s="49"/>
      <c r="B728" s="49"/>
    </row>
    <row r="729" spans="1:2">
      <c r="A729" s="49"/>
      <c r="B729" s="49"/>
    </row>
    <row r="730" spans="1:2">
      <c r="A730" s="49"/>
      <c r="B730" s="49"/>
    </row>
    <row r="731" spans="1:2">
      <c r="A731" s="49"/>
      <c r="B731" s="49"/>
    </row>
    <row r="732" spans="1:2">
      <c r="A732" s="49"/>
      <c r="B732" s="49"/>
    </row>
    <row r="733" spans="1:2">
      <c r="A733" s="49"/>
      <c r="B733" s="49"/>
    </row>
    <row r="734" spans="1:2">
      <c r="A734" s="49"/>
      <c r="B734" s="49"/>
    </row>
    <row r="735" spans="1:2">
      <c r="A735" s="49"/>
      <c r="B735" s="49"/>
    </row>
    <row r="736" spans="1:2">
      <c r="A736" s="49"/>
      <c r="B736" s="49"/>
    </row>
    <row r="737" spans="1:2">
      <c r="A737" s="49"/>
      <c r="B737" s="49"/>
    </row>
    <row r="738" spans="1:2">
      <c r="A738" s="49"/>
      <c r="B738" s="49"/>
    </row>
    <row r="739" spans="1:2">
      <c r="A739" s="49"/>
      <c r="B739" s="49"/>
    </row>
    <row r="740" spans="1:2">
      <c r="A740" s="49"/>
      <c r="B740" s="49"/>
    </row>
    <row r="741" spans="1:2">
      <c r="A741" s="49"/>
      <c r="B741" s="49"/>
    </row>
    <row r="742" spans="1:2">
      <c r="A742" s="49"/>
      <c r="B742" s="49"/>
    </row>
    <row r="743" spans="1:2">
      <c r="A743" s="49"/>
      <c r="B743" s="49"/>
    </row>
    <row r="744" spans="1:2">
      <c r="A744" s="49"/>
      <c r="B744" s="49"/>
    </row>
    <row r="745" spans="1:2">
      <c r="A745" s="49"/>
      <c r="B745" s="49"/>
    </row>
    <row r="746" spans="1:2">
      <c r="A746" s="49"/>
      <c r="B746" s="49"/>
    </row>
    <row r="747" spans="1:2">
      <c r="A747" s="49"/>
      <c r="B747" s="49"/>
    </row>
    <row r="748" spans="1:2">
      <c r="A748" s="49"/>
      <c r="B748" s="49"/>
    </row>
    <row r="749" spans="1:2">
      <c r="A749" s="49"/>
      <c r="B749" s="49"/>
    </row>
    <row r="750" spans="1:2">
      <c r="A750" s="49"/>
      <c r="B750" s="49"/>
    </row>
    <row r="751" spans="1:2">
      <c r="A751" s="49"/>
      <c r="B751" s="49"/>
    </row>
    <row r="752" spans="1:2">
      <c r="A752" s="49"/>
      <c r="B752" s="49"/>
    </row>
    <row r="753" spans="1:2">
      <c r="A753" s="49"/>
      <c r="B753" s="49"/>
    </row>
    <row r="754" spans="1:2">
      <c r="A754" s="49"/>
      <c r="B754" s="49"/>
    </row>
    <row r="755" spans="1:2">
      <c r="A755" s="49"/>
      <c r="B755" s="49"/>
    </row>
    <row r="756" spans="1:2">
      <c r="A756" s="49"/>
      <c r="B756" s="49"/>
    </row>
    <row r="757" spans="1:2">
      <c r="A757" s="49"/>
      <c r="B757" s="49"/>
    </row>
    <row r="758" spans="1:2">
      <c r="A758" s="49"/>
      <c r="B758" s="49"/>
    </row>
    <row r="759" spans="1:2">
      <c r="A759" s="49"/>
      <c r="B759" s="49"/>
    </row>
    <row r="760" spans="1:2">
      <c r="A760" s="49"/>
      <c r="B760" s="49"/>
    </row>
    <row r="761" spans="1:2">
      <c r="A761" s="49"/>
      <c r="B761" s="49"/>
    </row>
    <row r="762" spans="1:2">
      <c r="A762" s="49"/>
      <c r="B762" s="49"/>
    </row>
    <row r="763" spans="1:2">
      <c r="A763" s="49"/>
      <c r="B763" s="49"/>
    </row>
    <row r="764" spans="1:2">
      <c r="A764" s="49"/>
      <c r="B764" s="49"/>
    </row>
    <row r="765" spans="1:2">
      <c r="A765" s="49"/>
      <c r="B765" s="49"/>
    </row>
    <row r="766" spans="1:2">
      <c r="A766" s="49"/>
      <c r="B766" s="49"/>
    </row>
    <row r="767" spans="1:2">
      <c r="A767" s="49"/>
      <c r="B767" s="49"/>
    </row>
    <row r="768" spans="1:2">
      <c r="A768" s="49"/>
      <c r="B768" s="49"/>
    </row>
    <row r="769" spans="1:2">
      <c r="A769" s="49"/>
      <c r="B769" s="49"/>
    </row>
    <row r="770" spans="1:2">
      <c r="A770" s="49"/>
      <c r="B770" s="49"/>
    </row>
    <row r="771" spans="1:2">
      <c r="A771" s="49"/>
      <c r="B771" s="49"/>
    </row>
    <row r="772" spans="1:2">
      <c r="A772" s="49"/>
      <c r="B772" s="49"/>
    </row>
    <row r="773" spans="1:2">
      <c r="A773" s="49"/>
      <c r="B773" s="49"/>
    </row>
    <row r="774" spans="1:2">
      <c r="A774" s="49"/>
      <c r="B774" s="49"/>
    </row>
    <row r="775" spans="1:2">
      <c r="A775" s="49"/>
      <c r="B775" s="49"/>
    </row>
    <row r="776" spans="1:2">
      <c r="A776" s="49"/>
      <c r="B776" s="49"/>
    </row>
    <row r="777" spans="1:2">
      <c r="A777" s="49"/>
      <c r="B777" s="49"/>
    </row>
    <row r="778" spans="1:2">
      <c r="A778" s="49"/>
      <c r="B778" s="49"/>
    </row>
    <row r="779" spans="1:2">
      <c r="A779" s="49"/>
      <c r="B779" s="49"/>
    </row>
    <row r="780" spans="1:2">
      <c r="A780" s="49"/>
      <c r="B780" s="49"/>
    </row>
    <row r="781" spans="1:2">
      <c r="A781" s="49"/>
      <c r="B781" s="49"/>
    </row>
    <row r="782" spans="1:2">
      <c r="A782" s="49"/>
      <c r="B782" s="49"/>
    </row>
    <row r="783" spans="1:2">
      <c r="A783" s="49"/>
      <c r="B783" s="49"/>
    </row>
    <row r="784" spans="1:2">
      <c r="A784" s="49"/>
      <c r="B784" s="49"/>
    </row>
    <row r="785" spans="1:2">
      <c r="A785" s="49"/>
      <c r="B785" s="49"/>
    </row>
    <row r="786" spans="1:2">
      <c r="A786" s="49"/>
      <c r="B786" s="49"/>
    </row>
    <row r="787" spans="1:2">
      <c r="A787" s="49"/>
      <c r="B787" s="49"/>
    </row>
    <row r="788" spans="1:2">
      <c r="A788" s="49"/>
      <c r="B788" s="49"/>
    </row>
    <row r="789" spans="1:2">
      <c r="A789" s="49"/>
      <c r="B789" s="49"/>
    </row>
    <row r="790" spans="1:2">
      <c r="A790" s="49"/>
      <c r="B790" s="49"/>
    </row>
    <row r="791" spans="1:2">
      <c r="A791" s="49"/>
      <c r="B791" s="49"/>
    </row>
    <row r="792" spans="1:2">
      <c r="A792" s="49"/>
      <c r="B792" s="49"/>
    </row>
    <row r="793" spans="1:2">
      <c r="A793" s="49"/>
      <c r="B793" s="49"/>
    </row>
    <row r="794" spans="1:2">
      <c r="A794" s="49"/>
      <c r="B794" s="49"/>
    </row>
    <row r="795" spans="1:2">
      <c r="A795" s="49"/>
      <c r="B795" s="49"/>
    </row>
    <row r="796" spans="1:2">
      <c r="A796" s="49"/>
      <c r="B796" s="49"/>
    </row>
    <row r="797" spans="1:2">
      <c r="A797" s="49"/>
      <c r="B797" s="49"/>
    </row>
    <row r="798" spans="1:2">
      <c r="A798" s="49"/>
      <c r="B798" s="49"/>
    </row>
    <row r="799" spans="1:2">
      <c r="A799" s="49"/>
      <c r="B799" s="49"/>
    </row>
    <row r="800" spans="1:2">
      <c r="A800" s="49"/>
      <c r="B800" s="49"/>
    </row>
    <row r="801" spans="1:2">
      <c r="A801" s="49"/>
      <c r="B801" s="49"/>
    </row>
    <row r="802" spans="1:2">
      <c r="A802" s="49"/>
      <c r="B802" s="49"/>
    </row>
    <row r="803" spans="1:2">
      <c r="A803" s="49"/>
      <c r="B803" s="49"/>
    </row>
    <row r="804" spans="1:2">
      <c r="A804" s="49"/>
      <c r="B804" s="49"/>
    </row>
    <row r="805" spans="1:2">
      <c r="A805" s="49"/>
      <c r="B805" s="49"/>
    </row>
    <row r="806" spans="1:2">
      <c r="A806" s="49"/>
      <c r="B806" s="49"/>
    </row>
    <row r="807" spans="1:2">
      <c r="A807" s="49"/>
      <c r="B807" s="49"/>
    </row>
    <row r="808" spans="1:2">
      <c r="A808" s="49"/>
      <c r="B808" s="49"/>
    </row>
    <row r="809" spans="1:2">
      <c r="A809" s="49"/>
      <c r="B809" s="49"/>
    </row>
    <row r="810" spans="1:2">
      <c r="A810" s="49"/>
      <c r="B810" s="49"/>
    </row>
    <row r="811" spans="1:2">
      <c r="A811" s="49"/>
      <c r="B811" s="49"/>
    </row>
    <row r="812" spans="1:2">
      <c r="A812" s="49"/>
      <c r="B812" s="49"/>
    </row>
    <row r="813" spans="1:2">
      <c r="A813" s="49"/>
      <c r="B813" s="49"/>
    </row>
    <row r="814" spans="1:2">
      <c r="A814" s="49"/>
      <c r="B814" s="49"/>
    </row>
    <row r="815" spans="1:2">
      <c r="A815" s="49"/>
      <c r="B815" s="49"/>
    </row>
    <row r="816" spans="1:2">
      <c r="A816" s="49"/>
      <c r="B816" s="49"/>
    </row>
    <row r="817" spans="1:2">
      <c r="A817" s="49"/>
      <c r="B817" s="49"/>
    </row>
    <row r="818" spans="1:2">
      <c r="A818" s="49"/>
      <c r="B818" s="49"/>
    </row>
    <row r="819" spans="1:2">
      <c r="A819" s="49"/>
      <c r="B819" s="49"/>
    </row>
    <row r="820" spans="1:2">
      <c r="A820" s="49"/>
      <c r="B820" s="49"/>
    </row>
    <row r="821" spans="1:2">
      <c r="A821" s="49"/>
      <c r="B821" s="49"/>
    </row>
    <row r="822" spans="1:2">
      <c r="A822" s="49"/>
      <c r="B822" s="49"/>
    </row>
    <row r="823" spans="1:2">
      <c r="A823" s="49"/>
      <c r="B823" s="49"/>
    </row>
    <row r="824" spans="1:2">
      <c r="A824" s="49"/>
      <c r="B824" s="49"/>
    </row>
    <row r="825" spans="1:2">
      <c r="A825" s="49"/>
      <c r="B825" s="49"/>
    </row>
    <row r="826" spans="1:2">
      <c r="A826" s="49"/>
      <c r="B826" s="49"/>
    </row>
    <row r="827" spans="1:2">
      <c r="A827" s="49"/>
      <c r="B827" s="49"/>
    </row>
    <row r="828" spans="1:2">
      <c r="A828" s="49"/>
      <c r="B828" s="49"/>
    </row>
    <row r="829" spans="1:2">
      <c r="A829" s="49"/>
      <c r="B829" s="49"/>
    </row>
    <row r="830" spans="1:2">
      <c r="A830" s="49"/>
      <c r="B830" s="49"/>
    </row>
    <row r="831" spans="1:2">
      <c r="A831" s="49"/>
      <c r="B831" s="49"/>
    </row>
    <row r="832" spans="1:2">
      <c r="A832" s="49"/>
      <c r="B832" s="49"/>
    </row>
    <row r="833" spans="1:2">
      <c r="A833" s="49"/>
      <c r="B833" s="49"/>
    </row>
    <row r="834" spans="1:2">
      <c r="A834" s="49"/>
      <c r="B834" s="49"/>
    </row>
    <row r="835" spans="1:2">
      <c r="A835" s="49"/>
      <c r="B835" s="49"/>
    </row>
    <row r="836" spans="1:2">
      <c r="A836" s="49"/>
      <c r="B836" s="49"/>
    </row>
    <row r="837" spans="1:2">
      <c r="A837" s="49"/>
      <c r="B837" s="49"/>
    </row>
    <row r="838" spans="1:2">
      <c r="A838" s="49"/>
      <c r="B838" s="49"/>
    </row>
    <row r="839" spans="1:2">
      <c r="A839" s="49"/>
      <c r="B839" s="49"/>
    </row>
    <row r="840" spans="1:2">
      <c r="A840" s="49"/>
      <c r="B840" s="49"/>
    </row>
    <row r="841" spans="1:2">
      <c r="A841" s="49"/>
      <c r="B841" s="49"/>
    </row>
    <row r="842" spans="1:2">
      <c r="A842" s="49"/>
      <c r="B842" s="49"/>
    </row>
    <row r="843" spans="1:2">
      <c r="A843" s="49"/>
      <c r="B843" s="49"/>
    </row>
    <row r="844" spans="1:2">
      <c r="A844" s="49"/>
      <c r="B844" s="49"/>
    </row>
    <row r="845" spans="1:2">
      <c r="A845" s="49"/>
      <c r="B845" s="49"/>
    </row>
    <row r="846" spans="1:2">
      <c r="A846" s="49"/>
      <c r="B846" s="49"/>
    </row>
    <row r="847" spans="1:2">
      <c r="A847" s="49"/>
      <c r="B847" s="49"/>
    </row>
    <row r="848" spans="1:2">
      <c r="A848" s="49"/>
      <c r="B848" s="49"/>
    </row>
    <row r="849" spans="1:2">
      <c r="A849" s="49"/>
      <c r="B849" s="49"/>
    </row>
    <row r="850" spans="1:2">
      <c r="A850" s="49"/>
      <c r="B850" s="49"/>
    </row>
    <row r="851" spans="1:2">
      <c r="A851" s="49"/>
      <c r="B851" s="49"/>
    </row>
    <row r="852" spans="1:2">
      <c r="A852" s="49"/>
      <c r="B852" s="49"/>
    </row>
    <row r="853" spans="1:2">
      <c r="A853" s="49"/>
      <c r="B853" s="49"/>
    </row>
    <row r="854" spans="1:2">
      <c r="A854" s="49"/>
      <c r="B854" s="49"/>
    </row>
    <row r="855" spans="1:2">
      <c r="A855" s="49"/>
      <c r="B855" s="49"/>
    </row>
    <row r="856" spans="1:2">
      <c r="A856" s="49"/>
      <c r="B856" s="49"/>
    </row>
    <row r="857" spans="1:2">
      <c r="A857" s="49"/>
      <c r="B857" s="49"/>
    </row>
    <row r="858" spans="1:2">
      <c r="A858" s="49"/>
      <c r="B858" s="49"/>
    </row>
    <row r="859" spans="1:2">
      <c r="A859" s="49"/>
      <c r="B859" s="49"/>
    </row>
    <row r="860" spans="1:2">
      <c r="A860" s="49"/>
      <c r="B860" s="49"/>
    </row>
    <row r="861" spans="1:2">
      <c r="A861" s="49"/>
      <c r="B861" s="49"/>
    </row>
    <row r="862" spans="1:2">
      <c r="A862" s="49"/>
      <c r="B862" s="49"/>
    </row>
    <row r="863" spans="1:2">
      <c r="A863" s="49"/>
      <c r="B863" s="49"/>
    </row>
    <row r="864" spans="1:2">
      <c r="A864" s="49"/>
      <c r="B864" s="49"/>
    </row>
    <row r="865" spans="1:2">
      <c r="A865" s="49"/>
      <c r="B865" s="49"/>
    </row>
    <row r="866" spans="1:2">
      <c r="A866" s="49"/>
      <c r="B866" s="49"/>
    </row>
    <row r="867" spans="1:2">
      <c r="A867" s="49"/>
      <c r="B867" s="49"/>
    </row>
    <row r="868" spans="1:2">
      <c r="A868" s="49"/>
      <c r="B868" s="49"/>
    </row>
    <row r="869" spans="1:2">
      <c r="A869" s="49"/>
      <c r="B869" s="49"/>
    </row>
    <row r="870" spans="1:2">
      <c r="A870" s="49"/>
      <c r="B870" s="49"/>
    </row>
    <row r="871" spans="1:2">
      <c r="A871" s="49"/>
      <c r="B871" s="49"/>
    </row>
    <row r="872" spans="1:2">
      <c r="A872" s="49"/>
      <c r="B872" s="49"/>
    </row>
    <row r="873" spans="1:2">
      <c r="A873" s="49"/>
      <c r="B873" s="49"/>
    </row>
    <row r="874" spans="1:2">
      <c r="A874" s="49"/>
      <c r="B874" s="49"/>
    </row>
    <row r="875" spans="1:2">
      <c r="A875" s="49"/>
      <c r="B875" s="49"/>
    </row>
    <row r="876" spans="1:2">
      <c r="A876" s="49"/>
      <c r="B876" s="49"/>
    </row>
    <row r="877" spans="1:2">
      <c r="A877" s="49"/>
      <c r="B877" s="49"/>
    </row>
    <row r="878" spans="1:2">
      <c r="A878" s="49"/>
      <c r="B878" s="49"/>
    </row>
    <row r="879" spans="1:2">
      <c r="A879" s="49"/>
      <c r="B879" s="49"/>
    </row>
    <row r="880" spans="1:2">
      <c r="A880" s="49"/>
      <c r="B880" s="49"/>
    </row>
    <row r="881" spans="1:2">
      <c r="A881" s="49"/>
      <c r="B881" s="49"/>
    </row>
    <row r="882" spans="1:2">
      <c r="A882" s="49"/>
      <c r="B882" s="49"/>
    </row>
    <row r="883" spans="1:2">
      <c r="A883" s="49"/>
      <c r="B883" s="49"/>
    </row>
    <row r="884" spans="1:2">
      <c r="A884" s="49"/>
      <c r="B884" s="49"/>
    </row>
    <row r="885" spans="1:2">
      <c r="A885" s="49"/>
      <c r="B885" s="49"/>
    </row>
    <row r="886" spans="1:2">
      <c r="A886" s="49"/>
      <c r="B886" s="49"/>
    </row>
    <row r="887" spans="1:2">
      <c r="A887" s="49"/>
      <c r="B887" s="49"/>
    </row>
    <row r="888" spans="1:2">
      <c r="A888" s="49"/>
      <c r="B888" s="49"/>
    </row>
    <row r="889" spans="1:2">
      <c r="A889" s="49"/>
      <c r="B889" s="49"/>
    </row>
    <row r="890" spans="1:2">
      <c r="A890" s="49"/>
      <c r="B890" s="49"/>
    </row>
    <row r="891" spans="1:2">
      <c r="A891" s="49"/>
      <c r="B891" s="49"/>
    </row>
    <row r="892" spans="1:2">
      <c r="A892" s="49"/>
      <c r="B892" s="49"/>
    </row>
    <row r="893" spans="1:2">
      <c r="A893" s="49"/>
      <c r="B893" s="49"/>
    </row>
    <row r="894" spans="1:2">
      <c r="A894" s="49"/>
      <c r="B894" s="49"/>
    </row>
    <row r="895" spans="1:2">
      <c r="A895" s="49"/>
      <c r="B895" s="49"/>
    </row>
    <row r="896" spans="1:2">
      <c r="A896" s="49"/>
      <c r="B896" s="49"/>
    </row>
    <row r="897" spans="1:2">
      <c r="A897" s="49"/>
      <c r="B897" s="49"/>
    </row>
    <row r="898" spans="1:2">
      <c r="A898" s="49"/>
      <c r="B898" s="49"/>
    </row>
    <row r="899" spans="1:2">
      <c r="A899" s="49"/>
      <c r="B899" s="49"/>
    </row>
    <row r="900" spans="1:2">
      <c r="A900" s="49"/>
      <c r="B900" s="49"/>
    </row>
    <row r="901" spans="1:2">
      <c r="A901" s="49"/>
      <c r="B901" s="49"/>
    </row>
    <row r="902" spans="1:2">
      <c r="A902" s="49"/>
      <c r="B902" s="49"/>
    </row>
    <row r="903" spans="1:2">
      <c r="A903" s="49"/>
      <c r="B903" s="49"/>
    </row>
    <row r="904" spans="1:2">
      <c r="A904" s="49"/>
      <c r="B904" s="49"/>
    </row>
    <row r="905" spans="1:2">
      <c r="A905" s="49"/>
      <c r="B905" s="49"/>
    </row>
    <row r="906" spans="1:2">
      <c r="A906" s="49"/>
      <c r="B906" s="49"/>
    </row>
    <row r="907" spans="1:2">
      <c r="A907" s="49"/>
      <c r="B907" s="49"/>
    </row>
    <row r="908" spans="1:2">
      <c r="A908" s="49"/>
      <c r="B908" s="49"/>
    </row>
    <row r="909" spans="1:2">
      <c r="A909" s="49"/>
      <c r="B909" s="49"/>
    </row>
    <row r="910" spans="1:2">
      <c r="A910" s="49"/>
      <c r="B910" s="49"/>
    </row>
    <row r="911" spans="1:2">
      <c r="A911" s="49"/>
      <c r="B911" s="49"/>
    </row>
    <row r="912" spans="1:2">
      <c r="A912" s="49"/>
      <c r="B912" s="49"/>
    </row>
    <row r="913" spans="1:2">
      <c r="A913" s="49"/>
      <c r="B913" s="49"/>
    </row>
    <row r="914" spans="1:2">
      <c r="A914" s="49"/>
      <c r="B914" s="49"/>
    </row>
    <row r="915" spans="1:2">
      <c r="A915" s="49"/>
      <c r="B915" s="49"/>
    </row>
    <row r="916" spans="1:2">
      <c r="A916" s="49"/>
      <c r="B916" s="49"/>
    </row>
    <row r="917" spans="1:2">
      <c r="A917" s="49"/>
      <c r="B917" s="49"/>
    </row>
    <row r="918" spans="1:2">
      <c r="A918" s="49"/>
      <c r="B918" s="49"/>
    </row>
    <row r="919" spans="1:2">
      <c r="A919" s="49"/>
      <c r="B919" s="49"/>
    </row>
    <row r="920" spans="1:2">
      <c r="A920" s="49"/>
      <c r="B920" s="49"/>
    </row>
    <row r="921" spans="1:2">
      <c r="A921" s="49"/>
      <c r="B921" s="49"/>
    </row>
    <row r="922" spans="1:2">
      <c r="A922" s="49"/>
      <c r="B922" s="49"/>
    </row>
    <row r="923" spans="1:2">
      <c r="A923" s="49"/>
      <c r="B923" s="49"/>
    </row>
    <row r="924" spans="1:2">
      <c r="A924" s="49"/>
      <c r="B924" s="49"/>
    </row>
    <row r="925" spans="1:2">
      <c r="A925" s="49"/>
      <c r="B925" s="49"/>
    </row>
    <row r="926" spans="1:2">
      <c r="A926" s="49"/>
      <c r="B926" s="49"/>
    </row>
    <row r="927" spans="1:2">
      <c r="A927" s="49"/>
      <c r="B927" s="49"/>
    </row>
    <row r="928" spans="1:2">
      <c r="A928" s="49"/>
      <c r="B928" s="49"/>
    </row>
    <row r="929" spans="1:2">
      <c r="A929" s="49"/>
      <c r="B929" s="49"/>
    </row>
    <row r="930" spans="1:2">
      <c r="A930" s="49"/>
      <c r="B930" s="49"/>
    </row>
    <row r="931" spans="1:2">
      <c r="A931" s="49"/>
      <c r="B931" s="49"/>
    </row>
    <row r="932" spans="1:2">
      <c r="A932" s="49"/>
      <c r="B932" s="49"/>
    </row>
    <row r="933" spans="1:2">
      <c r="A933" s="49"/>
      <c r="B933" s="49"/>
    </row>
    <row r="934" spans="1:2">
      <c r="A934" s="49"/>
      <c r="B934" s="49"/>
    </row>
    <row r="935" spans="1:2">
      <c r="A935" s="49"/>
      <c r="B935" s="49"/>
    </row>
    <row r="936" spans="1:2">
      <c r="A936" s="49"/>
      <c r="B936" s="49"/>
    </row>
    <row r="937" spans="1:2">
      <c r="A937" s="49"/>
      <c r="B937" s="49"/>
    </row>
    <row r="938" spans="1:2">
      <c r="A938" s="49"/>
      <c r="B938" s="49"/>
    </row>
    <row r="939" spans="1:2">
      <c r="A939" s="49"/>
      <c r="B939" s="49"/>
    </row>
    <row r="940" spans="1:2">
      <c r="A940" s="49"/>
      <c r="B940" s="49"/>
    </row>
    <row r="941" spans="1:2">
      <c r="A941" s="49"/>
      <c r="B941" s="49"/>
    </row>
    <row r="942" spans="1:2">
      <c r="A942" s="49"/>
      <c r="B942" s="49"/>
    </row>
    <row r="943" spans="1:2">
      <c r="A943" s="49"/>
      <c r="B943" s="49"/>
    </row>
    <row r="944" spans="1:2">
      <c r="A944" s="49"/>
      <c r="B944" s="49"/>
    </row>
    <row r="945" spans="1:2">
      <c r="A945" s="49"/>
      <c r="B945" s="49"/>
    </row>
    <row r="946" spans="1:2">
      <c r="A946" s="49"/>
      <c r="B946" s="49"/>
    </row>
    <row r="947" spans="1:2">
      <c r="A947" s="49"/>
      <c r="B947" s="49"/>
    </row>
    <row r="948" spans="1:2">
      <c r="A948" s="49"/>
      <c r="B948" s="49"/>
    </row>
    <row r="949" spans="1:2">
      <c r="A949" s="49"/>
      <c r="B949" s="49"/>
    </row>
    <row r="950" spans="1:2">
      <c r="A950" s="49"/>
      <c r="B950" s="49"/>
    </row>
    <row r="951" spans="1:2">
      <c r="A951" s="49"/>
      <c r="B951" s="49"/>
    </row>
    <row r="952" spans="1:2">
      <c r="A952" s="49"/>
      <c r="B952" s="49"/>
    </row>
    <row r="953" spans="1:2">
      <c r="A953" s="49"/>
      <c r="B953" s="49"/>
    </row>
    <row r="954" spans="1:2">
      <c r="A954" s="49"/>
      <c r="B954" s="49"/>
    </row>
    <row r="955" spans="1:2">
      <c r="A955" s="49"/>
      <c r="B955" s="49"/>
    </row>
    <row r="956" spans="1:2">
      <c r="A956" s="49"/>
      <c r="B956" s="49"/>
    </row>
    <row r="957" spans="1:2">
      <c r="A957" s="49"/>
      <c r="B957" s="49"/>
    </row>
    <row r="958" spans="1:2">
      <c r="A958" s="49"/>
      <c r="B958" s="49"/>
    </row>
    <row r="959" spans="1:2">
      <c r="A959" s="49"/>
      <c r="B959" s="49"/>
    </row>
    <row r="960" spans="1:2">
      <c r="A960" s="49"/>
      <c r="B960" s="49"/>
    </row>
    <row r="961" spans="1:2">
      <c r="A961" s="49"/>
      <c r="B961" s="49"/>
    </row>
    <row r="962" spans="1:2">
      <c r="A962" s="49"/>
      <c r="B962" s="49"/>
    </row>
    <row r="963" spans="1:2">
      <c r="A963" s="49"/>
      <c r="B963" s="49"/>
    </row>
    <row r="964" spans="1:2">
      <c r="A964" s="49"/>
      <c r="B964" s="49"/>
    </row>
    <row r="965" spans="1:2">
      <c r="A965" s="49"/>
      <c r="B965" s="49"/>
    </row>
    <row r="966" spans="1:2">
      <c r="A966" s="49"/>
      <c r="B966" s="49"/>
    </row>
    <row r="967" spans="1:2">
      <c r="A967" s="49"/>
      <c r="B967" s="49"/>
    </row>
    <row r="968" spans="1:2">
      <c r="A968" s="49"/>
      <c r="B968" s="49"/>
    </row>
    <row r="969" spans="1:2">
      <c r="A969" s="49"/>
      <c r="B969" s="49"/>
    </row>
    <row r="970" spans="1:2">
      <c r="A970" s="49"/>
      <c r="B970" s="49"/>
    </row>
    <row r="971" spans="1:2">
      <c r="A971" s="49"/>
      <c r="B971" s="49"/>
    </row>
    <row r="972" spans="1:2">
      <c r="A972" s="49"/>
      <c r="B972" s="49"/>
    </row>
    <row r="973" spans="1:2">
      <c r="A973" s="49"/>
      <c r="B973" s="49"/>
    </row>
    <row r="974" spans="1:2">
      <c r="A974" s="49"/>
      <c r="B974" s="49"/>
    </row>
    <row r="975" spans="1:2">
      <c r="A975" s="49"/>
      <c r="B975" s="49"/>
    </row>
    <row r="976" spans="1:2">
      <c r="A976" s="49"/>
      <c r="B976" s="49"/>
    </row>
    <row r="977" spans="1:2">
      <c r="A977" s="49"/>
      <c r="B977" s="49"/>
    </row>
    <row r="978" spans="1:2">
      <c r="A978" s="49"/>
      <c r="B978" s="49"/>
    </row>
    <row r="979" spans="1:2">
      <c r="A979" s="49"/>
      <c r="B979" s="49"/>
    </row>
    <row r="980" spans="1:2">
      <c r="A980" s="49"/>
      <c r="B980" s="49"/>
    </row>
    <row r="981" spans="1:2">
      <c r="A981" s="49"/>
      <c r="B981" s="49"/>
    </row>
    <row r="982" spans="1:2">
      <c r="A982" s="49"/>
      <c r="B982" s="49"/>
    </row>
    <row r="983" spans="1:2">
      <c r="A983" s="49"/>
      <c r="B983" s="49"/>
    </row>
    <row r="984" spans="1:2">
      <c r="A984" s="49"/>
      <c r="B984" s="49"/>
    </row>
    <row r="985" spans="1:2">
      <c r="A985" s="49"/>
      <c r="B985" s="49"/>
    </row>
    <row r="986" spans="1:2">
      <c r="A986" s="49"/>
      <c r="B986" s="49"/>
    </row>
    <row r="987" spans="1:2">
      <c r="A987" s="49"/>
      <c r="B987" s="49"/>
    </row>
    <row r="988" spans="1:2">
      <c r="A988" s="49"/>
      <c r="B988" s="49"/>
    </row>
    <row r="989" spans="1:2">
      <c r="A989" s="49"/>
      <c r="B989" s="49"/>
    </row>
    <row r="990" spans="1:2">
      <c r="A990" s="49"/>
      <c r="B990" s="49"/>
    </row>
    <row r="991" spans="1:2">
      <c r="A991" s="49"/>
      <c r="B991" s="49"/>
    </row>
    <row r="992" spans="1:2">
      <c r="A992" s="49"/>
      <c r="B992" s="49"/>
    </row>
    <row r="993" spans="1:2">
      <c r="A993" s="49"/>
      <c r="B993" s="49"/>
    </row>
    <row r="994" spans="1:2">
      <c r="A994" s="49"/>
      <c r="B994" s="49"/>
    </row>
    <row r="995" spans="1:2">
      <c r="A995" s="49"/>
      <c r="B995" s="49"/>
    </row>
    <row r="996" spans="1:2">
      <c r="A996" s="49"/>
      <c r="B996" s="49"/>
    </row>
    <row r="997" spans="1:2">
      <c r="A997" s="49"/>
      <c r="B997" s="49"/>
    </row>
    <row r="998" spans="1:2">
      <c r="A998" s="49"/>
      <c r="B998" s="49"/>
    </row>
    <row r="999" spans="1:2">
      <c r="A999" s="49"/>
      <c r="B999" s="49"/>
    </row>
    <row r="1000" spans="1:2">
      <c r="A1000" s="49"/>
      <c r="B1000" s="49"/>
    </row>
    <row r="1001" spans="1:2">
      <c r="A1001" s="49"/>
      <c r="B1001" s="49"/>
    </row>
  </sheetData>
  <mergeCells count="3">
    <mergeCell ref="A1:I1"/>
    <mergeCell ref="D2:F2"/>
    <mergeCell ref="G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  <outlinePr summaryBelow="0" summaryRight="0"/>
  </sheetPr>
  <dimension ref="A1:AD1176"/>
  <sheetViews>
    <sheetView workbookViewId="0"/>
  </sheetViews>
  <sheetFormatPr defaultColWidth="12.6640625" defaultRowHeight="15.75" customHeight="1"/>
  <cols>
    <col min="3" max="3" width="15.109375" customWidth="1"/>
    <col min="4" max="4" width="35.109375" customWidth="1"/>
    <col min="10" max="11" width="18.21875" customWidth="1"/>
  </cols>
  <sheetData>
    <row r="1" spans="1:11" ht="19.2">
      <c r="A1" s="92"/>
      <c r="B1" s="384" t="s">
        <v>380</v>
      </c>
      <c r="C1" s="385"/>
      <c r="D1" s="385"/>
      <c r="E1" s="385"/>
      <c r="F1" s="385"/>
      <c r="G1" s="385"/>
      <c r="H1" s="385"/>
      <c r="I1" s="385"/>
      <c r="J1" s="385"/>
      <c r="K1" s="386"/>
    </row>
    <row r="2" spans="1:11" ht="13.2">
      <c r="A2" s="94"/>
      <c r="B2" s="95" t="s">
        <v>381</v>
      </c>
      <c r="C2" s="94" t="s">
        <v>382</v>
      </c>
      <c r="D2" s="94" t="s">
        <v>383</v>
      </c>
      <c r="E2" s="94" t="s">
        <v>384</v>
      </c>
      <c r="F2" s="97" t="s">
        <v>336</v>
      </c>
      <c r="G2" s="96" t="s">
        <v>2118</v>
      </c>
      <c r="H2" s="95" t="s">
        <v>337</v>
      </c>
      <c r="I2" s="98" t="s">
        <v>338</v>
      </c>
      <c r="J2" s="99" t="s">
        <v>386</v>
      </c>
      <c r="K2" s="96" t="s">
        <v>387</v>
      </c>
    </row>
    <row r="3" spans="1:11" ht="13.2">
      <c r="A3" s="387" t="s">
        <v>391</v>
      </c>
      <c r="B3" s="101">
        <v>1</v>
      </c>
      <c r="C3" s="28" t="s">
        <v>392</v>
      </c>
      <c r="D3" s="28" t="s">
        <v>393</v>
      </c>
      <c r="E3" s="101" t="s">
        <v>394</v>
      </c>
      <c r="F3" s="102">
        <f>+ SUMIF('Nhập kho T42024'!B:B, C3,'Nhập kho T42024'!F:F)</f>
        <v>4</v>
      </c>
      <c r="G3" s="100">
        <f>+ (SUMIF('Nhập kho T42024'!B:B, C3,'Nhập kho T42024'!G:G))*3500</f>
        <v>170240</v>
      </c>
      <c r="H3" s="101">
        <f>+ SUMIF('Doanh thu'!A:A, C3,'Doanh thu'!E:E)</f>
        <v>4</v>
      </c>
      <c r="I3" s="101">
        <f>F3-H3</f>
        <v>0</v>
      </c>
      <c r="J3" s="103">
        <f t="shared" ref="J3:J257" si="0">SUM(K3)</f>
        <v>404600</v>
      </c>
      <c r="K3" s="104">
        <f>+ SUMIF('Doanh thu'!A:A, C3,'Doanh thu'!F:F)</f>
        <v>404600</v>
      </c>
    </row>
    <row r="4" spans="1:11" ht="13.2">
      <c r="A4" s="372"/>
      <c r="B4" s="101">
        <v>1</v>
      </c>
      <c r="C4" s="28" t="s">
        <v>395</v>
      </c>
      <c r="D4" s="28" t="s">
        <v>396</v>
      </c>
      <c r="E4" s="101" t="s">
        <v>394</v>
      </c>
      <c r="F4" s="102">
        <f>+ SUMIF('Nhập kho T42024'!B:B, C4,'Nhập kho T42024'!F:F)</f>
        <v>6</v>
      </c>
      <c r="G4" s="100">
        <f>+ (SUMIF('Nhập kho T42024'!B:B, C4,'Nhập kho T42024'!G:G))*3500</f>
        <v>209964.99999999997</v>
      </c>
      <c r="H4" s="101">
        <f>+ SUMIF('Doanh thu'!A:A, C4,'Doanh thu'!E:E)</f>
        <v>6</v>
      </c>
      <c r="I4" s="101">
        <f>F4-H4+1</f>
        <v>1</v>
      </c>
      <c r="J4" s="103">
        <f t="shared" si="0"/>
        <v>469200</v>
      </c>
      <c r="K4" s="104">
        <f>+ SUMIF('Doanh thu'!A:A, C4,'Doanh thu'!F:F)</f>
        <v>469200</v>
      </c>
    </row>
    <row r="5" spans="1:11" ht="13.2">
      <c r="A5" s="372"/>
      <c r="B5" s="101">
        <v>1</v>
      </c>
      <c r="C5" s="28" t="s">
        <v>397</v>
      </c>
      <c r="D5" s="28" t="s">
        <v>398</v>
      </c>
      <c r="E5" s="101" t="s">
        <v>394</v>
      </c>
      <c r="F5" s="102">
        <f>+ SUMIF('Nhập kho T42024'!B:B, C5,'Nhập kho T42024'!F:F)</f>
        <v>4</v>
      </c>
      <c r="G5" s="100">
        <f>+ (SUMIF('Nhập kho T42024'!B:B, C5,'Nhập kho T42024'!G:G))*3500</f>
        <v>170240</v>
      </c>
      <c r="H5" s="101">
        <f>+ SUMIF('Doanh thu'!A:A, C5,'Doanh thu'!E:E)</f>
        <v>7</v>
      </c>
      <c r="I5" s="101">
        <f>F5-H5+3</f>
        <v>0</v>
      </c>
      <c r="J5" s="103">
        <f t="shared" si="0"/>
        <v>708050</v>
      </c>
      <c r="K5" s="104">
        <f>+ SUMIF('Doanh thu'!A:A, C5,'Doanh thu'!F:F)</f>
        <v>708050</v>
      </c>
    </row>
    <row r="6" spans="1:11" ht="13.2">
      <c r="A6" s="372"/>
      <c r="B6" s="101">
        <v>1</v>
      </c>
      <c r="C6" s="28" t="s">
        <v>399</v>
      </c>
      <c r="D6" s="28" t="s">
        <v>400</v>
      </c>
      <c r="E6" s="101" t="s">
        <v>394</v>
      </c>
      <c r="F6" s="102">
        <f>+ SUMIF('Nhập kho T42024'!B:B, C6,'Nhập kho T42024'!F:F)</f>
        <v>6</v>
      </c>
      <c r="G6" s="100">
        <f>+ (SUMIF('Nhập kho T42024'!B:B, C6,'Nhập kho T42024'!G:G))*3500</f>
        <v>209964.99999999997</v>
      </c>
      <c r="H6" s="101">
        <f>+ SUMIF('Doanh thu'!A:A, C6,'Doanh thu'!E:E)</f>
        <v>3</v>
      </c>
      <c r="I6" s="101">
        <f>F6-H6</f>
        <v>3</v>
      </c>
      <c r="J6" s="103">
        <f t="shared" si="0"/>
        <v>234600</v>
      </c>
      <c r="K6" s="104">
        <f>+ SUMIF('Doanh thu'!A:A, C6,'Doanh thu'!F:F)</f>
        <v>234600</v>
      </c>
    </row>
    <row r="7" spans="1:11" ht="13.2">
      <c r="A7" s="372"/>
      <c r="B7" s="101">
        <v>1</v>
      </c>
      <c r="C7" s="28" t="s">
        <v>401</v>
      </c>
      <c r="D7" s="28" t="s">
        <v>2119</v>
      </c>
      <c r="E7" s="101" t="s">
        <v>394</v>
      </c>
      <c r="F7" s="102">
        <f>+ SUMIF('Nhập kho T42024'!B:B, C7,'Nhập kho T42024'!F:F)</f>
        <v>3</v>
      </c>
      <c r="G7" s="100">
        <f>+ (SUMIF('Nhập kho T42024'!B:B, C7,'Nhập kho T42024'!G:G))*3500</f>
        <v>119385</v>
      </c>
      <c r="H7" s="101">
        <f>+ SUMIF('Doanh thu'!A:A, C7,'Doanh thu'!E:E)</f>
        <v>7</v>
      </c>
      <c r="I7" s="101">
        <f>F7-H7+3</f>
        <v>-1</v>
      </c>
      <c r="J7" s="103">
        <f t="shared" si="0"/>
        <v>708050</v>
      </c>
      <c r="K7" s="104">
        <f>+ SUMIF('Doanh thu'!A:A, C7,'Doanh thu'!F:F)</f>
        <v>708050</v>
      </c>
    </row>
    <row r="8" spans="1:11" ht="13.2">
      <c r="A8" s="372"/>
      <c r="B8" s="101">
        <v>1</v>
      </c>
      <c r="C8" s="28" t="s">
        <v>403</v>
      </c>
      <c r="D8" s="28" t="s">
        <v>417</v>
      </c>
      <c r="E8" s="101" t="s">
        <v>394</v>
      </c>
      <c r="F8" s="102">
        <f>+ SUMIF('Nhập kho T42024'!B:B, C8,'Nhập kho T42024'!F:F)</f>
        <v>6</v>
      </c>
      <c r="G8" s="100">
        <f>+ (SUMIF('Nhập kho T42024'!B:B, C8,'Nhập kho T42024'!G:G))*3500</f>
        <v>209964.99999999997</v>
      </c>
      <c r="H8" s="101">
        <f>+ SUMIF('Doanh thu'!A:A, C8,'Doanh thu'!E:E)</f>
        <v>0</v>
      </c>
      <c r="I8" s="101">
        <f>F8-H8</f>
        <v>6</v>
      </c>
      <c r="J8" s="103">
        <f t="shared" si="0"/>
        <v>0</v>
      </c>
      <c r="K8" s="104">
        <f>+ SUMIF('Doanh thu'!A:A, C8,'Doanh thu'!F:F)</f>
        <v>0</v>
      </c>
    </row>
    <row r="9" spans="1:11" ht="13.2">
      <c r="A9" s="372"/>
      <c r="B9" s="101">
        <v>1</v>
      </c>
      <c r="C9" s="28" t="s">
        <v>405</v>
      </c>
      <c r="D9" s="28" t="s">
        <v>2120</v>
      </c>
      <c r="E9" s="101" t="s">
        <v>394</v>
      </c>
      <c r="F9" s="102">
        <f>+ SUMIF('Nhập kho T42024'!B:B, C9,'Nhập kho T42024'!F:F)</f>
        <v>5</v>
      </c>
      <c r="G9" s="100">
        <f>+ (SUMIF('Nhập kho T42024'!B:B, C9,'Nhập kho T42024'!G:G))*3500</f>
        <v>209685</v>
      </c>
      <c r="H9" s="101">
        <f>+ SUMIF('Doanh thu'!A:A, C9,'Doanh thu'!E:E)</f>
        <v>9</v>
      </c>
      <c r="I9" s="101">
        <f>F9-H9+1</f>
        <v>-3</v>
      </c>
      <c r="J9" s="103">
        <f t="shared" si="0"/>
        <v>910350</v>
      </c>
      <c r="K9" s="104">
        <f>+ SUMIF('Doanh thu'!A:A, C9,'Doanh thu'!F:F)</f>
        <v>910350</v>
      </c>
    </row>
    <row r="10" spans="1:11" ht="13.2">
      <c r="A10" s="372"/>
      <c r="B10" s="101">
        <v>1</v>
      </c>
      <c r="C10" s="28" t="s">
        <v>407</v>
      </c>
      <c r="D10" s="28" t="s">
        <v>419</v>
      </c>
      <c r="E10" s="101" t="s">
        <v>394</v>
      </c>
      <c r="F10" s="102">
        <f>+ SUMIF('Nhập kho T42024'!B:B, C10,'Nhập kho T42024'!F:F)</f>
        <v>3</v>
      </c>
      <c r="G10" s="100">
        <f>+ (SUMIF('Nhập kho T42024'!B:B, C10,'Nhập kho T42024'!G:G))*3500</f>
        <v>107485</v>
      </c>
      <c r="H10" s="101">
        <f>+ SUMIF('Doanh thu'!A:A, C10,'Doanh thu'!E:E)</f>
        <v>4</v>
      </c>
      <c r="I10" s="101">
        <f>F10-H10+3</f>
        <v>2</v>
      </c>
      <c r="J10" s="103">
        <f t="shared" si="0"/>
        <v>312800</v>
      </c>
      <c r="K10" s="104">
        <f>+ SUMIF('Doanh thu'!A:A, C10,'Doanh thu'!F:F)</f>
        <v>312800</v>
      </c>
    </row>
    <row r="11" spans="1:11" ht="13.2">
      <c r="A11" s="372"/>
      <c r="B11" s="101">
        <v>1</v>
      </c>
      <c r="C11" s="28" t="s">
        <v>409</v>
      </c>
      <c r="D11" s="28" t="s">
        <v>2121</v>
      </c>
      <c r="E11" s="101" t="s">
        <v>394</v>
      </c>
      <c r="F11" s="102">
        <f>+ SUMIF('Nhập kho T42024'!B:B, C11,'Nhập kho T42024'!F:F)</f>
        <v>5</v>
      </c>
      <c r="G11" s="100">
        <f>+ (SUMIF('Nhập kho T42024'!B:B, C11,'Nhập kho T42024'!G:G))*3500</f>
        <v>210734.99999999997</v>
      </c>
      <c r="H11" s="101">
        <f>+ SUMIF('Doanh thu'!A:A, C11,'Doanh thu'!E:E)</f>
        <v>4</v>
      </c>
      <c r="I11" s="101">
        <f>F11-H11-1</f>
        <v>0</v>
      </c>
      <c r="J11" s="103">
        <f t="shared" si="0"/>
        <v>406000</v>
      </c>
      <c r="K11" s="104">
        <f>+ SUMIF('Doanh thu'!A:A, C11,'Doanh thu'!F:F)</f>
        <v>406000</v>
      </c>
    </row>
    <row r="12" spans="1:11" ht="13.2">
      <c r="A12" s="372"/>
      <c r="B12" s="101">
        <v>1</v>
      </c>
      <c r="C12" s="28" t="s">
        <v>411</v>
      </c>
      <c r="D12" s="28" t="s">
        <v>421</v>
      </c>
      <c r="E12" s="101" t="s">
        <v>394</v>
      </c>
      <c r="F12" s="102">
        <f>+ SUMIF('Nhập kho T42024'!B:B, C12,'Nhập kho T42024'!F:F)</f>
        <v>5</v>
      </c>
      <c r="G12" s="100">
        <f>+ (SUMIF('Nhập kho T42024'!B:B, C12,'Nhập kho T42024'!G:G))*3500</f>
        <v>169925</v>
      </c>
      <c r="H12" s="101">
        <f>+ SUMIF('Doanh thu'!A:A, C12,'Doanh thu'!E:E)</f>
        <v>2</v>
      </c>
      <c r="I12" s="101">
        <f>F12-H12+1</f>
        <v>4</v>
      </c>
      <c r="J12" s="103">
        <f t="shared" si="0"/>
        <v>156400</v>
      </c>
      <c r="K12" s="104">
        <f>+ SUMIF('Doanh thu'!A:A, C12,'Doanh thu'!F:F)</f>
        <v>156400</v>
      </c>
    </row>
    <row r="13" spans="1:11" ht="13.2">
      <c r="A13" s="372"/>
      <c r="B13" s="101">
        <v>1</v>
      </c>
      <c r="C13" s="28" t="s">
        <v>413</v>
      </c>
      <c r="D13" s="28" t="s">
        <v>396</v>
      </c>
      <c r="E13" s="101" t="s">
        <v>394</v>
      </c>
      <c r="F13" s="102">
        <f>+ SUMIF('Nhập kho T42024'!B:B, C13,'Nhập kho T42024'!F:F)</f>
        <v>0</v>
      </c>
      <c r="G13" s="100">
        <f>+ (SUMIF('Nhập kho T42024'!B:B, C13,'Nhập kho T42024'!G:G))*3500</f>
        <v>0</v>
      </c>
      <c r="H13" s="101">
        <f>+ SUMIF('Doanh thu'!A:A, C13,'Doanh thu'!E:E)</f>
        <v>0</v>
      </c>
      <c r="I13" s="101">
        <f t="shared" ref="I13:I17" si="1">F13-H13</f>
        <v>0</v>
      </c>
      <c r="J13" s="103">
        <f t="shared" si="0"/>
        <v>0</v>
      </c>
      <c r="K13" s="104">
        <f>+ SUMIF('Doanh thu'!A:A, C13,'Doanh thu'!F:F)</f>
        <v>0</v>
      </c>
    </row>
    <row r="14" spans="1:11" ht="13.2">
      <c r="A14" s="372"/>
      <c r="B14" s="101">
        <v>1</v>
      </c>
      <c r="C14" s="28" t="s">
        <v>414</v>
      </c>
      <c r="D14" s="28" t="s">
        <v>415</v>
      </c>
      <c r="E14" s="101" t="s">
        <v>394</v>
      </c>
      <c r="F14" s="102">
        <f>+ SUMIF('Nhập kho T42024'!B:B, C14,'Nhập kho T42024'!F:F)</f>
        <v>0</v>
      </c>
      <c r="G14" s="100">
        <f>+ (SUMIF('Nhập kho T42024'!B:B, C14,'Nhập kho T42024'!G:G))*3500</f>
        <v>0</v>
      </c>
      <c r="H14" s="101">
        <f>+ SUMIF('Doanh thu'!A:A, C14,'Doanh thu'!E:E)</f>
        <v>0</v>
      </c>
      <c r="I14" s="101">
        <f t="shared" si="1"/>
        <v>0</v>
      </c>
      <c r="J14" s="103">
        <f t="shared" si="0"/>
        <v>0</v>
      </c>
      <c r="K14" s="104">
        <f>+ SUMIF('Doanh thu'!A:A, C14,'Doanh thu'!F:F)</f>
        <v>0</v>
      </c>
    </row>
    <row r="15" spans="1:11" ht="13.2">
      <c r="A15" s="372"/>
      <c r="B15" s="101">
        <v>1</v>
      </c>
      <c r="C15" s="28" t="s">
        <v>416</v>
      </c>
      <c r="D15" s="28" t="s">
        <v>417</v>
      </c>
      <c r="E15" s="101" t="s">
        <v>394</v>
      </c>
      <c r="F15" s="102">
        <f>+ SUMIF('Nhập kho T42024'!B:B, C15,'Nhập kho T42024'!F:F)</f>
        <v>0</v>
      </c>
      <c r="G15" s="100">
        <f>+ (SUMIF('Nhập kho T42024'!B:B, C15,'Nhập kho T42024'!G:G))*3500</f>
        <v>0</v>
      </c>
      <c r="H15" s="101">
        <f>+ SUMIF('Doanh thu'!A:A, C15,'Doanh thu'!E:E)</f>
        <v>0</v>
      </c>
      <c r="I15" s="101">
        <f t="shared" si="1"/>
        <v>0</v>
      </c>
      <c r="J15" s="103">
        <f t="shared" si="0"/>
        <v>0</v>
      </c>
      <c r="K15" s="104">
        <f>+ SUMIF('Doanh thu'!A:A, C15,'Doanh thu'!F:F)</f>
        <v>0</v>
      </c>
    </row>
    <row r="16" spans="1:11" ht="13.2">
      <c r="A16" s="372"/>
      <c r="B16" s="101">
        <v>1</v>
      </c>
      <c r="C16" s="28" t="s">
        <v>418</v>
      </c>
      <c r="D16" s="28" t="s">
        <v>419</v>
      </c>
      <c r="E16" s="101" t="s">
        <v>394</v>
      </c>
      <c r="F16" s="102">
        <f>+ SUMIF('Nhập kho T42024'!B:B, C16,'Nhập kho T42024'!F:F)</f>
        <v>0</v>
      </c>
      <c r="G16" s="100">
        <f>+ (SUMIF('Nhập kho T42024'!B:B, C16,'Nhập kho T42024'!G:G))*3500</f>
        <v>0</v>
      </c>
      <c r="H16" s="101">
        <f>+ SUMIF('Doanh thu'!A:A, C16,'Doanh thu'!E:E)</f>
        <v>0</v>
      </c>
      <c r="I16" s="101">
        <f t="shared" si="1"/>
        <v>0</v>
      </c>
      <c r="J16" s="103">
        <f t="shared" si="0"/>
        <v>0</v>
      </c>
      <c r="K16" s="104">
        <f>+ SUMIF('Doanh thu'!A:A, C16,'Doanh thu'!F:F)</f>
        <v>0</v>
      </c>
    </row>
    <row r="17" spans="1:11" ht="13.2">
      <c r="A17" s="372"/>
      <c r="B17" s="101">
        <v>1</v>
      </c>
      <c r="C17" s="28" t="s">
        <v>420</v>
      </c>
      <c r="D17" s="28" t="s">
        <v>421</v>
      </c>
      <c r="E17" s="101" t="s">
        <v>394</v>
      </c>
      <c r="F17" s="102">
        <f>+ SUMIF('Nhập kho T42024'!B:B, C17,'Nhập kho T42024'!F:F)</f>
        <v>0</v>
      </c>
      <c r="G17" s="100">
        <f>+ (SUMIF('Nhập kho T42024'!B:B, C17,'Nhập kho T42024'!G:G))*3500</f>
        <v>0</v>
      </c>
      <c r="H17" s="101">
        <f>+ SUMIF('Doanh thu'!A:A, C17,'Doanh thu'!E:E)</f>
        <v>0</v>
      </c>
      <c r="I17" s="101">
        <f t="shared" si="1"/>
        <v>0</v>
      </c>
      <c r="J17" s="103">
        <f t="shared" si="0"/>
        <v>0</v>
      </c>
      <c r="K17" s="104">
        <f>+ SUMIF('Doanh thu'!A:A, C17,'Doanh thu'!F:F)</f>
        <v>0</v>
      </c>
    </row>
    <row r="18" spans="1:11" ht="13.2">
      <c r="A18" s="372"/>
      <c r="B18" s="101">
        <v>1</v>
      </c>
      <c r="C18" s="45" t="s">
        <v>422</v>
      </c>
      <c r="D18" s="45" t="s">
        <v>423</v>
      </c>
      <c r="E18" s="105" t="s">
        <v>394</v>
      </c>
      <c r="F18" s="102">
        <f>+ SUMIF('Nhập kho T42024'!B:B, C18,'Nhập kho T42024'!F:F)</f>
        <v>0</v>
      </c>
      <c r="G18" s="100">
        <f>+ (SUMIF('Nhập kho T42024'!B:B, C18,'Nhập kho T42024'!G:G))*3500</f>
        <v>0</v>
      </c>
      <c r="H18" s="101">
        <f>+ SUMIF('Doanh thu'!A:A, C18,'Doanh thu'!E:E)</f>
        <v>8</v>
      </c>
      <c r="I18" s="101">
        <f>F18-H18+8</f>
        <v>0</v>
      </c>
      <c r="J18" s="103">
        <f t="shared" si="0"/>
        <v>578000</v>
      </c>
      <c r="K18" s="104">
        <f>+ SUMIF('Doanh thu'!A:A, C18,'Doanh thu'!F:F)</f>
        <v>578000</v>
      </c>
    </row>
    <row r="19" spans="1:11" ht="13.2">
      <c r="A19" s="372"/>
      <c r="B19" s="101">
        <v>1</v>
      </c>
      <c r="C19" s="45" t="s">
        <v>424</v>
      </c>
      <c r="D19" s="45" t="s">
        <v>425</v>
      </c>
      <c r="E19" s="105" t="s">
        <v>394</v>
      </c>
      <c r="F19" s="102">
        <f>+ SUMIF('Nhập kho T42024'!B:B, C19,'Nhập kho T42024'!F:F)</f>
        <v>0</v>
      </c>
      <c r="G19" s="100">
        <f>+ (SUMIF('Nhập kho T42024'!B:B, C19,'Nhập kho T42024'!G:G))*3500</f>
        <v>0</v>
      </c>
      <c r="H19" s="101">
        <f>+ SUMIF('Doanh thu'!A:A, C19,'Doanh thu'!E:E)</f>
        <v>5</v>
      </c>
      <c r="I19" s="101">
        <f>F19-H19+6</f>
        <v>1</v>
      </c>
      <c r="J19" s="103">
        <f t="shared" si="0"/>
        <v>361250</v>
      </c>
      <c r="K19" s="104">
        <f>+ SUMIF('Doanh thu'!A:A, C19,'Doanh thu'!F:F)</f>
        <v>361250</v>
      </c>
    </row>
    <row r="20" spans="1:11" ht="13.2">
      <c r="A20" s="372"/>
      <c r="B20" s="101">
        <v>1</v>
      </c>
      <c r="C20" s="45" t="s">
        <v>426</v>
      </c>
      <c r="D20" s="45" t="s">
        <v>427</v>
      </c>
      <c r="E20" s="105" t="s">
        <v>394</v>
      </c>
      <c r="F20" s="102">
        <f>+ SUMIF('Nhập kho T42024'!B:B, C20,'Nhập kho T42024'!F:F)</f>
        <v>0</v>
      </c>
      <c r="G20" s="100">
        <f>+ (SUMIF('Nhập kho T42024'!B:B, C20,'Nhập kho T42024'!G:G))*3500</f>
        <v>0</v>
      </c>
      <c r="H20" s="101">
        <f>+ SUMIF('Doanh thu'!A:A, C20,'Doanh thu'!E:E)</f>
        <v>9</v>
      </c>
      <c r="I20" s="101">
        <f>F20-H20+9</f>
        <v>0</v>
      </c>
      <c r="J20" s="103">
        <f t="shared" si="0"/>
        <v>650250</v>
      </c>
      <c r="K20" s="104">
        <f>+ SUMIF('Doanh thu'!A:A, C20,'Doanh thu'!F:F)</f>
        <v>650250</v>
      </c>
    </row>
    <row r="21" spans="1:11" ht="13.2">
      <c r="A21" s="373"/>
      <c r="B21" s="101">
        <v>1</v>
      </c>
      <c r="C21" s="45" t="s">
        <v>428</v>
      </c>
      <c r="D21" s="45" t="s">
        <v>429</v>
      </c>
      <c r="E21" s="105" t="s">
        <v>394</v>
      </c>
      <c r="F21" s="102">
        <f>+ SUMIF('Nhập kho T42024'!B:B, C21,'Nhập kho T42024'!F:F)</f>
        <v>0</v>
      </c>
      <c r="G21" s="100">
        <f>+ (SUMIF('Nhập kho T42024'!B:B, C21,'Nhập kho T42024'!G:G))*3500</f>
        <v>0</v>
      </c>
      <c r="H21" s="101">
        <f>+ SUMIF('Doanh thu'!A:A, C21,'Doanh thu'!E:E)</f>
        <v>0</v>
      </c>
      <c r="I21" s="101">
        <f t="shared" ref="I21:I28" si="2">F21-H21</f>
        <v>0</v>
      </c>
      <c r="J21" s="103">
        <f t="shared" si="0"/>
        <v>0</v>
      </c>
      <c r="K21" s="104">
        <f>+ SUMIF('Doanh thu'!A:A, C21,'Doanh thu'!F:F)</f>
        <v>0</v>
      </c>
    </row>
    <row r="22" spans="1:11" ht="13.2">
      <c r="A22" s="388" t="s">
        <v>430</v>
      </c>
      <c r="B22" s="101">
        <v>1</v>
      </c>
      <c r="C22" s="106" t="s">
        <v>431</v>
      </c>
      <c r="D22" s="106" t="s">
        <v>2122</v>
      </c>
      <c r="E22" s="107" t="s">
        <v>432</v>
      </c>
      <c r="F22" s="102">
        <f>+ SUMIF('Nhập kho T42024'!B:B, C22,'Nhập kho T42024'!F:F)</f>
        <v>70</v>
      </c>
      <c r="G22" s="100">
        <f>+ (SUMIF('Nhập kho T42024'!B:B, C22,'Nhập kho T42024'!G:G))*3500</f>
        <v>0</v>
      </c>
      <c r="H22" s="101">
        <f>+ SUMIF('Doanh thu'!A:A, C22,'Doanh thu'!E:E)</f>
        <v>1</v>
      </c>
      <c r="I22" s="101">
        <f t="shared" si="2"/>
        <v>69</v>
      </c>
      <c r="J22" s="103">
        <f t="shared" si="0"/>
        <v>14500</v>
      </c>
      <c r="K22" s="104">
        <f>+ SUMIF('Doanh thu'!A:A, C22,'Doanh thu'!F:F)</f>
        <v>14500</v>
      </c>
    </row>
    <row r="23" spans="1:11" ht="13.2">
      <c r="A23" s="372"/>
      <c r="B23" s="101">
        <v>1</v>
      </c>
      <c r="C23" s="106" t="s">
        <v>433</v>
      </c>
      <c r="D23" s="106" t="s">
        <v>2123</v>
      </c>
      <c r="E23" s="107" t="s">
        <v>432</v>
      </c>
      <c r="F23" s="102">
        <f>+ SUMIF('Nhập kho T42024'!B:B, C23,'Nhập kho T42024'!F:F)</f>
        <v>70</v>
      </c>
      <c r="G23" s="100">
        <f>+ (SUMIF('Nhập kho T42024'!B:B, C23,'Nhập kho T42024'!G:G))*3500</f>
        <v>0</v>
      </c>
      <c r="H23" s="101">
        <f>+ SUMIF('Doanh thu'!A:A, C23,'Doanh thu'!E:E)</f>
        <v>6</v>
      </c>
      <c r="I23" s="101">
        <f t="shared" si="2"/>
        <v>64</v>
      </c>
      <c r="J23" s="103">
        <f t="shared" si="0"/>
        <v>87000</v>
      </c>
      <c r="K23" s="104">
        <f>+ SUMIF('Doanh thu'!A:A, C23,'Doanh thu'!F:F)</f>
        <v>87000</v>
      </c>
    </row>
    <row r="24" spans="1:11" ht="13.2">
      <c r="A24" s="372"/>
      <c r="B24" s="101">
        <v>1</v>
      </c>
      <c r="C24" s="106" t="s">
        <v>435</v>
      </c>
      <c r="D24" s="106" t="s">
        <v>2124</v>
      </c>
      <c r="E24" s="107" t="s">
        <v>436</v>
      </c>
      <c r="F24" s="102">
        <f>+ SUMIF('Nhập kho T42024'!B:B, C24,'Nhập kho T42024'!F:F)</f>
        <v>150</v>
      </c>
      <c r="G24" s="100">
        <f>+ (SUMIF('Nhập kho T42024'!B:B, C24,'Nhập kho T42024'!G:G))*3500</f>
        <v>0</v>
      </c>
      <c r="H24" s="101">
        <f>+ SUMIF('Doanh thu'!A:A, C24,'Doanh thu'!E:E)</f>
        <v>14</v>
      </c>
      <c r="I24" s="101">
        <f t="shared" si="2"/>
        <v>136</v>
      </c>
      <c r="J24" s="103">
        <f t="shared" si="0"/>
        <v>203000</v>
      </c>
      <c r="K24" s="104">
        <f>+ SUMIF('Doanh thu'!A:A, C24,'Doanh thu'!F:F)</f>
        <v>203000</v>
      </c>
    </row>
    <row r="25" spans="1:11" ht="13.2">
      <c r="A25" s="372"/>
      <c r="B25" s="101">
        <v>1</v>
      </c>
      <c r="C25" s="106" t="s">
        <v>437</v>
      </c>
      <c r="D25" s="106" t="s">
        <v>2125</v>
      </c>
      <c r="E25" s="107" t="s">
        <v>436</v>
      </c>
      <c r="F25" s="102">
        <f>+ SUMIF('Nhập kho T42024'!B:B, C25,'Nhập kho T42024'!F:F)</f>
        <v>130</v>
      </c>
      <c r="G25" s="100">
        <f>+ (SUMIF('Nhập kho T42024'!B:B, C25,'Nhập kho T42024'!G:G))*3500</f>
        <v>0</v>
      </c>
      <c r="H25" s="101">
        <f>+ SUMIF('Doanh thu'!A:A, C25,'Doanh thu'!E:E)</f>
        <v>2</v>
      </c>
      <c r="I25" s="101">
        <f t="shared" si="2"/>
        <v>128</v>
      </c>
      <c r="J25" s="103">
        <f t="shared" si="0"/>
        <v>29000</v>
      </c>
      <c r="K25" s="104">
        <f>+ SUMIF('Doanh thu'!A:A, C25,'Doanh thu'!F:F)</f>
        <v>29000</v>
      </c>
    </row>
    <row r="26" spans="1:11" ht="13.2">
      <c r="A26" s="372"/>
      <c r="B26" s="101">
        <v>1</v>
      </c>
      <c r="C26" s="106" t="s">
        <v>438</v>
      </c>
      <c r="D26" s="106" t="s">
        <v>2126</v>
      </c>
      <c r="E26" s="107" t="s">
        <v>436</v>
      </c>
      <c r="F26" s="102">
        <f>+ SUMIF('Nhập kho T42024'!B:B, C26,'Nhập kho T42024'!F:F)</f>
        <v>110</v>
      </c>
      <c r="G26" s="100">
        <f>+ (SUMIF('Nhập kho T42024'!B:B, C26,'Nhập kho T42024'!G:G))*3500</f>
        <v>0</v>
      </c>
      <c r="H26" s="101">
        <f>+ SUMIF('Doanh thu'!A:A, C26,'Doanh thu'!E:E)</f>
        <v>4</v>
      </c>
      <c r="I26" s="101">
        <f t="shared" si="2"/>
        <v>106</v>
      </c>
      <c r="J26" s="103">
        <f t="shared" si="0"/>
        <v>58000</v>
      </c>
      <c r="K26" s="104">
        <f>+ SUMIF('Doanh thu'!A:A, C26,'Doanh thu'!F:F)</f>
        <v>58000</v>
      </c>
    </row>
    <row r="27" spans="1:11" ht="13.2">
      <c r="A27" s="372"/>
      <c r="B27" s="101">
        <v>1</v>
      </c>
      <c r="C27" s="106" t="s">
        <v>439</v>
      </c>
      <c r="D27" s="106" t="s">
        <v>2127</v>
      </c>
      <c r="E27" s="107" t="s">
        <v>436</v>
      </c>
      <c r="F27" s="102">
        <f>+ SUMIF('Nhập kho T42024'!B:B, C27,'Nhập kho T42024'!F:F)</f>
        <v>70</v>
      </c>
      <c r="G27" s="100">
        <f>+ (SUMIF('Nhập kho T42024'!B:B, C27,'Nhập kho T42024'!G:G))*3500</f>
        <v>0</v>
      </c>
      <c r="H27" s="101">
        <f>+ SUMIF('Doanh thu'!A:A, C27,'Doanh thu'!E:E)</f>
        <v>8</v>
      </c>
      <c r="I27" s="101">
        <f t="shared" si="2"/>
        <v>62</v>
      </c>
      <c r="J27" s="103">
        <f t="shared" si="0"/>
        <v>116000</v>
      </c>
      <c r="K27" s="104">
        <f>+ SUMIF('Doanh thu'!A:A, C27,'Doanh thu'!F:F)</f>
        <v>116000</v>
      </c>
    </row>
    <row r="28" spans="1:11" ht="13.2">
      <c r="A28" s="373"/>
      <c r="B28" s="101">
        <v>1</v>
      </c>
      <c r="C28" s="106" t="s">
        <v>440</v>
      </c>
      <c r="D28" s="106" t="s">
        <v>2128</v>
      </c>
      <c r="E28" s="107" t="s">
        <v>436</v>
      </c>
      <c r="F28" s="102">
        <f>+ SUMIF('Nhập kho T42024'!B:B, C28,'Nhập kho T42024'!F:F)</f>
        <v>92</v>
      </c>
      <c r="G28" s="100">
        <f>+ (SUMIF('Nhập kho T42024'!B:B, C28,'Nhập kho T42024'!G:G))*3500</f>
        <v>0</v>
      </c>
      <c r="H28" s="101">
        <f>+ SUMIF('Doanh thu'!A:A, C28,'Doanh thu'!E:E)</f>
        <v>0</v>
      </c>
      <c r="I28" s="101">
        <f t="shared" si="2"/>
        <v>92</v>
      </c>
      <c r="J28" s="103">
        <f t="shared" si="0"/>
        <v>0</v>
      </c>
      <c r="K28" s="104">
        <f>+ SUMIF('Doanh thu'!A:A, C28,'Doanh thu'!F:F)</f>
        <v>0</v>
      </c>
    </row>
    <row r="29" spans="1:11" ht="15" customHeight="1">
      <c r="A29" s="389" t="s">
        <v>441</v>
      </c>
      <c r="B29" s="101">
        <v>1</v>
      </c>
      <c r="C29" s="33" t="s">
        <v>442</v>
      </c>
      <c r="D29" s="33" t="s">
        <v>443</v>
      </c>
      <c r="E29" s="109" t="s">
        <v>444</v>
      </c>
      <c r="F29" s="102">
        <f>+ SUMIF('Nhập kho T42024'!B:B, C29,'Nhập kho T42024'!F:F)</f>
        <v>0</v>
      </c>
      <c r="G29" s="100">
        <f>+ (SUMIF('Nhập kho T42024'!B:B, C29,'Nhập kho T42024'!G:G))*3500</f>
        <v>0</v>
      </c>
      <c r="H29" s="101">
        <f>+ SUMIF('Doanh thu'!A:A, C29,'Doanh thu'!E:E)</f>
        <v>0</v>
      </c>
      <c r="I29" s="101">
        <f t="shared" ref="I29:I30" si="3">F29-H29+3</f>
        <v>3</v>
      </c>
      <c r="J29" s="103">
        <f t="shared" si="0"/>
        <v>0</v>
      </c>
      <c r="K29" s="104">
        <f>+ SUMIF('Doanh thu'!A:A, C29,'Doanh thu'!F:F)</f>
        <v>0</v>
      </c>
    </row>
    <row r="30" spans="1:11" ht="15" customHeight="1">
      <c r="A30" s="372"/>
      <c r="B30" s="101">
        <v>1</v>
      </c>
      <c r="C30" s="33" t="s">
        <v>445</v>
      </c>
      <c r="D30" s="33" t="s">
        <v>446</v>
      </c>
      <c r="E30" s="109" t="s">
        <v>444</v>
      </c>
      <c r="F30" s="102">
        <f>+ SUMIF('Nhập kho T42024'!B:B, C30,'Nhập kho T42024'!F:F)</f>
        <v>0</v>
      </c>
      <c r="G30" s="100">
        <f>+ (SUMIF('Nhập kho T42024'!B:B, C30,'Nhập kho T42024'!G:G))*3500</f>
        <v>0</v>
      </c>
      <c r="H30" s="101">
        <f>+ SUMIF('Doanh thu'!A:A, C30,'Doanh thu'!E:E)</f>
        <v>0</v>
      </c>
      <c r="I30" s="101">
        <f t="shared" si="3"/>
        <v>3</v>
      </c>
      <c r="J30" s="103">
        <f t="shared" si="0"/>
        <v>0</v>
      </c>
      <c r="K30" s="104">
        <f>+ SUMIF('Doanh thu'!A:A, C30,'Doanh thu'!F:F)</f>
        <v>0</v>
      </c>
    </row>
    <row r="31" spans="1:11" ht="15" customHeight="1">
      <c r="A31" s="372"/>
      <c r="B31" s="101">
        <v>1</v>
      </c>
      <c r="C31" s="33" t="s">
        <v>447</v>
      </c>
      <c r="D31" s="33" t="s">
        <v>448</v>
      </c>
      <c r="E31" s="109" t="s">
        <v>444</v>
      </c>
      <c r="F31" s="102">
        <f>+ SUMIF('Nhập kho T42024'!B:B, C31,'Nhập kho T42024'!F:F)</f>
        <v>0</v>
      </c>
      <c r="G31" s="100">
        <f>+ (SUMIF('Nhập kho T42024'!B:B, C31,'Nhập kho T42024'!G:G))*3500</f>
        <v>0</v>
      </c>
      <c r="H31" s="101">
        <f>+ SUMIF('Doanh thu'!A:A, C31,'Doanh thu'!E:E)</f>
        <v>2</v>
      </c>
      <c r="I31" s="101">
        <f>F31-H31+2</f>
        <v>0</v>
      </c>
      <c r="J31" s="103">
        <f t="shared" si="0"/>
        <v>49800</v>
      </c>
      <c r="K31" s="104">
        <f>+ SUMIF('Doanh thu'!A:A, C31,'Doanh thu'!F:F)</f>
        <v>49800</v>
      </c>
    </row>
    <row r="32" spans="1:11" ht="15" customHeight="1">
      <c r="A32" s="372"/>
      <c r="B32" s="101">
        <v>1</v>
      </c>
      <c r="C32" s="33" t="s">
        <v>449</v>
      </c>
      <c r="D32" s="33" t="s">
        <v>450</v>
      </c>
      <c r="E32" s="109" t="s">
        <v>444</v>
      </c>
      <c r="F32" s="102">
        <f>+ SUMIF('Nhập kho T42024'!B:B, C32,'Nhập kho T42024'!F:F)</f>
        <v>0</v>
      </c>
      <c r="G32" s="100">
        <f>+ (SUMIF('Nhập kho T42024'!B:B, C32,'Nhập kho T42024'!G:G))*3500</f>
        <v>0</v>
      </c>
      <c r="H32" s="101">
        <f>+ SUMIF('Doanh thu'!A:A, C32,'Doanh thu'!E:E)</f>
        <v>1</v>
      </c>
      <c r="I32" s="101">
        <f t="shared" ref="I32:I34" si="4">F32-H32+3</f>
        <v>2</v>
      </c>
      <c r="J32" s="103">
        <f t="shared" si="0"/>
        <v>24900</v>
      </c>
      <c r="K32" s="104">
        <f>+ SUMIF('Doanh thu'!A:A, C32,'Doanh thu'!F:F)</f>
        <v>24900</v>
      </c>
    </row>
    <row r="33" spans="1:11" ht="15" customHeight="1">
      <c r="A33" s="372"/>
      <c r="B33" s="101">
        <v>1</v>
      </c>
      <c r="C33" s="33" t="s">
        <v>451</v>
      </c>
      <c r="D33" s="33" t="s">
        <v>452</v>
      </c>
      <c r="E33" s="109" t="s">
        <v>444</v>
      </c>
      <c r="F33" s="102">
        <f>+ SUMIF('Nhập kho T42024'!B:B, C33,'Nhập kho T42024'!F:F)</f>
        <v>0</v>
      </c>
      <c r="G33" s="100">
        <f>+ (SUMIF('Nhập kho T42024'!B:B, C33,'Nhập kho T42024'!G:G))*3500</f>
        <v>0</v>
      </c>
      <c r="H33" s="101">
        <f>+ SUMIF('Doanh thu'!A:A, C33,'Doanh thu'!E:E)</f>
        <v>1</v>
      </c>
      <c r="I33" s="101">
        <f t="shared" si="4"/>
        <v>2</v>
      </c>
      <c r="J33" s="103">
        <f t="shared" si="0"/>
        <v>23900</v>
      </c>
      <c r="K33" s="104">
        <f>+ SUMIF('Doanh thu'!A:A, C33,'Doanh thu'!F:F)</f>
        <v>23900</v>
      </c>
    </row>
    <row r="34" spans="1:11" ht="13.2">
      <c r="A34" s="372"/>
      <c r="B34" s="101">
        <v>1</v>
      </c>
      <c r="C34" s="33" t="s">
        <v>453</v>
      </c>
      <c r="D34" s="33" t="s">
        <v>454</v>
      </c>
      <c r="E34" s="109" t="s">
        <v>444</v>
      </c>
      <c r="F34" s="102">
        <f>+ SUMIF('Nhập kho T42024'!B:B, C34,'Nhập kho T42024'!F:F)</f>
        <v>0</v>
      </c>
      <c r="G34" s="100">
        <f>+ (SUMIF('Nhập kho T42024'!B:B, C34,'Nhập kho T42024'!G:G))*3500</f>
        <v>0</v>
      </c>
      <c r="H34" s="101">
        <f>+ SUMIF('Doanh thu'!A:A, C34,'Doanh thu'!E:E)</f>
        <v>0</v>
      </c>
      <c r="I34" s="101">
        <f t="shared" si="4"/>
        <v>3</v>
      </c>
      <c r="J34" s="103">
        <f t="shared" si="0"/>
        <v>0</v>
      </c>
      <c r="K34" s="104">
        <f>+ SUMIF('Doanh thu'!A:A, C34,'Doanh thu'!F:F)</f>
        <v>0</v>
      </c>
    </row>
    <row r="35" spans="1:11" ht="13.2">
      <c r="A35" s="372"/>
      <c r="B35" s="101">
        <v>1</v>
      </c>
      <c r="C35" s="33" t="s">
        <v>455</v>
      </c>
      <c r="D35" s="33" t="s">
        <v>456</v>
      </c>
      <c r="E35" s="109" t="s">
        <v>444</v>
      </c>
      <c r="F35" s="102">
        <f>+ SUMIF('Nhập kho T42024'!B:B, C35,'Nhập kho T42024'!F:F)</f>
        <v>0</v>
      </c>
      <c r="G35" s="100">
        <f>+ (SUMIF('Nhập kho T42024'!B:B, C35,'Nhập kho T42024'!G:G))*3500</f>
        <v>0</v>
      </c>
      <c r="H35" s="101">
        <f>+ SUMIF('Doanh thu'!A:A, C35,'Doanh thu'!E:E)</f>
        <v>0</v>
      </c>
      <c r="I35" s="101">
        <f t="shared" ref="I35:I36" si="5">F35-H35</f>
        <v>0</v>
      </c>
      <c r="J35" s="103">
        <f t="shared" si="0"/>
        <v>0</v>
      </c>
      <c r="K35" s="104">
        <f>+ SUMIF('Doanh thu'!A:A, C35,'Doanh thu'!F:F)</f>
        <v>0</v>
      </c>
    </row>
    <row r="36" spans="1:11" ht="13.2">
      <c r="A36" s="372"/>
      <c r="B36" s="101">
        <v>1</v>
      </c>
      <c r="C36" s="33" t="s">
        <v>457</v>
      </c>
      <c r="D36" s="33" t="s">
        <v>458</v>
      </c>
      <c r="E36" s="109" t="s">
        <v>444</v>
      </c>
      <c r="F36" s="102">
        <f>+ SUMIF('Nhập kho T42024'!B:B, C36,'Nhập kho T42024'!F:F)</f>
        <v>0</v>
      </c>
      <c r="G36" s="100">
        <f>+ (SUMIF('Nhập kho T42024'!B:B, C36,'Nhập kho T42024'!G:G))*3500</f>
        <v>0</v>
      </c>
      <c r="H36" s="101">
        <f>+ SUMIF('Doanh thu'!A:A, C36,'Doanh thu'!E:E)</f>
        <v>0</v>
      </c>
      <c r="I36" s="101">
        <f t="shared" si="5"/>
        <v>0</v>
      </c>
      <c r="J36" s="103">
        <f t="shared" si="0"/>
        <v>0</v>
      </c>
      <c r="K36" s="104">
        <f>+ SUMIF('Doanh thu'!A:A, C36,'Doanh thu'!F:F)</f>
        <v>0</v>
      </c>
    </row>
    <row r="37" spans="1:11" ht="13.2">
      <c r="A37" s="372"/>
      <c r="B37" s="101">
        <v>1</v>
      </c>
      <c r="C37" s="33" t="s">
        <v>459</v>
      </c>
      <c r="D37" s="33" t="s">
        <v>460</v>
      </c>
      <c r="E37" s="109" t="s">
        <v>444</v>
      </c>
      <c r="F37" s="102">
        <f>+ SUMIF('Nhập kho T42024'!B:B, C37,'Nhập kho T42024'!F:F)</f>
        <v>0</v>
      </c>
      <c r="G37" s="100">
        <f>+ (SUMIF('Nhập kho T42024'!B:B, C37,'Nhập kho T42024'!G:G))*3500</f>
        <v>0</v>
      </c>
      <c r="H37" s="101">
        <f>+ SUMIF('Doanh thu'!A:A, C37,'Doanh thu'!E:E)</f>
        <v>0</v>
      </c>
      <c r="I37" s="101">
        <f>F37-H37+2</f>
        <v>2</v>
      </c>
      <c r="J37" s="103">
        <f t="shared" si="0"/>
        <v>0</v>
      </c>
      <c r="K37" s="104">
        <f>+ SUMIF('Doanh thu'!A:A, C37,'Doanh thu'!F:F)</f>
        <v>0</v>
      </c>
    </row>
    <row r="38" spans="1:11" ht="13.2">
      <c r="A38" s="372"/>
      <c r="B38" s="101">
        <v>1</v>
      </c>
      <c r="C38" s="33" t="s">
        <v>461</v>
      </c>
      <c r="D38" s="33" t="s">
        <v>462</v>
      </c>
      <c r="E38" s="109" t="s">
        <v>444</v>
      </c>
      <c r="F38" s="102">
        <f>+ SUMIF('Nhập kho T42024'!B:B, C38,'Nhập kho T42024'!F:F)</f>
        <v>0</v>
      </c>
      <c r="G38" s="100">
        <f>+ (SUMIF('Nhập kho T42024'!B:B, C38,'Nhập kho T42024'!G:G))*3500</f>
        <v>0</v>
      </c>
      <c r="H38" s="101">
        <f>+ SUMIF('Doanh thu'!A:A, C38,'Doanh thu'!E:E)</f>
        <v>0</v>
      </c>
      <c r="I38" s="101">
        <f>F38-H38+3</f>
        <v>3</v>
      </c>
      <c r="J38" s="103">
        <f t="shared" si="0"/>
        <v>0</v>
      </c>
      <c r="K38" s="104">
        <f>+ SUMIF('Doanh thu'!A:A, C38,'Doanh thu'!F:F)</f>
        <v>0</v>
      </c>
    </row>
    <row r="39" spans="1:11" ht="13.2">
      <c r="A39" s="372"/>
      <c r="B39" s="101">
        <v>1</v>
      </c>
      <c r="C39" s="33" t="s">
        <v>463</v>
      </c>
      <c r="D39" s="33" t="s">
        <v>464</v>
      </c>
      <c r="E39" s="109" t="s">
        <v>444</v>
      </c>
      <c r="F39" s="102">
        <f>+ SUMIF('Nhập kho T42024'!B:B, C39,'Nhập kho T42024'!F:F)</f>
        <v>0</v>
      </c>
      <c r="G39" s="100">
        <f>+ (SUMIF('Nhập kho T42024'!B:B, C39,'Nhập kho T42024'!G:G))*3500</f>
        <v>0</v>
      </c>
      <c r="H39" s="101">
        <f>+ SUMIF('Doanh thu'!A:A, C39,'Doanh thu'!E:E)</f>
        <v>1</v>
      </c>
      <c r="I39" s="101">
        <f t="shared" ref="I39:I42" si="6">F39-H39+2</f>
        <v>1</v>
      </c>
      <c r="J39" s="103">
        <f t="shared" si="0"/>
        <v>22900</v>
      </c>
      <c r="K39" s="104">
        <f>+ SUMIF('Doanh thu'!A:A, C39,'Doanh thu'!F:F)</f>
        <v>22900</v>
      </c>
    </row>
    <row r="40" spans="1:11" ht="13.2">
      <c r="A40" s="372"/>
      <c r="B40" s="101">
        <v>1</v>
      </c>
      <c r="C40" s="33" t="s">
        <v>465</v>
      </c>
      <c r="D40" s="33" t="s">
        <v>466</v>
      </c>
      <c r="E40" s="109" t="s">
        <v>444</v>
      </c>
      <c r="F40" s="102">
        <f>+ SUMIF('Nhập kho T42024'!B:B, C40,'Nhập kho T42024'!F:F)</f>
        <v>0</v>
      </c>
      <c r="G40" s="100">
        <f>+ (SUMIF('Nhập kho T42024'!B:B, C40,'Nhập kho T42024'!G:G))*3500</f>
        <v>0</v>
      </c>
      <c r="H40" s="101">
        <f>+ SUMIF('Doanh thu'!A:A, C40,'Doanh thu'!E:E)</f>
        <v>2</v>
      </c>
      <c r="I40" s="101">
        <f t="shared" si="6"/>
        <v>0</v>
      </c>
      <c r="J40" s="103">
        <f t="shared" si="0"/>
        <v>26500</v>
      </c>
      <c r="K40" s="104">
        <f>+ SUMIF('Doanh thu'!A:A, C40,'Doanh thu'!F:F)</f>
        <v>26500</v>
      </c>
    </row>
    <row r="41" spans="1:11" ht="13.2">
      <c r="A41" s="372"/>
      <c r="B41" s="101">
        <v>1</v>
      </c>
      <c r="C41" s="33" t="s">
        <v>467</v>
      </c>
      <c r="D41" s="33" t="s">
        <v>468</v>
      </c>
      <c r="E41" s="109" t="s">
        <v>444</v>
      </c>
      <c r="F41" s="102">
        <f>+ SUMIF('Nhập kho T42024'!B:B, C41,'Nhập kho T42024'!F:F)</f>
        <v>0</v>
      </c>
      <c r="G41" s="100">
        <f>+ (SUMIF('Nhập kho T42024'!B:B, C41,'Nhập kho T42024'!G:G))*3500</f>
        <v>0</v>
      </c>
      <c r="H41" s="101">
        <f>+ SUMIF('Doanh thu'!A:A, C41,'Doanh thu'!E:E)</f>
        <v>2</v>
      </c>
      <c r="I41" s="101">
        <f t="shared" si="6"/>
        <v>0</v>
      </c>
      <c r="J41" s="103">
        <f t="shared" si="0"/>
        <v>25000</v>
      </c>
      <c r="K41" s="104">
        <f>+ SUMIF('Doanh thu'!A:A, C41,'Doanh thu'!F:F)</f>
        <v>25000</v>
      </c>
    </row>
    <row r="42" spans="1:11" ht="13.2">
      <c r="A42" s="373"/>
      <c r="B42" s="101">
        <v>1</v>
      </c>
      <c r="C42" s="33" t="s">
        <v>469</v>
      </c>
      <c r="D42" s="33" t="s">
        <v>470</v>
      </c>
      <c r="E42" s="109" t="s">
        <v>444</v>
      </c>
      <c r="F42" s="102">
        <f>+ SUMIF('Nhập kho T42024'!B:B, C42,'Nhập kho T42024'!F:F)</f>
        <v>0</v>
      </c>
      <c r="G42" s="100">
        <f>+ (SUMIF('Nhập kho T42024'!B:B, C42,'Nhập kho T42024'!G:G))*3500</f>
        <v>0</v>
      </c>
      <c r="H42" s="101">
        <f>+ SUMIF('Doanh thu'!A:A, C42,'Doanh thu'!E:E)</f>
        <v>1</v>
      </c>
      <c r="I42" s="101">
        <f t="shared" si="6"/>
        <v>1</v>
      </c>
      <c r="J42" s="103">
        <f t="shared" si="0"/>
        <v>34900</v>
      </c>
      <c r="K42" s="104">
        <f>+ SUMIF('Doanh thu'!A:A, C42,'Doanh thu'!F:F)</f>
        <v>34900</v>
      </c>
    </row>
    <row r="43" spans="1:11" ht="13.2">
      <c r="A43" s="390" t="s">
        <v>471</v>
      </c>
      <c r="B43" s="111">
        <v>1</v>
      </c>
      <c r="C43" s="112" t="s">
        <v>472</v>
      </c>
      <c r="D43" s="112" t="s">
        <v>473</v>
      </c>
      <c r="E43" s="111" t="s">
        <v>444</v>
      </c>
      <c r="F43" s="102">
        <f>+ SUMIF('Nhập kho T42024'!B:B, C43,'Nhập kho T42024'!F:F)</f>
        <v>0</v>
      </c>
      <c r="G43" s="100">
        <f>+ (SUMIF('Nhập kho T42024'!B:B, C43,'Nhập kho T42024'!G:G))*3500</f>
        <v>0</v>
      </c>
      <c r="H43" s="101">
        <f>+ SUMIF('Doanh thu'!A:A, C43,'Doanh thu'!E:E)</f>
        <v>0</v>
      </c>
      <c r="I43" s="101">
        <f t="shared" ref="I43:I47" si="7">F43-H43</f>
        <v>0</v>
      </c>
      <c r="J43" s="103">
        <f t="shared" si="0"/>
        <v>0</v>
      </c>
      <c r="K43" s="104">
        <f>+ SUMIF('Doanh thu'!A:A, C43,'Doanh thu'!F:F)</f>
        <v>0</v>
      </c>
    </row>
    <row r="44" spans="1:11" ht="13.2">
      <c r="A44" s="372"/>
      <c r="B44" s="111">
        <v>1</v>
      </c>
      <c r="C44" s="112" t="s">
        <v>474</v>
      </c>
      <c r="D44" s="112" t="s">
        <v>475</v>
      </c>
      <c r="E44" s="111" t="s">
        <v>444</v>
      </c>
      <c r="F44" s="102">
        <f>+ SUMIF('Nhập kho T42024'!B:B, C44,'Nhập kho T42024'!F:F)</f>
        <v>0</v>
      </c>
      <c r="G44" s="100">
        <f>+ (SUMIF('Nhập kho T42024'!B:B, C44,'Nhập kho T42024'!G:G))*3500</f>
        <v>0</v>
      </c>
      <c r="H44" s="101">
        <f>+ SUMIF('Doanh thu'!A:A, C44,'Doanh thu'!E:E)</f>
        <v>0</v>
      </c>
      <c r="I44" s="101">
        <f t="shared" si="7"/>
        <v>0</v>
      </c>
      <c r="J44" s="103">
        <f t="shared" si="0"/>
        <v>0</v>
      </c>
      <c r="K44" s="104">
        <f>+ SUMIF('Doanh thu'!A:A, C44,'Doanh thu'!F:F)</f>
        <v>0</v>
      </c>
    </row>
    <row r="45" spans="1:11" ht="13.2">
      <c r="A45" s="372"/>
      <c r="B45" s="111">
        <v>1</v>
      </c>
      <c r="C45" s="112" t="s">
        <v>476</v>
      </c>
      <c r="D45" s="112" t="s">
        <v>477</v>
      </c>
      <c r="E45" s="111" t="s">
        <v>444</v>
      </c>
      <c r="F45" s="102">
        <f>+ SUMIF('Nhập kho T42024'!B:B, C45,'Nhập kho T42024'!F:F)</f>
        <v>0</v>
      </c>
      <c r="G45" s="100">
        <f>+ (SUMIF('Nhập kho T42024'!B:B, C45,'Nhập kho T42024'!G:G))*3500</f>
        <v>0</v>
      </c>
      <c r="H45" s="101">
        <f>+ SUMIF('Doanh thu'!A:A, C45,'Doanh thu'!E:E)</f>
        <v>0</v>
      </c>
      <c r="I45" s="101">
        <f t="shared" si="7"/>
        <v>0</v>
      </c>
      <c r="J45" s="103">
        <f t="shared" si="0"/>
        <v>0</v>
      </c>
      <c r="K45" s="104">
        <f>+ SUMIF('Doanh thu'!A:A, C45,'Doanh thu'!F:F)</f>
        <v>0</v>
      </c>
    </row>
    <row r="46" spans="1:11" ht="13.2">
      <c r="A46" s="372"/>
      <c r="B46" s="111">
        <v>1</v>
      </c>
      <c r="C46" s="112" t="s">
        <v>478</v>
      </c>
      <c r="D46" s="112" t="s">
        <v>479</v>
      </c>
      <c r="E46" s="111" t="s">
        <v>444</v>
      </c>
      <c r="F46" s="102">
        <f>+ SUMIF('Nhập kho T42024'!B:B, C46,'Nhập kho T42024'!F:F)</f>
        <v>0</v>
      </c>
      <c r="G46" s="100">
        <f>+ (SUMIF('Nhập kho T42024'!B:B, C46,'Nhập kho T42024'!G:G))*3500</f>
        <v>0</v>
      </c>
      <c r="H46" s="101">
        <f>+ SUMIF('Doanh thu'!A:A, C46,'Doanh thu'!E:E)</f>
        <v>0</v>
      </c>
      <c r="I46" s="101">
        <f t="shared" si="7"/>
        <v>0</v>
      </c>
      <c r="J46" s="103">
        <f t="shared" si="0"/>
        <v>0</v>
      </c>
      <c r="K46" s="104">
        <f>+ SUMIF('Doanh thu'!A:A, C46,'Doanh thu'!F:F)</f>
        <v>0</v>
      </c>
    </row>
    <row r="47" spans="1:11" ht="13.2">
      <c r="A47" s="372"/>
      <c r="B47" s="111">
        <v>1</v>
      </c>
      <c r="C47" s="112" t="s">
        <v>480</v>
      </c>
      <c r="D47" s="112" t="s">
        <v>481</v>
      </c>
      <c r="E47" s="111" t="s">
        <v>444</v>
      </c>
      <c r="F47" s="102">
        <f>+ SUMIF('Nhập kho T42024'!B:B, C47,'Nhập kho T42024'!F:F)</f>
        <v>0</v>
      </c>
      <c r="G47" s="100">
        <f>+ (SUMIF('Nhập kho T42024'!B:B, C47,'Nhập kho T42024'!G:G))*3500</f>
        <v>0</v>
      </c>
      <c r="H47" s="101">
        <f>+ SUMIF('Doanh thu'!A:A, C47,'Doanh thu'!E:E)</f>
        <v>0</v>
      </c>
      <c r="I47" s="101">
        <f t="shared" si="7"/>
        <v>0</v>
      </c>
      <c r="J47" s="103">
        <f t="shared" si="0"/>
        <v>0</v>
      </c>
      <c r="K47" s="104">
        <f>+ SUMIF('Doanh thu'!A:A, C47,'Doanh thu'!F:F)</f>
        <v>0</v>
      </c>
    </row>
    <row r="48" spans="1:11" ht="13.2">
      <c r="A48" s="372"/>
      <c r="B48" s="111">
        <v>1</v>
      </c>
      <c r="C48" s="112" t="s">
        <v>482</v>
      </c>
      <c r="D48" s="112" t="s">
        <v>483</v>
      </c>
      <c r="E48" s="111" t="s">
        <v>484</v>
      </c>
      <c r="F48" s="102">
        <f>+ SUMIF('Nhập kho T42024'!B:B, C48,'Nhập kho T42024'!F:F)</f>
        <v>0</v>
      </c>
      <c r="G48" s="100">
        <f>+ (SUMIF('Nhập kho T42024'!B:B, C48,'Nhập kho T42024'!G:G))*3500</f>
        <v>0</v>
      </c>
      <c r="H48" s="101">
        <f>+ SUMIF('Doanh thu'!A:A, C48,'Doanh thu'!E:E)</f>
        <v>0</v>
      </c>
      <c r="I48" s="101">
        <f>F48-H48+1</f>
        <v>1</v>
      </c>
      <c r="J48" s="103">
        <f t="shared" si="0"/>
        <v>0</v>
      </c>
      <c r="K48" s="104">
        <f>+ SUMIF('Doanh thu'!A:A, C48,'Doanh thu'!F:F)</f>
        <v>0</v>
      </c>
    </row>
    <row r="49" spans="1:11" ht="13.2">
      <c r="A49" s="372"/>
      <c r="B49" s="111">
        <v>1</v>
      </c>
      <c r="C49" s="112" t="s">
        <v>485</v>
      </c>
      <c r="D49" s="112" t="s">
        <v>486</v>
      </c>
      <c r="E49" s="111" t="s">
        <v>484</v>
      </c>
      <c r="F49" s="102">
        <f>+ SUMIF('Nhập kho T42024'!B:B, C49,'Nhập kho T42024'!F:F)</f>
        <v>0</v>
      </c>
      <c r="G49" s="100">
        <f>+ (SUMIF('Nhập kho T42024'!B:B, C49,'Nhập kho T42024'!G:G))*3500</f>
        <v>0</v>
      </c>
      <c r="H49" s="101">
        <f>+ SUMIF('Doanh thu'!A:A, C49,'Doanh thu'!E:E)</f>
        <v>6</v>
      </c>
      <c r="I49" s="101">
        <f t="shared" ref="I49:I50" si="8">F49-H49+8</f>
        <v>2</v>
      </c>
      <c r="J49" s="103">
        <f t="shared" si="0"/>
        <v>182160</v>
      </c>
      <c r="K49" s="104">
        <f>+ SUMIF('Doanh thu'!A:A, C49,'Doanh thu'!F:F)</f>
        <v>182160</v>
      </c>
    </row>
    <row r="50" spans="1:11" ht="13.2">
      <c r="A50" s="372"/>
      <c r="B50" s="111">
        <v>1</v>
      </c>
      <c r="C50" s="112" t="s">
        <v>487</v>
      </c>
      <c r="D50" s="112" t="s">
        <v>488</v>
      </c>
      <c r="E50" s="111" t="s">
        <v>484</v>
      </c>
      <c r="F50" s="102">
        <f>+ SUMIF('Nhập kho T42024'!B:B, C50,'Nhập kho T42024'!F:F)</f>
        <v>0</v>
      </c>
      <c r="G50" s="100">
        <f>+ (SUMIF('Nhập kho T42024'!B:B, C50,'Nhập kho T42024'!G:G))*3500</f>
        <v>0</v>
      </c>
      <c r="H50" s="101">
        <f>+ SUMIF('Doanh thu'!A:A, C50,'Doanh thu'!E:E)</f>
        <v>2</v>
      </c>
      <c r="I50" s="101">
        <f t="shared" si="8"/>
        <v>6</v>
      </c>
      <c r="J50" s="103">
        <f t="shared" si="0"/>
        <v>64400</v>
      </c>
      <c r="K50" s="104">
        <f>+ SUMIF('Doanh thu'!A:A, C50,'Doanh thu'!F:F)</f>
        <v>64400</v>
      </c>
    </row>
    <row r="51" spans="1:11" ht="13.2">
      <c r="A51" s="372"/>
      <c r="B51" s="111">
        <v>1</v>
      </c>
      <c r="C51" s="112" t="s">
        <v>489</v>
      </c>
      <c r="D51" s="112" t="s">
        <v>490</v>
      </c>
      <c r="E51" s="111" t="s">
        <v>484</v>
      </c>
      <c r="F51" s="102">
        <f>+ SUMIF('Nhập kho T42024'!B:B, C51,'Nhập kho T42024'!F:F)</f>
        <v>0</v>
      </c>
      <c r="G51" s="100">
        <f>+ (SUMIF('Nhập kho T42024'!B:B, C51,'Nhập kho T42024'!G:G))*3500</f>
        <v>0</v>
      </c>
      <c r="H51" s="101">
        <f>+ SUMIF('Doanh thu'!A:A, C51,'Doanh thu'!E:E)</f>
        <v>6</v>
      </c>
      <c r="I51" s="101">
        <f>F51-H51+6</f>
        <v>0</v>
      </c>
      <c r="J51" s="103">
        <f t="shared" si="0"/>
        <v>66240</v>
      </c>
      <c r="K51" s="104">
        <f>+ SUMIF('Doanh thu'!A:A, C51,'Doanh thu'!F:F)</f>
        <v>66240</v>
      </c>
    </row>
    <row r="52" spans="1:11" ht="13.2">
      <c r="A52" s="372"/>
      <c r="B52" s="111">
        <v>1</v>
      </c>
      <c r="C52" s="112" t="s">
        <v>491</v>
      </c>
      <c r="D52" s="112" t="s">
        <v>492</v>
      </c>
      <c r="E52" s="111" t="s">
        <v>484</v>
      </c>
      <c r="F52" s="102">
        <f>+ SUMIF('Nhập kho T42024'!B:B, C52,'Nhập kho T42024'!F:F)</f>
        <v>0</v>
      </c>
      <c r="G52" s="100">
        <f>+ (SUMIF('Nhập kho T42024'!B:B, C52,'Nhập kho T42024'!G:G))*3500</f>
        <v>0</v>
      </c>
      <c r="H52" s="101">
        <f>+ SUMIF('Doanh thu'!A:A, C52,'Doanh thu'!E:E)</f>
        <v>0</v>
      </c>
      <c r="I52" s="101">
        <f>F52-H52</f>
        <v>0</v>
      </c>
      <c r="J52" s="103">
        <f t="shared" si="0"/>
        <v>0</v>
      </c>
      <c r="K52" s="104">
        <f>+ SUMIF('Doanh thu'!A:A, C52,'Doanh thu'!F:F)</f>
        <v>0</v>
      </c>
    </row>
    <row r="53" spans="1:11" ht="13.2">
      <c r="A53" s="372"/>
      <c r="B53" s="111">
        <v>1</v>
      </c>
      <c r="C53" s="112" t="s">
        <v>493</v>
      </c>
      <c r="D53" s="112" t="s">
        <v>494</v>
      </c>
      <c r="E53" s="111" t="s">
        <v>484</v>
      </c>
      <c r="F53" s="102">
        <f>+ SUMIF('Nhập kho T42024'!B:B, C53,'Nhập kho T42024'!F:F)</f>
        <v>0</v>
      </c>
      <c r="G53" s="100">
        <f>+ (SUMIF('Nhập kho T42024'!B:B, C53,'Nhập kho T42024'!G:G))*3500</f>
        <v>0</v>
      </c>
      <c r="H53" s="101">
        <f>+ SUMIF('Doanh thu'!A:A, C53,'Doanh thu'!E:E)</f>
        <v>3</v>
      </c>
      <c r="I53" s="101">
        <f>F53-H53+11</f>
        <v>8</v>
      </c>
      <c r="J53" s="103">
        <f t="shared" si="0"/>
        <v>38202.6</v>
      </c>
      <c r="K53" s="104">
        <f>+ SUMIF('Doanh thu'!A:A, C53,'Doanh thu'!F:F)</f>
        <v>38202.6</v>
      </c>
    </row>
    <row r="54" spans="1:11" ht="13.2">
      <c r="A54" s="372"/>
      <c r="B54" s="111">
        <v>1</v>
      </c>
      <c r="C54" s="112" t="s">
        <v>495</v>
      </c>
      <c r="D54" s="112" t="s">
        <v>496</v>
      </c>
      <c r="E54" s="111" t="s">
        <v>484</v>
      </c>
      <c r="F54" s="102">
        <f>+ SUMIF('Nhập kho T42024'!B:B, C54,'Nhập kho T42024'!F:F)</f>
        <v>0</v>
      </c>
      <c r="G54" s="100">
        <f>+ (SUMIF('Nhập kho T42024'!B:B, C54,'Nhập kho T42024'!G:G))*3500</f>
        <v>0</v>
      </c>
      <c r="H54" s="101">
        <f>+ SUMIF('Doanh thu'!A:A, C54,'Doanh thu'!E:E)</f>
        <v>2</v>
      </c>
      <c r="I54" s="101">
        <f>F54-H54+10</f>
        <v>8</v>
      </c>
      <c r="J54" s="103">
        <f t="shared" si="0"/>
        <v>44160</v>
      </c>
      <c r="K54" s="104">
        <f>+ SUMIF('Doanh thu'!A:A, C54,'Doanh thu'!F:F)</f>
        <v>44160</v>
      </c>
    </row>
    <row r="55" spans="1:11" ht="13.2">
      <c r="A55" s="372"/>
      <c r="B55" s="111">
        <v>1</v>
      </c>
      <c r="C55" s="112" t="s">
        <v>497</v>
      </c>
      <c r="D55" s="112" t="s">
        <v>498</v>
      </c>
      <c r="E55" s="111" t="s">
        <v>484</v>
      </c>
      <c r="F55" s="102">
        <f>+ SUMIF('Nhập kho T42024'!B:B, C55,'Nhập kho T42024'!F:F)</f>
        <v>0</v>
      </c>
      <c r="G55" s="100">
        <f>+ (SUMIF('Nhập kho T42024'!B:B, C55,'Nhập kho T42024'!G:G))*3500</f>
        <v>0</v>
      </c>
      <c r="H55" s="101">
        <f>+ SUMIF('Doanh thu'!A:A, C55,'Doanh thu'!E:E)</f>
        <v>1</v>
      </c>
      <c r="I55" s="101">
        <f>F55-H55+4</f>
        <v>3</v>
      </c>
      <c r="J55" s="103">
        <f t="shared" si="0"/>
        <v>52440</v>
      </c>
      <c r="K55" s="104">
        <f>+ SUMIF('Doanh thu'!A:A, C55,'Doanh thu'!F:F)</f>
        <v>52440</v>
      </c>
    </row>
    <row r="56" spans="1:11" ht="13.2">
      <c r="A56" s="372"/>
      <c r="B56" s="111">
        <v>1</v>
      </c>
      <c r="C56" s="112" t="s">
        <v>499</v>
      </c>
      <c r="D56" s="112" t="s">
        <v>500</v>
      </c>
      <c r="E56" s="111" t="s">
        <v>484</v>
      </c>
      <c r="F56" s="102">
        <f>+ SUMIF('Nhập kho T42024'!B:B, C56,'Nhập kho T42024'!F:F)</f>
        <v>0</v>
      </c>
      <c r="G56" s="100">
        <f>+ (SUMIF('Nhập kho T42024'!B:B, C56,'Nhập kho T42024'!G:G))*3500</f>
        <v>0</v>
      </c>
      <c r="H56" s="101">
        <f>+ SUMIF('Doanh thu'!A:A, C56,'Doanh thu'!E:E)</f>
        <v>6</v>
      </c>
      <c r="I56" s="101">
        <f>F56-H56+12</f>
        <v>6</v>
      </c>
      <c r="J56" s="103">
        <f t="shared" si="0"/>
        <v>171120</v>
      </c>
      <c r="K56" s="104">
        <f>+ SUMIF('Doanh thu'!A:A, C56,'Doanh thu'!F:F)</f>
        <v>171120</v>
      </c>
    </row>
    <row r="57" spans="1:11" ht="13.2">
      <c r="A57" s="372"/>
      <c r="B57" s="111">
        <v>1</v>
      </c>
      <c r="C57" s="112" t="s">
        <v>501</v>
      </c>
      <c r="D57" s="112" t="s">
        <v>502</v>
      </c>
      <c r="E57" s="111" t="s">
        <v>484</v>
      </c>
      <c r="F57" s="102">
        <f>+ SUMIF('Nhập kho T42024'!B:B, C57,'Nhập kho T42024'!F:F)</f>
        <v>0</v>
      </c>
      <c r="G57" s="100">
        <f>+ (SUMIF('Nhập kho T42024'!B:B, C57,'Nhập kho T42024'!G:G))*3500</f>
        <v>0</v>
      </c>
      <c r="H57" s="101">
        <f>+ SUMIF('Doanh thu'!A:A, C57,'Doanh thu'!E:E)</f>
        <v>2</v>
      </c>
      <c r="I57" s="101">
        <f>F57-H57+13</f>
        <v>11</v>
      </c>
      <c r="J57" s="103">
        <f t="shared" si="0"/>
        <v>19762</v>
      </c>
      <c r="K57" s="104">
        <f>+ SUMIF('Doanh thu'!A:A, C57,'Doanh thu'!F:F)</f>
        <v>19762</v>
      </c>
    </row>
    <row r="58" spans="1:11" ht="13.2">
      <c r="A58" s="372"/>
      <c r="B58" s="111">
        <v>1</v>
      </c>
      <c r="C58" s="112" t="s">
        <v>503</v>
      </c>
      <c r="D58" s="112" t="s">
        <v>504</v>
      </c>
      <c r="E58" s="111" t="s">
        <v>484</v>
      </c>
      <c r="F58" s="102">
        <f>+ SUMIF('Nhập kho T42024'!B:B, C58,'Nhập kho T42024'!F:F)</f>
        <v>0</v>
      </c>
      <c r="G58" s="100">
        <f>+ (SUMIF('Nhập kho T42024'!B:B, C58,'Nhập kho T42024'!G:G))*3500</f>
        <v>0</v>
      </c>
      <c r="H58" s="101">
        <f>+ SUMIF('Doanh thu'!A:A, C58,'Doanh thu'!E:E)</f>
        <v>4</v>
      </c>
      <c r="I58" s="101">
        <f>F58-H58+6</f>
        <v>2</v>
      </c>
      <c r="J58" s="103">
        <f t="shared" si="0"/>
        <v>128800</v>
      </c>
      <c r="K58" s="104">
        <f>+ SUMIF('Doanh thu'!A:A, C58,'Doanh thu'!F:F)</f>
        <v>128800</v>
      </c>
    </row>
    <row r="59" spans="1:11" ht="13.2">
      <c r="A59" s="372"/>
      <c r="B59" s="111">
        <v>1</v>
      </c>
      <c r="C59" s="112" t="s">
        <v>505</v>
      </c>
      <c r="D59" s="112" t="s">
        <v>506</v>
      </c>
      <c r="E59" s="111" t="s">
        <v>484</v>
      </c>
      <c r="F59" s="102">
        <f>+ SUMIF('Nhập kho T42024'!B:B, C59,'Nhập kho T42024'!F:F)</f>
        <v>0</v>
      </c>
      <c r="G59" s="100">
        <f>+ (SUMIF('Nhập kho T42024'!B:B, C59,'Nhập kho T42024'!G:G))*3500</f>
        <v>0</v>
      </c>
      <c r="H59" s="101">
        <f>+ SUMIF('Doanh thu'!A:A, C59,'Doanh thu'!E:E)</f>
        <v>0</v>
      </c>
      <c r="I59" s="101">
        <f t="shared" ref="I59:I62" si="9">F59-H59</f>
        <v>0</v>
      </c>
      <c r="J59" s="103">
        <f t="shared" si="0"/>
        <v>0</v>
      </c>
      <c r="K59" s="104">
        <f>+ SUMIF('Doanh thu'!A:A, C59,'Doanh thu'!F:F)</f>
        <v>0</v>
      </c>
    </row>
    <row r="60" spans="1:11" ht="13.2">
      <c r="A60" s="372"/>
      <c r="B60" s="111">
        <v>1</v>
      </c>
      <c r="C60" s="112" t="s">
        <v>507</v>
      </c>
      <c r="D60" s="112" t="s">
        <v>508</v>
      </c>
      <c r="E60" s="111" t="s">
        <v>484</v>
      </c>
      <c r="F60" s="102">
        <f>+ SUMIF('Nhập kho T42024'!B:B, C60,'Nhập kho T42024'!F:F)</f>
        <v>0</v>
      </c>
      <c r="G60" s="100">
        <f>+ (SUMIF('Nhập kho T42024'!B:B, C60,'Nhập kho T42024'!G:G))*3500</f>
        <v>0</v>
      </c>
      <c r="H60" s="101">
        <f>+ SUMIF('Doanh thu'!A:A, C60,'Doanh thu'!E:E)</f>
        <v>0</v>
      </c>
      <c r="I60" s="101">
        <f t="shared" si="9"/>
        <v>0</v>
      </c>
      <c r="J60" s="103">
        <f t="shared" si="0"/>
        <v>0</v>
      </c>
      <c r="K60" s="104">
        <f>+ SUMIF('Doanh thu'!A:A, C60,'Doanh thu'!F:F)</f>
        <v>0</v>
      </c>
    </row>
    <row r="61" spans="1:11" ht="13.2">
      <c r="A61" s="372"/>
      <c r="B61" s="111">
        <v>1</v>
      </c>
      <c r="C61" s="112" t="s">
        <v>509</v>
      </c>
      <c r="D61" s="112" t="s">
        <v>510</v>
      </c>
      <c r="E61" s="111" t="s">
        <v>484</v>
      </c>
      <c r="F61" s="102">
        <f>+ SUMIF('Nhập kho T42024'!B:B, C61,'Nhập kho T42024'!F:F)</f>
        <v>0</v>
      </c>
      <c r="G61" s="100">
        <f>+ (SUMIF('Nhập kho T42024'!B:B, C61,'Nhập kho T42024'!G:G))*3500</f>
        <v>0</v>
      </c>
      <c r="H61" s="101">
        <f>+ SUMIF('Doanh thu'!A:A, C61,'Doanh thu'!E:E)</f>
        <v>0</v>
      </c>
      <c r="I61" s="101">
        <f t="shared" si="9"/>
        <v>0</v>
      </c>
      <c r="J61" s="103">
        <f t="shared" si="0"/>
        <v>0</v>
      </c>
      <c r="K61" s="104">
        <f>+ SUMIF('Doanh thu'!A:A, C61,'Doanh thu'!F:F)</f>
        <v>0</v>
      </c>
    </row>
    <row r="62" spans="1:11" ht="13.2">
      <c r="A62" s="372"/>
      <c r="B62" s="111">
        <v>1</v>
      </c>
      <c r="C62" s="112" t="s">
        <v>511</v>
      </c>
      <c r="D62" s="112" t="s">
        <v>512</v>
      </c>
      <c r="E62" s="111" t="s">
        <v>484</v>
      </c>
      <c r="F62" s="102">
        <f>+ SUMIF('Nhập kho T42024'!B:B, C62,'Nhập kho T42024'!F:F)</f>
        <v>0</v>
      </c>
      <c r="G62" s="100">
        <f>+ (SUMIF('Nhập kho T42024'!B:B, C62,'Nhập kho T42024'!G:G))*3500</f>
        <v>0</v>
      </c>
      <c r="H62" s="101">
        <f>+ SUMIF('Doanh thu'!A:A, C62,'Doanh thu'!E:E)</f>
        <v>0</v>
      </c>
      <c r="I62" s="101">
        <f t="shared" si="9"/>
        <v>0</v>
      </c>
      <c r="J62" s="103">
        <f t="shared" si="0"/>
        <v>0</v>
      </c>
      <c r="K62" s="104">
        <f>+ SUMIF('Doanh thu'!A:A, C62,'Doanh thu'!F:F)</f>
        <v>0</v>
      </c>
    </row>
    <row r="63" spans="1:11" ht="13.2">
      <c r="A63" s="372"/>
      <c r="B63" s="111">
        <v>1</v>
      </c>
      <c r="C63" s="112" t="s">
        <v>513</v>
      </c>
      <c r="D63" s="112" t="s">
        <v>514</v>
      </c>
      <c r="E63" s="111" t="s">
        <v>484</v>
      </c>
      <c r="F63" s="102">
        <f>+ SUMIF('Nhập kho T42024'!B:B, C63,'Nhập kho T42024'!F:F)</f>
        <v>0</v>
      </c>
      <c r="G63" s="100">
        <f>+ (SUMIF('Nhập kho T42024'!B:B, C63,'Nhập kho T42024'!G:G))*3500</f>
        <v>0</v>
      </c>
      <c r="H63" s="101">
        <f>+ SUMIF('Doanh thu'!A:A, C63,'Doanh thu'!E:E)</f>
        <v>0</v>
      </c>
      <c r="I63" s="101">
        <f>F63-H63+4</f>
        <v>4</v>
      </c>
      <c r="J63" s="103">
        <f t="shared" si="0"/>
        <v>0</v>
      </c>
      <c r="K63" s="104">
        <f>+ SUMIF('Doanh thu'!A:A, C63,'Doanh thu'!F:F)</f>
        <v>0</v>
      </c>
    </row>
    <row r="64" spans="1:11" ht="13.2">
      <c r="A64" s="372"/>
      <c r="B64" s="111">
        <v>1</v>
      </c>
      <c r="C64" s="112" t="s">
        <v>515</v>
      </c>
      <c r="D64" s="112" t="s">
        <v>516</v>
      </c>
      <c r="E64" s="111" t="s">
        <v>484</v>
      </c>
      <c r="F64" s="102">
        <f>+ SUMIF('Nhập kho T42024'!B:B, C64,'Nhập kho T42024'!F:F)</f>
        <v>0</v>
      </c>
      <c r="G64" s="100">
        <f>+ (SUMIF('Nhập kho T42024'!B:B, C64,'Nhập kho T42024'!G:G))*3500</f>
        <v>0</v>
      </c>
      <c r="H64" s="101">
        <f>+ SUMIF('Doanh thu'!A:A, C64,'Doanh thu'!E:E)</f>
        <v>0</v>
      </c>
      <c r="I64" s="101">
        <f t="shared" ref="I64:I66" si="10">F64-H64</f>
        <v>0</v>
      </c>
      <c r="J64" s="103">
        <f t="shared" si="0"/>
        <v>0</v>
      </c>
      <c r="K64" s="104">
        <f>+ SUMIF('Doanh thu'!A:A, C64,'Doanh thu'!F:F)</f>
        <v>0</v>
      </c>
    </row>
    <row r="65" spans="1:11" ht="13.2">
      <c r="A65" s="372"/>
      <c r="B65" s="111">
        <v>1</v>
      </c>
      <c r="C65" s="112" t="s">
        <v>517</v>
      </c>
      <c r="D65" s="112" t="s">
        <v>518</v>
      </c>
      <c r="E65" s="111" t="s">
        <v>484</v>
      </c>
      <c r="F65" s="102">
        <f>+ SUMIF('Nhập kho T42024'!B:B, C65,'Nhập kho T42024'!F:F)</f>
        <v>0</v>
      </c>
      <c r="G65" s="100">
        <f>+ (SUMIF('Nhập kho T42024'!B:B, C65,'Nhập kho T42024'!G:G))*3500</f>
        <v>0</v>
      </c>
      <c r="H65" s="101">
        <f>+ SUMIF('Doanh thu'!A:A, C65,'Doanh thu'!E:E)</f>
        <v>0</v>
      </c>
      <c r="I65" s="101">
        <f t="shared" si="10"/>
        <v>0</v>
      </c>
      <c r="J65" s="103">
        <f t="shared" si="0"/>
        <v>0</v>
      </c>
      <c r="K65" s="104">
        <f>+ SUMIF('Doanh thu'!A:A, C65,'Doanh thu'!F:F)</f>
        <v>0</v>
      </c>
    </row>
    <row r="66" spans="1:11" ht="13.2">
      <c r="A66" s="372"/>
      <c r="B66" s="111">
        <v>1</v>
      </c>
      <c r="C66" s="112" t="s">
        <v>519</v>
      </c>
      <c r="D66" s="112" t="s">
        <v>520</v>
      </c>
      <c r="E66" s="111" t="s">
        <v>484</v>
      </c>
      <c r="F66" s="102">
        <f>+ SUMIF('Nhập kho T42024'!B:B, C66,'Nhập kho T42024'!F:F)</f>
        <v>0</v>
      </c>
      <c r="G66" s="100">
        <f>+ (SUMIF('Nhập kho T42024'!B:B, C66,'Nhập kho T42024'!G:G))*3500</f>
        <v>0</v>
      </c>
      <c r="H66" s="101">
        <f>+ SUMIF('Doanh thu'!A:A, C66,'Doanh thu'!E:E)</f>
        <v>0</v>
      </c>
      <c r="I66" s="101">
        <f t="shared" si="10"/>
        <v>0</v>
      </c>
      <c r="J66" s="103">
        <f t="shared" si="0"/>
        <v>0</v>
      </c>
      <c r="K66" s="104">
        <f>+ SUMIF('Doanh thu'!A:A, C66,'Doanh thu'!F:F)</f>
        <v>0</v>
      </c>
    </row>
    <row r="67" spans="1:11" ht="13.2">
      <c r="A67" s="372"/>
      <c r="B67" s="111">
        <v>1</v>
      </c>
      <c r="C67" s="112" t="s">
        <v>521</v>
      </c>
      <c r="D67" s="112" t="s">
        <v>522</v>
      </c>
      <c r="E67" s="111" t="s">
        <v>484</v>
      </c>
      <c r="F67" s="102">
        <f>+ SUMIF('Nhập kho T42024'!B:B, C67,'Nhập kho T42024'!F:F)</f>
        <v>0</v>
      </c>
      <c r="G67" s="100">
        <f>+ (SUMIF('Nhập kho T42024'!B:B, C67,'Nhập kho T42024'!G:G))*3500</f>
        <v>0</v>
      </c>
      <c r="H67" s="101">
        <f>+ SUMIF('Doanh thu'!A:A, C67,'Doanh thu'!E:E)</f>
        <v>0</v>
      </c>
      <c r="I67" s="101">
        <f>F67-H67+2</f>
        <v>2</v>
      </c>
      <c r="J67" s="103">
        <f t="shared" si="0"/>
        <v>0</v>
      </c>
      <c r="K67" s="104">
        <f>+ SUMIF('Doanh thu'!A:A, C67,'Doanh thu'!F:F)</f>
        <v>0</v>
      </c>
    </row>
    <row r="68" spans="1:11" ht="13.2">
      <c r="A68" s="372"/>
      <c r="B68" s="111">
        <v>1</v>
      </c>
      <c r="C68" s="112" t="s">
        <v>523</v>
      </c>
      <c r="D68" s="112" t="s">
        <v>524</v>
      </c>
      <c r="E68" s="111" t="s">
        <v>484</v>
      </c>
      <c r="F68" s="102">
        <f>+ SUMIF('Nhập kho T42024'!B:B, C68,'Nhập kho T42024'!F:F)</f>
        <v>0</v>
      </c>
      <c r="G68" s="100">
        <f>+ (SUMIF('Nhập kho T42024'!B:B, C68,'Nhập kho T42024'!G:G))*3500</f>
        <v>0</v>
      </c>
      <c r="H68" s="101">
        <f>+ SUMIF('Doanh thu'!A:A, C68,'Doanh thu'!E:E)</f>
        <v>0</v>
      </c>
      <c r="I68" s="101">
        <f t="shared" ref="I68:I69" si="11">F68-H68</f>
        <v>0</v>
      </c>
      <c r="J68" s="103">
        <f t="shared" si="0"/>
        <v>0</v>
      </c>
      <c r="K68" s="104">
        <f>+ SUMIF('Doanh thu'!A:A, C68,'Doanh thu'!F:F)</f>
        <v>0</v>
      </c>
    </row>
    <row r="69" spans="1:11" ht="13.2">
      <c r="A69" s="372"/>
      <c r="B69" s="111">
        <v>1</v>
      </c>
      <c r="C69" s="112" t="s">
        <v>525</v>
      </c>
      <c r="D69" s="112" t="s">
        <v>526</v>
      </c>
      <c r="E69" s="111" t="s">
        <v>484</v>
      </c>
      <c r="F69" s="102">
        <f>+ SUMIF('Nhập kho T42024'!B:B, C69,'Nhập kho T42024'!F:F)</f>
        <v>0</v>
      </c>
      <c r="G69" s="100">
        <f>+ (SUMIF('Nhập kho T42024'!B:B, C69,'Nhập kho T42024'!G:G))*3500</f>
        <v>0</v>
      </c>
      <c r="H69" s="101">
        <f>+ SUMIF('Doanh thu'!A:A, C69,'Doanh thu'!E:E)</f>
        <v>0</v>
      </c>
      <c r="I69" s="101">
        <f t="shared" si="11"/>
        <v>0</v>
      </c>
      <c r="J69" s="103">
        <f t="shared" si="0"/>
        <v>0</v>
      </c>
      <c r="K69" s="104">
        <f>+ SUMIF('Doanh thu'!A:A, C69,'Doanh thu'!F:F)</f>
        <v>0</v>
      </c>
    </row>
    <row r="70" spans="1:11" ht="13.2">
      <c r="A70" s="372"/>
      <c r="B70" s="111">
        <v>1</v>
      </c>
      <c r="C70" s="112" t="s">
        <v>527</v>
      </c>
      <c r="D70" s="112" t="s">
        <v>528</v>
      </c>
      <c r="E70" s="111" t="s">
        <v>484</v>
      </c>
      <c r="F70" s="102">
        <f>+ SUMIF('Nhập kho T42024'!B:B, C70,'Nhập kho T42024'!F:F)</f>
        <v>0</v>
      </c>
      <c r="G70" s="100">
        <f>+ (SUMIF('Nhập kho T42024'!B:B, C70,'Nhập kho T42024'!G:G))*3500</f>
        <v>0</v>
      </c>
      <c r="H70" s="101">
        <f>+ SUMIF('Doanh thu'!A:A, C70,'Doanh thu'!E:E)</f>
        <v>1</v>
      </c>
      <c r="I70" s="101">
        <f t="shared" ref="I70:I77" si="12">F70-H70+10</f>
        <v>9</v>
      </c>
      <c r="J70" s="103">
        <f t="shared" si="0"/>
        <v>33120</v>
      </c>
      <c r="K70" s="104">
        <f>+ SUMIF('Doanh thu'!A:A, C70,'Doanh thu'!F:F)</f>
        <v>33120</v>
      </c>
    </row>
    <row r="71" spans="1:11" ht="13.2">
      <c r="A71" s="372"/>
      <c r="B71" s="111">
        <v>1</v>
      </c>
      <c r="C71" s="112" t="s">
        <v>529</v>
      </c>
      <c r="D71" s="112" t="s">
        <v>530</v>
      </c>
      <c r="E71" s="111" t="s">
        <v>484</v>
      </c>
      <c r="F71" s="102">
        <f>+ SUMIF('Nhập kho T42024'!B:B, C71,'Nhập kho T42024'!F:F)</f>
        <v>0</v>
      </c>
      <c r="G71" s="100">
        <f>+ (SUMIF('Nhập kho T42024'!B:B, C71,'Nhập kho T42024'!G:G))*3500</f>
        <v>0</v>
      </c>
      <c r="H71" s="101">
        <f>+ SUMIF('Doanh thu'!A:A, C71,'Doanh thu'!E:E)</f>
        <v>1</v>
      </c>
      <c r="I71" s="101">
        <f t="shared" si="12"/>
        <v>9</v>
      </c>
      <c r="J71" s="103">
        <f t="shared" si="0"/>
        <v>33120</v>
      </c>
      <c r="K71" s="104">
        <f>+ SUMIF('Doanh thu'!A:A, C71,'Doanh thu'!F:F)</f>
        <v>33120</v>
      </c>
    </row>
    <row r="72" spans="1:11" ht="13.2">
      <c r="A72" s="372"/>
      <c r="B72" s="111">
        <v>1</v>
      </c>
      <c r="C72" s="112" t="s">
        <v>531</v>
      </c>
      <c r="D72" s="112" t="s">
        <v>532</v>
      </c>
      <c r="E72" s="111" t="s">
        <v>484</v>
      </c>
      <c r="F72" s="102">
        <f>+ SUMIF('Nhập kho T42024'!B:B, C72,'Nhập kho T42024'!F:F)</f>
        <v>0</v>
      </c>
      <c r="G72" s="100">
        <f>+ (SUMIF('Nhập kho T42024'!B:B, C72,'Nhập kho T42024'!G:G))*3500</f>
        <v>0</v>
      </c>
      <c r="H72" s="101">
        <f>+ SUMIF('Doanh thu'!A:A, C72,'Doanh thu'!E:E)</f>
        <v>0</v>
      </c>
      <c r="I72" s="101">
        <f t="shared" si="12"/>
        <v>10</v>
      </c>
      <c r="J72" s="103">
        <f t="shared" si="0"/>
        <v>0</v>
      </c>
      <c r="K72" s="104">
        <f>+ SUMIF('Doanh thu'!A:A, C72,'Doanh thu'!F:F)</f>
        <v>0</v>
      </c>
    </row>
    <row r="73" spans="1:11" ht="13.2">
      <c r="A73" s="372"/>
      <c r="B73" s="111">
        <v>1</v>
      </c>
      <c r="C73" s="112" t="s">
        <v>533</v>
      </c>
      <c r="D73" s="112" t="s">
        <v>534</v>
      </c>
      <c r="E73" s="111" t="s">
        <v>484</v>
      </c>
      <c r="F73" s="102">
        <f>+ SUMIF('Nhập kho T42024'!B:B, C73,'Nhập kho T42024'!F:F)</f>
        <v>0</v>
      </c>
      <c r="G73" s="100">
        <f>+ (SUMIF('Nhập kho T42024'!B:B, C73,'Nhập kho T42024'!G:G))*3500</f>
        <v>0</v>
      </c>
      <c r="H73" s="101">
        <f>+ SUMIF('Doanh thu'!A:A, C73,'Doanh thu'!E:E)</f>
        <v>7</v>
      </c>
      <c r="I73" s="101">
        <f t="shared" si="12"/>
        <v>3</v>
      </c>
      <c r="J73" s="103">
        <f t="shared" si="0"/>
        <v>231840</v>
      </c>
      <c r="K73" s="104">
        <f>+ SUMIF('Doanh thu'!A:A, C73,'Doanh thu'!F:F)</f>
        <v>231840</v>
      </c>
    </row>
    <row r="74" spans="1:11" ht="13.2">
      <c r="A74" s="372"/>
      <c r="B74" s="111">
        <v>1</v>
      </c>
      <c r="C74" s="112" t="s">
        <v>535</v>
      </c>
      <c r="D74" s="112" t="s">
        <v>536</v>
      </c>
      <c r="E74" s="111" t="s">
        <v>484</v>
      </c>
      <c r="F74" s="102">
        <f>+ SUMIF('Nhập kho T42024'!B:B, C74,'Nhập kho T42024'!F:F)</f>
        <v>0</v>
      </c>
      <c r="G74" s="100">
        <f>+ (SUMIF('Nhập kho T42024'!B:B, C74,'Nhập kho T42024'!G:G))*3500</f>
        <v>0</v>
      </c>
      <c r="H74" s="101">
        <f>+ SUMIF('Doanh thu'!A:A, C74,'Doanh thu'!E:E)</f>
        <v>4</v>
      </c>
      <c r="I74" s="101">
        <f t="shared" si="12"/>
        <v>6</v>
      </c>
      <c r="J74" s="103">
        <f t="shared" si="0"/>
        <v>145360</v>
      </c>
      <c r="K74" s="104">
        <f>+ SUMIF('Doanh thu'!A:A, C74,'Doanh thu'!F:F)</f>
        <v>145360</v>
      </c>
    </row>
    <row r="75" spans="1:11" ht="13.2">
      <c r="A75" s="372"/>
      <c r="B75" s="111">
        <v>1</v>
      </c>
      <c r="C75" s="112" t="s">
        <v>537</v>
      </c>
      <c r="D75" s="112" t="s">
        <v>538</v>
      </c>
      <c r="E75" s="111" t="s">
        <v>484</v>
      </c>
      <c r="F75" s="102">
        <f>+ SUMIF('Nhập kho T42024'!B:B, C75,'Nhập kho T42024'!F:F)</f>
        <v>0</v>
      </c>
      <c r="G75" s="100">
        <f>+ (SUMIF('Nhập kho T42024'!B:B, C75,'Nhập kho T42024'!G:G))*3500</f>
        <v>0</v>
      </c>
      <c r="H75" s="101">
        <f>+ SUMIF('Doanh thu'!A:A, C75,'Doanh thu'!E:E)</f>
        <v>0</v>
      </c>
      <c r="I75" s="101">
        <f t="shared" si="12"/>
        <v>10</v>
      </c>
      <c r="J75" s="103">
        <f t="shared" si="0"/>
        <v>0</v>
      </c>
      <c r="K75" s="104">
        <f>+ SUMIF('Doanh thu'!A:A, C75,'Doanh thu'!F:F)</f>
        <v>0</v>
      </c>
    </row>
    <row r="76" spans="1:11" ht="13.2">
      <c r="A76" s="372"/>
      <c r="B76" s="111">
        <v>1</v>
      </c>
      <c r="C76" s="112" t="s">
        <v>539</v>
      </c>
      <c r="D76" s="112" t="s">
        <v>540</v>
      </c>
      <c r="E76" s="111" t="s">
        <v>484</v>
      </c>
      <c r="F76" s="102">
        <f>+ SUMIF('Nhập kho T42024'!B:B, C76,'Nhập kho T42024'!F:F)</f>
        <v>0</v>
      </c>
      <c r="G76" s="100">
        <f>+ (SUMIF('Nhập kho T42024'!B:B, C76,'Nhập kho T42024'!G:G))*3500</f>
        <v>0</v>
      </c>
      <c r="H76" s="101">
        <f>+ SUMIF('Doanh thu'!A:A, C76,'Doanh thu'!E:E)</f>
        <v>3</v>
      </c>
      <c r="I76" s="101">
        <f t="shared" si="12"/>
        <v>7</v>
      </c>
      <c r="J76" s="103">
        <f t="shared" si="0"/>
        <v>109020</v>
      </c>
      <c r="K76" s="104">
        <f>+ SUMIF('Doanh thu'!A:A, C76,'Doanh thu'!F:F)</f>
        <v>109020</v>
      </c>
    </row>
    <row r="77" spans="1:11" ht="13.2">
      <c r="A77" s="372"/>
      <c r="B77" s="111">
        <v>1</v>
      </c>
      <c r="C77" s="112" t="s">
        <v>541</v>
      </c>
      <c r="D77" s="112" t="s">
        <v>542</v>
      </c>
      <c r="E77" s="111" t="s">
        <v>484</v>
      </c>
      <c r="F77" s="102">
        <f>+ SUMIF('Nhập kho T42024'!B:B, C77,'Nhập kho T42024'!F:F)</f>
        <v>0</v>
      </c>
      <c r="G77" s="100">
        <f>+ (SUMIF('Nhập kho T42024'!B:B, C77,'Nhập kho T42024'!G:G))*3500</f>
        <v>0</v>
      </c>
      <c r="H77" s="101">
        <f>+ SUMIF('Doanh thu'!A:A, C77,'Doanh thu'!E:E)</f>
        <v>1</v>
      </c>
      <c r="I77" s="101">
        <f t="shared" si="12"/>
        <v>9</v>
      </c>
      <c r="J77" s="103">
        <f t="shared" si="0"/>
        <v>27140</v>
      </c>
      <c r="K77" s="104">
        <f>+ SUMIF('Doanh thu'!A:A, C77,'Doanh thu'!F:F)</f>
        <v>27140</v>
      </c>
    </row>
    <row r="78" spans="1:11" ht="13.2">
      <c r="A78" s="372"/>
      <c r="B78" s="111">
        <v>1</v>
      </c>
      <c r="C78" s="112" t="s">
        <v>543</v>
      </c>
      <c r="D78" s="112" t="s">
        <v>544</v>
      </c>
      <c r="E78" s="111" t="s">
        <v>444</v>
      </c>
      <c r="F78" s="102">
        <f>+ SUMIF('Nhập kho T42024'!B:B, C78,'Nhập kho T42024'!F:F)</f>
        <v>0</v>
      </c>
      <c r="G78" s="100">
        <f>+ (SUMIF('Nhập kho T42024'!B:B, C78,'Nhập kho T42024'!G:G))*3500</f>
        <v>0</v>
      </c>
      <c r="H78" s="101">
        <f>+ SUMIF('Doanh thu'!A:A, C78,'Doanh thu'!E:E)</f>
        <v>8</v>
      </c>
      <c r="I78" s="101">
        <f>F78-H78+6</f>
        <v>-2</v>
      </c>
      <c r="J78" s="103">
        <f t="shared" si="0"/>
        <v>112127.4</v>
      </c>
      <c r="K78" s="104">
        <f>+ SUMIF('Doanh thu'!A:A, C78,'Doanh thu'!F:F)</f>
        <v>112127.4</v>
      </c>
    </row>
    <row r="79" spans="1:11" ht="13.2">
      <c r="A79" s="372"/>
      <c r="B79" s="111">
        <v>1</v>
      </c>
      <c r="C79" s="112" t="s">
        <v>545</v>
      </c>
      <c r="D79" s="112" t="s">
        <v>546</v>
      </c>
      <c r="E79" s="111" t="s">
        <v>444</v>
      </c>
      <c r="F79" s="102">
        <f>+ SUMIF('Nhập kho T42024'!B:B, C79,'Nhập kho T42024'!F:F)</f>
        <v>0</v>
      </c>
      <c r="G79" s="100">
        <f>+ (SUMIF('Nhập kho T42024'!B:B, C79,'Nhập kho T42024'!G:G))*3500</f>
        <v>0</v>
      </c>
      <c r="H79" s="101">
        <f>+ SUMIF('Doanh thu'!A:A, C79,'Doanh thu'!E:E)</f>
        <v>5</v>
      </c>
      <c r="I79" s="101">
        <f>F79-H79+9</f>
        <v>4</v>
      </c>
      <c r="J79" s="103">
        <f t="shared" si="0"/>
        <v>70127.399999999994</v>
      </c>
      <c r="K79" s="104">
        <f>+ SUMIF('Doanh thu'!A:A, C79,'Doanh thu'!F:F)</f>
        <v>70127.399999999994</v>
      </c>
    </row>
    <row r="80" spans="1:11" ht="13.2">
      <c r="A80" s="372"/>
      <c r="B80" s="111">
        <v>1</v>
      </c>
      <c r="C80" s="112" t="s">
        <v>547</v>
      </c>
      <c r="D80" s="112" t="s">
        <v>548</v>
      </c>
      <c r="E80" s="111" t="s">
        <v>444</v>
      </c>
      <c r="F80" s="102">
        <f>+ SUMIF('Nhập kho T42024'!B:B, C80,'Nhập kho T42024'!F:F)</f>
        <v>0</v>
      </c>
      <c r="G80" s="100">
        <f>+ (SUMIF('Nhập kho T42024'!B:B, C80,'Nhập kho T42024'!G:G))*3500</f>
        <v>0</v>
      </c>
      <c r="H80" s="101">
        <f>+ SUMIF('Doanh thu'!A:A, C80,'Doanh thu'!E:E)</f>
        <v>4</v>
      </c>
      <c r="I80" s="101">
        <f>F80-H80+10</f>
        <v>6</v>
      </c>
      <c r="J80" s="103">
        <f t="shared" si="0"/>
        <v>56254.8</v>
      </c>
      <c r="K80" s="104">
        <f>+ SUMIF('Doanh thu'!A:A, C80,'Doanh thu'!F:F)</f>
        <v>56254.8</v>
      </c>
    </row>
    <row r="81" spans="1:30" ht="13.2">
      <c r="A81" s="372"/>
      <c r="B81" s="111">
        <v>1</v>
      </c>
      <c r="C81" s="112" t="s">
        <v>549</v>
      </c>
      <c r="D81" s="112" t="s">
        <v>550</v>
      </c>
      <c r="E81" s="111" t="s">
        <v>551</v>
      </c>
      <c r="F81" s="102">
        <f>+ SUMIF('Nhập kho T42024'!B:B, C81,'Nhập kho T42024'!F:F)</f>
        <v>0</v>
      </c>
      <c r="G81" s="100">
        <f>+ (SUMIF('Nhập kho T42024'!B:B, C81,'Nhập kho T42024'!G:G))*3500</f>
        <v>0</v>
      </c>
      <c r="H81" s="101">
        <f>+ SUMIF('Doanh thu'!A:A, C81,'Doanh thu'!E:E)</f>
        <v>2</v>
      </c>
      <c r="I81" s="101">
        <f t="shared" ref="I81:I82" si="13">F81-H81+3</f>
        <v>1</v>
      </c>
      <c r="J81" s="103">
        <f t="shared" si="0"/>
        <v>38000</v>
      </c>
      <c r="K81" s="104">
        <f>+ SUMIF('Doanh thu'!A:A, C81,'Doanh thu'!F:F)</f>
        <v>38000</v>
      </c>
    </row>
    <row r="82" spans="1:30" ht="13.2">
      <c r="A82" s="372"/>
      <c r="B82" s="111">
        <v>1</v>
      </c>
      <c r="C82" s="112" t="s">
        <v>552</v>
      </c>
      <c r="D82" s="112" t="s">
        <v>553</v>
      </c>
      <c r="E82" s="111" t="s">
        <v>551</v>
      </c>
      <c r="F82" s="102">
        <f>+ SUMIF('Nhập kho T42024'!B:B, C82,'Nhập kho T42024'!F:F)</f>
        <v>0</v>
      </c>
      <c r="G82" s="100">
        <f>+ (SUMIF('Nhập kho T42024'!B:B, C82,'Nhập kho T42024'!G:G))*3500</f>
        <v>0</v>
      </c>
      <c r="H82" s="101">
        <f>+ SUMIF('Doanh thu'!A:A, C82,'Doanh thu'!E:E)</f>
        <v>3</v>
      </c>
      <c r="I82" s="101">
        <f t="shared" si="13"/>
        <v>0</v>
      </c>
      <c r="J82" s="103">
        <f t="shared" si="0"/>
        <v>57000</v>
      </c>
      <c r="K82" s="104">
        <f>+ SUMIF('Doanh thu'!A:A, C82,'Doanh thu'!F:F)</f>
        <v>57000</v>
      </c>
    </row>
    <row r="83" spans="1:30" ht="13.2">
      <c r="A83" s="372"/>
      <c r="B83" s="111">
        <v>1</v>
      </c>
      <c r="C83" s="112" t="s">
        <v>554</v>
      </c>
      <c r="D83" s="112" t="s">
        <v>555</v>
      </c>
      <c r="E83" s="111" t="s">
        <v>551</v>
      </c>
      <c r="F83" s="102">
        <f>+ SUMIF('Nhập kho T42024'!B:B, C83,'Nhập kho T42024'!F:F)</f>
        <v>0</v>
      </c>
      <c r="G83" s="100">
        <f>+ (SUMIF('Nhập kho T42024'!B:B, C83,'Nhập kho T42024'!G:G))*3500</f>
        <v>0</v>
      </c>
      <c r="H83" s="101">
        <f>+ SUMIF('Doanh thu'!A:A, C83,'Doanh thu'!E:E)</f>
        <v>6</v>
      </c>
      <c r="I83" s="101">
        <f>F83-H83+10</f>
        <v>4</v>
      </c>
      <c r="J83" s="103">
        <f t="shared" si="0"/>
        <v>120000</v>
      </c>
      <c r="K83" s="104">
        <f>+ SUMIF('Doanh thu'!A:A, C83,'Doanh thu'!F:F)</f>
        <v>120000</v>
      </c>
    </row>
    <row r="84" spans="1:30" ht="13.2">
      <c r="A84" s="372"/>
      <c r="B84" s="111">
        <v>1</v>
      </c>
      <c r="C84" s="112" t="s">
        <v>556</v>
      </c>
      <c r="D84" s="112" t="s">
        <v>557</v>
      </c>
      <c r="E84" s="111" t="s">
        <v>551</v>
      </c>
      <c r="F84" s="102">
        <f>+ SUMIF('Nhập kho T42024'!B:B, C84,'Nhập kho T42024'!F:F)</f>
        <v>0</v>
      </c>
      <c r="G84" s="100">
        <f>+ (SUMIF('Nhập kho T42024'!B:B, C84,'Nhập kho T42024'!G:G))*3500</f>
        <v>0</v>
      </c>
      <c r="H84" s="101">
        <f>+ SUMIF('Doanh thu'!A:A, C84,'Doanh thu'!E:E)</f>
        <v>3</v>
      </c>
      <c r="I84" s="101">
        <f>F84-H84+4</f>
        <v>1</v>
      </c>
      <c r="J84" s="103">
        <f t="shared" si="0"/>
        <v>69000</v>
      </c>
      <c r="K84" s="104">
        <f>+ SUMIF('Doanh thu'!A:A, C84,'Doanh thu'!F:F)</f>
        <v>69000</v>
      </c>
    </row>
    <row r="85" spans="1:30" ht="13.2">
      <c r="A85" s="372"/>
      <c r="B85" s="111">
        <v>1</v>
      </c>
      <c r="C85" s="112" t="s">
        <v>558</v>
      </c>
      <c r="D85" s="112" t="s">
        <v>559</v>
      </c>
      <c r="E85" s="111" t="s">
        <v>551</v>
      </c>
      <c r="F85" s="102">
        <f>+ SUMIF('Nhập kho T42024'!B:B, C85,'Nhập kho T42024'!F:F)</f>
        <v>0</v>
      </c>
      <c r="G85" s="100">
        <f>+ (SUMIF('Nhập kho T42024'!B:B, C85,'Nhập kho T42024'!G:G))*3500</f>
        <v>0</v>
      </c>
      <c r="H85" s="101">
        <f>+ SUMIF('Doanh thu'!A:A, C85,'Doanh thu'!E:E)</f>
        <v>2</v>
      </c>
      <c r="I85" s="101">
        <f>F85-H85+3</f>
        <v>1</v>
      </c>
      <c r="J85" s="103">
        <f t="shared" si="0"/>
        <v>46000</v>
      </c>
      <c r="K85" s="104">
        <f>+ SUMIF('Doanh thu'!A:A, C85,'Doanh thu'!F:F)</f>
        <v>46000</v>
      </c>
    </row>
    <row r="86" spans="1:30" ht="13.2">
      <c r="A86" s="372"/>
      <c r="B86" s="111">
        <v>1</v>
      </c>
      <c r="C86" s="112" t="s">
        <v>560</v>
      </c>
      <c r="D86" s="112" t="s">
        <v>561</v>
      </c>
      <c r="E86" s="111" t="s">
        <v>551</v>
      </c>
      <c r="F86" s="114">
        <f>+ SUMIF('Nhập kho T42024'!B:B, C86,'Nhập kho T42024'!F:F)</f>
        <v>0</v>
      </c>
      <c r="G86" s="100">
        <f>+ (SUMIF('Nhập kho T42024'!B:B, C86,'Nhập kho T42024'!G:G))*3500</f>
        <v>0</v>
      </c>
      <c r="H86" s="115">
        <f>+ SUMIF('Doanh thu'!A:A, C86,'Doanh thu'!E:E)</f>
        <v>0</v>
      </c>
      <c r="I86" s="115">
        <f>F86-H86</f>
        <v>0</v>
      </c>
      <c r="J86" s="103">
        <f t="shared" si="0"/>
        <v>0</v>
      </c>
      <c r="K86" s="104">
        <f>+ SUMIF('Doanh thu'!A:A, C86,'Doanh thu'!F:F)</f>
        <v>0</v>
      </c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</row>
    <row r="87" spans="1:30" ht="13.2">
      <c r="A87" s="372"/>
      <c r="B87" s="111">
        <v>1</v>
      </c>
      <c r="C87" s="112" t="s">
        <v>562</v>
      </c>
      <c r="D87" s="112" t="s">
        <v>563</v>
      </c>
      <c r="E87" s="111" t="s">
        <v>551</v>
      </c>
      <c r="F87" s="102">
        <f>+ SUMIF('Nhập kho T42024'!B:B, C87,'Nhập kho T42024'!F:F)</f>
        <v>0</v>
      </c>
      <c r="G87" s="100">
        <f>+ (SUMIF('Nhập kho T42024'!B:B, C87,'Nhập kho T42024'!G:G))*3500</f>
        <v>0</v>
      </c>
      <c r="H87" s="101">
        <f>+ SUMIF('Doanh thu'!A:A, C87,'Doanh thu'!E:E)</f>
        <v>4</v>
      </c>
      <c r="I87" s="101">
        <f>F87-H87+5</f>
        <v>1</v>
      </c>
      <c r="J87" s="103">
        <f t="shared" si="0"/>
        <v>120000</v>
      </c>
      <c r="K87" s="104">
        <f>+ SUMIF('Doanh thu'!A:A, C87,'Doanh thu'!F:F)</f>
        <v>120000</v>
      </c>
    </row>
    <row r="88" spans="1:30" ht="13.2">
      <c r="A88" s="372"/>
      <c r="B88" s="111">
        <v>1</v>
      </c>
      <c r="C88" s="112" t="s">
        <v>564</v>
      </c>
      <c r="D88" s="112" t="s">
        <v>565</v>
      </c>
      <c r="E88" s="111" t="s">
        <v>551</v>
      </c>
      <c r="F88" s="102">
        <f>+ SUMIF('Nhập kho T42024'!B:B, C88,'Nhập kho T42024'!F:F)</f>
        <v>0</v>
      </c>
      <c r="G88" s="100">
        <f>+ (SUMIF('Nhập kho T42024'!B:B, C88,'Nhập kho T42024'!G:G))*3500</f>
        <v>0</v>
      </c>
      <c r="H88" s="101">
        <f>+ SUMIF('Doanh thu'!A:A, C88,'Doanh thu'!E:E)</f>
        <v>1</v>
      </c>
      <c r="I88" s="101">
        <f t="shared" ref="I88:I89" si="14">F88-H88</f>
        <v>-1</v>
      </c>
      <c r="J88" s="103">
        <f t="shared" si="0"/>
        <v>28000</v>
      </c>
      <c r="K88" s="104">
        <f>+ SUMIF('Doanh thu'!A:A, C88,'Doanh thu'!F:F)</f>
        <v>28000</v>
      </c>
    </row>
    <row r="89" spans="1:30" ht="13.2">
      <c r="A89" s="372"/>
      <c r="B89" s="111">
        <v>1</v>
      </c>
      <c r="C89" s="112" t="s">
        <v>566</v>
      </c>
      <c r="D89" s="112" t="s">
        <v>567</v>
      </c>
      <c r="E89" s="111" t="s">
        <v>551</v>
      </c>
      <c r="F89" s="102">
        <f>+ SUMIF('Nhập kho T42024'!B:B, C89,'Nhập kho T42024'!F:F)</f>
        <v>0</v>
      </c>
      <c r="G89" s="100">
        <f>+ (SUMIF('Nhập kho T42024'!B:B, C89,'Nhập kho T42024'!G:G))*3500</f>
        <v>0</v>
      </c>
      <c r="H89" s="101">
        <f>+ SUMIF('Doanh thu'!A:A, C89,'Doanh thu'!E:E)</f>
        <v>1</v>
      </c>
      <c r="I89" s="101">
        <f t="shared" si="14"/>
        <v>-1</v>
      </c>
      <c r="J89" s="103">
        <f t="shared" si="0"/>
        <v>28000</v>
      </c>
      <c r="K89" s="104">
        <f>+ SUMIF('Doanh thu'!A:A, C89,'Doanh thu'!F:F)</f>
        <v>28000</v>
      </c>
    </row>
    <row r="90" spans="1:30" ht="13.2">
      <c r="A90" s="372"/>
      <c r="B90" s="111">
        <v>1</v>
      </c>
      <c r="C90" s="112" t="s">
        <v>568</v>
      </c>
      <c r="D90" s="112" t="s">
        <v>569</v>
      </c>
      <c r="E90" s="111" t="s">
        <v>551</v>
      </c>
      <c r="F90" s="102">
        <f>+ SUMIF('Nhập kho T42024'!B:B, C90,'Nhập kho T42024'!F:F)</f>
        <v>0</v>
      </c>
      <c r="G90" s="100">
        <f>+ (SUMIF('Nhập kho T42024'!B:B, C90,'Nhập kho T42024'!G:G))*3500</f>
        <v>0</v>
      </c>
      <c r="H90" s="101">
        <f>+ SUMIF('Doanh thu'!A:A, C90,'Doanh thu'!E:E)</f>
        <v>3</v>
      </c>
      <c r="I90" s="101">
        <f>F90-H90+6</f>
        <v>3</v>
      </c>
      <c r="J90" s="103">
        <f t="shared" si="0"/>
        <v>90000</v>
      </c>
      <c r="K90" s="104">
        <f>+ SUMIF('Doanh thu'!A:A, C90,'Doanh thu'!F:F)</f>
        <v>90000</v>
      </c>
    </row>
    <row r="91" spans="1:30" ht="13.2">
      <c r="A91" s="372"/>
      <c r="B91" s="111">
        <v>1</v>
      </c>
      <c r="C91" s="112" t="s">
        <v>570</v>
      </c>
      <c r="D91" s="112" t="s">
        <v>571</v>
      </c>
      <c r="E91" s="111" t="s">
        <v>551</v>
      </c>
      <c r="F91" s="102">
        <f>+ SUMIF('Nhập kho T42024'!B:B, C91,'Nhập kho T42024'!F:F)</f>
        <v>0</v>
      </c>
      <c r="G91" s="100">
        <f>+ (SUMIF('Nhập kho T42024'!B:B, C91,'Nhập kho T42024'!G:G))*3500</f>
        <v>0</v>
      </c>
      <c r="H91" s="101">
        <f>+ SUMIF('Doanh thu'!A:A, C91,'Doanh thu'!E:E)</f>
        <v>1</v>
      </c>
      <c r="I91" s="101">
        <f>F91-H91</f>
        <v>-1</v>
      </c>
      <c r="J91" s="103">
        <f t="shared" si="0"/>
        <v>30000</v>
      </c>
      <c r="K91" s="104">
        <f>+ SUMIF('Doanh thu'!A:A, C91,'Doanh thu'!F:F)</f>
        <v>30000</v>
      </c>
    </row>
    <row r="92" spans="1:30" ht="13.2">
      <c r="A92" s="372"/>
      <c r="B92" s="111">
        <v>1</v>
      </c>
      <c r="C92" s="112" t="s">
        <v>572</v>
      </c>
      <c r="D92" s="112" t="s">
        <v>573</v>
      </c>
      <c r="E92" s="111" t="s">
        <v>551</v>
      </c>
      <c r="F92" s="102">
        <f>+ SUMIF('Nhập kho T42024'!B:B, C92,'Nhập kho T42024'!F:F)</f>
        <v>0</v>
      </c>
      <c r="G92" s="100">
        <f>+ (SUMIF('Nhập kho T42024'!B:B, C92,'Nhập kho T42024'!G:G))*3500</f>
        <v>0</v>
      </c>
      <c r="H92" s="101">
        <f>+ SUMIF('Doanh thu'!A:A, C92,'Doanh thu'!E:E)</f>
        <v>3</v>
      </c>
      <c r="I92" s="101">
        <f>F92-H92+2</f>
        <v>-1</v>
      </c>
      <c r="J92" s="103">
        <f t="shared" si="0"/>
        <v>90000</v>
      </c>
      <c r="K92" s="104">
        <f>+ SUMIF('Doanh thu'!A:A, C92,'Doanh thu'!F:F)</f>
        <v>90000</v>
      </c>
    </row>
    <row r="93" spans="1:30" ht="13.2">
      <c r="A93" s="372"/>
      <c r="B93" s="111">
        <v>1</v>
      </c>
      <c r="C93" s="112" t="s">
        <v>574</v>
      </c>
      <c r="D93" s="112" t="s">
        <v>575</v>
      </c>
      <c r="E93" s="111" t="s">
        <v>551</v>
      </c>
      <c r="F93" s="102">
        <f>+ SUMIF('Nhập kho T42024'!B:B, C93,'Nhập kho T42024'!F:F)</f>
        <v>0</v>
      </c>
      <c r="G93" s="100">
        <f>+ (SUMIF('Nhập kho T42024'!B:B, C93,'Nhập kho T42024'!G:G))*3500</f>
        <v>0</v>
      </c>
      <c r="H93" s="101">
        <f>+ SUMIF('Doanh thu'!A:A, C93,'Doanh thu'!E:E)</f>
        <v>0</v>
      </c>
      <c r="I93" s="101">
        <f>F93-H93+1</f>
        <v>1</v>
      </c>
      <c r="J93" s="103">
        <f t="shared" si="0"/>
        <v>0</v>
      </c>
      <c r="K93" s="104">
        <f>+ SUMIF('Doanh thu'!A:A, C93,'Doanh thu'!F:F)</f>
        <v>0</v>
      </c>
    </row>
    <row r="94" spans="1:30" ht="13.2">
      <c r="A94" s="372"/>
      <c r="B94" s="111">
        <v>1</v>
      </c>
      <c r="C94" s="112" t="s">
        <v>576</v>
      </c>
      <c r="D94" s="112" t="s">
        <v>577</v>
      </c>
      <c r="E94" s="111" t="s">
        <v>551</v>
      </c>
      <c r="F94" s="102">
        <f>+ SUMIF('Nhập kho T42024'!B:B, C94,'Nhập kho T42024'!F:F)</f>
        <v>0</v>
      </c>
      <c r="G94" s="100">
        <f>+ (SUMIF('Nhập kho T42024'!B:B, C94,'Nhập kho T42024'!G:G))*3500</f>
        <v>0</v>
      </c>
      <c r="H94" s="101">
        <f>+ SUMIF('Doanh thu'!A:A, C94,'Doanh thu'!E:E)</f>
        <v>1</v>
      </c>
      <c r="I94" s="101">
        <f>F94-H94+6</f>
        <v>5</v>
      </c>
      <c r="J94" s="103">
        <f t="shared" si="0"/>
        <v>20000</v>
      </c>
      <c r="K94" s="104">
        <f>+ SUMIF('Doanh thu'!A:A, C94,'Doanh thu'!F:F)</f>
        <v>20000</v>
      </c>
    </row>
    <row r="95" spans="1:30" ht="13.2">
      <c r="A95" s="372"/>
      <c r="B95" s="111">
        <v>1</v>
      </c>
      <c r="C95" s="112" t="s">
        <v>578</v>
      </c>
      <c r="D95" s="112" t="s">
        <v>579</v>
      </c>
      <c r="E95" s="111" t="s">
        <v>551</v>
      </c>
      <c r="F95" s="102">
        <f>+ SUMIF('Nhập kho T42024'!B:B, C95,'Nhập kho T42024'!F:F)</f>
        <v>0</v>
      </c>
      <c r="G95" s="100">
        <f>+ (SUMIF('Nhập kho T42024'!B:B, C95,'Nhập kho T42024'!G:G))*3500</f>
        <v>0</v>
      </c>
      <c r="H95" s="101">
        <f>+ SUMIF('Doanh thu'!A:A, C95,'Doanh thu'!E:E)</f>
        <v>3</v>
      </c>
      <c r="I95" s="101">
        <f>F95-H95+8</f>
        <v>5</v>
      </c>
      <c r="J95" s="103">
        <f t="shared" si="0"/>
        <v>60000</v>
      </c>
      <c r="K95" s="104">
        <f>+ SUMIF('Doanh thu'!A:A, C95,'Doanh thu'!F:F)</f>
        <v>60000</v>
      </c>
    </row>
    <row r="96" spans="1:30" ht="13.2">
      <c r="A96" s="372"/>
      <c r="B96" s="111">
        <v>1</v>
      </c>
      <c r="C96" s="112" t="s">
        <v>580</v>
      </c>
      <c r="D96" s="112" t="s">
        <v>581</v>
      </c>
      <c r="E96" s="111" t="s">
        <v>551</v>
      </c>
      <c r="F96" s="102">
        <f>+ SUMIF('Nhập kho T42024'!B:B, C96,'Nhập kho T42024'!F:F)</f>
        <v>0</v>
      </c>
      <c r="G96" s="100">
        <f>+ (SUMIF('Nhập kho T42024'!B:B, C96,'Nhập kho T42024'!G:G))*3500</f>
        <v>0</v>
      </c>
      <c r="H96" s="101">
        <f>+ SUMIF('Doanh thu'!A:A, C96,'Doanh thu'!E:E)</f>
        <v>4</v>
      </c>
      <c r="I96" s="101">
        <f>F96-H96+9</f>
        <v>5</v>
      </c>
      <c r="J96" s="103">
        <f t="shared" si="0"/>
        <v>80000</v>
      </c>
      <c r="K96" s="104">
        <f>+ SUMIF('Doanh thu'!A:A, C96,'Doanh thu'!F:F)</f>
        <v>80000</v>
      </c>
    </row>
    <row r="97" spans="1:11" ht="13.2">
      <c r="A97" s="372"/>
      <c r="B97" s="111">
        <v>1</v>
      </c>
      <c r="C97" s="112" t="s">
        <v>582</v>
      </c>
      <c r="D97" s="112" t="s">
        <v>583</v>
      </c>
      <c r="E97" s="111" t="s">
        <v>444</v>
      </c>
      <c r="F97" s="102">
        <f>+ SUMIF('Nhập kho T42024'!B:B, C97,'Nhập kho T42024'!F:F)</f>
        <v>0</v>
      </c>
      <c r="G97" s="100">
        <f>+ (SUMIF('Nhập kho T42024'!B:B, C97,'Nhập kho T42024'!G:G))*3500</f>
        <v>0</v>
      </c>
      <c r="H97" s="101">
        <f>+ SUMIF('Doanh thu'!A:A, C97,'Doanh thu'!E:E)</f>
        <v>2</v>
      </c>
      <c r="I97" s="101">
        <f>F97-H97+3</f>
        <v>1</v>
      </c>
      <c r="J97" s="103">
        <f t="shared" si="0"/>
        <v>26000</v>
      </c>
      <c r="K97" s="104">
        <f>+ SUMIF('Doanh thu'!A:A, C97,'Doanh thu'!F:F)</f>
        <v>26000</v>
      </c>
    </row>
    <row r="98" spans="1:11" ht="13.2">
      <c r="A98" s="372"/>
      <c r="B98" s="111">
        <v>1</v>
      </c>
      <c r="C98" s="112" t="s">
        <v>584</v>
      </c>
      <c r="D98" s="112" t="s">
        <v>585</v>
      </c>
      <c r="E98" s="111" t="s">
        <v>444</v>
      </c>
      <c r="F98" s="102">
        <f>+ SUMIF('Nhập kho T42024'!B:B, C98,'Nhập kho T42024'!F:F)</f>
        <v>0</v>
      </c>
      <c r="G98" s="100">
        <f>+ (SUMIF('Nhập kho T42024'!B:B, C98,'Nhập kho T42024'!G:G))*3500</f>
        <v>0</v>
      </c>
      <c r="H98" s="101">
        <f>+ SUMIF('Doanh thu'!A:A, C98,'Doanh thu'!E:E)</f>
        <v>0</v>
      </c>
      <c r="I98" s="101">
        <f>F98-H98+1</f>
        <v>1</v>
      </c>
      <c r="J98" s="103">
        <f t="shared" si="0"/>
        <v>0</v>
      </c>
      <c r="K98" s="104">
        <f>+ SUMIF('Doanh thu'!A:A, C98,'Doanh thu'!F:F)</f>
        <v>0</v>
      </c>
    </row>
    <row r="99" spans="1:11" ht="13.2">
      <c r="A99" s="372"/>
      <c r="B99" s="111">
        <v>1</v>
      </c>
      <c r="C99" s="112" t="s">
        <v>586</v>
      </c>
      <c r="D99" s="112" t="s">
        <v>587</v>
      </c>
      <c r="E99" s="111" t="s">
        <v>444</v>
      </c>
      <c r="F99" s="102">
        <f>+ SUMIF('Nhập kho T42024'!B:B, C99,'Nhập kho T42024'!F:F)</f>
        <v>0</v>
      </c>
      <c r="G99" s="100">
        <f>+ (SUMIF('Nhập kho T42024'!B:B, C99,'Nhập kho T42024'!G:G))*3500</f>
        <v>0</v>
      </c>
      <c r="H99" s="101">
        <f>+ SUMIF('Doanh thu'!A:A, C99,'Doanh thu'!E:E)</f>
        <v>0</v>
      </c>
      <c r="I99" s="101">
        <f t="shared" ref="I99:I100" si="15">F99-H99</f>
        <v>0</v>
      </c>
      <c r="J99" s="103">
        <f t="shared" si="0"/>
        <v>0</v>
      </c>
      <c r="K99" s="104">
        <f>+ SUMIF('Doanh thu'!A:A, C99,'Doanh thu'!F:F)</f>
        <v>0</v>
      </c>
    </row>
    <row r="100" spans="1:11" ht="13.2">
      <c r="A100" s="372"/>
      <c r="B100" s="111">
        <v>1</v>
      </c>
      <c r="C100" s="112" t="s">
        <v>588</v>
      </c>
      <c r="D100" s="112" t="s">
        <v>589</v>
      </c>
      <c r="E100" s="111" t="s">
        <v>444</v>
      </c>
      <c r="F100" s="102">
        <f>+ SUMIF('Nhập kho T42024'!B:B, C100,'Nhập kho T42024'!F:F)</f>
        <v>0</v>
      </c>
      <c r="G100" s="100">
        <f>+ (SUMIF('Nhập kho T42024'!B:B, C100,'Nhập kho T42024'!G:G))*3500</f>
        <v>0</v>
      </c>
      <c r="H100" s="101">
        <f>+ SUMIF('Doanh thu'!A:A, C100,'Doanh thu'!E:E)</f>
        <v>0</v>
      </c>
      <c r="I100" s="101">
        <f t="shared" si="15"/>
        <v>0</v>
      </c>
      <c r="J100" s="103">
        <f t="shared" si="0"/>
        <v>0</v>
      </c>
      <c r="K100" s="104">
        <f>+ SUMIF('Doanh thu'!A:A, C100,'Doanh thu'!F:F)</f>
        <v>0</v>
      </c>
    </row>
    <row r="101" spans="1:11" ht="13.2">
      <c r="A101" s="372"/>
      <c r="B101" s="111">
        <v>1</v>
      </c>
      <c r="C101" s="112" t="s">
        <v>590</v>
      </c>
      <c r="D101" s="112" t="s">
        <v>591</v>
      </c>
      <c r="E101" s="111" t="s">
        <v>444</v>
      </c>
      <c r="F101" s="102">
        <f>+ SUMIF('Nhập kho T42024'!B:B, C101,'Nhập kho T42024'!F:F)</f>
        <v>0</v>
      </c>
      <c r="G101" s="100">
        <f>+ (SUMIF('Nhập kho T42024'!B:B, C101,'Nhập kho T42024'!G:G))*3500</f>
        <v>0</v>
      </c>
      <c r="H101" s="101">
        <f>+ SUMIF('Doanh thu'!A:A, C101,'Doanh thu'!E:E)</f>
        <v>4</v>
      </c>
      <c r="I101" s="101">
        <f>F101-H101+3</f>
        <v>-1</v>
      </c>
      <c r="J101" s="103">
        <f t="shared" si="0"/>
        <v>56000</v>
      </c>
      <c r="K101" s="104">
        <f>+ SUMIF('Doanh thu'!A:A, C101,'Doanh thu'!F:F)</f>
        <v>56000</v>
      </c>
    </row>
    <row r="102" spans="1:11" ht="13.2">
      <c r="A102" s="372"/>
      <c r="B102" s="111">
        <v>1</v>
      </c>
      <c r="C102" s="112" t="s">
        <v>629</v>
      </c>
      <c r="D102" s="112" t="s">
        <v>630</v>
      </c>
      <c r="E102" s="111" t="s">
        <v>444</v>
      </c>
      <c r="F102" s="102">
        <f>+ SUMIF('Nhập kho T42024'!B:B, C102,'Nhập kho T42024'!F:F)</f>
        <v>0</v>
      </c>
      <c r="G102" s="100">
        <f>+ (SUMIF('Nhập kho T42024'!B:B, C102,'Nhập kho T42024'!G:G))*3500</f>
        <v>0</v>
      </c>
      <c r="H102" s="101">
        <f>+ SUMIF('Doanh thu'!A:A, C102,'Doanh thu'!E:E)</f>
        <v>2</v>
      </c>
      <c r="I102" s="101">
        <f>F102-H102+7</f>
        <v>5</v>
      </c>
      <c r="J102" s="103">
        <f t="shared" si="0"/>
        <v>65000</v>
      </c>
      <c r="K102" s="104">
        <f>+ SUMIF('Doanh thu'!A:A, C102,'Doanh thu'!F:F)</f>
        <v>65000</v>
      </c>
    </row>
    <row r="103" spans="1:11" ht="13.2">
      <c r="A103" s="372"/>
      <c r="B103" s="111">
        <v>1</v>
      </c>
      <c r="C103" s="112" t="s">
        <v>631</v>
      </c>
      <c r="D103" s="112" t="s">
        <v>632</v>
      </c>
      <c r="E103" s="111" t="s">
        <v>444</v>
      </c>
      <c r="F103" s="102">
        <f>+ SUMIF('Nhập kho T42024'!B:B, C103,'Nhập kho T42024'!F:F)</f>
        <v>0</v>
      </c>
      <c r="G103" s="100">
        <f>+ (SUMIF('Nhập kho T42024'!B:B, C103,'Nhập kho T42024'!G:G))*3500</f>
        <v>0</v>
      </c>
      <c r="H103" s="101">
        <f>+ SUMIF('Doanh thu'!A:A, C103,'Doanh thu'!E:E)</f>
        <v>1</v>
      </c>
      <c r="I103" s="101">
        <f>F103-H103+1</f>
        <v>0</v>
      </c>
      <c r="J103" s="103">
        <f t="shared" si="0"/>
        <v>19000</v>
      </c>
      <c r="K103" s="104">
        <f>+ SUMIF('Doanh thu'!A:A, C103,'Doanh thu'!F:F)</f>
        <v>19000</v>
      </c>
    </row>
    <row r="104" spans="1:11" ht="13.2">
      <c r="A104" s="372"/>
      <c r="B104" s="111">
        <v>1</v>
      </c>
      <c r="C104" s="112" t="s">
        <v>633</v>
      </c>
      <c r="D104" s="112" t="s">
        <v>634</v>
      </c>
      <c r="E104" s="111" t="s">
        <v>444</v>
      </c>
      <c r="F104" s="102">
        <f>+ SUMIF('Nhập kho T42024'!B:B, C104,'Nhập kho T42024'!F:F)</f>
        <v>0</v>
      </c>
      <c r="G104" s="100">
        <f>+ (SUMIF('Nhập kho T42024'!B:B, C104,'Nhập kho T42024'!G:G))*3500</f>
        <v>0</v>
      </c>
      <c r="H104" s="101">
        <f>+ SUMIF('Doanh thu'!A:A, C104,'Doanh thu'!E:E)</f>
        <v>2</v>
      </c>
      <c r="I104" s="101">
        <f>F104-H104+2</f>
        <v>0</v>
      </c>
      <c r="J104" s="103">
        <f t="shared" si="0"/>
        <v>65000</v>
      </c>
      <c r="K104" s="104">
        <f>+ SUMIF('Doanh thu'!A:A, C104,'Doanh thu'!F:F)</f>
        <v>65000</v>
      </c>
    </row>
    <row r="105" spans="1:11" ht="13.2">
      <c r="A105" s="372"/>
      <c r="B105" s="111">
        <v>1</v>
      </c>
      <c r="C105" s="112" t="s">
        <v>635</v>
      </c>
      <c r="D105" s="112" t="s">
        <v>636</v>
      </c>
      <c r="E105" s="111" t="s">
        <v>444</v>
      </c>
      <c r="F105" s="102">
        <f>+ SUMIF('Nhập kho T42024'!B:B, C105,'Nhập kho T42024'!F:F)</f>
        <v>0</v>
      </c>
      <c r="G105" s="100">
        <f>+ (SUMIF('Nhập kho T42024'!B:B, C105,'Nhập kho T42024'!G:G))*3500</f>
        <v>0</v>
      </c>
      <c r="H105" s="101">
        <f>+ SUMIF('Doanh thu'!A:A, C105,'Doanh thu'!E:E)</f>
        <v>0</v>
      </c>
      <c r="I105" s="101">
        <f t="shared" ref="I105:I107" si="16">F105-H105</f>
        <v>0</v>
      </c>
      <c r="J105" s="103">
        <f t="shared" si="0"/>
        <v>0</v>
      </c>
      <c r="K105" s="104">
        <f>+ SUMIF('Doanh thu'!A:A, C105,'Doanh thu'!F:F)</f>
        <v>0</v>
      </c>
    </row>
    <row r="106" spans="1:11" ht="13.2">
      <c r="A106" s="372"/>
      <c r="B106" s="111">
        <v>1</v>
      </c>
      <c r="C106" s="112" t="s">
        <v>637</v>
      </c>
      <c r="D106" s="112" t="s">
        <v>638</v>
      </c>
      <c r="E106" s="111" t="s">
        <v>444</v>
      </c>
      <c r="F106" s="102">
        <f>+ SUMIF('Nhập kho T42024'!B:B, C106,'Nhập kho T42024'!F:F)</f>
        <v>0</v>
      </c>
      <c r="G106" s="100">
        <f>+ (SUMIF('Nhập kho T42024'!B:B, C106,'Nhập kho T42024'!G:G))*3500</f>
        <v>0</v>
      </c>
      <c r="H106" s="101">
        <f>+ SUMIF('Doanh thu'!A:A, C106,'Doanh thu'!E:E)</f>
        <v>0</v>
      </c>
      <c r="I106" s="101">
        <f t="shared" si="16"/>
        <v>0</v>
      </c>
      <c r="J106" s="103">
        <f t="shared" si="0"/>
        <v>0</v>
      </c>
      <c r="K106" s="104">
        <f>+ SUMIF('Doanh thu'!A:A, C106,'Doanh thu'!F:F)</f>
        <v>0</v>
      </c>
    </row>
    <row r="107" spans="1:11" ht="13.2">
      <c r="A107" s="372"/>
      <c r="B107" s="111">
        <v>1</v>
      </c>
      <c r="C107" s="112" t="s">
        <v>639</v>
      </c>
      <c r="D107" s="112" t="s">
        <v>640</v>
      </c>
      <c r="E107" s="111" t="s">
        <v>444</v>
      </c>
      <c r="F107" s="102">
        <f>+ SUMIF('Nhập kho T42024'!B:B, C107,'Nhập kho T42024'!F:F)</f>
        <v>0</v>
      </c>
      <c r="G107" s="100">
        <f>+ (SUMIF('Nhập kho T42024'!B:B, C107,'Nhập kho T42024'!G:G))*3500</f>
        <v>0</v>
      </c>
      <c r="H107" s="101">
        <f>+ SUMIF('Doanh thu'!A:A, C107,'Doanh thu'!E:E)</f>
        <v>0</v>
      </c>
      <c r="I107" s="101">
        <f t="shared" si="16"/>
        <v>0</v>
      </c>
      <c r="J107" s="103">
        <f t="shared" si="0"/>
        <v>0</v>
      </c>
      <c r="K107" s="104">
        <f>+ SUMIF('Doanh thu'!A:A, C107,'Doanh thu'!F:F)</f>
        <v>0</v>
      </c>
    </row>
    <row r="108" spans="1:11" ht="13.2">
      <c r="A108" s="372"/>
      <c r="B108" s="111">
        <v>1</v>
      </c>
      <c r="C108" s="112" t="s">
        <v>641</v>
      </c>
      <c r="D108" s="112" t="s">
        <v>642</v>
      </c>
      <c r="E108" s="111" t="s">
        <v>444</v>
      </c>
      <c r="F108" s="102">
        <f>+ SUMIF('Nhập kho T42024'!B:B, C108,'Nhập kho T42024'!F:F)</f>
        <v>0</v>
      </c>
      <c r="G108" s="100">
        <f>+ (SUMIF('Nhập kho T42024'!B:B, C108,'Nhập kho T42024'!G:G))*3500</f>
        <v>0</v>
      </c>
      <c r="H108" s="101">
        <f>+ SUMIF('Doanh thu'!A:A, C108,'Doanh thu'!E:E)</f>
        <v>3</v>
      </c>
      <c r="I108" s="101">
        <f t="shared" ref="I108:I109" si="17">F108-H108+3</f>
        <v>0</v>
      </c>
      <c r="J108" s="103">
        <f t="shared" si="0"/>
        <v>64000</v>
      </c>
      <c r="K108" s="104">
        <f>+ SUMIF('Doanh thu'!A:A, C108,'Doanh thu'!F:F)</f>
        <v>64000</v>
      </c>
    </row>
    <row r="109" spans="1:11" ht="13.2">
      <c r="A109" s="372"/>
      <c r="B109" s="111">
        <v>1</v>
      </c>
      <c r="C109" s="112" t="s">
        <v>643</v>
      </c>
      <c r="D109" s="112" t="s">
        <v>644</v>
      </c>
      <c r="E109" s="111" t="s">
        <v>444</v>
      </c>
      <c r="F109" s="102">
        <f>+ SUMIF('Nhập kho T42024'!B:B, C109,'Nhập kho T42024'!F:F)</f>
        <v>0</v>
      </c>
      <c r="G109" s="100">
        <f>+ (SUMIF('Nhập kho T42024'!B:B, C109,'Nhập kho T42024'!G:G))*3500</f>
        <v>0</v>
      </c>
      <c r="H109" s="101">
        <f>+ SUMIF('Doanh thu'!A:A, C109,'Doanh thu'!E:E)</f>
        <v>3</v>
      </c>
      <c r="I109" s="101">
        <f t="shared" si="17"/>
        <v>0</v>
      </c>
      <c r="J109" s="103">
        <f t="shared" si="0"/>
        <v>63000</v>
      </c>
      <c r="K109" s="104">
        <f>+ SUMIF('Doanh thu'!A:A, C109,'Doanh thu'!F:F)</f>
        <v>63000</v>
      </c>
    </row>
    <row r="110" spans="1:11" ht="13.2">
      <c r="A110" s="372"/>
      <c r="B110" s="111">
        <v>1</v>
      </c>
      <c r="C110" s="112" t="s">
        <v>645</v>
      </c>
      <c r="D110" s="112" t="s">
        <v>646</v>
      </c>
      <c r="E110" s="111" t="s">
        <v>444</v>
      </c>
      <c r="F110" s="102">
        <f>+ SUMIF('Nhập kho T42024'!B:B, C110,'Nhập kho T42024'!F:F)</f>
        <v>0</v>
      </c>
      <c r="G110" s="100">
        <f>+ (SUMIF('Nhập kho T42024'!B:B, C110,'Nhập kho T42024'!G:G))*3500</f>
        <v>0</v>
      </c>
      <c r="H110" s="101">
        <f>+ SUMIF('Doanh thu'!A:A, C110,'Doanh thu'!E:E)</f>
        <v>1</v>
      </c>
      <c r="I110" s="101">
        <f>F110-H110+1</f>
        <v>0</v>
      </c>
      <c r="J110" s="103">
        <f t="shared" si="0"/>
        <v>21000</v>
      </c>
      <c r="K110" s="104">
        <f>+ SUMIF('Doanh thu'!A:A, C110,'Doanh thu'!F:F)</f>
        <v>21000</v>
      </c>
    </row>
    <row r="111" spans="1:11" ht="13.2">
      <c r="A111" s="372"/>
      <c r="B111" s="111">
        <v>1</v>
      </c>
      <c r="C111" s="112" t="s">
        <v>647</v>
      </c>
      <c r="D111" s="112" t="s">
        <v>648</v>
      </c>
      <c r="E111" s="111" t="s">
        <v>444</v>
      </c>
      <c r="F111" s="102">
        <f>+ SUMIF('Nhập kho T42024'!B:B, C111,'Nhập kho T42024'!F:F)</f>
        <v>0</v>
      </c>
      <c r="G111" s="100">
        <f>+ (SUMIF('Nhập kho T42024'!B:B, C111,'Nhập kho T42024'!G:G))*3500</f>
        <v>0</v>
      </c>
      <c r="H111" s="101">
        <f>+ SUMIF('Doanh thu'!A:A, C111,'Doanh thu'!E:E)</f>
        <v>2</v>
      </c>
      <c r="I111" s="101">
        <f>F111-H111+2</f>
        <v>0</v>
      </c>
      <c r="J111" s="103">
        <f t="shared" si="0"/>
        <v>42000</v>
      </c>
      <c r="K111" s="104">
        <f>+ SUMIF('Doanh thu'!A:A, C111,'Doanh thu'!F:F)</f>
        <v>42000</v>
      </c>
    </row>
    <row r="112" spans="1:11" ht="13.2">
      <c r="A112" s="372"/>
      <c r="B112" s="111">
        <v>1</v>
      </c>
      <c r="C112" s="112" t="s">
        <v>649</v>
      </c>
      <c r="D112" s="112" t="s">
        <v>650</v>
      </c>
      <c r="E112" s="111" t="s">
        <v>444</v>
      </c>
      <c r="F112" s="102">
        <f>+ SUMIF('Nhập kho T42024'!B:B, C112,'Nhập kho T42024'!F:F)</f>
        <v>0</v>
      </c>
      <c r="G112" s="100">
        <f>+ (SUMIF('Nhập kho T42024'!B:B, C112,'Nhập kho T42024'!G:G))*3500</f>
        <v>0</v>
      </c>
      <c r="H112" s="101">
        <f>+ SUMIF('Doanh thu'!A:A, C112,'Doanh thu'!E:E)</f>
        <v>0</v>
      </c>
      <c r="I112" s="101">
        <f>F112-H112</f>
        <v>0</v>
      </c>
      <c r="J112" s="103">
        <f t="shared" si="0"/>
        <v>0</v>
      </c>
      <c r="K112" s="104">
        <f>+ SUMIF('Doanh thu'!A:A, C112,'Doanh thu'!F:F)</f>
        <v>0</v>
      </c>
    </row>
    <row r="113" spans="1:11" ht="13.2">
      <c r="A113" s="372"/>
      <c r="B113" s="111">
        <v>1</v>
      </c>
      <c r="C113" s="112" t="s">
        <v>651</v>
      </c>
      <c r="D113" s="112" t="s">
        <v>652</v>
      </c>
      <c r="E113" s="111" t="s">
        <v>444</v>
      </c>
      <c r="F113" s="102">
        <f>+ SUMIF('Nhập kho T42024'!B:B, C113,'Nhập kho T42024'!F:F)</f>
        <v>0</v>
      </c>
      <c r="G113" s="100">
        <f>+ (SUMIF('Nhập kho T42024'!B:B, C113,'Nhập kho T42024'!G:G))*3500</f>
        <v>0</v>
      </c>
      <c r="H113" s="101">
        <f>+ SUMIF('Doanh thu'!A:A, C113,'Doanh thu'!E:E)</f>
        <v>0</v>
      </c>
      <c r="I113" s="101">
        <f>F113-H113+1</f>
        <v>1</v>
      </c>
      <c r="J113" s="103">
        <f t="shared" si="0"/>
        <v>0</v>
      </c>
      <c r="K113" s="104">
        <f>+ SUMIF('Doanh thu'!A:A, C113,'Doanh thu'!F:F)</f>
        <v>0</v>
      </c>
    </row>
    <row r="114" spans="1:11" ht="13.2">
      <c r="A114" s="372"/>
      <c r="B114" s="111">
        <v>1</v>
      </c>
      <c r="C114" s="112" t="s">
        <v>653</v>
      </c>
      <c r="D114" s="112" t="s">
        <v>654</v>
      </c>
      <c r="E114" s="111" t="s">
        <v>444</v>
      </c>
      <c r="F114" s="102">
        <f>+ SUMIF('Nhập kho T42024'!B:B, C114,'Nhập kho T42024'!F:F)</f>
        <v>0</v>
      </c>
      <c r="G114" s="100">
        <f>+ (SUMIF('Nhập kho T42024'!B:B, C114,'Nhập kho T42024'!G:G))*3500</f>
        <v>0</v>
      </c>
      <c r="H114" s="101">
        <f>+ SUMIF('Doanh thu'!A:A, C114,'Doanh thu'!E:E)</f>
        <v>0</v>
      </c>
      <c r="I114" s="101">
        <f t="shared" ref="I114:I116" si="18">F114-H114</f>
        <v>0</v>
      </c>
      <c r="J114" s="103">
        <f t="shared" si="0"/>
        <v>0</v>
      </c>
      <c r="K114" s="104">
        <f>+ SUMIF('Doanh thu'!A:A, C114,'Doanh thu'!F:F)</f>
        <v>0</v>
      </c>
    </row>
    <row r="115" spans="1:11" ht="13.2">
      <c r="A115" s="372"/>
      <c r="B115" s="111">
        <v>1</v>
      </c>
      <c r="C115" s="112" t="s">
        <v>655</v>
      </c>
      <c r="D115" s="112" t="s">
        <v>656</v>
      </c>
      <c r="E115" s="111" t="s">
        <v>444</v>
      </c>
      <c r="F115" s="102">
        <f>+ SUMIF('Nhập kho T42024'!B:B, C115,'Nhập kho T42024'!F:F)</f>
        <v>0</v>
      </c>
      <c r="G115" s="100">
        <f>+ (SUMIF('Nhập kho T42024'!B:B, C115,'Nhập kho T42024'!G:G))*3500</f>
        <v>0</v>
      </c>
      <c r="H115" s="101">
        <f>+ SUMIF('Doanh thu'!A:A, C115,'Doanh thu'!E:E)</f>
        <v>0</v>
      </c>
      <c r="I115" s="101">
        <f t="shared" si="18"/>
        <v>0</v>
      </c>
      <c r="J115" s="103">
        <f t="shared" si="0"/>
        <v>0</v>
      </c>
      <c r="K115" s="104">
        <f>+ SUMIF('Doanh thu'!A:A, C115,'Doanh thu'!F:F)</f>
        <v>0</v>
      </c>
    </row>
    <row r="116" spans="1:11" ht="13.2">
      <c r="A116" s="372"/>
      <c r="B116" s="111">
        <v>1</v>
      </c>
      <c r="C116" s="112" t="s">
        <v>657</v>
      </c>
      <c r="D116" s="112" t="s">
        <v>658</v>
      </c>
      <c r="E116" s="111" t="s">
        <v>444</v>
      </c>
      <c r="F116" s="102">
        <f>+ SUMIF('Nhập kho T42024'!B:B, C116,'Nhập kho T42024'!F:F)</f>
        <v>0</v>
      </c>
      <c r="G116" s="100">
        <f>+ (SUMIF('Nhập kho T42024'!B:B, C116,'Nhập kho T42024'!G:G))*3500</f>
        <v>0</v>
      </c>
      <c r="H116" s="101">
        <f>+ SUMIF('Doanh thu'!A:A, C116,'Doanh thu'!E:E)</f>
        <v>0</v>
      </c>
      <c r="I116" s="101">
        <f t="shared" si="18"/>
        <v>0</v>
      </c>
      <c r="J116" s="103">
        <f t="shared" si="0"/>
        <v>0</v>
      </c>
      <c r="K116" s="104">
        <f>+ SUMIF('Doanh thu'!A:A, C116,'Doanh thu'!F:F)</f>
        <v>0</v>
      </c>
    </row>
    <row r="117" spans="1:11" ht="13.2">
      <c r="A117" s="372"/>
      <c r="B117" s="111">
        <v>1</v>
      </c>
      <c r="C117" s="112" t="s">
        <v>659</v>
      </c>
      <c r="D117" s="112" t="s">
        <v>660</v>
      </c>
      <c r="E117" s="111" t="s">
        <v>444</v>
      </c>
      <c r="F117" s="102">
        <f>+ SUMIF('Nhập kho T42024'!B:B, C117,'Nhập kho T42024'!F:F)</f>
        <v>0</v>
      </c>
      <c r="G117" s="100">
        <f>+ (SUMIF('Nhập kho T42024'!B:B, C117,'Nhập kho T42024'!G:G))*3500</f>
        <v>0</v>
      </c>
      <c r="H117" s="101">
        <f>+ SUMIF('Doanh thu'!A:A, C117,'Doanh thu'!E:E)</f>
        <v>1</v>
      </c>
      <c r="I117" s="101">
        <f t="shared" ref="I117:I118" si="19">F117-H117+2</f>
        <v>1</v>
      </c>
      <c r="J117" s="103">
        <f t="shared" si="0"/>
        <v>29000</v>
      </c>
      <c r="K117" s="104">
        <f>+ SUMIF('Doanh thu'!A:A, C117,'Doanh thu'!F:F)</f>
        <v>29000</v>
      </c>
    </row>
    <row r="118" spans="1:11" ht="13.2">
      <c r="A118" s="372"/>
      <c r="B118" s="111">
        <v>1</v>
      </c>
      <c r="C118" s="112" t="s">
        <v>661</v>
      </c>
      <c r="D118" s="112" t="s">
        <v>662</v>
      </c>
      <c r="E118" s="111" t="s">
        <v>444</v>
      </c>
      <c r="F118" s="102">
        <f>+ SUMIF('Nhập kho T42024'!B:B, C118,'Nhập kho T42024'!F:F)</f>
        <v>0</v>
      </c>
      <c r="G118" s="100">
        <f>+ (SUMIF('Nhập kho T42024'!B:B, C118,'Nhập kho T42024'!G:G))*3500</f>
        <v>0</v>
      </c>
      <c r="H118" s="101">
        <f>+ SUMIF('Doanh thu'!A:A, C118,'Doanh thu'!E:E)</f>
        <v>2</v>
      </c>
      <c r="I118" s="101">
        <f t="shared" si="19"/>
        <v>0</v>
      </c>
      <c r="J118" s="103">
        <f t="shared" si="0"/>
        <v>55000</v>
      </c>
      <c r="K118" s="104">
        <f>+ SUMIF('Doanh thu'!A:A, C118,'Doanh thu'!F:F)</f>
        <v>55000</v>
      </c>
    </row>
    <row r="119" spans="1:11" ht="13.2">
      <c r="A119" s="372"/>
      <c r="B119" s="111">
        <v>1</v>
      </c>
      <c r="C119" s="112" t="s">
        <v>663</v>
      </c>
      <c r="D119" s="112" t="s">
        <v>664</v>
      </c>
      <c r="E119" s="111" t="s">
        <v>444</v>
      </c>
      <c r="F119" s="102">
        <f>+ SUMIF('Nhập kho T42024'!B:B, C119,'Nhập kho T42024'!F:F)</f>
        <v>0</v>
      </c>
      <c r="G119" s="100">
        <f>+ (SUMIF('Nhập kho T42024'!B:B, C119,'Nhập kho T42024'!G:G))*3500</f>
        <v>0</v>
      </c>
      <c r="H119" s="101">
        <f>+ SUMIF('Doanh thu'!A:A, C119,'Doanh thu'!E:E)</f>
        <v>0</v>
      </c>
      <c r="I119" s="101">
        <f>F119-H119</f>
        <v>0</v>
      </c>
      <c r="J119" s="103">
        <f t="shared" si="0"/>
        <v>0</v>
      </c>
      <c r="K119" s="104">
        <f>+ SUMIF('Doanh thu'!A:A, C119,'Doanh thu'!F:F)</f>
        <v>0</v>
      </c>
    </row>
    <row r="120" spans="1:11" ht="13.2">
      <c r="A120" s="372"/>
      <c r="B120" s="111">
        <v>1</v>
      </c>
      <c r="C120" s="112" t="s">
        <v>665</v>
      </c>
      <c r="D120" s="112" t="s">
        <v>666</v>
      </c>
      <c r="E120" s="111" t="s">
        <v>444</v>
      </c>
      <c r="F120" s="102">
        <f>+ SUMIF('Nhập kho T42024'!B:B, C120,'Nhập kho T42024'!F:F)</f>
        <v>0</v>
      </c>
      <c r="G120" s="100">
        <f>+ (SUMIF('Nhập kho T42024'!B:B, C120,'Nhập kho T42024'!G:G))*3500</f>
        <v>0</v>
      </c>
      <c r="H120" s="101">
        <f>+ SUMIF('Doanh thu'!A:A, C120,'Doanh thu'!E:E)</f>
        <v>2</v>
      </c>
      <c r="I120" s="101">
        <f>F120-H120+2</f>
        <v>0</v>
      </c>
      <c r="J120" s="103">
        <f t="shared" si="0"/>
        <v>20000</v>
      </c>
      <c r="K120" s="104">
        <f>+ SUMIF('Doanh thu'!A:A, C120,'Doanh thu'!F:F)</f>
        <v>20000</v>
      </c>
    </row>
    <row r="121" spans="1:11" ht="13.2">
      <c r="A121" s="372"/>
      <c r="B121" s="111">
        <v>1</v>
      </c>
      <c r="C121" s="112" t="s">
        <v>667</v>
      </c>
      <c r="D121" s="112" t="s">
        <v>668</v>
      </c>
      <c r="E121" s="111" t="s">
        <v>444</v>
      </c>
      <c r="F121" s="102">
        <f>+ SUMIF('Nhập kho T42024'!B:B, C121,'Nhập kho T42024'!F:F)</f>
        <v>0</v>
      </c>
      <c r="G121" s="100">
        <f>+ (SUMIF('Nhập kho T42024'!B:B, C121,'Nhập kho T42024'!G:G))*3500</f>
        <v>0</v>
      </c>
      <c r="H121" s="101">
        <f>+ SUMIF('Doanh thu'!A:A, C121,'Doanh thu'!E:E)</f>
        <v>1</v>
      </c>
      <c r="I121" s="101">
        <f t="shared" ref="I121:I123" si="20">F121-H121+1</f>
        <v>0</v>
      </c>
      <c r="J121" s="103">
        <f t="shared" si="0"/>
        <v>11000</v>
      </c>
      <c r="K121" s="104">
        <f>+ SUMIF('Doanh thu'!A:A, C121,'Doanh thu'!F:F)</f>
        <v>11000</v>
      </c>
    </row>
    <row r="122" spans="1:11" ht="13.2">
      <c r="A122" s="372"/>
      <c r="B122" s="111">
        <v>1</v>
      </c>
      <c r="C122" s="112" t="s">
        <v>669</v>
      </c>
      <c r="D122" s="112" t="s">
        <v>670</v>
      </c>
      <c r="E122" s="111" t="s">
        <v>444</v>
      </c>
      <c r="F122" s="102">
        <f>+ SUMIF('Nhập kho T42024'!B:B, C122,'Nhập kho T42024'!F:F)</f>
        <v>0</v>
      </c>
      <c r="G122" s="100">
        <f>+ (SUMIF('Nhập kho T42024'!B:B, C122,'Nhập kho T42024'!G:G))*3500</f>
        <v>0</v>
      </c>
      <c r="H122" s="101">
        <f>+ SUMIF('Doanh thu'!A:A, C122,'Doanh thu'!E:E)</f>
        <v>1</v>
      </c>
      <c r="I122" s="101">
        <f t="shared" si="20"/>
        <v>0</v>
      </c>
      <c r="J122" s="103">
        <f t="shared" si="0"/>
        <v>13000</v>
      </c>
      <c r="K122" s="104">
        <f>+ SUMIF('Doanh thu'!A:A, C122,'Doanh thu'!F:F)</f>
        <v>13000</v>
      </c>
    </row>
    <row r="123" spans="1:11" ht="13.2">
      <c r="A123" s="372"/>
      <c r="B123" s="111">
        <v>1</v>
      </c>
      <c r="C123" s="112" t="s">
        <v>671</v>
      </c>
      <c r="D123" s="112" t="s">
        <v>672</v>
      </c>
      <c r="E123" s="111" t="s">
        <v>444</v>
      </c>
      <c r="F123" s="102">
        <f>+ SUMIF('Nhập kho T42024'!B:B, C123,'Nhập kho T42024'!F:F)</f>
        <v>0</v>
      </c>
      <c r="G123" s="100">
        <f>+ (SUMIF('Nhập kho T42024'!B:B, C123,'Nhập kho T42024'!G:G))*3500</f>
        <v>0</v>
      </c>
      <c r="H123" s="101">
        <f>+ SUMIF('Doanh thu'!A:A, C123,'Doanh thu'!E:E)</f>
        <v>1</v>
      </c>
      <c r="I123" s="101">
        <f t="shared" si="20"/>
        <v>0</v>
      </c>
      <c r="J123" s="103">
        <f t="shared" si="0"/>
        <v>11000</v>
      </c>
      <c r="K123" s="104">
        <f>+ SUMIF('Doanh thu'!A:A, C123,'Doanh thu'!F:F)</f>
        <v>11000</v>
      </c>
    </row>
    <row r="124" spans="1:11" ht="13.2">
      <c r="A124" s="372"/>
      <c r="B124" s="111">
        <v>1</v>
      </c>
      <c r="C124" s="112" t="s">
        <v>673</v>
      </c>
      <c r="D124" s="112" t="s">
        <v>674</v>
      </c>
      <c r="E124" s="111" t="s">
        <v>444</v>
      </c>
      <c r="F124" s="102">
        <f>+ SUMIF('Nhập kho T42024'!B:B, C124,'Nhập kho T42024'!F:F)</f>
        <v>0</v>
      </c>
      <c r="G124" s="100">
        <f>+ (SUMIF('Nhập kho T42024'!B:B, C124,'Nhập kho T42024'!G:G))*3500</f>
        <v>0</v>
      </c>
      <c r="H124" s="101">
        <f>+ SUMIF('Doanh thu'!A:A, C124,'Doanh thu'!E:E)</f>
        <v>3</v>
      </c>
      <c r="I124" s="101">
        <f>F124-H124+3</f>
        <v>0</v>
      </c>
      <c r="J124" s="103">
        <f t="shared" si="0"/>
        <v>36000</v>
      </c>
      <c r="K124" s="104">
        <f>+ SUMIF('Doanh thu'!A:A, C124,'Doanh thu'!F:F)</f>
        <v>36000</v>
      </c>
    </row>
    <row r="125" spans="1:11" ht="13.2">
      <c r="A125" s="372"/>
      <c r="B125" s="111">
        <v>1</v>
      </c>
      <c r="C125" s="112" t="s">
        <v>675</v>
      </c>
      <c r="D125" s="112" t="s">
        <v>676</v>
      </c>
      <c r="E125" s="111" t="s">
        <v>444</v>
      </c>
      <c r="F125" s="102">
        <f>+ SUMIF('Nhập kho T42024'!B:B, C125,'Nhập kho T42024'!F:F)</f>
        <v>0</v>
      </c>
      <c r="G125" s="100">
        <f>+ (SUMIF('Nhập kho T42024'!B:B, C125,'Nhập kho T42024'!G:G))*3500</f>
        <v>0</v>
      </c>
      <c r="H125" s="101">
        <f>+ SUMIF('Doanh thu'!A:A, C125,'Doanh thu'!E:E)</f>
        <v>1</v>
      </c>
      <c r="I125" s="101">
        <f>F125-H125+2</f>
        <v>1</v>
      </c>
      <c r="J125" s="103">
        <f t="shared" si="0"/>
        <v>14000</v>
      </c>
      <c r="K125" s="104">
        <f>+ SUMIF('Doanh thu'!A:A, C125,'Doanh thu'!F:F)</f>
        <v>14000</v>
      </c>
    </row>
    <row r="126" spans="1:11" ht="13.2">
      <c r="A126" s="372"/>
      <c r="B126" s="111">
        <v>1</v>
      </c>
      <c r="C126" s="112" t="s">
        <v>677</v>
      </c>
      <c r="D126" s="112" t="s">
        <v>678</v>
      </c>
      <c r="E126" s="111" t="s">
        <v>444</v>
      </c>
      <c r="F126" s="102">
        <f>+ SUMIF('Nhập kho T42024'!B:B, C126,'Nhập kho T42024'!F:F)</f>
        <v>0</v>
      </c>
      <c r="G126" s="100">
        <f>+ (SUMIF('Nhập kho T42024'!B:B, C126,'Nhập kho T42024'!G:G))*3500</f>
        <v>0</v>
      </c>
      <c r="H126" s="101">
        <f>+ SUMIF('Doanh thu'!A:A, C126,'Doanh thu'!E:E)</f>
        <v>0</v>
      </c>
      <c r="I126" s="101">
        <f t="shared" ref="I126:I132" si="21">F126-H126</f>
        <v>0</v>
      </c>
      <c r="J126" s="103">
        <f t="shared" si="0"/>
        <v>0</v>
      </c>
      <c r="K126" s="104">
        <f>+ SUMIF('Doanh thu'!A:A, C126,'Doanh thu'!F:F)</f>
        <v>0</v>
      </c>
    </row>
    <row r="127" spans="1:11" ht="13.2">
      <c r="A127" s="372"/>
      <c r="B127" s="111">
        <v>1</v>
      </c>
      <c r="C127" s="112" t="s">
        <v>679</v>
      </c>
      <c r="D127" s="112" t="s">
        <v>680</v>
      </c>
      <c r="E127" s="111" t="s">
        <v>444</v>
      </c>
      <c r="F127" s="102">
        <f>+ SUMIF('Nhập kho T42024'!B:B, C127,'Nhập kho T42024'!F:F)</f>
        <v>0</v>
      </c>
      <c r="G127" s="100">
        <f>+ (SUMIF('Nhập kho T42024'!B:B, C127,'Nhập kho T42024'!G:G))*3500</f>
        <v>0</v>
      </c>
      <c r="H127" s="101">
        <f>+ SUMIF('Doanh thu'!A:A, C127,'Doanh thu'!E:E)</f>
        <v>0</v>
      </c>
      <c r="I127" s="101">
        <f t="shared" si="21"/>
        <v>0</v>
      </c>
      <c r="J127" s="103">
        <f t="shared" si="0"/>
        <v>0</v>
      </c>
      <c r="K127" s="104">
        <f>+ SUMIF('Doanh thu'!A:A, C127,'Doanh thu'!F:F)</f>
        <v>0</v>
      </c>
    </row>
    <row r="128" spans="1:11" ht="13.2">
      <c r="A128" s="372"/>
      <c r="B128" s="111">
        <v>1</v>
      </c>
      <c r="C128" s="112" t="s">
        <v>681</v>
      </c>
      <c r="D128" s="112" t="s">
        <v>682</v>
      </c>
      <c r="E128" s="111" t="s">
        <v>444</v>
      </c>
      <c r="F128" s="102">
        <f>+ SUMIF('Nhập kho T42024'!B:B, C128,'Nhập kho T42024'!F:F)</f>
        <v>0</v>
      </c>
      <c r="G128" s="100">
        <f>+ (SUMIF('Nhập kho T42024'!B:B, C128,'Nhập kho T42024'!G:G))*3500</f>
        <v>0</v>
      </c>
      <c r="H128" s="101">
        <f>+ SUMIF('Doanh thu'!A:A, C128,'Doanh thu'!E:E)</f>
        <v>0</v>
      </c>
      <c r="I128" s="101">
        <f t="shared" si="21"/>
        <v>0</v>
      </c>
      <c r="J128" s="103">
        <f t="shared" si="0"/>
        <v>0</v>
      </c>
      <c r="K128" s="104">
        <f>+ SUMIF('Doanh thu'!A:A, C128,'Doanh thu'!F:F)</f>
        <v>0</v>
      </c>
    </row>
    <row r="129" spans="1:11" ht="13.2">
      <c r="A129" s="372"/>
      <c r="B129" s="111">
        <v>1</v>
      </c>
      <c r="C129" s="112" t="s">
        <v>683</v>
      </c>
      <c r="D129" s="112" t="s">
        <v>684</v>
      </c>
      <c r="E129" s="111" t="s">
        <v>444</v>
      </c>
      <c r="F129" s="102">
        <f>+ SUMIF('Nhập kho T42024'!B:B, C129,'Nhập kho T42024'!F:F)</f>
        <v>0</v>
      </c>
      <c r="G129" s="100">
        <f>+ (SUMIF('Nhập kho T42024'!B:B, C129,'Nhập kho T42024'!G:G))*3500</f>
        <v>0</v>
      </c>
      <c r="H129" s="101">
        <f>+ SUMIF('Doanh thu'!A:A, C129,'Doanh thu'!E:E)</f>
        <v>0</v>
      </c>
      <c r="I129" s="101">
        <f t="shared" si="21"/>
        <v>0</v>
      </c>
      <c r="J129" s="103">
        <f t="shared" si="0"/>
        <v>0</v>
      </c>
      <c r="K129" s="104">
        <f>+ SUMIF('Doanh thu'!A:A, C129,'Doanh thu'!F:F)</f>
        <v>0</v>
      </c>
    </row>
    <row r="130" spans="1:11" ht="13.2">
      <c r="A130" s="372"/>
      <c r="B130" s="111">
        <v>1</v>
      </c>
      <c r="C130" s="112" t="s">
        <v>685</v>
      </c>
      <c r="D130" s="112" t="s">
        <v>686</v>
      </c>
      <c r="E130" s="111" t="s">
        <v>444</v>
      </c>
      <c r="F130" s="102">
        <f>+ SUMIF('Nhập kho T42024'!B:B, C130,'Nhập kho T42024'!F:F)</f>
        <v>0</v>
      </c>
      <c r="G130" s="100">
        <f>+ (SUMIF('Nhập kho T42024'!B:B, C130,'Nhập kho T42024'!G:G))*3500</f>
        <v>0</v>
      </c>
      <c r="H130" s="101">
        <f>+ SUMIF('Doanh thu'!A:A, C130,'Doanh thu'!E:E)</f>
        <v>0</v>
      </c>
      <c r="I130" s="101">
        <f t="shared" si="21"/>
        <v>0</v>
      </c>
      <c r="J130" s="103">
        <f t="shared" si="0"/>
        <v>0</v>
      </c>
      <c r="K130" s="104">
        <f>+ SUMIF('Doanh thu'!A:A, C130,'Doanh thu'!F:F)</f>
        <v>0</v>
      </c>
    </row>
    <row r="131" spans="1:11" ht="13.2">
      <c r="A131" s="372"/>
      <c r="B131" s="111">
        <v>1</v>
      </c>
      <c r="C131" s="112" t="s">
        <v>687</v>
      </c>
      <c r="D131" s="112" t="s">
        <v>688</v>
      </c>
      <c r="E131" s="111" t="s">
        <v>444</v>
      </c>
      <c r="F131" s="102">
        <f>+ SUMIF('Nhập kho T42024'!B:B, C131,'Nhập kho T42024'!F:F)</f>
        <v>0</v>
      </c>
      <c r="G131" s="100">
        <f>+ (SUMIF('Nhập kho T42024'!B:B, C131,'Nhập kho T42024'!G:G))*3500</f>
        <v>0</v>
      </c>
      <c r="H131" s="101">
        <f>+ SUMIF('Doanh thu'!A:A, C131,'Doanh thu'!E:E)</f>
        <v>0</v>
      </c>
      <c r="I131" s="101">
        <f t="shared" si="21"/>
        <v>0</v>
      </c>
      <c r="J131" s="103">
        <f t="shared" si="0"/>
        <v>0</v>
      </c>
      <c r="K131" s="104">
        <f>+ SUMIF('Doanh thu'!A:A, C131,'Doanh thu'!F:F)</f>
        <v>0</v>
      </c>
    </row>
    <row r="132" spans="1:11" ht="13.2">
      <c r="A132" s="372"/>
      <c r="B132" s="111">
        <v>1</v>
      </c>
      <c r="C132" s="112" t="s">
        <v>689</v>
      </c>
      <c r="D132" s="112" t="s">
        <v>690</v>
      </c>
      <c r="E132" s="111" t="s">
        <v>444</v>
      </c>
      <c r="F132" s="102">
        <f>+ SUMIF('Nhập kho T42024'!B:B, C132,'Nhập kho T42024'!F:F)</f>
        <v>0</v>
      </c>
      <c r="G132" s="100">
        <f>+ (SUMIF('Nhập kho T42024'!B:B, C132,'Nhập kho T42024'!G:G))*3500</f>
        <v>0</v>
      </c>
      <c r="H132" s="101">
        <f>+ SUMIF('Doanh thu'!A:A, C132,'Doanh thu'!E:E)</f>
        <v>0</v>
      </c>
      <c r="I132" s="101">
        <f t="shared" si="21"/>
        <v>0</v>
      </c>
      <c r="J132" s="103">
        <f t="shared" si="0"/>
        <v>0</v>
      </c>
      <c r="K132" s="104">
        <f>+ SUMIF('Doanh thu'!A:A, C132,'Doanh thu'!F:F)</f>
        <v>0</v>
      </c>
    </row>
    <row r="133" spans="1:11" ht="13.2">
      <c r="A133" s="372"/>
      <c r="B133" s="111">
        <v>1</v>
      </c>
      <c r="C133" s="112" t="s">
        <v>691</v>
      </c>
      <c r="D133" s="112" t="s">
        <v>692</v>
      </c>
      <c r="E133" s="111" t="s">
        <v>444</v>
      </c>
      <c r="F133" s="102">
        <f>+ SUMIF('Nhập kho T42024'!B:B, C133,'Nhập kho T42024'!F:F)</f>
        <v>0</v>
      </c>
      <c r="G133" s="100">
        <f>+ (SUMIF('Nhập kho T42024'!B:B, C133,'Nhập kho T42024'!G:G))*3500</f>
        <v>0</v>
      </c>
      <c r="H133" s="101">
        <f>+ SUMIF('Doanh thu'!A:A, C133,'Doanh thu'!E:E)</f>
        <v>0</v>
      </c>
      <c r="I133" s="101">
        <f>F133-H133+1</f>
        <v>1</v>
      </c>
      <c r="J133" s="103">
        <f t="shared" si="0"/>
        <v>0</v>
      </c>
      <c r="K133" s="104">
        <f>+ SUMIF('Doanh thu'!A:A, C133,'Doanh thu'!F:F)</f>
        <v>0</v>
      </c>
    </row>
    <row r="134" spans="1:11" ht="13.2">
      <c r="A134" s="372"/>
      <c r="B134" s="111">
        <v>1</v>
      </c>
      <c r="C134" s="112" t="s">
        <v>693</v>
      </c>
      <c r="D134" s="112" t="s">
        <v>694</v>
      </c>
      <c r="E134" s="111" t="s">
        <v>444</v>
      </c>
      <c r="F134" s="102">
        <f>+ SUMIF('Nhập kho T42024'!B:B, C134,'Nhập kho T42024'!F:F)</f>
        <v>0</v>
      </c>
      <c r="G134" s="100">
        <f>+ (SUMIF('Nhập kho T42024'!B:B, C134,'Nhập kho T42024'!G:G))*3500</f>
        <v>0</v>
      </c>
      <c r="H134" s="101">
        <f>+ SUMIF('Doanh thu'!A:A, C134,'Doanh thu'!E:E)</f>
        <v>1</v>
      </c>
      <c r="I134" s="101">
        <f>F134-H134+2</f>
        <v>1</v>
      </c>
      <c r="J134" s="103">
        <f t="shared" si="0"/>
        <v>14000</v>
      </c>
      <c r="K134" s="104">
        <f>+ SUMIF('Doanh thu'!A:A, C134,'Doanh thu'!F:F)</f>
        <v>14000</v>
      </c>
    </row>
    <row r="135" spans="1:11" ht="13.2">
      <c r="A135" s="372"/>
      <c r="B135" s="111">
        <v>1</v>
      </c>
      <c r="C135" s="112" t="s">
        <v>695</v>
      </c>
      <c r="D135" s="112" t="s">
        <v>696</v>
      </c>
      <c r="E135" s="111" t="s">
        <v>444</v>
      </c>
      <c r="F135" s="102">
        <f>+ SUMIF('Nhập kho T42024'!B:B, C135,'Nhập kho T42024'!F:F)</f>
        <v>0</v>
      </c>
      <c r="G135" s="100">
        <f>+ (SUMIF('Nhập kho T42024'!B:B, C135,'Nhập kho T42024'!G:G))*3500</f>
        <v>0</v>
      </c>
      <c r="H135" s="101">
        <f>+ SUMIF('Doanh thu'!A:A, C135,'Doanh thu'!E:E)</f>
        <v>1</v>
      </c>
      <c r="I135" s="101">
        <f t="shared" ref="I135:I138" si="22">F135-H135+1</f>
        <v>0</v>
      </c>
      <c r="J135" s="103">
        <f t="shared" si="0"/>
        <v>29500</v>
      </c>
      <c r="K135" s="104">
        <f>+ SUMIF('Doanh thu'!A:A, C135,'Doanh thu'!F:F)</f>
        <v>29500</v>
      </c>
    </row>
    <row r="136" spans="1:11" ht="13.2">
      <c r="A136" s="372"/>
      <c r="B136" s="111">
        <v>1</v>
      </c>
      <c r="C136" s="112" t="s">
        <v>697</v>
      </c>
      <c r="D136" s="112" t="s">
        <v>698</v>
      </c>
      <c r="E136" s="111" t="s">
        <v>444</v>
      </c>
      <c r="F136" s="102">
        <f>+ SUMIF('Nhập kho T42024'!B:B, C136,'Nhập kho T42024'!F:F)</f>
        <v>0</v>
      </c>
      <c r="G136" s="100">
        <f>+ (SUMIF('Nhập kho T42024'!B:B, C136,'Nhập kho T42024'!G:G))*3500</f>
        <v>0</v>
      </c>
      <c r="H136" s="101">
        <f>+ SUMIF('Doanh thu'!A:A, C136,'Doanh thu'!E:E)</f>
        <v>1</v>
      </c>
      <c r="I136" s="101">
        <f t="shared" si="22"/>
        <v>0</v>
      </c>
      <c r="J136" s="103">
        <f t="shared" si="0"/>
        <v>29500</v>
      </c>
      <c r="K136" s="104">
        <f>+ SUMIF('Doanh thu'!A:A, C136,'Doanh thu'!F:F)</f>
        <v>29500</v>
      </c>
    </row>
    <row r="137" spans="1:11" ht="13.2">
      <c r="A137" s="372"/>
      <c r="B137" s="111">
        <v>1</v>
      </c>
      <c r="C137" s="112" t="s">
        <v>699</v>
      </c>
      <c r="D137" s="112" t="s">
        <v>700</v>
      </c>
      <c r="E137" s="111" t="s">
        <v>444</v>
      </c>
      <c r="F137" s="102">
        <f>+ SUMIF('Nhập kho T42024'!B:B, C137,'Nhập kho T42024'!F:F)</f>
        <v>0</v>
      </c>
      <c r="G137" s="100">
        <f>+ (SUMIF('Nhập kho T42024'!B:B, C137,'Nhập kho T42024'!G:G))*3500</f>
        <v>0</v>
      </c>
      <c r="H137" s="101">
        <f>+ SUMIF('Doanh thu'!A:A, C137,'Doanh thu'!E:E)</f>
        <v>0</v>
      </c>
      <c r="I137" s="101">
        <f t="shared" si="22"/>
        <v>1</v>
      </c>
      <c r="J137" s="103">
        <f t="shared" si="0"/>
        <v>0</v>
      </c>
      <c r="K137" s="104">
        <f>+ SUMIF('Doanh thu'!A:A, C137,'Doanh thu'!F:F)</f>
        <v>0</v>
      </c>
    </row>
    <row r="138" spans="1:11" ht="13.2">
      <c r="A138" s="372"/>
      <c r="B138" s="111">
        <v>1</v>
      </c>
      <c r="C138" s="112" t="s">
        <v>701</v>
      </c>
      <c r="D138" s="112" t="s">
        <v>702</v>
      </c>
      <c r="E138" s="111" t="s">
        <v>444</v>
      </c>
      <c r="F138" s="102">
        <f>+ SUMIF('Nhập kho T42024'!B:B, C138,'Nhập kho T42024'!F:F)</f>
        <v>0</v>
      </c>
      <c r="G138" s="100">
        <f>+ (SUMIF('Nhập kho T42024'!B:B, C138,'Nhập kho T42024'!G:G))*3500</f>
        <v>0</v>
      </c>
      <c r="H138" s="101">
        <f>+ SUMIF('Doanh thu'!A:A, C138,'Doanh thu'!E:E)</f>
        <v>1</v>
      </c>
      <c r="I138" s="101">
        <f t="shared" si="22"/>
        <v>0</v>
      </c>
      <c r="J138" s="103">
        <f t="shared" si="0"/>
        <v>12000</v>
      </c>
      <c r="K138" s="104">
        <f>+ SUMIF('Doanh thu'!A:A, C138,'Doanh thu'!F:F)</f>
        <v>12000</v>
      </c>
    </row>
    <row r="139" spans="1:11" ht="13.2">
      <c r="A139" s="372"/>
      <c r="B139" s="111">
        <v>1</v>
      </c>
      <c r="C139" s="112" t="s">
        <v>703</v>
      </c>
      <c r="D139" s="112" t="s">
        <v>704</v>
      </c>
      <c r="E139" s="111" t="s">
        <v>444</v>
      </c>
      <c r="F139" s="102">
        <f>+ SUMIF('Nhập kho T42024'!B:B, C139,'Nhập kho T42024'!F:F)</f>
        <v>0</v>
      </c>
      <c r="G139" s="100">
        <f>+ (SUMIF('Nhập kho T42024'!B:B, C139,'Nhập kho T42024'!G:G))*3500</f>
        <v>0</v>
      </c>
      <c r="H139" s="101">
        <f>+ SUMIF('Doanh thu'!A:A, C139,'Doanh thu'!E:E)</f>
        <v>0</v>
      </c>
      <c r="I139" s="101">
        <f>F139-H139</f>
        <v>0</v>
      </c>
      <c r="J139" s="103">
        <f t="shared" si="0"/>
        <v>0</v>
      </c>
      <c r="K139" s="104">
        <f>+ SUMIF('Doanh thu'!A:A, C139,'Doanh thu'!F:F)</f>
        <v>0</v>
      </c>
    </row>
    <row r="140" spans="1:11" ht="13.2">
      <c r="A140" s="372"/>
      <c r="B140" s="111">
        <v>1</v>
      </c>
      <c r="C140" s="112" t="s">
        <v>705</v>
      </c>
      <c r="D140" s="112" t="s">
        <v>706</v>
      </c>
      <c r="E140" s="111" t="s">
        <v>444</v>
      </c>
      <c r="F140" s="102">
        <f>+ SUMIF('Nhập kho T42024'!B:B, C140,'Nhập kho T42024'!F:F)</f>
        <v>0</v>
      </c>
      <c r="G140" s="100">
        <f>+ (SUMIF('Nhập kho T42024'!B:B, C140,'Nhập kho T42024'!G:G))*3500</f>
        <v>0</v>
      </c>
      <c r="H140" s="101">
        <f>+ SUMIF('Doanh thu'!A:A, C140,'Doanh thu'!E:E)</f>
        <v>1</v>
      </c>
      <c r="I140" s="101">
        <f>F140-H140+1</f>
        <v>0</v>
      </c>
      <c r="J140" s="103">
        <f t="shared" si="0"/>
        <v>12000</v>
      </c>
      <c r="K140" s="104">
        <f>+ SUMIF('Doanh thu'!A:A, C140,'Doanh thu'!F:F)</f>
        <v>12000</v>
      </c>
    </row>
    <row r="141" spans="1:11" ht="13.2">
      <c r="A141" s="372"/>
      <c r="B141" s="111">
        <v>1</v>
      </c>
      <c r="C141" s="112" t="s">
        <v>707</v>
      </c>
      <c r="D141" s="112" t="s">
        <v>708</v>
      </c>
      <c r="E141" s="111" t="s">
        <v>444</v>
      </c>
      <c r="F141" s="102">
        <f>+ SUMIF('Nhập kho T42024'!B:B, C141,'Nhập kho T42024'!F:F)</f>
        <v>0</v>
      </c>
      <c r="G141" s="100">
        <f>+ (SUMIF('Nhập kho T42024'!B:B, C141,'Nhập kho T42024'!G:G))*3500</f>
        <v>0</v>
      </c>
      <c r="H141" s="101">
        <f>+ SUMIF('Doanh thu'!A:A, C141,'Doanh thu'!E:E)</f>
        <v>0</v>
      </c>
      <c r="I141" s="101">
        <f t="shared" ref="I141:I143" si="23">F141-H141</f>
        <v>0</v>
      </c>
      <c r="J141" s="103">
        <f t="shared" si="0"/>
        <v>0</v>
      </c>
      <c r="K141" s="104">
        <f>+ SUMIF('Doanh thu'!A:A, C141,'Doanh thu'!F:F)</f>
        <v>0</v>
      </c>
    </row>
    <row r="142" spans="1:11" ht="13.2">
      <c r="A142" s="372"/>
      <c r="B142" s="111">
        <v>1</v>
      </c>
      <c r="C142" s="112" t="s">
        <v>709</v>
      </c>
      <c r="D142" s="112" t="s">
        <v>710</v>
      </c>
      <c r="E142" s="111" t="s">
        <v>444</v>
      </c>
      <c r="F142" s="102">
        <f>+ SUMIF('Nhập kho T42024'!B:B, C142,'Nhập kho T42024'!F:F)</f>
        <v>0</v>
      </c>
      <c r="G142" s="100">
        <f>+ (SUMIF('Nhập kho T42024'!B:B, C142,'Nhập kho T42024'!G:G))*3500</f>
        <v>0</v>
      </c>
      <c r="H142" s="101">
        <f>+ SUMIF('Doanh thu'!A:A, C142,'Doanh thu'!E:E)</f>
        <v>1</v>
      </c>
      <c r="I142" s="101">
        <f t="shared" si="23"/>
        <v>-1</v>
      </c>
      <c r="J142" s="103">
        <f t="shared" si="0"/>
        <v>12000</v>
      </c>
      <c r="K142" s="104">
        <f>+ SUMIF('Doanh thu'!A:A, C142,'Doanh thu'!F:F)</f>
        <v>12000</v>
      </c>
    </row>
    <row r="143" spans="1:11" ht="13.2">
      <c r="A143" s="372"/>
      <c r="B143" s="111">
        <v>1</v>
      </c>
      <c r="C143" s="112" t="s">
        <v>711</v>
      </c>
      <c r="D143" s="112" t="s">
        <v>712</v>
      </c>
      <c r="E143" s="111" t="s">
        <v>444</v>
      </c>
      <c r="F143" s="102">
        <f>+ SUMIF('Nhập kho T42024'!B:B, C143,'Nhập kho T42024'!F:F)</f>
        <v>0</v>
      </c>
      <c r="G143" s="100">
        <f>+ (SUMIF('Nhập kho T42024'!B:B, C143,'Nhập kho T42024'!G:G))*3500</f>
        <v>0</v>
      </c>
      <c r="H143" s="101">
        <f>+ SUMIF('Doanh thu'!A:A, C143,'Doanh thu'!E:E)</f>
        <v>0</v>
      </c>
      <c r="I143" s="101">
        <f t="shared" si="23"/>
        <v>0</v>
      </c>
      <c r="J143" s="103">
        <f t="shared" si="0"/>
        <v>0</v>
      </c>
      <c r="K143" s="104">
        <f>+ SUMIF('Doanh thu'!A:A, C143,'Doanh thu'!F:F)</f>
        <v>0</v>
      </c>
    </row>
    <row r="144" spans="1:11" ht="13.2">
      <c r="A144" s="372"/>
      <c r="B144" s="111">
        <v>1</v>
      </c>
      <c r="C144" s="112" t="s">
        <v>713</v>
      </c>
      <c r="D144" s="112" t="s">
        <v>714</v>
      </c>
      <c r="E144" s="111" t="s">
        <v>444</v>
      </c>
      <c r="F144" s="102">
        <f>+ SUMIF('Nhập kho T42024'!B:B, C144,'Nhập kho T42024'!F:F)</f>
        <v>0</v>
      </c>
      <c r="G144" s="100">
        <f>+ (SUMIF('Nhập kho T42024'!B:B, C144,'Nhập kho T42024'!G:G))*3500</f>
        <v>0</v>
      </c>
      <c r="H144" s="101">
        <f>+ SUMIF('Doanh thu'!A:A, C144,'Doanh thu'!E:E)</f>
        <v>1</v>
      </c>
      <c r="I144" s="101">
        <f>F144-H144+1</f>
        <v>0</v>
      </c>
      <c r="J144" s="103">
        <f t="shared" si="0"/>
        <v>12000</v>
      </c>
      <c r="K144" s="104">
        <f>+ SUMIF('Doanh thu'!A:A, C144,'Doanh thu'!F:F)</f>
        <v>12000</v>
      </c>
    </row>
    <row r="145" spans="1:11" ht="13.2">
      <c r="A145" s="372"/>
      <c r="B145" s="111">
        <v>1</v>
      </c>
      <c r="C145" s="112" t="s">
        <v>715</v>
      </c>
      <c r="D145" s="112" t="s">
        <v>716</v>
      </c>
      <c r="E145" s="111" t="s">
        <v>444</v>
      </c>
      <c r="F145" s="102">
        <f>+ SUMIF('Nhập kho T42024'!B:B, C145,'Nhập kho T42024'!F:F)</f>
        <v>0</v>
      </c>
      <c r="G145" s="100">
        <f>+ (SUMIF('Nhập kho T42024'!B:B, C145,'Nhập kho T42024'!G:G))*3500</f>
        <v>0</v>
      </c>
      <c r="H145" s="101">
        <f>+ SUMIF('Doanh thu'!A:A, C145,'Doanh thu'!E:E)</f>
        <v>0</v>
      </c>
      <c r="I145" s="101">
        <f t="shared" ref="I145:I152" si="24">F145-H145</f>
        <v>0</v>
      </c>
      <c r="J145" s="103">
        <f t="shared" si="0"/>
        <v>0</v>
      </c>
      <c r="K145" s="104">
        <f>+ SUMIF('Doanh thu'!A:A, C145,'Doanh thu'!F:F)</f>
        <v>0</v>
      </c>
    </row>
    <row r="146" spans="1:11" ht="13.2">
      <c r="A146" s="372"/>
      <c r="B146" s="111">
        <v>1</v>
      </c>
      <c r="C146" s="112" t="s">
        <v>717</v>
      </c>
      <c r="D146" s="112" t="s">
        <v>718</v>
      </c>
      <c r="E146" s="111" t="s">
        <v>444</v>
      </c>
      <c r="F146" s="102">
        <f>+ SUMIF('Nhập kho T42024'!B:B, C146,'Nhập kho T42024'!F:F)</f>
        <v>0</v>
      </c>
      <c r="G146" s="100">
        <f>+ (SUMIF('Nhập kho T42024'!B:B, C146,'Nhập kho T42024'!G:G))*3500</f>
        <v>0</v>
      </c>
      <c r="H146" s="101">
        <f>+ SUMIF('Doanh thu'!A:A, C146,'Doanh thu'!E:E)</f>
        <v>0</v>
      </c>
      <c r="I146" s="101">
        <f t="shared" si="24"/>
        <v>0</v>
      </c>
      <c r="J146" s="103">
        <f t="shared" si="0"/>
        <v>0</v>
      </c>
      <c r="K146" s="104">
        <f>+ SUMIF('Doanh thu'!A:A, C146,'Doanh thu'!F:F)</f>
        <v>0</v>
      </c>
    </row>
    <row r="147" spans="1:11" ht="13.2">
      <c r="A147" s="372"/>
      <c r="B147" s="111">
        <v>1</v>
      </c>
      <c r="C147" s="112" t="s">
        <v>719</v>
      </c>
      <c r="D147" s="112" t="s">
        <v>718</v>
      </c>
      <c r="E147" s="111" t="s">
        <v>444</v>
      </c>
      <c r="F147" s="102">
        <f>+ SUMIF('Nhập kho T42024'!B:B, C147,'Nhập kho T42024'!F:F)</f>
        <v>50</v>
      </c>
      <c r="G147" s="100">
        <f>+ (SUMIF('Nhập kho T42024'!B:B, C147,'Nhập kho T42024'!G:G))*3500</f>
        <v>428750</v>
      </c>
      <c r="H147" s="101">
        <f>+ SUMIF('Doanh thu'!A:A, C147,'Doanh thu'!E:E)</f>
        <v>39</v>
      </c>
      <c r="I147" s="101">
        <f t="shared" si="24"/>
        <v>11</v>
      </c>
      <c r="J147" s="103">
        <f t="shared" si="0"/>
        <v>858000</v>
      </c>
      <c r="K147" s="104">
        <f>+ SUMIF('Doanh thu'!A:A, C147,'Doanh thu'!F:F)</f>
        <v>858000</v>
      </c>
    </row>
    <row r="148" spans="1:11" ht="13.2">
      <c r="A148" s="372"/>
      <c r="B148" s="111">
        <v>1</v>
      </c>
      <c r="C148" s="112" t="s">
        <v>720</v>
      </c>
      <c r="D148" s="112" t="s">
        <v>721</v>
      </c>
      <c r="E148" s="111" t="s">
        <v>444</v>
      </c>
      <c r="F148" s="102">
        <f>+ SUMIF('Nhập kho T42024'!B:B, C148,'Nhập kho T42024'!F:F)</f>
        <v>17</v>
      </c>
      <c r="G148" s="100">
        <f>+ (SUMIF('Nhập kho T42024'!B:B, C148,'Nhập kho T42024'!G:G))*3500</f>
        <v>145775.00000000003</v>
      </c>
      <c r="H148" s="101">
        <f>+ SUMIF('Doanh thu'!A:A, C148,'Doanh thu'!E:E)</f>
        <v>16</v>
      </c>
      <c r="I148" s="101">
        <f t="shared" si="24"/>
        <v>1</v>
      </c>
      <c r="J148" s="103">
        <f t="shared" si="0"/>
        <v>352000</v>
      </c>
      <c r="K148" s="104">
        <f>+ SUMIF('Doanh thu'!A:A, C148,'Doanh thu'!F:F)</f>
        <v>352000</v>
      </c>
    </row>
    <row r="149" spans="1:11" ht="13.2">
      <c r="A149" s="372"/>
      <c r="B149" s="111">
        <v>1</v>
      </c>
      <c r="C149" s="112" t="s">
        <v>722</v>
      </c>
      <c r="D149" s="112" t="s">
        <v>723</v>
      </c>
      <c r="E149" s="111" t="s">
        <v>444</v>
      </c>
      <c r="F149" s="102">
        <f>+ SUMIF('Nhập kho T42024'!B:B, C149,'Nhập kho T42024'!F:F)</f>
        <v>5</v>
      </c>
      <c r="G149" s="100">
        <f>+ (SUMIF('Nhập kho T42024'!B:B, C149,'Nhập kho T42024'!G:G))*3500</f>
        <v>42875</v>
      </c>
      <c r="H149" s="101">
        <f>+ SUMIF('Doanh thu'!A:A, C149,'Doanh thu'!E:E)</f>
        <v>0</v>
      </c>
      <c r="I149" s="101">
        <f t="shared" si="24"/>
        <v>5</v>
      </c>
      <c r="J149" s="103">
        <f t="shared" si="0"/>
        <v>0</v>
      </c>
      <c r="K149" s="104">
        <f>+ SUMIF('Doanh thu'!A:A, C149,'Doanh thu'!F:F)</f>
        <v>0</v>
      </c>
    </row>
    <row r="150" spans="1:11" ht="13.2">
      <c r="A150" s="372"/>
      <c r="B150" s="111">
        <v>1</v>
      </c>
      <c r="C150" s="112" t="s">
        <v>724</v>
      </c>
      <c r="D150" s="112" t="s">
        <v>725</v>
      </c>
      <c r="E150" s="111" t="s">
        <v>444</v>
      </c>
      <c r="F150" s="102">
        <f>+ SUMIF('Nhập kho T42024'!B:B, C150,'Nhập kho T42024'!F:F)</f>
        <v>5</v>
      </c>
      <c r="G150" s="100">
        <f>+ (SUMIF('Nhập kho T42024'!B:B, C150,'Nhập kho T42024'!G:G))*3500</f>
        <v>42875</v>
      </c>
      <c r="H150" s="101">
        <f>+ SUMIF('Doanh thu'!A:A, C150,'Doanh thu'!E:E)</f>
        <v>2</v>
      </c>
      <c r="I150" s="101">
        <f t="shared" si="24"/>
        <v>3</v>
      </c>
      <c r="J150" s="103">
        <f t="shared" si="0"/>
        <v>44000</v>
      </c>
      <c r="K150" s="104">
        <f>+ SUMIF('Doanh thu'!A:A, C150,'Doanh thu'!F:F)</f>
        <v>44000</v>
      </c>
    </row>
    <row r="151" spans="1:11" ht="13.2">
      <c r="A151" s="372"/>
      <c r="B151" s="111">
        <v>1</v>
      </c>
      <c r="C151" s="112" t="s">
        <v>726</v>
      </c>
      <c r="D151" s="112" t="s">
        <v>727</v>
      </c>
      <c r="E151" s="111" t="s">
        <v>444</v>
      </c>
      <c r="F151" s="102">
        <f>+ SUMIF('Nhập kho T42024'!B:B, C151,'Nhập kho T42024'!F:F)</f>
        <v>5</v>
      </c>
      <c r="G151" s="100">
        <f>+ (SUMIF('Nhập kho T42024'!B:B, C151,'Nhập kho T42024'!G:G))*3500</f>
        <v>42875</v>
      </c>
      <c r="H151" s="101">
        <f>+ SUMIF('Doanh thu'!A:A, C151,'Doanh thu'!E:E)</f>
        <v>2</v>
      </c>
      <c r="I151" s="101">
        <f t="shared" si="24"/>
        <v>3</v>
      </c>
      <c r="J151" s="103">
        <f t="shared" si="0"/>
        <v>44000</v>
      </c>
      <c r="K151" s="104">
        <f>+ SUMIF('Doanh thu'!A:A, C151,'Doanh thu'!F:F)</f>
        <v>44000</v>
      </c>
    </row>
    <row r="152" spans="1:11" ht="13.2">
      <c r="A152" s="372"/>
      <c r="B152" s="111">
        <v>1</v>
      </c>
      <c r="C152" s="112" t="s">
        <v>728</v>
      </c>
      <c r="D152" s="112" t="s">
        <v>729</v>
      </c>
      <c r="E152" s="111" t="s">
        <v>444</v>
      </c>
      <c r="F152" s="102">
        <f>+ SUMIF('Nhập kho T42024'!B:B, C152,'Nhập kho T42024'!F:F)</f>
        <v>5</v>
      </c>
      <c r="G152" s="100">
        <f>+ (SUMIF('Nhập kho T42024'!B:B, C152,'Nhập kho T42024'!G:G))*3500</f>
        <v>42875</v>
      </c>
      <c r="H152" s="101">
        <f>+ SUMIF('Doanh thu'!A:A, C152,'Doanh thu'!E:E)</f>
        <v>2</v>
      </c>
      <c r="I152" s="101">
        <f t="shared" si="24"/>
        <v>3</v>
      </c>
      <c r="J152" s="103">
        <f t="shared" si="0"/>
        <v>44000</v>
      </c>
      <c r="K152" s="104">
        <f>+ SUMIF('Doanh thu'!A:A, C152,'Doanh thu'!F:F)</f>
        <v>44000</v>
      </c>
    </row>
    <row r="153" spans="1:11" ht="13.2">
      <c r="A153" s="372"/>
      <c r="B153" s="111">
        <v>1</v>
      </c>
      <c r="C153" s="112" t="s">
        <v>730</v>
      </c>
      <c r="D153" s="112" t="s">
        <v>731</v>
      </c>
      <c r="E153" s="111" t="s">
        <v>444</v>
      </c>
      <c r="F153" s="102">
        <f>+ SUMIF('Nhập kho T42024'!B:B, C153,'Nhập kho T42024'!F:F)</f>
        <v>1</v>
      </c>
      <c r="G153" s="100">
        <f>+ (SUMIF('Nhập kho T42024'!B:B, C153,'Nhập kho T42024'!G:G))*3500</f>
        <v>8575</v>
      </c>
      <c r="H153" s="101">
        <f>+ SUMIF('Doanh thu'!A:A, C153,'Doanh thu'!E:E)</f>
        <v>0</v>
      </c>
      <c r="I153" s="101">
        <f>F153-H153-1</f>
        <v>0</v>
      </c>
      <c r="J153" s="103">
        <f t="shared" si="0"/>
        <v>0</v>
      </c>
      <c r="K153" s="104">
        <f>+ SUMIF('Doanh thu'!A:A, C153,'Doanh thu'!F:F)</f>
        <v>0</v>
      </c>
    </row>
    <row r="154" spans="1:11" ht="13.2">
      <c r="A154" s="372"/>
      <c r="B154" s="111">
        <v>1</v>
      </c>
      <c r="C154" s="112" t="s">
        <v>732</v>
      </c>
      <c r="D154" s="112" t="s">
        <v>733</v>
      </c>
      <c r="E154" s="111" t="s">
        <v>444</v>
      </c>
      <c r="F154" s="102">
        <f>+ SUMIF('Nhập kho T42024'!B:B, C154,'Nhập kho T42024'!F:F)</f>
        <v>20</v>
      </c>
      <c r="G154" s="100">
        <f>+ (SUMIF('Nhập kho T42024'!B:B, C154,'Nhập kho T42024'!G:G))*3500</f>
        <v>119700.00000000001</v>
      </c>
      <c r="H154" s="101">
        <f>+ SUMIF('Doanh thu'!A:A, C154,'Doanh thu'!E:E)</f>
        <v>16</v>
      </c>
      <c r="I154" s="101">
        <f t="shared" ref="I154:I155" si="25">F154-H154+12</f>
        <v>16</v>
      </c>
      <c r="J154" s="103">
        <f t="shared" si="0"/>
        <v>296000</v>
      </c>
      <c r="K154" s="104">
        <f>+ SUMIF('Doanh thu'!A:A, C154,'Doanh thu'!F:F)</f>
        <v>296000</v>
      </c>
    </row>
    <row r="155" spans="1:11" ht="13.2">
      <c r="A155" s="372"/>
      <c r="B155" s="111">
        <v>1</v>
      </c>
      <c r="C155" s="112" t="s">
        <v>734</v>
      </c>
      <c r="D155" s="112" t="s">
        <v>735</v>
      </c>
      <c r="E155" s="111" t="s">
        <v>444</v>
      </c>
      <c r="F155" s="102">
        <f>+ SUMIF('Nhập kho T42024'!B:B, C155,'Nhập kho T42024'!F:F)</f>
        <v>20</v>
      </c>
      <c r="G155" s="100">
        <f>+ (SUMIF('Nhập kho T42024'!B:B, C155,'Nhập kho T42024'!G:G))*3500</f>
        <v>119700.00000000001</v>
      </c>
      <c r="H155" s="101">
        <f>+ SUMIF('Doanh thu'!A:A, C155,'Doanh thu'!E:E)</f>
        <v>34</v>
      </c>
      <c r="I155" s="101">
        <f t="shared" si="25"/>
        <v>-2</v>
      </c>
      <c r="J155" s="103">
        <f t="shared" si="0"/>
        <v>629000</v>
      </c>
      <c r="K155" s="104">
        <f>+ SUMIF('Doanh thu'!A:A, C155,'Doanh thu'!F:F)</f>
        <v>629000</v>
      </c>
    </row>
    <row r="156" spans="1:11" ht="13.2">
      <c r="A156" s="372"/>
      <c r="B156" s="111">
        <v>1</v>
      </c>
      <c r="C156" s="112" t="s">
        <v>736</v>
      </c>
      <c r="D156" s="112" t="s">
        <v>737</v>
      </c>
      <c r="E156" s="111" t="s">
        <v>444</v>
      </c>
      <c r="F156" s="102">
        <f>+ SUMIF('Nhập kho T42024'!B:B, C156,'Nhập kho T42024'!F:F)</f>
        <v>20</v>
      </c>
      <c r="G156" s="100">
        <f>+ (SUMIF('Nhập kho T42024'!B:B, C156,'Nhập kho T42024'!G:G))*3500</f>
        <v>119700.00000000001</v>
      </c>
      <c r="H156" s="101">
        <f>+ SUMIF('Doanh thu'!A:A, C156,'Doanh thu'!E:E)</f>
        <v>28</v>
      </c>
      <c r="I156" s="101">
        <f>F156-H156+10</f>
        <v>2</v>
      </c>
      <c r="J156" s="103">
        <f t="shared" si="0"/>
        <v>499500</v>
      </c>
      <c r="K156" s="104">
        <f>+ SUMIF('Doanh thu'!A:A, C156,'Doanh thu'!F:F)</f>
        <v>499500</v>
      </c>
    </row>
    <row r="157" spans="1:11" ht="13.2">
      <c r="A157" s="372"/>
      <c r="B157" s="111">
        <v>1</v>
      </c>
      <c r="C157" s="112" t="s">
        <v>738</v>
      </c>
      <c r="D157" s="112" t="s">
        <v>739</v>
      </c>
      <c r="E157" s="111" t="s">
        <v>444</v>
      </c>
      <c r="F157" s="102">
        <f>+ SUMIF('Nhập kho T42024'!B:B, C157,'Nhập kho T42024'!F:F)</f>
        <v>20</v>
      </c>
      <c r="G157" s="100">
        <f>+ (SUMIF('Nhập kho T42024'!B:B, C157,'Nhập kho T42024'!G:G))*3500</f>
        <v>119700.00000000001</v>
      </c>
      <c r="H157" s="101">
        <f>+ SUMIF('Doanh thu'!A:A, C157,'Doanh thu'!E:E)</f>
        <v>40</v>
      </c>
      <c r="I157" s="101">
        <f>F157-H157+11</f>
        <v>-9</v>
      </c>
      <c r="J157" s="103">
        <f t="shared" si="0"/>
        <v>740000</v>
      </c>
      <c r="K157" s="104">
        <f>+ SUMIF('Doanh thu'!A:A, C157,'Doanh thu'!F:F)</f>
        <v>740000</v>
      </c>
    </row>
    <row r="158" spans="1:11" ht="13.2">
      <c r="A158" s="372"/>
      <c r="B158" s="111">
        <v>1</v>
      </c>
      <c r="C158" s="112" t="s">
        <v>740</v>
      </c>
      <c r="D158" s="112" t="s">
        <v>741</v>
      </c>
      <c r="E158" s="111" t="s">
        <v>444</v>
      </c>
      <c r="F158" s="102">
        <f>+ SUMIF('Nhập kho T42024'!B:B, C158,'Nhập kho T42024'!F:F)</f>
        <v>20</v>
      </c>
      <c r="G158" s="100">
        <f>+ (SUMIF('Nhập kho T42024'!B:B, C158,'Nhập kho T42024'!G:G))*3500</f>
        <v>119700.00000000001</v>
      </c>
      <c r="H158" s="101">
        <f>+ SUMIF('Doanh thu'!A:A, C158,'Doanh thu'!E:E)</f>
        <v>18</v>
      </c>
      <c r="I158" s="101">
        <f>F158-H158+12</f>
        <v>14</v>
      </c>
      <c r="J158" s="103">
        <f t="shared" si="0"/>
        <v>314500</v>
      </c>
      <c r="K158" s="104">
        <f>+ SUMIF('Doanh thu'!A:A, C158,'Doanh thu'!F:F)</f>
        <v>314500</v>
      </c>
    </row>
    <row r="159" spans="1:11" ht="13.2">
      <c r="A159" s="372"/>
      <c r="B159" s="111">
        <v>1</v>
      </c>
      <c r="C159" s="112" t="s">
        <v>742</v>
      </c>
      <c r="D159" s="112" t="s">
        <v>743</v>
      </c>
      <c r="E159" s="111" t="s">
        <v>444</v>
      </c>
      <c r="F159" s="102">
        <f>+ SUMIF('Nhập kho T42024'!B:B, C159,'Nhập kho T42024'!F:F)</f>
        <v>20</v>
      </c>
      <c r="G159" s="100">
        <f>+ (SUMIF('Nhập kho T42024'!B:B, C159,'Nhập kho T42024'!G:G))*3500</f>
        <v>119700.00000000001</v>
      </c>
      <c r="H159" s="101">
        <f>+ SUMIF('Doanh thu'!A:A, C159,'Doanh thu'!E:E)</f>
        <v>28</v>
      </c>
      <c r="I159" s="101">
        <f>F159-H159+11</f>
        <v>3</v>
      </c>
      <c r="J159" s="103">
        <f t="shared" si="0"/>
        <v>518000</v>
      </c>
      <c r="K159" s="104">
        <f>+ SUMIF('Doanh thu'!A:A, C159,'Doanh thu'!F:F)</f>
        <v>518000</v>
      </c>
    </row>
    <row r="160" spans="1:11" ht="13.2">
      <c r="A160" s="372"/>
      <c r="B160" s="111">
        <v>1</v>
      </c>
      <c r="C160" s="112" t="s">
        <v>744</v>
      </c>
      <c r="D160" s="112" t="s">
        <v>745</v>
      </c>
      <c r="E160" s="111" t="s">
        <v>444</v>
      </c>
      <c r="F160" s="102">
        <f>+ SUMIF('Nhập kho T42024'!B:B, C160,'Nhập kho T42024'!F:F)</f>
        <v>5</v>
      </c>
      <c r="G160" s="100">
        <f>+ (SUMIF('Nhập kho T42024'!B:B, C160,'Nhập kho T42024'!G:G))*3500</f>
        <v>29925.000000000004</v>
      </c>
      <c r="H160" s="101">
        <f>+ SUMIF('Doanh thu'!A:A, C160,'Doanh thu'!E:E)</f>
        <v>20</v>
      </c>
      <c r="I160" s="101">
        <f>F160-H160+17</f>
        <v>2</v>
      </c>
      <c r="J160" s="103">
        <f t="shared" si="0"/>
        <v>351500</v>
      </c>
      <c r="K160" s="104">
        <f>+ SUMIF('Doanh thu'!A:A, C160,'Doanh thu'!F:F)</f>
        <v>351500</v>
      </c>
    </row>
    <row r="161" spans="1:11" ht="13.2">
      <c r="A161" s="372"/>
      <c r="B161" s="111">
        <v>1</v>
      </c>
      <c r="C161" s="112" t="s">
        <v>746</v>
      </c>
      <c r="D161" s="112" t="s">
        <v>747</v>
      </c>
      <c r="E161" s="111" t="s">
        <v>444</v>
      </c>
      <c r="F161" s="102">
        <f>+ SUMIF('Nhập kho T42024'!B:B, C161,'Nhập kho T42024'!F:F)</f>
        <v>0</v>
      </c>
      <c r="G161" s="100">
        <f>+ (SUMIF('Nhập kho T42024'!B:B, C161,'Nhập kho T42024'!G:G))*3500</f>
        <v>0</v>
      </c>
      <c r="H161" s="101">
        <f>+ SUMIF('Doanh thu'!A:A, C161,'Doanh thu'!E:E)</f>
        <v>0</v>
      </c>
      <c r="I161" s="101">
        <f>F161-H161</f>
        <v>0</v>
      </c>
      <c r="J161" s="103">
        <f t="shared" si="0"/>
        <v>0</v>
      </c>
      <c r="K161" s="104">
        <f>+ SUMIF('Doanh thu'!A:A, C161,'Doanh thu'!F:F)</f>
        <v>0</v>
      </c>
    </row>
    <row r="162" spans="1:11" ht="13.2">
      <c r="A162" s="372"/>
      <c r="B162" s="111">
        <v>1</v>
      </c>
      <c r="C162" s="112" t="s">
        <v>748</v>
      </c>
      <c r="D162" s="112" t="s">
        <v>749</v>
      </c>
      <c r="E162" s="111" t="s">
        <v>444</v>
      </c>
      <c r="F162" s="102">
        <f>+ SUMIF('Nhập kho T42024'!B:B, C162,'Nhập kho T42024'!F:F)</f>
        <v>0</v>
      </c>
      <c r="G162" s="100">
        <f>+ (SUMIF('Nhập kho T42024'!B:B, C162,'Nhập kho T42024'!G:G))*3500</f>
        <v>0</v>
      </c>
      <c r="H162" s="101">
        <f>+ SUMIF('Doanh thu'!A:A, C162,'Doanh thu'!E:E)</f>
        <v>3</v>
      </c>
      <c r="I162" s="101">
        <f>F162-H162+3</f>
        <v>0</v>
      </c>
      <c r="J162" s="103">
        <f t="shared" si="0"/>
        <v>55500</v>
      </c>
      <c r="K162" s="104">
        <f>+ SUMIF('Doanh thu'!A:A, C162,'Doanh thu'!F:F)</f>
        <v>55500</v>
      </c>
    </row>
    <row r="163" spans="1:11" ht="13.2">
      <c r="A163" s="372"/>
      <c r="B163" s="111">
        <v>1</v>
      </c>
      <c r="C163" s="112" t="s">
        <v>750</v>
      </c>
      <c r="D163" s="112" t="s">
        <v>751</v>
      </c>
      <c r="E163" s="111" t="s">
        <v>444</v>
      </c>
      <c r="F163" s="102">
        <f>+ SUMIF('Nhập kho T42024'!B:B, C163,'Nhập kho T42024'!F:F)</f>
        <v>0</v>
      </c>
      <c r="G163" s="100">
        <f>+ (SUMIF('Nhập kho T42024'!B:B, C163,'Nhập kho T42024'!G:G))*3500</f>
        <v>0</v>
      </c>
      <c r="H163" s="101">
        <f>+ SUMIF('Doanh thu'!A:A, C163,'Doanh thu'!E:E)</f>
        <v>0</v>
      </c>
      <c r="I163" s="101">
        <f>F163-H163+1</f>
        <v>1</v>
      </c>
      <c r="J163" s="103">
        <f t="shared" si="0"/>
        <v>0</v>
      </c>
      <c r="K163" s="104">
        <f>+ SUMIF('Doanh thu'!A:A, C163,'Doanh thu'!F:F)</f>
        <v>0</v>
      </c>
    </row>
    <row r="164" spans="1:11" ht="13.2">
      <c r="A164" s="372"/>
      <c r="B164" s="111">
        <v>1</v>
      </c>
      <c r="C164" s="112" t="s">
        <v>752</v>
      </c>
      <c r="D164" s="112" t="s">
        <v>753</v>
      </c>
      <c r="E164" s="111" t="s">
        <v>444</v>
      </c>
      <c r="F164" s="102">
        <f>+ SUMIF('Nhập kho T42024'!B:B, C164,'Nhập kho T42024'!F:F)</f>
        <v>0</v>
      </c>
      <c r="G164" s="100">
        <f>+ (SUMIF('Nhập kho T42024'!B:B, C164,'Nhập kho T42024'!G:G))*3500</f>
        <v>0</v>
      </c>
      <c r="H164" s="101">
        <f>+ SUMIF('Doanh thu'!A:A, C164,'Doanh thu'!E:E)</f>
        <v>0</v>
      </c>
      <c r="I164" s="101">
        <f t="shared" ref="I164:I165" si="26">F164-H164</f>
        <v>0</v>
      </c>
      <c r="J164" s="103">
        <f t="shared" si="0"/>
        <v>0</v>
      </c>
      <c r="K164" s="104">
        <f>+ SUMIF('Doanh thu'!A:A, C164,'Doanh thu'!F:F)</f>
        <v>0</v>
      </c>
    </row>
    <row r="165" spans="1:11" ht="13.2">
      <c r="A165" s="372"/>
      <c r="B165" s="111">
        <v>1</v>
      </c>
      <c r="C165" s="112" t="s">
        <v>754</v>
      </c>
      <c r="D165" s="112" t="s">
        <v>755</v>
      </c>
      <c r="E165" s="111" t="s">
        <v>444</v>
      </c>
      <c r="F165" s="102">
        <f>+ SUMIF('Nhập kho T42024'!B:B, C165,'Nhập kho T42024'!F:F)</f>
        <v>0</v>
      </c>
      <c r="G165" s="100">
        <f>+ (SUMIF('Nhập kho T42024'!B:B, C165,'Nhập kho T42024'!G:G))*3500</f>
        <v>0</v>
      </c>
      <c r="H165" s="101">
        <f>+ SUMIF('Doanh thu'!A:A, C165,'Doanh thu'!E:E)</f>
        <v>0</v>
      </c>
      <c r="I165" s="101">
        <f t="shared" si="26"/>
        <v>0</v>
      </c>
      <c r="J165" s="103">
        <f t="shared" si="0"/>
        <v>0</v>
      </c>
      <c r="K165" s="104">
        <f>+ SUMIF('Doanh thu'!A:A, C165,'Doanh thu'!F:F)</f>
        <v>0</v>
      </c>
    </row>
    <row r="166" spans="1:11" ht="13.2">
      <c r="A166" s="372"/>
      <c r="B166" s="111">
        <v>1</v>
      </c>
      <c r="C166" s="112" t="s">
        <v>756</v>
      </c>
      <c r="D166" s="112" t="s">
        <v>757</v>
      </c>
      <c r="E166" s="111" t="s">
        <v>444</v>
      </c>
      <c r="F166" s="102">
        <f>+ SUMIF('Nhập kho T42024'!B:B, C166,'Nhập kho T42024'!F:F)</f>
        <v>0</v>
      </c>
      <c r="G166" s="100">
        <f>+ (SUMIF('Nhập kho T42024'!B:B, C166,'Nhập kho T42024'!G:G))*3500</f>
        <v>0</v>
      </c>
      <c r="H166" s="101">
        <f>+ SUMIF('Doanh thu'!A:A, C166,'Doanh thu'!E:E)</f>
        <v>1</v>
      </c>
      <c r="I166" s="101">
        <f>F166-H166+1</f>
        <v>0</v>
      </c>
      <c r="J166" s="103">
        <f t="shared" si="0"/>
        <v>14500</v>
      </c>
      <c r="K166" s="104">
        <f>+ SUMIF('Doanh thu'!A:A, C166,'Doanh thu'!F:F)</f>
        <v>14500</v>
      </c>
    </row>
    <row r="167" spans="1:11" ht="13.2">
      <c r="A167" s="372"/>
      <c r="B167" s="111">
        <v>1</v>
      </c>
      <c r="C167" s="112" t="s">
        <v>758</v>
      </c>
      <c r="D167" s="112" t="s">
        <v>759</v>
      </c>
      <c r="E167" s="111" t="s">
        <v>444</v>
      </c>
      <c r="F167" s="102">
        <f>+ SUMIF('Nhập kho T42024'!B:B, C167,'Nhập kho T42024'!F:F)</f>
        <v>0</v>
      </c>
      <c r="G167" s="100">
        <f>+ (SUMIF('Nhập kho T42024'!B:B, C167,'Nhập kho T42024'!G:G))*3500</f>
        <v>0</v>
      </c>
      <c r="H167" s="101">
        <f>+ SUMIF('Doanh thu'!A:A, C167,'Doanh thu'!E:E)</f>
        <v>0</v>
      </c>
      <c r="I167" s="101">
        <f t="shared" ref="I167:I168" si="27">F167-H167</f>
        <v>0</v>
      </c>
      <c r="J167" s="103">
        <f t="shared" si="0"/>
        <v>0</v>
      </c>
      <c r="K167" s="104">
        <f>+ SUMIF('Doanh thu'!A:A, C167,'Doanh thu'!F:F)</f>
        <v>0</v>
      </c>
    </row>
    <row r="168" spans="1:11" ht="13.2">
      <c r="A168" s="372"/>
      <c r="B168" s="111">
        <v>1</v>
      </c>
      <c r="C168" s="112" t="s">
        <v>760</v>
      </c>
      <c r="D168" s="112" t="s">
        <v>761</v>
      </c>
      <c r="E168" s="111" t="s">
        <v>444</v>
      </c>
      <c r="F168" s="102">
        <f>+ SUMIF('Nhập kho T42024'!B:B, C168,'Nhập kho T42024'!F:F)</f>
        <v>0</v>
      </c>
      <c r="G168" s="100">
        <f>+ (SUMIF('Nhập kho T42024'!B:B, C168,'Nhập kho T42024'!G:G))*3500</f>
        <v>0</v>
      </c>
      <c r="H168" s="101">
        <f>+ SUMIF('Doanh thu'!A:A, C168,'Doanh thu'!E:E)</f>
        <v>0</v>
      </c>
      <c r="I168" s="101">
        <f t="shared" si="27"/>
        <v>0</v>
      </c>
      <c r="J168" s="103">
        <f t="shared" si="0"/>
        <v>0</v>
      </c>
      <c r="K168" s="104">
        <f>+ SUMIF('Doanh thu'!A:A, C168,'Doanh thu'!F:F)</f>
        <v>0</v>
      </c>
    </row>
    <row r="169" spans="1:11" ht="13.2">
      <c r="A169" s="372"/>
      <c r="B169" s="111">
        <v>1</v>
      </c>
      <c r="C169" s="112" t="s">
        <v>762</v>
      </c>
      <c r="D169" s="112" t="s">
        <v>763</v>
      </c>
      <c r="E169" s="111" t="s">
        <v>444</v>
      </c>
      <c r="F169" s="102">
        <f>+ SUMIF('Nhập kho T42024'!B:B, C169,'Nhập kho T42024'!F:F)</f>
        <v>0</v>
      </c>
      <c r="G169" s="100">
        <f>+ (SUMIF('Nhập kho T42024'!B:B, C169,'Nhập kho T42024'!G:G))*3500</f>
        <v>0</v>
      </c>
      <c r="H169" s="101">
        <f>+ SUMIF('Doanh thu'!A:A, C169,'Doanh thu'!E:E)</f>
        <v>1</v>
      </c>
      <c r="I169" s="101">
        <f>F169-H169+1</f>
        <v>0</v>
      </c>
      <c r="J169" s="103">
        <f t="shared" si="0"/>
        <v>14500</v>
      </c>
      <c r="K169" s="104">
        <f>+ SUMIF('Doanh thu'!A:A, C169,'Doanh thu'!F:F)</f>
        <v>14500</v>
      </c>
    </row>
    <row r="170" spans="1:11" ht="13.2">
      <c r="A170" s="372"/>
      <c r="B170" s="111">
        <v>1</v>
      </c>
      <c r="C170" s="112" t="s">
        <v>764</v>
      </c>
      <c r="D170" s="112" t="s">
        <v>765</v>
      </c>
      <c r="E170" s="111" t="s">
        <v>444</v>
      </c>
      <c r="F170" s="102">
        <f>+ SUMIF('Nhập kho T42024'!B:B, C170,'Nhập kho T42024'!F:F)</f>
        <v>0</v>
      </c>
      <c r="G170" s="100">
        <f>+ (SUMIF('Nhập kho T42024'!B:B, C170,'Nhập kho T42024'!G:G))*3500</f>
        <v>0</v>
      </c>
      <c r="H170" s="101">
        <f>+ SUMIF('Doanh thu'!A:A, C170,'Doanh thu'!E:E)</f>
        <v>0</v>
      </c>
      <c r="I170" s="101">
        <f t="shared" ref="I170:I172" si="28">F170-H170</f>
        <v>0</v>
      </c>
      <c r="J170" s="103">
        <f t="shared" si="0"/>
        <v>0</v>
      </c>
      <c r="K170" s="104">
        <f>+ SUMIF('Doanh thu'!A:A, C170,'Doanh thu'!F:F)</f>
        <v>0</v>
      </c>
    </row>
    <row r="171" spans="1:11" ht="13.2">
      <c r="A171" s="372"/>
      <c r="B171" s="111">
        <v>1</v>
      </c>
      <c r="C171" s="112" t="s">
        <v>766</v>
      </c>
      <c r="D171" s="112" t="s">
        <v>767</v>
      </c>
      <c r="E171" s="111" t="s">
        <v>444</v>
      </c>
      <c r="F171" s="102">
        <f>+ SUMIF('Nhập kho T42024'!B:B, C171,'Nhập kho T42024'!F:F)</f>
        <v>0</v>
      </c>
      <c r="G171" s="100">
        <f>+ (SUMIF('Nhập kho T42024'!B:B, C171,'Nhập kho T42024'!G:G))*3500</f>
        <v>0</v>
      </c>
      <c r="H171" s="101">
        <f>+ SUMIF('Doanh thu'!A:A, C171,'Doanh thu'!E:E)</f>
        <v>0</v>
      </c>
      <c r="I171" s="101">
        <f t="shared" si="28"/>
        <v>0</v>
      </c>
      <c r="J171" s="103">
        <f t="shared" si="0"/>
        <v>0</v>
      </c>
      <c r="K171" s="104">
        <f>+ SUMIF('Doanh thu'!A:A, C171,'Doanh thu'!F:F)</f>
        <v>0</v>
      </c>
    </row>
    <row r="172" spans="1:11" ht="13.2">
      <c r="A172" s="372"/>
      <c r="B172" s="111">
        <v>1</v>
      </c>
      <c r="C172" s="112" t="s">
        <v>768</v>
      </c>
      <c r="D172" s="112" t="s">
        <v>769</v>
      </c>
      <c r="E172" s="111" t="s">
        <v>444</v>
      </c>
      <c r="F172" s="102">
        <f>+ SUMIF('Nhập kho T42024'!B:B, C172,'Nhập kho T42024'!F:F)</f>
        <v>0</v>
      </c>
      <c r="G172" s="100">
        <f>+ (SUMIF('Nhập kho T42024'!B:B, C172,'Nhập kho T42024'!G:G))*3500</f>
        <v>0</v>
      </c>
      <c r="H172" s="101">
        <f>+ SUMIF('Doanh thu'!A:A, C172,'Doanh thu'!E:E)</f>
        <v>0</v>
      </c>
      <c r="I172" s="101">
        <f t="shared" si="28"/>
        <v>0</v>
      </c>
      <c r="J172" s="103">
        <f t="shared" si="0"/>
        <v>0</v>
      </c>
      <c r="K172" s="104">
        <f>+ SUMIF('Doanh thu'!A:A, C172,'Doanh thu'!F:F)</f>
        <v>0</v>
      </c>
    </row>
    <row r="173" spans="1:11" ht="13.2">
      <c r="A173" s="372"/>
      <c r="B173" s="111">
        <v>1</v>
      </c>
      <c r="C173" s="112" t="s">
        <v>770</v>
      </c>
      <c r="D173" s="112" t="s">
        <v>771</v>
      </c>
      <c r="E173" s="111" t="s">
        <v>444</v>
      </c>
      <c r="F173" s="102">
        <f>+ SUMIF('Nhập kho T42024'!B:B, C173,'Nhập kho T42024'!F:F)</f>
        <v>0</v>
      </c>
      <c r="G173" s="100">
        <f>+ (SUMIF('Nhập kho T42024'!B:B, C173,'Nhập kho T42024'!G:G))*3500</f>
        <v>0</v>
      </c>
      <c r="H173" s="101">
        <f>+ SUMIF('Doanh thu'!A:A, C173,'Doanh thu'!E:E)</f>
        <v>1</v>
      </c>
      <c r="I173" s="101">
        <f>F173-H173+2</f>
        <v>1</v>
      </c>
      <c r="J173" s="103">
        <f t="shared" si="0"/>
        <v>19500</v>
      </c>
      <c r="K173" s="104">
        <f>+ SUMIF('Doanh thu'!A:A, C173,'Doanh thu'!F:F)</f>
        <v>19500</v>
      </c>
    </row>
    <row r="174" spans="1:11" ht="13.2">
      <c r="A174" s="372"/>
      <c r="B174" s="111">
        <v>1</v>
      </c>
      <c r="C174" s="112" t="s">
        <v>772</v>
      </c>
      <c r="D174" s="112" t="s">
        <v>773</v>
      </c>
      <c r="E174" s="111" t="s">
        <v>444</v>
      </c>
      <c r="F174" s="102">
        <f>+ SUMIF('Nhập kho T42024'!B:B, C174,'Nhập kho T42024'!F:F)</f>
        <v>0</v>
      </c>
      <c r="G174" s="100">
        <f>+ (SUMIF('Nhập kho T42024'!B:B, C174,'Nhập kho T42024'!G:G))*3500</f>
        <v>0</v>
      </c>
      <c r="H174" s="101">
        <f>+ SUMIF('Doanh thu'!A:A, C174,'Doanh thu'!E:E)</f>
        <v>1</v>
      </c>
      <c r="I174" s="101">
        <f t="shared" ref="I174:I177" si="29">F174-H174</f>
        <v>-1</v>
      </c>
      <c r="J174" s="103">
        <f t="shared" si="0"/>
        <v>19680</v>
      </c>
      <c r="K174" s="104">
        <f>+ SUMIF('Doanh thu'!A:A, C174,'Doanh thu'!F:F)</f>
        <v>19680</v>
      </c>
    </row>
    <row r="175" spans="1:11" ht="13.2">
      <c r="A175" s="372"/>
      <c r="B175" s="111">
        <v>1</v>
      </c>
      <c r="C175" s="112" t="s">
        <v>774</v>
      </c>
      <c r="D175" s="112" t="s">
        <v>775</v>
      </c>
      <c r="E175" s="111" t="s">
        <v>444</v>
      </c>
      <c r="F175" s="102">
        <f>+ SUMIF('Nhập kho T42024'!B:B, C175,'Nhập kho T42024'!F:F)</f>
        <v>0</v>
      </c>
      <c r="G175" s="100">
        <f>+ (SUMIF('Nhập kho T42024'!B:B, C175,'Nhập kho T42024'!G:G))*3500</f>
        <v>0</v>
      </c>
      <c r="H175" s="101">
        <f>+ SUMIF('Doanh thu'!A:A, C175,'Doanh thu'!E:E)</f>
        <v>0</v>
      </c>
      <c r="I175" s="101">
        <f t="shared" si="29"/>
        <v>0</v>
      </c>
      <c r="J175" s="103">
        <f t="shared" si="0"/>
        <v>0</v>
      </c>
      <c r="K175" s="104">
        <f>+ SUMIF('Doanh thu'!A:A, C175,'Doanh thu'!F:F)</f>
        <v>0</v>
      </c>
    </row>
    <row r="176" spans="1:11" ht="13.2">
      <c r="A176" s="372"/>
      <c r="B176" s="111">
        <v>1</v>
      </c>
      <c r="C176" s="112" t="s">
        <v>776</v>
      </c>
      <c r="D176" s="112" t="s">
        <v>777</v>
      </c>
      <c r="E176" s="111" t="s">
        <v>444</v>
      </c>
      <c r="F176" s="102">
        <f>+ SUMIF('Nhập kho T42024'!B:B, C176,'Nhập kho T42024'!F:F)</f>
        <v>0</v>
      </c>
      <c r="G176" s="100">
        <f>+ (SUMIF('Nhập kho T42024'!B:B, C176,'Nhập kho T42024'!G:G))*3500</f>
        <v>0</v>
      </c>
      <c r="H176" s="101">
        <f>+ SUMIF('Doanh thu'!A:A, C176,'Doanh thu'!E:E)</f>
        <v>0</v>
      </c>
      <c r="I176" s="101">
        <f t="shared" si="29"/>
        <v>0</v>
      </c>
      <c r="J176" s="103">
        <f t="shared" si="0"/>
        <v>0</v>
      </c>
      <c r="K176" s="104">
        <f>+ SUMIF('Doanh thu'!A:A, C176,'Doanh thu'!F:F)</f>
        <v>0</v>
      </c>
    </row>
    <row r="177" spans="1:11" ht="13.2">
      <c r="A177" s="372"/>
      <c r="B177" s="111">
        <v>1</v>
      </c>
      <c r="C177" s="112" t="s">
        <v>778</v>
      </c>
      <c r="D177" s="112" t="s">
        <v>779</v>
      </c>
      <c r="E177" s="111" t="s">
        <v>444</v>
      </c>
      <c r="F177" s="102">
        <f>+ SUMIF('Nhập kho T42024'!B:B, C177,'Nhập kho T42024'!F:F)</f>
        <v>0</v>
      </c>
      <c r="G177" s="100">
        <f>+ (SUMIF('Nhập kho T42024'!B:B, C177,'Nhập kho T42024'!G:G))*3500</f>
        <v>0</v>
      </c>
      <c r="H177" s="101">
        <f>+ SUMIF('Doanh thu'!A:A, C177,'Doanh thu'!E:E)</f>
        <v>0</v>
      </c>
      <c r="I177" s="101">
        <f t="shared" si="29"/>
        <v>0</v>
      </c>
      <c r="J177" s="103">
        <f t="shared" si="0"/>
        <v>0</v>
      </c>
      <c r="K177" s="104">
        <f>+ SUMIF('Doanh thu'!A:A, C177,'Doanh thu'!F:F)</f>
        <v>0</v>
      </c>
    </row>
    <row r="178" spans="1:11" ht="13.2">
      <c r="A178" s="372"/>
      <c r="B178" s="111">
        <v>1</v>
      </c>
      <c r="C178" s="112" t="s">
        <v>780</v>
      </c>
      <c r="D178" s="112" t="s">
        <v>781</v>
      </c>
      <c r="E178" s="111" t="s">
        <v>444</v>
      </c>
      <c r="F178" s="102">
        <f>+ SUMIF('Nhập kho T42024'!B:B, C178,'Nhập kho T42024'!F:F)</f>
        <v>0</v>
      </c>
      <c r="G178" s="100">
        <f>+ (SUMIF('Nhập kho T42024'!B:B, C178,'Nhập kho T42024'!G:G))*3500</f>
        <v>0</v>
      </c>
      <c r="H178" s="101">
        <f>+ SUMIF('Doanh thu'!A:A, C178,'Doanh thu'!E:E)</f>
        <v>0</v>
      </c>
      <c r="I178" s="101">
        <f t="shared" ref="I178:I179" si="30">F178-H178+11</f>
        <v>11</v>
      </c>
      <c r="J178" s="103">
        <f t="shared" si="0"/>
        <v>0</v>
      </c>
      <c r="K178" s="104">
        <f>+ SUMIF('Doanh thu'!A:A, C178,'Doanh thu'!F:F)</f>
        <v>0</v>
      </c>
    </row>
    <row r="179" spans="1:11" ht="13.2">
      <c r="A179" s="372"/>
      <c r="B179" s="111">
        <v>1</v>
      </c>
      <c r="C179" s="112" t="s">
        <v>782</v>
      </c>
      <c r="D179" s="112" t="s">
        <v>783</v>
      </c>
      <c r="E179" s="111" t="s">
        <v>444</v>
      </c>
      <c r="F179" s="102">
        <f>+ SUMIF('Nhập kho T42024'!B:B, C179,'Nhập kho T42024'!F:F)</f>
        <v>0</v>
      </c>
      <c r="G179" s="100">
        <f>+ (SUMIF('Nhập kho T42024'!B:B, C179,'Nhập kho T42024'!G:G))*3500</f>
        <v>0</v>
      </c>
      <c r="H179" s="101">
        <f>+ SUMIF('Doanh thu'!A:A, C179,'Doanh thu'!E:E)</f>
        <v>2</v>
      </c>
      <c r="I179" s="101">
        <f t="shared" si="30"/>
        <v>9</v>
      </c>
      <c r="J179" s="103">
        <f t="shared" si="0"/>
        <v>37000</v>
      </c>
      <c r="K179" s="104">
        <f>+ SUMIF('Doanh thu'!A:A, C179,'Doanh thu'!F:F)</f>
        <v>37000</v>
      </c>
    </row>
    <row r="180" spans="1:11" ht="13.2">
      <c r="A180" s="372"/>
      <c r="B180" s="111">
        <v>1</v>
      </c>
      <c r="C180" s="112" t="s">
        <v>784</v>
      </c>
      <c r="D180" s="112" t="s">
        <v>785</v>
      </c>
      <c r="E180" s="111" t="s">
        <v>444</v>
      </c>
      <c r="F180" s="102">
        <f>+ SUMIF('Nhập kho T42024'!B:B, C180,'Nhập kho T42024'!F:F)</f>
        <v>0</v>
      </c>
      <c r="G180" s="100">
        <f>+ (SUMIF('Nhập kho T42024'!B:B, C180,'Nhập kho T42024'!G:G))*3500</f>
        <v>0</v>
      </c>
      <c r="H180" s="101">
        <f>+ SUMIF('Doanh thu'!A:A, C180,'Doanh thu'!E:E)</f>
        <v>0</v>
      </c>
      <c r="I180" s="101">
        <f t="shared" ref="I180:I181" si="31">F180-H180</f>
        <v>0</v>
      </c>
      <c r="J180" s="103">
        <f t="shared" si="0"/>
        <v>0</v>
      </c>
      <c r="K180" s="104">
        <f>+ SUMIF('Doanh thu'!A:A, C180,'Doanh thu'!F:F)</f>
        <v>0</v>
      </c>
    </row>
    <row r="181" spans="1:11" ht="13.2">
      <c r="A181" s="372"/>
      <c r="B181" s="111">
        <v>1</v>
      </c>
      <c r="C181" s="112" t="s">
        <v>786</v>
      </c>
      <c r="D181" s="112" t="s">
        <v>787</v>
      </c>
      <c r="E181" s="111" t="s">
        <v>444</v>
      </c>
      <c r="F181" s="102">
        <f>+ SUMIF('Nhập kho T42024'!B:B, C181,'Nhập kho T42024'!F:F)</f>
        <v>0</v>
      </c>
      <c r="G181" s="100">
        <f>+ (SUMIF('Nhập kho T42024'!B:B, C181,'Nhập kho T42024'!G:G))*3500</f>
        <v>0</v>
      </c>
      <c r="H181" s="101">
        <f>+ SUMIF('Doanh thu'!A:A, C181,'Doanh thu'!E:E)</f>
        <v>0</v>
      </c>
      <c r="I181" s="101">
        <f t="shared" si="31"/>
        <v>0</v>
      </c>
      <c r="J181" s="103">
        <f t="shared" si="0"/>
        <v>0</v>
      </c>
      <c r="K181" s="104">
        <f>+ SUMIF('Doanh thu'!A:A, C181,'Doanh thu'!F:F)</f>
        <v>0</v>
      </c>
    </row>
    <row r="182" spans="1:11" ht="13.2">
      <c r="A182" s="372"/>
      <c r="B182" s="111">
        <v>1</v>
      </c>
      <c r="C182" s="112" t="s">
        <v>788</v>
      </c>
      <c r="D182" s="112" t="s">
        <v>789</v>
      </c>
      <c r="E182" s="111" t="s">
        <v>444</v>
      </c>
      <c r="F182" s="102">
        <f>+ SUMIF('Nhập kho T42024'!B:B, C182,'Nhập kho T42024'!F:F)</f>
        <v>90</v>
      </c>
      <c r="G182" s="100">
        <f>+ (SUMIF('Nhập kho T42024'!B:B, C182,'Nhập kho T42024'!G:G))*3500</f>
        <v>1479100</v>
      </c>
      <c r="H182" s="101">
        <f>+ SUMIF('Doanh thu'!A:A, C182,'Doanh thu'!E:E)</f>
        <v>93</v>
      </c>
      <c r="I182" s="101">
        <f>F182-H182+7</f>
        <v>4</v>
      </c>
      <c r="J182" s="103">
        <f t="shared" si="0"/>
        <v>3608000</v>
      </c>
      <c r="K182" s="104">
        <f>+ SUMIF('Doanh thu'!A:A, C182,'Doanh thu'!F:F)</f>
        <v>3608000</v>
      </c>
    </row>
    <row r="183" spans="1:11" ht="13.2">
      <c r="A183" s="372"/>
      <c r="B183" s="111">
        <v>1</v>
      </c>
      <c r="C183" s="112" t="s">
        <v>790</v>
      </c>
      <c r="D183" s="112" t="s">
        <v>791</v>
      </c>
      <c r="E183" s="111" t="s">
        <v>444</v>
      </c>
      <c r="F183" s="102">
        <f>+ SUMIF('Nhập kho T42024'!B:B, C183,'Nhập kho T42024'!F:F)</f>
        <v>55</v>
      </c>
      <c r="G183" s="100">
        <f>+ (SUMIF('Nhập kho T42024'!B:B, C183,'Nhập kho T42024'!G:G))*3500</f>
        <v>904575</v>
      </c>
      <c r="H183" s="101">
        <f>+ SUMIF('Doanh thu'!A:A, C183,'Doanh thu'!E:E)</f>
        <v>42</v>
      </c>
      <c r="I183" s="101">
        <f>F183-H183-8</f>
        <v>5</v>
      </c>
      <c r="J183" s="103">
        <f t="shared" si="0"/>
        <v>1680000</v>
      </c>
      <c r="K183" s="104">
        <f>+ SUMIF('Doanh thu'!A:A, C183,'Doanh thu'!F:F)</f>
        <v>1680000</v>
      </c>
    </row>
    <row r="184" spans="1:11" ht="13.2">
      <c r="A184" s="372"/>
      <c r="B184" s="111">
        <v>1</v>
      </c>
      <c r="C184" s="112" t="s">
        <v>792</v>
      </c>
      <c r="D184" s="112" t="s">
        <v>793</v>
      </c>
      <c r="E184" s="111" t="s">
        <v>444</v>
      </c>
      <c r="F184" s="102">
        <f>+ SUMIF('Nhập kho T42024'!B:B, C184,'Nhập kho T42024'!F:F)</f>
        <v>55</v>
      </c>
      <c r="G184" s="100">
        <f>+ (SUMIF('Nhập kho T42024'!B:B, C184,'Nhập kho T42024'!G:G))*3500</f>
        <v>904575</v>
      </c>
      <c r="H184" s="101">
        <f>+ SUMIF('Doanh thu'!A:A, C184,'Doanh thu'!E:E)</f>
        <v>69</v>
      </c>
      <c r="I184" s="101">
        <f>F184-H184+13</f>
        <v>-1</v>
      </c>
      <c r="J184" s="103">
        <f t="shared" si="0"/>
        <v>2622000</v>
      </c>
      <c r="K184" s="104">
        <f>+ SUMIF('Doanh thu'!A:A, C184,'Doanh thu'!F:F)</f>
        <v>2622000</v>
      </c>
    </row>
    <row r="185" spans="1:11" ht="13.2">
      <c r="A185" s="372"/>
      <c r="B185" s="111">
        <v>1</v>
      </c>
      <c r="C185" s="112" t="s">
        <v>794</v>
      </c>
      <c r="D185" s="112" t="s">
        <v>795</v>
      </c>
      <c r="E185" s="111" t="s">
        <v>444</v>
      </c>
      <c r="F185" s="102">
        <f>+ SUMIF('Nhập kho T42024'!B:B, C185,'Nhập kho T42024'!F:F)</f>
        <v>67</v>
      </c>
      <c r="G185" s="100">
        <f>+ (SUMIF('Nhập kho T42024'!B:B, C185,'Nhập kho T42024'!G:G))*3500</f>
        <v>1100155</v>
      </c>
      <c r="H185" s="101">
        <f>+ SUMIF('Doanh thu'!A:A, C185,'Doanh thu'!E:E)</f>
        <v>70</v>
      </c>
      <c r="I185" s="101">
        <f>F185-H185+6</f>
        <v>3</v>
      </c>
      <c r="J185" s="103">
        <f t="shared" si="0"/>
        <v>2760000</v>
      </c>
      <c r="K185" s="104">
        <f>+ SUMIF('Doanh thu'!A:A, C185,'Doanh thu'!F:F)</f>
        <v>2760000</v>
      </c>
    </row>
    <row r="186" spans="1:11" ht="13.2">
      <c r="A186" s="372"/>
      <c r="B186" s="111">
        <v>1</v>
      </c>
      <c r="C186" s="112" t="s">
        <v>796</v>
      </c>
      <c r="D186" s="112" t="s">
        <v>797</v>
      </c>
      <c r="E186" s="111" t="s">
        <v>444</v>
      </c>
      <c r="F186" s="102">
        <f>+ SUMIF('Nhập kho T42024'!B:B, C186,'Nhập kho T42024'!F:F)</f>
        <v>25</v>
      </c>
      <c r="G186" s="100">
        <f>+ (SUMIF('Nhập kho T42024'!B:B, C186,'Nhập kho T42024'!G:G))*3500</f>
        <v>396024.99999999994</v>
      </c>
      <c r="H186" s="101">
        <f>+ SUMIF('Doanh thu'!A:A, C186,'Doanh thu'!E:E)</f>
        <v>104</v>
      </c>
      <c r="I186" s="101">
        <f>F186-H186+80</f>
        <v>1</v>
      </c>
      <c r="J186" s="103">
        <f t="shared" si="0"/>
        <v>4010000</v>
      </c>
      <c r="K186" s="104">
        <f>+ SUMIF('Doanh thu'!A:A, C186,'Doanh thu'!F:F)</f>
        <v>4010000</v>
      </c>
    </row>
    <row r="187" spans="1:11" ht="13.2">
      <c r="A187" s="372"/>
      <c r="B187" s="111">
        <v>1</v>
      </c>
      <c r="C187" s="112" t="s">
        <v>798</v>
      </c>
      <c r="D187" s="112" t="s">
        <v>799</v>
      </c>
      <c r="E187" s="111" t="s">
        <v>444</v>
      </c>
      <c r="F187" s="102">
        <f>+ SUMIF('Nhập kho T42024'!B:B, C187,'Nhập kho T42024'!F:F)</f>
        <v>60</v>
      </c>
      <c r="G187" s="100">
        <f>+ (SUMIF('Nhập kho T42024'!B:B, C187,'Nhập kho T42024'!G:G))*3500</f>
        <v>982800</v>
      </c>
      <c r="H187" s="101">
        <f>+ SUMIF('Doanh thu'!A:A, C187,'Doanh thu'!E:E)</f>
        <v>62</v>
      </c>
      <c r="I187" s="101">
        <f>F187-H187-7</f>
        <v>-9</v>
      </c>
      <c r="J187" s="103">
        <f t="shared" si="0"/>
        <v>2480000</v>
      </c>
      <c r="K187" s="104">
        <f>+ SUMIF('Doanh thu'!A:A, C187,'Doanh thu'!F:F)</f>
        <v>2480000</v>
      </c>
    </row>
    <row r="188" spans="1:11" ht="13.2">
      <c r="A188" s="372"/>
      <c r="B188" s="111">
        <v>1</v>
      </c>
      <c r="C188" s="112" t="s">
        <v>800</v>
      </c>
      <c r="D188" s="112" t="s">
        <v>801</v>
      </c>
      <c r="E188" s="111" t="s">
        <v>444</v>
      </c>
      <c r="F188" s="102">
        <f>+ SUMIF('Nhập kho T42024'!B:B, C188,'Nhập kho T42024'!F:F)</f>
        <v>17</v>
      </c>
      <c r="G188" s="100">
        <f>+ (SUMIF('Nhập kho T42024'!B:B, C188,'Nhập kho T42024'!G:G))*3500</f>
        <v>286054.99999999994</v>
      </c>
      <c r="H188" s="101">
        <f>+ SUMIF('Doanh thu'!A:A, C188,'Doanh thu'!E:E)</f>
        <v>29</v>
      </c>
      <c r="I188" s="101">
        <f>F188-H188+13</f>
        <v>1</v>
      </c>
      <c r="J188" s="103">
        <f t="shared" si="0"/>
        <v>1102000</v>
      </c>
      <c r="K188" s="104">
        <f>+ SUMIF('Doanh thu'!A:A, C188,'Doanh thu'!F:F)</f>
        <v>1102000</v>
      </c>
    </row>
    <row r="189" spans="1:11" ht="13.2">
      <c r="A189" s="372"/>
      <c r="B189" s="111">
        <v>1</v>
      </c>
      <c r="C189" s="112" t="s">
        <v>802</v>
      </c>
      <c r="D189" s="112" t="s">
        <v>803</v>
      </c>
      <c r="E189" s="111" t="s">
        <v>444</v>
      </c>
      <c r="F189" s="102">
        <f>+ SUMIF('Nhập kho T42024'!B:B, C189,'Nhập kho T42024'!F:F)</f>
        <v>9</v>
      </c>
      <c r="G189" s="100">
        <f>+ (SUMIF('Nhập kho T42024'!B:B, C189,'Nhập kho T42024'!G:G))*3500</f>
        <v>51030.000000000007</v>
      </c>
      <c r="H189" s="101">
        <f>+ SUMIF('Doanh thu'!A:A, C189,'Doanh thu'!E:E)</f>
        <v>8</v>
      </c>
      <c r="I189" s="101">
        <f>F189-H189-6</f>
        <v>-5</v>
      </c>
      <c r="J189" s="103">
        <f t="shared" si="0"/>
        <v>152000</v>
      </c>
      <c r="K189" s="104">
        <f>+ SUMIF('Doanh thu'!A:A, C189,'Doanh thu'!F:F)</f>
        <v>152000</v>
      </c>
    </row>
    <row r="190" spans="1:11" ht="13.2">
      <c r="A190" s="372"/>
      <c r="B190" s="111">
        <v>1</v>
      </c>
      <c r="C190" s="112" t="s">
        <v>804</v>
      </c>
      <c r="D190" s="112" t="s">
        <v>797</v>
      </c>
      <c r="E190" s="111" t="s">
        <v>444</v>
      </c>
      <c r="F190" s="102">
        <f>+ SUMIF('Nhập kho T42024'!B:B, C190,'Nhập kho T42024'!F:F)</f>
        <v>9</v>
      </c>
      <c r="G190" s="100">
        <f>+ (SUMIF('Nhập kho T42024'!B:B, C190,'Nhập kho T42024'!G:G))*3500</f>
        <v>51030.000000000007</v>
      </c>
      <c r="H190" s="101">
        <f>+ SUMIF('Doanh thu'!A:A, C190,'Doanh thu'!E:E)</f>
        <v>6</v>
      </c>
      <c r="I190" s="101">
        <f>F190-H190-5</f>
        <v>-2</v>
      </c>
      <c r="J190" s="103">
        <f t="shared" si="0"/>
        <v>110000</v>
      </c>
      <c r="K190" s="104">
        <f>+ SUMIF('Doanh thu'!A:A, C190,'Doanh thu'!F:F)</f>
        <v>110000</v>
      </c>
    </row>
    <row r="191" spans="1:11" ht="13.2">
      <c r="A191" s="372"/>
      <c r="B191" s="111">
        <v>1</v>
      </c>
      <c r="C191" s="112" t="s">
        <v>805</v>
      </c>
      <c r="D191" s="112" t="s">
        <v>806</v>
      </c>
      <c r="E191" s="111" t="s">
        <v>444</v>
      </c>
      <c r="F191" s="102">
        <f>+ SUMIF('Nhập kho T42024'!B:B, C191,'Nhập kho T42024'!F:F)</f>
        <v>9</v>
      </c>
      <c r="G191" s="100">
        <f>+ (SUMIF('Nhập kho T42024'!B:B, C191,'Nhập kho T42024'!G:G))*3500</f>
        <v>51030.000000000007</v>
      </c>
      <c r="H191" s="101">
        <f>+ SUMIF('Doanh thu'!A:A, C191,'Doanh thu'!E:E)</f>
        <v>2</v>
      </c>
      <c r="I191" s="101">
        <f t="shared" ref="I191:I192" si="32">F191-H191-6</f>
        <v>1</v>
      </c>
      <c r="J191" s="103">
        <f t="shared" si="0"/>
        <v>38000</v>
      </c>
      <c r="K191" s="104">
        <f>+ SUMIF('Doanh thu'!A:A, C191,'Doanh thu'!F:F)</f>
        <v>38000</v>
      </c>
    </row>
    <row r="192" spans="1:11" ht="13.2">
      <c r="A192" s="372"/>
      <c r="B192" s="111">
        <v>1</v>
      </c>
      <c r="C192" s="112" t="s">
        <v>807</v>
      </c>
      <c r="D192" s="112" t="s">
        <v>799</v>
      </c>
      <c r="E192" s="111" t="s">
        <v>444</v>
      </c>
      <c r="F192" s="102">
        <f>+ SUMIF('Nhập kho T42024'!B:B, C192,'Nhập kho T42024'!F:F)</f>
        <v>9</v>
      </c>
      <c r="G192" s="100">
        <f>+ (SUMIF('Nhập kho T42024'!B:B, C192,'Nhập kho T42024'!G:G))*3500</f>
        <v>51030.000000000007</v>
      </c>
      <c r="H192" s="101">
        <f>+ SUMIF('Doanh thu'!A:A, C192,'Doanh thu'!E:E)</f>
        <v>7</v>
      </c>
      <c r="I192" s="101">
        <f t="shared" si="32"/>
        <v>-4</v>
      </c>
      <c r="J192" s="103">
        <f t="shared" si="0"/>
        <v>133000</v>
      </c>
      <c r="K192" s="104">
        <f>+ SUMIF('Doanh thu'!A:A, C192,'Doanh thu'!F:F)</f>
        <v>133000</v>
      </c>
    </row>
    <row r="193" spans="1:11" ht="13.2">
      <c r="A193" s="372"/>
      <c r="B193" s="111">
        <v>1</v>
      </c>
      <c r="C193" s="112" t="s">
        <v>808</v>
      </c>
      <c r="D193" s="112" t="s">
        <v>809</v>
      </c>
      <c r="E193" s="111" t="s">
        <v>444</v>
      </c>
      <c r="F193" s="102">
        <f>+ SUMIF('Nhập kho T42024'!B:B, C193,'Nhập kho T42024'!F:F)</f>
        <v>15</v>
      </c>
      <c r="G193" s="100">
        <f>+ (SUMIF('Nhập kho T42024'!B:B, C193,'Nhập kho T42024'!G:G))*3500</f>
        <v>81375</v>
      </c>
      <c r="H193" s="101">
        <f>+ SUMIF('Doanh thu'!A:A, C193,'Doanh thu'!E:E)</f>
        <v>2</v>
      </c>
      <c r="I193" s="101">
        <f t="shared" ref="I193:I195" si="33">F193-H193-12</f>
        <v>1</v>
      </c>
      <c r="J193" s="103">
        <f t="shared" si="0"/>
        <v>36000</v>
      </c>
      <c r="K193" s="104">
        <f>+ SUMIF('Doanh thu'!A:A, C193,'Doanh thu'!F:F)</f>
        <v>36000</v>
      </c>
    </row>
    <row r="194" spans="1:11" ht="13.2">
      <c r="A194" s="372"/>
      <c r="B194" s="111">
        <v>1</v>
      </c>
      <c r="C194" s="112" t="s">
        <v>810</v>
      </c>
      <c r="D194" s="112" t="s">
        <v>811</v>
      </c>
      <c r="E194" s="111" t="s">
        <v>444</v>
      </c>
      <c r="F194" s="102">
        <f>+ SUMIF('Nhập kho T42024'!B:B, C194,'Nhập kho T42024'!F:F)</f>
        <v>15</v>
      </c>
      <c r="G194" s="100">
        <f>+ (SUMIF('Nhập kho T42024'!B:B, C194,'Nhập kho T42024'!G:G))*3500</f>
        <v>81375</v>
      </c>
      <c r="H194" s="101">
        <f>+ SUMIF('Doanh thu'!A:A, C194,'Doanh thu'!E:E)</f>
        <v>2</v>
      </c>
      <c r="I194" s="101">
        <f t="shared" si="33"/>
        <v>1</v>
      </c>
      <c r="J194" s="103">
        <f t="shared" si="0"/>
        <v>36000</v>
      </c>
      <c r="K194" s="104">
        <f>+ SUMIF('Doanh thu'!A:A, C194,'Doanh thu'!F:F)</f>
        <v>36000</v>
      </c>
    </row>
    <row r="195" spans="1:11" ht="13.2">
      <c r="A195" s="372"/>
      <c r="B195" s="111">
        <v>1</v>
      </c>
      <c r="C195" s="112" t="s">
        <v>812</v>
      </c>
      <c r="D195" s="112" t="s">
        <v>797</v>
      </c>
      <c r="E195" s="111" t="s">
        <v>444</v>
      </c>
      <c r="F195" s="102">
        <f>+ SUMIF('Nhập kho T42024'!B:B, C195,'Nhập kho T42024'!F:F)</f>
        <v>15</v>
      </c>
      <c r="G195" s="100">
        <f>+ (SUMIF('Nhập kho T42024'!B:B, C195,'Nhập kho T42024'!G:G))*3500</f>
        <v>81375</v>
      </c>
      <c r="H195" s="101">
        <f>+ SUMIF('Doanh thu'!A:A, C195,'Doanh thu'!E:E)</f>
        <v>5</v>
      </c>
      <c r="I195" s="101">
        <f t="shared" si="33"/>
        <v>-2</v>
      </c>
      <c r="J195" s="103">
        <f t="shared" si="0"/>
        <v>90000</v>
      </c>
      <c r="K195" s="104">
        <f>+ SUMIF('Doanh thu'!A:A, C195,'Doanh thu'!F:F)</f>
        <v>90000</v>
      </c>
    </row>
    <row r="196" spans="1:11" ht="13.2">
      <c r="A196" s="372"/>
      <c r="B196" s="111">
        <v>1</v>
      </c>
      <c r="C196" s="112" t="s">
        <v>813</v>
      </c>
      <c r="D196" s="112" t="s">
        <v>814</v>
      </c>
      <c r="E196" s="111" t="s">
        <v>444</v>
      </c>
      <c r="F196" s="102">
        <f>+ SUMIF('Nhập kho T42024'!B:B, C196,'Nhập kho T42024'!F:F)</f>
        <v>15</v>
      </c>
      <c r="G196" s="100">
        <f>+ (SUMIF('Nhập kho T42024'!B:B, C196,'Nhập kho T42024'!G:G))*3500</f>
        <v>81375</v>
      </c>
      <c r="H196" s="101">
        <f>+ SUMIF('Doanh thu'!A:A, C196,'Doanh thu'!E:E)</f>
        <v>4</v>
      </c>
      <c r="I196" s="101">
        <f>F196-H196-11</f>
        <v>0</v>
      </c>
      <c r="J196" s="103">
        <f t="shared" si="0"/>
        <v>69000</v>
      </c>
      <c r="K196" s="104">
        <f>+ SUMIF('Doanh thu'!A:A, C196,'Doanh thu'!F:F)</f>
        <v>69000</v>
      </c>
    </row>
    <row r="197" spans="1:11" ht="13.2">
      <c r="A197" s="372"/>
      <c r="B197" s="111">
        <v>1</v>
      </c>
      <c r="C197" s="112" t="s">
        <v>815</v>
      </c>
      <c r="D197" s="112" t="s">
        <v>816</v>
      </c>
      <c r="E197" s="111" t="s">
        <v>444</v>
      </c>
      <c r="F197" s="102">
        <f>+ SUMIF('Nhập kho T42024'!B:B, C197,'Nhập kho T42024'!F:F)</f>
        <v>15</v>
      </c>
      <c r="G197" s="100">
        <f>+ (SUMIF('Nhập kho T42024'!B:B, C197,'Nhập kho T42024'!G:G))*3500</f>
        <v>81375</v>
      </c>
      <c r="H197" s="101">
        <f>+ SUMIF('Doanh thu'!A:A, C197,'Doanh thu'!E:E)</f>
        <v>2</v>
      </c>
      <c r="I197" s="101">
        <f>F197-H197-12</f>
        <v>1</v>
      </c>
      <c r="J197" s="103">
        <f t="shared" si="0"/>
        <v>36000</v>
      </c>
      <c r="K197" s="104">
        <f>+ SUMIF('Doanh thu'!A:A, C197,'Doanh thu'!F:F)</f>
        <v>36000</v>
      </c>
    </row>
    <row r="198" spans="1:11" ht="13.2">
      <c r="A198" s="372"/>
      <c r="B198" s="111">
        <v>1</v>
      </c>
      <c r="C198" s="112" t="s">
        <v>817</v>
      </c>
      <c r="D198" s="112" t="s">
        <v>818</v>
      </c>
      <c r="E198" s="111" t="s">
        <v>444</v>
      </c>
      <c r="F198" s="102">
        <f>+ SUMIF('Nhập kho T42024'!B:B, C198,'Nhập kho T42024'!F:F)</f>
        <v>56</v>
      </c>
      <c r="G198" s="100">
        <f>+ (SUMIF('Nhập kho T42024'!B:B, C198,'Nhập kho T42024'!G:G))*3500</f>
        <v>1039149.9999999999</v>
      </c>
      <c r="H198" s="101">
        <f>+ SUMIF('Doanh thu'!A:A, C198,'Doanh thu'!E:E)</f>
        <v>50</v>
      </c>
      <c r="I198" s="101">
        <f>F198-H198-4</f>
        <v>2</v>
      </c>
      <c r="J198" s="103">
        <f t="shared" si="0"/>
        <v>2600000</v>
      </c>
      <c r="K198" s="104">
        <f>+ SUMIF('Doanh thu'!A:A, C198,'Doanh thu'!F:F)</f>
        <v>2600000</v>
      </c>
    </row>
    <row r="199" spans="1:11" ht="13.2">
      <c r="A199" s="372"/>
      <c r="B199" s="111">
        <v>1</v>
      </c>
      <c r="C199" s="112" t="s">
        <v>819</v>
      </c>
      <c r="D199" s="112" t="s">
        <v>820</v>
      </c>
      <c r="E199" s="111" t="s">
        <v>444</v>
      </c>
      <c r="F199" s="102">
        <f>+ SUMIF('Nhập kho T42024'!B:B, C199,'Nhập kho T42024'!F:F)</f>
        <v>50</v>
      </c>
      <c r="G199" s="100">
        <f>+ (SUMIF('Nhập kho T42024'!B:B, C199,'Nhập kho T42024'!G:G))*3500</f>
        <v>937650.00000000012</v>
      </c>
      <c r="H199" s="101">
        <f>+ SUMIF('Doanh thu'!A:A, C199,'Doanh thu'!E:E)</f>
        <v>37</v>
      </c>
      <c r="I199" s="101">
        <f>F199-H199-6</f>
        <v>7</v>
      </c>
      <c r="J199" s="103">
        <f t="shared" si="0"/>
        <v>1924000</v>
      </c>
      <c r="K199" s="104">
        <f>+ SUMIF('Doanh thu'!A:A, C199,'Doanh thu'!F:F)</f>
        <v>1924000</v>
      </c>
    </row>
    <row r="200" spans="1:11" ht="13.2">
      <c r="A200" s="372"/>
      <c r="B200" s="111">
        <v>1</v>
      </c>
      <c r="C200" s="112" t="s">
        <v>821</v>
      </c>
      <c r="D200" s="112" t="s">
        <v>822</v>
      </c>
      <c r="E200" s="111" t="s">
        <v>444</v>
      </c>
      <c r="F200" s="102">
        <f>+ SUMIF('Nhập kho T42024'!B:B, C200,'Nhập kho T42024'!F:F)</f>
        <v>25</v>
      </c>
      <c r="G200" s="100">
        <f>+ (SUMIF('Nhập kho T42024'!B:B, C200,'Nhập kho T42024'!G:G))*3500</f>
        <v>493500</v>
      </c>
      <c r="H200" s="101">
        <f>+ SUMIF('Doanh thu'!A:A, C200,'Doanh thu'!E:E)</f>
        <v>27</v>
      </c>
      <c r="I200" s="101">
        <f>F200-H200+2</f>
        <v>0</v>
      </c>
      <c r="J200" s="103">
        <f t="shared" si="0"/>
        <v>1404000</v>
      </c>
      <c r="K200" s="104">
        <f>+ SUMIF('Doanh thu'!A:A, C200,'Doanh thu'!F:F)</f>
        <v>1404000</v>
      </c>
    </row>
    <row r="201" spans="1:11" ht="13.2">
      <c r="A201" s="372"/>
      <c r="B201" s="111">
        <v>1</v>
      </c>
      <c r="C201" s="112" t="s">
        <v>823</v>
      </c>
      <c r="D201" s="112" t="s">
        <v>824</v>
      </c>
      <c r="E201" s="111" t="s">
        <v>444</v>
      </c>
      <c r="F201" s="102">
        <f>+ SUMIF('Nhập kho T42024'!B:B, C201,'Nhập kho T42024'!F:F)</f>
        <v>33</v>
      </c>
      <c r="G201" s="100">
        <f>+ (SUMIF('Nhập kho T42024'!B:B, C201,'Nhập kho T42024'!G:G))*3500</f>
        <v>634900.00000000012</v>
      </c>
      <c r="H201" s="101">
        <f>+ SUMIF('Doanh thu'!A:A, C201,'Doanh thu'!E:E)</f>
        <v>30</v>
      </c>
      <c r="I201" s="101">
        <f>F201-H201-4</f>
        <v>-1</v>
      </c>
      <c r="J201" s="103">
        <f t="shared" si="0"/>
        <v>1560000</v>
      </c>
      <c r="K201" s="104">
        <f>+ SUMIF('Doanh thu'!A:A, C201,'Doanh thu'!F:F)</f>
        <v>1560000</v>
      </c>
    </row>
    <row r="202" spans="1:11" ht="13.2">
      <c r="A202" s="372"/>
      <c r="B202" s="111">
        <v>1</v>
      </c>
      <c r="C202" s="112" t="s">
        <v>825</v>
      </c>
      <c r="D202" s="112" t="s">
        <v>826</v>
      </c>
      <c r="E202" s="111" t="s">
        <v>444</v>
      </c>
      <c r="F202" s="102">
        <f>+ SUMIF('Nhập kho T42024'!B:B, C202,'Nhập kho T42024'!F:F)</f>
        <v>25</v>
      </c>
      <c r="G202" s="100">
        <f>+ (SUMIF('Nhập kho T42024'!B:B, C202,'Nhập kho T42024'!G:G))*3500</f>
        <v>493500</v>
      </c>
      <c r="H202" s="101">
        <f>+ SUMIF('Doanh thu'!A:A, C202,'Doanh thu'!E:E)</f>
        <v>23</v>
      </c>
      <c r="I202" s="101">
        <f>F202-H202-3</f>
        <v>-1</v>
      </c>
      <c r="J202" s="103">
        <f t="shared" si="0"/>
        <v>1196000</v>
      </c>
      <c r="K202" s="104">
        <f>+ SUMIF('Doanh thu'!A:A, C202,'Doanh thu'!F:F)</f>
        <v>1196000</v>
      </c>
    </row>
    <row r="203" spans="1:11" ht="13.2">
      <c r="A203" s="372"/>
      <c r="B203" s="111">
        <v>1</v>
      </c>
      <c r="C203" s="112" t="s">
        <v>827</v>
      </c>
      <c r="D203" s="112" t="s">
        <v>828</v>
      </c>
      <c r="E203" s="111" t="s">
        <v>444</v>
      </c>
      <c r="F203" s="102">
        <f>+ SUMIF('Nhập kho T42024'!B:B, C203,'Nhập kho T42024'!F:F)</f>
        <v>60</v>
      </c>
      <c r="G203" s="100">
        <f>+ (SUMIF('Nhập kho T42024'!B:B, C203,'Nhập kho T42024'!G:G))*3500</f>
        <v>997500</v>
      </c>
      <c r="H203" s="101">
        <f>+ SUMIF('Doanh thu'!A:A, C203,'Doanh thu'!E:E)</f>
        <v>15</v>
      </c>
      <c r="I203" s="101">
        <f>F203-H203-51+1</f>
        <v>-5</v>
      </c>
      <c r="J203" s="103">
        <f t="shared" si="0"/>
        <v>780000</v>
      </c>
      <c r="K203" s="104">
        <f>+ SUMIF('Doanh thu'!A:A, C203,'Doanh thu'!F:F)</f>
        <v>780000</v>
      </c>
    </row>
    <row r="204" spans="1:11" ht="13.2">
      <c r="A204" s="372"/>
      <c r="B204" s="111">
        <v>1</v>
      </c>
      <c r="C204" s="112" t="s">
        <v>829</v>
      </c>
      <c r="D204" s="112" t="s">
        <v>799</v>
      </c>
      <c r="E204" s="111" t="s">
        <v>444</v>
      </c>
      <c r="F204" s="102">
        <f>+ SUMIF('Nhập kho T42024'!B:B, C204,'Nhập kho T42024'!F:F)</f>
        <v>10</v>
      </c>
      <c r="G204" s="100">
        <f>+ (SUMIF('Nhập kho T42024'!B:B, C204,'Nhập kho T42024'!G:G))*3500</f>
        <v>199500</v>
      </c>
      <c r="H204" s="101">
        <f>+ SUMIF('Doanh thu'!A:A, C204,'Doanh thu'!E:E)</f>
        <v>11</v>
      </c>
      <c r="I204" s="101">
        <f>F204-H204-1</f>
        <v>-2</v>
      </c>
      <c r="J204" s="103">
        <f t="shared" si="0"/>
        <v>572000</v>
      </c>
      <c r="K204" s="104">
        <f>+ SUMIF('Doanh thu'!A:A, C204,'Doanh thu'!F:F)</f>
        <v>572000</v>
      </c>
    </row>
    <row r="205" spans="1:11" ht="13.2">
      <c r="A205" s="372"/>
      <c r="B205" s="111"/>
      <c r="C205" s="112" t="s">
        <v>830</v>
      </c>
      <c r="D205" s="112" t="s">
        <v>831</v>
      </c>
      <c r="E205" s="111" t="s">
        <v>444</v>
      </c>
      <c r="F205" s="102">
        <f>+ SUMIF('Nhập kho T42024'!B:B, C205,'Nhập kho T42024'!F:F)</f>
        <v>14</v>
      </c>
      <c r="G205" s="100">
        <f>+ (SUMIF('Nhập kho T42024'!B:B, C205,'Nhập kho T42024'!G:G))*3500</f>
        <v>87710.000000000015</v>
      </c>
      <c r="H205" s="101">
        <f>+ SUMIF('Doanh thu'!A:A, C205,'Doanh thu'!E:E)</f>
        <v>5</v>
      </c>
      <c r="I205" s="101">
        <f t="shared" ref="I205:I208" si="34">F205-H205</f>
        <v>9</v>
      </c>
      <c r="J205" s="103">
        <f t="shared" si="0"/>
        <v>90000</v>
      </c>
      <c r="K205" s="104">
        <f>+ SUMIF('Doanh thu'!A:A, C205,'Doanh thu'!F:F)</f>
        <v>90000</v>
      </c>
    </row>
    <row r="206" spans="1:11" ht="13.2">
      <c r="A206" s="372"/>
      <c r="B206" s="111"/>
      <c r="C206" s="112" t="s">
        <v>832</v>
      </c>
      <c r="D206" s="112" t="s">
        <v>833</v>
      </c>
      <c r="E206" s="111" t="s">
        <v>444</v>
      </c>
      <c r="F206" s="102">
        <f>+ SUMIF('Nhập kho T42024'!B:B, C206,'Nhập kho T42024'!F:F)</f>
        <v>14</v>
      </c>
      <c r="G206" s="100">
        <f>+ (SUMIF('Nhập kho T42024'!B:B, C206,'Nhập kho T42024'!G:G))*3500</f>
        <v>87710.000000000015</v>
      </c>
      <c r="H206" s="101">
        <f>+ SUMIF('Doanh thu'!A:A, C206,'Doanh thu'!E:E)</f>
        <v>6</v>
      </c>
      <c r="I206" s="101">
        <f t="shared" si="34"/>
        <v>8</v>
      </c>
      <c r="J206" s="103">
        <f t="shared" si="0"/>
        <v>108000</v>
      </c>
      <c r="K206" s="104">
        <f>+ SUMIF('Doanh thu'!A:A, C206,'Doanh thu'!F:F)</f>
        <v>108000</v>
      </c>
    </row>
    <row r="207" spans="1:11" ht="13.2">
      <c r="A207" s="372"/>
      <c r="B207" s="111"/>
      <c r="C207" s="112" t="s">
        <v>834</v>
      </c>
      <c r="D207" s="118" t="s">
        <v>835</v>
      </c>
      <c r="E207" s="111" t="s">
        <v>444</v>
      </c>
      <c r="F207" s="102">
        <f>+ SUMIF('Nhập kho T42024'!B:B, C207,'Nhập kho T42024'!F:F)</f>
        <v>14</v>
      </c>
      <c r="G207" s="100">
        <f>+ (SUMIF('Nhập kho T42024'!B:B, C207,'Nhập kho T42024'!G:G))*3500</f>
        <v>87710.000000000015</v>
      </c>
      <c r="H207" s="101">
        <f>+ SUMIF('Doanh thu'!A:A, C207,'Doanh thu'!E:E)</f>
        <v>8</v>
      </c>
      <c r="I207" s="101">
        <f t="shared" si="34"/>
        <v>6</v>
      </c>
      <c r="J207" s="103">
        <f t="shared" si="0"/>
        <v>144000</v>
      </c>
      <c r="K207" s="104">
        <f>+ SUMIF('Doanh thu'!A:A, C207,'Doanh thu'!F:F)</f>
        <v>144000</v>
      </c>
    </row>
    <row r="208" spans="1:11" ht="13.2">
      <c r="A208" s="373"/>
      <c r="B208" s="111"/>
      <c r="C208" s="112" t="s">
        <v>836</v>
      </c>
      <c r="D208" s="118" t="s">
        <v>837</v>
      </c>
      <c r="E208" s="111" t="s">
        <v>444</v>
      </c>
      <c r="F208" s="102">
        <f>+ SUMIF('Nhập kho T42024'!B:B, C208,'Nhập kho T42024'!F:F)</f>
        <v>12</v>
      </c>
      <c r="G208" s="100">
        <f>+ (SUMIF('Nhập kho T42024'!B:B, C208,'Nhập kho T42024'!G:G))*3500</f>
        <v>75180</v>
      </c>
      <c r="H208" s="101">
        <f>+ SUMIF('Doanh thu'!A:A, C208,'Doanh thu'!E:E)</f>
        <v>4</v>
      </c>
      <c r="I208" s="101">
        <f t="shared" si="34"/>
        <v>8</v>
      </c>
      <c r="J208" s="103">
        <f t="shared" si="0"/>
        <v>72000</v>
      </c>
      <c r="K208" s="104">
        <f>+ SUMIF('Doanh thu'!A:A, C208,'Doanh thu'!F:F)</f>
        <v>72000</v>
      </c>
    </row>
    <row r="209" spans="1:11" ht="13.2">
      <c r="A209" s="391" t="s">
        <v>838</v>
      </c>
      <c r="B209" s="101">
        <v>1</v>
      </c>
      <c r="C209" s="119" t="s">
        <v>839</v>
      </c>
      <c r="D209" s="119" t="s">
        <v>840</v>
      </c>
      <c r="E209" s="120" t="s">
        <v>841</v>
      </c>
      <c r="F209" s="102">
        <f>+ SUMIF('Nhập kho T42024'!B:B, C209,'Nhập kho T42024'!F:F)</f>
        <v>0</v>
      </c>
      <c r="G209" s="100">
        <f>+ (SUMIF('Nhập kho T42024'!B:B, C209,'Nhập kho T42024'!G:G))*3500</f>
        <v>0</v>
      </c>
      <c r="H209" s="101">
        <f>+ SUMIF('Doanh thu'!A:A, C209,'Doanh thu'!E:E)</f>
        <v>0</v>
      </c>
      <c r="I209" s="101">
        <f>F209-H209+5</f>
        <v>5</v>
      </c>
      <c r="J209" s="103">
        <f t="shared" si="0"/>
        <v>0</v>
      </c>
      <c r="K209" s="104">
        <f>+ SUMIF('Doanh thu'!A:A, C209,'Doanh thu'!F:F)</f>
        <v>0</v>
      </c>
    </row>
    <row r="210" spans="1:11" ht="13.2">
      <c r="A210" s="372"/>
      <c r="B210" s="101">
        <v>1</v>
      </c>
      <c r="C210" s="119" t="s">
        <v>842</v>
      </c>
      <c r="D210" s="119" t="s">
        <v>843</v>
      </c>
      <c r="E210" s="122" t="s">
        <v>841</v>
      </c>
      <c r="F210" s="102">
        <f>+ SUMIF('Nhập kho T42024'!B:B, C210,'Nhập kho T42024'!F:F)</f>
        <v>0</v>
      </c>
      <c r="G210" s="100">
        <f>+ (SUMIF('Nhập kho T42024'!B:B, C210,'Nhập kho T42024'!G:G))*3500</f>
        <v>0</v>
      </c>
      <c r="H210" s="101">
        <f>+ SUMIF('Doanh thu'!A:A, C210,'Doanh thu'!E:E)</f>
        <v>2</v>
      </c>
      <c r="I210" s="101">
        <f>F210-H210+6</f>
        <v>4</v>
      </c>
      <c r="J210" s="103">
        <f t="shared" si="0"/>
        <v>22000</v>
      </c>
      <c r="K210" s="104">
        <f>+ SUMIF('Doanh thu'!A:A, C210,'Doanh thu'!F:F)</f>
        <v>22000</v>
      </c>
    </row>
    <row r="211" spans="1:11" ht="13.2">
      <c r="A211" s="372"/>
      <c r="B211" s="101">
        <v>1</v>
      </c>
      <c r="C211" s="119" t="s">
        <v>844</v>
      </c>
      <c r="D211" s="119" t="s">
        <v>845</v>
      </c>
      <c r="E211" s="122" t="s">
        <v>841</v>
      </c>
      <c r="F211" s="102">
        <f>+ SUMIF('Nhập kho T42024'!B:B, C211,'Nhập kho T42024'!F:F)</f>
        <v>0</v>
      </c>
      <c r="G211" s="100">
        <f>+ (SUMIF('Nhập kho T42024'!B:B, C211,'Nhập kho T42024'!G:G))*3500</f>
        <v>0</v>
      </c>
      <c r="H211" s="101">
        <f>+ SUMIF('Doanh thu'!A:A, C211,'Doanh thu'!E:E)</f>
        <v>3</v>
      </c>
      <c r="I211" s="101">
        <f>F211-H211+5</f>
        <v>2</v>
      </c>
      <c r="J211" s="103">
        <f t="shared" si="0"/>
        <v>33000</v>
      </c>
      <c r="K211" s="104">
        <f>+ SUMIF('Doanh thu'!A:A, C211,'Doanh thu'!F:F)</f>
        <v>33000</v>
      </c>
    </row>
    <row r="212" spans="1:11" ht="13.2">
      <c r="A212" s="372"/>
      <c r="B212" s="101">
        <v>1</v>
      </c>
      <c r="C212" s="119" t="s">
        <v>846</v>
      </c>
      <c r="D212" s="119" t="s">
        <v>847</v>
      </c>
      <c r="E212" s="122" t="s">
        <v>841</v>
      </c>
      <c r="F212" s="102">
        <f>+ SUMIF('Nhập kho T42024'!B:B, C212,'Nhập kho T42024'!F:F)</f>
        <v>0</v>
      </c>
      <c r="G212" s="100">
        <f>+ (SUMIF('Nhập kho T42024'!B:B, C212,'Nhập kho T42024'!G:G))*3500</f>
        <v>0</v>
      </c>
      <c r="H212" s="101">
        <f>+ SUMIF('Doanh thu'!A:A, C212,'Doanh thu'!E:E)</f>
        <v>0</v>
      </c>
      <c r="I212" s="101">
        <f>F212-H212+4</f>
        <v>4</v>
      </c>
      <c r="J212" s="103">
        <f t="shared" si="0"/>
        <v>0</v>
      </c>
      <c r="K212" s="104">
        <f>+ SUMIF('Doanh thu'!A:A, C212,'Doanh thu'!F:F)</f>
        <v>0</v>
      </c>
    </row>
    <row r="213" spans="1:11" ht="13.2">
      <c r="A213" s="372"/>
      <c r="B213" s="101">
        <v>1</v>
      </c>
      <c r="C213" s="119" t="s">
        <v>848</v>
      </c>
      <c r="D213" s="119" t="s">
        <v>849</v>
      </c>
      <c r="E213" s="122" t="s">
        <v>841</v>
      </c>
      <c r="F213" s="102">
        <f>+ SUMIF('Nhập kho T42024'!B:B, C213,'Nhập kho T42024'!F:F)</f>
        <v>0</v>
      </c>
      <c r="G213" s="100">
        <f>+ (SUMIF('Nhập kho T42024'!B:B, C213,'Nhập kho T42024'!G:G))*3500</f>
        <v>0</v>
      </c>
      <c r="H213" s="101">
        <f>+ SUMIF('Doanh thu'!A:A, C213,'Doanh thu'!E:E)</f>
        <v>1</v>
      </c>
      <c r="I213" s="101">
        <f t="shared" ref="I213:I214" si="35">F213-H213+3</f>
        <v>2</v>
      </c>
      <c r="J213" s="103">
        <f t="shared" si="0"/>
        <v>11000</v>
      </c>
      <c r="K213" s="104">
        <f>+ SUMIF('Doanh thu'!A:A, C213,'Doanh thu'!F:F)</f>
        <v>11000</v>
      </c>
    </row>
    <row r="214" spans="1:11" ht="13.2">
      <c r="A214" s="372"/>
      <c r="B214" s="101">
        <v>1</v>
      </c>
      <c r="C214" s="119" t="s">
        <v>850</v>
      </c>
      <c r="D214" s="119" t="s">
        <v>851</v>
      </c>
      <c r="E214" s="122" t="s">
        <v>841</v>
      </c>
      <c r="F214" s="102">
        <f>+ SUMIF('Nhập kho T42024'!B:B, C214,'Nhập kho T42024'!F:F)</f>
        <v>0</v>
      </c>
      <c r="G214" s="100">
        <f>+ (SUMIF('Nhập kho T42024'!B:B, C214,'Nhập kho T42024'!G:G))*3500</f>
        <v>0</v>
      </c>
      <c r="H214" s="101">
        <f>+ SUMIF('Doanh thu'!A:A, C214,'Doanh thu'!E:E)</f>
        <v>2</v>
      </c>
      <c r="I214" s="101">
        <f t="shared" si="35"/>
        <v>1</v>
      </c>
      <c r="J214" s="103">
        <f t="shared" si="0"/>
        <v>22000</v>
      </c>
      <c r="K214" s="104">
        <f>+ SUMIF('Doanh thu'!A:A, C214,'Doanh thu'!F:F)</f>
        <v>22000</v>
      </c>
    </row>
    <row r="215" spans="1:11" ht="13.2">
      <c r="A215" s="372"/>
      <c r="B215" s="101">
        <v>1</v>
      </c>
      <c r="C215" s="119" t="s">
        <v>852</v>
      </c>
      <c r="D215" s="119" t="s">
        <v>853</v>
      </c>
      <c r="E215" s="122" t="s">
        <v>841</v>
      </c>
      <c r="F215" s="102">
        <f>+ SUMIF('Nhập kho T42024'!B:B, C215,'Nhập kho T42024'!F:F)</f>
        <v>0</v>
      </c>
      <c r="G215" s="100">
        <f>+ (SUMIF('Nhập kho T42024'!B:B, C215,'Nhập kho T42024'!G:G))*3500</f>
        <v>0</v>
      </c>
      <c r="H215" s="101">
        <f>+ SUMIF('Doanh thu'!A:A, C215,'Doanh thu'!E:E)</f>
        <v>7</v>
      </c>
      <c r="I215" s="101">
        <f>F215-H215+10</f>
        <v>3</v>
      </c>
      <c r="J215" s="103">
        <f t="shared" si="0"/>
        <v>77000</v>
      </c>
      <c r="K215" s="104">
        <f>+ SUMIF('Doanh thu'!A:A, C215,'Doanh thu'!F:F)</f>
        <v>77000</v>
      </c>
    </row>
    <row r="216" spans="1:11" ht="13.2">
      <c r="A216" s="372"/>
      <c r="B216" s="101">
        <v>1</v>
      </c>
      <c r="C216" s="119" t="s">
        <v>854</v>
      </c>
      <c r="D216" s="119" t="s">
        <v>855</v>
      </c>
      <c r="E216" s="120" t="s">
        <v>841</v>
      </c>
      <c r="F216" s="102">
        <f>+ SUMIF('Nhập kho T42024'!B:B, C216,'Nhập kho T42024'!F:F)</f>
        <v>0</v>
      </c>
      <c r="G216" s="100">
        <f>+ (SUMIF('Nhập kho T42024'!B:B, C216,'Nhập kho T42024'!G:G))*3500</f>
        <v>0</v>
      </c>
      <c r="H216" s="101">
        <f>+ SUMIF('Doanh thu'!A:A, C216,'Doanh thu'!E:E)</f>
        <v>1</v>
      </c>
      <c r="I216" s="101">
        <f>F216-H216+3</f>
        <v>2</v>
      </c>
      <c r="J216" s="103">
        <f t="shared" si="0"/>
        <v>11000</v>
      </c>
      <c r="K216" s="104">
        <f>+ SUMIF('Doanh thu'!A:A, C216,'Doanh thu'!F:F)</f>
        <v>11000</v>
      </c>
    </row>
    <row r="217" spans="1:11" ht="13.2">
      <c r="A217" s="372"/>
      <c r="B217" s="101">
        <v>1</v>
      </c>
      <c r="C217" s="119" t="s">
        <v>856</v>
      </c>
      <c r="D217" s="119" t="s">
        <v>857</v>
      </c>
      <c r="E217" s="120" t="s">
        <v>841</v>
      </c>
      <c r="F217" s="102">
        <f>+ SUMIF('Nhập kho T42024'!B:B, C217,'Nhập kho T42024'!F:F)</f>
        <v>0</v>
      </c>
      <c r="G217" s="100">
        <f>+ (SUMIF('Nhập kho T42024'!B:B, C217,'Nhập kho T42024'!G:G))*3500</f>
        <v>0</v>
      </c>
      <c r="H217" s="101">
        <f>+ SUMIF('Doanh thu'!A:A, C217,'Doanh thu'!E:E)</f>
        <v>0</v>
      </c>
      <c r="I217" s="101">
        <f>F217-H217+7</f>
        <v>7</v>
      </c>
      <c r="J217" s="103">
        <f t="shared" si="0"/>
        <v>0</v>
      </c>
      <c r="K217" s="104">
        <f>+ SUMIF('Doanh thu'!A:A, C217,'Doanh thu'!F:F)</f>
        <v>0</v>
      </c>
    </row>
    <row r="218" spans="1:11" ht="13.2">
      <c r="A218" s="372"/>
      <c r="B218" s="101">
        <v>1</v>
      </c>
      <c r="C218" s="119" t="s">
        <v>858</v>
      </c>
      <c r="D218" s="119" t="s">
        <v>859</v>
      </c>
      <c r="E218" s="120" t="s">
        <v>841</v>
      </c>
      <c r="F218" s="102">
        <f>+ SUMIF('Nhập kho T42024'!B:B, C218,'Nhập kho T42024'!F:F)</f>
        <v>0</v>
      </c>
      <c r="G218" s="100">
        <f>+ (SUMIF('Nhập kho T42024'!B:B, C218,'Nhập kho T42024'!G:G))*3500</f>
        <v>0</v>
      </c>
      <c r="H218" s="101">
        <f>+ SUMIF('Doanh thu'!A:A, C218,'Doanh thu'!E:E)</f>
        <v>2</v>
      </c>
      <c r="I218" s="101">
        <f>F218-H218+3</f>
        <v>1</v>
      </c>
      <c r="J218" s="103">
        <f t="shared" si="0"/>
        <v>21000</v>
      </c>
      <c r="K218" s="104">
        <f>+ SUMIF('Doanh thu'!A:A, C218,'Doanh thu'!F:F)</f>
        <v>21000</v>
      </c>
    </row>
    <row r="219" spans="1:11" ht="13.2">
      <c r="A219" s="372"/>
      <c r="B219" s="101">
        <v>1</v>
      </c>
      <c r="C219" s="119" t="s">
        <v>860</v>
      </c>
      <c r="D219" s="119" t="s">
        <v>861</v>
      </c>
      <c r="E219" s="123" t="s">
        <v>444</v>
      </c>
      <c r="F219" s="102">
        <f>+ SUMIF('Nhập kho T42024'!B:B, C219,'Nhập kho T42024'!F:F)</f>
        <v>20</v>
      </c>
      <c r="G219" s="100">
        <f>+ (SUMIF('Nhập kho T42024'!B:B, C219,'Nhập kho T42024'!G:G))*3500</f>
        <v>49000</v>
      </c>
      <c r="H219" s="101">
        <f>+ SUMIF('Doanh thu'!A:A, C219,'Doanh thu'!E:E)</f>
        <v>2</v>
      </c>
      <c r="I219" s="101">
        <f>F219-H219+2</f>
        <v>20</v>
      </c>
      <c r="J219" s="103">
        <f t="shared" si="0"/>
        <v>18000</v>
      </c>
      <c r="K219" s="104">
        <f>+ SUMIF('Doanh thu'!A:A, C219,'Doanh thu'!F:F)</f>
        <v>18000</v>
      </c>
    </row>
    <row r="220" spans="1:11" ht="13.2">
      <c r="A220" s="372"/>
      <c r="B220" s="101">
        <v>1</v>
      </c>
      <c r="C220" s="119" t="s">
        <v>862</v>
      </c>
      <c r="D220" s="119" t="s">
        <v>863</v>
      </c>
      <c r="E220" s="123" t="s">
        <v>444</v>
      </c>
      <c r="F220" s="102">
        <f>+ SUMIF('Nhập kho T42024'!B:B, C220,'Nhập kho T42024'!F:F)</f>
        <v>20</v>
      </c>
      <c r="G220" s="100">
        <f>+ (SUMIF('Nhập kho T42024'!B:B, C220,'Nhập kho T42024'!G:G))*3500</f>
        <v>49000</v>
      </c>
      <c r="H220" s="101">
        <f>+ SUMIF('Doanh thu'!A:A, C220,'Doanh thu'!E:E)</f>
        <v>1</v>
      </c>
      <c r="I220" s="101">
        <f t="shared" ref="I220:I221" si="36">F220-H220+1</f>
        <v>20</v>
      </c>
      <c r="J220" s="103">
        <f t="shared" si="0"/>
        <v>9000</v>
      </c>
      <c r="K220" s="104">
        <f>+ SUMIF('Doanh thu'!A:A, C220,'Doanh thu'!F:F)</f>
        <v>9000</v>
      </c>
    </row>
    <row r="221" spans="1:11" ht="13.2">
      <c r="A221" s="372"/>
      <c r="B221" s="101">
        <v>1</v>
      </c>
      <c r="C221" s="119" t="s">
        <v>864</v>
      </c>
      <c r="D221" s="119" t="s">
        <v>865</v>
      </c>
      <c r="E221" s="123" t="s">
        <v>444</v>
      </c>
      <c r="F221" s="102">
        <f>+ SUMIF('Nhập kho T42024'!B:B, C221,'Nhập kho T42024'!F:F)</f>
        <v>20</v>
      </c>
      <c r="G221" s="100">
        <f>+ (SUMIF('Nhập kho T42024'!B:B, C221,'Nhập kho T42024'!G:G))*3500</f>
        <v>49000</v>
      </c>
      <c r="H221" s="101">
        <f>+ SUMIF('Doanh thu'!A:A, C221,'Doanh thu'!E:E)</f>
        <v>4</v>
      </c>
      <c r="I221" s="101">
        <f t="shared" si="36"/>
        <v>17</v>
      </c>
      <c r="J221" s="103">
        <f t="shared" si="0"/>
        <v>36000</v>
      </c>
      <c r="K221" s="104">
        <f>+ SUMIF('Doanh thu'!A:A, C221,'Doanh thu'!F:F)</f>
        <v>36000</v>
      </c>
    </row>
    <row r="222" spans="1:11" ht="13.2">
      <c r="A222" s="372"/>
      <c r="B222" s="101">
        <v>1</v>
      </c>
      <c r="C222" s="119" t="s">
        <v>866</v>
      </c>
      <c r="D222" s="119" t="s">
        <v>867</v>
      </c>
      <c r="E222" s="123" t="s">
        <v>444</v>
      </c>
      <c r="F222" s="102">
        <f>+ SUMIF('Nhập kho T42024'!B:B, C222,'Nhập kho T42024'!F:F)</f>
        <v>20</v>
      </c>
      <c r="G222" s="100">
        <f>+ (SUMIF('Nhập kho T42024'!B:B, C222,'Nhập kho T42024'!G:G))*3500</f>
        <v>49000</v>
      </c>
      <c r="H222" s="101">
        <f>+ SUMIF('Doanh thu'!A:A, C222,'Doanh thu'!E:E)</f>
        <v>7</v>
      </c>
      <c r="I222" s="101">
        <f>F222-H222+2</f>
        <v>15</v>
      </c>
      <c r="J222" s="103">
        <f t="shared" si="0"/>
        <v>63000</v>
      </c>
      <c r="K222" s="104">
        <f>+ SUMIF('Doanh thu'!A:A, C222,'Doanh thu'!F:F)</f>
        <v>63000</v>
      </c>
    </row>
    <row r="223" spans="1:11" ht="13.2">
      <c r="A223" s="372"/>
      <c r="B223" s="101">
        <v>1</v>
      </c>
      <c r="C223" s="119" t="s">
        <v>868</v>
      </c>
      <c r="D223" s="119" t="s">
        <v>869</v>
      </c>
      <c r="E223" s="123" t="s">
        <v>444</v>
      </c>
      <c r="F223" s="102">
        <f>+ SUMIF('Nhập kho T42024'!B:B, C223,'Nhập kho T42024'!F:F)</f>
        <v>20</v>
      </c>
      <c r="G223" s="100">
        <f>+ (SUMIF('Nhập kho T42024'!B:B, C223,'Nhập kho T42024'!G:G))*3500</f>
        <v>49000</v>
      </c>
      <c r="H223" s="101">
        <f>+ SUMIF('Doanh thu'!A:A, C223,'Doanh thu'!E:E)</f>
        <v>0</v>
      </c>
      <c r="I223" s="101">
        <f>F223-H223</f>
        <v>20</v>
      </c>
      <c r="J223" s="103">
        <f t="shared" si="0"/>
        <v>0</v>
      </c>
      <c r="K223" s="104">
        <f>+ SUMIF('Doanh thu'!A:A, C223,'Doanh thu'!F:F)</f>
        <v>0</v>
      </c>
    </row>
    <row r="224" spans="1:11" ht="13.2">
      <c r="A224" s="372"/>
      <c r="B224" s="101">
        <v>1</v>
      </c>
      <c r="C224" s="119" t="s">
        <v>870</v>
      </c>
      <c r="D224" s="119" t="s">
        <v>871</v>
      </c>
      <c r="E224" s="123" t="s">
        <v>444</v>
      </c>
      <c r="F224" s="102">
        <f>+ SUMIF('Nhập kho T42024'!B:B, C224,'Nhập kho T42024'!F:F)</f>
        <v>19</v>
      </c>
      <c r="G224" s="100">
        <f>+ (SUMIF('Nhập kho T42024'!B:B, C224,'Nhập kho T42024'!G:G))*3500</f>
        <v>46549.999999999993</v>
      </c>
      <c r="H224" s="101">
        <f>+ SUMIF('Doanh thu'!A:A, C224,'Doanh thu'!E:E)</f>
        <v>9</v>
      </c>
      <c r="I224" s="101">
        <f>F224-H224+2</f>
        <v>12</v>
      </c>
      <c r="J224" s="103">
        <f t="shared" si="0"/>
        <v>81000</v>
      </c>
      <c r="K224" s="104">
        <f>+ SUMIF('Doanh thu'!A:A, C224,'Doanh thu'!F:F)</f>
        <v>81000</v>
      </c>
    </row>
    <row r="225" spans="1:30" ht="13.2">
      <c r="A225" s="372"/>
      <c r="B225" s="101">
        <v>1</v>
      </c>
      <c r="C225" s="119" t="s">
        <v>872</v>
      </c>
      <c r="D225" s="119" t="s">
        <v>873</v>
      </c>
      <c r="E225" s="123" t="s">
        <v>444</v>
      </c>
      <c r="F225" s="102">
        <f>+ SUMIF('Nhập kho T42024'!B:B, C225,'Nhập kho T42024'!F:F)</f>
        <v>0</v>
      </c>
      <c r="G225" s="100">
        <f>+ (SUMIF('Nhập kho T42024'!B:B, C225,'Nhập kho T42024'!G:G))*3500</f>
        <v>0</v>
      </c>
      <c r="H225" s="101">
        <f>+ SUMIF('Doanh thu'!A:A, C225,'Doanh thu'!E:E)</f>
        <v>3</v>
      </c>
      <c r="I225" s="101">
        <f>F225-H225+3</f>
        <v>0</v>
      </c>
      <c r="J225" s="103">
        <f t="shared" si="0"/>
        <v>27000</v>
      </c>
      <c r="K225" s="104">
        <f>+ SUMIF('Doanh thu'!A:A, C225,'Doanh thu'!F:F)</f>
        <v>27000</v>
      </c>
    </row>
    <row r="226" spans="1:30" ht="13.2">
      <c r="A226" s="372"/>
      <c r="B226" s="101">
        <v>1</v>
      </c>
      <c r="C226" s="119" t="s">
        <v>874</v>
      </c>
      <c r="D226" s="119" t="s">
        <v>875</v>
      </c>
      <c r="E226" s="123" t="s">
        <v>444</v>
      </c>
      <c r="F226" s="102">
        <f>+ SUMIF('Nhập kho T42024'!B:B, C226,'Nhập kho T42024'!F:F)</f>
        <v>0</v>
      </c>
      <c r="G226" s="100">
        <f>+ (SUMIF('Nhập kho T42024'!B:B, C226,'Nhập kho T42024'!G:G))*3500</f>
        <v>0</v>
      </c>
      <c r="H226" s="101">
        <f>+ SUMIF('Doanh thu'!A:A, C226,'Doanh thu'!E:E)</f>
        <v>1</v>
      </c>
      <c r="I226" s="101">
        <f>F226-H226+1</f>
        <v>0</v>
      </c>
      <c r="J226" s="103">
        <f t="shared" si="0"/>
        <v>9000</v>
      </c>
      <c r="K226" s="104">
        <f>+ SUMIF('Doanh thu'!A:A, C226,'Doanh thu'!F:F)</f>
        <v>9000</v>
      </c>
    </row>
    <row r="227" spans="1:30" ht="13.2">
      <c r="A227" s="372"/>
      <c r="B227" s="101">
        <v>1</v>
      </c>
      <c r="C227" s="119" t="s">
        <v>876</v>
      </c>
      <c r="D227" s="119" t="s">
        <v>877</v>
      </c>
      <c r="E227" s="123" t="s">
        <v>444</v>
      </c>
      <c r="F227" s="102">
        <f>+ SUMIF('Nhập kho T42024'!B:B, C227,'Nhập kho T42024'!F:F)</f>
        <v>0</v>
      </c>
      <c r="G227" s="100">
        <f>+ (SUMIF('Nhập kho T42024'!B:B, C227,'Nhập kho T42024'!G:G))*3500</f>
        <v>0</v>
      </c>
      <c r="H227" s="101">
        <f>+ SUMIF('Doanh thu'!A:A, C227,'Doanh thu'!E:E)</f>
        <v>4</v>
      </c>
      <c r="I227" s="101">
        <f>F227-H227+4</f>
        <v>0</v>
      </c>
      <c r="J227" s="103">
        <f t="shared" si="0"/>
        <v>36000</v>
      </c>
      <c r="K227" s="104">
        <f>+ SUMIF('Doanh thu'!A:A, C227,'Doanh thu'!F:F)</f>
        <v>36000</v>
      </c>
    </row>
    <row r="228" spans="1:30" ht="13.2">
      <c r="A228" s="372"/>
      <c r="B228" s="101">
        <v>1</v>
      </c>
      <c r="C228" s="119" t="s">
        <v>878</v>
      </c>
      <c r="D228" s="119" t="s">
        <v>879</v>
      </c>
      <c r="E228" s="123" t="s">
        <v>444</v>
      </c>
      <c r="F228" s="102">
        <f>+ SUMIF('Nhập kho T42024'!B:B, C228,'Nhập kho T42024'!F:F)</f>
        <v>0</v>
      </c>
      <c r="G228" s="100">
        <f>+ (SUMIF('Nhập kho T42024'!B:B, C228,'Nhập kho T42024'!G:G))*3500</f>
        <v>0</v>
      </c>
      <c r="H228" s="101">
        <f>+ SUMIF('Doanh thu'!A:A, C228,'Doanh thu'!E:E)</f>
        <v>0</v>
      </c>
      <c r="I228" s="101">
        <f t="shared" ref="I228:I229" si="37">F228-H228</f>
        <v>0</v>
      </c>
      <c r="J228" s="103">
        <f t="shared" si="0"/>
        <v>0</v>
      </c>
      <c r="K228" s="104">
        <f>+ SUMIF('Doanh thu'!A:A, C228,'Doanh thu'!F:F)</f>
        <v>0</v>
      </c>
    </row>
    <row r="229" spans="1:30" ht="13.2">
      <c r="A229" s="372"/>
      <c r="B229" s="101">
        <v>1</v>
      </c>
      <c r="C229" s="119" t="s">
        <v>880</v>
      </c>
      <c r="D229" s="119" t="s">
        <v>881</v>
      </c>
      <c r="E229" s="123" t="s">
        <v>444</v>
      </c>
      <c r="F229" s="102">
        <f>+ SUMIF('Nhập kho T42024'!B:B, C229,'Nhập kho T42024'!F:F)</f>
        <v>0</v>
      </c>
      <c r="G229" s="100">
        <f>+ (SUMIF('Nhập kho T42024'!B:B, C229,'Nhập kho T42024'!G:G))*3500</f>
        <v>0</v>
      </c>
      <c r="H229" s="101">
        <f>+ SUMIF('Doanh thu'!A:A, C229,'Doanh thu'!E:E)</f>
        <v>0</v>
      </c>
      <c r="I229" s="101">
        <f t="shared" si="37"/>
        <v>0</v>
      </c>
      <c r="J229" s="103">
        <f t="shared" si="0"/>
        <v>0</v>
      </c>
      <c r="K229" s="104">
        <f>+ SUMIF('Doanh thu'!A:A, C229,'Doanh thu'!F:F)</f>
        <v>0</v>
      </c>
    </row>
    <row r="230" spans="1:30" ht="13.2">
      <c r="A230" s="373"/>
      <c r="B230" s="101">
        <v>1</v>
      </c>
      <c r="C230" s="119" t="s">
        <v>882</v>
      </c>
      <c r="D230" s="119" t="s">
        <v>883</v>
      </c>
      <c r="E230" s="123" t="s">
        <v>444</v>
      </c>
      <c r="F230" s="102">
        <f>+ SUMIF('Nhập kho T42024'!B:B, C230,'Nhập kho T42024'!F:F)</f>
        <v>0</v>
      </c>
      <c r="G230" s="100">
        <f>+ (SUMIF('Nhập kho T42024'!B:B, C230,'Nhập kho T42024'!G:G))*3500</f>
        <v>0</v>
      </c>
      <c r="H230" s="101">
        <f>+ SUMIF('Doanh thu'!A:A, C230,'Doanh thu'!E:E)</f>
        <v>3</v>
      </c>
      <c r="I230" s="101">
        <f>F230-H230+3</f>
        <v>0</v>
      </c>
      <c r="J230" s="103">
        <f t="shared" si="0"/>
        <v>27000</v>
      </c>
      <c r="K230" s="104">
        <f>+ SUMIF('Doanh thu'!A:A, C230,'Doanh thu'!F:F)</f>
        <v>27000</v>
      </c>
    </row>
    <row r="231" spans="1:30" ht="13.2">
      <c r="A231" s="392" t="s">
        <v>884</v>
      </c>
      <c r="B231" s="101">
        <v>1</v>
      </c>
      <c r="C231" s="124" t="s">
        <v>885</v>
      </c>
      <c r="D231" s="124" t="s">
        <v>886</v>
      </c>
      <c r="E231" s="101" t="s">
        <v>444</v>
      </c>
      <c r="F231" s="102">
        <f>+ SUMIF('Nhập kho T42024'!B:B, C231,'Nhập kho T42024'!F:F)</f>
        <v>51</v>
      </c>
      <c r="G231" s="100">
        <f>+ (SUMIF('Nhập kho T42024'!B:B, C231,'Nhập kho T42024'!G:G))*3500</f>
        <v>476490.00000000006</v>
      </c>
      <c r="H231" s="101">
        <f>+ SUMIF('Doanh thu'!A:A, C231,'Doanh thu'!E:E)</f>
        <v>42</v>
      </c>
      <c r="I231" s="101">
        <f>F231-H231+5</f>
        <v>14</v>
      </c>
      <c r="J231" s="103">
        <f t="shared" si="0"/>
        <v>2490075</v>
      </c>
      <c r="K231" s="104">
        <f>+ SUMIF('Doanh thu'!A:A, C231,'Doanh thu'!F:F)</f>
        <v>2490075</v>
      </c>
    </row>
    <row r="232" spans="1:30" ht="13.2">
      <c r="A232" s="369"/>
      <c r="B232" s="101">
        <v>1</v>
      </c>
      <c r="C232" s="124" t="s">
        <v>887</v>
      </c>
      <c r="D232" s="124" t="s">
        <v>888</v>
      </c>
      <c r="E232" s="101" t="s">
        <v>444</v>
      </c>
      <c r="F232" s="102">
        <f>+ SUMIF('Nhập kho T42024'!B:B, C232,'Nhập kho T42024'!F:F)</f>
        <v>48</v>
      </c>
      <c r="G232" s="100">
        <f>+ (SUMIF('Nhập kho T42024'!B:B, C232,'Nhập kho T42024'!G:G))*3500</f>
        <v>397635.00000000006</v>
      </c>
      <c r="H232" s="101">
        <f>+ SUMIF('Doanh thu'!A:A, C232,'Doanh thu'!E:E)</f>
        <v>42</v>
      </c>
      <c r="I232" s="101">
        <f>F232-H232+3</f>
        <v>9</v>
      </c>
      <c r="J232" s="103">
        <f t="shared" si="0"/>
        <v>2484720</v>
      </c>
      <c r="K232" s="104">
        <f>+ SUMIF('Doanh thu'!A:A, C232,'Doanh thu'!F:F)</f>
        <v>2484720</v>
      </c>
    </row>
    <row r="233" spans="1:30" ht="13.2">
      <c r="A233" s="369"/>
      <c r="B233" s="101">
        <v>1</v>
      </c>
      <c r="C233" s="124" t="s">
        <v>889</v>
      </c>
      <c r="D233" s="124" t="s">
        <v>890</v>
      </c>
      <c r="E233" s="101" t="s">
        <v>444</v>
      </c>
      <c r="F233" s="102">
        <f>+ SUMIF('Nhập kho T42024'!B:B, C233,'Nhập kho T42024'!F:F)</f>
        <v>29</v>
      </c>
      <c r="G233" s="100">
        <f>+ (SUMIF('Nhập kho T42024'!B:B, C233,'Nhập kho T42024'!G:G))*3500</f>
        <v>556710</v>
      </c>
      <c r="H233" s="101">
        <f>+ SUMIF('Doanh thu'!A:A, C233,'Doanh thu'!E:E)</f>
        <v>27</v>
      </c>
      <c r="I233" s="101">
        <f>F233-H233+6</f>
        <v>8</v>
      </c>
      <c r="J233" s="103">
        <f t="shared" si="0"/>
        <v>1735050</v>
      </c>
      <c r="K233" s="104">
        <f>+ SUMIF('Doanh thu'!A:A, C233,'Doanh thu'!F:F)</f>
        <v>1735050</v>
      </c>
    </row>
    <row r="234" spans="1:30" ht="13.2">
      <c r="A234" s="369"/>
      <c r="B234" s="101">
        <v>1</v>
      </c>
      <c r="C234" s="124" t="s">
        <v>891</v>
      </c>
      <c r="D234" s="124" t="s">
        <v>892</v>
      </c>
      <c r="E234" s="101" t="s">
        <v>444</v>
      </c>
      <c r="F234" s="102">
        <f>+ SUMIF('Nhập kho T42024'!B:B, C234,'Nhập kho T42024'!F:F)</f>
        <v>169</v>
      </c>
      <c r="G234" s="100">
        <f>+ (SUMIF('Nhập kho T42024'!B:B, C234,'Nhập kho T42024'!G:G))*3500</f>
        <v>1521450</v>
      </c>
      <c r="H234" s="101">
        <f>+ SUMIF('Doanh thu'!A:A, C234,'Doanh thu'!E:E)</f>
        <v>157</v>
      </c>
      <c r="I234" s="101">
        <f>F234-H234+4</f>
        <v>16</v>
      </c>
      <c r="J234" s="103">
        <f t="shared" si="0"/>
        <v>9353925</v>
      </c>
      <c r="K234" s="104">
        <f>+ SUMIF('Doanh thu'!A:A, C234,'Doanh thu'!F:F)</f>
        <v>9353925</v>
      </c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</row>
    <row r="235" spans="1:30" ht="13.2">
      <c r="A235" s="369"/>
      <c r="B235" s="101">
        <v>1</v>
      </c>
      <c r="C235" s="124" t="s">
        <v>893</v>
      </c>
      <c r="D235" s="124" t="s">
        <v>894</v>
      </c>
      <c r="E235" s="101" t="s">
        <v>444</v>
      </c>
      <c r="F235" s="102">
        <f>+ SUMIF('Nhập kho T42024'!B:B, C235,'Nhập kho T42024'!F:F)</f>
        <v>43</v>
      </c>
      <c r="G235" s="100">
        <f>+ (SUMIF('Nhập kho T42024'!B:B, C235,'Nhập kho T42024'!G:G))*3500</f>
        <v>666330</v>
      </c>
      <c r="H235" s="101">
        <f>+ SUMIF('Doanh thu'!A:A, C235,'Doanh thu'!E:E)</f>
        <v>57</v>
      </c>
      <c r="I235" s="101">
        <f>F235-H235+12</f>
        <v>-2</v>
      </c>
      <c r="J235" s="103">
        <f t="shared" si="0"/>
        <v>3653925</v>
      </c>
      <c r="K235" s="104">
        <f>+ SUMIF('Doanh thu'!A:A, C235,'Doanh thu'!F:F)</f>
        <v>3653925</v>
      </c>
    </row>
    <row r="236" spans="1:30" ht="13.2">
      <c r="A236" s="369"/>
      <c r="B236" s="101">
        <v>1</v>
      </c>
      <c r="C236" s="124" t="s">
        <v>895</v>
      </c>
      <c r="D236" s="124" t="s">
        <v>896</v>
      </c>
      <c r="E236" s="101" t="s">
        <v>444</v>
      </c>
      <c r="F236" s="102">
        <f>+ SUMIF('Nhập kho T42024'!B:B, C236,'Nhập kho T42024'!F:F)</f>
        <v>90</v>
      </c>
      <c r="G236" s="100">
        <f>+ (SUMIF('Nhập kho T42024'!B:B, C236,'Nhập kho T42024'!G:G))*3500</f>
        <v>1000300</v>
      </c>
      <c r="H236" s="101">
        <f>+ SUMIF('Doanh thu'!A:A, C236,'Doanh thu'!E:E)</f>
        <v>94</v>
      </c>
      <c r="I236" s="101">
        <f>F236-H236+5</f>
        <v>1</v>
      </c>
      <c r="J236" s="103">
        <f t="shared" si="0"/>
        <v>5564440</v>
      </c>
      <c r="K236" s="104">
        <f>+ SUMIF('Doanh thu'!A:A, C236,'Doanh thu'!F:F)</f>
        <v>5564440</v>
      </c>
    </row>
    <row r="237" spans="1:30" ht="13.2">
      <c r="A237" s="369"/>
      <c r="B237" s="101">
        <v>1</v>
      </c>
      <c r="C237" s="124" t="s">
        <v>897</v>
      </c>
      <c r="D237" s="124" t="s">
        <v>898</v>
      </c>
      <c r="E237" s="101" t="s">
        <v>444</v>
      </c>
      <c r="F237" s="102">
        <f>+ SUMIF('Nhập kho T42024'!B:B, C237,'Nhập kho T42024'!F:F)</f>
        <v>31</v>
      </c>
      <c r="G237" s="100">
        <f>+ (SUMIF('Nhập kho T42024'!B:B, C237,'Nhập kho T42024'!G:G))*3500</f>
        <v>313950.00000000006</v>
      </c>
      <c r="H237" s="101">
        <f>+ SUMIF('Doanh thu'!A:A, C237,'Doanh thu'!E:E)</f>
        <v>38</v>
      </c>
      <c r="I237" s="101">
        <f>F237-H237+12</f>
        <v>5</v>
      </c>
      <c r="J237" s="103">
        <f t="shared" si="0"/>
        <v>2441325</v>
      </c>
      <c r="K237" s="104">
        <f>+ SUMIF('Doanh thu'!A:A, C237,'Doanh thu'!F:F)</f>
        <v>2441325</v>
      </c>
    </row>
    <row r="238" spans="1:30" ht="13.2">
      <c r="A238" s="369"/>
      <c r="B238" s="101">
        <v>1</v>
      </c>
      <c r="C238" s="222" t="s">
        <v>903</v>
      </c>
      <c r="D238" s="222" t="s">
        <v>2129</v>
      </c>
      <c r="E238" s="223" t="s">
        <v>444</v>
      </c>
      <c r="F238" s="224">
        <f>+ SUMIF('Nhập kho T42024'!B:B, C238,'Nhập kho T42024'!F:F)</f>
        <v>17</v>
      </c>
      <c r="G238" s="100">
        <f>+ (SUMIF('Nhập kho T42024'!B:B, C238,'Nhập kho T42024'!G:G))*3500</f>
        <v>503370.00000000006</v>
      </c>
      <c r="H238" s="223">
        <f>+ SUMIF('Doanh thu'!A:A, C238,'Doanh thu'!E:E)</f>
        <v>17</v>
      </c>
      <c r="I238" s="223">
        <f t="shared" ref="I238:I239" si="38">F238-H238</f>
        <v>0</v>
      </c>
      <c r="J238" s="225">
        <f t="shared" si="0"/>
        <v>1096500</v>
      </c>
      <c r="K238" s="226">
        <f>+ SUMIF('Doanh thu'!A:A, C238,'Doanh thu'!F:F)</f>
        <v>1096500</v>
      </c>
    </row>
    <row r="239" spans="1:30" ht="13.2">
      <c r="A239" s="369"/>
      <c r="B239" s="101">
        <v>1</v>
      </c>
      <c r="C239" s="28" t="s">
        <v>905</v>
      </c>
      <c r="D239" s="28" t="s">
        <v>906</v>
      </c>
      <c r="E239" s="101" t="s">
        <v>444</v>
      </c>
      <c r="F239" s="102">
        <f>+ SUMIF('Nhập kho T42024'!B:B, C239,'Nhập kho T42024'!F:F)</f>
        <v>35</v>
      </c>
      <c r="G239" s="100">
        <f>+ (SUMIF('Nhập kho T42024'!B:B, C239,'Nhập kho T42024'!G:G))*3500</f>
        <v>468090.00000000006</v>
      </c>
      <c r="H239" s="101">
        <f>+ SUMIF('Doanh thu'!A:A, C239,'Doanh thu'!E:E)</f>
        <v>28</v>
      </c>
      <c r="I239" s="101">
        <f t="shared" si="38"/>
        <v>7</v>
      </c>
      <c r="J239" s="103">
        <f t="shared" si="0"/>
        <v>1806000</v>
      </c>
      <c r="K239" s="104">
        <f>+ SUMIF('Doanh thu'!A:A, C239,'Doanh thu'!F:F)</f>
        <v>1806000</v>
      </c>
    </row>
    <row r="240" spans="1:30" ht="13.2">
      <c r="A240" s="369"/>
      <c r="B240" s="101">
        <v>1</v>
      </c>
      <c r="C240" s="28" t="s">
        <v>907</v>
      </c>
      <c r="D240" s="28" t="s">
        <v>908</v>
      </c>
      <c r="E240" s="101" t="s">
        <v>444</v>
      </c>
      <c r="F240" s="102">
        <f>+ SUMIF('Nhập kho T42024'!B:B, C240,'Nhập kho T42024'!F:F)</f>
        <v>17</v>
      </c>
      <c r="G240" s="100">
        <f>+ (SUMIF('Nhập kho T42024'!B:B, C240,'Nhập kho T42024'!G:G))*3500</f>
        <v>197120</v>
      </c>
      <c r="H240" s="101">
        <f>+ SUMIF('Doanh thu'!A:A, C240,'Doanh thu'!E:E)</f>
        <v>11</v>
      </c>
      <c r="I240" s="101">
        <f>F240-H240+14</f>
        <v>20</v>
      </c>
      <c r="J240" s="103">
        <f t="shared" si="0"/>
        <v>509340</v>
      </c>
      <c r="K240" s="104">
        <f>+ SUMIF('Doanh thu'!A:A, C240,'Doanh thu'!F:F)</f>
        <v>509340</v>
      </c>
    </row>
    <row r="241" spans="1:11" ht="13.2">
      <c r="A241" s="369"/>
      <c r="B241" s="101">
        <v>1</v>
      </c>
      <c r="C241" s="28" t="s">
        <v>909</v>
      </c>
      <c r="D241" s="28" t="s">
        <v>910</v>
      </c>
      <c r="E241" s="101" t="s">
        <v>444</v>
      </c>
      <c r="F241" s="102">
        <f>+ SUMIF('Nhập kho T42024'!B:B, C241,'Nhập kho T42024'!F:F)</f>
        <v>2</v>
      </c>
      <c r="G241" s="100">
        <f>+ (SUMIF('Nhập kho T42024'!B:B, C241,'Nhập kho T42024'!G:G))*3500</f>
        <v>32690</v>
      </c>
      <c r="H241" s="101">
        <f>+ SUMIF('Doanh thu'!A:A, C241,'Doanh thu'!E:E)</f>
        <v>3</v>
      </c>
      <c r="I241" s="101">
        <f>F241-H241+1</f>
        <v>0</v>
      </c>
      <c r="J241" s="103">
        <f t="shared" si="0"/>
        <v>135000</v>
      </c>
      <c r="K241" s="104">
        <f>+ SUMIF('Doanh thu'!A:A, C241,'Doanh thu'!F:F)</f>
        <v>135000</v>
      </c>
    </row>
    <row r="242" spans="1:11" ht="13.2">
      <c r="A242" s="369"/>
      <c r="B242" s="101">
        <v>1</v>
      </c>
      <c r="C242" s="28" t="s">
        <v>911</v>
      </c>
      <c r="D242" s="28" t="s">
        <v>912</v>
      </c>
      <c r="E242" s="101" t="s">
        <v>444</v>
      </c>
      <c r="F242" s="102">
        <f>+ SUMIF('Nhập kho T42024'!B:B, C242,'Nhập kho T42024'!F:F)</f>
        <v>10</v>
      </c>
      <c r="G242" s="100">
        <f>+ (SUMIF('Nhập kho T42024'!B:B, C242,'Nhập kho T42024'!G:G))*3500</f>
        <v>82145</v>
      </c>
      <c r="H242" s="101">
        <f>+ SUMIF('Doanh thu'!A:A, C242,'Doanh thu'!E:E)</f>
        <v>10</v>
      </c>
      <c r="I242" s="101">
        <f>F242-H242+17</f>
        <v>17</v>
      </c>
      <c r="J242" s="103">
        <f t="shared" si="0"/>
        <v>450000</v>
      </c>
      <c r="K242" s="104">
        <f>+ SUMIF('Doanh thu'!A:A, C242,'Doanh thu'!F:F)</f>
        <v>450000</v>
      </c>
    </row>
    <row r="243" spans="1:11" ht="13.2">
      <c r="A243" s="369"/>
      <c r="B243" s="101">
        <v>1</v>
      </c>
      <c r="C243" s="28" t="s">
        <v>913</v>
      </c>
      <c r="D243" s="28" t="s">
        <v>914</v>
      </c>
      <c r="E243" s="101" t="s">
        <v>444</v>
      </c>
      <c r="F243" s="102">
        <f>+ SUMIF('Nhập kho T42024'!B:B, C243,'Nhập kho T42024'!F:F)</f>
        <v>21</v>
      </c>
      <c r="G243" s="100">
        <f>+ (SUMIF('Nhập kho T42024'!B:B, C243,'Nhập kho T42024'!G:G))*3500</f>
        <v>180495</v>
      </c>
      <c r="H243" s="101">
        <f>+ SUMIF('Doanh thu'!A:A, C243,'Doanh thu'!E:E)</f>
        <v>25</v>
      </c>
      <c r="I243" s="101">
        <f>F243-H243+22</f>
        <v>18</v>
      </c>
      <c r="J243" s="103">
        <f t="shared" si="0"/>
        <v>1125000</v>
      </c>
      <c r="K243" s="104">
        <f>+ SUMIF('Doanh thu'!A:A, C243,'Doanh thu'!F:F)</f>
        <v>1125000</v>
      </c>
    </row>
    <row r="244" spans="1:11" ht="13.2">
      <c r="A244" s="369"/>
      <c r="B244" s="101">
        <v>1</v>
      </c>
      <c r="C244" s="28" t="s">
        <v>915</v>
      </c>
      <c r="D244" s="28" t="s">
        <v>916</v>
      </c>
      <c r="E244" s="101" t="s">
        <v>444</v>
      </c>
      <c r="F244" s="102">
        <f>+ SUMIF('Nhập kho T42024'!B:B, C244,'Nhập kho T42024'!F:F)</f>
        <v>160</v>
      </c>
      <c r="G244" s="100">
        <f>+ (SUMIF('Nhập kho T42024'!B:B, C244,'Nhập kho T42024'!G:G))*3500</f>
        <v>1804250</v>
      </c>
      <c r="H244" s="101">
        <f>+ SUMIF('Doanh thu'!A:A, C244,'Doanh thu'!E:E)</f>
        <v>101</v>
      </c>
      <c r="I244" s="101">
        <f>F244-H244</f>
        <v>59</v>
      </c>
      <c r="J244" s="103">
        <f t="shared" si="0"/>
        <v>4557360</v>
      </c>
      <c r="K244" s="104">
        <f>+ SUMIF('Doanh thu'!A:A, C244,'Doanh thu'!F:F)</f>
        <v>4557360</v>
      </c>
    </row>
    <row r="245" spans="1:11" ht="13.2">
      <c r="A245" s="369"/>
      <c r="B245" s="101">
        <v>1</v>
      </c>
      <c r="C245" s="28" t="s">
        <v>917</v>
      </c>
      <c r="D245" s="28" t="s">
        <v>918</v>
      </c>
      <c r="E245" s="101" t="s">
        <v>444</v>
      </c>
      <c r="F245" s="102">
        <f>+ SUMIF('Nhập kho T42024'!B:B, C245,'Nhập kho T42024'!F:F)</f>
        <v>24</v>
      </c>
      <c r="G245" s="100">
        <f>+ (SUMIF('Nhập kho T42024'!B:B, C245,'Nhập kho T42024'!G:G))*3500</f>
        <v>229950</v>
      </c>
      <c r="H245" s="101">
        <f>+ SUMIF('Doanh thu'!A:A, C245,'Doanh thu'!E:E)</f>
        <v>35</v>
      </c>
      <c r="I245" s="101">
        <f>F245-H245+24</f>
        <v>13</v>
      </c>
      <c r="J245" s="103">
        <f t="shared" si="0"/>
        <v>1575000</v>
      </c>
      <c r="K245" s="104">
        <f>+ SUMIF('Doanh thu'!A:A, C245,'Doanh thu'!F:F)</f>
        <v>1575000</v>
      </c>
    </row>
    <row r="246" spans="1:11" ht="13.2">
      <c r="A246" s="369"/>
      <c r="B246" s="101">
        <v>1</v>
      </c>
      <c r="C246" s="28" t="s">
        <v>919</v>
      </c>
      <c r="D246" s="28" t="s">
        <v>920</v>
      </c>
      <c r="E246" s="101" t="s">
        <v>444</v>
      </c>
      <c r="F246" s="102">
        <f>+ SUMIF('Nhập kho T42024'!B:B, C246,'Nhập kho T42024'!F:F)</f>
        <v>20</v>
      </c>
      <c r="G246" s="100">
        <f>+ (SUMIF('Nhập kho T42024'!B:B, C246,'Nhập kho T42024'!G:G))*3500</f>
        <v>247275.00000000003</v>
      </c>
      <c r="H246" s="101">
        <f>+ SUMIF('Doanh thu'!A:A, C246,'Doanh thu'!E:E)</f>
        <v>16</v>
      </c>
      <c r="I246" s="101">
        <f>F246-H246</f>
        <v>4</v>
      </c>
      <c r="J246" s="103">
        <f t="shared" si="0"/>
        <v>720000</v>
      </c>
      <c r="K246" s="104">
        <f>+ SUMIF('Doanh thu'!A:A, C246,'Doanh thu'!F:F)</f>
        <v>720000</v>
      </c>
    </row>
    <row r="247" spans="1:11" ht="13.2">
      <c r="A247" s="369"/>
      <c r="B247" s="101">
        <v>1</v>
      </c>
      <c r="C247" s="28" t="s">
        <v>923</v>
      </c>
      <c r="D247" s="28" t="s">
        <v>924</v>
      </c>
      <c r="E247" s="101" t="s">
        <v>444</v>
      </c>
      <c r="F247" s="102">
        <f>+ SUMIF('Nhập kho T42024'!B:B, C247,'Nhập kho T42024'!F:F)</f>
        <v>0</v>
      </c>
      <c r="G247" s="100">
        <f>+ (SUMIF('Nhập kho T42024'!B:B, C247,'Nhập kho T42024'!G:G))*3500</f>
        <v>0</v>
      </c>
      <c r="H247" s="101">
        <f>+ SUMIF('Doanh thu'!A:A, C247,'Doanh thu'!E:E)</f>
        <v>6</v>
      </c>
      <c r="I247" s="101">
        <f t="shared" ref="I247:I248" si="39">F247-H247+3</f>
        <v>-3</v>
      </c>
      <c r="J247" s="103">
        <f t="shared" si="0"/>
        <v>854400</v>
      </c>
      <c r="K247" s="104">
        <f>+ SUMIF('Doanh thu'!A:A, C247,'Doanh thu'!F:F)</f>
        <v>854400</v>
      </c>
    </row>
    <row r="248" spans="1:11" ht="13.2">
      <c r="A248" s="369"/>
      <c r="B248" s="101">
        <v>1</v>
      </c>
      <c r="C248" s="28" t="s">
        <v>925</v>
      </c>
      <c r="D248" s="28" t="s">
        <v>926</v>
      </c>
      <c r="E248" s="101" t="s">
        <v>444</v>
      </c>
      <c r="F248" s="102">
        <f>+ SUMIF('Nhập kho T42024'!B:B, C248,'Nhập kho T42024'!F:F)</f>
        <v>0</v>
      </c>
      <c r="G248" s="100">
        <f>+ (SUMIF('Nhập kho T42024'!B:B, C248,'Nhập kho T42024'!G:G))*3500</f>
        <v>0</v>
      </c>
      <c r="H248" s="101">
        <f>+ SUMIF('Doanh thu'!A:A, C248,'Doanh thu'!E:E)</f>
        <v>7</v>
      </c>
      <c r="I248" s="101">
        <f t="shared" si="39"/>
        <v>-4</v>
      </c>
      <c r="J248" s="103">
        <f t="shared" si="0"/>
        <v>996800</v>
      </c>
      <c r="K248" s="104">
        <f>+ SUMIF('Doanh thu'!A:A, C248,'Doanh thu'!F:F)</f>
        <v>996800</v>
      </c>
    </row>
    <row r="249" spans="1:11" ht="13.2">
      <c r="A249" s="369"/>
      <c r="B249" s="101">
        <v>1</v>
      </c>
      <c r="C249" s="28" t="s">
        <v>927</v>
      </c>
      <c r="D249" s="28" t="s">
        <v>928</v>
      </c>
      <c r="E249" s="101" t="s">
        <v>444</v>
      </c>
      <c r="F249" s="102">
        <f>+ SUMIF('Nhập kho T42024'!B:B, C249,'Nhập kho T42024'!F:F)</f>
        <v>0</v>
      </c>
      <c r="G249" s="100">
        <f>+ (SUMIF('Nhập kho T42024'!B:B, C249,'Nhập kho T42024'!G:G))*3500</f>
        <v>0</v>
      </c>
      <c r="H249" s="101">
        <f>+ SUMIF('Doanh thu'!A:A, C249,'Doanh thu'!E:E)</f>
        <v>7</v>
      </c>
      <c r="I249" s="101">
        <f>F249-H249+5</f>
        <v>-2</v>
      </c>
      <c r="J249" s="103">
        <f t="shared" si="0"/>
        <v>996800</v>
      </c>
      <c r="K249" s="104">
        <f>+ SUMIF('Doanh thu'!A:A, C249,'Doanh thu'!F:F)</f>
        <v>996800</v>
      </c>
    </row>
    <row r="250" spans="1:11" ht="13.2">
      <c r="A250" s="369"/>
      <c r="B250" s="101">
        <v>1</v>
      </c>
      <c r="C250" s="28" t="s">
        <v>929</v>
      </c>
      <c r="D250" s="28" t="s">
        <v>930</v>
      </c>
      <c r="E250" s="101" t="s">
        <v>444</v>
      </c>
      <c r="F250" s="102">
        <f>+ SUMIF('Nhập kho T42024'!B:B, C250,'Nhập kho T42024'!F:F)</f>
        <v>0</v>
      </c>
      <c r="G250" s="100">
        <f>+ (SUMIF('Nhập kho T42024'!B:B, C250,'Nhập kho T42024'!G:G))*3500</f>
        <v>0</v>
      </c>
      <c r="H250" s="101">
        <f>+ SUMIF('Doanh thu'!A:A, C250,'Doanh thu'!E:E)</f>
        <v>6</v>
      </c>
      <c r="I250" s="101">
        <f t="shared" ref="I250:I251" si="40">F250-H250+4</f>
        <v>-2</v>
      </c>
      <c r="J250" s="103">
        <f t="shared" si="0"/>
        <v>854400</v>
      </c>
      <c r="K250" s="104">
        <f>+ SUMIF('Doanh thu'!A:A, C250,'Doanh thu'!F:F)</f>
        <v>854400</v>
      </c>
    </row>
    <row r="251" spans="1:11" ht="13.2">
      <c r="A251" s="369"/>
      <c r="B251" s="101">
        <v>1</v>
      </c>
      <c r="C251" s="28" t="s">
        <v>931</v>
      </c>
      <c r="D251" s="28" t="s">
        <v>932</v>
      </c>
      <c r="E251" s="101" t="s">
        <v>444</v>
      </c>
      <c r="F251" s="102">
        <f>+ SUMIF('Nhập kho T42024'!B:B, C251,'Nhập kho T42024'!F:F)</f>
        <v>0</v>
      </c>
      <c r="G251" s="100">
        <f>+ (SUMIF('Nhập kho T42024'!B:B, C251,'Nhập kho T42024'!G:G))*3500</f>
        <v>0</v>
      </c>
      <c r="H251" s="101">
        <f>+ SUMIF('Doanh thu'!A:A, C251,'Doanh thu'!E:E)</f>
        <v>5</v>
      </c>
      <c r="I251" s="101">
        <f t="shared" si="40"/>
        <v>-1</v>
      </c>
      <c r="J251" s="103">
        <f t="shared" si="0"/>
        <v>712000</v>
      </c>
      <c r="K251" s="104">
        <f>+ SUMIF('Doanh thu'!A:A, C251,'Doanh thu'!F:F)</f>
        <v>712000</v>
      </c>
    </row>
    <row r="252" spans="1:11" ht="13.2">
      <c r="A252" s="369"/>
      <c r="B252" s="101">
        <v>1</v>
      </c>
      <c r="C252" s="28" t="s">
        <v>933</v>
      </c>
      <c r="D252" s="28" t="s">
        <v>934</v>
      </c>
      <c r="E252" s="101" t="s">
        <v>444</v>
      </c>
      <c r="F252" s="102">
        <f>+ SUMIF('Nhập kho T42024'!B:B, C252,'Nhập kho T42024'!F:F)</f>
        <v>0</v>
      </c>
      <c r="G252" s="100">
        <f>+ (SUMIF('Nhập kho T42024'!B:B, C252,'Nhập kho T42024'!G:G))*3500</f>
        <v>0</v>
      </c>
      <c r="H252" s="101">
        <f>+ SUMIF('Doanh thu'!A:A, C252,'Doanh thu'!E:E)</f>
        <v>2</v>
      </c>
      <c r="I252" s="101">
        <f>F252-H252+2</f>
        <v>0</v>
      </c>
      <c r="J252" s="103">
        <f t="shared" si="0"/>
        <v>347100</v>
      </c>
      <c r="K252" s="104">
        <f>+ SUMIF('Doanh thu'!A:A, C252,'Doanh thu'!F:F)</f>
        <v>347100</v>
      </c>
    </row>
    <row r="253" spans="1:11" ht="13.2">
      <c r="A253" s="369"/>
      <c r="B253" s="101">
        <v>1</v>
      </c>
      <c r="C253" s="28" t="s">
        <v>935</v>
      </c>
      <c r="D253" s="28" t="s">
        <v>936</v>
      </c>
      <c r="E253" s="101" t="s">
        <v>444</v>
      </c>
      <c r="F253" s="102">
        <f>+ SUMIF('Nhập kho T42024'!B:B, C253,'Nhập kho T42024'!F:F)</f>
        <v>0</v>
      </c>
      <c r="G253" s="100">
        <f>+ (SUMIF('Nhập kho T42024'!B:B, C253,'Nhập kho T42024'!G:G))*3500</f>
        <v>0</v>
      </c>
      <c r="H253" s="101">
        <f>+ SUMIF('Doanh thu'!A:A, C253,'Doanh thu'!E:E)</f>
        <v>3</v>
      </c>
      <c r="I253" s="101">
        <f t="shared" ref="I253:I254" si="41">F253-H253+3</f>
        <v>0</v>
      </c>
      <c r="J253" s="103">
        <f t="shared" si="0"/>
        <v>520650</v>
      </c>
      <c r="K253" s="104">
        <f>+ SUMIF('Doanh thu'!A:A, C253,'Doanh thu'!F:F)</f>
        <v>520650</v>
      </c>
    </row>
    <row r="254" spans="1:11" ht="13.2">
      <c r="A254" s="369"/>
      <c r="B254" s="101">
        <v>1</v>
      </c>
      <c r="C254" s="28" t="s">
        <v>937</v>
      </c>
      <c r="D254" s="28" t="s">
        <v>938</v>
      </c>
      <c r="E254" s="101" t="s">
        <v>444</v>
      </c>
      <c r="F254" s="102">
        <f>+ SUMIF('Nhập kho T42024'!B:B, C254,'Nhập kho T42024'!F:F)</f>
        <v>0</v>
      </c>
      <c r="G254" s="100">
        <f>+ (SUMIF('Nhập kho T42024'!B:B, C254,'Nhập kho T42024'!G:G))*3500</f>
        <v>0</v>
      </c>
      <c r="H254" s="101">
        <f>+ SUMIF('Doanh thu'!A:A, C254,'Doanh thu'!E:E)</f>
        <v>3</v>
      </c>
      <c r="I254" s="101">
        <f t="shared" si="41"/>
        <v>0</v>
      </c>
      <c r="J254" s="103">
        <f t="shared" si="0"/>
        <v>614100</v>
      </c>
      <c r="K254" s="104">
        <f>+ SUMIF('Doanh thu'!A:A, C254,'Doanh thu'!F:F)</f>
        <v>614100</v>
      </c>
    </row>
    <row r="255" spans="1:11" ht="13.2">
      <c r="A255" s="369"/>
      <c r="B255" s="101"/>
      <c r="C255" s="28" t="s">
        <v>939</v>
      </c>
      <c r="D255" s="28" t="s">
        <v>940</v>
      </c>
      <c r="E255" s="101" t="s">
        <v>394</v>
      </c>
      <c r="F255" s="102">
        <f>+ SUMIF('Nhập kho T42024'!B:B, C255,'Nhập kho T42024'!F:F)</f>
        <v>0</v>
      </c>
      <c r="G255" s="100">
        <f>+ (SUMIF('Nhập kho T42024'!B:B, C255,'Nhập kho T42024'!G:G))*3500</f>
        <v>0</v>
      </c>
      <c r="H255" s="101">
        <f>+ SUMIF('Doanh thu'!A:A, C255,'Doanh thu'!E:E)</f>
        <v>2</v>
      </c>
      <c r="I255" s="101">
        <f>F255-H255+1</f>
        <v>-1</v>
      </c>
      <c r="J255" s="103">
        <f t="shared" si="0"/>
        <v>90000</v>
      </c>
      <c r="K255" s="104">
        <f>+ SUMIF('Doanh thu'!A:A, C255,'Doanh thu'!F:F)</f>
        <v>90000</v>
      </c>
    </row>
    <row r="256" spans="1:11" ht="13.2">
      <c r="A256" s="369"/>
      <c r="B256" s="101">
        <v>1</v>
      </c>
      <c r="C256" s="28" t="s">
        <v>941</v>
      </c>
      <c r="D256" s="28" t="s">
        <v>942</v>
      </c>
      <c r="E256" s="101" t="s">
        <v>444</v>
      </c>
      <c r="F256" s="102">
        <f>+ SUMIF('Nhập kho T42024'!B:B, C256,'Nhập kho T42024'!F:F)</f>
        <v>0</v>
      </c>
      <c r="G256" s="100">
        <f>+ (SUMIF('Nhập kho T42024'!B:B, C256,'Nhập kho T42024'!G:G))*3500</f>
        <v>0</v>
      </c>
      <c r="H256" s="101">
        <f>+ SUMIF('Doanh thu'!A:A, C256,'Doanh thu'!E:E)</f>
        <v>8</v>
      </c>
      <c r="I256" s="101">
        <f t="shared" ref="I256:I258" si="42">F256-H256+6</f>
        <v>-2</v>
      </c>
      <c r="J256" s="103">
        <f t="shared" si="0"/>
        <v>64000</v>
      </c>
      <c r="K256" s="104">
        <f>+ SUMIF('Doanh thu'!A:A, C256,'Doanh thu'!F:F)</f>
        <v>64000</v>
      </c>
    </row>
    <row r="257" spans="1:11" ht="13.2">
      <c r="A257" s="369"/>
      <c r="B257" s="101">
        <v>1</v>
      </c>
      <c r="C257" s="28" t="s">
        <v>943</v>
      </c>
      <c r="D257" s="28" t="s">
        <v>944</v>
      </c>
      <c r="E257" s="101" t="s">
        <v>444</v>
      </c>
      <c r="F257" s="102">
        <f>+ SUMIF('Nhập kho T42024'!B:B, C257,'Nhập kho T42024'!F:F)</f>
        <v>0</v>
      </c>
      <c r="G257" s="100">
        <f>+ (SUMIF('Nhập kho T42024'!B:B, C257,'Nhập kho T42024'!G:G))*3500</f>
        <v>0</v>
      </c>
      <c r="H257" s="101">
        <f>+ SUMIF('Doanh thu'!A:A, C257,'Doanh thu'!E:E)</f>
        <v>2</v>
      </c>
      <c r="I257" s="101">
        <f t="shared" si="42"/>
        <v>4</v>
      </c>
      <c r="J257" s="103">
        <f t="shared" si="0"/>
        <v>16000</v>
      </c>
      <c r="K257" s="104">
        <f>+ SUMIF('Doanh thu'!A:A, C257,'Doanh thu'!F:F)</f>
        <v>16000</v>
      </c>
    </row>
    <row r="258" spans="1:11" ht="13.2">
      <c r="A258" s="369"/>
      <c r="B258" s="101">
        <v>1</v>
      </c>
      <c r="C258" s="28" t="s">
        <v>945</v>
      </c>
      <c r="D258" s="28" t="s">
        <v>946</v>
      </c>
      <c r="E258" s="101" t="s">
        <v>444</v>
      </c>
      <c r="F258" s="102">
        <f>+ SUMIF('Nhập kho T42024'!B:B, C258,'Nhập kho T42024'!F:F)</f>
        <v>0</v>
      </c>
      <c r="G258" s="100">
        <f>+ (SUMIF('Nhập kho T42024'!B:B, C258,'Nhập kho T42024'!G:G))*3500</f>
        <v>0</v>
      </c>
      <c r="H258" s="101">
        <f>+ SUMIF('Doanh thu'!A:A, C258,'Doanh thu'!E:E)</f>
        <v>2</v>
      </c>
      <c r="I258" s="101">
        <f t="shared" si="42"/>
        <v>4</v>
      </c>
      <c r="J258" s="103">
        <f t="shared" ref="J258:J338" si="43">SUM(K258)</f>
        <v>16000</v>
      </c>
      <c r="K258" s="104">
        <f>+ SUMIF('Doanh thu'!A:A, C258,'Doanh thu'!F:F)</f>
        <v>16000</v>
      </c>
    </row>
    <row r="259" spans="1:11" ht="13.2">
      <c r="A259" s="369"/>
      <c r="B259" s="101">
        <v>1</v>
      </c>
      <c r="C259" s="28" t="s">
        <v>947</v>
      </c>
      <c r="D259" s="28" t="s">
        <v>948</v>
      </c>
      <c r="E259" s="101" t="s">
        <v>444</v>
      </c>
      <c r="F259" s="102">
        <f>+ SUMIF('Nhập kho T42024'!B:B, C259,'Nhập kho T42024'!F:F)</f>
        <v>0</v>
      </c>
      <c r="G259" s="100">
        <f>+ (SUMIF('Nhập kho T42024'!B:B, C259,'Nhập kho T42024'!G:G))*3500</f>
        <v>0</v>
      </c>
      <c r="H259" s="101">
        <f>+ SUMIF('Doanh thu'!A:A, C259,'Doanh thu'!E:E)</f>
        <v>2</v>
      </c>
      <c r="I259" s="101">
        <f t="shared" ref="I259:I260" si="44">F259-H259+5</f>
        <v>3</v>
      </c>
      <c r="J259" s="103">
        <f t="shared" si="43"/>
        <v>16000</v>
      </c>
      <c r="K259" s="104">
        <f>+ SUMIF('Doanh thu'!A:A, C259,'Doanh thu'!F:F)</f>
        <v>16000</v>
      </c>
    </row>
    <row r="260" spans="1:11" ht="13.2">
      <c r="A260" s="369"/>
      <c r="B260" s="101">
        <v>1</v>
      </c>
      <c r="C260" s="28" t="s">
        <v>949</v>
      </c>
      <c r="D260" s="28" t="s">
        <v>950</v>
      </c>
      <c r="E260" s="101" t="s">
        <v>444</v>
      </c>
      <c r="F260" s="102">
        <f>+ SUMIF('Nhập kho T42024'!B:B, C260,'Nhập kho T42024'!F:F)</f>
        <v>0</v>
      </c>
      <c r="G260" s="100">
        <f>+ (SUMIF('Nhập kho T42024'!B:B, C260,'Nhập kho T42024'!G:G))*3500</f>
        <v>0</v>
      </c>
      <c r="H260" s="101">
        <f>+ SUMIF('Doanh thu'!A:A, C260,'Doanh thu'!E:E)</f>
        <v>5</v>
      </c>
      <c r="I260" s="101">
        <f t="shared" si="44"/>
        <v>0</v>
      </c>
      <c r="J260" s="103">
        <f t="shared" si="43"/>
        <v>40000</v>
      </c>
      <c r="K260" s="104">
        <f>+ SUMIF('Doanh thu'!A:A, C260,'Doanh thu'!F:F)</f>
        <v>40000</v>
      </c>
    </row>
    <row r="261" spans="1:11" ht="13.2">
      <c r="A261" s="369"/>
      <c r="B261" s="101">
        <v>1</v>
      </c>
      <c r="C261" s="28" t="s">
        <v>951</v>
      </c>
      <c r="D261" s="28" t="s">
        <v>952</v>
      </c>
      <c r="E261" s="101" t="s">
        <v>444</v>
      </c>
      <c r="F261" s="102">
        <f>+ SUMIF('Nhập kho T42024'!B:B, C261,'Nhập kho T42024'!F:F)</f>
        <v>0</v>
      </c>
      <c r="G261" s="100">
        <f>+ (SUMIF('Nhập kho T42024'!B:B, C261,'Nhập kho T42024'!G:G))*3500</f>
        <v>0</v>
      </c>
      <c r="H261" s="101">
        <f>+ SUMIF('Doanh thu'!A:A, C261,'Doanh thu'!E:E)</f>
        <v>0</v>
      </c>
      <c r="I261" s="101">
        <f t="shared" ref="I261:I263" si="45">F261-H261</f>
        <v>0</v>
      </c>
      <c r="J261" s="103">
        <f t="shared" si="43"/>
        <v>0</v>
      </c>
      <c r="K261" s="104">
        <f>+ SUMIF('Doanh thu'!A:A, C261,'Doanh thu'!F:F)</f>
        <v>0</v>
      </c>
    </row>
    <row r="262" spans="1:11" ht="13.2">
      <c r="A262" s="369"/>
      <c r="B262" s="101">
        <v>1</v>
      </c>
      <c r="C262" s="28" t="s">
        <v>953</v>
      </c>
      <c r="D262" s="28" t="s">
        <v>954</v>
      </c>
      <c r="E262" s="101" t="s">
        <v>444</v>
      </c>
      <c r="F262" s="102">
        <f>+ SUMIF('Nhập kho T42024'!B:B, C262,'Nhập kho T42024'!F:F)</f>
        <v>0</v>
      </c>
      <c r="G262" s="100">
        <f>+ (SUMIF('Nhập kho T42024'!B:B, C262,'Nhập kho T42024'!G:G))*3500</f>
        <v>0</v>
      </c>
      <c r="H262" s="101">
        <f>+ SUMIF('Doanh thu'!A:A, C262,'Doanh thu'!E:E)</f>
        <v>0</v>
      </c>
      <c r="I262" s="101">
        <f t="shared" si="45"/>
        <v>0</v>
      </c>
      <c r="J262" s="103">
        <f t="shared" si="43"/>
        <v>0</v>
      </c>
      <c r="K262" s="104">
        <f>+ SUMIF('Doanh thu'!A:A, C262,'Doanh thu'!F:F)</f>
        <v>0</v>
      </c>
    </row>
    <row r="263" spans="1:11" ht="13.2">
      <c r="A263" s="369"/>
      <c r="B263" s="101">
        <v>1</v>
      </c>
      <c r="C263" s="28" t="s">
        <v>955</v>
      </c>
      <c r="D263" s="28" t="s">
        <v>956</v>
      </c>
      <c r="E263" s="101" t="s">
        <v>444</v>
      </c>
      <c r="F263" s="102">
        <f>+ SUMIF('Nhập kho T42024'!B:B, C263,'Nhập kho T42024'!F:F)</f>
        <v>0</v>
      </c>
      <c r="G263" s="100">
        <f>+ (SUMIF('Nhập kho T42024'!B:B, C263,'Nhập kho T42024'!G:G))*3500</f>
        <v>0</v>
      </c>
      <c r="H263" s="101">
        <f>+ SUMIF('Doanh thu'!A:A, C263,'Doanh thu'!E:E)</f>
        <v>0</v>
      </c>
      <c r="I263" s="101">
        <f t="shared" si="45"/>
        <v>0</v>
      </c>
      <c r="J263" s="103">
        <f t="shared" si="43"/>
        <v>0</v>
      </c>
      <c r="K263" s="104">
        <f>+ SUMIF('Doanh thu'!A:A, C263,'Doanh thu'!F:F)</f>
        <v>0</v>
      </c>
    </row>
    <row r="264" spans="1:11" ht="13.2">
      <c r="A264" s="127"/>
      <c r="B264" s="101">
        <v>1</v>
      </c>
      <c r="C264" s="28" t="s">
        <v>957</v>
      </c>
      <c r="D264" s="28" t="s">
        <v>958</v>
      </c>
      <c r="E264" s="101" t="s">
        <v>444</v>
      </c>
      <c r="F264" s="102">
        <f>+ SUMIF('Nhập kho T42024'!B:B, C264,'Nhập kho T42024'!F:F)</f>
        <v>0</v>
      </c>
      <c r="G264" s="100">
        <f>+ (SUMIF('Nhập kho T42024'!B:B, C264,'Nhập kho T42024'!G:G))*3500</f>
        <v>0</v>
      </c>
      <c r="H264" s="101">
        <f>+ SUMIF('Doanh thu'!A:A, C264,'Doanh thu'!E:E)</f>
        <v>3</v>
      </c>
      <c r="I264" s="101">
        <f>F264-H264+4</f>
        <v>1</v>
      </c>
      <c r="J264" s="103">
        <f t="shared" si="43"/>
        <v>465000</v>
      </c>
      <c r="K264" s="104">
        <f>+ SUMIF('Doanh thu'!A:A, C264,'Doanh thu'!F:F)</f>
        <v>465000</v>
      </c>
    </row>
    <row r="265" spans="1:11" ht="13.2">
      <c r="A265" s="127"/>
      <c r="B265" s="101">
        <v>1</v>
      </c>
      <c r="C265" s="28" t="s">
        <v>959</v>
      </c>
      <c r="D265" s="28" t="s">
        <v>960</v>
      </c>
      <c r="E265" s="101" t="s">
        <v>444</v>
      </c>
      <c r="F265" s="102">
        <f>+ SUMIF('Nhập kho T42024'!B:B, C265,'Nhập kho T42024'!F:F)</f>
        <v>0</v>
      </c>
      <c r="G265" s="100">
        <f>+ (SUMIF('Nhập kho T42024'!B:B, C265,'Nhập kho T42024'!G:G))*3500</f>
        <v>0</v>
      </c>
      <c r="H265" s="101">
        <f>+ SUMIF('Doanh thu'!A:A, C265,'Doanh thu'!E:E)</f>
        <v>3</v>
      </c>
      <c r="I265" s="101">
        <f>F265-H265+3</f>
        <v>0</v>
      </c>
      <c r="J265" s="103">
        <f t="shared" si="43"/>
        <v>465000</v>
      </c>
      <c r="K265" s="104">
        <f>+ SUMIF('Doanh thu'!A:A, C265,'Doanh thu'!F:F)</f>
        <v>465000</v>
      </c>
    </row>
    <row r="266" spans="1:11" ht="13.2">
      <c r="A266" s="127"/>
      <c r="B266" s="101">
        <v>1</v>
      </c>
      <c r="C266" s="28" t="s">
        <v>961</v>
      </c>
      <c r="D266" s="28" t="s">
        <v>962</v>
      </c>
      <c r="E266" s="101" t="s">
        <v>444</v>
      </c>
      <c r="F266" s="102">
        <f>+ SUMIF('Nhập kho T42024'!B:B, C266,'Nhập kho T42024'!F:F)</f>
        <v>0</v>
      </c>
      <c r="G266" s="100">
        <f>+ (SUMIF('Nhập kho T42024'!B:B, C266,'Nhập kho T42024'!G:G))*3500</f>
        <v>0</v>
      </c>
      <c r="H266" s="101">
        <f>+ SUMIF('Doanh thu'!A:A, C266,'Doanh thu'!E:E)</f>
        <v>4</v>
      </c>
      <c r="I266" s="101">
        <f t="shared" ref="I266:I267" si="46">F266-H266+4</f>
        <v>0</v>
      </c>
      <c r="J266" s="103">
        <f t="shared" si="43"/>
        <v>620000</v>
      </c>
      <c r="K266" s="104">
        <f>+ SUMIF('Doanh thu'!A:A, C266,'Doanh thu'!F:F)</f>
        <v>620000</v>
      </c>
    </row>
    <row r="267" spans="1:11" ht="13.2">
      <c r="A267" s="127"/>
      <c r="B267" s="101">
        <v>1</v>
      </c>
      <c r="C267" s="28" t="s">
        <v>963</v>
      </c>
      <c r="D267" s="28" t="s">
        <v>964</v>
      </c>
      <c r="E267" s="101" t="s">
        <v>444</v>
      </c>
      <c r="F267" s="102">
        <f>+ SUMIF('Nhập kho T42024'!B:B, C267,'Nhập kho T42024'!F:F)</f>
        <v>0</v>
      </c>
      <c r="G267" s="100">
        <f>+ (SUMIF('Nhập kho T42024'!B:B, C267,'Nhập kho T42024'!G:G))*3500</f>
        <v>0</v>
      </c>
      <c r="H267" s="101">
        <f>+ SUMIF('Doanh thu'!A:A, C267,'Doanh thu'!E:E)</f>
        <v>2</v>
      </c>
      <c r="I267" s="101">
        <f t="shared" si="46"/>
        <v>2</v>
      </c>
      <c r="J267" s="103">
        <f t="shared" si="43"/>
        <v>310000</v>
      </c>
      <c r="K267" s="104">
        <f>+ SUMIF('Doanh thu'!A:A, C267,'Doanh thu'!F:F)</f>
        <v>310000</v>
      </c>
    </row>
    <row r="268" spans="1:11" ht="13.2">
      <c r="A268" s="127"/>
      <c r="B268" s="101">
        <v>1</v>
      </c>
      <c r="C268" s="28" t="s">
        <v>965</v>
      </c>
      <c r="D268" s="28" t="s">
        <v>966</v>
      </c>
      <c r="E268" s="101" t="s">
        <v>444</v>
      </c>
      <c r="F268" s="102">
        <f>+ SUMIF('Nhập kho T42024'!B:B, C268,'Nhập kho T42024'!F:F)</f>
        <v>0</v>
      </c>
      <c r="G268" s="100">
        <f>+ (SUMIF('Nhập kho T42024'!B:B, C268,'Nhập kho T42024'!G:G))*3500</f>
        <v>0</v>
      </c>
      <c r="H268" s="101">
        <f>+ SUMIF('Doanh thu'!A:A, C268,'Doanh thu'!E:E)</f>
        <v>3</v>
      </c>
      <c r="I268" s="101">
        <f t="shared" ref="I268:I269" si="47">F268-H268+3</f>
        <v>0</v>
      </c>
      <c r="J268" s="103">
        <f t="shared" si="43"/>
        <v>465000</v>
      </c>
      <c r="K268" s="104">
        <f>+ SUMIF('Doanh thu'!A:A, C268,'Doanh thu'!F:F)</f>
        <v>465000</v>
      </c>
    </row>
    <row r="269" spans="1:11" ht="13.2">
      <c r="A269" s="127"/>
      <c r="B269" s="101">
        <v>1</v>
      </c>
      <c r="C269" s="28" t="s">
        <v>967</v>
      </c>
      <c r="D269" s="28" t="s">
        <v>968</v>
      </c>
      <c r="E269" s="101" t="s">
        <v>444</v>
      </c>
      <c r="F269" s="102">
        <f>+ SUMIF('Nhập kho T42024'!B:B, C269,'Nhập kho T42024'!F:F)</f>
        <v>0</v>
      </c>
      <c r="G269" s="100">
        <f>+ (SUMIF('Nhập kho T42024'!B:B, C269,'Nhập kho T42024'!G:G))*3500</f>
        <v>0</v>
      </c>
      <c r="H269" s="101">
        <f>+ SUMIF('Doanh thu'!A:A, C269,'Doanh thu'!E:E)</f>
        <v>3</v>
      </c>
      <c r="I269" s="101">
        <f t="shared" si="47"/>
        <v>0</v>
      </c>
      <c r="J269" s="103">
        <f t="shared" si="43"/>
        <v>465000</v>
      </c>
      <c r="K269" s="104">
        <f>+ SUMIF('Doanh thu'!A:A, C269,'Doanh thu'!F:F)</f>
        <v>465000</v>
      </c>
    </row>
    <row r="270" spans="1:11" ht="13.2">
      <c r="A270" s="127"/>
      <c r="B270" s="101">
        <v>1</v>
      </c>
      <c r="C270" s="28" t="s">
        <v>969</v>
      </c>
      <c r="D270" s="28" t="s">
        <v>970</v>
      </c>
      <c r="E270" s="101" t="s">
        <v>444</v>
      </c>
      <c r="F270" s="102">
        <f>+ SUMIF('Nhập kho T42024'!B:B, C270,'Nhập kho T42024'!F:F)</f>
        <v>0</v>
      </c>
      <c r="G270" s="100">
        <f>+ (SUMIF('Nhập kho T42024'!B:B, C270,'Nhập kho T42024'!G:G))*3500</f>
        <v>0</v>
      </c>
      <c r="H270" s="101">
        <f>+ SUMIF('Doanh thu'!A:A, C270,'Doanh thu'!E:E)</f>
        <v>9</v>
      </c>
      <c r="I270" s="101">
        <f>F270-H270+10</f>
        <v>1</v>
      </c>
      <c r="J270" s="103">
        <f t="shared" si="43"/>
        <v>643500</v>
      </c>
      <c r="K270" s="104">
        <f>+ SUMIF('Doanh thu'!A:A, C270,'Doanh thu'!F:F)</f>
        <v>643500</v>
      </c>
    </row>
    <row r="271" spans="1:11" ht="13.2">
      <c r="A271" s="127"/>
      <c r="B271" s="101">
        <v>1</v>
      </c>
      <c r="C271" s="28" t="s">
        <v>971</v>
      </c>
      <c r="D271" s="28" t="s">
        <v>972</v>
      </c>
      <c r="E271" s="101" t="s">
        <v>444</v>
      </c>
      <c r="F271" s="102">
        <f>+ SUMIF('Nhập kho T42024'!B:B, C271,'Nhập kho T42024'!F:F)</f>
        <v>0</v>
      </c>
      <c r="G271" s="100">
        <f>+ (SUMIF('Nhập kho T42024'!B:B, C271,'Nhập kho T42024'!G:G))*3500</f>
        <v>0</v>
      </c>
      <c r="H271" s="101">
        <f>+ SUMIF('Doanh thu'!A:A, C271,'Doanh thu'!E:E)</f>
        <v>7</v>
      </c>
      <c r="I271" s="101">
        <f>F271-H271+11</f>
        <v>4</v>
      </c>
      <c r="J271" s="103">
        <f t="shared" si="43"/>
        <v>500500</v>
      </c>
      <c r="K271" s="104">
        <f>+ SUMIF('Doanh thu'!A:A, C271,'Doanh thu'!F:F)</f>
        <v>500500</v>
      </c>
    </row>
    <row r="272" spans="1:11" ht="13.2">
      <c r="A272" s="127"/>
      <c r="B272" s="101">
        <v>1</v>
      </c>
      <c r="C272" s="28" t="s">
        <v>973</v>
      </c>
      <c r="D272" s="28" t="s">
        <v>974</v>
      </c>
      <c r="E272" s="101" t="s">
        <v>444</v>
      </c>
      <c r="F272" s="102">
        <f>+ SUMIF('Nhập kho T42024'!B:B, C272,'Nhập kho T42024'!F:F)</f>
        <v>0</v>
      </c>
      <c r="G272" s="100">
        <f>+ (SUMIF('Nhập kho T42024'!B:B, C272,'Nhập kho T42024'!G:G))*3500</f>
        <v>0</v>
      </c>
      <c r="H272" s="101">
        <f>+ SUMIF('Doanh thu'!A:A, C272,'Doanh thu'!E:E)</f>
        <v>4</v>
      </c>
      <c r="I272" s="101">
        <f>F272-H272+15</f>
        <v>11</v>
      </c>
      <c r="J272" s="103">
        <f t="shared" si="43"/>
        <v>286000</v>
      </c>
      <c r="K272" s="104">
        <f>+ SUMIF('Doanh thu'!A:A, C272,'Doanh thu'!F:F)</f>
        <v>286000</v>
      </c>
    </row>
    <row r="273" spans="1:11" ht="13.2">
      <c r="A273" s="127"/>
      <c r="B273" s="101">
        <v>1</v>
      </c>
      <c r="C273" s="28" t="s">
        <v>975</v>
      </c>
      <c r="D273" s="28" t="s">
        <v>976</v>
      </c>
      <c r="E273" s="101" t="s">
        <v>444</v>
      </c>
      <c r="F273" s="102">
        <f>+ SUMIF('Nhập kho T42024'!B:B, C273,'Nhập kho T42024'!F:F)</f>
        <v>0</v>
      </c>
      <c r="G273" s="100">
        <f>+ (SUMIF('Nhập kho T42024'!B:B, C273,'Nhập kho T42024'!G:G))*3500</f>
        <v>0</v>
      </c>
      <c r="H273" s="101">
        <f>+ SUMIF('Doanh thu'!A:A, C273,'Doanh thu'!E:E)</f>
        <v>4</v>
      </c>
      <c r="I273" s="101">
        <f>F273-H273+10</f>
        <v>6</v>
      </c>
      <c r="J273" s="103">
        <f t="shared" si="43"/>
        <v>286000</v>
      </c>
      <c r="K273" s="104">
        <f>+ SUMIF('Doanh thu'!A:A, C273,'Doanh thu'!F:F)</f>
        <v>286000</v>
      </c>
    </row>
    <row r="274" spans="1:11" ht="13.2">
      <c r="A274" s="393" t="s">
        <v>343</v>
      </c>
      <c r="B274" s="101">
        <v>1</v>
      </c>
      <c r="C274" s="28" t="s">
        <v>977</v>
      </c>
      <c r="D274" s="28" t="s">
        <v>978</v>
      </c>
      <c r="E274" s="101" t="s">
        <v>444</v>
      </c>
      <c r="F274" s="102">
        <f>+ SUMIF('Nhập kho T42024'!B:B, C274,'Nhập kho T42024'!F:F)</f>
        <v>179</v>
      </c>
      <c r="G274" s="100">
        <f>+ (SUMIF('Nhập kho T42024'!B:B, C274,'Nhập kho T42024'!G:G))*3500</f>
        <v>2241400</v>
      </c>
      <c r="H274" s="101">
        <f>+ SUMIF('Doanh thu'!A:A, C274,'Doanh thu'!E:E)</f>
        <v>131</v>
      </c>
      <c r="I274" s="101">
        <f t="shared" ref="I274:I275" si="48">F274-H274+5</f>
        <v>53</v>
      </c>
      <c r="J274" s="103">
        <f t="shared" si="43"/>
        <v>7411980</v>
      </c>
      <c r="K274" s="104">
        <f>+ SUMIF('Doanh thu'!A:A, C274,'Doanh thu'!F:F)</f>
        <v>7411980</v>
      </c>
    </row>
    <row r="275" spans="1:11" ht="13.2">
      <c r="A275" s="369"/>
      <c r="B275" s="101">
        <v>1</v>
      </c>
      <c r="C275" s="28" t="s">
        <v>979</v>
      </c>
      <c r="D275" s="28" t="s">
        <v>980</v>
      </c>
      <c r="E275" s="101" t="s">
        <v>444</v>
      </c>
      <c r="F275" s="102">
        <f>+ SUMIF('Nhập kho T42024'!B:B, C275,'Nhập kho T42024'!F:F)</f>
        <v>0</v>
      </c>
      <c r="G275" s="100">
        <f>+ (SUMIF('Nhập kho T42024'!B:B, C275,'Nhập kho T42024'!G:G))*3500</f>
        <v>0</v>
      </c>
      <c r="H275" s="101">
        <f>+ SUMIF('Doanh thu'!A:A, C275,'Doanh thu'!E:E)</f>
        <v>10</v>
      </c>
      <c r="I275" s="101">
        <f t="shared" si="48"/>
        <v>-5</v>
      </c>
      <c r="J275" s="103">
        <f t="shared" si="43"/>
        <v>507840</v>
      </c>
      <c r="K275" s="104">
        <f>+ SUMIF('Doanh thu'!A:A, C275,'Doanh thu'!F:F)</f>
        <v>507840</v>
      </c>
    </row>
    <row r="276" spans="1:11" ht="13.2">
      <c r="A276" s="369"/>
      <c r="B276" s="101">
        <v>1</v>
      </c>
      <c r="C276" s="28" t="s">
        <v>981</v>
      </c>
      <c r="D276" s="28" t="s">
        <v>982</v>
      </c>
      <c r="E276" s="101" t="s">
        <v>444</v>
      </c>
      <c r="F276" s="102">
        <f>+ SUMIF('Nhập kho T42024'!B:B, C276,'Nhập kho T42024'!F:F)</f>
        <v>119</v>
      </c>
      <c r="G276" s="100">
        <f>+ (SUMIF('Nhập kho T42024'!B:B, C276,'Nhập kho T42024'!G:G))*3500</f>
        <v>879130</v>
      </c>
      <c r="H276" s="101">
        <f>+ SUMIF('Doanh thu'!A:A, C276,'Doanh thu'!E:E)</f>
        <v>40</v>
      </c>
      <c r="I276" s="101">
        <f>F276-H276-4</f>
        <v>75</v>
      </c>
      <c r="J276" s="103">
        <f t="shared" si="43"/>
        <v>2263200</v>
      </c>
      <c r="K276" s="104">
        <f>+ SUMIF('Doanh thu'!A:A, C276,'Doanh thu'!F:F)</f>
        <v>2263200</v>
      </c>
    </row>
    <row r="277" spans="1:11" ht="13.2">
      <c r="A277" s="369"/>
      <c r="B277" s="101">
        <v>1</v>
      </c>
      <c r="C277" s="28" t="s">
        <v>983</v>
      </c>
      <c r="D277" s="28" t="s">
        <v>984</v>
      </c>
      <c r="E277" s="101" t="s">
        <v>444</v>
      </c>
      <c r="F277" s="102">
        <f>+ SUMIF('Nhập kho T42024'!B:B, C277,'Nhập kho T42024'!F:F)</f>
        <v>0</v>
      </c>
      <c r="G277" s="100">
        <f>+ (SUMIF('Nhập kho T42024'!B:B, C277,'Nhập kho T42024'!G:G))*3500</f>
        <v>0</v>
      </c>
      <c r="H277" s="101">
        <f>+ SUMIF('Doanh thu'!A:A, C277,'Doanh thu'!E:E)</f>
        <v>0</v>
      </c>
      <c r="I277" s="101">
        <f>F277-H277</f>
        <v>0</v>
      </c>
      <c r="J277" s="103">
        <f t="shared" si="43"/>
        <v>0</v>
      </c>
      <c r="K277" s="104">
        <f>+ SUMIF('Doanh thu'!A:A, C277,'Doanh thu'!F:F)</f>
        <v>0</v>
      </c>
    </row>
    <row r="278" spans="1:11" ht="13.2">
      <c r="A278" s="369"/>
      <c r="B278" s="101">
        <v>1</v>
      </c>
      <c r="C278" s="28" t="s">
        <v>985</v>
      </c>
      <c r="D278" s="28" t="s">
        <v>986</v>
      </c>
      <c r="E278" s="101" t="s">
        <v>444</v>
      </c>
      <c r="F278" s="102">
        <f>+ SUMIF('Nhập kho T42024'!B:B, C278,'Nhập kho T42024'!F:F)</f>
        <v>30</v>
      </c>
      <c r="G278" s="100">
        <f>+ (SUMIF('Nhập kho T42024'!B:B, C278,'Nhập kho T42024'!G:G))*3500</f>
        <v>269360</v>
      </c>
      <c r="H278" s="101">
        <f>+ SUMIF('Doanh thu'!A:A, C278,'Doanh thu'!E:E)</f>
        <v>11</v>
      </c>
      <c r="I278" s="101">
        <f>F278-H278+4</f>
        <v>23</v>
      </c>
      <c r="J278" s="103">
        <f t="shared" si="43"/>
        <v>622380</v>
      </c>
      <c r="K278" s="104">
        <f>+ SUMIF('Doanh thu'!A:A, C278,'Doanh thu'!F:F)</f>
        <v>622380</v>
      </c>
    </row>
    <row r="279" spans="1:11" ht="13.2">
      <c r="A279" s="369"/>
      <c r="B279" s="101">
        <v>1</v>
      </c>
      <c r="C279" s="28" t="s">
        <v>987</v>
      </c>
      <c r="D279" s="28" t="s">
        <v>988</v>
      </c>
      <c r="E279" s="101" t="s">
        <v>444</v>
      </c>
      <c r="F279" s="102">
        <f>+ SUMIF('Nhập kho T42024'!B:B, C279,'Nhập kho T42024'!F:F)</f>
        <v>51</v>
      </c>
      <c r="G279" s="100">
        <f>+ (SUMIF('Nhập kho T42024'!B:B, C279,'Nhập kho T42024'!G:G))*3500</f>
        <v>884240</v>
      </c>
      <c r="H279" s="101">
        <f>+ SUMIF('Doanh thu'!A:A, C279,'Doanh thu'!E:E)</f>
        <v>21</v>
      </c>
      <c r="I279" s="101">
        <f>F279-H279-12</f>
        <v>18</v>
      </c>
      <c r="J279" s="103">
        <f t="shared" si="43"/>
        <v>1188180</v>
      </c>
      <c r="K279" s="104">
        <f>+ SUMIF('Doanh thu'!A:A, C279,'Doanh thu'!F:F)</f>
        <v>1188180</v>
      </c>
    </row>
    <row r="280" spans="1:11" ht="13.2">
      <c r="B280" s="101">
        <v>1</v>
      </c>
      <c r="C280" s="28" t="s">
        <v>989</v>
      </c>
      <c r="D280" s="28" t="s">
        <v>990</v>
      </c>
      <c r="E280" s="101" t="s">
        <v>444</v>
      </c>
      <c r="F280" s="102">
        <f>+ SUMIF('Nhập kho T42024'!B:B, C280,'Nhập kho T42024'!F:F)</f>
        <v>136</v>
      </c>
      <c r="G280" s="100">
        <f>+ (SUMIF('Nhập kho T42024'!B:B, C280,'Nhập kho T42024'!G:G))*3500</f>
        <v>1347360</v>
      </c>
      <c r="H280" s="101">
        <f>+ SUMIF('Doanh thu'!A:A, C280,'Doanh thu'!E:E)</f>
        <v>58</v>
      </c>
      <c r="I280" s="101">
        <f>F280-H280-10</f>
        <v>68</v>
      </c>
      <c r="J280" s="103">
        <f t="shared" si="43"/>
        <v>3422000</v>
      </c>
      <c r="K280" s="104">
        <f>+ SUMIF('Doanh thu'!A:A, C280,'Doanh thu'!F:F)</f>
        <v>3422000</v>
      </c>
    </row>
    <row r="281" spans="1:11" ht="13.2">
      <c r="B281" s="101">
        <v>1</v>
      </c>
      <c r="C281" s="28" t="s">
        <v>995</v>
      </c>
      <c r="D281" s="28" t="s">
        <v>996</v>
      </c>
      <c r="E281" s="101" t="s">
        <v>444</v>
      </c>
      <c r="F281" s="102">
        <f>+ SUMIF('Nhập kho T42024'!B:B, C281,'Nhập kho T42024'!F:F)</f>
        <v>0</v>
      </c>
      <c r="G281" s="100">
        <f>+ (SUMIF('Nhập kho T42024'!B:B, C281,'Nhập kho T42024'!G:G))*3500</f>
        <v>0</v>
      </c>
      <c r="H281" s="101">
        <f>+ SUMIF('Doanh thu'!A:A, C281,'Doanh thu'!E:E)</f>
        <v>8</v>
      </c>
      <c r="I281" s="101">
        <f>F281-H281+16</f>
        <v>8</v>
      </c>
      <c r="J281" s="103">
        <f t="shared" si="43"/>
        <v>312000</v>
      </c>
      <c r="K281" s="104">
        <f>+ SUMIF('Doanh thu'!A:A, C281,'Doanh thu'!F:F)</f>
        <v>312000</v>
      </c>
    </row>
    <row r="282" spans="1:11" ht="13.2">
      <c r="B282" s="101">
        <v>1</v>
      </c>
      <c r="C282" s="28" t="s">
        <v>997</v>
      </c>
      <c r="D282" s="28" t="s">
        <v>998</v>
      </c>
      <c r="E282" s="101" t="s">
        <v>444</v>
      </c>
      <c r="F282" s="102">
        <f>+ SUMIF('Nhập kho T42024'!B:B, C282,'Nhập kho T42024'!F:F)</f>
        <v>0</v>
      </c>
      <c r="G282" s="100">
        <f>+ (SUMIF('Nhập kho T42024'!B:B, C282,'Nhập kho T42024'!G:G))*3500</f>
        <v>0</v>
      </c>
      <c r="H282" s="101">
        <f>+ SUMIF('Doanh thu'!A:A, C282,'Doanh thu'!E:E)</f>
        <v>7</v>
      </c>
      <c r="I282" s="101">
        <f>F282-H282+17</f>
        <v>10</v>
      </c>
      <c r="J282" s="103">
        <f t="shared" si="43"/>
        <v>273000</v>
      </c>
      <c r="K282" s="104">
        <f>+ SUMIF('Doanh thu'!A:A, C282,'Doanh thu'!F:F)</f>
        <v>273000</v>
      </c>
    </row>
    <row r="283" spans="1:11" ht="13.2">
      <c r="B283" s="101">
        <v>1</v>
      </c>
      <c r="C283" s="28" t="s">
        <v>999</v>
      </c>
      <c r="D283" s="28" t="s">
        <v>1000</v>
      </c>
      <c r="E283" s="101" t="s">
        <v>444</v>
      </c>
      <c r="F283" s="102">
        <f>+ SUMIF('Nhập kho T42024'!B:B, C283,'Nhập kho T42024'!F:F)</f>
        <v>0</v>
      </c>
      <c r="G283" s="100">
        <f>+ (SUMIF('Nhập kho T42024'!B:B, C283,'Nhập kho T42024'!G:G))*3500</f>
        <v>0</v>
      </c>
      <c r="H283" s="101">
        <f>+ SUMIF('Doanh thu'!A:A, C283,'Doanh thu'!E:E)</f>
        <v>5</v>
      </c>
      <c r="I283" s="101">
        <f>F283-H283+16</f>
        <v>11</v>
      </c>
      <c r="J283" s="103">
        <f t="shared" si="43"/>
        <v>195000</v>
      </c>
      <c r="K283" s="104">
        <f>+ SUMIF('Doanh thu'!A:A, C283,'Doanh thu'!F:F)</f>
        <v>195000</v>
      </c>
    </row>
    <row r="284" spans="1:11" ht="13.2">
      <c r="B284" s="101">
        <v>1</v>
      </c>
      <c r="C284" s="28" t="s">
        <v>1001</v>
      </c>
      <c r="D284" s="28" t="s">
        <v>1002</v>
      </c>
      <c r="E284" s="101" t="s">
        <v>444</v>
      </c>
      <c r="F284" s="102">
        <f>+ SUMIF('Nhập kho T42024'!B:B, C284,'Nhập kho T42024'!F:F)</f>
        <v>0</v>
      </c>
      <c r="G284" s="100">
        <f>+ (SUMIF('Nhập kho T42024'!B:B, C284,'Nhập kho T42024'!G:G))*3500</f>
        <v>0</v>
      </c>
      <c r="H284" s="101">
        <f>+ SUMIF('Doanh thu'!A:A, C284,'Doanh thu'!E:E)</f>
        <v>7</v>
      </c>
      <c r="I284" s="101">
        <f>F284-H284+15</f>
        <v>8</v>
      </c>
      <c r="J284" s="103">
        <f t="shared" si="43"/>
        <v>273000</v>
      </c>
      <c r="K284" s="104">
        <f>+ SUMIF('Doanh thu'!A:A, C284,'Doanh thu'!F:F)</f>
        <v>273000</v>
      </c>
    </row>
    <row r="285" spans="1:11" ht="13.2">
      <c r="B285" s="101">
        <v>1</v>
      </c>
      <c r="C285" s="28" t="s">
        <v>1003</v>
      </c>
      <c r="D285" s="28" t="s">
        <v>1004</v>
      </c>
      <c r="E285" s="101" t="s">
        <v>444</v>
      </c>
      <c r="F285" s="102">
        <f>+ SUMIF('Nhập kho T42024'!B:B, C285,'Nhập kho T42024'!F:F)</f>
        <v>0</v>
      </c>
      <c r="G285" s="100">
        <f>+ (SUMIF('Nhập kho T42024'!B:B, C285,'Nhập kho T42024'!G:G))*3500</f>
        <v>0</v>
      </c>
      <c r="H285" s="101">
        <f>+ SUMIF('Doanh thu'!A:A, C285,'Doanh thu'!E:E)</f>
        <v>2</v>
      </c>
      <c r="I285" s="101">
        <f>F285-H285+1</f>
        <v>-1</v>
      </c>
      <c r="J285" s="103">
        <f t="shared" si="43"/>
        <v>39000</v>
      </c>
      <c r="K285" s="104">
        <f>+ SUMIF('Doanh thu'!A:A, C285,'Doanh thu'!F:F)</f>
        <v>39000</v>
      </c>
    </row>
    <row r="286" spans="1:11" ht="13.2">
      <c r="B286" s="101">
        <v>1</v>
      </c>
      <c r="C286" s="28" t="s">
        <v>1005</v>
      </c>
      <c r="D286" s="28" t="s">
        <v>1006</v>
      </c>
      <c r="E286" s="101" t="s">
        <v>444</v>
      </c>
      <c r="F286" s="102">
        <f>+ SUMIF('Nhập kho T42024'!B:B, C286,'Nhập kho T42024'!F:F)</f>
        <v>0</v>
      </c>
      <c r="G286" s="100">
        <f>+ (SUMIF('Nhập kho T42024'!B:B, C286,'Nhập kho T42024'!G:G))*3500</f>
        <v>0</v>
      </c>
      <c r="H286" s="101">
        <f>+ SUMIF('Doanh thu'!A:A, C286,'Doanh thu'!E:E)</f>
        <v>2</v>
      </c>
      <c r="I286" s="101">
        <f t="shared" ref="I286:I295" si="49">F286-H286+14</f>
        <v>12</v>
      </c>
      <c r="J286" s="103">
        <f t="shared" si="43"/>
        <v>78000</v>
      </c>
      <c r="K286" s="104">
        <f>+ SUMIF('Doanh thu'!A:A, C286,'Doanh thu'!F:F)</f>
        <v>78000</v>
      </c>
    </row>
    <row r="287" spans="1:11" ht="13.2">
      <c r="B287" s="101">
        <v>1</v>
      </c>
      <c r="C287" s="28" t="s">
        <v>1007</v>
      </c>
      <c r="D287" s="28" t="s">
        <v>1008</v>
      </c>
      <c r="E287" s="101" t="s">
        <v>444</v>
      </c>
      <c r="F287" s="102">
        <f>+ SUMIF('Nhập kho T42024'!B:B, C287,'Nhập kho T42024'!F:F)</f>
        <v>0</v>
      </c>
      <c r="G287" s="100">
        <f>+ (SUMIF('Nhập kho T42024'!B:B, C287,'Nhập kho T42024'!G:G))*3500</f>
        <v>0</v>
      </c>
      <c r="H287" s="101">
        <f>+ SUMIF('Doanh thu'!A:A, C287,'Doanh thu'!E:E)</f>
        <v>2</v>
      </c>
      <c r="I287" s="101">
        <f t="shared" si="49"/>
        <v>12</v>
      </c>
      <c r="J287" s="103">
        <f t="shared" si="43"/>
        <v>78000</v>
      </c>
      <c r="K287" s="104">
        <f>+ SUMIF('Doanh thu'!A:A, C287,'Doanh thu'!F:F)</f>
        <v>78000</v>
      </c>
    </row>
    <row r="288" spans="1:11" ht="13.2">
      <c r="B288" s="101">
        <v>1</v>
      </c>
      <c r="C288" s="28" t="s">
        <v>1009</v>
      </c>
      <c r="D288" s="28" t="s">
        <v>1010</v>
      </c>
      <c r="E288" s="101" t="s">
        <v>444</v>
      </c>
      <c r="F288" s="102">
        <f>+ SUMIF('Nhập kho T42024'!B:B, C288,'Nhập kho T42024'!F:F)</f>
        <v>0</v>
      </c>
      <c r="G288" s="100">
        <f>+ (SUMIF('Nhập kho T42024'!B:B, C288,'Nhập kho T42024'!G:G))*3500</f>
        <v>0</v>
      </c>
      <c r="H288" s="101">
        <f>+ SUMIF('Doanh thu'!A:A, C288,'Doanh thu'!E:E)</f>
        <v>4</v>
      </c>
      <c r="I288" s="101">
        <f t="shared" si="49"/>
        <v>10</v>
      </c>
      <c r="J288" s="103">
        <f t="shared" si="43"/>
        <v>156000</v>
      </c>
      <c r="K288" s="104">
        <f>+ SUMIF('Doanh thu'!A:A, C288,'Doanh thu'!F:F)</f>
        <v>156000</v>
      </c>
    </row>
    <row r="289" spans="2:11" ht="13.2">
      <c r="B289" s="101">
        <v>1</v>
      </c>
      <c r="C289" s="28" t="s">
        <v>1011</v>
      </c>
      <c r="D289" s="28" t="s">
        <v>1012</v>
      </c>
      <c r="E289" s="101" t="s">
        <v>444</v>
      </c>
      <c r="F289" s="102">
        <f>+ SUMIF('Nhập kho T42024'!B:B, C289,'Nhập kho T42024'!F:F)</f>
        <v>0</v>
      </c>
      <c r="G289" s="100">
        <f>+ (SUMIF('Nhập kho T42024'!B:B, C289,'Nhập kho T42024'!G:G))*3500</f>
        <v>0</v>
      </c>
      <c r="H289" s="101">
        <f>+ SUMIF('Doanh thu'!A:A, C289,'Doanh thu'!E:E)</f>
        <v>2</v>
      </c>
      <c r="I289" s="101">
        <f t="shared" si="49"/>
        <v>12</v>
      </c>
      <c r="J289" s="103">
        <f t="shared" si="43"/>
        <v>78000</v>
      </c>
      <c r="K289" s="104">
        <f>+ SUMIF('Doanh thu'!A:A, C289,'Doanh thu'!F:F)</f>
        <v>78000</v>
      </c>
    </row>
    <row r="290" spans="2:11" ht="13.2">
      <c r="B290" s="101">
        <v>1</v>
      </c>
      <c r="C290" s="28" t="s">
        <v>1013</v>
      </c>
      <c r="D290" s="28" t="s">
        <v>1014</v>
      </c>
      <c r="E290" s="101" t="s">
        <v>444</v>
      </c>
      <c r="F290" s="102">
        <f>+ SUMIF('Nhập kho T42024'!B:B, C290,'Nhập kho T42024'!F:F)</f>
        <v>0</v>
      </c>
      <c r="G290" s="100">
        <f>+ (SUMIF('Nhập kho T42024'!B:B, C290,'Nhập kho T42024'!G:G))*3500</f>
        <v>0</v>
      </c>
      <c r="H290" s="101">
        <f>+ SUMIF('Doanh thu'!A:A, C290,'Doanh thu'!E:E)</f>
        <v>1</v>
      </c>
      <c r="I290" s="101">
        <f t="shared" si="49"/>
        <v>13</v>
      </c>
      <c r="J290" s="103">
        <f t="shared" si="43"/>
        <v>39000</v>
      </c>
      <c r="K290" s="104">
        <f>+ SUMIF('Doanh thu'!A:A, C290,'Doanh thu'!F:F)</f>
        <v>39000</v>
      </c>
    </row>
    <row r="291" spans="2:11" ht="13.2">
      <c r="B291" s="101">
        <v>1</v>
      </c>
      <c r="C291" s="28" t="s">
        <v>1015</v>
      </c>
      <c r="D291" s="28" t="s">
        <v>1016</v>
      </c>
      <c r="E291" s="101" t="s">
        <v>444</v>
      </c>
      <c r="F291" s="102">
        <f>+ SUMIF('Nhập kho T42024'!B:B, C291,'Nhập kho T42024'!F:F)</f>
        <v>0</v>
      </c>
      <c r="G291" s="100">
        <f>+ (SUMIF('Nhập kho T42024'!B:B, C291,'Nhập kho T42024'!G:G))*3500</f>
        <v>0</v>
      </c>
      <c r="H291" s="101">
        <f>+ SUMIF('Doanh thu'!A:A, C291,'Doanh thu'!E:E)</f>
        <v>1</v>
      </c>
      <c r="I291" s="101">
        <f t="shared" si="49"/>
        <v>13</v>
      </c>
      <c r="J291" s="103">
        <f t="shared" si="43"/>
        <v>39000</v>
      </c>
      <c r="K291" s="104">
        <f>+ SUMIF('Doanh thu'!A:A, C291,'Doanh thu'!F:F)</f>
        <v>39000</v>
      </c>
    </row>
    <row r="292" spans="2:11" ht="13.2">
      <c r="B292" s="101">
        <v>1</v>
      </c>
      <c r="C292" s="28" t="s">
        <v>1017</v>
      </c>
      <c r="D292" s="28" t="s">
        <v>1018</v>
      </c>
      <c r="E292" s="101" t="s">
        <v>444</v>
      </c>
      <c r="F292" s="102">
        <f>+ SUMIF('Nhập kho T42024'!B:B, C292,'Nhập kho T42024'!F:F)</f>
        <v>0</v>
      </c>
      <c r="G292" s="100">
        <f>+ (SUMIF('Nhập kho T42024'!B:B, C292,'Nhập kho T42024'!G:G))*3500</f>
        <v>0</v>
      </c>
      <c r="H292" s="101">
        <f>+ SUMIF('Doanh thu'!A:A, C292,'Doanh thu'!E:E)</f>
        <v>3</v>
      </c>
      <c r="I292" s="101">
        <f t="shared" si="49"/>
        <v>11</v>
      </c>
      <c r="J292" s="103">
        <f t="shared" si="43"/>
        <v>117000</v>
      </c>
      <c r="K292" s="104">
        <f>+ SUMIF('Doanh thu'!A:A, C292,'Doanh thu'!F:F)</f>
        <v>117000</v>
      </c>
    </row>
    <row r="293" spans="2:11" ht="13.2">
      <c r="B293" s="101">
        <v>1</v>
      </c>
      <c r="C293" s="28" t="s">
        <v>1019</v>
      </c>
      <c r="D293" s="28" t="s">
        <v>1020</v>
      </c>
      <c r="E293" s="101" t="s">
        <v>444</v>
      </c>
      <c r="F293" s="102">
        <f>+ SUMIF('Nhập kho T42024'!B:B, C293,'Nhập kho T42024'!F:F)</f>
        <v>0</v>
      </c>
      <c r="G293" s="100">
        <f>+ (SUMIF('Nhập kho T42024'!B:B, C293,'Nhập kho T42024'!G:G))*3500</f>
        <v>0</v>
      </c>
      <c r="H293" s="101">
        <f>+ SUMIF('Doanh thu'!A:A, C293,'Doanh thu'!E:E)</f>
        <v>1</v>
      </c>
      <c r="I293" s="101">
        <f t="shared" si="49"/>
        <v>13</v>
      </c>
      <c r="J293" s="103">
        <f t="shared" si="43"/>
        <v>39000</v>
      </c>
      <c r="K293" s="104">
        <f>+ SUMIF('Doanh thu'!A:A, C293,'Doanh thu'!F:F)</f>
        <v>39000</v>
      </c>
    </row>
    <row r="294" spans="2:11" ht="13.2">
      <c r="B294" s="101">
        <v>1</v>
      </c>
      <c r="C294" s="28" t="s">
        <v>1021</v>
      </c>
      <c r="D294" s="28" t="s">
        <v>1022</v>
      </c>
      <c r="E294" s="101" t="s">
        <v>444</v>
      </c>
      <c r="F294" s="102">
        <f>+ SUMIF('Nhập kho T42024'!B:B, C294,'Nhập kho T42024'!F:F)</f>
        <v>0</v>
      </c>
      <c r="G294" s="100">
        <f>+ (SUMIF('Nhập kho T42024'!B:B, C294,'Nhập kho T42024'!G:G))*3500</f>
        <v>0</v>
      </c>
      <c r="H294" s="101">
        <f>+ SUMIF('Doanh thu'!A:A, C294,'Doanh thu'!E:E)</f>
        <v>1</v>
      </c>
      <c r="I294" s="101">
        <f t="shared" si="49"/>
        <v>13</v>
      </c>
      <c r="J294" s="103">
        <f t="shared" si="43"/>
        <v>39000</v>
      </c>
      <c r="K294" s="104">
        <f>+ SUMIF('Doanh thu'!A:A, C294,'Doanh thu'!F:F)</f>
        <v>39000</v>
      </c>
    </row>
    <row r="295" spans="2:11" ht="13.2">
      <c r="B295" s="101">
        <v>1</v>
      </c>
      <c r="C295" s="28" t="s">
        <v>1023</v>
      </c>
      <c r="D295" s="28" t="s">
        <v>1024</v>
      </c>
      <c r="E295" s="101" t="s">
        <v>444</v>
      </c>
      <c r="F295" s="102">
        <f>+ SUMIF('Nhập kho T42024'!B:B, C295,'Nhập kho T42024'!F:F)</f>
        <v>0</v>
      </c>
      <c r="G295" s="100">
        <f>+ (SUMIF('Nhập kho T42024'!B:B, C295,'Nhập kho T42024'!G:G))*3500</f>
        <v>0</v>
      </c>
      <c r="H295" s="101">
        <f>+ SUMIF('Doanh thu'!A:A, C295,'Doanh thu'!E:E)</f>
        <v>1</v>
      </c>
      <c r="I295" s="101">
        <f t="shared" si="49"/>
        <v>13</v>
      </c>
      <c r="J295" s="103">
        <f t="shared" si="43"/>
        <v>39000</v>
      </c>
      <c r="K295" s="104">
        <f>+ SUMIF('Doanh thu'!A:A, C295,'Doanh thu'!F:F)</f>
        <v>39000</v>
      </c>
    </row>
    <row r="296" spans="2:11" ht="13.2">
      <c r="B296" s="101">
        <v>1</v>
      </c>
      <c r="C296" s="28" t="s">
        <v>1025</v>
      </c>
      <c r="D296" s="28" t="s">
        <v>1026</v>
      </c>
      <c r="E296" s="101" t="s">
        <v>444</v>
      </c>
      <c r="F296" s="102">
        <f>+ SUMIF('Nhập kho T42024'!B:B, C296,'Nhập kho T42024'!F:F)</f>
        <v>56</v>
      </c>
      <c r="G296" s="100">
        <f>+ (SUMIF('Nhập kho T42024'!B:B, C296,'Nhập kho T42024'!G:G))*3500</f>
        <v>609420</v>
      </c>
      <c r="H296" s="101">
        <f>+ SUMIF('Doanh thu'!A:A, C296,'Doanh thu'!E:E)</f>
        <v>63</v>
      </c>
      <c r="I296" s="101">
        <f>F296-H296+16</f>
        <v>9</v>
      </c>
      <c r="J296" s="103">
        <f t="shared" si="43"/>
        <v>2381400</v>
      </c>
      <c r="K296" s="104">
        <f>+ SUMIF('Doanh thu'!A:A, C296,'Doanh thu'!F:F)</f>
        <v>2381400</v>
      </c>
    </row>
    <row r="297" spans="2:11" ht="13.2">
      <c r="B297" s="101">
        <v>1</v>
      </c>
      <c r="C297" s="28" t="s">
        <v>1027</v>
      </c>
      <c r="D297" s="28" t="s">
        <v>1028</v>
      </c>
      <c r="E297" s="101" t="s">
        <v>444</v>
      </c>
      <c r="F297" s="102">
        <f>+ SUMIF('Nhập kho T42024'!B:B, C297,'Nhập kho T42024'!F:F)</f>
        <v>61</v>
      </c>
      <c r="G297" s="100">
        <f>+ (SUMIF('Nhập kho T42024'!B:B, C297,'Nhập kho T42024'!G:G))*3500</f>
        <v>489824.99999999994</v>
      </c>
      <c r="H297" s="101">
        <f>+ SUMIF('Doanh thu'!A:A, C297,'Doanh thu'!E:E)</f>
        <v>64</v>
      </c>
      <c r="I297" s="101">
        <f>F297-H297+17</f>
        <v>14</v>
      </c>
      <c r="J297" s="103">
        <f t="shared" si="43"/>
        <v>2419200</v>
      </c>
      <c r="K297" s="104">
        <f>+ SUMIF('Doanh thu'!A:A, C297,'Doanh thu'!F:F)</f>
        <v>2419200</v>
      </c>
    </row>
    <row r="298" spans="2:11" ht="13.2">
      <c r="B298" s="101">
        <v>1</v>
      </c>
      <c r="C298" s="28" t="s">
        <v>1029</v>
      </c>
      <c r="D298" s="28" t="s">
        <v>1030</v>
      </c>
      <c r="E298" s="101" t="s">
        <v>444</v>
      </c>
      <c r="F298" s="102">
        <f>+ SUMIF('Nhập kho T42024'!B:B, C298,'Nhập kho T42024'!F:F)</f>
        <v>41</v>
      </c>
      <c r="G298" s="100">
        <f>+ (SUMIF('Nhập kho T42024'!B:B, C298,'Nhập kho T42024'!G:G))*3500</f>
        <v>289625</v>
      </c>
      <c r="H298" s="101">
        <f>+ SUMIF('Doanh thu'!A:A, C298,'Doanh thu'!E:E)</f>
        <v>40</v>
      </c>
      <c r="I298" s="101">
        <f>F298-H298+16</f>
        <v>17</v>
      </c>
      <c r="J298" s="103">
        <f t="shared" si="43"/>
        <v>1512000</v>
      </c>
      <c r="K298" s="104">
        <f>+ SUMIF('Doanh thu'!A:A, C298,'Doanh thu'!F:F)</f>
        <v>1512000</v>
      </c>
    </row>
    <row r="299" spans="2:11" ht="13.2">
      <c r="B299" s="101">
        <v>1</v>
      </c>
      <c r="C299" s="28" t="s">
        <v>1031</v>
      </c>
      <c r="D299" s="28" t="s">
        <v>1032</v>
      </c>
      <c r="E299" s="101" t="s">
        <v>444</v>
      </c>
      <c r="F299" s="102">
        <f>+ SUMIF('Nhập kho T42024'!B:B, C299,'Nhập kho T42024'!F:F)</f>
        <v>54</v>
      </c>
      <c r="G299" s="100">
        <f>+ (SUMIF('Nhập kho T42024'!B:B, C299,'Nhập kho T42024'!G:G))*3500</f>
        <v>410900</v>
      </c>
      <c r="H299" s="101">
        <f>+ SUMIF('Doanh thu'!A:A, C299,'Doanh thu'!E:E)</f>
        <v>54</v>
      </c>
      <c r="I299" s="101">
        <f>F299-H299+17</f>
        <v>17</v>
      </c>
      <c r="J299" s="103">
        <f t="shared" si="43"/>
        <v>2041200</v>
      </c>
      <c r="K299" s="104">
        <f>+ SUMIF('Doanh thu'!A:A, C299,'Doanh thu'!F:F)</f>
        <v>2041200</v>
      </c>
    </row>
    <row r="300" spans="2:11" ht="13.2">
      <c r="B300" s="101">
        <v>1</v>
      </c>
      <c r="C300" s="28" t="s">
        <v>1033</v>
      </c>
      <c r="D300" s="28" t="s">
        <v>1034</v>
      </c>
      <c r="E300" s="101" t="s">
        <v>444</v>
      </c>
      <c r="F300" s="102">
        <f>+ SUMIF('Nhập kho T42024'!B:B, C300,'Nhập kho T42024'!F:F)</f>
        <v>73</v>
      </c>
      <c r="G300" s="100">
        <f>+ (SUMIF('Nhập kho T42024'!B:B, C300,'Nhập kho T42024'!G:G))*3500</f>
        <v>549290</v>
      </c>
      <c r="H300" s="101">
        <f>+ SUMIF('Doanh thu'!A:A, C300,'Doanh thu'!E:E)</f>
        <v>66</v>
      </c>
      <c r="I300" s="101">
        <f>F300-H300+13</f>
        <v>20</v>
      </c>
      <c r="J300" s="103">
        <f t="shared" si="43"/>
        <v>2494800</v>
      </c>
      <c r="K300" s="104">
        <f>+ SUMIF('Doanh thu'!A:A, C300,'Doanh thu'!F:F)</f>
        <v>2494800</v>
      </c>
    </row>
    <row r="301" spans="2:11" ht="13.2">
      <c r="B301" s="101">
        <v>1</v>
      </c>
      <c r="C301" s="28" t="s">
        <v>1035</v>
      </c>
      <c r="D301" s="28" t="s">
        <v>1036</v>
      </c>
      <c r="E301" s="101" t="s">
        <v>1037</v>
      </c>
      <c r="F301" s="102">
        <f>+ SUMIF('Nhập kho T42024'!B:B, C301,'Nhập kho T42024'!F:F)</f>
        <v>0</v>
      </c>
      <c r="G301" s="100">
        <f>+ (SUMIF('Nhập kho T42024'!B:B, C301,'Nhập kho T42024'!G:G))*3500</f>
        <v>0</v>
      </c>
      <c r="H301" s="101">
        <f>+ SUMIF('Doanh thu'!A:A, C301,'Doanh thu'!E:E)</f>
        <v>0</v>
      </c>
      <c r="I301" s="101">
        <f t="shared" ref="I301:I305" si="50">F301-H301</f>
        <v>0</v>
      </c>
      <c r="J301" s="103">
        <f t="shared" si="43"/>
        <v>0</v>
      </c>
      <c r="K301" s="104">
        <f>+ SUMIF('Doanh thu'!A:A, C301,'Doanh thu'!F:F)</f>
        <v>0</v>
      </c>
    </row>
    <row r="302" spans="2:11" ht="13.2">
      <c r="B302" s="101">
        <v>1</v>
      </c>
      <c r="C302" s="28" t="s">
        <v>1038</v>
      </c>
      <c r="D302" s="28" t="s">
        <v>1039</v>
      </c>
      <c r="E302" s="101" t="s">
        <v>1037</v>
      </c>
      <c r="F302" s="102">
        <f>+ SUMIF('Nhập kho T42024'!B:B, C302,'Nhập kho T42024'!F:F)</f>
        <v>0</v>
      </c>
      <c r="G302" s="100">
        <f>+ (SUMIF('Nhập kho T42024'!B:B, C302,'Nhập kho T42024'!G:G))*3500</f>
        <v>0</v>
      </c>
      <c r="H302" s="101">
        <f>+ SUMIF('Doanh thu'!A:A, C302,'Doanh thu'!E:E)</f>
        <v>0</v>
      </c>
      <c r="I302" s="101">
        <f t="shared" si="50"/>
        <v>0</v>
      </c>
      <c r="J302" s="103">
        <f t="shared" si="43"/>
        <v>0</v>
      </c>
      <c r="K302" s="104">
        <f>+ SUMIF('Doanh thu'!A:A, C302,'Doanh thu'!F:F)</f>
        <v>0</v>
      </c>
    </row>
    <row r="303" spans="2:11" ht="13.2">
      <c r="B303" s="101">
        <v>1</v>
      </c>
      <c r="C303" s="28" t="s">
        <v>1040</v>
      </c>
      <c r="D303" s="28" t="s">
        <v>1041</v>
      </c>
      <c r="E303" s="101" t="s">
        <v>1037</v>
      </c>
      <c r="F303" s="102">
        <f>+ SUMIF('Nhập kho T42024'!B:B, C303,'Nhập kho T42024'!F:F)</f>
        <v>0</v>
      </c>
      <c r="G303" s="100">
        <f>+ (SUMIF('Nhập kho T42024'!B:B, C303,'Nhập kho T42024'!G:G))*3500</f>
        <v>0</v>
      </c>
      <c r="H303" s="101">
        <f>+ SUMIF('Doanh thu'!A:A, C303,'Doanh thu'!E:E)</f>
        <v>0</v>
      </c>
      <c r="I303" s="101">
        <f t="shared" si="50"/>
        <v>0</v>
      </c>
      <c r="J303" s="103">
        <f t="shared" si="43"/>
        <v>0</v>
      </c>
      <c r="K303" s="104">
        <f>+ SUMIF('Doanh thu'!A:A, C303,'Doanh thu'!F:F)</f>
        <v>0</v>
      </c>
    </row>
    <row r="304" spans="2:11" ht="13.2">
      <c r="B304" s="101">
        <v>1</v>
      </c>
      <c r="C304" s="28" t="s">
        <v>1042</v>
      </c>
      <c r="D304" s="28" t="s">
        <v>1043</v>
      </c>
      <c r="E304" s="101" t="s">
        <v>1037</v>
      </c>
      <c r="F304" s="102">
        <f>+ SUMIF('Nhập kho T42024'!B:B, C304,'Nhập kho T42024'!F:F)</f>
        <v>0</v>
      </c>
      <c r="G304" s="100">
        <f>+ (SUMIF('Nhập kho T42024'!B:B, C304,'Nhập kho T42024'!G:G))*3500</f>
        <v>0</v>
      </c>
      <c r="H304" s="101">
        <f>+ SUMIF('Doanh thu'!A:A, C304,'Doanh thu'!E:E)</f>
        <v>0</v>
      </c>
      <c r="I304" s="101">
        <f t="shared" si="50"/>
        <v>0</v>
      </c>
      <c r="J304" s="103">
        <f t="shared" si="43"/>
        <v>0</v>
      </c>
      <c r="K304" s="104">
        <f>+ SUMIF('Doanh thu'!A:A, C304,'Doanh thu'!F:F)</f>
        <v>0</v>
      </c>
    </row>
    <row r="305" spans="2:11" ht="13.2">
      <c r="B305" s="101">
        <v>1</v>
      </c>
      <c r="C305" s="28" t="s">
        <v>1044</v>
      </c>
      <c r="D305" s="28" t="s">
        <v>1045</v>
      </c>
      <c r="E305" s="101" t="s">
        <v>1037</v>
      </c>
      <c r="F305" s="102">
        <f>+ SUMIF('Nhập kho T42024'!B:B, C305,'Nhập kho T42024'!F:F)</f>
        <v>0</v>
      </c>
      <c r="G305" s="100">
        <f>+ (SUMIF('Nhập kho T42024'!B:B, C305,'Nhập kho T42024'!G:G))*3500</f>
        <v>0</v>
      </c>
      <c r="H305" s="101">
        <f>+ SUMIF('Doanh thu'!A:A, C305,'Doanh thu'!E:E)</f>
        <v>0</v>
      </c>
      <c r="I305" s="101">
        <f t="shared" si="50"/>
        <v>0</v>
      </c>
      <c r="J305" s="103">
        <f t="shared" si="43"/>
        <v>0</v>
      </c>
      <c r="K305" s="104">
        <f>+ SUMIF('Doanh thu'!A:A, C305,'Doanh thu'!F:F)</f>
        <v>0</v>
      </c>
    </row>
    <row r="306" spans="2:11" ht="13.2">
      <c r="B306" s="101">
        <v>1</v>
      </c>
      <c r="C306" s="28" t="s">
        <v>1046</v>
      </c>
      <c r="D306" s="28" t="s">
        <v>1047</v>
      </c>
      <c r="E306" s="101" t="s">
        <v>1037</v>
      </c>
      <c r="F306" s="102">
        <f>+ SUMIF('Nhập kho T42024'!B:B, C306,'Nhập kho T42024'!F:F)</f>
        <v>0</v>
      </c>
      <c r="G306" s="100">
        <f>+ (SUMIF('Nhập kho T42024'!B:B, C306,'Nhập kho T42024'!G:G))*3500</f>
        <v>0</v>
      </c>
      <c r="H306" s="101">
        <f>+ SUMIF('Doanh thu'!A:A, C306,'Doanh thu'!E:E)</f>
        <v>3</v>
      </c>
      <c r="I306" s="101">
        <f>F306-H306+3</f>
        <v>0</v>
      </c>
      <c r="J306" s="103">
        <f t="shared" si="43"/>
        <v>29400</v>
      </c>
      <c r="K306" s="104">
        <f>+ SUMIF('Doanh thu'!A:A, C306,'Doanh thu'!F:F)</f>
        <v>29400</v>
      </c>
    </row>
    <row r="307" spans="2:11" ht="13.2">
      <c r="B307" s="101">
        <v>1</v>
      </c>
      <c r="C307" s="28" t="s">
        <v>1048</v>
      </c>
      <c r="D307" s="28" t="s">
        <v>1049</v>
      </c>
      <c r="E307" s="101" t="s">
        <v>1037</v>
      </c>
      <c r="F307" s="102">
        <f>+ SUMIF('Nhập kho T42024'!B:B, C307,'Nhập kho T42024'!F:F)</f>
        <v>0</v>
      </c>
      <c r="G307" s="100">
        <f>+ (SUMIF('Nhập kho T42024'!B:B, C307,'Nhập kho T42024'!G:G))*3500</f>
        <v>0</v>
      </c>
      <c r="H307" s="101">
        <f>+ SUMIF('Doanh thu'!A:A, C307,'Doanh thu'!E:E)</f>
        <v>1</v>
      </c>
      <c r="I307" s="101">
        <f>F307-H307+1</f>
        <v>0</v>
      </c>
      <c r="J307" s="103">
        <f t="shared" si="43"/>
        <v>9800</v>
      </c>
      <c r="K307" s="104">
        <f>+ SUMIF('Doanh thu'!A:A, C307,'Doanh thu'!F:F)</f>
        <v>9800</v>
      </c>
    </row>
    <row r="308" spans="2:11" ht="13.2">
      <c r="B308" s="101">
        <v>1</v>
      </c>
      <c r="C308" s="28" t="s">
        <v>1050</v>
      </c>
      <c r="D308" s="28" t="s">
        <v>1051</v>
      </c>
      <c r="E308" s="101" t="s">
        <v>1037</v>
      </c>
      <c r="F308" s="102">
        <f>+ SUMIF('Nhập kho T42024'!B:B, C308,'Nhập kho T42024'!F:F)</f>
        <v>0</v>
      </c>
      <c r="G308" s="100">
        <f>+ (SUMIF('Nhập kho T42024'!B:B, C308,'Nhập kho T42024'!G:G))*3500</f>
        <v>0</v>
      </c>
      <c r="H308" s="101">
        <f>+ SUMIF('Doanh thu'!A:A, C308,'Doanh thu'!E:E)</f>
        <v>2</v>
      </c>
      <c r="I308" s="101">
        <f>F308-H308+2</f>
        <v>0</v>
      </c>
      <c r="J308" s="103">
        <f t="shared" si="43"/>
        <v>19600</v>
      </c>
      <c r="K308" s="104">
        <f>+ SUMIF('Doanh thu'!A:A, C308,'Doanh thu'!F:F)</f>
        <v>19600</v>
      </c>
    </row>
    <row r="309" spans="2:11" ht="13.2">
      <c r="B309" s="101">
        <v>1</v>
      </c>
      <c r="C309" s="28" t="s">
        <v>1052</v>
      </c>
      <c r="D309" s="28" t="s">
        <v>1053</v>
      </c>
      <c r="E309" s="101" t="s">
        <v>1037</v>
      </c>
      <c r="F309" s="102">
        <f>+ SUMIF('Nhập kho T42024'!B:B, C309,'Nhập kho T42024'!F:F)</f>
        <v>0</v>
      </c>
      <c r="G309" s="100">
        <f>+ (SUMIF('Nhập kho T42024'!B:B, C309,'Nhập kho T42024'!G:G))*3500</f>
        <v>0</v>
      </c>
      <c r="H309" s="101">
        <f>+ SUMIF('Doanh thu'!A:A, C309,'Doanh thu'!E:E)</f>
        <v>0</v>
      </c>
      <c r="I309" s="101">
        <f>F309-H309</f>
        <v>0</v>
      </c>
      <c r="J309" s="103">
        <f t="shared" si="43"/>
        <v>0</v>
      </c>
      <c r="K309" s="104">
        <f>+ SUMIF('Doanh thu'!A:A, C309,'Doanh thu'!F:F)</f>
        <v>0</v>
      </c>
    </row>
    <row r="310" spans="2:11" ht="13.2">
      <c r="B310" s="101">
        <v>1</v>
      </c>
      <c r="C310" s="28" t="s">
        <v>1054</v>
      </c>
      <c r="D310" s="28" t="s">
        <v>1055</v>
      </c>
      <c r="E310" s="101" t="s">
        <v>1037</v>
      </c>
      <c r="F310" s="102">
        <f>+ SUMIF('Nhập kho T42024'!B:B, C310,'Nhập kho T42024'!F:F)</f>
        <v>0</v>
      </c>
      <c r="G310" s="100">
        <f>+ (SUMIF('Nhập kho T42024'!B:B, C310,'Nhập kho T42024'!G:G))*3500</f>
        <v>0</v>
      </c>
      <c r="H310" s="101">
        <f>+ SUMIF('Doanh thu'!A:A, C310,'Doanh thu'!E:E)</f>
        <v>1</v>
      </c>
      <c r="I310" s="101">
        <f>F310-H310+1</f>
        <v>0</v>
      </c>
      <c r="J310" s="103">
        <f t="shared" si="43"/>
        <v>9800</v>
      </c>
      <c r="K310" s="104">
        <f>+ SUMIF('Doanh thu'!A:A, C310,'Doanh thu'!F:F)</f>
        <v>9800</v>
      </c>
    </row>
    <row r="311" spans="2:11" ht="13.2">
      <c r="B311" s="101">
        <v>1</v>
      </c>
      <c r="C311" s="28" t="s">
        <v>1056</v>
      </c>
      <c r="D311" s="28" t="s">
        <v>1057</v>
      </c>
      <c r="E311" s="101" t="s">
        <v>1037</v>
      </c>
      <c r="F311" s="102">
        <f>+ SUMIF('Nhập kho T42024'!B:B, C311,'Nhập kho T42024'!F:F)</f>
        <v>0</v>
      </c>
      <c r="G311" s="100">
        <f>+ (SUMIF('Nhập kho T42024'!B:B, C311,'Nhập kho T42024'!G:G))*3500</f>
        <v>0</v>
      </c>
      <c r="H311" s="101">
        <f>+ SUMIF('Doanh thu'!A:A, C311,'Doanh thu'!E:E)</f>
        <v>4</v>
      </c>
      <c r="I311" s="101">
        <f>F311-H311+4</f>
        <v>0</v>
      </c>
      <c r="J311" s="103">
        <f t="shared" si="43"/>
        <v>37600</v>
      </c>
      <c r="K311" s="104">
        <f>+ SUMIF('Doanh thu'!A:A, C311,'Doanh thu'!F:F)</f>
        <v>37600</v>
      </c>
    </row>
    <row r="312" spans="2:11" ht="13.2">
      <c r="B312" s="101">
        <v>1</v>
      </c>
      <c r="C312" s="28" t="s">
        <v>1058</v>
      </c>
      <c r="D312" s="28" t="s">
        <v>1059</v>
      </c>
      <c r="E312" s="101" t="s">
        <v>1037</v>
      </c>
      <c r="F312" s="102">
        <f>+ SUMIF('Nhập kho T42024'!B:B, C312,'Nhập kho T42024'!F:F)</f>
        <v>0</v>
      </c>
      <c r="G312" s="100">
        <f>+ (SUMIF('Nhập kho T42024'!B:B, C312,'Nhập kho T42024'!G:G))*3500</f>
        <v>0</v>
      </c>
      <c r="H312" s="101">
        <f>+ SUMIF('Doanh thu'!A:A, C312,'Doanh thu'!E:E)</f>
        <v>2</v>
      </c>
      <c r="I312" s="101">
        <f>F312-H312+2</f>
        <v>0</v>
      </c>
      <c r="J312" s="103">
        <f t="shared" si="43"/>
        <v>18800</v>
      </c>
      <c r="K312" s="104">
        <f>+ SUMIF('Doanh thu'!A:A, C312,'Doanh thu'!F:F)</f>
        <v>18800</v>
      </c>
    </row>
    <row r="313" spans="2:11" ht="13.2">
      <c r="B313" s="101">
        <v>1</v>
      </c>
      <c r="C313" s="28" t="s">
        <v>1060</v>
      </c>
      <c r="D313" s="28" t="s">
        <v>1061</v>
      </c>
      <c r="E313" s="101" t="s">
        <v>1037</v>
      </c>
      <c r="F313" s="102">
        <f>+ SUMIF('Nhập kho T42024'!B:B, C313,'Nhập kho T42024'!F:F)</f>
        <v>0</v>
      </c>
      <c r="G313" s="100">
        <f>+ (SUMIF('Nhập kho T42024'!B:B, C313,'Nhập kho T42024'!G:G))*3500</f>
        <v>0</v>
      </c>
      <c r="H313" s="101">
        <f>+ SUMIF('Doanh thu'!A:A, C313,'Doanh thu'!E:E)</f>
        <v>3</v>
      </c>
      <c r="I313" s="101">
        <f>F313-H313+3</f>
        <v>0</v>
      </c>
      <c r="J313" s="103">
        <f t="shared" si="43"/>
        <v>28200</v>
      </c>
      <c r="K313" s="104">
        <f>+ SUMIF('Doanh thu'!A:A, C313,'Doanh thu'!F:F)</f>
        <v>28200</v>
      </c>
    </row>
    <row r="314" spans="2:11" ht="13.2">
      <c r="B314" s="101">
        <v>1</v>
      </c>
      <c r="C314" s="28" t="s">
        <v>1062</v>
      </c>
      <c r="D314" s="28" t="s">
        <v>1063</v>
      </c>
      <c r="E314" s="101" t="s">
        <v>1037</v>
      </c>
      <c r="F314" s="102">
        <f>+ SUMIF('Nhập kho T42024'!B:B, C314,'Nhập kho T42024'!F:F)</f>
        <v>0</v>
      </c>
      <c r="G314" s="100">
        <f>+ (SUMIF('Nhập kho T42024'!B:B, C314,'Nhập kho T42024'!G:G))*3500</f>
        <v>0</v>
      </c>
      <c r="H314" s="101">
        <f>+ SUMIF('Doanh thu'!A:A, C314,'Doanh thu'!E:E)</f>
        <v>0</v>
      </c>
      <c r="I314" s="101">
        <f>F314-H314</f>
        <v>0</v>
      </c>
      <c r="J314" s="103">
        <f t="shared" si="43"/>
        <v>0</v>
      </c>
      <c r="K314" s="104">
        <f>+ SUMIF('Doanh thu'!A:A, C314,'Doanh thu'!F:F)</f>
        <v>0</v>
      </c>
    </row>
    <row r="315" spans="2:11" ht="13.2">
      <c r="B315" s="101">
        <v>1</v>
      </c>
      <c r="C315" s="28" t="s">
        <v>1064</v>
      </c>
      <c r="D315" s="28" t="s">
        <v>1065</v>
      </c>
      <c r="E315" s="101" t="s">
        <v>1037</v>
      </c>
      <c r="F315" s="102">
        <f>+ SUMIF('Nhập kho T42024'!B:B, C315,'Nhập kho T42024'!F:F)</f>
        <v>0</v>
      </c>
      <c r="G315" s="100">
        <f>+ (SUMIF('Nhập kho T42024'!B:B, C315,'Nhập kho T42024'!G:G))*3500</f>
        <v>0</v>
      </c>
      <c r="H315" s="101">
        <f>+ SUMIF('Doanh thu'!A:A, C315,'Doanh thu'!E:E)</f>
        <v>4</v>
      </c>
      <c r="I315" s="101">
        <f t="shared" ref="I315:I316" si="51">F315-H315+3</f>
        <v>-1</v>
      </c>
      <c r="J315" s="103">
        <f t="shared" si="43"/>
        <v>39600</v>
      </c>
      <c r="K315" s="104">
        <f>+ SUMIF('Doanh thu'!A:A, C315,'Doanh thu'!F:F)</f>
        <v>39600</v>
      </c>
    </row>
    <row r="316" spans="2:11" ht="13.2">
      <c r="B316" s="101">
        <v>1</v>
      </c>
      <c r="C316" s="28" t="s">
        <v>1066</v>
      </c>
      <c r="D316" s="28" t="s">
        <v>1067</v>
      </c>
      <c r="E316" s="101" t="s">
        <v>1037</v>
      </c>
      <c r="F316" s="102">
        <f>+ SUMIF('Nhập kho T42024'!B:B, C316,'Nhập kho T42024'!F:F)</f>
        <v>0</v>
      </c>
      <c r="G316" s="100">
        <f>+ (SUMIF('Nhập kho T42024'!B:B, C316,'Nhập kho T42024'!G:G))*3500</f>
        <v>0</v>
      </c>
      <c r="H316" s="101">
        <f>+ SUMIF('Doanh thu'!A:A, C316,'Doanh thu'!E:E)</f>
        <v>4</v>
      </c>
      <c r="I316" s="101">
        <f t="shared" si="51"/>
        <v>-1</v>
      </c>
      <c r="J316" s="103">
        <f t="shared" si="43"/>
        <v>37947.800000000003</v>
      </c>
      <c r="K316" s="104">
        <f>+ SUMIF('Doanh thu'!A:A, C316,'Doanh thu'!F:F)</f>
        <v>37947.800000000003</v>
      </c>
    </row>
    <row r="317" spans="2:11" ht="13.2">
      <c r="B317" s="101">
        <v>1</v>
      </c>
      <c r="C317" s="28" t="s">
        <v>1068</v>
      </c>
      <c r="D317" s="28" t="s">
        <v>1069</v>
      </c>
      <c r="E317" s="101" t="s">
        <v>1037</v>
      </c>
      <c r="F317" s="102">
        <f>+ SUMIF('Nhập kho T42024'!B:B, C317,'Nhập kho T42024'!F:F)</f>
        <v>0</v>
      </c>
      <c r="G317" s="100">
        <f>+ (SUMIF('Nhập kho T42024'!B:B, C317,'Nhập kho T42024'!G:G))*3500</f>
        <v>0</v>
      </c>
      <c r="H317" s="101">
        <f>+ SUMIF('Doanh thu'!A:A, C317,'Doanh thu'!E:E)</f>
        <v>1</v>
      </c>
      <c r="I317" s="101">
        <f>F317-H317</f>
        <v>-1</v>
      </c>
      <c r="J317" s="103">
        <f t="shared" si="43"/>
        <v>9900</v>
      </c>
      <c r="K317" s="104">
        <f>+ SUMIF('Doanh thu'!A:A, C317,'Doanh thu'!F:F)</f>
        <v>9900</v>
      </c>
    </row>
    <row r="318" spans="2:11" ht="13.2">
      <c r="B318" s="101">
        <v>1</v>
      </c>
      <c r="C318" s="28" t="s">
        <v>1070</v>
      </c>
      <c r="D318" s="28" t="s">
        <v>1071</v>
      </c>
      <c r="E318" s="101" t="s">
        <v>1037</v>
      </c>
      <c r="F318" s="102">
        <f>+ SUMIF('Nhập kho T42024'!B:B, C318,'Nhập kho T42024'!F:F)</f>
        <v>0</v>
      </c>
      <c r="G318" s="100">
        <f>+ (SUMIF('Nhập kho T42024'!B:B, C318,'Nhập kho T42024'!G:G))*3500</f>
        <v>0</v>
      </c>
      <c r="H318" s="101">
        <f>+ SUMIF('Doanh thu'!A:A, C318,'Doanh thu'!E:E)</f>
        <v>3</v>
      </c>
      <c r="I318" s="101">
        <f>F318-H318+2</f>
        <v>-1</v>
      </c>
      <c r="J318" s="103">
        <f t="shared" si="43"/>
        <v>26395.599999999999</v>
      </c>
      <c r="K318" s="104">
        <f>+ SUMIF('Doanh thu'!A:A, C318,'Doanh thu'!F:F)</f>
        <v>26395.599999999999</v>
      </c>
    </row>
    <row r="319" spans="2:11" ht="13.2">
      <c r="B319" s="101">
        <v>1</v>
      </c>
      <c r="C319" s="28" t="s">
        <v>1072</v>
      </c>
      <c r="D319" s="28" t="s">
        <v>1073</v>
      </c>
      <c r="E319" s="101" t="s">
        <v>1037</v>
      </c>
      <c r="F319" s="102">
        <f>+ SUMIF('Nhập kho T42024'!B:B, C319,'Nhập kho T42024'!F:F)</f>
        <v>0</v>
      </c>
      <c r="G319" s="100">
        <f>+ (SUMIF('Nhập kho T42024'!B:B, C319,'Nhập kho T42024'!G:G))*3500</f>
        <v>0</v>
      </c>
      <c r="H319" s="101">
        <f>+ SUMIF('Doanh thu'!A:A, C319,'Doanh thu'!E:E)</f>
        <v>1</v>
      </c>
      <c r="I319" s="101">
        <f>F319-H319</f>
        <v>-1</v>
      </c>
      <c r="J319" s="103">
        <f t="shared" si="43"/>
        <v>9900</v>
      </c>
      <c r="K319" s="104">
        <f>+ SUMIF('Doanh thu'!A:A, C319,'Doanh thu'!F:F)</f>
        <v>9900</v>
      </c>
    </row>
    <row r="320" spans="2:11" ht="13.2">
      <c r="B320" s="101">
        <v>1</v>
      </c>
      <c r="C320" s="28" t="s">
        <v>1074</v>
      </c>
      <c r="D320" s="28" t="s">
        <v>1075</v>
      </c>
      <c r="E320" s="101" t="s">
        <v>1037</v>
      </c>
      <c r="F320" s="102">
        <f>+ SUMIF('Nhập kho T42024'!B:B, C320,'Nhập kho T42024'!F:F)</f>
        <v>0</v>
      </c>
      <c r="G320" s="100">
        <f>+ (SUMIF('Nhập kho T42024'!B:B, C320,'Nhập kho T42024'!G:G))*3500</f>
        <v>0</v>
      </c>
      <c r="H320" s="101">
        <f>+ SUMIF('Doanh thu'!A:A, C320,'Doanh thu'!E:E)</f>
        <v>2</v>
      </c>
      <c r="I320" s="101">
        <f>F320-H320+2</f>
        <v>0</v>
      </c>
      <c r="J320" s="103">
        <f t="shared" si="43"/>
        <v>19800</v>
      </c>
      <c r="K320" s="104">
        <f>+ SUMIF('Doanh thu'!A:A, C320,'Doanh thu'!F:F)</f>
        <v>19800</v>
      </c>
    </row>
    <row r="321" spans="2:11" ht="13.2">
      <c r="B321" s="101">
        <v>1</v>
      </c>
      <c r="C321" s="28" t="s">
        <v>1076</v>
      </c>
      <c r="D321" s="28" t="s">
        <v>1077</v>
      </c>
      <c r="E321" s="101" t="s">
        <v>1037</v>
      </c>
      <c r="F321" s="102">
        <f>+ SUMIF('Nhập kho T42024'!B:B, C321,'Nhập kho T42024'!F:F)</f>
        <v>0</v>
      </c>
      <c r="G321" s="100">
        <f>+ (SUMIF('Nhập kho T42024'!B:B, C321,'Nhập kho T42024'!G:G))*3500</f>
        <v>0</v>
      </c>
      <c r="H321" s="101">
        <f>+ SUMIF('Doanh thu'!A:A, C321,'Doanh thu'!E:E)</f>
        <v>1</v>
      </c>
      <c r="I321" s="101">
        <f>F321-H321+1</f>
        <v>0</v>
      </c>
      <c r="J321" s="103">
        <f t="shared" si="43"/>
        <v>9900</v>
      </c>
      <c r="K321" s="104">
        <f>+ SUMIF('Doanh thu'!A:A, C321,'Doanh thu'!F:F)</f>
        <v>9900</v>
      </c>
    </row>
    <row r="322" spans="2:11" ht="13.2">
      <c r="B322" s="101">
        <v>1</v>
      </c>
      <c r="C322" s="28" t="s">
        <v>1078</v>
      </c>
      <c r="D322" s="28" t="s">
        <v>1079</v>
      </c>
      <c r="E322" s="101" t="s">
        <v>1037</v>
      </c>
      <c r="F322" s="102">
        <f>+ SUMIF('Nhập kho T42024'!B:B, C322,'Nhập kho T42024'!F:F)</f>
        <v>0</v>
      </c>
      <c r="G322" s="100">
        <f>+ (SUMIF('Nhập kho T42024'!B:B, C322,'Nhập kho T42024'!G:G))*3500</f>
        <v>0</v>
      </c>
      <c r="H322" s="101">
        <f>+ SUMIF('Doanh thu'!A:A, C322,'Doanh thu'!E:E)</f>
        <v>0</v>
      </c>
      <c r="I322" s="101">
        <f>F322-H322</f>
        <v>0</v>
      </c>
      <c r="J322" s="103">
        <f t="shared" si="43"/>
        <v>0</v>
      </c>
      <c r="K322" s="104">
        <f>+ SUMIF('Doanh thu'!A:A, C322,'Doanh thu'!F:F)</f>
        <v>0</v>
      </c>
    </row>
    <row r="323" spans="2:11" ht="13.2">
      <c r="B323" s="101">
        <v>1</v>
      </c>
      <c r="C323" s="28" t="s">
        <v>1080</v>
      </c>
      <c r="D323" s="28" t="s">
        <v>1081</v>
      </c>
      <c r="E323" s="101" t="s">
        <v>1037</v>
      </c>
      <c r="F323" s="102">
        <f>+ SUMIF('Nhập kho T42024'!B:B, C323,'Nhập kho T42024'!F:F)</f>
        <v>0</v>
      </c>
      <c r="G323" s="100">
        <f>+ (SUMIF('Nhập kho T42024'!B:B, C323,'Nhập kho T42024'!G:G))*3500</f>
        <v>0</v>
      </c>
      <c r="H323" s="101">
        <f>+ SUMIF('Doanh thu'!A:A, C323,'Doanh thu'!E:E)</f>
        <v>2</v>
      </c>
      <c r="I323" s="101">
        <f t="shared" ref="I323:I324" si="52">F323-H323+2</f>
        <v>0</v>
      </c>
      <c r="J323" s="103">
        <f t="shared" si="43"/>
        <v>19800</v>
      </c>
      <c r="K323" s="104">
        <f>+ SUMIF('Doanh thu'!A:A, C323,'Doanh thu'!F:F)</f>
        <v>19800</v>
      </c>
    </row>
    <row r="324" spans="2:11" ht="13.2">
      <c r="B324" s="101">
        <v>1</v>
      </c>
      <c r="C324" s="28" t="s">
        <v>1082</v>
      </c>
      <c r="D324" s="28" t="s">
        <v>1083</v>
      </c>
      <c r="E324" s="101" t="s">
        <v>1037</v>
      </c>
      <c r="F324" s="102">
        <f>+ SUMIF('Nhập kho T42024'!B:B, C324,'Nhập kho T42024'!F:F)</f>
        <v>0</v>
      </c>
      <c r="G324" s="100">
        <f>+ (SUMIF('Nhập kho T42024'!B:B, C324,'Nhập kho T42024'!G:G))*3500</f>
        <v>0</v>
      </c>
      <c r="H324" s="101">
        <f>+ SUMIF('Doanh thu'!A:A, C324,'Doanh thu'!E:E)</f>
        <v>2</v>
      </c>
      <c r="I324" s="101">
        <f t="shared" si="52"/>
        <v>0</v>
      </c>
      <c r="J324" s="103">
        <f t="shared" si="43"/>
        <v>19800</v>
      </c>
      <c r="K324" s="104">
        <f>+ SUMIF('Doanh thu'!A:A, C324,'Doanh thu'!F:F)</f>
        <v>19800</v>
      </c>
    </row>
    <row r="325" spans="2:11" ht="13.2">
      <c r="B325" s="101">
        <v>1</v>
      </c>
      <c r="C325" s="28" t="s">
        <v>1084</v>
      </c>
      <c r="D325" s="28" t="s">
        <v>1085</v>
      </c>
      <c r="E325" s="101" t="s">
        <v>1037</v>
      </c>
      <c r="F325" s="102">
        <f>+ SUMIF('Nhập kho T42024'!B:B, C325,'Nhập kho T42024'!F:F)</f>
        <v>0</v>
      </c>
      <c r="G325" s="100">
        <f>+ (SUMIF('Nhập kho T42024'!B:B, C325,'Nhập kho T42024'!G:G))*3500</f>
        <v>0</v>
      </c>
      <c r="H325" s="101">
        <f>+ SUMIF('Doanh thu'!A:A, C325,'Doanh thu'!E:E)</f>
        <v>1</v>
      </c>
      <c r="I325" s="101">
        <f t="shared" ref="I325:I329" si="53">F325-H325</f>
        <v>-1</v>
      </c>
      <c r="J325" s="103">
        <f t="shared" si="43"/>
        <v>9900</v>
      </c>
      <c r="K325" s="104">
        <f>+ SUMIF('Doanh thu'!A:A, C325,'Doanh thu'!F:F)</f>
        <v>9900</v>
      </c>
    </row>
    <row r="326" spans="2:11" ht="13.2">
      <c r="B326" s="101">
        <v>1</v>
      </c>
      <c r="C326" s="28" t="s">
        <v>1086</v>
      </c>
      <c r="D326" s="28" t="s">
        <v>1087</v>
      </c>
      <c r="E326" s="101" t="s">
        <v>1037</v>
      </c>
      <c r="F326" s="102">
        <f>+ SUMIF('Nhập kho T42024'!B:B, C326,'Nhập kho T42024'!F:F)</f>
        <v>0</v>
      </c>
      <c r="G326" s="100">
        <f>+ (SUMIF('Nhập kho T42024'!B:B, C326,'Nhập kho T42024'!G:G))*3500</f>
        <v>0</v>
      </c>
      <c r="H326" s="101">
        <f>+ SUMIF('Doanh thu'!A:A, C326,'Doanh thu'!E:E)</f>
        <v>1</v>
      </c>
      <c r="I326" s="101">
        <f t="shared" si="53"/>
        <v>-1</v>
      </c>
      <c r="J326" s="103">
        <f t="shared" si="43"/>
        <v>9900</v>
      </c>
      <c r="K326" s="104">
        <f>+ SUMIF('Doanh thu'!A:A, C326,'Doanh thu'!F:F)</f>
        <v>9900</v>
      </c>
    </row>
    <row r="327" spans="2:11" ht="13.2">
      <c r="B327" s="101">
        <v>1</v>
      </c>
      <c r="C327" s="28" t="s">
        <v>1088</v>
      </c>
      <c r="D327" s="28" t="s">
        <v>1089</v>
      </c>
      <c r="E327" s="101" t="s">
        <v>1037</v>
      </c>
      <c r="F327" s="102">
        <f>+ SUMIF('Nhập kho T42024'!B:B, C327,'Nhập kho T42024'!F:F)</f>
        <v>0</v>
      </c>
      <c r="G327" s="100">
        <f>+ (SUMIF('Nhập kho T42024'!B:B, C327,'Nhập kho T42024'!G:G))*3500</f>
        <v>0</v>
      </c>
      <c r="H327" s="101">
        <f>+ SUMIF('Doanh thu'!A:A, C327,'Doanh thu'!E:E)</f>
        <v>1</v>
      </c>
      <c r="I327" s="101">
        <f t="shared" si="53"/>
        <v>-1</v>
      </c>
      <c r="J327" s="103">
        <f t="shared" si="43"/>
        <v>9900</v>
      </c>
      <c r="K327" s="104">
        <f>+ SUMIF('Doanh thu'!A:A, C327,'Doanh thu'!F:F)</f>
        <v>9900</v>
      </c>
    </row>
    <row r="328" spans="2:11" ht="13.2">
      <c r="B328" s="101">
        <v>1</v>
      </c>
      <c r="C328" s="28" t="s">
        <v>1090</v>
      </c>
      <c r="D328" s="28" t="s">
        <v>1091</v>
      </c>
      <c r="E328" s="101" t="s">
        <v>1037</v>
      </c>
      <c r="F328" s="102">
        <f>+ SUMIF('Nhập kho T42024'!B:B, C328,'Nhập kho T42024'!F:F)</f>
        <v>0</v>
      </c>
      <c r="G328" s="100">
        <f>+ (SUMIF('Nhập kho T42024'!B:B, C328,'Nhập kho T42024'!G:G))*3500</f>
        <v>0</v>
      </c>
      <c r="H328" s="101">
        <f>+ SUMIF('Doanh thu'!A:A, C328,'Doanh thu'!E:E)</f>
        <v>1</v>
      </c>
      <c r="I328" s="101">
        <f t="shared" si="53"/>
        <v>-1</v>
      </c>
      <c r="J328" s="103">
        <f t="shared" si="43"/>
        <v>9900</v>
      </c>
      <c r="K328" s="104">
        <f>+ SUMIF('Doanh thu'!A:A, C328,'Doanh thu'!F:F)</f>
        <v>9900</v>
      </c>
    </row>
    <row r="329" spans="2:11" ht="13.2">
      <c r="B329" s="101">
        <v>1</v>
      </c>
      <c r="C329" s="28" t="s">
        <v>1092</v>
      </c>
      <c r="D329" s="28" t="s">
        <v>1093</v>
      </c>
      <c r="E329" s="101" t="s">
        <v>1037</v>
      </c>
      <c r="F329" s="102">
        <f>+ SUMIF('Nhập kho T42024'!B:B, C329,'Nhập kho T42024'!F:F)</f>
        <v>0</v>
      </c>
      <c r="G329" s="100">
        <f>+ (SUMIF('Nhập kho T42024'!B:B, C329,'Nhập kho T42024'!G:G))*3500</f>
        <v>0</v>
      </c>
      <c r="H329" s="101">
        <f>+ SUMIF('Doanh thu'!A:A, C329,'Doanh thu'!E:E)</f>
        <v>1</v>
      </c>
      <c r="I329" s="101">
        <f t="shared" si="53"/>
        <v>-1</v>
      </c>
      <c r="J329" s="103">
        <f t="shared" si="43"/>
        <v>9900</v>
      </c>
      <c r="K329" s="104">
        <f>+ SUMIF('Doanh thu'!A:A, C329,'Doanh thu'!F:F)</f>
        <v>9900</v>
      </c>
    </row>
    <row r="330" spans="2:11" ht="13.2">
      <c r="B330" s="101">
        <v>1</v>
      </c>
      <c r="C330" s="28" t="s">
        <v>1094</v>
      </c>
      <c r="D330" s="28" t="s">
        <v>1095</v>
      </c>
      <c r="E330" s="101" t="s">
        <v>1037</v>
      </c>
      <c r="F330" s="102">
        <f>+ SUMIF('Nhập kho T42024'!B:B, C330,'Nhập kho T42024'!F:F)</f>
        <v>0</v>
      </c>
      <c r="G330" s="100">
        <f>+ (SUMIF('Nhập kho T42024'!B:B, C330,'Nhập kho T42024'!G:G))*3500</f>
        <v>0</v>
      </c>
      <c r="H330" s="101">
        <f>+ SUMIF('Doanh thu'!A:A, C330,'Doanh thu'!E:E)</f>
        <v>3</v>
      </c>
      <c r="I330" s="101">
        <f>F330-H330+3</f>
        <v>0</v>
      </c>
      <c r="J330" s="103">
        <f t="shared" si="43"/>
        <v>47700</v>
      </c>
      <c r="K330" s="104">
        <f>+ SUMIF('Doanh thu'!A:A, C330,'Doanh thu'!F:F)</f>
        <v>47700</v>
      </c>
    </row>
    <row r="331" spans="2:11" ht="13.2">
      <c r="B331" s="101">
        <v>1</v>
      </c>
      <c r="C331" s="28" t="s">
        <v>1096</v>
      </c>
      <c r="D331" s="28" t="s">
        <v>1097</v>
      </c>
      <c r="E331" s="101" t="s">
        <v>1037</v>
      </c>
      <c r="F331" s="102">
        <f>+ SUMIF('Nhập kho T42024'!B:B, C331,'Nhập kho T42024'!F:F)</f>
        <v>0</v>
      </c>
      <c r="G331" s="100">
        <f>+ (SUMIF('Nhập kho T42024'!B:B, C331,'Nhập kho T42024'!G:G))*3500</f>
        <v>0</v>
      </c>
      <c r="H331" s="101">
        <f>+ SUMIF('Doanh thu'!A:A, C331,'Doanh thu'!E:E)</f>
        <v>2</v>
      </c>
      <c r="I331" s="101">
        <f>F331-H331+2</f>
        <v>0</v>
      </c>
      <c r="J331" s="103">
        <f t="shared" si="43"/>
        <v>31800</v>
      </c>
      <c r="K331" s="104">
        <f>+ SUMIF('Doanh thu'!A:A, C331,'Doanh thu'!F:F)</f>
        <v>31800</v>
      </c>
    </row>
    <row r="332" spans="2:11" ht="13.2">
      <c r="B332" s="101">
        <v>1</v>
      </c>
      <c r="C332" s="28" t="s">
        <v>1098</v>
      </c>
      <c r="D332" s="28" t="s">
        <v>1099</v>
      </c>
      <c r="E332" s="101" t="s">
        <v>1037</v>
      </c>
      <c r="F332" s="102">
        <f>+ SUMIF('Nhập kho T42024'!B:B, C332,'Nhập kho T42024'!F:F)</f>
        <v>0</v>
      </c>
      <c r="G332" s="100">
        <f>+ (SUMIF('Nhập kho T42024'!B:B, C332,'Nhập kho T42024'!G:G))*3500</f>
        <v>0</v>
      </c>
      <c r="H332" s="101">
        <f>+ SUMIF('Doanh thu'!A:A, C332,'Doanh thu'!E:E)</f>
        <v>3</v>
      </c>
      <c r="I332" s="101">
        <f t="shared" ref="I332:I334" si="54">F332-H332+3</f>
        <v>0</v>
      </c>
      <c r="J332" s="103">
        <f t="shared" si="43"/>
        <v>47700</v>
      </c>
      <c r="K332" s="104">
        <f>+ SUMIF('Doanh thu'!A:A, C332,'Doanh thu'!F:F)</f>
        <v>47700</v>
      </c>
    </row>
    <row r="333" spans="2:11" ht="13.2">
      <c r="B333" s="101">
        <v>1</v>
      </c>
      <c r="C333" s="28" t="s">
        <v>1100</v>
      </c>
      <c r="D333" s="28" t="s">
        <v>1101</v>
      </c>
      <c r="E333" s="101" t="s">
        <v>1037</v>
      </c>
      <c r="F333" s="102">
        <f>+ SUMIF('Nhập kho T42024'!B:B, C333,'Nhập kho T42024'!F:F)</f>
        <v>0</v>
      </c>
      <c r="G333" s="100">
        <f>+ (SUMIF('Nhập kho T42024'!B:B, C333,'Nhập kho T42024'!G:G))*3500</f>
        <v>0</v>
      </c>
      <c r="H333" s="101">
        <f>+ SUMIF('Doanh thu'!A:A, C333,'Doanh thu'!E:E)</f>
        <v>3</v>
      </c>
      <c r="I333" s="101">
        <f t="shared" si="54"/>
        <v>0</v>
      </c>
      <c r="J333" s="103">
        <f t="shared" si="43"/>
        <v>47138</v>
      </c>
      <c r="K333" s="104">
        <f>+ SUMIF('Doanh thu'!A:A, C333,'Doanh thu'!F:F)</f>
        <v>47138</v>
      </c>
    </row>
    <row r="334" spans="2:11" ht="13.2">
      <c r="B334" s="101">
        <v>1</v>
      </c>
      <c r="C334" s="28" t="s">
        <v>1102</v>
      </c>
      <c r="D334" s="28" t="s">
        <v>1103</v>
      </c>
      <c r="E334" s="101" t="s">
        <v>1037</v>
      </c>
      <c r="F334" s="102">
        <f>+ SUMIF('Nhập kho T42024'!B:B, C334,'Nhập kho T42024'!F:F)</f>
        <v>0</v>
      </c>
      <c r="G334" s="100">
        <f>+ (SUMIF('Nhập kho T42024'!B:B, C334,'Nhập kho T42024'!G:G))*3500</f>
        <v>0</v>
      </c>
      <c r="H334" s="101">
        <f>+ SUMIF('Doanh thu'!A:A, C334,'Doanh thu'!E:E)</f>
        <v>3</v>
      </c>
      <c r="I334" s="101">
        <f t="shared" si="54"/>
        <v>0</v>
      </c>
      <c r="J334" s="103">
        <f t="shared" si="43"/>
        <v>59400</v>
      </c>
      <c r="K334" s="104">
        <f>+ SUMIF('Doanh thu'!A:A, C334,'Doanh thu'!F:F)</f>
        <v>59400</v>
      </c>
    </row>
    <row r="335" spans="2:11" ht="13.2">
      <c r="B335" s="101">
        <v>1</v>
      </c>
      <c r="C335" s="28" t="s">
        <v>1104</v>
      </c>
      <c r="D335" s="28" t="s">
        <v>1105</v>
      </c>
      <c r="E335" s="101" t="s">
        <v>1037</v>
      </c>
      <c r="F335" s="102">
        <f>+ SUMIF('Nhập kho T42024'!B:B, C335,'Nhập kho T42024'!F:F)</f>
        <v>0</v>
      </c>
      <c r="G335" s="100">
        <f>+ (SUMIF('Nhập kho T42024'!B:B, C335,'Nhập kho T42024'!G:G))*3500</f>
        <v>0</v>
      </c>
      <c r="H335" s="101">
        <f>+ SUMIF('Doanh thu'!A:A, C335,'Doanh thu'!E:E)</f>
        <v>4</v>
      </c>
      <c r="I335" s="101">
        <f>F335-H335+4</f>
        <v>0</v>
      </c>
      <c r="J335" s="103">
        <f t="shared" si="43"/>
        <v>79200</v>
      </c>
      <c r="K335" s="104">
        <f>+ SUMIF('Doanh thu'!A:A, C335,'Doanh thu'!F:F)</f>
        <v>79200</v>
      </c>
    </row>
    <row r="336" spans="2:11" ht="13.2">
      <c r="B336" s="101">
        <v>1</v>
      </c>
      <c r="C336" s="28" t="s">
        <v>1106</v>
      </c>
      <c r="D336" s="28" t="s">
        <v>1107</v>
      </c>
      <c r="E336" s="101" t="s">
        <v>1037</v>
      </c>
      <c r="F336" s="102">
        <f>+ SUMIF('Nhập kho T42024'!B:B, C336,'Nhập kho T42024'!F:F)</f>
        <v>0</v>
      </c>
      <c r="G336" s="100">
        <f>+ (SUMIF('Nhập kho T42024'!B:B, C336,'Nhập kho T42024'!G:G))*3500</f>
        <v>0</v>
      </c>
      <c r="H336" s="101">
        <f>+ SUMIF('Doanh thu'!A:A, C336,'Doanh thu'!E:E)</f>
        <v>5</v>
      </c>
      <c r="I336" s="101">
        <f>F336-H336+5</f>
        <v>0</v>
      </c>
      <c r="J336" s="103">
        <f t="shared" si="43"/>
        <v>99000</v>
      </c>
      <c r="K336" s="104">
        <f>+ SUMIF('Doanh thu'!A:A, C336,'Doanh thu'!F:F)</f>
        <v>99000</v>
      </c>
    </row>
    <row r="337" spans="2:11" ht="13.2">
      <c r="B337" s="101">
        <v>1</v>
      </c>
      <c r="C337" s="28" t="s">
        <v>1108</v>
      </c>
      <c r="D337" s="28" t="s">
        <v>1099</v>
      </c>
      <c r="E337" s="101" t="s">
        <v>1037</v>
      </c>
      <c r="F337" s="102">
        <f>+ SUMIF('Nhập kho T42024'!B:B, C337,'Nhập kho T42024'!F:F)</f>
        <v>0</v>
      </c>
      <c r="G337" s="100">
        <f>+ (SUMIF('Nhập kho T42024'!B:B, C337,'Nhập kho T42024'!G:G))*3500</f>
        <v>0</v>
      </c>
      <c r="H337" s="101">
        <f>+ SUMIF('Doanh thu'!A:A, C337,'Doanh thu'!E:E)</f>
        <v>4</v>
      </c>
      <c r="I337" s="101">
        <f>F337-H337+4</f>
        <v>0</v>
      </c>
      <c r="J337" s="103">
        <f t="shared" si="43"/>
        <v>79200</v>
      </c>
      <c r="K337" s="104">
        <f>+ SUMIF('Doanh thu'!A:A, C337,'Doanh thu'!F:F)</f>
        <v>79200</v>
      </c>
    </row>
    <row r="338" spans="2:11" ht="13.2">
      <c r="B338" s="101">
        <v>1</v>
      </c>
      <c r="C338" s="28" t="s">
        <v>1109</v>
      </c>
      <c r="D338" s="28" t="s">
        <v>1110</v>
      </c>
      <c r="E338" s="101" t="s">
        <v>1037</v>
      </c>
      <c r="F338" s="102">
        <f>+ SUMIF('Nhập kho T42024'!B:B, C338,'Nhập kho T42024'!F:F)</f>
        <v>0</v>
      </c>
      <c r="G338" s="100">
        <f>+ (SUMIF('Nhập kho T42024'!B:B, C338,'Nhập kho T42024'!G:G))*3500</f>
        <v>0</v>
      </c>
      <c r="H338" s="101">
        <f>+ SUMIF('Doanh thu'!A:A, C338,'Doanh thu'!E:E)</f>
        <v>2</v>
      </c>
      <c r="I338" s="101">
        <f>F338-H338+2</f>
        <v>0</v>
      </c>
      <c r="J338" s="103">
        <f t="shared" si="43"/>
        <v>39600</v>
      </c>
      <c r="K338" s="104">
        <f>+ SUMIF('Doanh thu'!A:A, C338,'Doanh thu'!F:F)</f>
        <v>39600</v>
      </c>
    </row>
    <row r="339" spans="2:11" ht="13.2">
      <c r="B339" s="101"/>
      <c r="C339" s="28"/>
      <c r="D339" s="28"/>
      <c r="E339" s="101"/>
      <c r="F339" s="102"/>
      <c r="G339" s="100"/>
      <c r="H339" s="101"/>
      <c r="I339" s="101"/>
      <c r="J339" s="103"/>
      <c r="K339" s="104"/>
    </row>
    <row r="340" spans="2:11" ht="13.2">
      <c r="B340" s="101">
        <v>242</v>
      </c>
      <c r="C340" s="28"/>
      <c r="D340" s="30"/>
      <c r="E340" s="227"/>
      <c r="F340" s="156"/>
      <c r="G340" s="100"/>
      <c r="H340" s="101">
        <f>+ SUMIF('Doanh thu'!A:A, C340,'Doanh thu'!E:E)</f>
        <v>0</v>
      </c>
      <c r="I340" s="101">
        <f t="shared" ref="I340:I375" si="55">F340-H340</f>
        <v>0</v>
      </c>
      <c r="J340" s="228"/>
      <c r="K340" s="136"/>
    </row>
    <row r="341" spans="2:11" ht="13.2">
      <c r="B341" s="101">
        <v>243</v>
      </c>
      <c r="C341" s="30"/>
      <c r="D341" s="30"/>
      <c r="E341" s="227"/>
      <c r="F341" s="156"/>
      <c r="G341" s="100"/>
      <c r="H341" s="101">
        <f>+ SUMIF('Doanh thu'!A:A, C341,'Doanh thu'!E:E)</f>
        <v>0</v>
      </c>
      <c r="I341" s="101">
        <f t="shared" si="55"/>
        <v>0</v>
      </c>
      <c r="J341" s="228"/>
      <c r="K341" s="136"/>
    </row>
    <row r="342" spans="2:11" ht="13.2">
      <c r="B342" s="101">
        <v>244</v>
      </c>
      <c r="C342" s="30"/>
      <c r="D342" s="30"/>
      <c r="E342" s="227"/>
      <c r="F342" s="156"/>
      <c r="G342" s="100"/>
      <c r="H342" s="101">
        <f>+ SUMIF('Doanh thu'!A:A, C342,'Doanh thu'!E:E)</f>
        <v>0</v>
      </c>
      <c r="I342" s="101">
        <f t="shared" si="55"/>
        <v>0</v>
      </c>
      <c r="J342" s="228"/>
      <c r="K342" s="136"/>
    </row>
    <row r="343" spans="2:11" ht="13.2">
      <c r="B343" s="101">
        <v>245</v>
      </c>
      <c r="C343" s="30"/>
      <c r="D343" s="30"/>
      <c r="E343" s="227"/>
      <c r="F343" s="156"/>
      <c r="G343" s="100"/>
      <c r="H343" s="101">
        <f>+ SUMIF('Doanh thu'!A:A, C343,'Doanh thu'!E:E)</f>
        <v>0</v>
      </c>
      <c r="I343" s="101">
        <f t="shared" si="55"/>
        <v>0</v>
      </c>
      <c r="J343" s="228"/>
      <c r="K343" s="136"/>
    </row>
    <row r="344" spans="2:11" ht="13.2">
      <c r="B344" s="101">
        <v>246</v>
      </c>
      <c r="C344" s="30"/>
      <c r="D344" s="30"/>
      <c r="E344" s="227"/>
      <c r="F344" s="156"/>
      <c r="G344" s="100"/>
      <c r="H344" s="101">
        <f>+ SUMIF('Doanh thu'!A:A, C344,'Doanh thu'!E:E)</f>
        <v>0</v>
      </c>
      <c r="I344" s="101">
        <f t="shared" si="55"/>
        <v>0</v>
      </c>
      <c r="J344" s="228"/>
      <c r="K344" s="136"/>
    </row>
    <row r="345" spans="2:11" ht="13.2">
      <c r="B345" s="101">
        <v>247</v>
      </c>
      <c r="C345" s="30"/>
      <c r="D345" s="30"/>
      <c r="E345" s="227"/>
      <c r="F345" s="156"/>
      <c r="G345" s="100"/>
      <c r="H345" s="101">
        <f>+ SUMIF('Doanh thu'!A:A, C345,'Doanh thu'!E:E)</f>
        <v>0</v>
      </c>
      <c r="I345" s="101">
        <f t="shared" si="55"/>
        <v>0</v>
      </c>
      <c r="J345" s="228"/>
      <c r="K345" s="136"/>
    </row>
    <row r="346" spans="2:11" ht="13.2">
      <c r="B346" s="101">
        <v>248</v>
      </c>
      <c r="C346" s="30"/>
      <c r="D346" s="30"/>
      <c r="E346" s="227"/>
      <c r="F346" s="156"/>
      <c r="G346" s="100"/>
      <c r="H346" s="101">
        <f>+ SUMIF('Doanh thu'!A:A, C346,'Doanh thu'!E:E)</f>
        <v>0</v>
      </c>
      <c r="I346" s="101">
        <f t="shared" si="55"/>
        <v>0</v>
      </c>
      <c r="J346" s="228"/>
      <c r="K346" s="136"/>
    </row>
    <row r="347" spans="2:11" ht="13.2">
      <c r="B347" s="101">
        <v>249</v>
      </c>
      <c r="C347" s="30"/>
      <c r="D347" s="30"/>
      <c r="E347" s="227"/>
      <c r="F347" s="156"/>
      <c r="G347" s="100"/>
      <c r="H347" s="101">
        <f>+ SUMIF('Doanh thu'!A:A, C347,'Doanh thu'!E:E)</f>
        <v>0</v>
      </c>
      <c r="I347" s="101">
        <f t="shared" si="55"/>
        <v>0</v>
      </c>
      <c r="J347" s="228"/>
      <c r="K347" s="136"/>
    </row>
    <row r="348" spans="2:11" ht="13.2">
      <c r="B348" s="101">
        <v>250</v>
      </c>
      <c r="C348" s="30"/>
      <c r="D348" s="30"/>
      <c r="E348" s="227"/>
      <c r="F348" s="156"/>
      <c r="G348" s="100"/>
      <c r="H348" s="101">
        <f>+ SUMIF('Doanh thu'!A:A, C348,'Doanh thu'!E:E)</f>
        <v>0</v>
      </c>
      <c r="I348" s="101">
        <f t="shared" si="55"/>
        <v>0</v>
      </c>
      <c r="J348" s="228"/>
      <c r="K348" s="136"/>
    </row>
    <row r="349" spans="2:11" ht="13.2">
      <c r="B349" s="101">
        <v>251</v>
      </c>
      <c r="C349" s="30"/>
      <c r="D349" s="30"/>
      <c r="E349" s="227"/>
      <c r="F349" s="156"/>
      <c r="G349" s="100"/>
      <c r="H349" s="101">
        <f>+ SUMIF('Doanh thu'!A:A, C349,'Doanh thu'!E:E)</f>
        <v>0</v>
      </c>
      <c r="I349" s="101">
        <f t="shared" si="55"/>
        <v>0</v>
      </c>
      <c r="J349" s="228"/>
      <c r="K349" s="136"/>
    </row>
    <row r="350" spans="2:11" ht="13.2">
      <c r="B350" s="101">
        <v>252</v>
      </c>
      <c r="C350" s="30"/>
      <c r="D350" s="30"/>
      <c r="E350" s="227"/>
      <c r="F350" s="156"/>
      <c r="G350" s="100"/>
      <c r="H350" s="101">
        <f>+ SUMIF('Doanh thu'!A:A, C350,'Doanh thu'!E:E)</f>
        <v>0</v>
      </c>
      <c r="I350" s="101">
        <f t="shared" si="55"/>
        <v>0</v>
      </c>
      <c r="J350" s="228"/>
      <c r="K350" s="136"/>
    </row>
    <row r="351" spans="2:11" ht="13.2">
      <c r="B351" s="101">
        <v>253</v>
      </c>
      <c r="C351" s="30"/>
      <c r="D351" s="30"/>
      <c r="E351" s="227"/>
      <c r="F351" s="156"/>
      <c r="G351" s="100"/>
      <c r="H351" s="101">
        <f>+ SUMIF('Doanh thu'!A:A, C351,'Doanh thu'!E:E)</f>
        <v>0</v>
      </c>
      <c r="I351" s="101">
        <f t="shared" si="55"/>
        <v>0</v>
      </c>
      <c r="J351" s="228"/>
      <c r="K351" s="136"/>
    </row>
    <row r="352" spans="2:11" ht="13.2">
      <c r="B352" s="101">
        <v>254</v>
      </c>
      <c r="C352" s="30"/>
      <c r="D352" s="30"/>
      <c r="E352" s="227"/>
      <c r="F352" s="156"/>
      <c r="G352" s="100"/>
      <c r="H352" s="101">
        <f>+ SUMIF('Doanh thu'!A:A, C352,'Doanh thu'!E:E)</f>
        <v>0</v>
      </c>
      <c r="I352" s="101">
        <f t="shared" si="55"/>
        <v>0</v>
      </c>
      <c r="J352" s="228"/>
      <c r="K352" s="136"/>
    </row>
    <row r="353" spans="2:11" ht="13.2">
      <c r="B353" s="101">
        <v>255</v>
      </c>
      <c r="C353" s="30"/>
      <c r="D353" s="30"/>
      <c r="E353" s="227"/>
      <c r="F353" s="156"/>
      <c r="G353" s="100"/>
      <c r="H353" s="101">
        <f>+ SUMIF('Doanh thu'!A:A, C353,'Doanh thu'!E:E)</f>
        <v>0</v>
      </c>
      <c r="I353" s="101">
        <f t="shared" si="55"/>
        <v>0</v>
      </c>
      <c r="J353" s="228"/>
      <c r="K353" s="136"/>
    </row>
    <row r="354" spans="2:11" ht="13.2">
      <c r="B354" s="101">
        <v>256</v>
      </c>
      <c r="C354" s="30"/>
      <c r="D354" s="30"/>
      <c r="E354" s="227"/>
      <c r="F354" s="156"/>
      <c r="G354" s="100"/>
      <c r="H354" s="101">
        <f>+ SUMIF('Doanh thu'!A:A, C354,'Doanh thu'!E:E)</f>
        <v>0</v>
      </c>
      <c r="I354" s="101">
        <f t="shared" si="55"/>
        <v>0</v>
      </c>
      <c r="J354" s="228"/>
      <c r="K354" s="136"/>
    </row>
    <row r="355" spans="2:11" ht="13.2">
      <c r="B355" s="101">
        <v>257</v>
      </c>
      <c r="C355" s="30"/>
      <c r="D355" s="30"/>
      <c r="E355" s="227"/>
      <c r="F355" s="156"/>
      <c r="G355" s="100"/>
      <c r="H355" s="101">
        <f>+ SUMIF('Doanh thu'!A:A, C355,'Doanh thu'!E:E)</f>
        <v>0</v>
      </c>
      <c r="I355" s="101">
        <f t="shared" si="55"/>
        <v>0</v>
      </c>
      <c r="J355" s="228"/>
      <c r="K355" s="136"/>
    </row>
    <row r="356" spans="2:11" ht="13.2">
      <c r="B356" s="101">
        <v>258</v>
      </c>
      <c r="C356" s="30"/>
      <c r="D356" s="30"/>
      <c r="E356" s="227"/>
      <c r="F356" s="156"/>
      <c r="G356" s="100"/>
      <c r="H356" s="101">
        <f>+ SUMIF('Doanh thu'!A:A, C356,'Doanh thu'!E:E)</f>
        <v>0</v>
      </c>
      <c r="I356" s="101">
        <f t="shared" si="55"/>
        <v>0</v>
      </c>
      <c r="J356" s="228"/>
      <c r="K356" s="136"/>
    </row>
    <row r="357" spans="2:11" ht="13.2">
      <c r="B357" s="101">
        <v>259</v>
      </c>
      <c r="C357" s="30"/>
      <c r="D357" s="30"/>
      <c r="E357" s="227"/>
      <c r="F357" s="156"/>
      <c r="G357" s="100"/>
      <c r="H357" s="101">
        <f>+ SUMIF('Doanh thu'!A:A, C357,'Doanh thu'!E:E)</f>
        <v>0</v>
      </c>
      <c r="I357" s="101">
        <f t="shared" si="55"/>
        <v>0</v>
      </c>
      <c r="J357" s="228"/>
      <c r="K357" s="136"/>
    </row>
    <row r="358" spans="2:11" ht="13.2">
      <c r="B358" s="101">
        <v>260</v>
      </c>
      <c r="C358" s="30"/>
      <c r="D358" s="30"/>
      <c r="E358" s="227"/>
      <c r="F358" s="156"/>
      <c r="G358" s="100"/>
      <c r="H358" s="101">
        <f>+ SUMIF('Doanh thu'!A:A, C358,'Doanh thu'!E:E)</f>
        <v>0</v>
      </c>
      <c r="I358" s="101">
        <f t="shared" si="55"/>
        <v>0</v>
      </c>
      <c r="J358" s="228"/>
      <c r="K358" s="136"/>
    </row>
    <row r="359" spans="2:11" ht="13.2">
      <c r="B359" s="101">
        <v>261</v>
      </c>
      <c r="C359" s="30"/>
      <c r="D359" s="30"/>
      <c r="E359" s="227"/>
      <c r="F359" s="156"/>
      <c r="G359" s="100"/>
      <c r="H359" s="101">
        <f>+ SUMIF('Doanh thu'!A:A, C359,'Doanh thu'!E:E)</f>
        <v>0</v>
      </c>
      <c r="I359" s="101">
        <f t="shared" si="55"/>
        <v>0</v>
      </c>
      <c r="J359" s="228"/>
      <c r="K359" s="136"/>
    </row>
    <row r="360" spans="2:11" ht="13.2">
      <c r="B360" s="101">
        <v>262</v>
      </c>
      <c r="C360" s="30"/>
      <c r="D360" s="30"/>
      <c r="E360" s="227"/>
      <c r="F360" s="156"/>
      <c r="G360" s="100"/>
      <c r="H360" s="101">
        <f>+ SUMIF('Doanh thu'!A:A, C360,'Doanh thu'!E:E)</f>
        <v>0</v>
      </c>
      <c r="I360" s="101">
        <f t="shared" si="55"/>
        <v>0</v>
      </c>
      <c r="J360" s="228"/>
      <c r="K360" s="136"/>
    </row>
    <row r="361" spans="2:11" ht="13.2">
      <c r="B361" s="101">
        <v>263</v>
      </c>
      <c r="C361" s="30"/>
      <c r="D361" s="30"/>
      <c r="E361" s="227"/>
      <c r="F361" s="156"/>
      <c r="G361" s="100"/>
      <c r="H361" s="101">
        <f>+ SUMIF('Doanh thu'!A:A, C361,'Doanh thu'!E:E)</f>
        <v>0</v>
      </c>
      <c r="I361" s="101">
        <f t="shared" si="55"/>
        <v>0</v>
      </c>
      <c r="J361" s="228"/>
      <c r="K361" s="136"/>
    </row>
    <row r="362" spans="2:11" ht="13.2">
      <c r="B362" s="101">
        <v>264</v>
      </c>
      <c r="C362" s="30"/>
      <c r="D362" s="30"/>
      <c r="E362" s="227"/>
      <c r="F362" s="156"/>
      <c r="G362" s="100"/>
      <c r="H362" s="101">
        <f>+ SUMIF('Doanh thu'!A:A, C362,'Doanh thu'!E:E)</f>
        <v>0</v>
      </c>
      <c r="I362" s="101">
        <f t="shared" si="55"/>
        <v>0</v>
      </c>
      <c r="J362" s="228"/>
      <c r="K362" s="136"/>
    </row>
    <row r="363" spans="2:11" ht="13.2">
      <c r="B363" s="101">
        <v>265</v>
      </c>
      <c r="C363" s="30"/>
      <c r="D363" s="30"/>
      <c r="E363" s="227"/>
      <c r="F363" s="156"/>
      <c r="G363" s="100"/>
      <c r="H363" s="101">
        <f>+ SUMIF('Doanh thu'!A:A, C363,'Doanh thu'!E:E)</f>
        <v>0</v>
      </c>
      <c r="I363" s="101">
        <f t="shared" si="55"/>
        <v>0</v>
      </c>
      <c r="J363" s="228"/>
      <c r="K363" s="136"/>
    </row>
    <row r="364" spans="2:11" ht="13.2">
      <c r="B364" s="101">
        <v>266</v>
      </c>
      <c r="C364" s="30"/>
      <c r="D364" s="30"/>
      <c r="E364" s="227"/>
      <c r="F364" s="156"/>
      <c r="G364" s="100"/>
      <c r="H364" s="101">
        <f>+ SUMIF('Doanh thu'!A:A, C364,'Doanh thu'!E:E)</f>
        <v>0</v>
      </c>
      <c r="I364" s="101">
        <f t="shared" si="55"/>
        <v>0</v>
      </c>
      <c r="J364" s="228"/>
      <c r="K364" s="136"/>
    </row>
    <row r="365" spans="2:11" ht="13.2">
      <c r="B365" s="101">
        <v>267</v>
      </c>
      <c r="E365" s="75"/>
      <c r="F365" s="138"/>
      <c r="G365" s="159"/>
      <c r="H365" s="101">
        <f>+ SUMIF('Doanh thu'!A:A, C365,'Doanh thu'!E:E)</f>
        <v>0</v>
      </c>
      <c r="I365" s="101">
        <f t="shared" si="55"/>
        <v>0</v>
      </c>
      <c r="J365" s="140"/>
      <c r="K365" s="136"/>
    </row>
    <row r="366" spans="2:11" ht="13.2">
      <c r="B366" s="101">
        <v>268</v>
      </c>
      <c r="E366" s="75"/>
      <c r="F366" s="138"/>
      <c r="G366" s="159"/>
      <c r="H366" s="101">
        <f>+ SUMIF('Doanh thu'!A:A, C366,'Doanh thu'!E:E)</f>
        <v>0</v>
      </c>
      <c r="I366" s="101">
        <f t="shared" si="55"/>
        <v>0</v>
      </c>
      <c r="J366" s="140"/>
      <c r="K366" s="136"/>
    </row>
    <row r="367" spans="2:11" ht="13.2">
      <c r="B367" s="101">
        <v>269</v>
      </c>
      <c r="E367" s="75"/>
      <c r="F367" s="138"/>
      <c r="G367" s="159"/>
      <c r="H367" s="101">
        <f>+ SUMIF('Doanh thu'!A:A, C367,'Doanh thu'!E:E)</f>
        <v>0</v>
      </c>
      <c r="I367" s="101">
        <f t="shared" si="55"/>
        <v>0</v>
      </c>
      <c r="J367" s="140"/>
      <c r="K367" s="136"/>
    </row>
    <row r="368" spans="2:11" ht="13.2">
      <c r="B368" s="101">
        <v>270</v>
      </c>
      <c r="E368" s="75"/>
      <c r="F368" s="138"/>
      <c r="G368" s="159"/>
      <c r="H368" s="101">
        <f>+ SUMIF('Doanh thu'!A:A, C368,'Doanh thu'!E:E)</f>
        <v>0</v>
      </c>
      <c r="I368" s="101">
        <f t="shared" si="55"/>
        <v>0</v>
      </c>
      <c r="J368" s="140"/>
      <c r="K368" s="136"/>
    </row>
    <row r="369" spans="2:11" ht="13.2">
      <c r="B369" s="101">
        <v>271</v>
      </c>
      <c r="E369" s="75"/>
      <c r="F369" s="138"/>
      <c r="G369" s="159"/>
      <c r="H369" s="101">
        <f>+ SUMIF('Doanh thu'!A:A, C369,'Doanh thu'!E:E)</f>
        <v>0</v>
      </c>
      <c r="I369" s="101">
        <f t="shared" si="55"/>
        <v>0</v>
      </c>
      <c r="J369" s="140"/>
      <c r="K369" s="136"/>
    </row>
    <row r="370" spans="2:11" ht="13.2">
      <c r="B370" s="101">
        <v>272</v>
      </c>
      <c r="E370" s="75"/>
      <c r="F370" s="138"/>
      <c r="G370" s="159"/>
      <c r="H370" s="101">
        <f>+ SUMIF('Doanh thu'!A:A, C370,'Doanh thu'!E:E)</f>
        <v>0</v>
      </c>
      <c r="I370" s="101">
        <f t="shared" si="55"/>
        <v>0</v>
      </c>
      <c r="J370" s="140"/>
      <c r="K370" s="136"/>
    </row>
    <row r="371" spans="2:11" ht="13.2">
      <c r="B371" s="101">
        <v>273</v>
      </c>
      <c r="E371" s="75"/>
      <c r="F371" s="138"/>
      <c r="G371" s="159"/>
      <c r="H371" s="101">
        <f>+ SUMIF('Doanh thu'!A:A, C371,'Doanh thu'!E:E)</f>
        <v>0</v>
      </c>
      <c r="I371" s="101">
        <f t="shared" si="55"/>
        <v>0</v>
      </c>
      <c r="J371" s="140"/>
      <c r="K371" s="136"/>
    </row>
    <row r="372" spans="2:11" ht="13.2">
      <c r="B372" s="101">
        <v>274</v>
      </c>
      <c r="E372" s="75"/>
      <c r="F372" s="138"/>
      <c r="G372" s="159"/>
      <c r="H372" s="101">
        <f>+ SUMIF('Doanh thu'!A:A, C372,'Doanh thu'!E:E)</f>
        <v>0</v>
      </c>
      <c r="I372" s="101">
        <f t="shared" si="55"/>
        <v>0</v>
      </c>
      <c r="J372" s="140"/>
      <c r="K372" s="136"/>
    </row>
    <row r="373" spans="2:11" ht="13.2">
      <c r="B373" s="101">
        <v>275</v>
      </c>
      <c r="E373" s="75"/>
      <c r="F373" s="138"/>
      <c r="G373" s="159"/>
      <c r="H373" s="101">
        <f>+ SUMIF('Doanh thu'!A:A, C373,'Doanh thu'!E:E)</f>
        <v>0</v>
      </c>
      <c r="I373" s="101">
        <f t="shared" si="55"/>
        <v>0</v>
      </c>
      <c r="J373" s="140"/>
      <c r="K373" s="136"/>
    </row>
    <row r="374" spans="2:11" ht="13.2">
      <c r="B374" s="101">
        <v>276</v>
      </c>
      <c r="F374" s="138"/>
      <c r="G374" s="159"/>
      <c r="H374" s="101">
        <f>+ SUMIF('Doanh thu'!A:A, C374,'Doanh thu'!E:E)</f>
        <v>0</v>
      </c>
      <c r="I374" s="101">
        <f t="shared" si="55"/>
        <v>0</v>
      </c>
      <c r="J374" s="140"/>
      <c r="K374" s="136"/>
    </row>
    <row r="375" spans="2:11" ht="13.2">
      <c r="B375" s="101">
        <v>277</v>
      </c>
      <c r="F375" s="138"/>
      <c r="G375" s="159"/>
      <c r="H375" s="101">
        <f>+ SUMIF('Doanh thu'!A:A, C375,'Doanh thu'!E:E)</f>
        <v>0</v>
      </c>
      <c r="I375" s="101">
        <f t="shared" si="55"/>
        <v>0</v>
      </c>
      <c r="J375" s="140"/>
      <c r="K375" s="136"/>
    </row>
    <row r="376" spans="2:11" ht="13.2">
      <c r="F376" s="138"/>
      <c r="G376" s="2"/>
      <c r="H376" s="139"/>
      <c r="I376" s="139"/>
      <c r="J376" s="140"/>
      <c r="K376" s="136"/>
    </row>
    <row r="377" spans="2:11" ht="13.2">
      <c r="F377" s="138"/>
      <c r="G377" s="2"/>
      <c r="H377" s="139"/>
      <c r="I377" s="139"/>
      <c r="J377" s="140"/>
      <c r="K377" s="136"/>
    </row>
    <row r="378" spans="2:11" ht="13.2">
      <c r="F378" s="138"/>
      <c r="G378" s="2"/>
      <c r="H378" s="139"/>
      <c r="I378" s="139"/>
      <c r="J378" s="140"/>
      <c r="K378" s="136"/>
    </row>
    <row r="379" spans="2:11" ht="13.2">
      <c r="F379" s="138"/>
      <c r="G379" s="2"/>
      <c r="H379" s="139"/>
      <c r="I379" s="139"/>
      <c r="J379" s="140"/>
      <c r="K379" s="136"/>
    </row>
    <row r="380" spans="2:11" ht="13.2">
      <c r="F380" s="138"/>
      <c r="G380" s="2"/>
      <c r="H380" s="139"/>
      <c r="I380" s="139"/>
      <c r="J380" s="140"/>
      <c r="K380" s="136"/>
    </row>
    <row r="381" spans="2:11" ht="13.2">
      <c r="F381" s="138"/>
      <c r="G381" s="2"/>
      <c r="H381" s="139"/>
      <c r="I381" s="139"/>
      <c r="J381" s="140"/>
      <c r="K381" s="136"/>
    </row>
    <row r="382" spans="2:11" ht="13.2">
      <c r="F382" s="138"/>
      <c r="G382" s="2"/>
      <c r="H382" s="139"/>
      <c r="I382" s="139"/>
      <c r="J382" s="140"/>
      <c r="K382" s="136"/>
    </row>
    <row r="383" spans="2:11" ht="13.2">
      <c r="F383" s="138"/>
      <c r="G383" s="2"/>
      <c r="H383" s="139"/>
      <c r="I383" s="139"/>
      <c r="J383" s="140"/>
      <c r="K383" s="136"/>
    </row>
    <row r="384" spans="2:11" ht="13.2">
      <c r="F384" s="138"/>
      <c r="G384" s="2"/>
      <c r="H384" s="139"/>
      <c r="I384" s="139"/>
      <c r="J384" s="140"/>
      <c r="K384" s="136"/>
    </row>
    <row r="385" spans="6:11" ht="13.2">
      <c r="F385" s="138"/>
      <c r="G385" s="2"/>
      <c r="H385" s="139"/>
      <c r="I385" s="139"/>
      <c r="J385" s="140"/>
      <c r="K385" s="136"/>
    </row>
    <row r="386" spans="6:11" ht="13.2">
      <c r="F386" s="138"/>
      <c r="G386" s="2"/>
      <c r="H386" s="139"/>
      <c r="I386" s="139"/>
      <c r="J386" s="140"/>
      <c r="K386" s="136"/>
    </row>
    <row r="387" spans="6:11" ht="13.2">
      <c r="F387" s="138"/>
      <c r="G387" s="2"/>
      <c r="H387" s="139"/>
      <c r="I387" s="139"/>
      <c r="J387" s="140"/>
      <c r="K387" s="136"/>
    </row>
    <row r="388" spans="6:11" ht="13.2">
      <c r="F388" s="138"/>
      <c r="G388" s="2"/>
      <c r="H388" s="139"/>
      <c r="I388" s="139"/>
      <c r="J388" s="140"/>
      <c r="K388" s="136"/>
    </row>
    <row r="389" spans="6:11" ht="13.2">
      <c r="F389" s="138"/>
      <c r="G389" s="2"/>
      <c r="H389" s="139"/>
      <c r="I389" s="139"/>
      <c r="J389" s="140"/>
      <c r="K389" s="136"/>
    </row>
    <row r="390" spans="6:11" ht="13.2">
      <c r="F390" s="138"/>
      <c r="G390" s="2"/>
      <c r="H390" s="139"/>
      <c r="I390" s="139"/>
      <c r="J390" s="140"/>
      <c r="K390" s="136"/>
    </row>
    <row r="391" spans="6:11" ht="13.2">
      <c r="F391" s="138"/>
      <c r="G391" s="2"/>
      <c r="H391" s="139"/>
      <c r="I391" s="139"/>
      <c r="J391" s="140"/>
      <c r="K391" s="136"/>
    </row>
    <row r="392" spans="6:11" ht="13.2">
      <c r="F392" s="138"/>
      <c r="G392" s="2"/>
      <c r="H392" s="139"/>
      <c r="I392" s="139"/>
      <c r="J392" s="140"/>
      <c r="K392" s="136"/>
    </row>
    <row r="393" spans="6:11" ht="13.2">
      <c r="F393" s="138"/>
      <c r="G393" s="2"/>
      <c r="H393" s="139"/>
      <c r="I393" s="139"/>
      <c r="J393" s="140"/>
      <c r="K393" s="136"/>
    </row>
    <row r="394" spans="6:11" ht="13.2">
      <c r="F394" s="138"/>
      <c r="G394" s="2"/>
      <c r="H394" s="139"/>
      <c r="I394" s="139"/>
      <c r="J394" s="140"/>
      <c r="K394" s="136"/>
    </row>
    <row r="395" spans="6:11" ht="13.2">
      <c r="F395" s="138"/>
      <c r="G395" s="2"/>
      <c r="H395" s="139"/>
      <c r="I395" s="139"/>
      <c r="J395" s="140"/>
      <c r="K395" s="136"/>
    </row>
    <row r="396" spans="6:11" ht="13.2">
      <c r="F396" s="138"/>
      <c r="G396" s="2"/>
      <c r="H396" s="139"/>
      <c r="I396" s="139"/>
      <c r="J396" s="140"/>
      <c r="K396" s="136"/>
    </row>
    <row r="397" spans="6:11" ht="13.2">
      <c r="F397" s="138"/>
      <c r="G397" s="2"/>
      <c r="H397" s="139"/>
      <c r="I397" s="139"/>
      <c r="J397" s="140"/>
      <c r="K397" s="136"/>
    </row>
    <row r="398" spans="6:11" ht="13.2">
      <c r="F398" s="138"/>
      <c r="G398" s="2"/>
      <c r="H398" s="139"/>
      <c r="I398" s="139"/>
      <c r="J398" s="140"/>
      <c r="K398" s="136"/>
    </row>
    <row r="399" spans="6:11" ht="13.2">
      <c r="F399" s="138"/>
      <c r="G399" s="2"/>
      <c r="H399" s="139"/>
      <c r="I399" s="139"/>
      <c r="J399" s="140"/>
      <c r="K399" s="136"/>
    </row>
    <row r="400" spans="6:11" ht="13.2">
      <c r="F400" s="138"/>
      <c r="G400" s="2"/>
      <c r="H400" s="139"/>
      <c r="I400" s="139"/>
      <c r="J400" s="140"/>
      <c r="K400" s="136"/>
    </row>
    <row r="401" spans="6:11" ht="13.2">
      <c r="F401" s="138"/>
      <c r="G401" s="2"/>
      <c r="H401" s="139"/>
      <c r="I401" s="139"/>
      <c r="J401" s="140"/>
      <c r="K401" s="136"/>
    </row>
    <row r="402" spans="6:11" ht="13.2">
      <c r="F402" s="138"/>
      <c r="G402" s="2"/>
      <c r="H402" s="139"/>
      <c r="I402" s="139"/>
      <c r="J402" s="140"/>
      <c r="K402" s="136"/>
    </row>
    <row r="403" spans="6:11" ht="13.2">
      <c r="F403" s="138"/>
      <c r="G403" s="2"/>
      <c r="H403" s="139"/>
      <c r="I403" s="139"/>
      <c r="J403" s="140"/>
      <c r="K403" s="136"/>
    </row>
    <row r="404" spans="6:11" ht="13.2">
      <c r="F404" s="138"/>
      <c r="G404" s="2"/>
      <c r="H404" s="139"/>
      <c r="I404" s="139"/>
      <c r="J404" s="140"/>
      <c r="K404" s="136"/>
    </row>
    <row r="405" spans="6:11" ht="13.2">
      <c r="F405" s="138"/>
      <c r="G405" s="2"/>
      <c r="H405" s="139"/>
      <c r="I405" s="139"/>
      <c r="J405" s="140"/>
      <c r="K405" s="136"/>
    </row>
    <row r="406" spans="6:11" ht="13.2">
      <c r="F406" s="138"/>
      <c r="G406" s="2"/>
      <c r="H406" s="139"/>
      <c r="I406" s="139"/>
      <c r="J406" s="140"/>
      <c r="K406" s="136"/>
    </row>
    <row r="407" spans="6:11" ht="13.2">
      <c r="F407" s="138"/>
      <c r="G407" s="2"/>
      <c r="H407" s="139"/>
      <c r="I407" s="139"/>
      <c r="J407" s="140"/>
      <c r="K407" s="136"/>
    </row>
    <row r="408" spans="6:11" ht="13.2">
      <c r="F408" s="138"/>
      <c r="G408" s="2"/>
      <c r="H408" s="139"/>
      <c r="I408" s="139"/>
      <c r="J408" s="140"/>
      <c r="K408" s="136"/>
    </row>
    <row r="409" spans="6:11" ht="13.2">
      <c r="F409" s="138"/>
      <c r="G409" s="2"/>
      <c r="H409" s="139"/>
      <c r="I409" s="139"/>
      <c r="J409" s="140"/>
      <c r="K409" s="136"/>
    </row>
    <row r="410" spans="6:11" ht="13.2">
      <c r="F410" s="138"/>
      <c r="G410" s="2"/>
      <c r="H410" s="139"/>
      <c r="I410" s="139"/>
      <c r="J410" s="140"/>
      <c r="K410" s="136"/>
    </row>
    <row r="411" spans="6:11" ht="13.2">
      <c r="F411" s="138"/>
      <c r="G411" s="2"/>
      <c r="H411" s="139"/>
      <c r="I411" s="139"/>
      <c r="J411" s="140"/>
      <c r="K411" s="136"/>
    </row>
    <row r="412" spans="6:11" ht="13.2">
      <c r="F412" s="138"/>
      <c r="G412" s="2"/>
      <c r="H412" s="139"/>
      <c r="I412" s="139"/>
      <c r="J412" s="140"/>
      <c r="K412" s="136"/>
    </row>
    <row r="413" spans="6:11" ht="13.2">
      <c r="F413" s="138"/>
      <c r="G413" s="2"/>
      <c r="H413" s="139"/>
      <c r="I413" s="139"/>
      <c r="J413" s="140"/>
      <c r="K413" s="136"/>
    </row>
    <row r="414" spans="6:11" ht="13.2">
      <c r="F414" s="138"/>
      <c r="G414" s="2"/>
      <c r="H414" s="139"/>
      <c r="I414" s="139"/>
      <c r="J414" s="140"/>
      <c r="K414" s="136"/>
    </row>
    <row r="415" spans="6:11" ht="13.2">
      <c r="F415" s="138"/>
      <c r="G415" s="2"/>
      <c r="H415" s="139"/>
      <c r="I415" s="139"/>
      <c r="J415" s="140"/>
      <c r="K415" s="136"/>
    </row>
    <row r="416" spans="6:11" ht="13.2">
      <c r="F416" s="138"/>
      <c r="G416" s="2"/>
      <c r="H416" s="139"/>
      <c r="I416" s="139"/>
      <c r="J416" s="140"/>
      <c r="K416" s="136"/>
    </row>
    <row r="417" spans="6:11" ht="13.2">
      <c r="F417" s="138"/>
      <c r="G417" s="2"/>
      <c r="H417" s="139"/>
      <c r="I417" s="139"/>
      <c r="J417" s="140"/>
      <c r="K417" s="136"/>
    </row>
    <row r="418" spans="6:11" ht="13.2">
      <c r="F418" s="138"/>
      <c r="G418" s="2"/>
      <c r="H418" s="139"/>
      <c r="I418" s="139"/>
      <c r="J418" s="140"/>
      <c r="K418" s="136"/>
    </row>
    <row r="419" spans="6:11" ht="13.2">
      <c r="F419" s="138"/>
      <c r="G419" s="2"/>
      <c r="H419" s="139"/>
      <c r="I419" s="139"/>
      <c r="J419" s="140"/>
      <c r="K419" s="136"/>
    </row>
    <row r="420" spans="6:11" ht="13.2">
      <c r="F420" s="138"/>
      <c r="G420" s="2"/>
      <c r="H420" s="139"/>
      <c r="I420" s="139"/>
      <c r="J420" s="140"/>
      <c r="K420" s="136"/>
    </row>
    <row r="421" spans="6:11" ht="13.2">
      <c r="F421" s="138"/>
      <c r="G421" s="2"/>
      <c r="H421" s="139"/>
      <c r="I421" s="139"/>
      <c r="J421" s="140"/>
      <c r="K421" s="136"/>
    </row>
    <row r="422" spans="6:11" ht="13.2">
      <c r="F422" s="138"/>
      <c r="G422" s="2"/>
      <c r="H422" s="139"/>
      <c r="I422" s="139"/>
      <c r="J422" s="140"/>
      <c r="K422" s="136"/>
    </row>
    <row r="423" spans="6:11" ht="13.2">
      <c r="F423" s="138"/>
      <c r="G423" s="2"/>
      <c r="H423" s="139"/>
      <c r="I423" s="139"/>
      <c r="J423" s="140"/>
      <c r="K423" s="136"/>
    </row>
    <row r="424" spans="6:11" ht="13.2">
      <c r="F424" s="138"/>
      <c r="G424" s="2"/>
      <c r="H424" s="139"/>
      <c r="I424" s="139"/>
      <c r="J424" s="140"/>
      <c r="K424" s="136"/>
    </row>
    <row r="425" spans="6:11" ht="13.2">
      <c r="F425" s="138"/>
      <c r="G425" s="2"/>
      <c r="H425" s="139"/>
      <c r="I425" s="139"/>
      <c r="J425" s="140"/>
      <c r="K425" s="136"/>
    </row>
    <row r="426" spans="6:11" ht="13.2">
      <c r="F426" s="138"/>
      <c r="G426" s="2"/>
      <c r="H426" s="139"/>
      <c r="I426" s="139"/>
      <c r="J426" s="140"/>
      <c r="K426" s="136"/>
    </row>
    <row r="427" spans="6:11" ht="13.2">
      <c r="F427" s="138"/>
      <c r="G427" s="2"/>
      <c r="H427" s="139"/>
      <c r="I427" s="139"/>
      <c r="J427" s="140"/>
      <c r="K427" s="136"/>
    </row>
    <row r="428" spans="6:11" ht="13.2">
      <c r="F428" s="138"/>
      <c r="G428" s="2"/>
      <c r="H428" s="139"/>
      <c r="I428" s="139"/>
      <c r="J428" s="140"/>
      <c r="K428" s="136"/>
    </row>
    <row r="429" spans="6:11" ht="13.2">
      <c r="F429" s="138"/>
      <c r="G429" s="2"/>
      <c r="H429" s="139"/>
      <c r="I429" s="139"/>
      <c r="J429" s="140"/>
      <c r="K429" s="136"/>
    </row>
    <row r="430" spans="6:11" ht="13.2">
      <c r="F430" s="138"/>
      <c r="G430" s="2"/>
      <c r="H430" s="139"/>
      <c r="I430" s="139"/>
      <c r="J430" s="140"/>
      <c r="K430" s="136"/>
    </row>
    <row r="431" spans="6:11" ht="13.2">
      <c r="F431" s="138"/>
      <c r="G431" s="2"/>
      <c r="H431" s="139"/>
      <c r="I431" s="139"/>
      <c r="J431" s="140"/>
      <c r="K431" s="136"/>
    </row>
    <row r="432" spans="6:11" ht="13.2">
      <c r="F432" s="138"/>
      <c r="G432" s="2"/>
      <c r="H432" s="139"/>
      <c r="I432" s="139"/>
      <c r="J432" s="140"/>
      <c r="K432" s="136"/>
    </row>
    <row r="433" spans="6:11" ht="13.2">
      <c r="F433" s="138"/>
      <c r="G433" s="2"/>
      <c r="H433" s="139"/>
      <c r="I433" s="139"/>
      <c r="J433" s="140"/>
      <c r="K433" s="136"/>
    </row>
    <row r="434" spans="6:11" ht="13.2">
      <c r="F434" s="138"/>
      <c r="G434" s="2"/>
      <c r="H434" s="139"/>
      <c r="I434" s="139"/>
      <c r="J434" s="140"/>
      <c r="K434" s="136"/>
    </row>
    <row r="435" spans="6:11" ht="13.2">
      <c r="F435" s="138"/>
      <c r="G435" s="2"/>
      <c r="H435" s="139"/>
      <c r="I435" s="139"/>
      <c r="J435" s="140"/>
      <c r="K435" s="136"/>
    </row>
    <row r="436" spans="6:11" ht="13.2">
      <c r="F436" s="138"/>
      <c r="G436" s="2"/>
      <c r="H436" s="139"/>
      <c r="I436" s="139"/>
      <c r="J436" s="140"/>
      <c r="K436" s="136"/>
    </row>
    <row r="437" spans="6:11" ht="13.2">
      <c r="F437" s="138"/>
      <c r="G437" s="2"/>
      <c r="H437" s="139"/>
      <c r="I437" s="139"/>
      <c r="J437" s="140"/>
      <c r="K437" s="136"/>
    </row>
    <row r="438" spans="6:11" ht="13.2">
      <c r="F438" s="138"/>
      <c r="G438" s="2"/>
      <c r="H438" s="139"/>
      <c r="I438" s="139"/>
      <c r="J438" s="140"/>
      <c r="K438" s="136"/>
    </row>
    <row r="439" spans="6:11" ht="13.2">
      <c r="F439" s="138"/>
      <c r="G439" s="2"/>
      <c r="H439" s="139"/>
      <c r="I439" s="139"/>
      <c r="J439" s="140"/>
      <c r="K439" s="136"/>
    </row>
    <row r="440" spans="6:11" ht="13.2">
      <c r="F440" s="138"/>
      <c r="G440" s="2"/>
      <c r="H440" s="139"/>
      <c r="I440" s="139"/>
      <c r="J440" s="140"/>
      <c r="K440" s="136"/>
    </row>
    <row r="441" spans="6:11" ht="13.2">
      <c r="F441" s="138"/>
      <c r="G441" s="2"/>
      <c r="H441" s="139"/>
      <c r="I441" s="139"/>
      <c r="J441" s="140"/>
      <c r="K441" s="136"/>
    </row>
    <row r="442" spans="6:11" ht="13.2">
      <c r="F442" s="138"/>
      <c r="G442" s="2"/>
      <c r="H442" s="139"/>
      <c r="I442" s="139"/>
      <c r="J442" s="140"/>
      <c r="K442" s="136"/>
    </row>
    <row r="443" spans="6:11" ht="13.2">
      <c r="F443" s="138"/>
      <c r="G443" s="2"/>
      <c r="H443" s="139"/>
      <c r="I443" s="139"/>
      <c r="J443" s="140"/>
      <c r="K443" s="136"/>
    </row>
    <row r="444" spans="6:11" ht="13.2">
      <c r="F444" s="138"/>
      <c r="G444" s="2"/>
      <c r="H444" s="139"/>
      <c r="I444" s="139"/>
      <c r="J444" s="140"/>
      <c r="K444" s="136"/>
    </row>
    <row r="445" spans="6:11" ht="13.2">
      <c r="F445" s="138"/>
      <c r="G445" s="2"/>
      <c r="H445" s="139"/>
      <c r="I445" s="139"/>
      <c r="J445" s="140"/>
      <c r="K445" s="136"/>
    </row>
    <row r="446" spans="6:11" ht="13.2">
      <c r="F446" s="138"/>
      <c r="G446" s="2"/>
      <c r="H446" s="139"/>
      <c r="I446" s="139"/>
      <c r="J446" s="140"/>
      <c r="K446" s="136"/>
    </row>
    <row r="447" spans="6:11" ht="13.2">
      <c r="F447" s="138"/>
      <c r="G447" s="2"/>
      <c r="H447" s="139"/>
      <c r="I447" s="139"/>
      <c r="J447" s="140"/>
      <c r="K447" s="136"/>
    </row>
    <row r="448" spans="6:11" ht="13.2">
      <c r="F448" s="138"/>
      <c r="G448" s="2"/>
      <c r="H448" s="139"/>
      <c r="I448" s="139"/>
      <c r="J448" s="140"/>
      <c r="K448" s="136"/>
    </row>
    <row r="449" spans="6:11" ht="13.2">
      <c r="F449" s="138"/>
      <c r="G449" s="2"/>
      <c r="H449" s="139"/>
      <c r="I449" s="139"/>
      <c r="J449" s="140"/>
      <c r="K449" s="136"/>
    </row>
    <row r="450" spans="6:11" ht="13.2">
      <c r="F450" s="138"/>
      <c r="G450" s="2"/>
      <c r="H450" s="139"/>
      <c r="I450" s="139"/>
      <c r="J450" s="140"/>
      <c r="K450" s="136"/>
    </row>
    <row r="451" spans="6:11" ht="13.2">
      <c r="F451" s="138"/>
      <c r="G451" s="2"/>
      <c r="H451" s="139"/>
      <c r="I451" s="139"/>
      <c r="J451" s="140"/>
      <c r="K451" s="136"/>
    </row>
    <row r="452" spans="6:11" ht="13.2">
      <c r="F452" s="138"/>
      <c r="G452" s="2"/>
      <c r="H452" s="139"/>
      <c r="I452" s="139"/>
      <c r="J452" s="140"/>
      <c r="K452" s="136"/>
    </row>
    <row r="453" spans="6:11" ht="13.2">
      <c r="F453" s="138"/>
      <c r="G453" s="2"/>
      <c r="H453" s="139"/>
      <c r="I453" s="139"/>
      <c r="J453" s="140"/>
      <c r="K453" s="136"/>
    </row>
    <row r="454" spans="6:11" ht="13.2">
      <c r="F454" s="138"/>
      <c r="G454" s="2"/>
      <c r="H454" s="139"/>
      <c r="I454" s="139"/>
      <c r="J454" s="140"/>
      <c r="K454" s="136"/>
    </row>
    <row r="455" spans="6:11" ht="13.2">
      <c r="F455" s="138"/>
      <c r="G455" s="2"/>
      <c r="H455" s="139"/>
      <c r="I455" s="139"/>
      <c r="J455" s="140"/>
      <c r="K455" s="136"/>
    </row>
    <row r="456" spans="6:11" ht="13.2">
      <c r="F456" s="138"/>
      <c r="G456" s="2"/>
      <c r="H456" s="139"/>
      <c r="I456" s="139"/>
      <c r="J456" s="140"/>
      <c r="K456" s="136"/>
    </row>
    <row r="457" spans="6:11" ht="13.2">
      <c r="F457" s="138"/>
      <c r="G457" s="2"/>
      <c r="H457" s="139"/>
      <c r="I457" s="139"/>
      <c r="J457" s="140"/>
      <c r="K457" s="136"/>
    </row>
    <row r="458" spans="6:11" ht="13.2">
      <c r="F458" s="138"/>
      <c r="G458" s="2"/>
      <c r="H458" s="139"/>
      <c r="I458" s="139"/>
      <c r="J458" s="140"/>
      <c r="K458" s="136"/>
    </row>
    <row r="459" spans="6:11" ht="13.2">
      <c r="F459" s="138"/>
      <c r="G459" s="2"/>
      <c r="H459" s="139"/>
      <c r="I459" s="139"/>
      <c r="J459" s="140"/>
      <c r="K459" s="136"/>
    </row>
    <row r="460" spans="6:11" ht="13.2">
      <c r="F460" s="138"/>
      <c r="G460" s="2"/>
      <c r="H460" s="139"/>
      <c r="I460" s="139"/>
      <c r="J460" s="140"/>
      <c r="K460" s="136"/>
    </row>
    <row r="461" spans="6:11" ht="13.2">
      <c r="F461" s="138"/>
      <c r="G461" s="2"/>
      <c r="H461" s="139"/>
      <c r="I461" s="139"/>
      <c r="J461" s="140"/>
      <c r="K461" s="136"/>
    </row>
    <row r="462" spans="6:11" ht="13.2">
      <c r="F462" s="138"/>
      <c r="G462" s="2"/>
      <c r="H462" s="139"/>
      <c r="I462" s="139"/>
      <c r="J462" s="140"/>
      <c r="K462" s="136"/>
    </row>
    <row r="463" spans="6:11" ht="13.2">
      <c r="F463" s="138"/>
      <c r="G463" s="2"/>
      <c r="H463" s="139"/>
      <c r="I463" s="139"/>
      <c r="J463" s="140"/>
      <c r="K463" s="136"/>
    </row>
    <row r="464" spans="6:11" ht="13.2">
      <c r="F464" s="138"/>
      <c r="G464" s="2"/>
      <c r="H464" s="139"/>
      <c r="I464" s="139"/>
      <c r="J464" s="140"/>
      <c r="K464" s="136"/>
    </row>
    <row r="465" spans="6:11" ht="13.2">
      <c r="F465" s="138"/>
      <c r="G465" s="2"/>
      <c r="H465" s="139"/>
      <c r="I465" s="139"/>
      <c r="J465" s="140"/>
      <c r="K465" s="136"/>
    </row>
    <row r="466" spans="6:11" ht="13.2">
      <c r="F466" s="138"/>
      <c r="G466" s="2"/>
      <c r="H466" s="139"/>
      <c r="I466" s="139"/>
      <c r="J466" s="140"/>
      <c r="K466" s="136"/>
    </row>
    <row r="467" spans="6:11" ht="13.2">
      <c r="F467" s="138"/>
      <c r="G467" s="2"/>
      <c r="H467" s="139"/>
      <c r="I467" s="139"/>
      <c r="J467" s="140"/>
      <c r="K467" s="136"/>
    </row>
    <row r="468" spans="6:11" ht="13.2">
      <c r="F468" s="138"/>
      <c r="G468" s="2"/>
      <c r="H468" s="139"/>
      <c r="I468" s="139"/>
      <c r="J468" s="140"/>
      <c r="K468" s="136"/>
    </row>
    <row r="469" spans="6:11" ht="13.2">
      <c r="F469" s="138"/>
      <c r="G469" s="2"/>
      <c r="H469" s="139"/>
      <c r="I469" s="139"/>
      <c r="J469" s="140"/>
      <c r="K469" s="136"/>
    </row>
    <row r="470" spans="6:11" ht="13.2">
      <c r="F470" s="138"/>
      <c r="G470" s="2"/>
      <c r="H470" s="139"/>
      <c r="I470" s="139"/>
      <c r="J470" s="140"/>
      <c r="K470" s="136"/>
    </row>
    <row r="471" spans="6:11" ht="13.2">
      <c r="F471" s="138"/>
      <c r="G471" s="2"/>
      <c r="H471" s="139"/>
      <c r="I471" s="139"/>
      <c r="J471" s="140"/>
      <c r="K471" s="136"/>
    </row>
    <row r="472" spans="6:11" ht="13.2">
      <c r="F472" s="138"/>
      <c r="G472" s="2"/>
      <c r="H472" s="139"/>
      <c r="I472" s="139"/>
      <c r="J472" s="140"/>
      <c r="K472" s="136"/>
    </row>
    <row r="473" spans="6:11" ht="13.2">
      <c r="F473" s="138"/>
      <c r="G473" s="2"/>
      <c r="H473" s="139"/>
      <c r="I473" s="139"/>
      <c r="J473" s="140"/>
      <c r="K473" s="136"/>
    </row>
    <row r="474" spans="6:11" ht="13.2">
      <c r="F474" s="138"/>
      <c r="G474" s="2"/>
      <c r="H474" s="139"/>
      <c r="I474" s="139"/>
      <c r="J474" s="140"/>
      <c r="K474" s="136"/>
    </row>
    <row r="475" spans="6:11" ht="13.2">
      <c r="F475" s="138"/>
      <c r="G475" s="2"/>
      <c r="H475" s="139"/>
      <c r="I475" s="139"/>
      <c r="J475" s="140"/>
      <c r="K475" s="136"/>
    </row>
    <row r="476" spans="6:11" ht="13.2">
      <c r="F476" s="138"/>
      <c r="G476" s="2"/>
      <c r="H476" s="139"/>
      <c r="I476" s="139"/>
      <c r="J476" s="140"/>
      <c r="K476" s="136"/>
    </row>
    <row r="477" spans="6:11" ht="13.2">
      <c r="F477" s="138"/>
      <c r="G477" s="2"/>
      <c r="H477" s="139"/>
      <c r="I477" s="139"/>
      <c r="J477" s="140"/>
      <c r="K477" s="136"/>
    </row>
    <row r="478" spans="6:11" ht="13.2">
      <c r="F478" s="138"/>
      <c r="G478" s="2"/>
      <c r="H478" s="139"/>
      <c r="I478" s="139"/>
      <c r="J478" s="140"/>
      <c r="K478" s="136"/>
    </row>
    <row r="479" spans="6:11" ht="13.2">
      <c r="F479" s="138"/>
      <c r="G479" s="2"/>
      <c r="H479" s="139"/>
      <c r="I479" s="139"/>
      <c r="J479" s="140"/>
      <c r="K479" s="136"/>
    </row>
    <row r="480" spans="6:11" ht="13.2">
      <c r="F480" s="138"/>
      <c r="G480" s="2"/>
      <c r="H480" s="139"/>
      <c r="I480" s="139"/>
      <c r="J480" s="140"/>
      <c r="K480" s="136"/>
    </row>
    <row r="481" spans="6:11" ht="13.2">
      <c r="F481" s="138"/>
      <c r="G481" s="2"/>
      <c r="H481" s="139"/>
      <c r="I481" s="139"/>
      <c r="J481" s="140"/>
      <c r="K481" s="136"/>
    </row>
    <row r="482" spans="6:11" ht="13.2">
      <c r="F482" s="138"/>
      <c r="G482" s="2"/>
      <c r="H482" s="139"/>
      <c r="I482" s="139"/>
      <c r="J482" s="140"/>
      <c r="K482" s="136"/>
    </row>
    <row r="483" spans="6:11" ht="13.2">
      <c r="F483" s="138"/>
      <c r="G483" s="2"/>
      <c r="H483" s="139"/>
      <c r="I483" s="139"/>
      <c r="J483" s="140"/>
      <c r="K483" s="136"/>
    </row>
    <row r="484" spans="6:11" ht="13.2">
      <c r="F484" s="138"/>
      <c r="G484" s="2"/>
      <c r="H484" s="139"/>
      <c r="I484" s="139"/>
      <c r="J484" s="140"/>
      <c r="K484" s="136"/>
    </row>
    <row r="485" spans="6:11" ht="13.2">
      <c r="F485" s="138"/>
      <c r="G485" s="2"/>
      <c r="H485" s="139"/>
      <c r="I485" s="139"/>
      <c r="J485" s="140"/>
      <c r="K485" s="136"/>
    </row>
    <row r="486" spans="6:11" ht="13.2">
      <c r="F486" s="138"/>
      <c r="G486" s="2"/>
      <c r="H486" s="139"/>
      <c r="I486" s="139"/>
      <c r="J486" s="140"/>
      <c r="K486" s="136"/>
    </row>
    <row r="487" spans="6:11" ht="13.2">
      <c r="F487" s="138"/>
      <c r="G487" s="2"/>
      <c r="H487" s="139"/>
      <c r="I487" s="139"/>
      <c r="J487" s="140"/>
      <c r="K487" s="136"/>
    </row>
    <row r="488" spans="6:11" ht="13.2">
      <c r="F488" s="138"/>
      <c r="G488" s="2"/>
      <c r="H488" s="139"/>
      <c r="I488" s="139"/>
      <c r="J488" s="140"/>
      <c r="K488" s="136"/>
    </row>
    <row r="489" spans="6:11" ht="13.2">
      <c r="F489" s="138"/>
      <c r="G489" s="2"/>
      <c r="H489" s="139"/>
      <c r="I489" s="139"/>
      <c r="J489" s="140"/>
      <c r="K489" s="136"/>
    </row>
    <row r="490" spans="6:11" ht="13.2">
      <c r="F490" s="138"/>
      <c r="G490" s="2"/>
      <c r="H490" s="139"/>
      <c r="I490" s="139"/>
      <c r="J490" s="140"/>
      <c r="K490" s="136"/>
    </row>
    <row r="491" spans="6:11" ht="13.2">
      <c r="F491" s="138"/>
      <c r="G491" s="2"/>
      <c r="H491" s="139"/>
      <c r="I491" s="139"/>
      <c r="J491" s="140"/>
      <c r="K491" s="136"/>
    </row>
    <row r="492" spans="6:11" ht="13.2">
      <c r="F492" s="138"/>
      <c r="G492" s="2"/>
      <c r="H492" s="139"/>
      <c r="I492" s="139"/>
      <c r="J492" s="140"/>
      <c r="K492" s="136"/>
    </row>
    <row r="493" spans="6:11" ht="13.2">
      <c r="F493" s="138"/>
      <c r="G493" s="2"/>
      <c r="H493" s="139"/>
      <c r="I493" s="139"/>
      <c r="J493" s="140"/>
      <c r="K493" s="136"/>
    </row>
    <row r="494" spans="6:11" ht="13.2">
      <c r="F494" s="138"/>
      <c r="G494" s="2"/>
      <c r="H494" s="139"/>
      <c r="I494" s="139"/>
      <c r="J494" s="140"/>
      <c r="K494" s="136"/>
    </row>
    <row r="495" spans="6:11" ht="13.2">
      <c r="F495" s="138"/>
      <c r="G495" s="2"/>
      <c r="H495" s="139"/>
      <c r="I495" s="139"/>
      <c r="J495" s="140"/>
      <c r="K495" s="136"/>
    </row>
    <row r="496" spans="6:11" ht="13.2">
      <c r="F496" s="138"/>
      <c r="G496" s="2"/>
      <c r="H496" s="139"/>
      <c r="I496" s="139"/>
      <c r="J496" s="140"/>
      <c r="K496" s="136"/>
    </row>
    <row r="497" spans="6:11" ht="13.2">
      <c r="F497" s="138"/>
      <c r="G497" s="2"/>
      <c r="H497" s="139"/>
      <c r="I497" s="139"/>
      <c r="J497" s="140"/>
      <c r="K497" s="136"/>
    </row>
    <row r="498" spans="6:11" ht="13.2">
      <c r="F498" s="138"/>
      <c r="G498" s="2"/>
      <c r="H498" s="139"/>
      <c r="I498" s="139"/>
      <c r="J498" s="140"/>
      <c r="K498" s="136"/>
    </row>
    <row r="499" spans="6:11" ht="13.2">
      <c r="F499" s="138"/>
      <c r="G499" s="2"/>
      <c r="H499" s="139"/>
      <c r="I499" s="139"/>
      <c r="J499" s="140"/>
      <c r="K499" s="136"/>
    </row>
    <row r="500" spans="6:11" ht="13.2">
      <c r="F500" s="138"/>
      <c r="G500" s="2"/>
      <c r="H500" s="139"/>
      <c r="I500" s="139"/>
      <c r="J500" s="140"/>
      <c r="K500" s="136"/>
    </row>
    <row r="501" spans="6:11" ht="13.2">
      <c r="F501" s="138"/>
      <c r="G501" s="2"/>
      <c r="H501" s="139"/>
      <c r="I501" s="139"/>
      <c r="J501" s="140"/>
      <c r="K501" s="136"/>
    </row>
    <row r="502" spans="6:11" ht="13.2">
      <c r="F502" s="138"/>
      <c r="G502" s="2"/>
      <c r="H502" s="139"/>
      <c r="I502" s="139"/>
      <c r="J502" s="140"/>
      <c r="K502" s="136"/>
    </row>
    <row r="503" spans="6:11" ht="13.2">
      <c r="F503" s="138"/>
      <c r="G503" s="2"/>
      <c r="H503" s="139"/>
      <c r="I503" s="139"/>
      <c r="J503" s="140"/>
      <c r="K503" s="136"/>
    </row>
    <row r="504" spans="6:11" ht="13.2">
      <c r="F504" s="138"/>
      <c r="G504" s="2"/>
      <c r="H504" s="139"/>
      <c r="I504" s="139"/>
      <c r="J504" s="140"/>
      <c r="K504" s="136"/>
    </row>
    <row r="505" spans="6:11" ht="13.2">
      <c r="F505" s="138"/>
      <c r="G505" s="2"/>
      <c r="H505" s="139"/>
      <c r="I505" s="139"/>
      <c r="J505" s="140"/>
      <c r="K505" s="136"/>
    </row>
    <row r="506" spans="6:11" ht="13.2">
      <c r="F506" s="138"/>
      <c r="G506" s="2"/>
      <c r="H506" s="139"/>
      <c r="I506" s="139"/>
      <c r="J506" s="140"/>
      <c r="K506" s="136"/>
    </row>
    <row r="507" spans="6:11" ht="13.2">
      <c r="F507" s="138"/>
      <c r="G507" s="2"/>
      <c r="H507" s="139"/>
      <c r="I507" s="139"/>
      <c r="J507" s="140"/>
      <c r="K507" s="136"/>
    </row>
    <row r="508" spans="6:11" ht="13.2">
      <c r="F508" s="138"/>
      <c r="G508" s="2"/>
      <c r="H508" s="139"/>
      <c r="I508" s="139"/>
      <c r="J508" s="140"/>
      <c r="K508" s="136"/>
    </row>
    <row r="509" spans="6:11" ht="13.2">
      <c r="F509" s="138"/>
      <c r="G509" s="2"/>
      <c r="H509" s="139"/>
      <c r="I509" s="139"/>
      <c r="J509" s="140"/>
      <c r="K509" s="136"/>
    </row>
    <row r="510" spans="6:11" ht="13.2">
      <c r="F510" s="138"/>
      <c r="G510" s="2"/>
      <c r="H510" s="139"/>
      <c r="I510" s="139"/>
      <c r="J510" s="140"/>
      <c r="K510" s="136"/>
    </row>
    <row r="511" spans="6:11" ht="13.2">
      <c r="F511" s="138"/>
      <c r="G511" s="2"/>
      <c r="H511" s="139"/>
      <c r="I511" s="139"/>
      <c r="J511" s="140"/>
      <c r="K511" s="136"/>
    </row>
    <row r="512" spans="6:11" ht="13.2">
      <c r="F512" s="138"/>
      <c r="G512" s="2"/>
      <c r="H512" s="139"/>
      <c r="I512" s="139"/>
      <c r="J512" s="140"/>
      <c r="K512" s="136"/>
    </row>
    <row r="513" spans="6:11" ht="13.2">
      <c r="F513" s="138"/>
      <c r="G513" s="2"/>
      <c r="H513" s="139"/>
      <c r="I513" s="139"/>
      <c r="J513" s="140"/>
      <c r="K513" s="136"/>
    </row>
    <row r="514" spans="6:11" ht="13.2">
      <c r="F514" s="138"/>
      <c r="G514" s="2"/>
      <c r="H514" s="139"/>
      <c r="I514" s="139"/>
      <c r="J514" s="140"/>
      <c r="K514" s="136"/>
    </row>
    <row r="515" spans="6:11" ht="13.2">
      <c r="F515" s="138"/>
      <c r="G515" s="2"/>
      <c r="H515" s="139"/>
      <c r="I515" s="139"/>
      <c r="J515" s="140"/>
      <c r="K515" s="136"/>
    </row>
    <row r="516" spans="6:11" ht="13.2">
      <c r="F516" s="138"/>
      <c r="G516" s="2"/>
      <c r="H516" s="139"/>
      <c r="I516" s="139"/>
      <c r="J516" s="140"/>
      <c r="K516" s="136"/>
    </row>
    <row r="517" spans="6:11" ht="13.2">
      <c r="F517" s="138"/>
      <c r="G517" s="2"/>
      <c r="H517" s="139"/>
      <c r="I517" s="139"/>
      <c r="J517" s="140"/>
      <c r="K517" s="136"/>
    </row>
    <row r="518" spans="6:11" ht="13.2">
      <c r="F518" s="138"/>
      <c r="G518" s="2"/>
      <c r="H518" s="139"/>
      <c r="I518" s="139"/>
      <c r="J518" s="140"/>
      <c r="K518" s="136"/>
    </row>
    <row r="519" spans="6:11" ht="13.2">
      <c r="F519" s="138"/>
      <c r="G519" s="2"/>
      <c r="H519" s="139"/>
      <c r="I519" s="139"/>
      <c r="J519" s="140"/>
      <c r="K519" s="136"/>
    </row>
    <row r="520" spans="6:11" ht="13.2">
      <c r="F520" s="138"/>
      <c r="G520" s="2"/>
      <c r="H520" s="139"/>
      <c r="I520" s="139"/>
      <c r="J520" s="140"/>
      <c r="K520" s="136"/>
    </row>
    <row r="521" spans="6:11" ht="13.2">
      <c r="F521" s="138"/>
      <c r="G521" s="2"/>
      <c r="H521" s="139"/>
      <c r="I521" s="139"/>
      <c r="J521" s="140"/>
      <c r="K521" s="136"/>
    </row>
    <row r="522" spans="6:11" ht="13.2">
      <c r="F522" s="138"/>
      <c r="G522" s="2"/>
      <c r="H522" s="139"/>
      <c r="I522" s="139"/>
      <c r="J522" s="140"/>
      <c r="K522" s="136"/>
    </row>
    <row r="523" spans="6:11" ht="13.2">
      <c r="F523" s="138"/>
      <c r="G523" s="2"/>
      <c r="H523" s="139"/>
      <c r="I523" s="139"/>
      <c r="J523" s="140"/>
      <c r="K523" s="136"/>
    </row>
    <row r="524" spans="6:11" ht="13.2">
      <c r="F524" s="138"/>
      <c r="G524" s="2"/>
      <c r="H524" s="139"/>
      <c r="I524" s="139"/>
      <c r="J524" s="140"/>
      <c r="K524" s="136"/>
    </row>
    <row r="525" spans="6:11" ht="13.2">
      <c r="F525" s="138"/>
      <c r="G525" s="2"/>
      <c r="H525" s="139"/>
      <c r="I525" s="139"/>
      <c r="J525" s="140"/>
      <c r="K525" s="136"/>
    </row>
    <row r="526" spans="6:11" ht="13.2">
      <c r="F526" s="138"/>
      <c r="G526" s="2"/>
      <c r="H526" s="139"/>
      <c r="I526" s="139"/>
      <c r="J526" s="140"/>
      <c r="K526" s="136"/>
    </row>
    <row r="527" spans="6:11" ht="13.2">
      <c r="F527" s="138"/>
      <c r="G527" s="2"/>
      <c r="H527" s="139"/>
      <c r="I527" s="139"/>
      <c r="J527" s="140"/>
      <c r="K527" s="136"/>
    </row>
    <row r="528" spans="6:11" ht="13.2">
      <c r="F528" s="138"/>
      <c r="G528" s="2"/>
      <c r="H528" s="139"/>
      <c r="I528" s="139"/>
      <c r="J528" s="140"/>
      <c r="K528" s="136"/>
    </row>
    <row r="529" spans="6:11" ht="13.2">
      <c r="F529" s="138"/>
      <c r="G529" s="2"/>
      <c r="H529" s="139"/>
      <c r="I529" s="139"/>
      <c r="J529" s="140"/>
      <c r="K529" s="136"/>
    </row>
    <row r="530" spans="6:11" ht="13.2">
      <c r="F530" s="138"/>
      <c r="G530" s="2"/>
      <c r="H530" s="139"/>
      <c r="I530" s="139"/>
      <c r="J530" s="140"/>
      <c r="K530" s="136"/>
    </row>
    <row r="531" spans="6:11" ht="13.2">
      <c r="F531" s="138"/>
      <c r="G531" s="2"/>
      <c r="H531" s="139"/>
      <c r="I531" s="139"/>
      <c r="J531" s="140"/>
      <c r="K531" s="136"/>
    </row>
    <row r="532" spans="6:11" ht="13.2">
      <c r="F532" s="138"/>
      <c r="G532" s="2"/>
      <c r="H532" s="139"/>
      <c r="I532" s="139"/>
      <c r="J532" s="140"/>
      <c r="K532" s="136"/>
    </row>
    <row r="533" spans="6:11" ht="13.2">
      <c r="F533" s="138"/>
      <c r="G533" s="2"/>
      <c r="H533" s="139"/>
      <c r="I533" s="139"/>
      <c r="J533" s="140"/>
      <c r="K533" s="136"/>
    </row>
    <row r="534" spans="6:11" ht="13.2">
      <c r="F534" s="138"/>
      <c r="G534" s="2"/>
      <c r="H534" s="139"/>
      <c r="I534" s="139"/>
      <c r="J534" s="140"/>
      <c r="K534" s="136"/>
    </row>
    <row r="535" spans="6:11" ht="13.2">
      <c r="F535" s="138"/>
      <c r="G535" s="2"/>
      <c r="H535" s="139"/>
      <c r="I535" s="139"/>
      <c r="J535" s="140"/>
      <c r="K535" s="136"/>
    </row>
    <row r="536" spans="6:11" ht="13.2">
      <c r="F536" s="138"/>
      <c r="G536" s="2"/>
      <c r="H536" s="139"/>
      <c r="I536" s="139"/>
      <c r="J536" s="140"/>
      <c r="K536" s="136"/>
    </row>
    <row r="537" spans="6:11" ht="13.2">
      <c r="F537" s="138"/>
      <c r="G537" s="2"/>
      <c r="H537" s="139"/>
      <c r="I537" s="139"/>
      <c r="J537" s="140"/>
      <c r="K537" s="136"/>
    </row>
    <row r="538" spans="6:11" ht="13.2">
      <c r="F538" s="138"/>
      <c r="G538" s="2"/>
      <c r="H538" s="139"/>
      <c r="I538" s="139"/>
      <c r="J538" s="140"/>
      <c r="K538" s="136"/>
    </row>
    <row r="539" spans="6:11" ht="13.2">
      <c r="F539" s="138"/>
      <c r="G539" s="2"/>
      <c r="H539" s="139"/>
      <c r="I539" s="139"/>
      <c r="J539" s="140"/>
      <c r="K539" s="136"/>
    </row>
    <row r="540" spans="6:11" ht="13.2">
      <c r="F540" s="138"/>
      <c r="G540" s="2"/>
      <c r="H540" s="139"/>
      <c r="I540" s="139"/>
      <c r="J540" s="140"/>
      <c r="K540" s="136"/>
    </row>
    <row r="541" spans="6:11" ht="13.2">
      <c r="F541" s="138"/>
      <c r="G541" s="2"/>
      <c r="H541" s="139"/>
      <c r="I541" s="139"/>
      <c r="J541" s="140"/>
      <c r="K541" s="136"/>
    </row>
    <row r="542" spans="6:11" ht="13.2">
      <c r="F542" s="138"/>
      <c r="G542" s="2"/>
      <c r="H542" s="139"/>
      <c r="I542" s="139"/>
      <c r="J542" s="140"/>
      <c r="K542" s="136"/>
    </row>
    <row r="543" spans="6:11" ht="13.2">
      <c r="F543" s="138"/>
      <c r="G543" s="2"/>
      <c r="H543" s="139"/>
      <c r="I543" s="139"/>
      <c r="J543" s="140"/>
      <c r="K543" s="136"/>
    </row>
    <row r="544" spans="6:11" ht="13.2">
      <c r="F544" s="138"/>
      <c r="G544" s="2"/>
      <c r="H544" s="139"/>
      <c r="I544" s="139"/>
      <c r="J544" s="140"/>
      <c r="K544" s="136"/>
    </row>
    <row r="545" spans="6:11" ht="13.2">
      <c r="F545" s="138"/>
      <c r="G545" s="2"/>
      <c r="H545" s="139"/>
      <c r="I545" s="139"/>
      <c r="J545" s="140"/>
      <c r="K545" s="136"/>
    </row>
    <row r="546" spans="6:11" ht="13.2">
      <c r="F546" s="138"/>
      <c r="G546" s="2"/>
      <c r="H546" s="139"/>
      <c r="I546" s="139"/>
      <c r="J546" s="140"/>
      <c r="K546" s="136"/>
    </row>
    <row r="547" spans="6:11" ht="13.2">
      <c r="F547" s="138"/>
      <c r="G547" s="2"/>
      <c r="H547" s="139"/>
      <c r="I547" s="139"/>
      <c r="J547" s="140"/>
      <c r="K547" s="136"/>
    </row>
    <row r="548" spans="6:11" ht="13.2">
      <c r="F548" s="138"/>
      <c r="G548" s="2"/>
      <c r="H548" s="139"/>
      <c r="I548" s="139"/>
      <c r="J548" s="140"/>
      <c r="K548" s="136"/>
    </row>
    <row r="549" spans="6:11" ht="13.2">
      <c r="F549" s="138"/>
      <c r="G549" s="2"/>
      <c r="H549" s="139"/>
      <c r="I549" s="139"/>
      <c r="J549" s="140"/>
      <c r="K549" s="136"/>
    </row>
    <row r="550" spans="6:11" ht="13.2">
      <c r="F550" s="138"/>
      <c r="G550" s="2"/>
      <c r="H550" s="139"/>
      <c r="I550" s="139"/>
      <c r="J550" s="140"/>
      <c r="K550" s="136"/>
    </row>
    <row r="551" spans="6:11" ht="13.2">
      <c r="F551" s="138"/>
      <c r="G551" s="2"/>
      <c r="H551" s="139"/>
      <c r="I551" s="139"/>
      <c r="J551" s="140"/>
      <c r="K551" s="136"/>
    </row>
    <row r="552" spans="6:11" ht="13.2">
      <c r="F552" s="138"/>
      <c r="G552" s="2"/>
      <c r="H552" s="139"/>
      <c r="I552" s="139"/>
      <c r="J552" s="140"/>
      <c r="K552" s="136"/>
    </row>
    <row r="553" spans="6:11" ht="13.2">
      <c r="F553" s="138"/>
      <c r="G553" s="2"/>
      <c r="H553" s="139"/>
      <c r="I553" s="139"/>
      <c r="J553" s="140"/>
      <c r="K553" s="136"/>
    </row>
    <row r="554" spans="6:11" ht="13.2">
      <c r="F554" s="138"/>
      <c r="G554" s="2"/>
      <c r="H554" s="139"/>
      <c r="I554" s="139"/>
      <c r="J554" s="140"/>
      <c r="K554" s="136"/>
    </row>
    <row r="555" spans="6:11" ht="13.2">
      <c r="F555" s="138"/>
      <c r="G555" s="2"/>
      <c r="H555" s="139"/>
      <c r="I555" s="139"/>
      <c r="J555" s="140"/>
      <c r="K555" s="136"/>
    </row>
    <row r="556" spans="6:11" ht="13.2">
      <c r="F556" s="138"/>
      <c r="G556" s="2"/>
      <c r="H556" s="139"/>
      <c r="I556" s="139"/>
      <c r="J556" s="140"/>
      <c r="K556" s="136"/>
    </row>
    <row r="557" spans="6:11" ht="13.2">
      <c r="F557" s="138"/>
      <c r="G557" s="2"/>
      <c r="H557" s="139"/>
      <c r="I557" s="139"/>
      <c r="J557" s="140"/>
      <c r="K557" s="136"/>
    </row>
    <row r="558" spans="6:11" ht="13.2">
      <c r="F558" s="138"/>
      <c r="G558" s="2"/>
      <c r="H558" s="139"/>
      <c r="I558" s="139"/>
      <c r="J558" s="140"/>
      <c r="K558" s="136"/>
    </row>
    <row r="559" spans="6:11" ht="13.2">
      <c r="F559" s="138"/>
      <c r="G559" s="2"/>
      <c r="H559" s="139"/>
      <c r="I559" s="139"/>
      <c r="J559" s="140"/>
      <c r="K559" s="136"/>
    </row>
    <row r="560" spans="6:11" ht="13.2">
      <c r="F560" s="138"/>
      <c r="G560" s="2"/>
      <c r="H560" s="139"/>
      <c r="I560" s="139"/>
      <c r="J560" s="140"/>
      <c r="K560" s="136"/>
    </row>
    <row r="561" spans="6:11" ht="13.2">
      <c r="F561" s="138"/>
      <c r="G561" s="2"/>
      <c r="H561" s="139"/>
      <c r="I561" s="139"/>
      <c r="J561" s="140"/>
      <c r="K561" s="136"/>
    </row>
    <row r="562" spans="6:11" ht="13.2">
      <c r="F562" s="138"/>
      <c r="G562" s="2"/>
      <c r="H562" s="139"/>
      <c r="I562" s="139"/>
      <c r="J562" s="140"/>
      <c r="K562" s="136"/>
    </row>
    <row r="563" spans="6:11" ht="13.2">
      <c r="F563" s="138"/>
      <c r="G563" s="2"/>
      <c r="H563" s="139"/>
      <c r="I563" s="139"/>
      <c r="J563" s="140"/>
      <c r="K563" s="136"/>
    </row>
    <row r="564" spans="6:11" ht="13.2">
      <c r="F564" s="138"/>
      <c r="G564" s="2"/>
      <c r="H564" s="139"/>
      <c r="I564" s="139"/>
      <c r="J564" s="140"/>
      <c r="K564" s="136"/>
    </row>
    <row r="565" spans="6:11" ht="13.2">
      <c r="F565" s="138"/>
      <c r="G565" s="2"/>
      <c r="H565" s="139"/>
      <c r="I565" s="139"/>
      <c r="J565" s="140"/>
      <c r="K565" s="136"/>
    </row>
    <row r="566" spans="6:11" ht="13.2">
      <c r="F566" s="138"/>
      <c r="G566" s="2"/>
      <c r="H566" s="139"/>
      <c r="I566" s="139"/>
      <c r="J566" s="140"/>
      <c r="K566" s="136"/>
    </row>
    <row r="567" spans="6:11" ht="13.2">
      <c r="F567" s="138"/>
      <c r="G567" s="2"/>
      <c r="H567" s="139"/>
      <c r="I567" s="139"/>
      <c r="J567" s="140"/>
      <c r="K567" s="136"/>
    </row>
    <row r="568" spans="6:11" ht="13.2">
      <c r="F568" s="138"/>
      <c r="G568" s="2"/>
      <c r="H568" s="139"/>
      <c r="I568" s="139"/>
      <c r="J568" s="140"/>
      <c r="K568" s="136"/>
    </row>
    <row r="569" spans="6:11" ht="13.2">
      <c r="F569" s="138"/>
      <c r="G569" s="2"/>
      <c r="H569" s="139"/>
      <c r="I569" s="139"/>
      <c r="J569" s="140"/>
      <c r="K569" s="136"/>
    </row>
    <row r="570" spans="6:11" ht="13.2">
      <c r="F570" s="138"/>
      <c r="G570" s="2"/>
      <c r="H570" s="139"/>
      <c r="I570" s="139"/>
      <c r="J570" s="140"/>
      <c r="K570" s="136"/>
    </row>
    <row r="571" spans="6:11" ht="13.2">
      <c r="F571" s="138"/>
      <c r="G571" s="2"/>
      <c r="H571" s="139"/>
      <c r="I571" s="139"/>
      <c r="J571" s="140"/>
      <c r="K571" s="136"/>
    </row>
    <row r="572" spans="6:11" ht="13.2">
      <c r="F572" s="138"/>
      <c r="G572" s="2"/>
      <c r="H572" s="139"/>
      <c r="I572" s="139"/>
      <c r="J572" s="140"/>
      <c r="K572" s="136"/>
    </row>
    <row r="573" spans="6:11" ht="13.2">
      <c r="F573" s="138"/>
      <c r="G573" s="2"/>
      <c r="H573" s="139"/>
      <c r="I573" s="139"/>
      <c r="J573" s="140"/>
      <c r="K573" s="136"/>
    </row>
    <row r="574" spans="6:11" ht="13.2">
      <c r="F574" s="138"/>
      <c r="G574" s="2"/>
      <c r="H574" s="139"/>
      <c r="I574" s="139"/>
      <c r="J574" s="140"/>
      <c r="K574" s="136"/>
    </row>
    <row r="575" spans="6:11" ht="13.2">
      <c r="F575" s="138"/>
      <c r="G575" s="2"/>
      <c r="H575" s="139"/>
      <c r="I575" s="139"/>
      <c r="J575" s="140"/>
      <c r="K575" s="136"/>
    </row>
    <row r="576" spans="6:11" ht="13.2">
      <c r="F576" s="138"/>
      <c r="G576" s="2"/>
      <c r="H576" s="139"/>
      <c r="I576" s="139"/>
      <c r="J576" s="140"/>
      <c r="K576" s="136"/>
    </row>
    <row r="577" spans="6:11" ht="13.2">
      <c r="F577" s="138"/>
      <c r="G577" s="2"/>
      <c r="H577" s="139"/>
      <c r="I577" s="139"/>
      <c r="J577" s="140"/>
      <c r="K577" s="136"/>
    </row>
    <row r="578" spans="6:11" ht="13.2">
      <c r="F578" s="138"/>
      <c r="G578" s="2"/>
      <c r="H578" s="139"/>
      <c r="I578" s="139"/>
      <c r="J578" s="140"/>
      <c r="K578" s="136"/>
    </row>
    <row r="579" spans="6:11" ht="13.2">
      <c r="F579" s="138"/>
      <c r="G579" s="2"/>
      <c r="H579" s="139"/>
      <c r="I579" s="139"/>
      <c r="J579" s="140"/>
      <c r="K579" s="136"/>
    </row>
    <row r="580" spans="6:11" ht="13.2">
      <c r="F580" s="138"/>
      <c r="G580" s="2"/>
      <c r="H580" s="139"/>
      <c r="I580" s="139"/>
      <c r="J580" s="140"/>
      <c r="K580" s="136"/>
    </row>
    <row r="581" spans="6:11" ht="13.2">
      <c r="F581" s="138"/>
      <c r="G581" s="2"/>
      <c r="H581" s="139"/>
      <c r="I581" s="139"/>
      <c r="J581" s="140"/>
      <c r="K581" s="136"/>
    </row>
    <row r="582" spans="6:11" ht="13.2">
      <c r="F582" s="138"/>
      <c r="G582" s="2"/>
      <c r="H582" s="139"/>
      <c r="I582" s="139"/>
      <c r="J582" s="140"/>
      <c r="K582" s="136"/>
    </row>
    <row r="583" spans="6:11" ht="13.2">
      <c r="F583" s="138"/>
      <c r="G583" s="2"/>
      <c r="H583" s="139"/>
      <c r="I583" s="139"/>
      <c r="J583" s="140"/>
      <c r="K583" s="136"/>
    </row>
    <row r="584" spans="6:11" ht="13.2">
      <c r="F584" s="138"/>
      <c r="G584" s="2"/>
      <c r="H584" s="139"/>
      <c r="I584" s="139"/>
      <c r="J584" s="140"/>
      <c r="K584" s="136"/>
    </row>
    <row r="585" spans="6:11" ht="13.2">
      <c r="F585" s="138"/>
      <c r="G585" s="2"/>
      <c r="H585" s="139"/>
      <c r="I585" s="139"/>
      <c r="J585" s="140"/>
      <c r="K585" s="136"/>
    </row>
    <row r="586" spans="6:11" ht="13.2">
      <c r="F586" s="138"/>
      <c r="G586" s="2"/>
      <c r="H586" s="139"/>
      <c r="I586" s="139"/>
      <c r="J586" s="140"/>
      <c r="K586" s="136"/>
    </row>
    <row r="587" spans="6:11" ht="13.2">
      <c r="F587" s="138"/>
      <c r="G587" s="2"/>
      <c r="H587" s="139"/>
      <c r="I587" s="139"/>
      <c r="J587" s="140"/>
      <c r="K587" s="136"/>
    </row>
    <row r="588" spans="6:11" ht="13.2">
      <c r="F588" s="138"/>
      <c r="G588" s="2"/>
      <c r="H588" s="139"/>
      <c r="I588" s="139"/>
      <c r="J588" s="140"/>
      <c r="K588" s="136"/>
    </row>
    <row r="589" spans="6:11" ht="13.2">
      <c r="F589" s="138"/>
      <c r="G589" s="2"/>
      <c r="H589" s="139"/>
      <c r="I589" s="139"/>
      <c r="J589" s="140"/>
      <c r="K589" s="136"/>
    </row>
    <row r="590" spans="6:11" ht="13.2">
      <c r="F590" s="138"/>
      <c r="G590" s="2"/>
      <c r="H590" s="139"/>
      <c r="I590" s="139"/>
      <c r="J590" s="140"/>
      <c r="K590" s="136"/>
    </row>
    <row r="591" spans="6:11" ht="13.2">
      <c r="F591" s="138"/>
      <c r="G591" s="2"/>
      <c r="H591" s="139"/>
      <c r="I591" s="139"/>
      <c r="J591" s="140"/>
      <c r="K591" s="136"/>
    </row>
    <row r="592" spans="6:11" ht="13.2">
      <c r="F592" s="138"/>
      <c r="G592" s="2"/>
      <c r="H592" s="139"/>
      <c r="I592" s="139"/>
      <c r="J592" s="140"/>
      <c r="K592" s="136"/>
    </row>
    <row r="593" spans="6:11" ht="13.2">
      <c r="F593" s="138"/>
      <c r="G593" s="2"/>
      <c r="H593" s="139"/>
      <c r="I593" s="139"/>
      <c r="J593" s="140"/>
      <c r="K593" s="136"/>
    </row>
    <row r="594" spans="6:11" ht="13.2">
      <c r="F594" s="138"/>
      <c r="G594" s="2"/>
      <c r="H594" s="139"/>
      <c r="I594" s="139"/>
      <c r="J594" s="140"/>
      <c r="K594" s="136"/>
    </row>
    <row r="595" spans="6:11" ht="13.2">
      <c r="F595" s="138"/>
      <c r="G595" s="2"/>
      <c r="H595" s="139"/>
      <c r="I595" s="139"/>
      <c r="J595" s="140"/>
      <c r="K595" s="136"/>
    </row>
    <row r="596" spans="6:11" ht="13.2">
      <c r="F596" s="138"/>
      <c r="G596" s="2"/>
      <c r="H596" s="139"/>
      <c r="I596" s="139"/>
      <c r="J596" s="140"/>
      <c r="K596" s="136"/>
    </row>
    <row r="597" spans="6:11" ht="13.2">
      <c r="F597" s="138"/>
      <c r="G597" s="2"/>
      <c r="H597" s="139"/>
      <c r="I597" s="139"/>
      <c r="J597" s="140"/>
      <c r="K597" s="136"/>
    </row>
    <row r="598" spans="6:11" ht="13.2">
      <c r="F598" s="138"/>
      <c r="G598" s="2"/>
      <c r="H598" s="139"/>
      <c r="I598" s="139"/>
      <c r="J598" s="140"/>
      <c r="K598" s="136"/>
    </row>
    <row r="599" spans="6:11" ht="13.2">
      <c r="F599" s="138"/>
      <c r="G599" s="2"/>
      <c r="H599" s="139"/>
      <c r="I599" s="139"/>
      <c r="J599" s="140"/>
      <c r="K599" s="136"/>
    </row>
    <row r="600" spans="6:11" ht="13.2">
      <c r="F600" s="138"/>
      <c r="G600" s="2"/>
      <c r="H600" s="139"/>
      <c r="I600" s="139"/>
      <c r="J600" s="140"/>
      <c r="K600" s="136"/>
    </row>
    <row r="601" spans="6:11" ht="13.2">
      <c r="F601" s="138"/>
      <c r="G601" s="2"/>
      <c r="H601" s="139"/>
      <c r="I601" s="139"/>
      <c r="J601" s="140"/>
      <c r="K601" s="136"/>
    </row>
    <row r="602" spans="6:11" ht="13.2">
      <c r="F602" s="138"/>
      <c r="G602" s="2"/>
      <c r="H602" s="139"/>
      <c r="I602" s="139"/>
      <c r="J602" s="140"/>
      <c r="K602" s="136"/>
    </row>
    <row r="603" spans="6:11" ht="13.2">
      <c r="F603" s="138"/>
      <c r="G603" s="2"/>
      <c r="H603" s="139"/>
      <c r="I603" s="139"/>
      <c r="J603" s="140"/>
      <c r="K603" s="136"/>
    </row>
    <row r="604" spans="6:11" ht="13.2">
      <c r="F604" s="138"/>
      <c r="G604" s="2"/>
      <c r="H604" s="139"/>
      <c r="I604" s="139"/>
      <c r="J604" s="140"/>
      <c r="K604" s="136"/>
    </row>
    <row r="605" spans="6:11" ht="13.2">
      <c r="F605" s="138"/>
      <c r="G605" s="2"/>
      <c r="H605" s="139"/>
      <c r="I605" s="139"/>
      <c r="J605" s="140"/>
      <c r="K605" s="136"/>
    </row>
    <row r="606" spans="6:11" ht="13.2">
      <c r="F606" s="138"/>
      <c r="G606" s="2"/>
      <c r="H606" s="139"/>
      <c r="I606" s="139"/>
      <c r="J606" s="140"/>
      <c r="K606" s="136"/>
    </row>
    <row r="607" spans="6:11" ht="13.2">
      <c r="F607" s="138"/>
      <c r="G607" s="2"/>
      <c r="H607" s="139"/>
      <c r="I607" s="139"/>
      <c r="J607" s="140"/>
      <c r="K607" s="136"/>
    </row>
    <row r="608" spans="6:11" ht="13.2">
      <c r="F608" s="138"/>
      <c r="G608" s="2"/>
      <c r="H608" s="139"/>
      <c r="I608" s="139"/>
      <c r="J608" s="140"/>
      <c r="K608" s="136"/>
    </row>
    <row r="609" spans="6:11" ht="13.2">
      <c r="F609" s="138"/>
      <c r="G609" s="2"/>
      <c r="H609" s="139"/>
      <c r="I609" s="139"/>
      <c r="J609" s="140"/>
      <c r="K609" s="136"/>
    </row>
    <row r="610" spans="6:11" ht="13.2">
      <c r="F610" s="138"/>
      <c r="G610" s="2"/>
      <c r="H610" s="139"/>
      <c r="I610" s="139"/>
      <c r="J610" s="140"/>
      <c r="K610" s="136"/>
    </row>
    <row r="611" spans="6:11" ht="13.2">
      <c r="F611" s="138"/>
      <c r="G611" s="2"/>
      <c r="H611" s="139"/>
      <c r="I611" s="139"/>
      <c r="J611" s="140"/>
      <c r="K611" s="136"/>
    </row>
    <row r="612" spans="6:11" ht="13.2">
      <c r="F612" s="138"/>
      <c r="G612" s="2"/>
      <c r="H612" s="139"/>
      <c r="I612" s="139"/>
      <c r="J612" s="140"/>
      <c r="K612" s="136"/>
    </row>
    <row r="613" spans="6:11" ht="13.2">
      <c r="F613" s="138"/>
      <c r="G613" s="2"/>
      <c r="H613" s="139"/>
      <c r="I613" s="139"/>
      <c r="J613" s="140"/>
      <c r="K613" s="136"/>
    </row>
    <row r="614" spans="6:11" ht="13.2">
      <c r="F614" s="138"/>
      <c r="G614" s="2"/>
      <c r="H614" s="139"/>
      <c r="I614" s="139"/>
      <c r="J614" s="140"/>
      <c r="K614" s="136"/>
    </row>
    <row r="615" spans="6:11" ht="13.2">
      <c r="F615" s="138"/>
      <c r="G615" s="2"/>
      <c r="H615" s="139"/>
      <c r="I615" s="139"/>
      <c r="J615" s="140"/>
      <c r="K615" s="136"/>
    </row>
    <row r="616" spans="6:11" ht="13.2">
      <c r="F616" s="138"/>
      <c r="G616" s="2"/>
      <c r="H616" s="139"/>
      <c r="I616" s="139"/>
      <c r="J616" s="140"/>
      <c r="K616" s="136"/>
    </row>
    <row r="617" spans="6:11" ht="13.2">
      <c r="F617" s="138"/>
      <c r="G617" s="2"/>
      <c r="H617" s="139"/>
      <c r="I617" s="139"/>
      <c r="J617" s="140"/>
      <c r="K617" s="136"/>
    </row>
    <row r="618" spans="6:11" ht="13.2">
      <c r="F618" s="138"/>
      <c r="G618" s="2"/>
      <c r="H618" s="139"/>
      <c r="I618" s="139"/>
      <c r="J618" s="140"/>
      <c r="K618" s="136"/>
    </row>
    <row r="619" spans="6:11" ht="13.2">
      <c r="F619" s="138"/>
      <c r="G619" s="2"/>
      <c r="H619" s="139"/>
      <c r="I619" s="139"/>
      <c r="J619" s="140"/>
      <c r="K619" s="136"/>
    </row>
    <row r="620" spans="6:11" ht="13.2">
      <c r="F620" s="138"/>
      <c r="G620" s="2"/>
      <c r="H620" s="139"/>
      <c r="I620" s="139"/>
      <c r="J620" s="140"/>
      <c r="K620" s="136"/>
    </row>
    <row r="621" spans="6:11" ht="13.2">
      <c r="F621" s="138"/>
      <c r="G621" s="2"/>
      <c r="H621" s="139"/>
      <c r="I621" s="139"/>
      <c r="J621" s="140"/>
      <c r="K621" s="136"/>
    </row>
    <row r="622" spans="6:11" ht="13.2">
      <c r="F622" s="138"/>
      <c r="G622" s="2"/>
      <c r="H622" s="139"/>
      <c r="I622" s="139"/>
      <c r="J622" s="140"/>
      <c r="K622" s="136"/>
    </row>
    <row r="623" spans="6:11" ht="13.2">
      <c r="F623" s="138"/>
      <c r="G623" s="2"/>
      <c r="H623" s="139"/>
      <c r="I623" s="139"/>
      <c r="J623" s="140"/>
      <c r="K623" s="136"/>
    </row>
    <row r="624" spans="6:11" ht="13.2">
      <c r="F624" s="138"/>
      <c r="G624" s="2"/>
      <c r="H624" s="139"/>
      <c r="I624" s="139"/>
      <c r="J624" s="140"/>
      <c r="K624" s="136"/>
    </row>
    <row r="625" spans="6:11" ht="13.2">
      <c r="F625" s="138"/>
      <c r="G625" s="2"/>
      <c r="H625" s="139"/>
      <c r="I625" s="139"/>
      <c r="J625" s="140"/>
      <c r="K625" s="136"/>
    </row>
    <row r="626" spans="6:11" ht="13.2">
      <c r="F626" s="138"/>
      <c r="G626" s="2"/>
      <c r="H626" s="139"/>
      <c r="I626" s="139"/>
      <c r="J626" s="140"/>
      <c r="K626" s="136"/>
    </row>
    <row r="627" spans="6:11" ht="13.2">
      <c r="F627" s="138"/>
      <c r="G627" s="2"/>
      <c r="H627" s="139"/>
      <c r="I627" s="139"/>
      <c r="J627" s="140"/>
      <c r="K627" s="136"/>
    </row>
    <row r="628" spans="6:11" ht="13.2">
      <c r="F628" s="138"/>
      <c r="G628" s="2"/>
      <c r="H628" s="139"/>
      <c r="I628" s="139"/>
      <c r="J628" s="140"/>
      <c r="K628" s="136"/>
    </row>
    <row r="629" spans="6:11" ht="13.2">
      <c r="F629" s="138"/>
      <c r="G629" s="2"/>
      <c r="H629" s="139"/>
      <c r="I629" s="139"/>
      <c r="J629" s="140"/>
      <c r="K629" s="136"/>
    </row>
    <row r="630" spans="6:11" ht="13.2">
      <c r="F630" s="138"/>
      <c r="G630" s="2"/>
      <c r="H630" s="139"/>
      <c r="I630" s="139"/>
      <c r="J630" s="140"/>
      <c r="K630" s="136"/>
    </row>
    <row r="631" spans="6:11" ht="13.2">
      <c r="F631" s="138"/>
      <c r="G631" s="2"/>
      <c r="H631" s="139"/>
      <c r="I631" s="139"/>
      <c r="J631" s="140"/>
      <c r="K631" s="136"/>
    </row>
    <row r="632" spans="6:11" ht="13.2">
      <c r="F632" s="138"/>
      <c r="G632" s="2"/>
      <c r="H632" s="139"/>
      <c r="I632" s="139"/>
      <c r="J632" s="140"/>
      <c r="K632" s="136"/>
    </row>
    <row r="633" spans="6:11" ht="13.2">
      <c r="F633" s="138"/>
      <c r="G633" s="2"/>
      <c r="H633" s="139"/>
      <c r="I633" s="139"/>
      <c r="J633" s="140"/>
      <c r="K633" s="136"/>
    </row>
    <row r="634" spans="6:11" ht="13.2">
      <c r="F634" s="138"/>
      <c r="G634" s="2"/>
      <c r="H634" s="139"/>
      <c r="I634" s="139"/>
      <c r="J634" s="140"/>
      <c r="K634" s="136"/>
    </row>
    <row r="635" spans="6:11" ht="13.2">
      <c r="F635" s="138"/>
      <c r="G635" s="2"/>
      <c r="H635" s="139"/>
      <c r="I635" s="139"/>
      <c r="J635" s="140"/>
      <c r="K635" s="136"/>
    </row>
    <row r="636" spans="6:11" ht="13.2">
      <c r="F636" s="138"/>
      <c r="G636" s="2"/>
      <c r="H636" s="139"/>
      <c r="I636" s="139"/>
      <c r="J636" s="140"/>
      <c r="K636" s="136"/>
    </row>
    <row r="637" spans="6:11" ht="13.2">
      <c r="F637" s="138"/>
      <c r="G637" s="2"/>
      <c r="H637" s="139"/>
      <c r="I637" s="139"/>
      <c r="J637" s="140"/>
      <c r="K637" s="136"/>
    </row>
    <row r="638" spans="6:11" ht="13.2">
      <c r="F638" s="138"/>
      <c r="G638" s="2"/>
      <c r="H638" s="139"/>
      <c r="I638" s="139"/>
      <c r="J638" s="140"/>
      <c r="K638" s="136"/>
    </row>
    <row r="639" spans="6:11" ht="13.2">
      <c r="F639" s="138"/>
      <c r="G639" s="2"/>
      <c r="H639" s="139"/>
      <c r="I639" s="139"/>
      <c r="J639" s="140"/>
      <c r="K639" s="136"/>
    </row>
    <row r="640" spans="6:11" ht="13.2">
      <c r="F640" s="138"/>
      <c r="G640" s="2"/>
      <c r="H640" s="139"/>
      <c r="I640" s="139"/>
      <c r="J640" s="140"/>
      <c r="K640" s="136"/>
    </row>
    <row r="641" spans="6:11" ht="13.2">
      <c r="F641" s="138"/>
      <c r="G641" s="2"/>
      <c r="H641" s="139"/>
      <c r="I641" s="139"/>
      <c r="J641" s="140"/>
      <c r="K641" s="136"/>
    </row>
    <row r="642" spans="6:11" ht="13.2">
      <c r="F642" s="138"/>
      <c r="G642" s="2"/>
      <c r="H642" s="139"/>
      <c r="I642" s="139"/>
      <c r="J642" s="140"/>
      <c r="K642" s="136"/>
    </row>
    <row r="643" spans="6:11" ht="13.2">
      <c r="F643" s="138"/>
      <c r="G643" s="2"/>
      <c r="H643" s="139"/>
      <c r="I643" s="139"/>
      <c r="J643" s="140"/>
      <c r="K643" s="136"/>
    </row>
    <row r="644" spans="6:11" ht="13.2">
      <c r="F644" s="138"/>
      <c r="G644" s="2"/>
      <c r="H644" s="139"/>
      <c r="I644" s="139"/>
      <c r="J644" s="140"/>
      <c r="K644" s="136"/>
    </row>
    <row r="645" spans="6:11" ht="13.2">
      <c r="F645" s="138"/>
      <c r="G645" s="2"/>
      <c r="H645" s="139"/>
      <c r="I645" s="139"/>
      <c r="J645" s="140"/>
      <c r="K645" s="136"/>
    </row>
    <row r="646" spans="6:11" ht="13.2">
      <c r="F646" s="138"/>
      <c r="G646" s="2"/>
      <c r="H646" s="139"/>
      <c r="I646" s="139"/>
      <c r="J646" s="140"/>
      <c r="K646" s="136"/>
    </row>
    <row r="647" spans="6:11" ht="13.2">
      <c r="F647" s="138"/>
      <c r="G647" s="2"/>
      <c r="H647" s="139"/>
      <c r="I647" s="139"/>
      <c r="J647" s="140"/>
      <c r="K647" s="136"/>
    </row>
    <row r="648" spans="6:11" ht="13.2">
      <c r="F648" s="138"/>
      <c r="G648" s="2"/>
      <c r="H648" s="139"/>
      <c r="I648" s="139"/>
      <c r="J648" s="140"/>
      <c r="K648" s="136"/>
    </row>
    <row r="649" spans="6:11" ht="13.2">
      <c r="F649" s="138"/>
      <c r="G649" s="2"/>
      <c r="H649" s="139"/>
      <c r="I649" s="139"/>
      <c r="J649" s="140"/>
      <c r="K649" s="136"/>
    </row>
    <row r="650" spans="6:11" ht="13.2">
      <c r="F650" s="138"/>
      <c r="G650" s="2"/>
      <c r="H650" s="139"/>
      <c r="I650" s="139"/>
      <c r="J650" s="140"/>
      <c r="K650" s="136"/>
    </row>
    <row r="651" spans="6:11" ht="13.2">
      <c r="F651" s="138"/>
      <c r="G651" s="2"/>
      <c r="H651" s="139"/>
      <c r="I651" s="139"/>
      <c r="J651" s="140"/>
      <c r="K651" s="136"/>
    </row>
    <row r="652" spans="6:11" ht="13.2">
      <c r="F652" s="138"/>
      <c r="G652" s="2"/>
      <c r="H652" s="139"/>
      <c r="I652" s="139"/>
      <c r="J652" s="140"/>
      <c r="K652" s="136"/>
    </row>
    <row r="653" spans="6:11" ht="13.2">
      <c r="F653" s="138"/>
      <c r="G653" s="2"/>
      <c r="H653" s="139"/>
      <c r="I653" s="139"/>
      <c r="J653" s="140"/>
      <c r="K653" s="136"/>
    </row>
    <row r="654" spans="6:11" ht="13.2">
      <c r="F654" s="138"/>
      <c r="G654" s="2"/>
      <c r="H654" s="139"/>
      <c r="I654" s="139"/>
      <c r="J654" s="140"/>
      <c r="K654" s="136"/>
    </row>
    <row r="655" spans="6:11" ht="13.2">
      <c r="F655" s="138"/>
      <c r="G655" s="2"/>
      <c r="H655" s="139"/>
      <c r="I655" s="139"/>
      <c r="J655" s="140"/>
      <c r="K655" s="136"/>
    </row>
    <row r="656" spans="6:11" ht="13.2">
      <c r="F656" s="138"/>
      <c r="G656" s="2"/>
      <c r="H656" s="139"/>
      <c r="I656" s="139"/>
      <c r="J656" s="140"/>
      <c r="K656" s="136"/>
    </row>
    <row r="657" spans="6:11" ht="13.2">
      <c r="F657" s="138"/>
      <c r="G657" s="2"/>
      <c r="H657" s="139"/>
      <c r="I657" s="139"/>
      <c r="J657" s="140"/>
      <c r="K657" s="136"/>
    </row>
    <row r="658" spans="6:11" ht="13.2">
      <c r="F658" s="138"/>
      <c r="G658" s="2"/>
      <c r="H658" s="139"/>
      <c r="I658" s="139"/>
      <c r="J658" s="140"/>
      <c r="K658" s="136"/>
    </row>
    <row r="659" spans="6:11" ht="13.2">
      <c r="F659" s="138"/>
      <c r="G659" s="2"/>
      <c r="H659" s="139"/>
      <c r="I659" s="139"/>
      <c r="J659" s="140"/>
      <c r="K659" s="136"/>
    </row>
    <row r="660" spans="6:11" ht="13.2">
      <c r="F660" s="138"/>
      <c r="G660" s="2"/>
      <c r="H660" s="139"/>
      <c r="I660" s="139"/>
      <c r="J660" s="140"/>
      <c r="K660" s="136"/>
    </row>
    <row r="661" spans="6:11" ht="13.2">
      <c r="F661" s="138"/>
      <c r="G661" s="2"/>
      <c r="H661" s="139"/>
      <c r="I661" s="139"/>
      <c r="J661" s="140"/>
      <c r="K661" s="136"/>
    </row>
    <row r="662" spans="6:11" ht="13.2">
      <c r="F662" s="138"/>
      <c r="G662" s="2"/>
      <c r="H662" s="139"/>
      <c r="I662" s="139"/>
      <c r="J662" s="140"/>
      <c r="K662" s="136"/>
    </row>
    <row r="663" spans="6:11" ht="13.2">
      <c r="F663" s="138"/>
      <c r="G663" s="2"/>
      <c r="H663" s="139"/>
      <c r="I663" s="139"/>
      <c r="J663" s="140"/>
      <c r="K663" s="136"/>
    </row>
    <row r="664" spans="6:11" ht="13.2">
      <c r="F664" s="138"/>
      <c r="G664" s="2"/>
      <c r="H664" s="139"/>
      <c r="I664" s="139"/>
      <c r="J664" s="140"/>
      <c r="K664" s="136"/>
    </row>
    <row r="665" spans="6:11" ht="13.2">
      <c r="F665" s="138"/>
      <c r="G665" s="2"/>
      <c r="H665" s="139"/>
      <c r="I665" s="139"/>
      <c r="J665" s="140"/>
      <c r="K665" s="136"/>
    </row>
    <row r="666" spans="6:11" ht="13.2">
      <c r="F666" s="138"/>
      <c r="G666" s="2"/>
      <c r="H666" s="139"/>
      <c r="I666" s="139"/>
      <c r="J666" s="140"/>
      <c r="K666" s="136"/>
    </row>
    <row r="667" spans="6:11" ht="13.2">
      <c r="F667" s="138"/>
      <c r="G667" s="2"/>
      <c r="H667" s="139"/>
      <c r="I667" s="139"/>
      <c r="J667" s="140"/>
      <c r="K667" s="136"/>
    </row>
    <row r="668" spans="6:11" ht="13.2">
      <c r="F668" s="138"/>
      <c r="G668" s="2"/>
      <c r="H668" s="139"/>
      <c r="I668" s="139"/>
      <c r="J668" s="140"/>
      <c r="K668" s="136"/>
    </row>
    <row r="669" spans="6:11" ht="13.2">
      <c r="F669" s="138"/>
      <c r="G669" s="2"/>
      <c r="H669" s="139"/>
      <c r="I669" s="139"/>
      <c r="J669" s="140"/>
      <c r="K669" s="136"/>
    </row>
    <row r="670" spans="6:11" ht="13.2">
      <c r="F670" s="138"/>
      <c r="G670" s="2"/>
      <c r="H670" s="139"/>
      <c r="I670" s="139"/>
      <c r="J670" s="140"/>
      <c r="K670" s="136"/>
    </row>
    <row r="671" spans="6:11" ht="13.2">
      <c r="F671" s="138"/>
      <c r="G671" s="2"/>
      <c r="H671" s="139"/>
      <c r="I671" s="139"/>
      <c r="J671" s="140"/>
      <c r="K671" s="136"/>
    </row>
    <row r="672" spans="6:11" ht="13.2">
      <c r="F672" s="138"/>
      <c r="G672" s="2"/>
      <c r="H672" s="139"/>
      <c r="I672" s="139"/>
      <c r="J672" s="140"/>
      <c r="K672" s="136"/>
    </row>
    <row r="673" spans="6:11" ht="13.2">
      <c r="F673" s="138"/>
      <c r="G673" s="2"/>
      <c r="H673" s="139"/>
      <c r="I673" s="139"/>
      <c r="J673" s="140"/>
      <c r="K673" s="136"/>
    </row>
    <row r="674" spans="6:11" ht="13.2">
      <c r="F674" s="138"/>
      <c r="G674" s="2"/>
      <c r="H674" s="139"/>
      <c r="I674" s="139"/>
      <c r="J674" s="140"/>
      <c r="K674" s="136"/>
    </row>
    <row r="675" spans="6:11" ht="13.2">
      <c r="F675" s="138"/>
      <c r="G675" s="2"/>
      <c r="H675" s="139"/>
      <c r="I675" s="139"/>
      <c r="J675" s="140"/>
      <c r="K675" s="136"/>
    </row>
    <row r="676" spans="6:11" ht="13.2">
      <c r="F676" s="138"/>
      <c r="G676" s="2"/>
      <c r="H676" s="139"/>
      <c r="I676" s="139"/>
      <c r="J676" s="140"/>
      <c r="K676" s="136"/>
    </row>
    <row r="677" spans="6:11" ht="13.2">
      <c r="F677" s="138"/>
      <c r="G677" s="2"/>
      <c r="H677" s="139"/>
      <c r="I677" s="139"/>
      <c r="J677" s="140"/>
      <c r="K677" s="136"/>
    </row>
    <row r="678" spans="6:11" ht="13.2">
      <c r="F678" s="138"/>
      <c r="G678" s="2"/>
      <c r="H678" s="139"/>
      <c r="I678" s="139"/>
      <c r="J678" s="140"/>
      <c r="K678" s="136"/>
    </row>
    <row r="679" spans="6:11" ht="13.2">
      <c r="F679" s="138"/>
      <c r="G679" s="2"/>
      <c r="H679" s="139"/>
      <c r="I679" s="139"/>
      <c r="J679" s="140"/>
      <c r="K679" s="136"/>
    </row>
    <row r="680" spans="6:11" ht="13.2">
      <c r="F680" s="138"/>
      <c r="G680" s="2"/>
      <c r="H680" s="139"/>
      <c r="I680" s="139"/>
      <c r="J680" s="140"/>
      <c r="K680" s="136"/>
    </row>
    <row r="681" spans="6:11" ht="13.2">
      <c r="F681" s="138"/>
      <c r="G681" s="2"/>
      <c r="H681" s="139"/>
      <c r="I681" s="139"/>
      <c r="J681" s="140"/>
      <c r="K681" s="136"/>
    </row>
    <row r="682" spans="6:11" ht="13.2">
      <c r="F682" s="138"/>
      <c r="G682" s="2"/>
      <c r="H682" s="139"/>
      <c r="I682" s="139"/>
      <c r="J682" s="140"/>
      <c r="K682" s="136"/>
    </row>
    <row r="683" spans="6:11" ht="13.2">
      <c r="F683" s="138"/>
      <c r="G683" s="2"/>
      <c r="H683" s="139"/>
      <c r="I683" s="139"/>
      <c r="J683" s="140"/>
      <c r="K683" s="136"/>
    </row>
    <row r="684" spans="6:11" ht="13.2">
      <c r="F684" s="138"/>
      <c r="G684" s="2"/>
      <c r="H684" s="139"/>
      <c r="I684" s="139"/>
      <c r="J684" s="140"/>
      <c r="K684" s="136"/>
    </row>
    <row r="685" spans="6:11" ht="13.2">
      <c r="F685" s="138"/>
      <c r="G685" s="2"/>
      <c r="H685" s="139"/>
      <c r="I685" s="139"/>
      <c r="J685" s="140"/>
      <c r="K685" s="136"/>
    </row>
    <row r="686" spans="6:11" ht="13.2">
      <c r="F686" s="138"/>
      <c r="G686" s="2"/>
      <c r="H686" s="139"/>
      <c r="I686" s="139"/>
      <c r="J686" s="140"/>
      <c r="K686" s="136"/>
    </row>
    <row r="687" spans="6:11" ht="13.2">
      <c r="F687" s="138"/>
      <c r="G687" s="2"/>
      <c r="H687" s="139"/>
      <c r="I687" s="139"/>
      <c r="J687" s="140"/>
      <c r="K687" s="136"/>
    </row>
    <row r="688" spans="6:11" ht="13.2">
      <c r="F688" s="138"/>
      <c r="G688" s="2"/>
      <c r="H688" s="139"/>
      <c r="I688" s="139"/>
      <c r="J688" s="140"/>
      <c r="K688" s="136"/>
    </row>
    <row r="689" spans="6:11" ht="13.2">
      <c r="F689" s="138"/>
      <c r="G689" s="2"/>
      <c r="H689" s="139"/>
      <c r="I689" s="139"/>
      <c r="J689" s="140"/>
      <c r="K689" s="136"/>
    </row>
    <row r="690" spans="6:11" ht="13.2">
      <c r="F690" s="138"/>
      <c r="G690" s="2"/>
      <c r="H690" s="139"/>
      <c r="I690" s="139"/>
      <c r="J690" s="140"/>
      <c r="K690" s="136"/>
    </row>
    <row r="691" spans="6:11" ht="13.2">
      <c r="F691" s="138"/>
      <c r="G691" s="2"/>
      <c r="H691" s="139"/>
      <c r="I691" s="139"/>
      <c r="J691" s="140"/>
      <c r="K691" s="136"/>
    </row>
    <row r="692" spans="6:11" ht="13.2">
      <c r="F692" s="138"/>
      <c r="G692" s="2"/>
      <c r="H692" s="139"/>
      <c r="I692" s="139"/>
      <c r="J692" s="140"/>
      <c r="K692" s="136"/>
    </row>
    <row r="693" spans="6:11" ht="13.2">
      <c r="F693" s="138"/>
      <c r="G693" s="2"/>
      <c r="H693" s="139"/>
      <c r="I693" s="139"/>
      <c r="J693" s="140"/>
      <c r="K693" s="136"/>
    </row>
    <row r="694" spans="6:11" ht="13.2">
      <c r="F694" s="138"/>
      <c r="G694" s="2"/>
      <c r="H694" s="139"/>
      <c r="I694" s="139"/>
      <c r="J694" s="140"/>
      <c r="K694" s="136"/>
    </row>
    <row r="695" spans="6:11" ht="13.2">
      <c r="F695" s="138"/>
      <c r="G695" s="2"/>
      <c r="H695" s="139"/>
      <c r="I695" s="139"/>
      <c r="J695" s="140"/>
      <c r="K695" s="136"/>
    </row>
    <row r="696" spans="6:11" ht="13.2">
      <c r="F696" s="138"/>
      <c r="G696" s="2"/>
      <c r="H696" s="139"/>
      <c r="I696" s="139"/>
      <c r="J696" s="140"/>
      <c r="K696" s="136"/>
    </row>
    <row r="697" spans="6:11" ht="13.2">
      <c r="F697" s="138"/>
      <c r="G697" s="2"/>
      <c r="H697" s="139"/>
      <c r="I697" s="139"/>
      <c r="J697" s="140"/>
      <c r="K697" s="136"/>
    </row>
    <row r="698" spans="6:11" ht="13.2">
      <c r="F698" s="138"/>
      <c r="G698" s="2"/>
      <c r="H698" s="139"/>
      <c r="I698" s="139"/>
      <c r="J698" s="140"/>
      <c r="K698" s="136"/>
    </row>
    <row r="699" spans="6:11" ht="13.2">
      <c r="F699" s="138"/>
      <c r="G699" s="2"/>
      <c r="H699" s="139"/>
      <c r="I699" s="139"/>
      <c r="J699" s="140"/>
      <c r="K699" s="136"/>
    </row>
    <row r="700" spans="6:11" ht="13.2">
      <c r="F700" s="138"/>
      <c r="G700" s="2"/>
      <c r="H700" s="139"/>
      <c r="I700" s="139"/>
      <c r="J700" s="140"/>
      <c r="K700" s="136"/>
    </row>
    <row r="701" spans="6:11" ht="13.2">
      <c r="F701" s="138"/>
      <c r="G701" s="2"/>
      <c r="H701" s="139"/>
      <c r="I701" s="139"/>
      <c r="J701" s="140"/>
      <c r="K701" s="136"/>
    </row>
    <row r="702" spans="6:11" ht="13.2">
      <c r="F702" s="138"/>
      <c r="G702" s="2"/>
      <c r="H702" s="139"/>
      <c r="I702" s="139"/>
      <c r="J702" s="140"/>
      <c r="K702" s="136"/>
    </row>
    <row r="703" spans="6:11" ht="13.2">
      <c r="F703" s="138"/>
      <c r="G703" s="2"/>
      <c r="H703" s="139"/>
      <c r="I703" s="139"/>
      <c r="J703" s="140"/>
      <c r="K703" s="136"/>
    </row>
    <row r="704" spans="6:11" ht="13.2">
      <c r="F704" s="138"/>
      <c r="G704" s="2"/>
      <c r="H704" s="139"/>
      <c r="I704" s="139"/>
      <c r="J704" s="140"/>
      <c r="K704" s="136"/>
    </row>
    <row r="705" spans="6:11" ht="13.2">
      <c r="F705" s="138"/>
      <c r="G705" s="2"/>
      <c r="H705" s="139"/>
      <c r="I705" s="139"/>
      <c r="J705" s="140"/>
      <c r="K705" s="136"/>
    </row>
    <row r="706" spans="6:11" ht="13.2">
      <c r="F706" s="138"/>
      <c r="G706" s="2"/>
      <c r="H706" s="139"/>
      <c r="I706" s="139"/>
      <c r="J706" s="140"/>
      <c r="K706" s="136"/>
    </row>
    <row r="707" spans="6:11" ht="13.2">
      <c r="F707" s="138"/>
      <c r="G707" s="2"/>
      <c r="H707" s="139"/>
      <c r="I707" s="139"/>
      <c r="J707" s="140"/>
      <c r="K707" s="136"/>
    </row>
    <row r="708" spans="6:11" ht="13.2">
      <c r="F708" s="138"/>
      <c r="G708" s="2"/>
      <c r="H708" s="139"/>
      <c r="I708" s="139"/>
      <c r="J708" s="140"/>
      <c r="K708" s="136"/>
    </row>
    <row r="709" spans="6:11" ht="13.2">
      <c r="F709" s="138"/>
      <c r="G709" s="2"/>
      <c r="H709" s="139"/>
      <c r="I709" s="139"/>
      <c r="J709" s="140"/>
      <c r="K709" s="136"/>
    </row>
    <row r="710" spans="6:11" ht="13.2">
      <c r="F710" s="138"/>
      <c r="G710" s="2"/>
      <c r="H710" s="139"/>
      <c r="I710" s="139"/>
      <c r="J710" s="140"/>
      <c r="K710" s="136"/>
    </row>
    <row r="711" spans="6:11" ht="13.2">
      <c r="F711" s="138"/>
      <c r="G711" s="2"/>
      <c r="H711" s="139"/>
      <c r="I711" s="139"/>
      <c r="J711" s="140"/>
      <c r="K711" s="136"/>
    </row>
    <row r="712" spans="6:11" ht="13.2">
      <c r="F712" s="138"/>
      <c r="G712" s="2"/>
      <c r="H712" s="139"/>
      <c r="I712" s="139"/>
      <c r="J712" s="140"/>
      <c r="K712" s="136"/>
    </row>
    <row r="713" spans="6:11" ht="13.2">
      <c r="F713" s="138"/>
      <c r="G713" s="2"/>
      <c r="H713" s="139"/>
      <c r="I713" s="139"/>
      <c r="J713" s="140"/>
      <c r="K713" s="136"/>
    </row>
    <row r="714" spans="6:11" ht="13.2">
      <c r="F714" s="138"/>
      <c r="G714" s="2"/>
      <c r="H714" s="139"/>
      <c r="I714" s="139"/>
      <c r="J714" s="140"/>
      <c r="K714" s="136"/>
    </row>
    <row r="715" spans="6:11" ht="13.2">
      <c r="F715" s="138"/>
      <c r="G715" s="2"/>
      <c r="H715" s="139"/>
      <c r="I715" s="139"/>
      <c r="J715" s="140"/>
      <c r="K715" s="136"/>
    </row>
    <row r="716" spans="6:11" ht="13.2">
      <c r="F716" s="138"/>
      <c r="G716" s="2"/>
      <c r="H716" s="139"/>
      <c r="I716" s="139"/>
      <c r="J716" s="140"/>
      <c r="K716" s="136"/>
    </row>
    <row r="717" spans="6:11" ht="13.2">
      <c r="F717" s="138"/>
      <c r="G717" s="2"/>
      <c r="H717" s="139"/>
      <c r="I717" s="139"/>
      <c r="J717" s="140"/>
      <c r="K717" s="136"/>
    </row>
    <row r="718" spans="6:11" ht="13.2">
      <c r="F718" s="138"/>
      <c r="G718" s="2"/>
      <c r="H718" s="139"/>
      <c r="I718" s="139"/>
      <c r="J718" s="140"/>
      <c r="K718" s="136"/>
    </row>
    <row r="719" spans="6:11" ht="13.2">
      <c r="F719" s="138"/>
      <c r="G719" s="2"/>
      <c r="H719" s="139"/>
      <c r="I719" s="139"/>
      <c r="J719" s="140"/>
      <c r="K719" s="136"/>
    </row>
    <row r="720" spans="6:11" ht="13.2">
      <c r="F720" s="138"/>
      <c r="G720" s="2"/>
      <c r="H720" s="139"/>
      <c r="I720" s="139"/>
      <c r="J720" s="140"/>
      <c r="K720" s="136"/>
    </row>
    <row r="721" spans="6:11" ht="13.2">
      <c r="F721" s="138"/>
      <c r="G721" s="2"/>
      <c r="H721" s="139"/>
      <c r="I721" s="139"/>
      <c r="J721" s="140"/>
      <c r="K721" s="136"/>
    </row>
    <row r="722" spans="6:11" ht="13.2">
      <c r="F722" s="138"/>
      <c r="G722" s="2"/>
      <c r="H722" s="139"/>
      <c r="I722" s="139"/>
      <c r="J722" s="140"/>
      <c r="K722" s="136"/>
    </row>
    <row r="723" spans="6:11" ht="13.2">
      <c r="F723" s="138"/>
      <c r="G723" s="2"/>
      <c r="H723" s="139"/>
      <c r="I723" s="139"/>
      <c r="J723" s="140"/>
      <c r="K723" s="136"/>
    </row>
    <row r="724" spans="6:11" ht="13.2">
      <c r="F724" s="138"/>
      <c r="G724" s="2"/>
      <c r="H724" s="139"/>
      <c r="I724" s="139"/>
      <c r="J724" s="140"/>
      <c r="K724" s="136"/>
    </row>
    <row r="725" spans="6:11" ht="13.2">
      <c r="F725" s="138"/>
      <c r="G725" s="2"/>
      <c r="H725" s="139"/>
      <c r="I725" s="139"/>
      <c r="J725" s="140"/>
      <c r="K725" s="136"/>
    </row>
    <row r="726" spans="6:11" ht="13.2">
      <c r="F726" s="138"/>
      <c r="G726" s="2"/>
      <c r="H726" s="139"/>
      <c r="I726" s="139"/>
      <c r="J726" s="140"/>
      <c r="K726" s="136"/>
    </row>
    <row r="727" spans="6:11" ht="13.2">
      <c r="F727" s="138"/>
      <c r="G727" s="2"/>
      <c r="H727" s="139"/>
      <c r="I727" s="139"/>
      <c r="J727" s="140"/>
      <c r="K727" s="136"/>
    </row>
    <row r="728" spans="6:11" ht="13.2">
      <c r="F728" s="138"/>
      <c r="G728" s="2"/>
      <c r="H728" s="139"/>
      <c r="I728" s="139"/>
      <c r="J728" s="140"/>
      <c r="K728" s="136"/>
    </row>
    <row r="729" spans="6:11" ht="13.2">
      <c r="F729" s="138"/>
      <c r="G729" s="2"/>
      <c r="H729" s="139"/>
      <c r="I729" s="139"/>
      <c r="J729" s="140"/>
      <c r="K729" s="136"/>
    </row>
    <row r="730" spans="6:11" ht="13.2">
      <c r="F730" s="138"/>
      <c r="G730" s="2"/>
      <c r="H730" s="139"/>
      <c r="I730" s="139"/>
      <c r="J730" s="140"/>
      <c r="K730" s="136"/>
    </row>
    <row r="731" spans="6:11" ht="13.2">
      <c r="F731" s="138"/>
      <c r="G731" s="2"/>
      <c r="H731" s="139"/>
      <c r="I731" s="139"/>
      <c r="J731" s="140"/>
      <c r="K731" s="136"/>
    </row>
    <row r="732" spans="6:11" ht="13.2">
      <c r="F732" s="138"/>
      <c r="G732" s="2"/>
      <c r="H732" s="139"/>
      <c r="I732" s="139"/>
      <c r="J732" s="140"/>
      <c r="K732" s="136"/>
    </row>
    <row r="733" spans="6:11" ht="13.2">
      <c r="F733" s="138"/>
      <c r="G733" s="2"/>
      <c r="H733" s="139"/>
      <c r="I733" s="139"/>
      <c r="J733" s="140"/>
      <c r="K733" s="136"/>
    </row>
    <row r="734" spans="6:11" ht="13.2">
      <c r="F734" s="138"/>
      <c r="G734" s="2"/>
      <c r="H734" s="139"/>
      <c r="I734" s="139"/>
      <c r="J734" s="140"/>
      <c r="K734" s="136"/>
    </row>
    <row r="735" spans="6:11" ht="13.2">
      <c r="F735" s="138"/>
      <c r="G735" s="2"/>
      <c r="H735" s="139"/>
      <c r="I735" s="139"/>
      <c r="J735" s="140"/>
      <c r="K735" s="136"/>
    </row>
    <row r="736" spans="6:11" ht="13.2">
      <c r="F736" s="138"/>
      <c r="G736" s="2"/>
      <c r="H736" s="139"/>
      <c r="I736" s="139"/>
      <c r="J736" s="140"/>
      <c r="K736" s="136"/>
    </row>
    <row r="737" spans="6:11" ht="13.2">
      <c r="F737" s="138"/>
      <c r="G737" s="2"/>
      <c r="H737" s="139"/>
      <c r="I737" s="139"/>
      <c r="J737" s="140"/>
      <c r="K737" s="136"/>
    </row>
    <row r="738" spans="6:11" ht="13.2">
      <c r="F738" s="138"/>
      <c r="G738" s="2"/>
      <c r="H738" s="139"/>
      <c r="I738" s="139"/>
      <c r="J738" s="140"/>
      <c r="K738" s="136"/>
    </row>
    <row r="739" spans="6:11" ht="13.2">
      <c r="F739" s="138"/>
      <c r="G739" s="2"/>
      <c r="H739" s="139"/>
      <c r="I739" s="139"/>
      <c r="J739" s="140"/>
      <c r="K739" s="136"/>
    </row>
    <row r="740" spans="6:11" ht="13.2">
      <c r="F740" s="138"/>
      <c r="G740" s="2"/>
      <c r="H740" s="139"/>
      <c r="I740" s="139"/>
      <c r="J740" s="140"/>
      <c r="K740" s="136"/>
    </row>
    <row r="741" spans="6:11" ht="13.2">
      <c r="F741" s="138"/>
      <c r="G741" s="2"/>
      <c r="H741" s="139"/>
      <c r="I741" s="139"/>
      <c r="J741" s="140"/>
      <c r="K741" s="136"/>
    </row>
    <row r="742" spans="6:11" ht="13.2">
      <c r="F742" s="138"/>
      <c r="G742" s="2"/>
      <c r="H742" s="139"/>
      <c r="I742" s="139"/>
      <c r="J742" s="140"/>
      <c r="K742" s="136"/>
    </row>
    <row r="743" spans="6:11" ht="13.2">
      <c r="F743" s="138"/>
      <c r="G743" s="2"/>
      <c r="H743" s="139"/>
      <c r="I743" s="139"/>
      <c r="J743" s="140"/>
      <c r="K743" s="136"/>
    </row>
    <row r="744" spans="6:11" ht="13.2">
      <c r="F744" s="138"/>
      <c r="G744" s="2"/>
      <c r="H744" s="139"/>
      <c r="I744" s="139"/>
      <c r="J744" s="140"/>
      <c r="K744" s="136"/>
    </row>
    <row r="745" spans="6:11" ht="13.2">
      <c r="F745" s="138"/>
      <c r="G745" s="2"/>
      <c r="H745" s="139"/>
      <c r="I745" s="139"/>
      <c r="J745" s="140"/>
      <c r="K745" s="136"/>
    </row>
    <row r="746" spans="6:11" ht="13.2">
      <c r="F746" s="138"/>
      <c r="G746" s="2"/>
      <c r="H746" s="139"/>
      <c r="I746" s="139"/>
      <c r="J746" s="140"/>
      <c r="K746" s="136"/>
    </row>
    <row r="747" spans="6:11" ht="13.2">
      <c r="F747" s="138"/>
      <c r="G747" s="2"/>
      <c r="H747" s="139"/>
      <c r="I747" s="139"/>
      <c r="J747" s="140"/>
      <c r="K747" s="136"/>
    </row>
    <row r="748" spans="6:11" ht="13.2">
      <c r="F748" s="138"/>
      <c r="G748" s="2"/>
      <c r="H748" s="139"/>
      <c r="I748" s="139"/>
      <c r="J748" s="140"/>
      <c r="K748" s="136"/>
    </row>
    <row r="749" spans="6:11" ht="13.2">
      <c r="F749" s="138"/>
      <c r="G749" s="2"/>
      <c r="H749" s="139"/>
      <c r="I749" s="139"/>
      <c r="J749" s="140"/>
      <c r="K749" s="136"/>
    </row>
    <row r="750" spans="6:11" ht="13.2">
      <c r="F750" s="138"/>
      <c r="G750" s="2"/>
      <c r="H750" s="139"/>
      <c r="I750" s="139"/>
      <c r="J750" s="140"/>
      <c r="K750" s="136"/>
    </row>
    <row r="751" spans="6:11" ht="13.2">
      <c r="F751" s="138"/>
      <c r="G751" s="2"/>
      <c r="H751" s="139"/>
      <c r="I751" s="139"/>
      <c r="J751" s="140"/>
      <c r="K751" s="136"/>
    </row>
    <row r="752" spans="6:11" ht="13.2">
      <c r="F752" s="138"/>
      <c r="G752" s="2"/>
      <c r="H752" s="139"/>
      <c r="I752" s="139"/>
      <c r="J752" s="140"/>
      <c r="K752" s="136"/>
    </row>
    <row r="753" spans="6:11" ht="13.2">
      <c r="F753" s="138"/>
      <c r="G753" s="2"/>
      <c r="H753" s="139"/>
      <c r="I753" s="139"/>
      <c r="J753" s="140"/>
      <c r="K753" s="136"/>
    </row>
    <row r="754" spans="6:11" ht="13.2">
      <c r="F754" s="138"/>
      <c r="G754" s="2"/>
      <c r="H754" s="139"/>
      <c r="I754" s="139"/>
      <c r="J754" s="140"/>
      <c r="K754" s="136"/>
    </row>
    <row r="755" spans="6:11" ht="13.2">
      <c r="F755" s="138"/>
      <c r="G755" s="2"/>
      <c r="H755" s="139"/>
      <c r="I755" s="139"/>
      <c r="J755" s="140"/>
      <c r="K755" s="136"/>
    </row>
    <row r="756" spans="6:11" ht="13.2">
      <c r="F756" s="138"/>
      <c r="G756" s="2"/>
      <c r="H756" s="139"/>
      <c r="I756" s="139"/>
      <c r="J756" s="140"/>
      <c r="K756" s="136"/>
    </row>
    <row r="757" spans="6:11" ht="13.2">
      <c r="F757" s="138"/>
      <c r="G757" s="2"/>
      <c r="H757" s="139"/>
      <c r="I757" s="139"/>
      <c r="J757" s="140"/>
      <c r="K757" s="136"/>
    </row>
    <row r="758" spans="6:11" ht="13.2">
      <c r="F758" s="138"/>
      <c r="G758" s="2"/>
      <c r="H758" s="139"/>
      <c r="I758" s="139"/>
      <c r="J758" s="140"/>
      <c r="K758" s="136"/>
    </row>
    <row r="759" spans="6:11" ht="13.2">
      <c r="F759" s="138"/>
      <c r="G759" s="2"/>
      <c r="H759" s="139"/>
      <c r="I759" s="139"/>
      <c r="J759" s="140"/>
      <c r="K759" s="136"/>
    </row>
    <row r="760" spans="6:11" ht="13.2">
      <c r="F760" s="138"/>
      <c r="G760" s="2"/>
      <c r="H760" s="139"/>
      <c r="I760" s="139"/>
      <c r="J760" s="140"/>
      <c r="K760" s="136"/>
    </row>
    <row r="761" spans="6:11" ht="13.2">
      <c r="F761" s="138"/>
      <c r="G761" s="2"/>
      <c r="H761" s="139"/>
      <c r="I761" s="139"/>
      <c r="J761" s="140"/>
      <c r="K761" s="136"/>
    </row>
    <row r="762" spans="6:11" ht="13.2">
      <c r="F762" s="138"/>
      <c r="G762" s="2"/>
      <c r="H762" s="139"/>
      <c r="I762" s="139"/>
      <c r="J762" s="140"/>
      <c r="K762" s="136"/>
    </row>
    <row r="763" spans="6:11" ht="13.2">
      <c r="F763" s="138"/>
      <c r="G763" s="2"/>
      <c r="H763" s="139"/>
      <c r="I763" s="139"/>
      <c r="J763" s="140"/>
      <c r="K763" s="136"/>
    </row>
    <row r="764" spans="6:11" ht="13.2">
      <c r="F764" s="138"/>
      <c r="G764" s="2"/>
      <c r="H764" s="139"/>
      <c r="I764" s="139"/>
      <c r="J764" s="140"/>
      <c r="K764" s="136"/>
    </row>
    <row r="765" spans="6:11" ht="13.2">
      <c r="F765" s="138"/>
      <c r="G765" s="2"/>
      <c r="H765" s="139"/>
      <c r="I765" s="139"/>
      <c r="J765" s="140"/>
      <c r="K765" s="136"/>
    </row>
    <row r="766" spans="6:11" ht="13.2">
      <c r="F766" s="138"/>
      <c r="G766" s="2"/>
      <c r="H766" s="139"/>
      <c r="I766" s="139"/>
      <c r="J766" s="140"/>
      <c r="K766" s="136"/>
    </row>
    <row r="767" spans="6:11" ht="13.2">
      <c r="F767" s="138"/>
      <c r="G767" s="2"/>
      <c r="H767" s="139"/>
      <c r="I767" s="139"/>
      <c r="J767" s="140"/>
      <c r="K767" s="136"/>
    </row>
    <row r="768" spans="6:11" ht="13.2">
      <c r="F768" s="138"/>
      <c r="G768" s="2"/>
      <c r="H768" s="139"/>
      <c r="I768" s="139"/>
      <c r="J768" s="140"/>
      <c r="K768" s="136"/>
    </row>
    <row r="769" spans="6:11" ht="13.2">
      <c r="F769" s="138"/>
      <c r="G769" s="2"/>
      <c r="H769" s="139"/>
      <c r="I769" s="139"/>
      <c r="J769" s="140"/>
      <c r="K769" s="136"/>
    </row>
    <row r="770" spans="6:11" ht="13.2">
      <c r="F770" s="138"/>
      <c r="G770" s="2"/>
      <c r="H770" s="139"/>
      <c r="I770" s="139"/>
      <c r="J770" s="140"/>
      <c r="K770" s="136"/>
    </row>
    <row r="771" spans="6:11" ht="13.2">
      <c r="F771" s="138"/>
      <c r="G771" s="2"/>
      <c r="H771" s="139"/>
      <c r="I771" s="139"/>
      <c r="J771" s="140"/>
      <c r="K771" s="136"/>
    </row>
    <row r="772" spans="6:11" ht="13.2">
      <c r="F772" s="138"/>
      <c r="G772" s="2"/>
      <c r="H772" s="139"/>
      <c r="I772" s="139"/>
      <c r="J772" s="140"/>
      <c r="K772" s="136"/>
    </row>
    <row r="773" spans="6:11" ht="13.2">
      <c r="F773" s="138"/>
      <c r="G773" s="2"/>
      <c r="H773" s="139"/>
      <c r="I773" s="139"/>
      <c r="J773" s="140"/>
      <c r="K773" s="136"/>
    </row>
    <row r="774" spans="6:11" ht="13.2">
      <c r="F774" s="138"/>
      <c r="G774" s="2"/>
      <c r="H774" s="139"/>
      <c r="I774" s="139"/>
      <c r="J774" s="140"/>
      <c r="K774" s="136"/>
    </row>
    <row r="775" spans="6:11" ht="13.2">
      <c r="F775" s="138"/>
      <c r="G775" s="2"/>
      <c r="H775" s="139"/>
      <c r="I775" s="139"/>
      <c r="J775" s="140"/>
      <c r="K775" s="136"/>
    </row>
    <row r="776" spans="6:11" ht="13.2">
      <c r="F776" s="138"/>
      <c r="G776" s="2"/>
      <c r="H776" s="139"/>
      <c r="I776" s="139"/>
      <c r="J776" s="140"/>
      <c r="K776" s="136"/>
    </row>
    <row r="777" spans="6:11" ht="13.2">
      <c r="F777" s="138"/>
      <c r="G777" s="2"/>
      <c r="H777" s="139"/>
      <c r="I777" s="139"/>
      <c r="J777" s="140"/>
      <c r="K777" s="136"/>
    </row>
    <row r="778" spans="6:11" ht="13.2">
      <c r="F778" s="138"/>
      <c r="G778" s="2"/>
      <c r="H778" s="139"/>
      <c r="I778" s="139"/>
      <c r="J778" s="140"/>
      <c r="K778" s="136"/>
    </row>
    <row r="779" spans="6:11" ht="13.2">
      <c r="F779" s="138"/>
      <c r="G779" s="2"/>
      <c r="H779" s="139"/>
      <c r="I779" s="139"/>
      <c r="J779" s="140"/>
      <c r="K779" s="136"/>
    </row>
    <row r="780" spans="6:11" ht="13.2">
      <c r="F780" s="138"/>
      <c r="G780" s="2"/>
      <c r="H780" s="139"/>
      <c r="I780" s="139"/>
      <c r="J780" s="140"/>
      <c r="K780" s="136"/>
    </row>
    <row r="781" spans="6:11" ht="13.2">
      <c r="F781" s="138"/>
      <c r="G781" s="2"/>
      <c r="H781" s="139"/>
      <c r="I781" s="139"/>
      <c r="J781" s="140"/>
      <c r="K781" s="136"/>
    </row>
    <row r="782" spans="6:11" ht="13.2">
      <c r="F782" s="138"/>
      <c r="G782" s="2"/>
      <c r="H782" s="139"/>
      <c r="I782" s="139"/>
      <c r="J782" s="140"/>
      <c r="K782" s="136"/>
    </row>
    <row r="783" spans="6:11" ht="13.2">
      <c r="F783" s="138"/>
      <c r="G783" s="2"/>
      <c r="H783" s="139"/>
      <c r="I783" s="139"/>
      <c r="J783" s="140"/>
      <c r="K783" s="136"/>
    </row>
    <row r="784" spans="6:11" ht="13.2">
      <c r="F784" s="138"/>
      <c r="G784" s="2"/>
      <c r="H784" s="139"/>
      <c r="I784" s="139"/>
      <c r="J784" s="140"/>
      <c r="K784" s="136"/>
    </row>
    <row r="785" spans="6:11" ht="13.2">
      <c r="F785" s="138"/>
      <c r="G785" s="2"/>
      <c r="H785" s="139"/>
      <c r="I785" s="139"/>
      <c r="J785" s="140"/>
      <c r="K785" s="136"/>
    </row>
    <row r="786" spans="6:11" ht="13.2">
      <c r="F786" s="138"/>
      <c r="G786" s="2"/>
      <c r="H786" s="139"/>
      <c r="I786" s="139"/>
      <c r="J786" s="140"/>
      <c r="K786" s="136"/>
    </row>
    <row r="787" spans="6:11" ht="13.2">
      <c r="F787" s="138"/>
      <c r="G787" s="2"/>
      <c r="H787" s="139"/>
      <c r="I787" s="139"/>
      <c r="J787" s="140"/>
      <c r="K787" s="136"/>
    </row>
    <row r="788" spans="6:11" ht="13.2">
      <c r="F788" s="138"/>
      <c r="G788" s="2"/>
      <c r="H788" s="139"/>
      <c r="I788" s="139"/>
      <c r="J788" s="140"/>
      <c r="K788" s="136"/>
    </row>
    <row r="789" spans="6:11" ht="13.2">
      <c r="F789" s="138"/>
      <c r="G789" s="2"/>
      <c r="H789" s="139"/>
      <c r="I789" s="139"/>
      <c r="J789" s="140"/>
      <c r="K789" s="136"/>
    </row>
    <row r="790" spans="6:11" ht="13.2">
      <c r="F790" s="138"/>
      <c r="G790" s="2"/>
      <c r="H790" s="139"/>
      <c r="I790" s="139"/>
      <c r="J790" s="140"/>
      <c r="K790" s="136"/>
    </row>
    <row r="791" spans="6:11" ht="13.2">
      <c r="F791" s="138"/>
      <c r="G791" s="2"/>
      <c r="H791" s="139"/>
      <c r="I791" s="139"/>
      <c r="J791" s="140"/>
      <c r="K791" s="136"/>
    </row>
    <row r="792" spans="6:11" ht="13.2">
      <c r="F792" s="138"/>
      <c r="G792" s="2"/>
      <c r="H792" s="139"/>
      <c r="I792" s="139"/>
      <c r="J792" s="140"/>
      <c r="K792" s="136"/>
    </row>
    <row r="793" spans="6:11" ht="13.2">
      <c r="F793" s="138"/>
      <c r="G793" s="2"/>
      <c r="H793" s="139"/>
      <c r="I793" s="139"/>
      <c r="J793" s="140"/>
      <c r="K793" s="136"/>
    </row>
    <row r="794" spans="6:11" ht="13.2">
      <c r="F794" s="138"/>
      <c r="G794" s="2"/>
      <c r="H794" s="139"/>
      <c r="I794" s="139"/>
      <c r="J794" s="140"/>
      <c r="K794" s="136"/>
    </row>
    <row r="795" spans="6:11" ht="13.2">
      <c r="F795" s="138"/>
      <c r="G795" s="2"/>
      <c r="H795" s="139"/>
      <c r="I795" s="139"/>
      <c r="J795" s="140"/>
      <c r="K795" s="136"/>
    </row>
    <row r="796" spans="6:11" ht="13.2">
      <c r="F796" s="138"/>
      <c r="G796" s="2"/>
      <c r="H796" s="139"/>
      <c r="I796" s="139"/>
      <c r="J796" s="140"/>
      <c r="K796" s="136"/>
    </row>
    <row r="797" spans="6:11" ht="13.2">
      <c r="F797" s="138"/>
      <c r="G797" s="2"/>
      <c r="H797" s="139"/>
      <c r="I797" s="139"/>
      <c r="J797" s="140"/>
      <c r="K797" s="136"/>
    </row>
    <row r="798" spans="6:11" ht="13.2">
      <c r="F798" s="138"/>
      <c r="G798" s="2"/>
      <c r="H798" s="139"/>
      <c r="I798" s="139"/>
      <c r="J798" s="140"/>
      <c r="K798" s="136"/>
    </row>
    <row r="799" spans="6:11" ht="13.2">
      <c r="F799" s="138"/>
      <c r="G799" s="2"/>
      <c r="H799" s="139"/>
      <c r="I799" s="139"/>
      <c r="J799" s="140"/>
      <c r="K799" s="136"/>
    </row>
    <row r="800" spans="6:11" ht="13.2">
      <c r="F800" s="138"/>
      <c r="G800" s="2"/>
      <c r="H800" s="139"/>
      <c r="I800" s="139"/>
      <c r="J800" s="140"/>
      <c r="K800" s="136"/>
    </row>
    <row r="801" spans="6:11" ht="13.2">
      <c r="F801" s="138"/>
      <c r="G801" s="2"/>
      <c r="H801" s="139"/>
      <c r="I801" s="139"/>
      <c r="J801" s="140"/>
      <c r="K801" s="136"/>
    </row>
    <row r="802" spans="6:11" ht="13.2">
      <c r="F802" s="138"/>
      <c r="G802" s="2"/>
      <c r="H802" s="139"/>
      <c r="I802" s="139"/>
      <c r="J802" s="140"/>
      <c r="K802" s="136"/>
    </row>
    <row r="803" spans="6:11" ht="13.2">
      <c r="F803" s="138"/>
      <c r="G803" s="2"/>
      <c r="H803" s="139"/>
      <c r="I803" s="139"/>
      <c r="J803" s="140"/>
      <c r="K803" s="136"/>
    </row>
    <row r="804" spans="6:11" ht="13.2">
      <c r="F804" s="138"/>
      <c r="G804" s="2"/>
      <c r="H804" s="139"/>
      <c r="I804" s="139"/>
      <c r="J804" s="140"/>
      <c r="K804" s="136"/>
    </row>
    <row r="805" spans="6:11" ht="13.2">
      <c r="F805" s="138"/>
      <c r="G805" s="2"/>
      <c r="H805" s="139"/>
      <c r="I805" s="139"/>
      <c r="J805" s="140"/>
      <c r="K805" s="136"/>
    </row>
    <row r="806" spans="6:11" ht="13.2">
      <c r="F806" s="138"/>
      <c r="G806" s="2"/>
      <c r="H806" s="139"/>
      <c r="I806" s="139"/>
      <c r="J806" s="140"/>
      <c r="K806" s="136"/>
    </row>
    <row r="807" spans="6:11" ht="13.2">
      <c r="F807" s="138"/>
      <c r="G807" s="2"/>
      <c r="H807" s="139"/>
      <c r="I807" s="139"/>
      <c r="J807" s="140"/>
      <c r="K807" s="136"/>
    </row>
    <row r="808" spans="6:11" ht="13.2">
      <c r="F808" s="138"/>
      <c r="G808" s="2"/>
      <c r="H808" s="139"/>
      <c r="I808" s="139"/>
      <c r="J808" s="140"/>
      <c r="K808" s="136"/>
    </row>
    <row r="809" spans="6:11" ht="13.2">
      <c r="F809" s="138"/>
      <c r="G809" s="2"/>
      <c r="H809" s="139"/>
      <c r="I809" s="139"/>
      <c r="J809" s="140"/>
      <c r="K809" s="136"/>
    </row>
    <row r="810" spans="6:11" ht="13.2">
      <c r="F810" s="138"/>
      <c r="G810" s="2"/>
      <c r="H810" s="139"/>
      <c r="I810" s="139"/>
      <c r="J810" s="140"/>
      <c r="K810" s="136"/>
    </row>
    <row r="811" spans="6:11" ht="13.2">
      <c r="F811" s="138"/>
      <c r="G811" s="2"/>
      <c r="H811" s="139"/>
      <c r="I811" s="139"/>
      <c r="J811" s="140"/>
      <c r="K811" s="136"/>
    </row>
    <row r="812" spans="6:11" ht="13.2">
      <c r="F812" s="138"/>
      <c r="G812" s="2"/>
      <c r="H812" s="139"/>
      <c r="I812" s="139"/>
      <c r="J812" s="140"/>
      <c r="K812" s="136"/>
    </row>
    <row r="813" spans="6:11" ht="13.2">
      <c r="F813" s="138"/>
      <c r="G813" s="2"/>
      <c r="H813" s="139"/>
      <c r="I813" s="139"/>
      <c r="J813" s="140"/>
      <c r="K813" s="136"/>
    </row>
    <row r="814" spans="6:11" ht="13.2">
      <c r="F814" s="138"/>
      <c r="G814" s="2"/>
      <c r="H814" s="139"/>
      <c r="I814" s="139"/>
      <c r="J814" s="140"/>
      <c r="K814" s="136"/>
    </row>
    <row r="815" spans="6:11" ht="13.2">
      <c r="F815" s="138"/>
      <c r="G815" s="2"/>
      <c r="H815" s="139"/>
      <c r="I815" s="139"/>
      <c r="J815" s="140"/>
      <c r="K815" s="136"/>
    </row>
    <row r="816" spans="6:11" ht="13.2">
      <c r="F816" s="138"/>
      <c r="G816" s="2"/>
      <c r="H816" s="139"/>
      <c r="I816" s="139"/>
      <c r="J816" s="140"/>
      <c r="K816" s="136"/>
    </row>
    <row r="817" spans="6:11" ht="13.2">
      <c r="F817" s="138"/>
      <c r="G817" s="2"/>
      <c r="H817" s="139"/>
      <c r="I817" s="139"/>
      <c r="J817" s="140"/>
      <c r="K817" s="136"/>
    </row>
    <row r="818" spans="6:11" ht="13.2">
      <c r="F818" s="138"/>
      <c r="G818" s="2"/>
      <c r="H818" s="139"/>
      <c r="I818" s="139"/>
      <c r="J818" s="140"/>
      <c r="K818" s="136"/>
    </row>
    <row r="819" spans="6:11" ht="13.2">
      <c r="F819" s="138"/>
      <c r="G819" s="2"/>
      <c r="H819" s="139"/>
      <c r="I819" s="139"/>
      <c r="J819" s="140"/>
      <c r="K819" s="136"/>
    </row>
    <row r="820" spans="6:11" ht="13.2">
      <c r="F820" s="138"/>
      <c r="G820" s="2"/>
      <c r="H820" s="139"/>
      <c r="I820" s="139"/>
      <c r="J820" s="140"/>
      <c r="K820" s="136"/>
    </row>
    <row r="821" spans="6:11" ht="13.2">
      <c r="F821" s="138"/>
      <c r="G821" s="2"/>
      <c r="H821" s="139"/>
      <c r="I821" s="139"/>
      <c r="J821" s="140"/>
      <c r="K821" s="136"/>
    </row>
    <row r="822" spans="6:11" ht="13.2">
      <c r="F822" s="138"/>
      <c r="G822" s="2"/>
      <c r="H822" s="139"/>
      <c r="I822" s="139"/>
      <c r="J822" s="140"/>
      <c r="K822" s="136"/>
    </row>
    <row r="823" spans="6:11" ht="13.2">
      <c r="F823" s="138"/>
      <c r="G823" s="2"/>
      <c r="H823" s="139"/>
      <c r="I823" s="139"/>
      <c r="J823" s="140"/>
      <c r="K823" s="136"/>
    </row>
    <row r="824" spans="6:11" ht="13.2">
      <c r="F824" s="138"/>
      <c r="G824" s="2"/>
      <c r="H824" s="139"/>
      <c r="I824" s="139"/>
      <c r="J824" s="140"/>
      <c r="K824" s="136"/>
    </row>
    <row r="825" spans="6:11" ht="13.2">
      <c r="F825" s="138"/>
      <c r="G825" s="2"/>
      <c r="H825" s="139"/>
      <c r="I825" s="139"/>
      <c r="J825" s="140"/>
      <c r="K825" s="136"/>
    </row>
    <row r="826" spans="6:11" ht="13.2">
      <c r="F826" s="138"/>
      <c r="G826" s="2"/>
      <c r="H826" s="139"/>
      <c r="I826" s="139"/>
      <c r="J826" s="140"/>
      <c r="K826" s="136"/>
    </row>
    <row r="827" spans="6:11" ht="13.2">
      <c r="F827" s="138"/>
      <c r="G827" s="2"/>
      <c r="H827" s="139"/>
      <c r="I827" s="139"/>
      <c r="J827" s="140"/>
      <c r="K827" s="136"/>
    </row>
    <row r="828" spans="6:11" ht="13.2">
      <c r="F828" s="138"/>
      <c r="G828" s="2"/>
      <c r="H828" s="139"/>
      <c r="I828" s="139"/>
      <c r="J828" s="140"/>
      <c r="K828" s="136"/>
    </row>
    <row r="829" spans="6:11" ht="13.2">
      <c r="F829" s="138"/>
      <c r="G829" s="2"/>
      <c r="H829" s="139"/>
      <c r="I829" s="139"/>
      <c r="J829" s="140"/>
      <c r="K829" s="136"/>
    </row>
    <row r="830" spans="6:11" ht="13.2">
      <c r="F830" s="138"/>
      <c r="G830" s="2"/>
      <c r="H830" s="139"/>
      <c r="I830" s="139"/>
      <c r="J830" s="140"/>
      <c r="K830" s="136"/>
    </row>
    <row r="831" spans="6:11" ht="13.2">
      <c r="F831" s="138"/>
      <c r="G831" s="2"/>
      <c r="H831" s="139"/>
      <c r="I831" s="139"/>
      <c r="J831" s="140"/>
      <c r="K831" s="136"/>
    </row>
    <row r="832" spans="6:11" ht="13.2">
      <c r="F832" s="138"/>
      <c r="G832" s="2"/>
      <c r="H832" s="139"/>
      <c r="I832" s="139"/>
      <c r="J832" s="140"/>
      <c r="K832" s="136"/>
    </row>
    <row r="833" spans="6:11" ht="13.2">
      <c r="F833" s="138"/>
      <c r="G833" s="2"/>
      <c r="H833" s="139"/>
      <c r="I833" s="139"/>
      <c r="J833" s="140"/>
      <c r="K833" s="136"/>
    </row>
    <row r="834" spans="6:11" ht="13.2">
      <c r="F834" s="138"/>
      <c r="G834" s="2"/>
      <c r="H834" s="139"/>
      <c r="I834" s="139"/>
      <c r="J834" s="140"/>
      <c r="K834" s="136"/>
    </row>
    <row r="835" spans="6:11" ht="13.2">
      <c r="F835" s="138"/>
      <c r="G835" s="2"/>
      <c r="H835" s="139"/>
      <c r="I835" s="139"/>
      <c r="J835" s="140"/>
      <c r="K835" s="136"/>
    </row>
    <row r="836" spans="6:11" ht="13.2">
      <c r="F836" s="138"/>
      <c r="G836" s="2"/>
      <c r="H836" s="139"/>
      <c r="I836" s="139"/>
      <c r="J836" s="140"/>
      <c r="K836" s="136"/>
    </row>
    <row r="837" spans="6:11" ht="13.2">
      <c r="F837" s="138"/>
      <c r="G837" s="2"/>
      <c r="H837" s="139"/>
      <c r="I837" s="139"/>
      <c r="J837" s="140"/>
      <c r="K837" s="136"/>
    </row>
    <row r="838" spans="6:11" ht="13.2">
      <c r="F838" s="138"/>
      <c r="G838" s="2"/>
      <c r="H838" s="139"/>
      <c r="I838" s="139"/>
      <c r="J838" s="140"/>
      <c r="K838" s="136"/>
    </row>
    <row r="839" spans="6:11" ht="13.2">
      <c r="F839" s="138"/>
      <c r="G839" s="2"/>
      <c r="H839" s="139"/>
      <c r="I839" s="139"/>
      <c r="J839" s="140"/>
      <c r="K839" s="136"/>
    </row>
    <row r="840" spans="6:11" ht="13.2">
      <c r="F840" s="138"/>
      <c r="G840" s="2"/>
      <c r="H840" s="139"/>
      <c r="I840" s="139"/>
      <c r="J840" s="140"/>
      <c r="K840" s="136"/>
    </row>
    <row r="841" spans="6:11" ht="13.2">
      <c r="F841" s="138"/>
      <c r="G841" s="2"/>
      <c r="H841" s="139"/>
      <c r="I841" s="139"/>
      <c r="J841" s="140"/>
      <c r="K841" s="136"/>
    </row>
    <row r="842" spans="6:11" ht="13.2">
      <c r="F842" s="138"/>
      <c r="G842" s="2"/>
      <c r="H842" s="139"/>
      <c r="I842" s="139"/>
      <c r="J842" s="140"/>
      <c r="K842" s="136"/>
    </row>
    <row r="843" spans="6:11" ht="13.2">
      <c r="F843" s="138"/>
      <c r="G843" s="2"/>
      <c r="H843" s="139"/>
      <c r="I843" s="139"/>
      <c r="J843" s="140"/>
      <c r="K843" s="136"/>
    </row>
    <row r="844" spans="6:11" ht="13.2">
      <c r="F844" s="138"/>
      <c r="G844" s="2"/>
      <c r="H844" s="139"/>
      <c r="I844" s="139"/>
      <c r="J844" s="140"/>
      <c r="K844" s="136"/>
    </row>
    <row r="845" spans="6:11" ht="13.2">
      <c r="F845" s="138"/>
      <c r="G845" s="2"/>
      <c r="H845" s="139"/>
      <c r="I845" s="139"/>
      <c r="J845" s="140"/>
      <c r="K845" s="136"/>
    </row>
    <row r="846" spans="6:11" ht="13.2">
      <c r="F846" s="138"/>
      <c r="G846" s="2"/>
      <c r="H846" s="139"/>
      <c r="I846" s="139"/>
      <c r="J846" s="140"/>
      <c r="K846" s="136"/>
    </row>
    <row r="847" spans="6:11" ht="13.2">
      <c r="F847" s="138"/>
      <c r="G847" s="2"/>
      <c r="H847" s="139"/>
      <c r="I847" s="139"/>
      <c r="J847" s="140"/>
      <c r="K847" s="136"/>
    </row>
    <row r="848" spans="6:11" ht="13.2">
      <c r="F848" s="138"/>
      <c r="G848" s="2"/>
      <c r="H848" s="139"/>
      <c r="I848" s="139"/>
      <c r="J848" s="140"/>
      <c r="K848" s="136"/>
    </row>
    <row r="849" spans="6:11" ht="13.2">
      <c r="F849" s="138"/>
      <c r="G849" s="2"/>
      <c r="H849" s="139"/>
      <c r="I849" s="139"/>
      <c r="J849" s="140"/>
      <c r="K849" s="136"/>
    </row>
    <row r="850" spans="6:11" ht="13.2">
      <c r="F850" s="138"/>
      <c r="G850" s="2"/>
      <c r="H850" s="139"/>
      <c r="I850" s="139"/>
      <c r="J850" s="140"/>
      <c r="K850" s="136"/>
    </row>
    <row r="851" spans="6:11" ht="13.2">
      <c r="F851" s="138"/>
      <c r="G851" s="2"/>
      <c r="H851" s="139"/>
      <c r="I851" s="139"/>
      <c r="J851" s="140"/>
      <c r="K851" s="136"/>
    </row>
    <row r="852" spans="6:11" ht="13.2">
      <c r="F852" s="138"/>
      <c r="G852" s="2"/>
      <c r="H852" s="139"/>
      <c r="I852" s="139"/>
      <c r="J852" s="140"/>
      <c r="K852" s="136"/>
    </row>
    <row r="853" spans="6:11" ht="13.2">
      <c r="F853" s="138"/>
      <c r="G853" s="2"/>
      <c r="H853" s="139"/>
      <c r="I853" s="139"/>
      <c r="J853" s="140"/>
      <c r="K853" s="136"/>
    </row>
    <row r="854" spans="6:11" ht="13.2">
      <c r="F854" s="138"/>
      <c r="G854" s="2"/>
      <c r="H854" s="139"/>
      <c r="I854" s="139"/>
      <c r="J854" s="140"/>
      <c r="K854" s="136"/>
    </row>
    <row r="855" spans="6:11" ht="13.2">
      <c r="F855" s="138"/>
      <c r="G855" s="2"/>
      <c r="H855" s="139"/>
      <c r="I855" s="139"/>
      <c r="J855" s="140"/>
      <c r="K855" s="136"/>
    </row>
    <row r="856" spans="6:11" ht="13.2">
      <c r="F856" s="138"/>
      <c r="G856" s="2"/>
      <c r="H856" s="139"/>
      <c r="I856" s="139"/>
      <c r="J856" s="140"/>
      <c r="K856" s="136"/>
    </row>
    <row r="857" spans="6:11" ht="13.2">
      <c r="F857" s="138"/>
      <c r="G857" s="2"/>
      <c r="H857" s="139"/>
      <c r="I857" s="139"/>
      <c r="J857" s="140"/>
      <c r="K857" s="136"/>
    </row>
    <row r="858" spans="6:11" ht="13.2">
      <c r="F858" s="138"/>
      <c r="G858" s="2"/>
      <c r="H858" s="139"/>
      <c r="I858" s="139"/>
      <c r="J858" s="140"/>
      <c r="K858" s="136"/>
    </row>
    <row r="859" spans="6:11" ht="13.2">
      <c r="F859" s="138"/>
      <c r="G859" s="2"/>
      <c r="H859" s="139"/>
      <c r="I859" s="139"/>
      <c r="J859" s="140"/>
      <c r="K859" s="136"/>
    </row>
    <row r="860" spans="6:11" ht="13.2">
      <c r="F860" s="138"/>
      <c r="G860" s="2"/>
      <c r="H860" s="139"/>
      <c r="I860" s="139"/>
      <c r="J860" s="140"/>
      <c r="K860" s="136"/>
    </row>
    <row r="861" spans="6:11" ht="13.2">
      <c r="F861" s="138"/>
      <c r="G861" s="2"/>
      <c r="H861" s="139"/>
      <c r="I861" s="139"/>
      <c r="J861" s="140"/>
      <c r="K861" s="136"/>
    </row>
    <row r="862" spans="6:11" ht="13.2">
      <c r="F862" s="138"/>
      <c r="G862" s="2"/>
      <c r="H862" s="139"/>
      <c r="I862" s="139"/>
      <c r="J862" s="140"/>
      <c r="K862" s="136"/>
    </row>
    <row r="863" spans="6:11" ht="13.2">
      <c r="F863" s="138"/>
      <c r="G863" s="2"/>
      <c r="H863" s="139"/>
      <c r="I863" s="139"/>
      <c r="J863" s="140"/>
      <c r="K863" s="136"/>
    </row>
    <row r="864" spans="6:11" ht="13.2">
      <c r="F864" s="138"/>
      <c r="G864" s="2"/>
      <c r="H864" s="139"/>
      <c r="I864" s="139"/>
      <c r="J864" s="140"/>
      <c r="K864" s="136"/>
    </row>
    <row r="865" spans="6:11" ht="13.2">
      <c r="F865" s="138"/>
      <c r="G865" s="2"/>
      <c r="H865" s="139"/>
      <c r="I865" s="139"/>
      <c r="J865" s="140"/>
      <c r="K865" s="136"/>
    </row>
    <row r="866" spans="6:11" ht="13.2">
      <c r="F866" s="138"/>
      <c r="G866" s="2"/>
      <c r="H866" s="139"/>
      <c r="I866" s="139"/>
      <c r="J866" s="140"/>
      <c r="K866" s="136"/>
    </row>
    <row r="867" spans="6:11" ht="13.2">
      <c r="F867" s="138"/>
      <c r="G867" s="2"/>
      <c r="H867" s="139"/>
      <c r="I867" s="139"/>
      <c r="J867" s="140"/>
      <c r="K867" s="136"/>
    </row>
    <row r="868" spans="6:11" ht="13.2">
      <c r="F868" s="138"/>
      <c r="G868" s="2"/>
      <c r="H868" s="139"/>
      <c r="I868" s="139"/>
      <c r="J868" s="140"/>
      <c r="K868" s="136"/>
    </row>
    <row r="869" spans="6:11" ht="13.2">
      <c r="F869" s="138"/>
      <c r="G869" s="2"/>
      <c r="H869" s="139"/>
      <c r="I869" s="139"/>
      <c r="J869" s="140"/>
      <c r="K869" s="136"/>
    </row>
    <row r="870" spans="6:11" ht="13.2">
      <c r="F870" s="138"/>
      <c r="G870" s="2"/>
      <c r="H870" s="139"/>
      <c r="I870" s="139"/>
      <c r="J870" s="140"/>
      <c r="K870" s="136"/>
    </row>
    <row r="871" spans="6:11" ht="13.2">
      <c r="F871" s="138"/>
      <c r="G871" s="2"/>
      <c r="H871" s="139"/>
      <c r="I871" s="139"/>
      <c r="J871" s="140"/>
      <c r="K871" s="136"/>
    </row>
    <row r="872" spans="6:11" ht="13.2">
      <c r="F872" s="138"/>
      <c r="G872" s="2"/>
      <c r="H872" s="139"/>
      <c r="I872" s="139"/>
      <c r="J872" s="140"/>
      <c r="K872" s="136"/>
    </row>
    <row r="873" spans="6:11" ht="13.2">
      <c r="F873" s="138"/>
      <c r="G873" s="2"/>
      <c r="H873" s="139"/>
      <c r="I873" s="139"/>
      <c r="J873" s="140"/>
      <c r="K873" s="136"/>
    </row>
    <row r="874" spans="6:11" ht="13.2">
      <c r="F874" s="138"/>
      <c r="G874" s="2"/>
      <c r="H874" s="139"/>
      <c r="I874" s="139"/>
      <c r="J874" s="140"/>
      <c r="K874" s="136"/>
    </row>
    <row r="875" spans="6:11" ht="13.2">
      <c r="F875" s="138"/>
      <c r="G875" s="2"/>
      <c r="H875" s="139"/>
      <c r="I875" s="139"/>
      <c r="J875" s="140"/>
      <c r="K875" s="136"/>
    </row>
    <row r="876" spans="6:11" ht="13.2">
      <c r="F876" s="138"/>
      <c r="G876" s="2"/>
      <c r="H876" s="139"/>
      <c r="I876" s="139"/>
      <c r="J876" s="140"/>
      <c r="K876" s="136"/>
    </row>
    <row r="877" spans="6:11" ht="13.2">
      <c r="F877" s="138"/>
      <c r="G877" s="2"/>
      <c r="H877" s="139"/>
      <c r="I877" s="139"/>
      <c r="J877" s="140"/>
      <c r="K877" s="136"/>
    </row>
    <row r="878" spans="6:11" ht="13.2">
      <c r="F878" s="138"/>
      <c r="G878" s="2"/>
      <c r="H878" s="139"/>
      <c r="I878" s="139"/>
      <c r="J878" s="140"/>
      <c r="K878" s="136"/>
    </row>
    <row r="879" spans="6:11" ht="13.2">
      <c r="F879" s="138"/>
      <c r="G879" s="2"/>
      <c r="H879" s="139"/>
      <c r="I879" s="139"/>
      <c r="J879" s="140"/>
      <c r="K879" s="136"/>
    </row>
    <row r="880" spans="6:11" ht="13.2">
      <c r="F880" s="138"/>
      <c r="G880" s="2"/>
      <c r="H880" s="139"/>
      <c r="I880" s="139"/>
      <c r="J880" s="140"/>
      <c r="K880" s="136"/>
    </row>
    <row r="881" spans="6:11" ht="13.2">
      <c r="F881" s="138"/>
      <c r="G881" s="2"/>
      <c r="H881" s="139"/>
      <c r="I881" s="139"/>
      <c r="J881" s="140"/>
      <c r="K881" s="136"/>
    </row>
    <row r="882" spans="6:11" ht="13.2">
      <c r="F882" s="138"/>
      <c r="G882" s="2"/>
      <c r="H882" s="139"/>
      <c r="I882" s="139"/>
      <c r="J882" s="140"/>
      <c r="K882" s="136"/>
    </row>
    <row r="883" spans="6:11" ht="13.2">
      <c r="F883" s="138"/>
      <c r="G883" s="2"/>
      <c r="H883" s="139"/>
      <c r="I883" s="139"/>
      <c r="J883" s="140"/>
      <c r="K883" s="136"/>
    </row>
    <row r="884" spans="6:11" ht="13.2">
      <c r="F884" s="138"/>
      <c r="G884" s="2"/>
      <c r="H884" s="139"/>
      <c r="I884" s="139"/>
      <c r="J884" s="140"/>
      <c r="K884" s="136"/>
    </row>
    <row r="885" spans="6:11" ht="13.2">
      <c r="F885" s="138"/>
      <c r="G885" s="2"/>
      <c r="H885" s="139"/>
      <c r="I885" s="139"/>
      <c r="J885" s="140"/>
      <c r="K885" s="136"/>
    </row>
    <row r="886" spans="6:11" ht="13.2">
      <c r="F886" s="138"/>
      <c r="G886" s="2"/>
      <c r="H886" s="139"/>
      <c r="I886" s="139"/>
      <c r="J886" s="140"/>
      <c r="K886" s="136"/>
    </row>
    <row r="887" spans="6:11" ht="13.2">
      <c r="F887" s="138"/>
      <c r="G887" s="2"/>
      <c r="H887" s="139"/>
      <c r="I887" s="139"/>
      <c r="J887" s="140"/>
      <c r="K887" s="136"/>
    </row>
    <row r="888" spans="6:11" ht="13.2">
      <c r="F888" s="138"/>
      <c r="G888" s="2"/>
      <c r="H888" s="139"/>
      <c r="I888" s="139"/>
      <c r="J888" s="140"/>
      <c r="K888" s="136"/>
    </row>
    <row r="889" spans="6:11" ht="13.2">
      <c r="F889" s="138"/>
      <c r="G889" s="2"/>
      <c r="H889" s="139"/>
      <c r="I889" s="139"/>
      <c r="J889" s="140"/>
      <c r="K889" s="136"/>
    </row>
    <row r="890" spans="6:11" ht="13.2">
      <c r="F890" s="138"/>
      <c r="G890" s="2"/>
      <c r="H890" s="139"/>
      <c r="I890" s="139"/>
      <c r="J890" s="140"/>
      <c r="K890" s="136"/>
    </row>
    <row r="891" spans="6:11" ht="13.2">
      <c r="F891" s="138"/>
      <c r="G891" s="2"/>
      <c r="H891" s="139"/>
      <c r="I891" s="139"/>
      <c r="J891" s="140"/>
      <c r="K891" s="136"/>
    </row>
    <row r="892" spans="6:11" ht="13.2">
      <c r="F892" s="138"/>
      <c r="G892" s="2"/>
      <c r="H892" s="139"/>
      <c r="I892" s="139"/>
      <c r="J892" s="140"/>
      <c r="K892" s="136"/>
    </row>
    <row r="893" spans="6:11" ht="13.2">
      <c r="F893" s="138"/>
      <c r="G893" s="2"/>
      <c r="H893" s="139"/>
      <c r="I893" s="139"/>
      <c r="J893" s="140"/>
      <c r="K893" s="136"/>
    </row>
    <row r="894" spans="6:11" ht="13.2">
      <c r="F894" s="138"/>
      <c r="G894" s="2"/>
      <c r="H894" s="139"/>
      <c r="I894" s="139"/>
      <c r="J894" s="140"/>
      <c r="K894" s="136"/>
    </row>
    <row r="895" spans="6:11" ht="13.2">
      <c r="F895" s="138"/>
      <c r="G895" s="2"/>
      <c r="H895" s="139"/>
      <c r="I895" s="139"/>
      <c r="J895" s="140"/>
      <c r="K895" s="136"/>
    </row>
    <row r="896" spans="6:11" ht="13.2">
      <c r="F896" s="138"/>
      <c r="G896" s="2"/>
      <c r="H896" s="139"/>
      <c r="I896" s="139"/>
      <c r="J896" s="140"/>
      <c r="K896" s="136"/>
    </row>
    <row r="897" spans="6:11" ht="13.2">
      <c r="F897" s="138"/>
      <c r="G897" s="2"/>
      <c r="H897" s="139"/>
      <c r="I897" s="139"/>
      <c r="J897" s="140"/>
      <c r="K897" s="136"/>
    </row>
    <row r="898" spans="6:11" ht="13.2">
      <c r="F898" s="138"/>
      <c r="G898" s="2"/>
      <c r="H898" s="139"/>
      <c r="I898" s="139"/>
      <c r="J898" s="140"/>
      <c r="K898" s="136"/>
    </row>
    <row r="899" spans="6:11" ht="13.2">
      <c r="F899" s="138"/>
      <c r="G899" s="2"/>
      <c r="H899" s="139"/>
      <c r="I899" s="139"/>
      <c r="J899" s="140"/>
      <c r="K899" s="136"/>
    </row>
    <row r="900" spans="6:11" ht="13.2">
      <c r="F900" s="138"/>
      <c r="G900" s="2"/>
      <c r="H900" s="139"/>
      <c r="I900" s="139"/>
      <c r="J900" s="140"/>
      <c r="K900" s="136"/>
    </row>
    <row r="901" spans="6:11" ht="13.2">
      <c r="F901" s="138"/>
      <c r="G901" s="2"/>
      <c r="H901" s="139"/>
      <c r="I901" s="139"/>
      <c r="J901" s="140"/>
      <c r="K901" s="136"/>
    </row>
    <row r="902" spans="6:11" ht="13.2">
      <c r="F902" s="138"/>
      <c r="G902" s="2"/>
      <c r="H902" s="139"/>
      <c r="I902" s="139"/>
      <c r="J902" s="140"/>
      <c r="K902" s="136"/>
    </row>
    <row r="903" spans="6:11" ht="13.2">
      <c r="F903" s="138"/>
      <c r="G903" s="2"/>
      <c r="H903" s="139"/>
      <c r="I903" s="139"/>
      <c r="J903" s="140"/>
      <c r="K903" s="136"/>
    </row>
    <row r="904" spans="6:11" ht="13.2">
      <c r="F904" s="138"/>
      <c r="G904" s="2"/>
      <c r="H904" s="139"/>
      <c r="I904" s="139"/>
      <c r="J904" s="140"/>
      <c r="K904" s="136"/>
    </row>
    <row r="905" spans="6:11" ht="13.2">
      <c r="F905" s="138"/>
      <c r="G905" s="2"/>
      <c r="H905" s="139"/>
      <c r="I905" s="139"/>
      <c r="J905" s="140"/>
      <c r="K905" s="136"/>
    </row>
    <row r="906" spans="6:11" ht="13.2">
      <c r="F906" s="138"/>
      <c r="G906" s="2"/>
      <c r="H906" s="139"/>
      <c r="I906" s="139"/>
      <c r="J906" s="140"/>
      <c r="K906" s="136"/>
    </row>
    <row r="907" spans="6:11" ht="13.2">
      <c r="F907" s="138"/>
      <c r="G907" s="2"/>
      <c r="H907" s="139"/>
      <c r="I907" s="139"/>
      <c r="J907" s="140"/>
      <c r="K907" s="136"/>
    </row>
    <row r="908" spans="6:11" ht="13.2">
      <c r="F908" s="138"/>
      <c r="G908" s="2"/>
      <c r="H908" s="139"/>
      <c r="I908" s="139"/>
      <c r="J908" s="140"/>
      <c r="K908" s="136"/>
    </row>
    <row r="909" spans="6:11" ht="13.2">
      <c r="F909" s="138"/>
      <c r="G909" s="2"/>
      <c r="H909" s="139"/>
      <c r="I909" s="139"/>
      <c r="J909" s="140"/>
      <c r="K909" s="136"/>
    </row>
    <row r="910" spans="6:11" ht="13.2">
      <c r="F910" s="138"/>
      <c r="G910" s="2"/>
      <c r="H910" s="139"/>
      <c r="I910" s="139"/>
      <c r="J910" s="140"/>
      <c r="K910" s="136"/>
    </row>
    <row r="911" spans="6:11" ht="13.2">
      <c r="F911" s="138"/>
      <c r="G911" s="2"/>
      <c r="H911" s="139"/>
      <c r="I911" s="139"/>
      <c r="J911" s="140"/>
      <c r="K911" s="136"/>
    </row>
    <row r="912" spans="6:11" ht="13.2">
      <c r="F912" s="138"/>
      <c r="G912" s="2"/>
      <c r="H912" s="139"/>
      <c r="I912" s="139"/>
      <c r="J912" s="140"/>
      <c r="K912" s="136"/>
    </row>
    <row r="913" spans="6:11" ht="13.2">
      <c r="F913" s="138"/>
      <c r="G913" s="2"/>
      <c r="H913" s="139"/>
      <c r="I913" s="139"/>
      <c r="J913" s="140"/>
      <c r="K913" s="136"/>
    </row>
    <row r="914" spans="6:11" ht="13.2">
      <c r="F914" s="138"/>
      <c r="G914" s="2"/>
      <c r="H914" s="139"/>
      <c r="I914" s="139"/>
      <c r="J914" s="140"/>
      <c r="K914" s="136"/>
    </row>
    <row r="915" spans="6:11" ht="13.2">
      <c r="F915" s="138"/>
      <c r="G915" s="2"/>
      <c r="H915" s="139"/>
      <c r="I915" s="139"/>
      <c r="J915" s="140"/>
      <c r="K915" s="136"/>
    </row>
    <row r="916" spans="6:11" ht="13.2">
      <c r="F916" s="138"/>
      <c r="G916" s="2"/>
      <c r="H916" s="139"/>
      <c r="I916" s="139"/>
      <c r="J916" s="140"/>
      <c r="K916" s="136"/>
    </row>
    <row r="917" spans="6:11" ht="13.2">
      <c r="F917" s="138"/>
      <c r="G917" s="2"/>
      <c r="H917" s="139"/>
      <c r="I917" s="139"/>
      <c r="J917" s="140"/>
      <c r="K917" s="136"/>
    </row>
    <row r="918" spans="6:11" ht="13.2">
      <c r="F918" s="138"/>
      <c r="G918" s="2"/>
      <c r="H918" s="139"/>
      <c r="I918" s="139"/>
      <c r="J918" s="140"/>
      <c r="K918" s="136"/>
    </row>
    <row r="919" spans="6:11" ht="13.2">
      <c r="F919" s="138"/>
      <c r="G919" s="2"/>
      <c r="H919" s="139"/>
      <c r="I919" s="139"/>
      <c r="J919" s="140"/>
      <c r="K919" s="136"/>
    </row>
    <row r="920" spans="6:11" ht="13.2">
      <c r="F920" s="138"/>
      <c r="G920" s="2"/>
      <c r="H920" s="139"/>
      <c r="I920" s="139"/>
      <c r="J920" s="140"/>
      <c r="K920" s="136"/>
    </row>
    <row r="921" spans="6:11" ht="13.2">
      <c r="F921" s="138"/>
      <c r="G921" s="2"/>
      <c r="H921" s="139"/>
      <c r="I921" s="139"/>
      <c r="J921" s="140"/>
      <c r="K921" s="136"/>
    </row>
    <row r="922" spans="6:11" ht="13.2">
      <c r="F922" s="138"/>
      <c r="G922" s="2"/>
      <c r="H922" s="139"/>
      <c r="I922" s="139"/>
      <c r="J922" s="140"/>
      <c r="K922" s="136"/>
    </row>
    <row r="923" spans="6:11" ht="13.2">
      <c r="F923" s="138"/>
      <c r="G923" s="2"/>
      <c r="H923" s="139"/>
      <c r="I923" s="139"/>
      <c r="J923" s="140"/>
      <c r="K923" s="136"/>
    </row>
    <row r="924" spans="6:11" ht="13.2">
      <c r="F924" s="138"/>
      <c r="G924" s="2"/>
      <c r="H924" s="139"/>
      <c r="I924" s="139"/>
      <c r="J924" s="140"/>
      <c r="K924" s="136"/>
    </row>
    <row r="925" spans="6:11" ht="13.2">
      <c r="F925" s="138"/>
      <c r="G925" s="2"/>
      <c r="H925" s="139"/>
      <c r="I925" s="139"/>
      <c r="J925" s="140"/>
      <c r="K925" s="136"/>
    </row>
    <row r="926" spans="6:11" ht="13.2">
      <c r="F926" s="138"/>
      <c r="G926" s="2"/>
      <c r="H926" s="139"/>
      <c r="I926" s="139"/>
      <c r="J926" s="140"/>
      <c r="K926" s="136"/>
    </row>
    <row r="927" spans="6:11" ht="13.2">
      <c r="F927" s="138"/>
      <c r="G927" s="2"/>
      <c r="H927" s="139"/>
      <c r="I927" s="139"/>
      <c r="J927" s="140"/>
      <c r="K927" s="136"/>
    </row>
    <row r="928" spans="6:11" ht="13.2">
      <c r="F928" s="138"/>
      <c r="G928" s="2"/>
      <c r="H928" s="139"/>
      <c r="I928" s="139"/>
      <c r="J928" s="140"/>
      <c r="K928" s="136"/>
    </row>
    <row r="929" spans="6:11" ht="13.2">
      <c r="F929" s="138"/>
      <c r="G929" s="2"/>
      <c r="H929" s="139"/>
      <c r="I929" s="139"/>
      <c r="J929" s="140"/>
      <c r="K929" s="136"/>
    </row>
    <row r="930" spans="6:11" ht="13.2">
      <c r="F930" s="138"/>
      <c r="G930" s="2"/>
      <c r="H930" s="139"/>
      <c r="I930" s="139"/>
      <c r="J930" s="140"/>
      <c r="K930" s="136"/>
    </row>
    <row r="931" spans="6:11" ht="13.2">
      <c r="F931" s="138"/>
      <c r="G931" s="2"/>
      <c r="H931" s="139"/>
      <c r="I931" s="139"/>
      <c r="J931" s="140"/>
      <c r="K931" s="136"/>
    </row>
    <row r="932" spans="6:11" ht="13.2">
      <c r="F932" s="138"/>
      <c r="G932" s="2"/>
      <c r="H932" s="139"/>
      <c r="I932" s="139"/>
      <c r="J932" s="140"/>
      <c r="K932" s="136"/>
    </row>
    <row r="933" spans="6:11" ht="13.2">
      <c r="F933" s="138"/>
      <c r="G933" s="2"/>
      <c r="H933" s="139"/>
      <c r="I933" s="139"/>
      <c r="J933" s="140"/>
      <c r="K933" s="136"/>
    </row>
    <row r="934" spans="6:11" ht="13.2">
      <c r="F934" s="138"/>
      <c r="G934" s="2"/>
      <c r="H934" s="139"/>
      <c r="I934" s="139"/>
      <c r="J934" s="140"/>
      <c r="K934" s="136"/>
    </row>
    <row r="935" spans="6:11" ht="13.2">
      <c r="F935" s="138"/>
      <c r="G935" s="2"/>
      <c r="H935" s="139"/>
      <c r="I935" s="139"/>
      <c r="J935" s="140"/>
      <c r="K935" s="136"/>
    </row>
    <row r="936" spans="6:11" ht="13.2">
      <c r="F936" s="138"/>
      <c r="G936" s="2"/>
      <c r="H936" s="139"/>
      <c r="I936" s="139"/>
      <c r="J936" s="140"/>
      <c r="K936" s="136"/>
    </row>
    <row r="937" spans="6:11" ht="13.2">
      <c r="F937" s="138"/>
      <c r="G937" s="2"/>
      <c r="H937" s="139"/>
      <c r="I937" s="139"/>
      <c r="J937" s="140"/>
      <c r="K937" s="136"/>
    </row>
    <row r="938" spans="6:11" ht="13.2">
      <c r="F938" s="138"/>
      <c r="G938" s="2"/>
      <c r="H938" s="139"/>
      <c r="I938" s="139"/>
      <c r="J938" s="140"/>
      <c r="K938" s="136"/>
    </row>
    <row r="939" spans="6:11" ht="13.2">
      <c r="F939" s="138"/>
      <c r="G939" s="2"/>
      <c r="H939" s="139"/>
      <c r="I939" s="139"/>
      <c r="J939" s="140"/>
      <c r="K939" s="136"/>
    </row>
    <row r="940" spans="6:11" ht="13.2">
      <c r="F940" s="138"/>
      <c r="G940" s="2"/>
      <c r="H940" s="139"/>
      <c r="I940" s="139"/>
      <c r="J940" s="140"/>
      <c r="K940" s="136"/>
    </row>
    <row r="941" spans="6:11" ht="13.2">
      <c r="F941" s="138"/>
      <c r="G941" s="2"/>
      <c r="H941" s="139"/>
      <c r="I941" s="139"/>
      <c r="J941" s="140"/>
      <c r="K941" s="136"/>
    </row>
    <row r="942" spans="6:11" ht="13.2">
      <c r="F942" s="138"/>
      <c r="G942" s="2"/>
      <c r="H942" s="139"/>
      <c r="I942" s="139"/>
      <c r="J942" s="140"/>
      <c r="K942" s="136"/>
    </row>
    <row r="943" spans="6:11" ht="13.2">
      <c r="F943" s="138"/>
      <c r="G943" s="2"/>
      <c r="H943" s="139"/>
      <c r="I943" s="139"/>
      <c r="J943" s="140"/>
      <c r="K943" s="136"/>
    </row>
    <row r="944" spans="6:11" ht="13.2">
      <c r="F944" s="138"/>
      <c r="G944" s="2"/>
      <c r="H944" s="139"/>
      <c r="I944" s="139"/>
      <c r="J944" s="140"/>
      <c r="K944" s="136"/>
    </row>
    <row r="945" spans="6:11" ht="13.2">
      <c r="F945" s="138"/>
      <c r="G945" s="2"/>
      <c r="H945" s="139"/>
      <c r="I945" s="139"/>
      <c r="J945" s="140"/>
      <c r="K945" s="136"/>
    </row>
    <row r="946" spans="6:11" ht="13.2">
      <c r="F946" s="138"/>
      <c r="G946" s="2"/>
      <c r="H946" s="139"/>
      <c r="I946" s="139"/>
      <c r="J946" s="140"/>
      <c r="K946" s="136"/>
    </row>
    <row r="947" spans="6:11" ht="13.2">
      <c r="F947" s="138"/>
      <c r="G947" s="2"/>
      <c r="H947" s="139"/>
      <c r="I947" s="139"/>
      <c r="J947" s="140"/>
      <c r="K947" s="136"/>
    </row>
    <row r="948" spans="6:11" ht="13.2">
      <c r="F948" s="138"/>
      <c r="G948" s="2"/>
      <c r="H948" s="139"/>
      <c r="I948" s="139"/>
      <c r="J948" s="140"/>
      <c r="K948" s="136"/>
    </row>
    <row r="949" spans="6:11" ht="13.2">
      <c r="F949" s="138"/>
      <c r="G949" s="2"/>
      <c r="H949" s="139"/>
      <c r="I949" s="139"/>
      <c r="J949" s="140"/>
      <c r="K949" s="136"/>
    </row>
    <row r="950" spans="6:11" ht="13.2">
      <c r="F950" s="138"/>
      <c r="G950" s="2"/>
      <c r="H950" s="139"/>
      <c r="I950" s="139"/>
      <c r="J950" s="140"/>
      <c r="K950" s="136"/>
    </row>
    <row r="951" spans="6:11" ht="13.2">
      <c r="F951" s="138"/>
      <c r="G951" s="2"/>
      <c r="H951" s="139"/>
      <c r="I951" s="139"/>
      <c r="J951" s="140"/>
      <c r="K951" s="136"/>
    </row>
    <row r="952" spans="6:11" ht="13.2">
      <c r="F952" s="138"/>
      <c r="G952" s="2"/>
      <c r="H952" s="139"/>
      <c r="I952" s="139"/>
      <c r="J952" s="140"/>
      <c r="K952" s="136"/>
    </row>
    <row r="953" spans="6:11" ht="13.2">
      <c r="F953" s="138"/>
      <c r="G953" s="2"/>
      <c r="H953" s="139"/>
      <c r="I953" s="139"/>
      <c r="J953" s="140"/>
      <c r="K953" s="136"/>
    </row>
    <row r="954" spans="6:11" ht="13.2">
      <c r="F954" s="138"/>
      <c r="G954" s="2"/>
      <c r="H954" s="139"/>
      <c r="I954" s="139"/>
      <c r="J954" s="140"/>
      <c r="K954" s="136"/>
    </row>
    <row r="955" spans="6:11" ht="13.2">
      <c r="F955" s="138"/>
      <c r="G955" s="2"/>
      <c r="H955" s="139"/>
      <c r="I955" s="139"/>
      <c r="J955" s="140"/>
      <c r="K955" s="136"/>
    </row>
    <row r="956" spans="6:11" ht="13.2">
      <c r="F956" s="138"/>
      <c r="G956" s="2"/>
      <c r="H956" s="139"/>
      <c r="I956" s="139"/>
      <c r="J956" s="140"/>
      <c r="K956" s="136"/>
    </row>
    <row r="957" spans="6:11" ht="13.2">
      <c r="F957" s="138"/>
      <c r="G957" s="2"/>
      <c r="H957" s="139"/>
      <c r="I957" s="139"/>
      <c r="J957" s="140"/>
      <c r="K957" s="136"/>
    </row>
    <row r="958" spans="6:11" ht="13.2">
      <c r="F958" s="138"/>
      <c r="G958" s="2"/>
      <c r="H958" s="139"/>
      <c r="I958" s="139"/>
      <c r="J958" s="140"/>
      <c r="K958" s="136"/>
    </row>
    <row r="959" spans="6:11" ht="13.2">
      <c r="F959" s="138"/>
      <c r="G959" s="2"/>
      <c r="H959" s="139"/>
      <c r="I959" s="139"/>
      <c r="J959" s="140"/>
      <c r="K959" s="136"/>
    </row>
    <row r="960" spans="6:11" ht="13.2">
      <c r="F960" s="138"/>
      <c r="G960" s="2"/>
      <c r="H960" s="139"/>
      <c r="I960" s="139"/>
      <c r="J960" s="140"/>
      <c r="K960" s="136"/>
    </row>
    <row r="961" spans="6:11" ht="13.2">
      <c r="F961" s="138"/>
      <c r="G961" s="2"/>
      <c r="H961" s="139"/>
      <c r="I961" s="139"/>
      <c r="J961" s="140"/>
      <c r="K961" s="136"/>
    </row>
    <row r="962" spans="6:11" ht="13.2">
      <c r="F962" s="138"/>
      <c r="G962" s="2"/>
      <c r="H962" s="139"/>
      <c r="I962" s="139"/>
      <c r="J962" s="140"/>
      <c r="K962" s="136"/>
    </row>
    <row r="963" spans="6:11" ht="13.2">
      <c r="F963" s="138"/>
      <c r="G963" s="2"/>
      <c r="H963" s="139"/>
      <c r="I963" s="139"/>
      <c r="J963" s="140"/>
      <c r="K963" s="136"/>
    </row>
    <row r="964" spans="6:11" ht="13.2">
      <c r="F964" s="138"/>
      <c r="G964" s="2"/>
      <c r="H964" s="139"/>
      <c r="I964" s="139"/>
      <c r="J964" s="140"/>
      <c r="K964" s="136"/>
    </row>
    <row r="965" spans="6:11" ht="13.2">
      <c r="F965" s="138"/>
      <c r="G965" s="2"/>
      <c r="H965" s="139"/>
      <c r="I965" s="139"/>
      <c r="J965" s="140"/>
      <c r="K965" s="136"/>
    </row>
    <row r="966" spans="6:11" ht="13.2">
      <c r="F966" s="138"/>
      <c r="G966" s="2"/>
      <c r="H966" s="139"/>
      <c r="I966" s="139"/>
      <c r="J966" s="140"/>
      <c r="K966" s="136"/>
    </row>
    <row r="967" spans="6:11" ht="13.2">
      <c r="F967" s="138"/>
      <c r="G967" s="2"/>
      <c r="H967" s="139"/>
      <c r="I967" s="139"/>
      <c r="J967" s="140"/>
      <c r="K967" s="136"/>
    </row>
    <row r="968" spans="6:11" ht="13.2">
      <c r="F968" s="138"/>
      <c r="G968" s="2"/>
      <c r="H968" s="139"/>
      <c r="I968" s="139"/>
      <c r="J968" s="140"/>
      <c r="K968" s="136"/>
    </row>
    <row r="969" spans="6:11" ht="13.2">
      <c r="F969" s="138"/>
      <c r="G969" s="2"/>
      <c r="H969" s="139"/>
      <c r="I969" s="139"/>
      <c r="J969" s="140"/>
      <c r="K969" s="136"/>
    </row>
    <row r="970" spans="6:11" ht="13.2">
      <c r="F970" s="138"/>
      <c r="G970" s="2"/>
      <c r="H970" s="139"/>
      <c r="I970" s="139"/>
      <c r="J970" s="140"/>
      <c r="K970" s="136"/>
    </row>
    <row r="971" spans="6:11" ht="13.2">
      <c r="F971" s="138"/>
      <c r="G971" s="2"/>
      <c r="H971" s="139"/>
      <c r="I971" s="139"/>
      <c r="J971" s="140"/>
      <c r="K971" s="136"/>
    </row>
    <row r="972" spans="6:11" ht="13.2">
      <c r="F972" s="138"/>
      <c r="G972" s="2"/>
      <c r="H972" s="139"/>
      <c r="I972" s="139"/>
      <c r="J972" s="140"/>
      <c r="K972" s="136"/>
    </row>
    <row r="973" spans="6:11" ht="13.2">
      <c r="F973" s="138"/>
      <c r="G973" s="2"/>
      <c r="H973" s="139"/>
      <c r="I973" s="139"/>
      <c r="J973" s="140"/>
      <c r="K973" s="136"/>
    </row>
    <row r="974" spans="6:11" ht="13.2">
      <c r="F974" s="138"/>
      <c r="G974" s="2"/>
      <c r="H974" s="139"/>
      <c r="I974" s="139"/>
      <c r="J974" s="140"/>
      <c r="K974" s="136"/>
    </row>
    <row r="975" spans="6:11" ht="13.2">
      <c r="F975" s="138"/>
      <c r="G975" s="2"/>
      <c r="H975" s="139"/>
      <c r="I975" s="139"/>
      <c r="J975" s="140"/>
      <c r="K975" s="136"/>
    </row>
    <row r="976" spans="6:11" ht="13.2">
      <c r="F976" s="138"/>
      <c r="G976" s="2"/>
      <c r="H976" s="139"/>
      <c r="I976" s="139"/>
      <c r="J976" s="140"/>
      <c r="K976" s="136"/>
    </row>
    <row r="977" spans="6:11" ht="13.2">
      <c r="F977" s="138"/>
      <c r="G977" s="2"/>
      <c r="H977" s="139"/>
      <c r="I977" s="139"/>
      <c r="J977" s="140"/>
      <c r="K977" s="136"/>
    </row>
    <row r="978" spans="6:11" ht="13.2">
      <c r="F978" s="138"/>
      <c r="G978" s="2"/>
      <c r="H978" s="139"/>
      <c r="I978" s="139"/>
      <c r="J978" s="140"/>
      <c r="K978" s="136"/>
    </row>
    <row r="979" spans="6:11" ht="13.2">
      <c r="F979" s="138"/>
      <c r="G979" s="2"/>
      <c r="H979" s="139"/>
      <c r="I979" s="139"/>
      <c r="J979" s="140"/>
      <c r="K979" s="136"/>
    </row>
    <row r="980" spans="6:11" ht="13.2">
      <c r="F980" s="138"/>
      <c r="G980" s="2"/>
      <c r="H980" s="139"/>
      <c r="I980" s="139"/>
      <c r="J980" s="140"/>
      <c r="K980" s="136"/>
    </row>
    <row r="981" spans="6:11" ht="13.2">
      <c r="F981" s="138"/>
      <c r="G981" s="2"/>
      <c r="H981" s="139"/>
      <c r="I981" s="139"/>
      <c r="J981" s="140"/>
      <c r="K981" s="136"/>
    </row>
    <row r="982" spans="6:11" ht="13.2">
      <c r="F982" s="138"/>
      <c r="G982" s="2"/>
      <c r="H982" s="139"/>
      <c r="I982" s="139"/>
      <c r="J982" s="140"/>
      <c r="K982" s="136"/>
    </row>
    <row r="983" spans="6:11" ht="13.2">
      <c r="F983" s="138"/>
      <c r="G983" s="2"/>
      <c r="H983" s="139"/>
      <c r="I983" s="139"/>
      <c r="J983" s="140"/>
      <c r="K983" s="136"/>
    </row>
    <row r="984" spans="6:11" ht="13.2">
      <c r="F984" s="138"/>
      <c r="G984" s="2"/>
      <c r="H984" s="139"/>
      <c r="I984" s="139"/>
      <c r="J984" s="140"/>
      <c r="K984" s="136"/>
    </row>
    <row r="985" spans="6:11" ht="13.2">
      <c r="F985" s="138"/>
      <c r="G985" s="2"/>
      <c r="H985" s="139"/>
      <c r="I985" s="139"/>
      <c r="J985" s="140"/>
      <c r="K985" s="136"/>
    </row>
    <row r="986" spans="6:11" ht="13.2">
      <c r="F986" s="138"/>
      <c r="G986" s="2"/>
      <c r="H986" s="139"/>
      <c r="I986" s="139"/>
      <c r="J986" s="140"/>
      <c r="K986" s="136"/>
    </row>
    <row r="987" spans="6:11" ht="13.2">
      <c r="F987" s="138"/>
      <c r="G987" s="2"/>
      <c r="H987" s="139"/>
      <c r="I987" s="139"/>
      <c r="J987" s="140"/>
      <c r="K987" s="136"/>
    </row>
    <row r="988" spans="6:11" ht="13.2">
      <c r="F988" s="138"/>
      <c r="G988" s="2"/>
      <c r="H988" s="139"/>
      <c r="I988" s="139"/>
      <c r="J988" s="140"/>
      <c r="K988" s="136"/>
    </row>
    <row r="989" spans="6:11" ht="13.2">
      <c r="F989" s="138"/>
      <c r="G989" s="2"/>
      <c r="H989" s="139"/>
      <c r="I989" s="139"/>
      <c r="J989" s="140"/>
      <c r="K989" s="136"/>
    </row>
    <row r="990" spans="6:11" ht="13.2">
      <c r="F990" s="138"/>
      <c r="G990" s="2"/>
      <c r="H990" s="139"/>
      <c r="I990" s="139"/>
      <c r="J990" s="140"/>
      <c r="K990" s="136"/>
    </row>
    <row r="991" spans="6:11" ht="13.2">
      <c r="F991" s="138"/>
      <c r="G991" s="2"/>
      <c r="H991" s="139"/>
      <c r="I991" s="139"/>
      <c r="J991" s="140"/>
      <c r="K991" s="136"/>
    </row>
    <row r="992" spans="6:11" ht="13.2">
      <c r="F992" s="138"/>
      <c r="G992" s="2"/>
      <c r="H992" s="139"/>
      <c r="I992" s="139"/>
      <c r="J992" s="140"/>
      <c r="K992" s="136"/>
    </row>
    <row r="993" spans="6:11" ht="13.2">
      <c r="F993" s="138"/>
      <c r="G993" s="2"/>
      <c r="H993" s="139"/>
      <c r="I993" s="139"/>
      <c r="J993" s="140"/>
      <c r="K993" s="136"/>
    </row>
    <row r="994" spans="6:11" ht="13.2">
      <c r="F994" s="138"/>
      <c r="G994" s="2"/>
      <c r="H994" s="139"/>
      <c r="I994" s="139"/>
      <c r="J994" s="140"/>
      <c r="K994" s="136"/>
    </row>
    <row r="995" spans="6:11" ht="13.2">
      <c r="F995" s="138"/>
      <c r="G995" s="2"/>
      <c r="H995" s="139"/>
      <c r="I995" s="139"/>
      <c r="J995" s="140"/>
      <c r="K995" s="136"/>
    </row>
    <row r="996" spans="6:11" ht="13.2">
      <c r="F996" s="138"/>
      <c r="G996" s="2"/>
      <c r="H996" s="139"/>
      <c r="I996" s="139"/>
      <c r="J996" s="140"/>
      <c r="K996" s="136"/>
    </row>
    <row r="997" spans="6:11" ht="13.2">
      <c r="F997" s="138"/>
      <c r="G997" s="2"/>
      <c r="H997" s="139"/>
      <c r="I997" s="139"/>
      <c r="J997" s="140"/>
      <c r="K997" s="136"/>
    </row>
    <row r="998" spans="6:11" ht="13.2">
      <c r="F998" s="138"/>
      <c r="G998" s="2"/>
      <c r="H998" s="139"/>
      <c r="I998" s="139"/>
      <c r="J998" s="140"/>
      <c r="K998" s="136"/>
    </row>
    <row r="999" spans="6:11" ht="13.2">
      <c r="F999" s="138"/>
      <c r="G999" s="2"/>
      <c r="H999" s="139"/>
      <c r="I999" s="139"/>
      <c r="J999" s="140"/>
      <c r="K999" s="136"/>
    </row>
    <row r="1000" spans="6:11" ht="13.2">
      <c r="F1000" s="138"/>
      <c r="G1000" s="2"/>
      <c r="H1000" s="139"/>
      <c r="I1000" s="139"/>
      <c r="J1000" s="140"/>
      <c r="K1000" s="136"/>
    </row>
    <row r="1001" spans="6:11" ht="13.2">
      <c r="F1001" s="138"/>
      <c r="G1001" s="2"/>
      <c r="H1001" s="139"/>
      <c r="I1001" s="139"/>
      <c r="J1001" s="140"/>
      <c r="K1001" s="136"/>
    </row>
    <row r="1002" spans="6:11" ht="13.2">
      <c r="F1002" s="138"/>
      <c r="G1002" s="2"/>
      <c r="H1002" s="139"/>
      <c r="I1002" s="139"/>
      <c r="J1002" s="140"/>
      <c r="K1002" s="136"/>
    </row>
    <row r="1003" spans="6:11" ht="13.2">
      <c r="F1003" s="138"/>
      <c r="G1003" s="2"/>
      <c r="H1003" s="139"/>
      <c r="I1003" s="139"/>
      <c r="J1003" s="140"/>
      <c r="K1003" s="136"/>
    </row>
    <row r="1004" spans="6:11" ht="13.2">
      <c r="F1004" s="138"/>
      <c r="G1004" s="2"/>
      <c r="H1004" s="139"/>
      <c r="I1004" s="139"/>
      <c r="J1004" s="140"/>
      <c r="K1004" s="136"/>
    </row>
    <row r="1005" spans="6:11" ht="13.2">
      <c r="F1005" s="138"/>
      <c r="G1005" s="2"/>
      <c r="H1005" s="139"/>
      <c r="I1005" s="139"/>
      <c r="J1005" s="140"/>
      <c r="K1005" s="136"/>
    </row>
    <row r="1006" spans="6:11" ht="13.2">
      <c r="F1006" s="138"/>
      <c r="G1006" s="2"/>
      <c r="H1006" s="139"/>
      <c r="I1006" s="139"/>
      <c r="J1006" s="140"/>
      <c r="K1006" s="136"/>
    </row>
    <row r="1007" spans="6:11" ht="13.2">
      <c r="F1007" s="138"/>
      <c r="G1007" s="2"/>
      <c r="H1007" s="139"/>
      <c r="I1007" s="139"/>
      <c r="J1007" s="140"/>
      <c r="K1007" s="136"/>
    </row>
    <row r="1008" spans="6:11" ht="13.2">
      <c r="F1008" s="138"/>
      <c r="G1008" s="2"/>
      <c r="H1008" s="139"/>
      <c r="I1008" s="139"/>
      <c r="J1008" s="140"/>
      <c r="K1008" s="136"/>
    </row>
    <row r="1009" spans="6:11" ht="13.2">
      <c r="F1009" s="138"/>
      <c r="G1009" s="2"/>
      <c r="H1009" s="139"/>
      <c r="I1009" s="139"/>
      <c r="J1009" s="140"/>
      <c r="K1009" s="136"/>
    </row>
    <row r="1010" spans="6:11" ht="13.2">
      <c r="F1010" s="138"/>
      <c r="G1010" s="2"/>
      <c r="H1010" s="139"/>
      <c r="I1010" s="139"/>
      <c r="J1010" s="140"/>
      <c r="K1010" s="136"/>
    </row>
    <row r="1011" spans="6:11" ht="13.2">
      <c r="F1011" s="138"/>
      <c r="G1011" s="2"/>
      <c r="H1011" s="139"/>
      <c r="I1011" s="139"/>
      <c r="J1011" s="140"/>
      <c r="K1011" s="136"/>
    </row>
    <row r="1012" spans="6:11" ht="13.2">
      <c r="F1012" s="138"/>
      <c r="G1012" s="2"/>
      <c r="H1012" s="139"/>
      <c r="I1012" s="139"/>
      <c r="J1012" s="140"/>
      <c r="K1012" s="136"/>
    </row>
    <row r="1013" spans="6:11" ht="13.2">
      <c r="F1013" s="138"/>
      <c r="G1013" s="2"/>
      <c r="H1013" s="139"/>
      <c r="I1013" s="139"/>
      <c r="J1013" s="140"/>
      <c r="K1013" s="136"/>
    </row>
    <row r="1014" spans="6:11" ht="13.2">
      <c r="F1014" s="138"/>
      <c r="G1014" s="2"/>
      <c r="H1014" s="139"/>
      <c r="I1014" s="139"/>
      <c r="J1014" s="140"/>
      <c r="K1014" s="136"/>
    </row>
    <row r="1015" spans="6:11" ht="13.2">
      <c r="F1015" s="138"/>
      <c r="G1015" s="2"/>
      <c r="H1015" s="139"/>
      <c r="I1015" s="139"/>
      <c r="J1015" s="140"/>
      <c r="K1015" s="136"/>
    </row>
    <row r="1016" spans="6:11" ht="13.2">
      <c r="F1016" s="138"/>
      <c r="G1016" s="2"/>
      <c r="H1016" s="139"/>
      <c r="I1016" s="139"/>
      <c r="J1016" s="140"/>
      <c r="K1016" s="136"/>
    </row>
    <row r="1017" spans="6:11" ht="13.2">
      <c r="F1017" s="138"/>
      <c r="G1017" s="2"/>
      <c r="H1017" s="139"/>
      <c r="I1017" s="139"/>
      <c r="J1017" s="140"/>
      <c r="K1017" s="136"/>
    </row>
    <row r="1018" spans="6:11" ht="13.2">
      <c r="F1018" s="138"/>
      <c r="G1018" s="2"/>
      <c r="H1018" s="139"/>
      <c r="I1018" s="139"/>
      <c r="J1018" s="140"/>
      <c r="K1018" s="136"/>
    </row>
    <row r="1019" spans="6:11" ht="13.2">
      <c r="F1019" s="138"/>
      <c r="G1019" s="2"/>
      <c r="H1019" s="139"/>
      <c r="I1019" s="139"/>
      <c r="J1019" s="140"/>
      <c r="K1019" s="136"/>
    </row>
    <row r="1020" spans="6:11" ht="13.2">
      <c r="F1020" s="138"/>
      <c r="G1020" s="2"/>
      <c r="H1020" s="139"/>
      <c r="I1020" s="139"/>
      <c r="J1020" s="140"/>
      <c r="K1020" s="136"/>
    </row>
    <row r="1021" spans="6:11" ht="13.2">
      <c r="F1021" s="138"/>
      <c r="G1021" s="2"/>
      <c r="H1021" s="139"/>
      <c r="I1021" s="139"/>
      <c r="J1021" s="140"/>
      <c r="K1021" s="136"/>
    </row>
    <row r="1022" spans="6:11" ht="13.2">
      <c r="F1022" s="138"/>
      <c r="G1022" s="2"/>
      <c r="H1022" s="139"/>
      <c r="I1022" s="139"/>
      <c r="J1022" s="140"/>
      <c r="K1022" s="136"/>
    </row>
    <row r="1023" spans="6:11" ht="13.2">
      <c r="F1023" s="138"/>
      <c r="G1023" s="2"/>
      <c r="H1023" s="139"/>
      <c r="I1023" s="139"/>
      <c r="J1023" s="140"/>
      <c r="K1023" s="136"/>
    </row>
    <row r="1024" spans="6:11" ht="13.2">
      <c r="F1024" s="138"/>
      <c r="G1024" s="2"/>
      <c r="H1024" s="139"/>
      <c r="I1024" s="139"/>
      <c r="J1024" s="140"/>
      <c r="K1024" s="136"/>
    </row>
    <row r="1025" spans="6:11" ht="13.2">
      <c r="F1025" s="138"/>
      <c r="G1025" s="2"/>
      <c r="H1025" s="139"/>
      <c r="I1025" s="139"/>
      <c r="J1025" s="140"/>
      <c r="K1025" s="136"/>
    </row>
    <row r="1026" spans="6:11" ht="13.2">
      <c r="F1026" s="138"/>
      <c r="G1026" s="2"/>
      <c r="H1026" s="139"/>
      <c r="I1026" s="139"/>
      <c r="J1026" s="140"/>
      <c r="K1026" s="136"/>
    </row>
    <row r="1027" spans="6:11" ht="13.2">
      <c r="F1027" s="138"/>
      <c r="G1027" s="2"/>
      <c r="H1027" s="139"/>
      <c r="I1027" s="139"/>
      <c r="J1027" s="140"/>
      <c r="K1027" s="136"/>
    </row>
    <row r="1028" spans="6:11" ht="13.2">
      <c r="F1028" s="138"/>
      <c r="G1028" s="2"/>
      <c r="H1028" s="139"/>
      <c r="I1028" s="139"/>
      <c r="J1028" s="140"/>
      <c r="K1028" s="136"/>
    </row>
    <row r="1029" spans="6:11" ht="13.2">
      <c r="F1029" s="138"/>
      <c r="G1029" s="2"/>
      <c r="H1029" s="139"/>
      <c r="I1029" s="139"/>
      <c r="J1029" s="140"/>
      <c r="K1029" s="136"/>
    </row>
    <row r="1030" spans="6:11" ht="13.2">
      <c r="F1030" s="138"/>
      <c r="G1030" s="2"/>
      <c r="H1030" s="139"/>
      <c r="I1030" s="139"/>
      <c r="J1030" s="140"/>
      <c r="K1030" s="136"/>
    </row>
    <row r="1031" spans="6:11" ht="13.2">
      <c r="F1031" s="138"/>
      <c r="G1031" s="2"/>
      <c r="H1031" s="139"/>
      <c r="I1031" s="139"/>
      <c r="J1031" s="140"/>
      <c r="K1031" s="136"/>
    </row>
    <row r="1032" spans="6:11" ht="13.2">
      <c r="F1032" s="138"/>
      <c r="G1032" s="2"/>
      <c r="H1032" s="139"/>
      <c r="I1032" s="139"/>
      <c r="J1032" s="140"/>
      <c r="K1032" s="136"/>
    </row>
    <row r="1033" spans="6:11" ht="13.2">
      <c r="F1033" s="138"/>
      <c r="G1033" s="2"/>
      <c r="H1033" s="139"/>
      <c r="I1033" s="139"/>
      <c r="J1033" s="140"/>
      <c r="K1033" s="136"/>
    </row>
    <row r="1034" spans="6:11" ht="13.2">
      <c r="F1034" s="138"/>
      <c r="G1034" s="2"/>
      <c r="H1034" s="139"/>
      <c r="I1034" s="139"/>
      <c r="J1034" s="140"/>
      <c r="K1034" s="136"/>
    </row>
    <row r="1035" spans="6:11" ht="13.2">
      <c r="F1035" s="138"/>
      <c r="G1035" s="2"/>
      <c r="H1035" s="139"/>
      <c r="I1035" s="139"/>
      <c r="J1035" s="140"/>
      <c r="K1035" s="136"/>
    </row>
    <row r="1036" spans="6:11" ht="13.2">
      <c r="F1036" s="138"/>
      <c r="G1036" s="2"/>
      <c r="H1036" s="139"/>
      <c r="I1036" s="139"/>
      <c r="J1036" s="140"/>
      <c r="K1036" s="136"/>
    </row>
    <row r="1037" spans="6:11" ht="13.2">
      <c r="F1037" s="138"/>
      <c r="G1037" s="2"/>
      <c r="H1037" s="139"/>
      <c r="I1037" s="139"/>
      <c r="J1037" s="140"/>
      <c r="K1037" s="136"/>
    </row>
    <row r="1038" spans="6:11" ht="13.2">
      <c r="F1038" s="138"/>
      <c r="G1038" s="2"/>
      <c r="H1038" s="139"/>
      <c r="I1038" s="139"/>
      <c r="J1038" s="140"/>
      <c r="K1038" s="136"/>
    </row>
    <row r="1039" spans="6:11" ht="13.2">
      <c r="F1039" s="138"/>
      <c r="G1039" s="2"/>
      <c r="H1039" s="139"/>
      <c r="I1039" s="139"/>
      <c r="J1039" s="140"/>
      <c r="K1039" s="136"/>
    </row>
    <row r="1040" spans="6:11" ht="13.2">
      <c r="F1040" s="138"/>
      <c r="G1040" s="2"/>
      <c r="H1040" s="139"/>
      <c r="I1040" s="139"/>
      <c r="J1040" s="140"/>
      <c r="K1040" s="136"/>
    </row>
    <row r="1041" spans="6:11" ht="13.2">
      <c r="F1041" s="138"/>
      <c r="G1041" s="2"/>
      <c r="H1041" s="139"/>
      <c r="I1041" s="139"/>
      <c r="J1041" s="140"/>
      <c r="K1041" s="136"/>
    </row>
    <row r="1042" spans="6:11" ht="13.2">
      <c r="F1042" s="138"/>
      <c r="G1042" s="2"/>
      <c r="H1042" s="139"/>
      <c r="I1042" s="139"/>
      <c r="J1042" s="140"/>
      <c r="K1042" s="136"/>
    </row>
    <row r="1043" spans="6:11" ht="13.2">
      <c r="F1043" s="138"/>
      <c r="G1043" s="2"/>
      <c r="H1043" s="139"/>
      <c r="I1043" s="139"/>
      <c r="J1043" s="140"/>
      <c r="K1043" s="136"/>
    </row>
    <row r="1044" spans="6:11" ht="13.2">
      <c r="F1044" s="138"/>
      <c r="G1044" s="2"/>
      <c r="H1044" s="139"/>
      <c r="I1044" s="139"/>
      <c r="J1044" s="140"/>
      <c r="K1044" s="136"/>
    </row>
    <row r="1045" spans="6:11" ht="13.2">
      <c r="F1045" s="138"/>
      <c r="G1045" s="2"/>
      <c r="H1045" s="139"/>
      <c r="I1045" s="139"/>
      <c r="J1045" s="140"/>
      <c r="K1045" s="136"/>
    </row>
    <row r="1046" spans="6:11" ht="13.2">
      <c r="F1046" s="138"/>
      <c r="G1046" s="2"/>
      <c r="H1046" s="139"/>
      <c r="I1046" s="139"/>
      <c r="J1046" s="140"/>
      <c r="K1046" s="136"/>
    </row>
    <row r="1047" spans="6:11" ht="13.2">
      <c r="F1047" s="138"/>
      <c r="G1047" s="2"/>
      <c r="H1047" s="139"/>
      <c r="I1047" s="139"/>
      <c r="J1047" s="140"/>
      <c r="K1047" s="136"/>
    </row>
    <row r="1048" spans="6:11" ht="13.2">
      <c r="F1048" s="138"/>
      <c r="G1048" s="2"/>
      <c r="H1048" s="139"/>
      <c r="I1048" s="139"/>
      <c r="J1048" s="140"/>
      <c r="K1048" s="136"/>
    </row>
    <row r="1049" spans="6:11" ht="13.2">
      <c r="F1049" s="138"/>
      <c r="G1049" s="2"/>
      <c r="H1049" s="139"/>
      <c r="I1049" s="139"/>
      <c r="J1049" s="140"/>
      <c r="K1049" s="136"/>
    </row>
    <row r="1050" spans="6:11" ht="13.2">
      <c r="F1050" s="138"/>
      <c r="G1050" s="2"/>
      <c r="H1050" s="139"/>
      <c r="I1050" s="139"/>
      <c r="J1050" s="140"/>
      <c r="K1050" s="136"/>
    </row>
    <row r="1051" spans="6:11" ht="13.2">
      <c r="F1051" s="138"/>
      <c r="G1051" s="2"/>
      <c r="H1051" s="139"/>
      <c r="I1051" s="139"/>
      <c r="J1051" s="140"/>
      <c r="K1051" s="136"/>
    </row>
    <row r="1052" spans="6:11" ht="13.2">
      <c r="F1052" s="138"/>
      <c r="G1052" s="2"/>
      <c r="H1052" s="139"/>
      <c r="I1052" s="139"/>
      <c r="J1052" s="140"/>
      <c r="K1052" s="136"/>
    </row>
    <row r="1053" spans="6:11" ht="13.2">
      <c r="F1053" s="138"/>
      <c r="G1053" s="2"/>
      <c r="H1053" s="139"/>
      <c r="I1053" s="139"/>
      <c r="J1053" s="140"/>
      <c r="K1053" s="136"/>
    </row>
    <row r="1054" spans="6:11" ht="13.2">
      <c r="F1054" s="138"/>
      <c r="G1054" s="2"/>
      <c r="H1054" s="139"/>
      <c r="I1054" s="139"/>
      <c r="J1054" s="140"/>
      <c r="K1054" s="136"/>
    </row>
    <row r="1055" spans="6:11" ht="13.2">
      <c r="F1055" s="138"/>
      <c r="G1055" s="2"/>
      <c r="H1055" s="139"/>
      <c r="I1055" s="139"/>
      <c r="J1055" s="140"/>
      <c r="K1055" s="136"/>
    </row>
    <row r="1056" spans="6:11" ht="13.2">
      <c r="F1056" s="138"/>
      <c r="G1056" s="2"/>
      <c r="H1056" s="139"/>
      <c r="I1056" s="139"/>
      <c r="J1056" s="140"/>
      <c r="K1056" s="136"/>
    </row>
    <row r="1057" spans="6:11" ht="13.2">
      <c r="F1057" s="138"/>
      <c r="G1057" s="2"/>
      <c r="H1057" s="139"/>
      <c r="I1057" s="139"/>
      <c r="J1057" s="140"/>
      <c r="K1057" s="136"/>
    </row>
    <row r="1058" spans="6:11" ht="13.2">
      <c r="F1058" s="138"/>
      <c r="G1058" s="2"/>
      <c r="H1058" s="139"/>
      <c r="I1058" s="139"/>
      <c r="J1058" s="140"/>
      <c r="K1058" s="136"/>
    </row>
    <row r="1059" spans="6:11" ht="13.2">
      <c r="F1059" s="138"/>
      <c r="G1059" s="2"/>
      <c r="H1059" s="139"/>
      <c r="I1059" s="139"/>
      <c r="J1059" s="140"/>
      <c r="K1059" s="136"/>
    </row>
    <row r="1060" spans="6:11" ht="13.2">
      <c r="F1060" s="138"/>
      <c r="G1060" s="2"/>
      <c r="H1060" s="139"/>
      <c r="I1060" s="139"/>
      <c r="J1060" s="140"/>
      <c r="K1060" s="136"/>
    </row>
    <row r="1061" spans="6:11" ht="13.2">
      <c r="F1061" s="138"/>
      <c r="G1061" s="2"/>
      <c r="H1061" s="139"/>
      <c r="I1061" s="139"/>
      <c r="J1061" s="140"/>
      <c r="K1061" s="136"/>
    </row>
    <row r="1062" spans="6:11" ht="13.2">
      <c r="F1062" s="138"/>
      <c r="G1062" s="2"/>
      <c r="H1062" s="139"/>
      <c r="I1062" s="139"/>
      <c r="J1062" s="140"/>
      <c r="K1062" s="136"/>
    </row>
    <row r="1063" spans="6:11" ht="13.2">
      <c r="F1063" s="138"/>
      <c r="G1063" s="2"/>
      <c r="H1063" s="139"/>
      <c r="I1063" s="139"/>
      <c r="J1063" s="140"/>
      <c r="K1063" s="136"/>
    </row>
    <row r="1064" spans="6:11" ht="13.2">
      <c r="F1064" s="138"/>
      <c r="G1064" s="2"/>
      <c r="H1064" s="139"/>
      <c r="I1064" s="139"/>
      <c r="J1064" s="140"/>
      <c r="K1064" s="136"/>
    </row>
    <row r="1065" spans="6:11" ht="13.2">
      <c r="F1065" s="138"/>
      <c r="G1065" s="2"/>
      <c r="H1065" s="139"/>
      <c r="I1065" s="139"/>
      <c r="J1065" s="140"/>
      <c r="K1065" s="136"/>
    </row>
    <row r="1066" spans="6:11" ht="13.2">
      <c r="F1066" s="138"/>
      <c r="G1066" s="2"/>
      <c r="H1066" s="139"/>
      <c r="I1066" s="139"/>
      <c r="J1066" s="140"/>
      <c r="K1066" s="136"/>
    </row>
    <row r="1067" spans="6:11" ht="13.2">
      <c r="F1067" s="138"/>
      <c r="G1067" s="2"/>
      <c r="H1067" s="139"/>
      <c r="I1067" s="139"/>
      <c r="J1067" s="140"/>
      <c r="K1067" s="136"/>
    </row>
    <row r="1068" spans="6:11" ht="13.2">
      <c r="F1068" s="138"/>
      <c r="G1068" s="2"/>
      <c r="H1068" s="139"/>
      <c r="I1068" s="139"/>
      <c r="J1068" s="140"/>
      <c r="K1068" s="136"/>
    </row>
    <row r="1069" spans="6:11" ht="13.2">
      <c r="F1069" s="138"/>
      <c r="G1069" s="2"/>
      <c r="H1069" s="139"/>
      <c r="I1069" s="139"/>
      <c r="J1069" s="140"/>
      <c r="K1069" s="136"/>
    </row>
    <row r="1070" spans="6:11" ht="13.2">
      <c r="F1070" s="138"/>
      <c r="G1070" s="2"/>
      <c r="H1070" s="139"/>
      <c r="I1070" s="139"/>
      <c r="J1070" s="140"/>
      <c r="K1070" s="136"/>
    </row>
    <row r="1071" spans="6:11" ht="13.2">
      <c r="F1071" s="138"/>
      <c r="G1071" s="2"/>
      <c r="H1071" s="139"/>
      <c r="I1071" s="139"/>
      <c r="J1071" s="140"/>
      <c r="K1071" s="136"/>
    </row>
    <row r="1072" spans="6:11" ht="13.2">
      <c r="F1072" s="138"/>
      <c r="G1072" s="2"/>
      <c r="H1072" s="139"/>
      <c r="I1072" s="139"/>
      <c r="J1072" s="140"/>
      <c r="K1072" s="136"/>
    </row>
    <row r="1073" spans="6:11" ht="13.2">
      <c r="F1073" s="138"/>
      <c r="G1073" s="2"/>
      <c r="H1073" s="139"/>
      <c r="I1073" s="139"/>
      <c r="J1073" s="140"/>
      <c r="K1073" s="136"/>
    </row>
    <row r="1074" spans="6:11" ht="13.2">
      <c r="F1074" s="138"/>
      <c r="G1074" s="2"/>
      <c r="H1074" s="139"/>
      <c r="I1074" s="139"/>
      <c r="J1074" s="140"/>
      <c r="K1074" s="136"/>
    </row>
    <row r="1075" spans="6:11" ht="13.2">
      <c r="F1075" s="138"/>
      <c r="G1075" s="2"/>
      <c r="H1075" s="139"/>
      <c r="I1075" s="139"/>
      <c r="J1075" s="140"/>
      <c r="K1075" s="136"/>
    </row>
    <row r="1076" spans="6:11" ht="13.2">
      <c r="F1076" s="138"/>
      <c r="G1076" s="2"/>
      <c r="H1076" s="139"/>
      <c r="I1076" s="139"/>
      <c r="J1076" s="140"/>
      <c r="K1076" s="136"/>
    </row>
    <row r="1077" spans="6:11" ht="13.2">
      <c r="F1077" s="138"/>
      <c r="G1077" s="2"/>
      <c r="H1077" s="139"/>
      <c r="I1077" s="139"/>
      <c r="J1077" s="140"/>
      <c r="K1077" s="136"/>
    </row>
    <row r="1078" spans="6:11" ht="13.2">
      <c r="F1078" s="138"/>
      <c r="G1078" s="2"/>
      <c r="H1078" s="139"/>
      <c r="I1078" s="139"/>
      <c r="J1078" s="140"/>
      <c r="K1078" s="136"/>
    </row>
    <row r="1079" spans="6:11" ht="13.2">
      <c r="F1079" s="138"/>
      <c r="G1079" s="2"/>
      <c r="H1079" s="139"/>
      <c r="I1079" s="139"/>
      <c r="J1079" s="140"/>
      <c r="K1079" s="136"/>
    </row>
    <row r="1080" spans="6:11" ht="13.2">
      <c r="F1080" s="138"/>
      <c r="G1080" s="2"/>
      <c r="H1080" s="139"/>
      <c r="I1080" s="139"/>
      <c r="J1080" s="140"/>
      <c r="K1080" s="136"/>
    </row>
    <row r="1081" spans="6:11" ht="13.2">
      <c r="F1081" s="138"/>
      <c r="G1081" s="2"/>
      <c r="H1081" s="139"/>
      <c r="I1081" s="139"/>
      <c r="J1081" s="140"/>
      <c r="K1081" s="136"/>
    </row>
    <row r="1082" spans="6:11" ht="13.2">
      <c r="F1082" s="138"/>
      <c r="G1082" s="2"/>
      <c r="H1082" s="139"/>
      <c r="I1082" s="139"/>
      <c r="J1082" s="140"/>
      <c r="K1082" s="136"/>
    </row>
    <row r="1083" spans="6:11" ht="13.2">
      <c r="F1083" s="138"/>
      <c r="G1083" s="2"/>
      <c r="H1083" s="139"/>
      <c r="I1083" s="139"/>
      <c r="J1083" s="140"/>
      <c r="K1083" s="136"/>
    </row>
    <row r="1084" spans="6:11" ht="13.2">
      <c r="F1084" s="138"/>
      <c r="G1084" s="2"/>
      <c r="H1084" s="139"/>
      <c r="I1084" s="139"/>
      <c r="J1084" s="140"/>
      <c r="K1084" s="136"/>
    </row>
    <row r="1085" spans="6:11" ht="13.2">
      <c r="F1085" s="138"/>
      <c r="G1085" s="2"/>
      <c r="H1085" s="139"/>
      <c r="I1085" s="139"/>
      <c r="J1085" s="140"/>
      <c r="K1085" s="136"/>
    </row>
    <row r="1086" spans="6:11" ht="13.2">
      <c r="F1086" s="138"/>
      <c r="G1086" s="2"/>
      <c r="H1086" s="139"/>
      <c r="I1086" s="139"/>
      <c r="J1086" s="140"/>
      <c r="K1086" s="136"/>
    </row>
    <row r="1087" spans="6:11" ht="13.2">
      <c r="F1087" s="138"/>
      <c r="G1087" s="2"/>
      <c r="H1087" s="139"/>
      <c r="I1087" s="139"/>
      <c r="J1087" s="140"/>
      <c r="K1087" s="136"/>
    </row>
    <row r="1088" spans="6:11" ht="13.2">
      <c r="F1088" s="138"/>
      <c r="G1088" s="2"/>
      <c r="H1088" s="139"/>
      <c r="I1088" s="139"/>
      <c r="J1088" s="140"/>
      <c r="K1088" s="136"/>
    </row>
    <row r="1089" spans="6:11" ht="13.2">
      <c r="F1089" s="138"/>
      <c r="G1089" s="2"/>
      <c r="H1089" s="139"/>
      <c r="I1089" s="139"/>
      <c r="J1089" s="140"/>
      <c r="K1089" s="136"/>
    </row>
    <row r="1090" spans="6:11" ht="13.2">
      <c r="F1090" s="138"/>
      <c r="G1090" s="2"/>
      <c r="H1090" s="139"/>
      <c r="I1090" s="139"/>
      <c r="J1090" s="140"/>
      <c r="K1090" s="136"/>
    </row>
    <row r="1091" spans="6:11" ht="13.2">
      <c r="F1091" s="138"/>
      <c r="G1091" s="2"/>
      <c r="H1091" s="139"/>
      <c r="I1091" s="139"/>
      <c r="J1091" s="140"/>
      <c r="K1091" s="136"/>
    </row>
    <row r="1092" spans="6:11" ht="13.2">
      <c r="F1092" s="138"/>
      <c r="G1092" s="2"/>
      <c r="H1092" s="139"/>
      <c r="I1092" s="139"/>
      <c r="J1092" s="140"/>
      <c r="K1092" s="136"/>
    </row>
    <row r="1093" spans="6:11" ht="13.2">
      <c r="F1093" s="138"/>
      <c r="G1093" s="2"/>
      <c r="H1093" s="139"/>
      <c r="I1093" s="139"/>
      <c r="J1093" s="140"/>
      <c r="K1093" s="136"/>
    </row>
    <row r="1094" spans="6:11" ht="13.2">
      <c r="F1094" s="138"/>
      <c r="G1094" s="2"/>
      <c r="H1094" s="139"/>
      <c r="I1094" s="139"/>
      <c r="J1094" s="140"/>
      <c r="K1094" s="136"/>
    </row>
    <row r="1095" spans="6:11" ht="13.2">
      <c r="F1095" s="138"/>
      <c r="G1095" s="2"/>
      <c r="H1095" s="139"/>
      <c r="I1095" s="139"/>
      <c r="J1095" s="140"/>
      <c r="K1095" s="136"/>
    </row>
    <row r="1096" spans="6:11" ht="13.2">
      <c r="F1096" s="138"/>
      <c r="G1096" s="2"/>
      <c r="H1096" s="139"/>
      <c r="I1096" s="139"/>
      <c r="J1096" s="140"/>
      <c r="K1096" s="136"/>
    </row>
    <row r="1097" spans="6:11" ht="13.2">
      <c r="F1097" s="138"/>
      <c r="G1097" s="2"/>
      <c r="H1097" s="139"/>
      <c r="I1097" s="139"/>
      <c r="J1097" s="140"/>
      <c r="K1097" s="136"/>
    </row>
    <row r="1098" spans="6:11" ht="13.2">
      <c r="F1098" s="138"/>
      <c r="G1098" s="2"/>
      <c r="H1098" s="139"/>
      <c r="I1098" s="139"/>
      <c r="J1098" s="140"/>
      <c r="K1098" s="136"/>
    </row>
    <row r="1099" spans="6:11" ht="13.2">
      <c r="F1099" s="138"/>
      <c r="G1099" s="2"/>
      <c r="H1099" s="139"/>
      <c r="I1099" s="139"/>
      <c r="J1099" s="140"/>
      <c r="K1099" s="136"/>
    </row>
    <row r="1100" spans="6:11" ht="13.2">
      <c r="F1100" s="138"/>
      <c r="G1100" s="2"/>
      <c r="H1100" s="139"/>
      <c r="I1100" s="139"/>
      <c r="J1100" s="140"/>
      <c r="K1100" s="136"/>
    </row>
    <row r="1101" spans="6:11" ht="13.2">
      <c r="F1101" s="138"/>
      <c r="G1101" s="2"/>
      <c r="H1101" s="139"/>
      <c r="I1101" s="139"/>
      <c r="J1101" s="140"/>
      <c r="K1101" s="136"/>
    </row>
    <row r="1102" spans="6:11" ht="13.2">
      <c r="F1102" s="138"/>
      <c r="G1102" s="2"/>
      <c r="H1102" s="139"/>
      <c r="I1102" s="139"/>
      <c r="J1102" s="140"/>
      <c r="K1102" s="136"/>
    </row>
    <row r="1103" spans="6:11" ht="13.2">
      <c r="F1103" s="138"/>
      <c r="G1103" s="2"/>
      <c r="H1103" s="139"/>
      <c r="I1103" s="139"/>
      <c r="J1103" s="140"/>
      <c r="K1103" s="136"/>
    </row>
    <row r="1104" spans="6:11" ht="13.2">
      <c r="F1104" s="138"/>
      <c r="G1104" s="2"/>
      <c r="H1104" s="139"/>
      <c r="I1104" s="139"/>
      <c r="J1104" s="140"/>
      <c r="K1104" s="136"/>
    </row>
    <row r="1105" spans="6:11" ht="13.2">
      <c r="F1105" s="138"/>
      <c r="G1105" s="2"/>
      <c r="H1105" s="139"/>
      <c r="I1105" s="139"/>
      <c r="J1105" s="140"/>
      <c r="K1105" s="136"/>
    </row>
    <row r="1106" spans="6:11" ht="13.2">
      <c r="F1106" s="138"/>
      <c r="G1106" s="2"/>
      <c r="H1106" s="139"/>
      <c r="I1106" s="139"/>
      <c r="J1106" s="140"/>
      <c r="K1106" s="136"/>
    </row>
    <row r="1107" spans="6:11" ht="13.2">
      <c r="F1107" s="138"/>
      <c r="G1107" s="2"/>
      <c r="H1107" s="139"/>
      <c r="I1107" s="139"/>
      <c r="J1107" s="140"/>
      <c r="K1107" s="136"/>
    </row>
    <row r="1108" spans="6:11" ht="13.2">
      <c r="F1108" s="138"/>
      <c r="G1108" s="2"/>
      <c r="H1108" s="139"/>
      <c r="I1108" s="139"/>
      <c r="J1108" s="140"/>
      <c r="K1108" s="136"/>
    </row>
    <row r="1109" spans="6:11" ht="13.2">
      <c r="F1109" s="138"/>
      <c r="G1109" s="2"/>
      <c r="H1109" s="139"/>
      <c r="I1109" s="139"/>
      <c r="J1109" s="140"/>
      <c r="K1109" s="136"/>
    </row>
    <row r="1110" spans="6:11" ht="13.2">
      <c r="F1110" s="138"/>
      <c r="G1110" s="2"/>
      <c r="H1110" s="139"/>
      <c r="I1110" s="139"/>
      <c r="J1110" s="140"/>
      <c r="K1110" s="136"/>
    </row>
    <row r="1111" spans="6:11" ht="13.2">
      <c r="F1111" s="138"/>
      <c r="G1111" s="2"/>
      <c r="H1111" s="139"/>
      <c r="I1111" s="139"/>
      <c r="J1111" s="140"/>
      <c r="K1111" s="136"/>
    </row>
    <row r="1112" spans="6:11" ht="13.2">
      <c r="F1112" s="138"/>
      <c r="G1112" s="2"/>
      <c r="H1112" s="139"/>
      <c r="I1112" s="139"/>
      <c r="J1112" s="140"/>
      <c r="K1112" s="136"/>
    </row>
    <row r="1113" spans="6:11" ht="13.2">
      <c r="F1113" s="138"/>
      <c r="G1113" s="2"/>
      <c r="H1113" s="139"/>
      <c r="I1113" s="139"/>
      <c r="J1113" s="140"/>
      <c r="K1113" s="136"/>
    </row>
    <row r="1114" spans="6:11" ht="13.2">
      <c r="F1114" s="138"/>
      <c r="G1114" s="2"/>
      <c r="H1114" s="139"/>
      <c r="I1114" s="139"/>
      <c r="J1114" s="140"/>
      <c r="K1114" s="136"/>
    </row>
    <row r="1115" spans="6:11" ht="13.2">
      <c r="F1115" s="138"/>
      <c r="G1115" s="2"/>
      <c r="H1115" s="139"/>
      <c r="I1115" s="139"/>
      <c r="J1115" s="140"/>
      <c r="K1115" s="136"/>
    </row>
    <row r="1116" spans="6:11" ht="13.2">
      <c r="F1116" s="138"/>
      <c r="G1116" s="2"/>
      <c r="H1116" s="139"/>
      <c r="I1116" s="139"/>
      <c r="J1116" s="140"/>
      <c r="K1116" s="136"/>
    </row>
    <row r="1117" spans="6:11" ht="13.2">
      <c r="F1117" s="138"/>
      <c r="G1117" s="2"/>
      <c r="H1117" s="139"/>
      <c r="I1117" s="139"/>
      <c r="J1117" s="140"/>
      <c r="K1117" s="136"/>
    </row>
    <row r="1118" spans="6:11" ht="13.2">
      <c r="F1118" s="138"/>
      <c r="G1118" s="2"/>
      <c r="H1118" s="139"/>
      <c r="I1118" s="139"/>
      <c r="J1118" s="140"/>
      <c r="K1118" s="136"/>
    </row>
    <row r="1119" spans="6:11" ht="13.2">
      <c r="F1119" s="138"/>
      <c r="G1119" s="2"/>
      <c r="H1119" s="139"/>
      <c r="I1119" s="139"/>
      <c r="J1119" s="140"/>
      <c r="K1119" s="136"/>
    </row>
    <row r="1120" spans="6:11" ht="13.2">
      <c r="F1120" s="138"/>
      <c r="G1120" s="2"/>
      <c r="H1120" s="139"/>
      <c r="I1120" s="139"/>
      <c r="J1120" s="140"/>
      <c r="K1120" s="136"/>
    </row>
    <row r="1121" spans="6:11" ht="13.2">
      <c r="F1121" s="138"/>
      <c r="G1121" s="2"/>
      <c r="H1121" s="139"/>
      <c r="I1121" s="139"/>
      <c r="J1121" s="140"/>
      <c r="K1121" s="136"/>
    </row>
    <row r="1122" spans="6:11" ht="13.2">
      <c r="F1122" s="138"/>
      <c r="G1122" s="2"/>
      <c r="H1122" s="139"/>
      <c r="I1122" s="139"/>
      <c r="J1122" s="140"/>
      <c r="K1122" s="136"/>
    </row>
    <row r="1123" spans="6:11" ht="13.2">
      <c r="F1123" s="138"/>
      <c r="G1123" s="2"/>
      <c r="H1123" s="139"/>
      <c r="I1123" s="139"/>
      <c r="J1123" s="140"/>
      <c r="K1123" s="136"/>
    </row>
    <row r="1124" spans="6:11" ht="13.2">
      <c r="F1124" s="138"/>
      <c r="G1124" s="2"/>
      <c r="H1124" s="139"/>
      <c r="I1124" s="139"/>
      <c r="J1124" s="140"/>
      <c r="K1124" s="136"/>
    </row>
    <row r="1125" spans="6:11" ht="13.2">
      <c r="F1125" s="138"/>
      <c r="G1125" s="2"/>
      <c r="H1125" s="139"/>
      <c r="I1125" s="139"/>
      <c r="J1125" s="140"/>
      <c r="K1125" s="136"/>
    </row>
    <row r="1126" spans="6:11" ht="13.2">
      <c r="F1126" s="138"/>
      <c r="G1126" s="2"/>
      <c r="H1126" s="139"/>
      <c r="I1126" s="139"/>
      <c r="J1126" s="140"/>
      <c r="K1126" s="136"/>
    </row>
    <row r="1127" spans="6:11" ht="13.2">
      <c r="F1127" s="138"/>
      <c r="G1127" s="2"/>
      <c r="H1127" s="139"/>
      <c r="I1127" s="139"/>
      <c r="J1127" s="140"/>
      <c r="K1127" s="136"/>
    </row>
    <row r="1128" spans="6:11" ht="13.2">
      <c r="F1128" s="138"/>
      <c r="G1128" s="2"/>
      <c r="H1128" s="139"/>
      <c r="I1128" s="139"/>
      <c r="J1128" s="140"/>
      <c r="K1128" s="136"/>
    </row>
    <row r="1129" spans="6:11" ht="13.2">
      <c r="F1129" s="138"/>
      <c r="G1129" s="2"/>
      <c r="H1129" s="139"/>
      <c r="I1129" s="139"/>
      <c r="J1129" s="140"/>
      <c r="K1129" s="136"/>
    </row>
    <row r="1130" spans="6:11" ht="13.2">
      <c r="F1130" s="138"/>
      <c r="G1130" s="2"/>
      <c r="H1130" s="139"/>
      <c r="I1130" s="139"/>
      <c r="J1130" s="140"/>
      <c r="K1130" s="136"/>
    </row>
    <row r="1131" spans="6:11" ht="13.2">
      <c r="F1131" s="138"/>
      <c r="G1131" s="2"/>
      <c r="H1131" s="139"/>
      <c r="I1131" s="139"/>
      <c r="J1131" s="140"/>
      <c r="K1131" s="136"/>
    </row>
    <row r="1132" spans="6:11" ht="13.2">
      <c r="F1132" s="138"/>
      <c r="G1132" s="2"/>
      <c r="H1132" s="139"/>
      <c r="I1132" s="139"/>
      <c r="J1132" s="140"/>
      <c r="K1132" s="136"/>
    </row>
    <row r="1133" spans="6:11" ht="13.2">
      <c r="F1133" s="138"/>
      <c r="G1133" s="2"/>
      <c r="H1133" s="139"/>
      <c r="I1133" s="139"/>
      <c r="J1133" s="140"/>
      <c r="K1133" s="136"/>
    </row>
    <row r="1134" spans="6:11" ht="13.2">
      <c r="F1134" s="138"/>
      <c r="G1134" s="2"/>
      <c r="H1134" s="139"/>
      <c r="I1134" s="139"/>
      <c r="J1134" s="140"/>
      <c r="K1134" s="136"/>
    </row>
    <row r="1135" spans="6:11" ht="13.2">
      <c r="F1135" s="138"/>
      <c r="G1135" s="2"/>
      <c r="H1135" s="139"/>
      <c r="I1135" s="139"/>
      <c r="J1135" s="140"/>
      <c r="K1135" s="136"/>
    </row>
    <row r="1136" spans="6:11" ht="13.2">
      <c r="F1136" s="138"/>
      <c r="G1136" s="2"/>
      <c r="H1136" s="139"/>
      <c r="I1136" s="139"/>
      <c r="J1136" s="140"/>
      <c r="K1136" s="136"/>
    </row>
    <row r="1137" spans="6:11" ht="13.2">
      <c r="F1137" s="138"/>
      <c r="G1137" s="2"/>
      <c r="H1137" s="139"/>
      <c r="I1137" s="139"/>
      <c r="J1137" s="140"/>
      <c r="K1137" s="136"/>
    </row>
    <row r="1138" spans="6:11" ht="13.2">
      <c r="F1138" s="138"/>
      <c r="G1138" s="2"/>
      <c r="H1138" s="139"/>
      <c r="I1138" s="139"/>
      <c r="J1138" s="140"/>
      <c r="K1138" s="136"/>
    </row>
    <row r="1139" spans="6:11" ht="13.2">
      <c r="F1139" s="138"/>
      <c r="G1139" s="2"/>
      <c r="H1139" s="139"/>
      <c r="I1139" s="139"/>
      <c r="J1139" s="140"/>
      <c r="K1139" s="136"/>
    </row>
    <row r="1140" spans="6:11" ht="13.2">
      <c r="F1140" s="138"/>
      <c r="G1140" s="2"/>
      <c r="H1140" s="139"/>
      <c r="I1140" s="139"/>
      <c r="J1140" s="140"/>
      <c r="K1140" s="136"/>
    </row>
    <row r="1141" spans="6:11" ht="13.2">
      <c r="F1141" s="138"/>
      <c r="G1141" s="2"/>
      <c r="H1141" s="139"/>
      <c r="I1141" s="139"/>
      <c r="J1141" s="140"/>
      <c r="K1141" s="136"/>
    </row>
    <row r="1142" spans="6:11" ht="13.2">
      <c r="F1142" s="138"/>
      <c r="G1142" s="2"/>
      <c r="H1142" s="139"/>
      <c r="I1142" s="139"/>
      <c r="J1142" s="140"/>
      <c r="K1142" s="136"/>
    </row>
    <row r="1143" spans="6:11" ht="13.2">
      <c r="F1143" s="138"/>
      <c r="G1143" s="2"/>
      <c r="H1143" s="139"/>
      <c r="I1143" s="139"/>
      <c r="J1143" s="140"/>
      <c r="K1143" s="136"/>
    </row>
    <row r="1144" spans="6:11" ht="13.2">
      <c r="F1144" s="138"/>
      <c r="G1144" s="2"/>
      <c r="H1144" s="139"/>
      <c r="I1144" s="139"/>
      <c r="J1144" s="140"/>
      <c r="K1144" s="136"/>
    </row>
    <row r="1145" spans="6:11" ht="13.2">
      <c r="F1145" s="138"/>
      <c r="G1145" s="2"/>
      <c r="H1145" s="139"/>
      <c r="I1145" s="139"/>
      <c r="J1145" s="140"/>
      <c r="K1145" s="136"/>
    </row>
    <row r="1146" spans="6:11" ht="13.2">
      <c r="F1146" s="138"/>
      <c r="G1146" s="2"/>
      <c r="H1146" s="139"/>
      <c r="I1146" s="139"/>
      <c r="J1146" s="140"/>
      <c r="K1146" s="136"/>
    </row>
    <row r="1147" spans="6:11" ht="13.2">
      <c r="F1147" s="138"/>
      <c r="G1147" s="2"/>
      <c r="H1147" s="139"/>
      <c r="I1147" s="139"/>
      <c r="J1147" s="140"/>
      <c r="K1147" s="136"/>
    </row>
    <row r="1148" spans="6:11" ht="13.2">
      <c r="F1148" s="138"/>
      <c r="G1148" s="2"/>
      <c r="H1148" s="139"/>
      <c r="I1148" s="139"/>
      <c r="J1148" s="140"/>
      <c r="K1148" s="136"/>
    </row>
    <row r="1149" spans="6:11" ht="13.2">
      <c r="F1149" s="138"/>
      <c r="G1149" s="2"/>
      <c r="H1149" s="139"/>
      <c r="I1149" s="139"/>
      <c r="J1149" s="140"/>
      <c r="K1149" s="136"/>
    </row>
    <row r="1150" spans="6:11" ht="13.2">
      <c r="F1150" s="138"/>
      <c r="G1150" s="2"/>
      <c r="H1150" s="139"/>
      <c r="I1150" s="139"/>
      <c r="J1150" s="140"/>
      <c r="K1150" s="136"/>
    </row>
    <row r="1151" spans="6:11" ht="13.2">
      <c r="F1151" s="138"/>
      <c r="G1151" s="2"/>
      <c r="H1151" s="139"/>
      <c r="I1151" s="139"/>
      <c r="J1151" s="140"/>
      <c r="K1151" s="136"/>
    </row>
    <row r="1152" spans="6:11" ht="13.2">
      <c r="F1152" s="138"/>
      <c r="G1152" s="2"/>
      <c r="H1152" s="139"/>
      <c r="I1152" s="139"/>
      <c r="J1152" s="140"/>
      <c r="K1152" s="136"/>
    </row>
    <row r="1153" spans="6:11" ht="13.2">
      <c r="F1153" s="138"/>
      <c r="G1153" s="2"/>
      <c r="H1153" s="139"/>
      <c r="I1153" s="139"/>
      <c r="J1153" s="140"/>
      <c r="K1153" s="136"/>
    </row>
    <row r="1154" spans="6:11" ht="13.2">
      <c r="F1154" s="138"/>
      <c r="G1154" s="2"/>
      <c r="H1154" s="139"/>
      <c r="I1154" s="139"/>
      <c r="J1154" s="140"/>
      <c r="K1154" s="136"/>
    </row>
    <row r="1155" spans="6:11" ht="13.2">
      <c r="F1155" s="138"/>
      <c r="G1155" s="2"/>
      <c r="H1155" s="139"/>
      <c r="I1155" s="139"/>
      <c r="J1155" s="140"/>
      <c r="K1155" s="136"/>
    </row>
    <row r="1156" spans="6:11" ht="13.2">
      <c r="F1156" s="138"/>
      <c r="G1156" s="2"/>
      <c r="H1156" s="139"/>
      <c r="I1156" s="139"/>
      <c r="J1156" s="140"/>
      <c r="K1156" s="136"/>
    </row>
    <row r="1157" spans="6:11" ht="13.2">
      <c r="F1157" s="138"/>
      <c r="G1157" s="2"/>
      <c r="H1157" s="139"/>
      <c r="I1157" s="139"/>
      <c r="J1157" s="140"/>
      <c r="K1157" s="136"/>
    </row>
    <row r="1158" spans="6:11" ht="13.2">
      <c r="F1158" s="138"/>
      <c r="G1158" s="2"/>
      <c r="H1158" s="139"/>
      <c r="I1158" s="139"/>
      <c r="J1158" s="140"/>
      <c r="K1158" s="136"/>
    </row>
    <row r="1159" spans="6:11" ht="13.2">
      <c r="F1159" s="138"/>
      <c r="G1159" s="2"/>
      <c r="H1159" s="139"/>
      <c r="I1159" s="139"/>
      <c r="J1159" s="140"/>
      <c r="K1159" s="136"/>
    </row>
    <row r="1160" spans="6:11" ht="13.2">
      <c r="F1160" s="138"/>
      <c r="G1160" s="2"/>
      <c r="H1160" s="139"/>
      <c r="I1160" s="139"/>
      <c r="J1160" s="140"/>
      <c r="K1160" s="136"/>
    </row>
    <row r="1161" spans="6:11" ht="13.2">
      <c r="F1161" s="138"/>
      <c r="G1161" s="2"/>
      <c r="H1161" s="139"/>
      <c r="I1161" s="139"/>
      <c r="J1161" s="140"/>
      <c r="K1161" s="136"/>
    </row>
    <row r="1162" spans="6:11" ht="13.2">
      <c r="F1162" s="138"/>
      <c r="G1162" s="2"/>
      <c r="H1162" s="139"/>
      <c r="I1162" s="139"/>
      <c r="J1162" s="140"/>
      <c r="K1162" s="136"/>
    </row>
    <row r="1163" spans="6:11" ht="13.2">
      <c r="F1163" s="138"/>
      <c r="G1163" s="2"/>
      <c r="H1163" s="139"/>
      <c r="I1163" s="139"/>
      <c r="J1163" s="140"/>
      <c r="K1163" s="136"/>
    </row>
    <row r="1164" spans="6:11" ht="13.2">
      <c r="F1164" s="138"/>
      <c r="G1164" s="2"/>
      <c r="H1164" s="139"/>
      <c r="I1164" s="139"/>
      <c r="J1164" s="140"/>
      <c r="K1164" s="136"/>
    </row>
    <row r="1165" spans="6:11" ht="13.2">
      <c r="F1165" s="138"/>
      <c r="G1165" s="2"/>
      <c r="H1165" s="139"/>
      <c r="I1165" s="139"/>
      <c r="J1165" s="140"/>
      <c r="K1165" s="136"/>
    </row>
    <row r="1166" spans="6:11" ht="13.2">
      <c r="F1166" s="138"/>
      <c r="G1166" s="2"/>
      <c r="H1166" s="139"/>
      <c r="I1166" s="139"/>
      <c r="J1166" s="140"/>
      <c r="K1166" s="136"/>
    </row>
    <row r="1167" spans="6:11" ht="13.2">
      <c r="F1167" s="138"/>
      <c r="G1167" s="2"/>
      <c r="H1167" s="139"/>
      <c r="I1167" s="139"/>
      <c r="J1167" s="140"/>
      <c r="K1167" s="136"/>
    </row>
    <row r="1168" spans="6:11" ht="13.2">
      <c r="F1168" s="138"/>
      <c r="G1168" s="2"/>
      <c r="H1168" s="139"/>
      <c r="I1168" s="139"/>
      <c r="J1168" s="140"/>
      <c r="K1168" s="136"/>
    </row>
    <row r="1169" spans="6:11" ht="13.2">
      <c r="F1169" s="138"/>
      <c r="G1169" s="2"/>
      <c r="H1169" s="139"/>
      <c r="I1169" s="139"/>
      <c r="J1169" s="140"/>
      <c r="K1169" s="136"/>
    </row>
    <row r="1170" spans="6:11" ht="13.2">
      <c r="F1170" s="138"/>
      <c r="G1170" s="2"/>
      <c r="H1170" s="139"/>
      <c r="I1170" s="139"/>
      <c r="J1170" s="140"/>
      <c r="K1170" s="136"/>
    </row>
    <row r="1171" spans="6:11" ht="13.2">
      <c r="F1171" s="138"/>
      <c r="G1171" s="2"/>
      <c r="H1171" s="139"/>
      <c r="I1171" s="139"/>
      <c r="J1171" s="140"/>
      <c r="K1171" s="136"/>
    </row>
    <row r="1172" spans="6:11" ht="13.2">
      <c r="F1172" s="138"/>
      <c r="G1172" s="2"/>
      <c r="H1172" s="139"/>
      <c r="I1172" s="139"/>
      <c r="J1172" s="140"/>
      <c r="K1172" s="136"/>
    </row>
    <row r="1173" spans="6:11" ht="13.2">
      <c r="F1173" s="138"/>
      <c r="G1173" s="2"/>
      <c r="H1173" s="139"/>
      <c r="I1173" s="139"/>
      <c r="J1173" s="140"/>
      <c r="K1173" s="136"/>
    </row>
    <row r="1174" spans="6:11" ht="13.2">
      <c r="F1174" s="138"/>
      <c r="G1174" s="2"/>
      <c r="H1174" s="139"/>
      <c r="I1174" s="139"/>
      <c r="J1174" s="140"/>
      <c r="K1174" s="136"/>
    </row>
    <row r="1175" spans="6:11" ht="13.2">
      <c r="F1175" s="138"/>
      <c r="G1175" s="2"/>
      <c r="H1175" s="139"/>
      <c r="I1175" s="139"/>
      <c r="J1175" s="140"/>
      <c r="K1175" s="136"/>
    </row>
    <row r="1176" spans="6:11" ht="13.2">
      <c r="F1176" s="138"/>
      <c r="G1176" s="2"/>
      <c r="H1176" s="139"/>
      <c r="I1176" s="139"/>
      <c r="J1176" s="140"/>
      <c r="K1176" s="136"/>
    </row>
  </sheetData>
  <autoFilter ref="B2:K236" xr:uid="{00000000-0009-0000-0000-00000B000000}"/>
  <mergeCells count="8">
    <mergeCell ref="A209:A230"/>
    <mergeCell ref="A231:A263"/>
    <mergeCell ref="A274:A279"/>
    <mergeCell ref="B1:K1"/>
    <mergeCell ref="A3:A21"/>
    <mergeCell ref="A22:A28"/>
    <mergeCell ref="A29:A42"/>
    <mergeCell ref="A43:A208"/>
  </mergeCells>
  <conditionalFormatting sqref="I2:I1176">
    <cfRule type="cellIs" dxfId="3" priority="1" operator="lessThanOrEqual">
      <formula>0</formula>
    </cfRule>
    <cfRule type="cellIs" dxfId="2" priority="2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  <outlinePr summaryBelow="0" summaryRight="0"/>
  </sheetPr>
  <dimension ref="A1:AE1176"/>
  <sheetViews>
    <sheetView workbookViewId="0"/>
  </sheetViews>
  <sheetFormatPr defaultColWidth="12.6640625" defaultRowHeight="15.75" customHeight="1"/>
  <cols>
    <col min="3" max="3" width="15.109375" customWidth="1"/>
    <col min="4" max="4" width="35.109375" customWidth="1"/>
    <col min="7" max="7" width="16.88671875" customWidth="1"/>
    <col min="8" max="8" width="22" customWidth="1"/>
    <col min="11" max="12" width="18.21875" customWidth="1"/>
  </cols>
  <sheetData>
    <row r="1" spans="1:12" ht="19.2">
      <c r="A1" s="92"/>
      <c r="B1" s="384" t="s">
        <v>380</v>
      </c>
      <c r="C1" s="385"/>
      <c r="D1" s="385"/>
      <c r="E1" s="385"/>
      <c r="F1" s="385"/>
      <c r="G1" s="385"/>
      <c r="H1" s="385"/>
      <c r="I1" s="385"/>
      <c r="J1" s="385"/>
      <c r="K1" s="385"/>
      <c r="L1" s="386"/>
    </row>
    <row r="2" spans="1:12" ht="13.2">
      <c r="A2" s="94"/>
      <c r="B2" s="95" t="s">
        <v>381</v>
      </c>
      <c r="C2" s="94" t="s">
        <v>382</v>
      </c>
      <c r="D2" s="94" t="s">
        <v>383</v>
      </c>
      <c r="E2" s="94" t="s">
        <v>384</v>
      </c>
      <c r="F2" s="97" t="s">
        <v>336</v>
      </c>
      <c r="G2" s="96" t="s">
        <v>2130</v>
      </c>
      <c r="H2" s="95" t="s">
        <v>2131</v>
      </c>
      <c r="I2" s="95" t="s">
        <v>337</v>
      </c>
      <c r="J2" s="98" t="s">
        <v>338</v>
      </c>
      <c r="K2" s="99" t="s">
        <v>386</v>
      </c>
      <c r="L2" s="96" t="s">
        <v>387</v>
      </c>
    </row>
    <row r="3" spans="1:12" ht="13.2">
      <c r="A3" s="387" t="s">
        <v>391</v>
      </c>
      <c r="B3" s="101">
        <v>1</v>
      </c>
      <c r="C3" s="28" t="s">
        <v>392</v>
      </c>
      <c r="D3" s="28" t="s">
        <v>393</v>
      </c>
      <c r="E3" s="101" t="s">
        <v>394</v>
      </c>
      <c r="F3" s="102">
        <f>+ SUMIF('Nhập kho T42024'!B:B, C3,'Nhập kho T42024'!F:F)</f>
        <v>4</v>
      </c>
      <c r="G3" s="100">
        <f>+ (SUMIF('Nhập kho T42024'!B:B, C3,'Nhập kho T42024'!G:G))*3500</f>
        <v>170240</v>
      </c>
      <c r="H3" s="101">
        <f>+ SUMIF(D:D, C3,'Xuất kho'!J:J)</f>
        <v>0</v>
      </c>
      <c r="I3" s="101">
        <f>+ SUMIF('Doanh thu'!A:A, C3,'Doanh thu'!E:E)</f>
        <v>4</v>
      </c>
      <c r="J3" s="101">
        <f>F3-I3</f>
        <v>0</v>
      </c>
      <c r="K3" s="103">
        <f t="shared" ref="K3:K257" si="0">SUM(L3)</f>
        <v>404600</v>
      </c>
      <c r="L3" s="104">
        <f>+ SUMIF('Doanh thu'!A:A, C3,'Doanh thu'!F:F)</f>
        <v>404600</v>
      </c>
    </row>
    <row r="4" spans="1:12" ht="13.2">
      <c r="A4" s="372"/>
      <c r="B4" s="101">
        <v>1</v>
      </c>
      <c r="C4" s="28" t="s">
        <v>395</v>
      </c>
      <c r="D4" s="28" t="s">
        <v>396</v>
      </c>
      <c r="E4" s="101" t="s">
        <v>394</v>
      </c>
      <c r="F4" s="102">
        <f>+ SUMIF('Nhập kho T42024'!B:B, C4,'Nhập kho T42024'!F:F)</f>
        <v>6</v>
      </c>
      <c r="G4" s="100">
        <f>+ (SUMIF('Nhập kho T42024'!B:B, C4,'Nhập kho T42024'!G:G))*3500</f>
        <v>209964.99999999997</v>
      </c>
      <c r="H4" s="101">
        <f>+ SUMIF('Xuất kho'!D:D, C4,'Xuất kho'!J:J)</f>
        <v>0</v>
      </c>
      <c r="I4" s="101">
        <f>+ SUMIF('Doanh thu'!A:A, C4,'Doanh thu'!E:E)</f>
        <v>6</v>
      </c>
      <c r="J4" s="101">
        <f>F4-I4+1</f>
        <v>1</v>
      </c>
      <c r="K4" s="103">
        <f t="shared" si="0"/>
        <v>469200</v>
      </c>
      <c r="L4" s="104">
        <f>+ SUMIF('Doanh thu'!A:A, C4,'Doanh thu'!F:F)</f>
        <v>469200</v>
      </c>
    </row>
    <row r="5" spans="1:12" ht="13.2">
      <c r="A5" s="372"/>
      <c r="B5" s="101">
        <v>1</v>
      </c>
      <c r="C5" s="28" t="s">
        <v>397</v>
      </c>
      <c r="D5" s="28" t="s">
        <v>398</v>
      </c>
      <c r="E5" s="101" t="s">
        <v>394</v>
      </c>
      <c r="F5" s="102">
        <f>+ SUMIF('Nhập kho T42024'!B:B, C5,'Nhập kho T42024'!F:F)</f>
        <v>4</v>
      </c>
      <c r="G5" s="100">
        <f>+ (SUMIF('Nhập kho T42024'!B:B, C5,'Nhập kho T42024'!G:G))*3500</f>
        <v>170240</v>
      </c>
      <c r="H5" s="101">
        <f>+ SUMIF('Xuất kho'!D:D, C5,'Xuất kho'!J:J)</f>
        <v>201760</v>
      </c>
      <c r="I5" s="101">
        <f>+ SUMIF('Doanh thu'!A:A, C5,'Doanh thu'!E:E)</f>
        <v>7</v>
      </c>
      <c r="J5" s="101">
        <f>F5-I5+3</f>
        <v>0</v>
      </c>
      <c r="K5" s="103">
        <f t="shared" si="0"/>
        <v>708050</v>
      </c>
      <c r="L5" s="104">
        <f>+ SUMIF('Doanh thu'!A:A, C5,'Doanh thu'!F:F)</f>
        <v>708050</v>
      </c>
    </row>
    <row r="6" spans="1:12" ht="13.2">
      <c r="A6" s="372"/>
      <c r="B6" s="101">
        <v>1</v>
      </c>
      <c r="C6" s="28" t="s">
        <v>399</v>
      </c>
      <c r="D6" s="28" t="s">
        <v>400</v>
      </c>
      <c r="E6" s="101" t="s">
        <v>394</v>
      </c>
      <c r="F6" s="102">
        <f>+ SUMIF('Nhập kho T42024'!B:B, C6,'Nhập kho T42024'!F:F)</f>
        <v>6</v>
      </c>
      <c r="G6" s="100">
        <f>+ (SUMIF('Nhập kho T42024'!B:B, C6,'Nhập kho T42024'!G:G))*3500</f>
        <v>209964.99999999997</v>
      </c>
      <c r="H6" s="101">
        <f>+ SUMIF('Xuất kho'!D:D, C6,'Xuất kho'!J:J)</f>
        <v>0</v>
      </c>
      <c r="I6" s="101">
        <f>+ SUMIF('Doanh thu'!A:A, C6,'Doanh thu'!E:E)</f>
        <v>3</v>
      </c>
      <c r="J6" s="101">
        <f>F6-I6</f>
        <v>3</v>
      </c>
      <c r="K6" s="103">
        <f t="shared" si="0"/>
        <v>234600</v>
      </c>
      <c r="L6" s="104">
        <f>+ SUMIF('Doanh thu'!A:A, C6,'Doanh thu'!F:F)</f>
        <v>234600</v>
      </c>
    </row>
    <row r="7" spans="1:12" ht="13.2">
      <c r="A7" s="372"/>
      <c r="B7" s="101">
        <v>1</v>
      </c>
      <c r="C7" s="28" t="s">
        <v>401</v>
      </c>
      <c r="D7" s="28" t="s">
        <v>2119</v>
      </c>
      <c r="E7" s="101" t="s">
        <v>394</v>
      </c>
      <c r="F7" s="102">
        <f>+ SUMIF('Nhập kho T42024'!B:B, C7,'Nhập kho T42024'!F:F)</f>
        <v>3</v>
      </c>
      <c r="G7" s="100">
        <f>+ (SUMIF('Nhập kho T42024'!B:B, C7,'Nhập kho T42024'!G:G))*3500</f>
        <v>119385</v>
      </c>
      <c r="H7" s="101">
        <f>+ SUMIF('Xuất kho'!D:D, C7,'Xuất kho'!J:J)</f>
        <v>201760</v>
      </c>
      <c r="I7" s="101">
        <f>+ SUMIF('Doanh thu'!A:A, C7,'Doanh thu'!E:E)</f>
        <v>7</v>
      </c>
      <c r="J7" s="101">
        <f>F7-I7+3</f>
        <v>-1</v>
      </c>
      <c r="K7" s="103">
        <f t="shared" si="0"/>
        <v>708050</v>
      </c>
      <c r="L7" s="104">
        <f>+ SUMIF('Doanh thu'!A:A, C7,'Doanh thu'!F:F)</f>
        <v>708050</v>
      </c>
    </row>
    <row r="8" spans="1:12" ht="13.2">
      <c r="A8" s="372"/>
      <c r="B8" s="101">
        <v>1</v>
      </c>
      <c r="C8" s="28" t="s">
        <v>403</v>
      </c>
      <c r="D8" s="28" t="s">
        <v>417</v>
      </c>
      <c r="E8" s="101" t="s">
        <v>394</v>
      </c>
      <c r="F8" s="102">
        <f>+ SUMIF('Nhập kho T42024'!B:B, C8,'Nhập kho T42024'!F:F)</f>
        <v>6</v>
      </c>
      <c r="G8" s="100">
        <f>+ (SUMIF('Nhập kho T42024'!B:B, C8,'Nhập kho T42024'!G:G))*3500</f>
        <v>209964.99999999997</v>
      </c>
      <c r="H8" s="101">
        <f>+ SUMIF('Xuất kho'!D:D, C8,'Xuất kho'!J:J)</f>
        <v>0</v>
      </c>
      <c r="I8" s="101">
        <f>+ SUMIF('Doanh thu'!A:A, C8,'Doanh thu'!E:E)</f>
        <v>0</v>
      </c>
      <c r="J8" s="101">
        <f>F8-I8</f>
        <v>6</v>
      </c>
      <c r="K8" s="103">
        <f t="shared" si="0"/>
        <v>0</v>
      </c>
      <c r="L8" s="104">
        <f>+ SUMIF('Doanh thu'!A:A, C8,'Doanh thu'!F:F)</f>
        <v>0</v>
      </c>
    </row>
    <row r="9" spans="1:12" ht="13.2">
      <c r="A9" s="372"/>
      <c r="B9" s="101">
        <v>1</v>
      </c>
      <c r="C9" s="28" t="s">
        <v>405</v>
      </c>
      <c r="D9" s="28" t="s">
        <v>2120</v>
      </c>
      <c r="E9" s="101" t="s">
        <v>394</v>
      </c>
      <c r="F9" s="102">
        <f>+ SUMIF('Nhập kho T42024'!B:B, C9,'Nhập kho T42024'!F:F)</f>
        <v>5</v>
      </c>
      <c r="G9" s="100">
        <f>+ (SUMIF('Nhập kho T42024'!B:B, C9,'Nhập kho T42024'!G:G))*3500</f>
        <v>209685</v>
      </c>
      <c r="H9" s="101">
        <f>+ SUMIF('Xuất kho'!D:D, C9,'Xuất kho'!J:J)</f>
        <v>151320</v>
      </c>
      <c r="I9" s="101">
        <f>+ SUMIF('Doanh thu'!A:A, C9,'Doanh thu'!E:E)</f>
        <v>9</v>
      </c>
      <c r="J9" s="101">
        <f>F9-I9+1</f>
        <v>-3</v>
      </c>
      <c r="K9" s="103">
        <f t="shared" si="0"/>
        <v>910350</v>
      </c>
      <c r="L9" s="104">
        <f>+ SUMIF('Doanh thu'!A:A, C9,'Doanh thu'!F:F)</f>
        <v>910350</v>
      </c>
    </row>
    <row r="10" spans="1:12" ht="13.2">
      <c r="A10" s="372"/>
      <c r="B10" s="101">
        <v>1</v>
      </c>
      <c r="C10" s="28" t="s">
        <v>407</v>
      </c>
      <c r="D10" s="28" t="s">
        <v>419</v>
      </c>
      <c r="E10" s="101" t="s">
        <v>394</v>
      </c>
      <c r="F10" s="102">
        <f>+ SUMIF('Nhập kho T42024'!B:B, C10,'Nhập kho T42024'!F:F)</f>
        <v>3</v>
      </c>
      <c r="G10" s="100">
        <f>+ (SUMIF('Nhập kho T42024'!B:B, C10,'Nhập kho T42024'!G:G))*3500</f>
        <v>107485</v>
      </c>
      <c r="H10" s="101">
        <f>+ SUMIF('Xuất kho'!D:D, C10,'Xuất kho'!J:J)</f>
        <v>0</v>
      </c>
      <c r="I10" s="101">
        <f>+ SUMIF('Doanh thu'!A:A, C10,'Doanh thu'!E:E)</f>
        <v>4</v>
      </c>
      <c r="J10" s="101">
        <f>F10-I10+3</f>
        <v>2</v>
      </c>
      <c r="K10" s="103">
        <f t="shared" si="0"/>
        <v>312800</v>
      </c>
      <c r="L10" s="104">
        <f>+ SUMIF('Doanh thu'!A:A, C10,'Doanh thu'!F:F)</f>
        <v>312800</v>
      </c>
    </row>
    <row r="11" spans="1:12" ht="13.2">
      <c r="A11" s="372"/>
      <c r="B11" s="101">
        <v>1</v>
      </c>
      <c r="C11" s="28" t="s">
        <v>409</v>
      </c>
      <c r="D11" s="28" t="s">
        <v>2121</v>
      </c>
      <c r="E11" s="101" t="s">
        <v>394</v>
      </c>
      <c r="F11" s="102">
        <f>+ SUMIF('Nhập kho T42024'!B:B, C11,'Nhập kho T42024'!F:F)</f>
        <v>5</v>
      </c>
      <c r="G11" s="100">
        <f>+ (SUMIF('Nhập kho T42024'!B:B, C11,'Nhập kho T42024'!G:G))*3500</f>
        <v>210734.99999999997</v>
      </c>
      <c r="H11" s="101">
        <f>+ SUMIF('Xuất kho'!D:D, C11,'Xuất kho'!J:J)</f>
        <v>201760</v>
      </c>
      <c r="I11" s="101">
        <f>+ SUMIF('Doanh thu'!A:A, C11,'Doanh thu'!E:E)</f>
        <v>4</v>
      </c>
      <c r="J11" s="101">
        <f>F11-I11-1</f>
        <v>0</v>
      </c>
      <c r="K11" s="103">
        <f t="shared" si="0"/>
        <v>406000</v>
      </c>
      <c r="L11" s="104">
        <f>+ SUMIF('Doanh thu'!A:A, C11,'Doanh thu'!F:F)</f>
        <v>406000</v>
      </c>
    </row>
    <row r="12" spans="1:12" ht="13.2">
      <c r="A12" s="372"/>
      <c r="B12" s="101">
        <v>1</v>
      </c>
      <c r="C12" s="28" t="s">
        <v>411</v>
      </c>
      <c r="D12" s="28" t="s">
        <v>421</v>
      </c>
      <c r="E12" s="101" t="s">
        <v>394</v>
      </c>
      <c r="F12" s="102">
        <f>+ SUMIF('Nhập kho T42024'!B:B, C12,'Nhập kho T42024'!F:F)</f>
        <v>5</v>
      </c>
      <c r="G12" s="100">
        <f>+ (SUMIF('Nhập kho T42024'!B:B, C12,'Nhập kho T42024'!G:G))*3500</f>
        <v>169925</v>
      </c>
      <c r="H12" s="101">
        <f>+ SUMIF('Xuất kho'!D:D, C12,'Xuất kho'!J:J)</f>
        <v>0</v>
      </c>
      <c r="I12" s="101">
        <f>+ SUMIF('Doanh thu'!A:A, C12,'Doanh thu'!E:E)</f>
        <v>2</v>
      </c>
      <c r="J12" s="101">
        <f>F12-I12+1</f>
        <v>4</v>
      </c>
      <c r="K12" s="103">
        <f t="shared" si="0"/>
        <v>156400</v>
      </c>
      <c r="L12" s="104">
        <f>+ SUMIF('Doanh thu'!A:A, C12,'Doanh thu'!F:F)</f>
        <v>156400</v>
      </c>
    </row>
    <row r="13" spans="1:12" ht="13.2">
      <c r="A13" s="372"/>
      <c r="B13" s="101">
        <v>1</v>
      </c>
      <c r="C13" s="28" t="s">
        <v>413</v>
      </c>
      <c r="D13" s="28" t="s">
        <v>396</v>
      </c>
      <c r="E13" s="101" t="s">
        <v>394</v>
      </c>
      <c r="F13" s="102">
        <f>+ SUMIF('Nhập kho T42024'!B:B, C13,'Nhập kho T42024'!F:F)</f>
        <v>0</v>
      </c>
      <c r="G13" s="100">
        <f>+ (SUMIF('Nhập kho T42024'!B:B, C13,'Nhập kho T42024'!G:G))*3500</f>
        <v>0</v>
      </c>
      <c r="H13" s="101"/>
      <c r="I13" s="101">
        <f>+ SUMIF('Doanh thu'!A:A, C13,'Doanh thu'!E:E)</f>
        <v>0</v>
      </c>
      <c r="J13" s="101">
        <f t="shared" ref="J13:J17" si="1">F13-I13</f>
        <v>0</v>
      </c>
      <c r="K13" s="103">
        <f t="shared" si="0"/>
        <v>0</v>
      </c>
      <c r="L13" s="104">
        <f>+ SUMIF('Doanh thu'!A:A, C13,'Doanh thu'!F:F)</f>
        <v>0</v>
      </c>
    </row>
    <row r="14" spans="1:12" ht="13.2">
      <c r="A14" s="372"/>
      <c r="B14" s="101">
        <v>1</v>
      </c>
      <c r="C14" s="28" t="s">
        <v>414</v>
      </c>
      <c r="D14" s="28" t="s">
        <v>415</v>
      </c>
      <c r="E14" s="101" t="s">
        <v>394</v>
      </c>
      <c r="F14" s="102">
        <f>+ SUMIF('Nhập kho T42024'!B:B, C14,'Nhập kho T42024'!F:F)</f>
        <v>0</v>
      </c>
      <c r="G14" s="100">
        <f>+ (SUMIF('Nhập kho T42024'!B:B, C14,'Nhập kho T42024'!G:G))*3500</f>
        <v>0</v>
      </c>
      <c r="H14" s="101"/>
      <c r="I14" s="101">
        <f>+ SUMIF('Doanh thu'!A:A, C14,'Doanh thu'!E:E)</f>
        <v>0</v>
      </c>
      <c r="J14" s="101">
        <f t="shared" si="1"/>
        <v>0</v>
      </c>
      <c r="K14" s="103">
        <f t="shared" si="0"/>
        <v>0</v>
      </c>
      <c r="L14" s="104">
        <f>+ SUMIF('Doanh thu'!A:A, C14,'Doanh thu'!F:F)</f>
        <v>0</v>
      </c>
    </row>
    <row r="15" spans="1:12" ht="13.2">
      <c r="A15" s="372"/>
      <c r="B15" s="101">
        <v>1</v>
      </c>
      <c r="C15" s="28" t="s">
        <v>416</v>
      </c>
      <c r="D15" s="28" t="s">
        <v>417</v>
      </c>
      <c r="E15" s="101" t="s">
        <v>394</v>
      </c>
      <c r="F15" s="102">
        <f>+ SUMIF('Nhập kho T42024'!B:B, C15,'Nhập kho T42024'!F:F)</f>
        <v>0</v>
      </c>
      <c r="G15" s="100">
        <f>+ (SUMIF('Nhập kho T42024'!B:B, C15,'Nhập kho T42024'!G:G))*3500</f>
        <v>0</v>
      </c>
      <c r="H15" s="101"/>
      <c r="I15" s="101">
        <f>+ SUMIF('Doanh thu'!A:A, C15,'Doanh thu'!E:E)</f>
        <v>0</v>
      </c>
      <c r="J15" s="101">
        <f t="shared" si="1"/>
        <v>0</v>
      </c>
      <c r="K15" s="103">
        <f t="shared" si="0"/>
        <v>0</v>
      </c>
      <c r="L15" s="104">
        <f>+ SUMIF('Doanh thu'!A:A, C15,'Doanh thu'!F:F)</f>
        <v>0</v>
      </c>
    </row>
    <row r="16" spans="1:12" ht="13.2">
      <c r="A16" s="372"/>
      <c r="B16" s="101">
        <v>1</v>
      </c>
      <c r="C16" s="28" t="s">
        <v>418</v>
      </c>
      <c r="D16" s="28" t="s">
        <v>419</v>
      </c>
      <c r="E16" s="101" t="s">
        <v>394</v>
      </c>
      <c r="F16" s="102">
        <f>+ SUMIF('Nhập kho T42024'!B:B, C16,'Nhập kho T42024'!F:F)</f>
        <v>0</v>
      </c>
      <c r="G16" s="100">
        <f>+ (SUMIF('Nhập kho T42024'!B:B, C16,'Nhập kho T42024'!G:G))*3500</f>
        <v>0</v>
      </c>
      <c r="H16" s="101"/>
      <c r="I16" s="101">
        <f>+ SUMIF('Doanh thu'!A:A, C16,'Doanh thu'!E:E)</f>
        <v>0</v>
      </c>
      <c r="J16" s="101">
        <f t="shared" si="1"/>
        <v>0</v>
      </c>
      <c r="K16" s="103">
        <f t="shared" si="0"/>
        <v>0</v>
      </c>
      <c r="L16" s="104">
        <f>+ SUMIF('Doanh thu'!A:A, C16,'Doanh thu'!F:F)</f>
        <v>0</v>
      </c>
    </row>
    <row r="17" spans="1:12" ht="13.2">
      <c r="A17" s="372"/>
      <c r="B17" s="101">
        <v>1</v>
      </c>
      <c r="C17" s="28" t="s">
        <v>420</v>
      </c>
      <c r="D17" s="28" t="s">
        <v>421</v>
      </c>
      <c r="E17" s="101" t="s">
        <v>394</v>
      </c>
      <c r="F17" s="102">
        <f>+ SUMIF('Nhập kho T42024'!B:B, C17,'Nhập kho T42024'!F:F)</f>
        <v>0</v>
      </c>
      <c r="G17" s="100">
        <f>+ (SUMIF('Nhập kho T42024'!B:B, C17,'Nhập kho T42024'!G:G))*3500</f>
        <v>0</v>
      </c>
      <c r="H17" s="101"/>
      <c r="I17" s="101">
        <f>+ SUMIF('Doanh thu'!A:A, C17,'Doanh thu'!E:E)</f>
        <v>0</v>
      </c>
      <c r="J17" s="101">
        <f t="shared" si="1"/>
        <v>0</v>
      </c>
      <c r="K17" s="103">
        <f t="shared" si="0"/>
        <v>0</v>
      </c>
      <c r="L17" s="104">
        <f>+ SUMIF('Doanh thu'!A:A, C17,'Doanh thu'!F:F)</f>
        <v>0</v>
      </c>
    </row>
    <row r="18" spans="1:12" ht="13.2">
      <c r="A18" s="372"/>
      <c r="B18" s="101">
        <v>1</v>
      </c>
      <c r="C18" s="45" t="s">
        <v>422</v>
      </c>
      <c r="D18" s="45" t="s">
        <v>423</v>
      </c>
      <c r="E18" s="105" t="s">
        <v>394</v>
      </c>
      <c r="F18" s="102">
        <f>+ SUMIF('Nhập kho T42024'!B:B, C18,'Nhập kho T42024'!F:F)</f>
        <v>0</v>
      </c>
      <c r="G18" s="100">
        <f>+ (SUMIF('Nhập kho T42024'!B:B, C18,'Nhập kho T42024'!G:G))*3500</f>
        <v>0</v>
      </c>
      <c r="H18" s="101"/>
      <c r="I18" s="101">
        <f>+ SUMIF('Doanh thu'!A:A, C18,'Doanh thu'!E:E)</f>
        <v>8</v>
      </c>
      <c r="J18" s="101">
        <f>F18-I18+8</f>
        <v>0</v>
      </c>
      <c r="K18" s="103">
        <f t="shared" si="0"/>
        <v>578000</v>
      </c>
      <c r="L18" s="104">
        <f>+ SUMIF('Doanh thu'!A:A, C18,'Doanh thu'!F:F)</f>
        <v>578000</v>
      </c>
    </row>
    <row r="19" spans="1:12" ht="13.2">
      <c r="A19" s="372"/>
      <c r="B19" s="101">
        <v>1</v>
      </c>
      <c r="C19" s="45" t="s">
        <v>424</v>
      </c>
      <c r="D19" s="45" t="s">
        <v>425</v>
      </c>
      <c r="E19" s="105" t="s">
        <v>394</v>
      </c>
      <c r="F19" s="102">
        <f>+ SUMIF('Nhập kho T42024'!B:B, C19,'Nhập kho T42024'!F:F)</f>
        <v>0</v>
      </c>
      <c r="G19" s="100">
        <f>+ (SUMIF('Nhập kho T42024'!B:B, C19,'Nhập kho T42024'!G:G))*3500</f>
        <v>0</v>
      </c>
      <c r="H19" s="101"/>
      <c r="I19" s="101">
        <f>+ SUMIF('Doanh thu'!A:A, C19,'Doanh thu'!E:E)</f>
        <v>5</v>
      </c>
      <c r="J19" s="101">
        <f>F19-I19+6</f>
        <v>1</v>
      </c>
      <c r="K19" s="103">
        <f t="shared" si="0"/>
        <v>361250</v>
      </c>
      <c r="L19" s="104">
        <f>+ SUMIF('Doanh thu'!A:A, C19,'Doanh thu'!F:F)</f>
        <v>361250</v>
      </c>
    </row>
    <row r="20" spans="1:12" ht="13.2">
      <c r="A20" s="372"/>
      <c r="B20" s="101">
        <v>1</v>
      </c>
      <c r="C20" s="45" t="s">
        <v>426</v>
      </c>
      <c r="D20" s="45" t="s">
        <v>427</v>
      </c>
      <c r="E20" s="105" t="s">
        <v>394</v>
      </c>
      <c r="F20" s="102">
        <f>+ SUMIF('Nhập kho T42024'!B:B, C20,'Nhập kho T42024'!F:F)</f>
        <v>0</v>
      </c>
      <c r="G20" s="100">
        <f>+ (SUMIF('Nhập kho T42024'!B:B, C20,'Nhập kho T42024'!G:G))*3500</f>
        <v>0</v>
      </c>
      <c r="H20" s="101"/>
      <c r="I20" s="101">
        <f>+ SUMIF('Doanh thu'!A:A, C20,'Doanh thu'!E:E)</f>
        <v>9</v>
      </c>
      <c r="J20" s="101">
        <f>F20-I20+9</f>
        <v>0</v>
      </c>
      <c r="K20" s="103">
        <f t="shared" si="0"/>
        <v>650250</v>
      </c>
      <c r="L20" s="104">
        <f>+ SUMIF('Doanh thu'!A:A, C20,'Doanh thu'!F:F)</f>
        <v>650250</v>
      </c>
    </row>
    <row r="21" spans="1:12" ht="13.2">
      <c r="A21" s="373"/>
      <c r="B21" s="101">
        <v>1</v>
      </c>
      <c r="C21" s="45" t="s">
        <v>428</v>
      </c>
      <c r="D21" s="45" t="s">
        <v>429</v>
      </c>
      <c r="E21" s="105" t="s">
        <v>394</v>
      </c>
      <c r="F21" s="102">
        <f>+ SUMIF('Nhập kho T42024'!B:B, C21,'Nhập kho T42024'!F:F)</f>
        <v>0</v>
      </c>
      <c r="G21" s="100">
        <f>+ (SUMIF('Nhập kho T42024'!B:B, C21,'Nhập kho T42024'!G:G))*3500</f>
        <v>0</v>
      </c>
      <c r="H21" s="101"/>
      <c r="I21" s="101">
        <f>+ SUMIF('Doanh thu'!A:A, C21,'Doanh thu'!E:E)</f>
        <v>0</v>
      </c>
      <c r="J21" s="101">
        <f t="shared" ref="J21:J28" si="2">F21-I21</f>
        <v>0</v>
      </c>
      <c r="K21" s="103">
        <f t="shared" si="0"/>
        <v>0</v>
      </c>
      <c r="L21" s="104">
        <f>+ SUMIF('Doanh thu'!A:A, C21,'Doanh thu'!F:F)</f>
        <v>0</v>
      </c>
    </row>
    <row r="22" spans="1:12" ht="13.2">
      <c r="A22" s="388" t="s">
        <v>430</v>
      </c>
      <c r="B22" s="101">
        <v>1</v>
      </c>
      <c r="C22" s="106" t="s">
        <v>431</v>
      </c>
      <c r="D22" s="106" t="s">
        <v>2122</v>
      </c>
      <c r="E22" s="107" t="s">
        <v>432</v>
      </c>
      <c r="F22" s="102">
        <f>+ SUMIF('Nhập kho T42024'!B:B, C22,'Nhập kho T42024'!F:F)</f>
        <v>70</v>
      </c>
      <c r="G22" s="100">
        <f>+ (SUMIF('Nhập kho T42024'!B:B, C22,'Nhập kho T42024'!G:G))*3500</f>
        <v>0</v>
      </c>
      <c r="H22" s="101"/>
      <c r="I22" s="101">
        <f>+ SUMIF('Doanh thu'!A:A, C22,'Doanh thu'!E:E)</f>
        <v>1</v>
      </c>
      <c r="J22" s="101">
        <f t="shared" si="2"/>
        <v>69</v>
      </c>
      <c r="K22" s="103">
        <f t="shared" si="0"/>
        <v>14500</v>
      </c>
      <c r="L22" s="104">
        <f>+ SUMIF('Doanh thu'!A:A, C22,'Doanh thu'!F:F)</f>
        <v>14500</v>
      </c>
    </row>
    <row r="23" spans="1:12" ht="13.2">
      <c r="A23" s="372"/>
      <c r="B23" s="101">
        <v>1</v>
      </c>
      <c r="C23" s="106" t="s">
        <v>433</v>
      </c>
      <c r="D23" s="106" t="s">
        <v>2123</v>
      </c>
      <c r="E23" s="107" t="s">
        <v>432</v>
      </c>
      <c r="F23" s="102">
        <f>+ SUMIF('Nhập kho T42024'!B:B, C23,'Nhập kho T42024'!F:F)</f>
        <v>70</v>
      </c>
      <c r="G23" s="100">
        <f>+ (SUMIF('Nhập kho T42024'!B:B, C23,'Nhập kho T42024'!G:G))*3500</f>
        <v>0</v>
      </c>
      <c r="H23" s="101"/>
      <c r="I23" s="101">
        <f>+ SUMIF('Doanh thu'!A:A, C23,'Doanh thu'!E:E)</f>
        <v>6</v>
      </c>
      <c r="J23" s="101">
        <f t="shared" si="2"/>
        <v>64</v>
      </c>
      <c r="K23" s="103">
        <f t="shared" si="0"/>
        <v>87000</v>
      </c>
      <c r="L23" s="104">
        <f>+ SUMIF('Doanh thu'!A:A, C23,'Doanh thu'!F:F)</f>
        <v>87000</v>
      </c>
    </row>
    <row r="24" spans="1:12" ht="13.2">
      <c r="A24" s="372"/>
      <c r="B24" s="101">
        <v>1</v>
      </c>
      <c r="C24" s="106" t="s">
        <v>435</v>
      </c>
      <c r="D24" s="106" t="s">
        <v>2124</v>
      </c>
      <c r="E24" s="107" t="s">
        <v>436</v>
      </c>
      <c r="F24" s="102">
        <f>+ SUMIF('Nhập kho T42024'!B:B, C24,'Nhập kho T42024'!F:F)</f>
        <v>150</v>
      </c>
      <c r="G24" s="100">
        <f>+ (SUMIF('Nhập kho T42024'!B:B, C24,'Nhập kho T42024'!G:G))*3500</f>
        <v>0</v>
      </c>
      <c r="H24" s="101"/>
      <c r="I24" s="101">
        <f>+ SUMIF('Doanh thu'!A:A, C24,'Doanh thu'!E:E)</f>
        <v>14</v>
      </c>
      <c r="J24" s="101">
        <f t="shared" si="2"/>
        <v>136</v>
      </c>
      <c r="K24" s="103">
        <f t="shared" si="0"/>
        <v>203000</v>
      </c>
      <c r="L24" s="104">
        <f>+ SUMIF('Doanh thu'!A:A, C24,'Doanh thu'!F:F)</f>
        <v>203000</v>
      </c>
    </row>
    <row r="25" spans="1:12" ht="13.2">
      <c r="A25" s="372"/>
      <c r="B25" s="101">
        <v>1</v>
      </c>
      <c r="C25" s="106" t="s">
        <v>437</v>
      </c>
      <c r="D25" s="106" t="s">
        <v>2125</v>
      </c>
      <c r="E25" s="107" t="s">
        <v>436</v>
      </c>
      <c r="F25" s="102">
        <f>+ SUMIF('Nhập kho T42024'!B:B, C25,'Nhập kho T42024'!F:F)</f>
        <v>130</v>
      </c>
      <c r="G25" s="100">
        <f>+ (SUMIF('Nhập kho T42024'!B:B, C25,'Nhập kho T42024'!G:G))*3500</f>
        <v>0</v>
      </c>
      <c r="H25" s="101"/>
      <c r="I25" s="101">
        <f>+ SUMIF('Doanh thu'!A:A, C25,'Doanh thu'!E:E)</f>
        <v>2</v>
      </c>
      <c r="J25" s="101">
        <f t="shared" si="2"/>
        <v>128</v>
      </c>
      <c r="K25" s="103">
        <f t="shared" si="0"/>
        <v>29000</v>
      </c>
      <c r="L25" s="104">
        <f>+ SUMIF('Doanh thu'!A:A, C25,'Doanh thu'!F:F)</f>
        <v>29000</v>
      </c>
    </row>
    <row r="26" spans="1:12" ht="13.2">
      <c r="A26" s="372"/>
      <c r="B26" s="101">
        <v>1</v>
      </c>
      <c r="C26" s="106" t="s">
        <v>438</v>
      </c>
      <c r="D26" s="106" t="s">
        <v>2126</v>
      </c>
      <c r="E26" s="107" t="s">
        <v>436</v>
      </c>
      <c r="F26" s="102">
        <f>+ SUMIF('Nhập kho T42024'!B:B, C26,'Nhập kho T42024'!F:F)</f>
        <v>110</v>
      </c>
      <c r="G26" s="100">
        <f>+ (SUMIF('Nhập kho T42024'!B:B, C26,'Nhập kho T42024'!G:G))*3500</f>
        <v>0</v>
      </c>
      <c r="H26" s="101"/>
      <c r="I26" s="101">
        <f>+ SUMIF('Doanh thu'!A:A, C26,'Doanh thu'!E:E)</f>
        <v>4</v>
      </c>
      <c r="J26" s="101">
        <f t="shared" si="2"/>
        <v>106</v>
      </c>
      <c r="K26" s="103">
        <f t="shared" si="0"/>
        <v>58000</v>
      </c>
      <c r="L26" s="104">
        <f>+ SUMIF('Doanh thu'!A:A, C26,'Doanh thu'!F:F)</f>
        <v>58000</v>
      </c>
    </row>
    <row r="27" spans="1:12" ht="13.2">
      <c r="A27" s="372"/>
      <c r="B27" s="101">
        <v>1</v>
      </c>
      <c r="C27" s="106" t="s">
        <v>439</v>
      </c>
      <c r="D27" s="106" t="s">
        <v>2127</v>
      </c>
      <c r="E27" s="107" t="s">
        <v>436</v>
      </c>
      <c r="F27" s="102">
        <f>+ SUMIF('Nhập kho T42024'!B:B, C27,'Nhập kho T42024'!F:F)</f>
        <v>70</v>
      </c>
      <c r="G27" s="100">
        <f>+ (SUMIF('Nhập kho T42024'!B:B, C27,'Nhập kho T42024'!G:G))*3500</f>
        <v>0</v>
      </c>
      <c r="H27" s="101"/>
      <c r="I27" s="101">
        <f>+ SUMIF('Doanh thu'!A:A, C27,'Doanh thu'!E:E)</f>
        <v>8</v>
      </c>
      <c r="J27" s="101">
        <f t="shared" si="2"/>
        <v>62</v>
      </c>
      <c r="K27" s="103">
        <f t="shared" si="0"/>
        <v>116000</v>
      </c>
      <c r="L27" s="104">
        <f>+ SUMIF('Doanh thu'!A:A, C27,'Doanh thu'!F:F)</f>
        <v>116000</v>
      </c>
    </row>
    <row r="28" spans="1:12" ht="13.2">
      <c r="A28" s="373"/>
      <c r="B28" s="101">
        <v>1</v>
      </c>
      <c r="C28" s="106" t="s">
        <v>440</v>
      </c>
      <c r="D28" s="106" t="s">
        <v>2128</v>
      </c>
      <c r="E28" s="107" t="s">
        <v>436</v>
      </c>
      <c r="F28" s="102">
        <f>+ SUMIF('Nhập kho T42024'!B:B, C28,'Nhập kho T42024'!F:F)</f>
        <v>92</v>
      </c>
      <c r="G28" s="100">
        <f>+ (SUMIF('Nhập kho T42024'!B:B, C28,'Nhập kho T42024'!G:G))*3500</f>
        <v>0</v>
      </c>
      <c r="H28" s="101"/>
      <c r="I28" s="101">
        <f>+ SUMIF('Doanh thu'!A:A, C28,'Doanh thu'!E:E)</f>
        <v>0</v>
      </c>
      <c r="J28" s="101">
        <f t="shared" si="2"/>
        <v>92</v>
      </c>
      <c r="K28" s="103">
        <f t="shared" si="0"/>
        <v>0</v>
      </c>
      <c r="L28" s="104">
        <f>+ SUMIF('Doanh thu'!A:A, C28,'Doanh thu'!F:F)</f>
        <v>0</v>
      </c>
    </row>
    <row r="29" spans="1:12" ht="15" customHeight="1">
      <c r="A29" s="389" t="s">
        <v>441</v>
      </c>
      <c r="B29" s="101">
        <v>1</v>
      </c>
      <c r="C29" s="33" t="s">
        <v>442</v>
      </c>
      <c r="D29" s="33" t="s">
        <v>443</v>
      </c>
      <c r="E29" s="109" t="s">
        <v>444</v>
      </c>
      <c r="F29" s="102">
        <f>+ SUMIF('Nhập kho T42024'!B:B, C29,'Nhập kho T42024'!F:F)</f>
        <v>0</v>
      </c>
      <c r="G29" s="100">
        <f>+ (SUMIF('Nhập kho T42024'!B:B, C29,'Nhập kho T42024'!G:G))*3500</f>
        <v>0</v>
      </c>
      <c r="H29" s="101"/>
      <c r="I29" s="101">
        <f>+ SUMIF('Doanh thu'!A:A, C29,'Doanh thu'!E:E)</f>
        <v>0</v>
      </c>
      <c r="J29" s="101">
        <f t="shared" ref="J29:J30" si="3">F29-I29+3</f>
        <v>3</v>
      </c>
      <c r="K29" s="103">
        <f t="shared" si="0"/>
        <v>0</v>
      </c>
      <c r="L29" s="104">
        <f>+ SUMIF('Doanh thu'!A:A, C29,'Doanh thu'!F:F)</f>
        <v>0</v>
      </c>
    </row>
    <row r="30" spans="1:12" ht="15" customHeight="1">
      <c r="A30" s="372"/>
      <c r="B30" s="101">
        <v>1</v>
      </c>
      <c r="C30" s="33" t="s">
        <v>445</v>
      </c>
      <c r="D30" s="33" t="s">
        <v>446</v>
      </c>
      <c r="E30" s="109" t="s">
        <v>444</v>
      </c>
      <c r="F30" s="102">
        <f>+ SUMIF('Nhập kho T42024'!B:B, C30,'Nhập kho T42024'!F:F)</f>
        <v>0</v>
      </c>
      <c r="G30" s="100">
        <f>+ (SUMIF('Nhập kho T42024'!B:B, C30,'Nhập kho T42024'!G:G))*3500</f>
        <v>0</v>
      </c>
      <c r="H30" s="101"/>
      <c r="I30" s="101">
        <f>+ SUMIF('Doanh thu'!A:A, C30,'Doanh thu'!E:E)</f>
        <v>0</v>
      </c>
      <c r="J30" s="101">
        <f t="shared" si="3"/>
        <v>3</v>
      </c>
      <c r="K30" s="103">
        <f t="shared" si="0"/>
        <v>0</v>
      </c>
      <c r="L30" s="104">
        <f>+ SUMIF('Doanh thu'!A:A, C30,'Doanh thu'!F:F)</f>
        <v>0</v>
      </c>
    </row>
    <row r="31" spans="1:12" ht="15" customHeight="1">
      <c r="A31" s="372"/>
      <c r="B31" s="101">
        <v>1</v>
      </c>
      <c r="C31" s="33" t="s">
        <v>447</v>
      </c>
      <c r="D31" s="33" t="s">
        <v>448</v>
      </c>
      <c r="E31" s="109" t="s">
        <v>444</v>
      </c>
      <c r="F31" s="102">
        <f>+ SUMIF('Nhập kho T42024'!B:B, C31,'Nhập kho T42024'!F:F)</f>
        <v>0</v>
      </c>
      <c r="G31" s="100">
        <f>+ (SUMIF('Nhập kho T42024'!B:B, C31,'Nhập kho T42024'!G:G))*3500</f>
        <v>0</v>
      </c>
      <c r="H31" s="101"/>
      <c r="I31" s="101">
        <f>+ SUMIF('Doanh thu'!A:A, C31,'Doanh thu'!E:E)</f>
        <v>2</v>
      </c>
      <c r="J31" s="101">
        <f>F31-I31+2</f>
        <v>0</v>
      </c>
      <c r="K31" s="103">
        <f t="shared" si="0"/>
        <v>49800</v>
      </c>
      <c r="L31" s="104">
        <f>+ SUMIF('Doanh thu'!A:A, C31,'Doanh thu'!F:F)</f>
        <v>49800</v>
      </c>
    </row>
    <row r="32" spans="1:12" ht="15" customHeight="1">
      <c r="A32" s="372"/>
      <c r="B32" s="101">
        <v>1</v>
      </c>
      <c r="C32" s="33" t="s">
        <v>449</v>
      </c>
      <c r="D32" s="33" t="s">
        <v>450</v>
      </c>
      <c r="E32" s="109" t="s">
        <v>444</v>
      </c>
      <c r="F32" s="102">
        <f>+ SUMIF('Nhập kho T42024'!B:B, C32,'Nhập kho T42024'!F:F)</f>
        <v>0</v>
      </c>
      <c r="G32" s="100">
        <f>+ (SUMIF('Nhập kho T42024'!B:B, C32,'Nhập kho T42024'!G:G))*3500</f>
        <v>0</v>
      </c>
      <c r="H32" s="101"/>
      <c r="I32" s="101">
        <f>+ SUMIF('Doanh thu'!A:A, C32,'Doanh thu'!E:E)</f>
        <v>1</v>
      </c>
      <c r="J32" s="101">
        <f t="shared" ref="J32:J34" si="4">F32-I32+3</f>
        <v>2</v>
      </c>
      <c r="K32" s="103">
        <f t="shared" si="0"/>
        <v>24900</v>
      </c>
      <c r="L32" s="104">
        <f>+ SUMIF('Doanh thu'!A:A, C32,'Doanh thu'!F:F)</f>
        <v>24900</v>
      </c>
    </row>
    <row r="33" spans="1:12" ht="15" customHeight="1">
      <c r="A33" s="372"/>
      <c r="B33" s="101">
        <v>1</v>
      </c>
      <c r="C33" s="33" t="s">
        <v>451</v>
      </c>
      <c r="D33" s="33" t="s">
        <v>452</v>
      </c>
      <c r="E33" s="109" t="s">
        <v>444</v>
      </c>
      <c r="F33" s="102">
        <f>+ SUMIF('Nhập kho T42024'!B:B, C33,'Nhập kho T42024'!F:F)</f>
        <v>0</v>
      </c>
      <c r="G33" s="100">
        <f>+ (SUMIF('Nhập kho T42024'!B:B, C33,'Nhập kho T42024'!G:G))*3500</f>
        <v>0</v>
      </c>
      <c r="H33" s="101"/>
      <c r="I33" s="101">
        <f>+ SUMIF('Doanh thu'!A:A, C33,'Doanh thu'!E:E)</f>
        <v>1</v>
      </c>
      <c r="J33" s="101">
        <f t="shared" si="4"/>
        <v>2</v>
      </c>
      <c r="K33" s="103">
        <f t="shared" si="0"/>
        <v>23900</v>
      </c>
      <c r="L33" s="104">
        <f>+ SUMIF('Doanh thu'!A:A, C33,'Doanh thu'!F:F)</f>
        <v>23900</v>
      </c>
    </row>
    <row r="34" spans="1:12" ht="13.2">
      <c r="A34" s="372"/>
      <c r="B34" s="101">
        <v>1</v>
      </c>
      <c r="C34" s="33" t="s">
        <v>453</v>
      </c>
      <c r="D34" s="33" t="s">
        <v>454</v>
      </c>
      <c r="E34" s="109" t="s">
        <v>444</v>
      </c>
      <c r="F34" s="102">
        <f>+ SUMIF('Nhập kho T42024'!B:B, C34,'Nhập kho T42024'!F:F)</f>
        <v>0</v>
      </c>
      <c r="G34" s="100">
        <f>+ (SUMIF('Nhập kho T42024'!B:B, C34,'Nhập kho T42024'!G:G))*3500</f>
        <v>0</v>
      </c>
      <c r="H34" s="101"/>
      <c r="I34" s="101">
        <f>+ SUMIF('Doanh thu'!A:A, C34,'Doanh thu'!E:E)</f>
        <v>0</v>
      </c>
      <c r="J34" s="101">
        <f t="shared" si="4"/>
        <v>3</v>
      </c>
      <c r="K34" s="103">
        <f t="shared" si="0"/>
        <v>0</v>
      </c>
      <c r="L34" s="104">
        <f>+ SUMIF('Doanh thu'!A:A, C34,'Doanh thu'!F:F)</f>
        <v>0</v>
      </c>
    </row>
    <row r="35" spans="1:12" ht="13.2">
      <c r="A35" s="372"/>
      <c r="B35" s="101">
        <v>1</v>
      </c>
      <c r="C35" s="33" t="s">
        <v>455</v>
      </c>
      <c r="D35" s="33" t="s">
        <v>456</v>
      </c>
      <c r="E35" s="109" t="s">
        <v>444</v>
      </c>
      <c r="F35" s="102">
        <f>+ SUMIF('Nhập kho T42024'!B:B, C35,'Nhập kho T42024'!F:F)</f>
        <v>0</v>
      </c>
      <c r="G35" s="100">
        <f>+ (SUMIF('Nhập kho T42024'!B:B, C35,'Nhập kho T42024'!G:G))*3500</f>
        <v>0</v>
      </c>
      <c r="H35" s="101"/>
      <c r="I35" s="101">
        <f>+ SUMIF('Doanh thu'!A:A, C35,'Doanh thu'!E:E)</f>
        <v>0</v>
      </c>
      <c r="J35" s="101">
        <f t="shared" ref="J35:J36" si="5">F35-I35</f>
        <v>0</v>
      </c>
      <c r="K35" s="103">
        <f t="shared" si="0"/>
        <v>0</v>
      </c>
      <c r="L35" s="104">
        <f>+ SUMIF('Doanh thu'!A:A, C35,'Doanh thu'!F:F)</f>
        <v>0</v>
      </c>
    </row>
    <row r="36" spans="1:12" ht="13.2">
      <c r="A36" s="372"/>
      <c r="B36" s="101">
        <v>1</v>
      </c>
      <c r="C36" s="33" t="s">
        <v>457</v>
      </c>
      <c r="D36" s="33" t="s">
        <v>458</v>
      </c>
      <c r="E36" s="109" t="s">
        <v>444</v>
      </c>
      <c r="F36" s="102">
        <f>+ SUMIF('Nhập kho T42024'!B:B, C36,'Nhập kho T42024'!F:F)</f>
        <v>0</v>
      </c>
      <c r="G36" s="100">
        <f>+ (SUMIF('Nhập kho T42024'!B:B, C36,'Nhập kho T42024'!G:G))*3500</f>
        <v>0</v>
      </c>
      <c r="H36" s="101"/>
      <c r="I36" s="101">
        <f>+ SUMIF('Doanh thu'!A:A, C36,'Doanh thu'!E:E)</f>
        <v>0</v>
      </c>
      <c r="J36" s="101">
        <f t="shared" si="5"/>
        <v>0</v>
      </c>
      <c r="K36" s="103">
        <f t="shared" si="0"/>
        <v>0</v>
      </c>
      <c r="L36" s="104">
        <f>+ SUMIF('Doanh thu'!A:A, C36,'Doanh thu'!F:F)</f>
        <v>0</v>
      </c>
    </row>
    <row r="37" spans="1:12" ht="13.2">
      <c r="A37" s="372"/>
      <c r="B37" s="101">
        <v>1</v>
      </c>
      <c r="C37" s="33" t="s">
        <v>459</v>
      </c>
      <c r="D37" s="33" t="s">
        <v>460</v>
      </c>
      <c r="E37" s="109" t="s">
        <v>444</v>
      </c>
      <c r="F37" s="102">
        <f>+ SUMIF('Nhập kho T42024'!B:B, C37,'Nhập kho T42024'!F:F)</f>
        <v>0</v>
      </c>
      <c r="G37" s="100">
        <f>+ (SUMIF('Nhập kho T42024'!B:B, C37,'Nhập kho T42024'!G:G))*3500</f>
        <v>0</v>
      </c>
      <c r="H37" s="101"/>
      <c r="I37" s="101">
        <f>+ SUMIF('Doanh thu'!A:A, C37,'Doanh thu'!E:E)</f>
        <v>0</v>
      </c>
      <c r="J37" s="101">
        <f>F37-I37+2</f>
        <v>2</v>
      </c>
      <c r="K37" s="103">
        <f t="shared" si="0"/>
        <v>0</v>
      </c>
      <c r="L37" s="104">
        <f>+ SUMIF('Doanh thu'!A:A, C37,'Doanh thu'!F:F)</f>
        <v>0</v>
      </c>
    </row>
    <row r="38" spans="1:12" ht="13.2">
      <c r="A38" s="372"/>
      <c r="B38" s="101">
        <v>1</v>
      </c>
      <c r="C38" s="33" t="s">
        <v>461</v>
      </c>
      <c r="D38" s="33" t="s">
        <v>462</v>
      </c>
      <c r="E38" s="109" t="s">
        <v>444</v>
      </c>
      <c r="F38" s="102">
        <f>+ SUMIF('Nhập kho T42024'!B:B, C38,'Nhập kho T42024'!F:F)</f>
        <v>0</v>
      </c>
      <c r="G38" s="100">
        <f>+ (SUMIF('Nhập kho T42024'!B:B, C38,'Nhập kho T42024'!G:G))*3500</f>
        <v>0</v>
      </c>
      <c r="H38" s="101"/>
      <c r="I38" s="101">
        <f>+ SUMIF('Doanh thu'!A:A, C38,'Doanh thu'!E:E)</f>
        <v>0</v>
      </c>
      <c r="J38" s="101">
        <f>F38-I38+3</f>
        <v>3</v>
      </c>
      <c r="K38" s="103">
        <f t="shared" si="0"/>
        <v>0</v>
      </c>
      <c r="L38" s="104">
        <f>+ SUMIF('Doanh thu'!A:A, C38,'Doanh thu'!F:F)</f>
        <v>0</v>
      </c>
    </row>
    <row r="39" spans="1:12" ht="13.2">
      <c r="A39" s="372"/>
      <c r="B39" s="101">
        <v>1</v>
      </c>
      <c r="C39" s="33" t="s">
        <v>463</v>
      </c>
      <c r="D39" s="33" t="s">
        <v>464</v>
      </c>
      <c r="E39" s="109" t="s">
        <v>444</v>
      </c>
      <c r="F39" s="102">
        <f>+ SUMIF('Nhập kho T42024'!B:B, C39,'Nhập kho T42024'!F:F)</f>
        <v>0</v>
      </c>
      <c r="G39" s="100">
        <f>+ (SUMIF('Nhập kho T42024'!B:B, C39,'Nhập kho T42024'!G:G))*3500</f>
        <v>0</v>
      </c>
      <c r="H39" s="101"/>
      <c r="I39" s="101">
        <f>+ SUMIF('Doanh thu'!A:A, C39,'Doanh thu'!E:E)</f>
        <v>1</v>
      </c>
      <c r="J39" s="101">
        <f t="shared" ref="J39:J42" si="6">F39-I39+2</f>
        <v>1</v>
      </c>
      <c r="K39" s="103">
        <f t="shared" si="0"/>
        <v>22900</v>
      </c>
      <c r="L39" s="104">
        <f>+ SUMIF('Doanh thu'!A:A, C39,'Doanh thu'!F:F)</f>
        <v>22900</v>
      </c>
    </row>
    <row r="40" spans="1:12" ht="13.2">
      <c r="A40" s="372"/>
      <c r="B40" s="101">
        <v>1</v>
      </c>
      <c r="C40" s="33" t="s">
        <v>465</v>
      </c>
      <c r="D40" s="33" t="s">
        <v>466</v>
      </c>
      <c r="E40" s="109" t="s">
        <v>444</v>
      </c>
      <c r="F40" s="102">
        <f>+ SUMIF('Nhập kho T42024'!B:B, C40,'Nhập kho T42024'!F:F)</f>
        <v>0</v>
      </c>
      <c r="G40" s="100">
        <f>+ (SUMIF('Nhập kho T42024'!B:B, C40,'Nhập kho T42024'!G:G))*3500</f>
        <v>0</v>
      </c>
      <c r="H40" s="101"/>
      <c r="I40" s="101">
        <f>+ SUMIF('Doanh thu'!A:A, C40,'Doanh thu'!E:E)</f>
        <v>2</v>
      </c>
      <c r="J40" s="101">
        <f t="shared" si="6"/>
        <v>0</v>
      </c>
      <c r="K40" s="103">
        <f t="shared" si="0"/>
        <v>26500</v>
      </c>
      <c r="L40" s="104">
        <f>+ SUMIF('Doanh thu'!A:A, C40,'Doanh thu'!F:F)</f>
        <v>26500</v>
      </c>
    </row>
    <row r="41" spans="1:12" ht="13.2">
      <c r="A41" s="372"/>
      <c r="B41" s="101">
        <v>1</v>
      </c>
      <c r="C41" s="33" t="s">
        <v>467</v>
      </c>
      <c r="D41" s="33" t="s">
        <v>468</v>
      </c>
      <c r="E41" s="109" t="s">
        <v>444</v>
      </c>
      <c r="F41" s="102">
        <f>+ SUMIF('Nhập kho T42024'!B:B, C41,'Nhập kho T42024'!F:F)</f>
        <v>0</v>
      </c>
      <c r="G41" s="100">
        <f>+ (SUMIF('Nhập kho T42024'!B:B, C41,'Nhập kho T42024'!G:G))*3500</f>
        <v>0</v>
      </c>
      <c r="H41" s="101"/>
      <c r="I41" s="101">
        <f>+ SUMIF('Doanh thu'!A:A, C41,'Doanh thu'!E:E)</f>
        <v>2</v>
      </c>
      <c r="J41" s="101">
        <f t="shared" si="6"/>
        <v>0</v>
      </c>
      <c r="K41" s="103">
        <f t="shared" si="0"/>
        <v>25000</v>
      </c>
      <c r="L41" s="104">
        <f>+ SUMIF('Doanh thu'!A:A, C41,'Doanh thu'!F:F)</f>
        <v>25000</v>
      </c>
    </row>
    <row r="42" spans="1:12" ht="13.2">
      <c r="A42" s="373"/>
      <c r="B42" s="101">
        <v>1</v>
      </c>
      <c r="C42" s="33" t="s">
        <v>469</v>
      </c>
      <c r="D42" s="33" t="s">
        <v>470</v>
      </c>
      <c r="E42" s="109" t="s">
        <v>444</v>
      </c>
      <c r="F42" s="102">
        <f>+ SUMIF('Nhập kho T42024'!B:B, C42,'Nhập kho T42024'!F:F)</f>
        <v>0</v>
      </c>
      <c r="G42" s="100">
        <f>+ (SUMIF('Nhập kho T42024'!B:B, C42,'Nhập kho T42024'!G:G))*3500</f>
        <v>0</v>
      </c>
      <c r="H42" s="101"/>
      <c r="I42" s="101">
        <f>+ SUMIF('Doanh thu'!A:A, C42,'Doanh thu'!E:E)</f>
        <v>1</v>
      </c>
      <c r="J42" s="101">
        <f t="shared" si="6"/>
        <v>1</v>
      </c>
      <c r="K42" s="103">
        <f t="shared" si="0"/>
        <v>34900</v>
      </c>
      <c r="L42" s="104">
        <f>+ SUMIF('Doanh thu'!A:A, C42,'Doanh thu'!F:F)</f>
        <v>34900</v>
      </c>
    </row>
    <row r="43" spans="1:12" ht="13.2">
      <c r="A43" s="390" t="s">
        <v>471</v>
      </c>
      <c r="B43" s="111">
        <v>1</v>
      </c>
      <c r="C43" s="112" t="s">
        <v>472</v>
      </c>
      <c r="D43" s="112" t="s">
        <v>473</v>
      </c>
      <c r="E43" s="111" t="s">
        <v>444</v>
      </c>
      <c r="F43" s="102">
        <f>+ SUMIF('Nhập kho T42024'!B:B, C43,'Nhập kho T42024'!F:F)</f>
        <v>0</v>
      </c>
      <c r="G43" s="100">
        <f>+ (SUMIF('Nhập kho T42024'!B:B, C43,'Nhập kho T42024'!G:G))*3500</f>
        <v>0</v>
      </c>
      <c r="H43" s="101"/>
      <c r="I43" s="101">
        <f>+ SUMIF('Doanh thu'!A:A, C43,'Doanh thu'!E:E)</f>
        <v>0</v>
      </c>
      <c r="J43" s="101">
        <f t="shared" ref="J43:J47" si="7">F43-I43</f>
        <v>0</v>
      </c>
      <c r="K43" s="103">
        <f t="shared" si="0"/>
        <v>0</v>
      </c>
      <c r="L43" s="104">
        <f>+ SUMIF('Doanh thu'!A:A, C43,'Doanh thu'!F:F)</f>
        <v>0</v>
      </c>
    </row>
    <row r="44" spans="1:12" ht="13.2">
      <c r="A44" s="372"/>
      <c r="B44" s="111">
        <v>1</v>
      </c>
      <c r="C44" s="112" t="s">
        <v>474</v>
      </c>
      <c r="D44" s="112" t="s">
        <v>475</v>
      </c>
      <c r="E44" s="111" t="s">
        <v>444</v>
      </c>
      <c r="F44" s="102">
        <f>+ SUMIF('Nhập kho T42024'!B:B, C44,'Nhập kho T42024'!F:F)</f>
        <v>0</v>
      </c>
      <c r="G44" s="100">
        <f>+ (SUMIF('Nhập kho T42024'!B:B, C44,'Nhập kho T42024'!G:G))*3500</f>
        <v>0</v>
      </c>
      <c r="H44" s="101"/>
      <c r="I44" s="101">
        <f>+ SUMIF('Doanh thu'!A:A, C44,'Doanh thu'!E:E)</f>
        <v>0</v>
      </c>
      <c r="J44" s="101">
        <f t="shared" si="7"/>
        <v>0</v>
      </c>
      <c r="K44" s="103">
        <f t="shared" si="0"/>
        <v>0</v>
      </c>
      <c r="L44" s="104">
        <f>+ SUMIF('Doanh thu'!A:A, C44,'Doanh thu'!F:F)</f>
        <v>0</v>
      </c>
    </row>
    <row r="45" spans="1:12" ht="13.2">
      <c r="A45" s="372"/>
      <c r="B45" s="111">
        <v>1</v>
      </c>
      <c r="C45" s="112" t="s">
        <v>476</v>
      </c>
      <c r="D45" s="112" t="s">
        <v>477</v>
      </c>
      <c r="E45" s="111" t="s">
        <v>444</v>
      </c>
      <c r="F45" s="102">
        <f>+ SUMIF('Nhập kho T42024'!B:B, C45,'Nhập kho T42024'!F:F)</f>
        <v>0</v>
      </c>
      <c r="G45" s="100">
        <f>+ (SUMIF('Nhập kho T42024'!B:B, C45,'Nhập kho T42024'!G:G))*3500</f>
        <v>0</v>
      </c>
      <c r="H45" s="101"/>
      <c r="I45" s="101">
        <f>+ SUMIF('Doanh thu'!A:A, C45,'Doanh thu'!E:E)</f>
        <v>0</v>
      </c>
      <c r="J45" s="101">
        <f t="shared" si="7"/>
        <v>0</v>
      </c>
      <c r="K45" s="103">
        <f t="shared" si="0"/>
        <v>0</v>
      </c>
      <c r="L45" s="104">
        <f>+ SUMIF('Doanh thu'!A:A, C45,'Doanh thu'!F:F)</f>
        <v>0</v>
      </c>
    </row>
    <row r="46" spans="1:12" ht="13.2">
      <c r="A46" s="372"/>
      <c r="B46" s="111">
        <v>1</v>
      </c>
      <c r="C46" s="112" t="s">
        <v>478</v>
      </c>
      <c r="D46" s="112" t="s">
        <v>479</v>
      </c>
      <c r="E46" s="111" t="s">
        <v>444</v>
      </c>
      <c r="F46" s="102">
        <f>+ SUMIF('Nhập kho T42024'!B:B, C46,'Nhập kho T42024'!F:F)</f>
        <v>0</v>
      </c>
      <c r="G46" s="100">
        <f>+ (SUMIF('Nhập kho T42024'!B:B, C46,'Nhập kho T42024'!G:G))*3500</f>
        <v>0</v>
      </c>
      <c r="H46" s="101"/>
      <c r="I46" s="101">
        <f>+ SUMIF('Doanh thu'!A:A, C46,'Doanh thu'!E:E)</f>
        <v>0</v>
      </c>
      <c r="J46" s="101">
        <f t="shared" si="7"/>
        <v>0</v>
      </c>
      <c r="K46" s="103">
        <f t="shared" si="0"/>
        <v>0</v>
      </c>
      <c r="L46" s="104">
        <f>+ SUMIF('Doanh thu'!A:A, C46,'Doanh thu'!F:F)</f>
        <v>0</v>
      </c>
    </row>
    <row r="47" spans="1:12" ht="13.2">
      <c r="A47" s="372"/>
      <c r="B47" s="111">
        <v>1</v>
      </c>
      <c r="C47" s="112" t="s">
        <v>480</v>
      </c>
      <c r="D47" s="112" t="s">
        <v>481</v>
      </c>
      <c r="E47" s="111" t="s">
        <v>444</v>
      </c>
      <c r="F47" s="102">
        <f>+ SUMIF('Nhập kho T42024'!B:B, C47,'Nhập kho T42024'!F:F)</f>
        <v>0</v>
      </c>
      <c r="G47" s="100">
        <f>+ (SUMIF('Nhập kho T42024'!B:B, C47,'Nhập kho T42024'!G:G))*3500</f>
        <v>0</v>
      </c>
      <c r="H47" s="101"/>
      <c r="I47" s="101">
        <f>+ SUMIF('Doanh thu'!A:A, C47,'Doanh thu'!E:E)</f>
        <v>0</v>
      </c>
      <c r="J47" s="101">
        <f t="shared" si="7"/>
        <v>0</v>
      </c>
      <c r="K47" s="103">
        <f t="shared" si="0"/>
        <v>0</v>
      </c>
      <c r="L47" s="104">
        <f>+ SUMIF('Doanh thu'!A:A, C47,'Doanh thu'!F:F)</f>
        <v>0</v>
      </c>
    </row>
    <row r="48" spans="1:12" ht="13.2">
      <c r="A48" s="372"/>
      <c r="B48" s="111">
        <v>1</v>
      </c>
      <c r="C48" s="112" t="s">
        <v>482</v>
      </c>
      <c r="D48" s="112" t="s">
        <v>483</v>
      </c>
      <c r="E48" s="111" t="s">
        <v>484</v>
      </c>
      <c r="F48" s="102">
        <f>+ SUMIF('Nhập kho T42024'!B:B, C48,'Nhập kho T42024'!F:F)</f>
        <v>0</v>
      </c>
      <c r="G48" s="100">
        <f>+ (SUMIF('Nhập kho T42024'!B:B, C48,'Nhập kho T42024'!G:G))*3500</f>
        <v>0</v>
      </c>
      <c r="H48" s="101"/>
      <c r="I48" s="101">
        <f>+ SUMIF('Doanh thu'!A:A, C48,'Doanh thu'!E:E)</f>
        <v>0</v>
      </c>
      <c r="J48" s="101">
        <f>F48-I48+1</f>
        <v>1</v>
      </c>
      <c r="K48" s="103">
        <f t="shared" si="0"/>
        <v>0</v>
      </c>
      <c r="L48" s="104">
        <f>+ SUMIF('Doanh thu'!A:A, C48,'Doanh thu'!F:F)</f>
        <v>0</v>
      </c>
    </row>
    <row r="49" spans="1:12" ht="13.2">
      <c r="A49" s="372"/>
      <c r="B49" s="111">
        <v>1</v>
      </c>
      <c r="C49" s="112" t="s">
        <v>485</v>
      </c>
      <c r="D49" s="112" t="s">
        <v>486</v>
      </c>
      <c r="E49" s="111" t="s">
        <v>484</v>
      </c>
      <c r="F49" s="102">
        <f>+ SUMIF('Nhập kho T42024'!B:B, C49,'Nhập kho T42024'!F:F)</f>
        <v>0</v>
      </c>
      <c r="G49" s="100">
        <f>+ (SUMIF('Nhập kho T42024'!B:B, C49,'Nhập kho T42024'!G:G))*3500</f>
        <v>0</v>
      </c>
      <c r="H49" s="101"/>
      <c r="I49" s="101">
        <f>+ SUMIF('Doanh thu'!A:A, C49,'Doanh thu'!E:E)</f>
        <v>6</v>
      </c>
      <c r="J49" s="101">
        <f t="shared" ref="J49:J50" si="8">F49-I49+8</f>
        <v>2</v>
      </c>
      <c r="K49" s="103">
        <f t="shared" si="0"/>
        <v>182160</v>
      </c>
      <c r="L49" s="104">
        <f>+ SUMIF('Doanh thu'!A:A, C49,'Doanh thu'!F:F)</f>
        <v>182160</v>
      </c>
    </row>
    <row r="50" spans="1:12" ht="13.2">
      <c r="A50" s="372"/>
      <c r="B50" s="111">
        <v>1</v>
      </c>
      <c r="C50" s="112" t="s">
        <v>487</v>
      </c>
      <c r="D50" s="112" t="s">
        <v>488</v>
      </c>
      <c r="E50" s="111" t="s">
        <v>484</v>
      </c>
      <c r="F50" s="102">
        <f>+ SUMIF('Nhập kho T42024'!B:B, C50,'Nhập kho T42024'!F:F)</f>
        <v>0</v>
      </c>
      <c r="G50" s="100">
        <f>+ (SUMIF('Nhập kho T42024'!B:B, C50,'Nhập kho T42024'!G:G))*3500</f>
        <v>0</v>
      </c>
      <c r="H50" s="101"/>
      <c r="I50" s="101">
        <f>+ SUMIF('Doanh thu'!A:A, C50,'Doanh thu'!E:E)</f>
        <v>2</v>
      </c>
      <c r="J50" s="101">
        <f t="shared" si="8"/>
        <v>6</v>
      </c>
      <c r="K50" s="103">
        <f t="shared" si="0"/>
        <v>64400</v>
      </c>
      <c r="L50" s="104">
        <f>+ SUMIF('Doanh thu'!A:A, C50,'Doanh thu'!F:F)</f>
        <v>64400</v>
      </c>
    </row>
    <row r="51" spans="1:12" ht="13.2">
      <c r="A51" s="372"/>
      <c r="B51" s="111">
        <v>1</v>
      </c>
      <c r="C51" s="112" t="s">
        <v>489</v>
      </c>
      <c r="D51" s="112" t="s">
        <v>490</v>
      </c>
      <c r="E51" s="111" t="s">
        <v>484</v>
      </c>
      <c r="F51" s="102">
        <f>+ SUMIF('Nhập kho T42024'!B:B, C51,'Nhập kho T42024'!F:F)</f>
        <v>0</v>
      </c>
      <c r="G51" s="100">
        <f>+ (SUMIF('Nhập kho T42024'!B:B, C51,'Nhập kho T42024'!G:G))*3500</f>
        <v>0</v>
      </c>
      <c r="H51" s="101"/>
      <c r="I51" s="101">
        <f>+ SUMIF('Doanh thu'!A:A, C51,'Doanh thu'!E:E)</f>
        <v>6</v>
      </c>
      <c r="J51" s="101">
        <f>F51-I51+6</f>
        <v>0</v>
      </c>
      <c r="K51" s="103">
        <f t="shared" si="0"/>
        <v>66240</v>
      </c>
      <c r="L51" s="104">
        <f>+ SUMIF('Doanh thu'!A:A, C51,'Doanh thu'!F:F)</f>
        <v>66240</v>
      </c>
    </row>
    <row r="52" spans="1:12" ht="13.2">
      <c r="A52" s="372"/>
      <c r="B52" s="111">
        <v>1</v>
      </c>
      <c r="C52" s="112" t="s">
        <v>491</v>
      </c>
      <c r="D52" s="112" t="s">
        <v>492</v>
      </c>
      <c r="E52" s="111" t="s">
        <v>484</v>
      </c>
      <c r="F52" s="102">
        <f>+ SUMIF('Nhập kho T42024'!B:B, C52,'Nhập kho T42024'!F:F)</f>
        <v>0</v>
      </c>
      <c r="G52" s="100">
        <f>+ (SUMIF('Nhập kho T42024'!B:B, C52,'Nhập kho T42024'!G:G))*3500</f>
        <v>0</v>
      </c>
      <c r="H52" s="101"/>
      <c r="I52" s="101">
        <f>+ SUMIF('Doanh thu'!A:A, C52,'Doanh thu'!E:E)</f>
        <v>0</v>
      </c>
      <c r="J52" s="101">
        <f>F52-I52</f>
        <v>0</v>
      </c>
      <c r="K52" s="103">
        <f t="shared" si="0"/>
        <v>0</v>
      </c>
      <c r="L52" s="104">
        <f>+ SUMIF('Doanh thu'!A:A, C52,'Doanh thu'!F:F)</f>
        <v>0</v>
      </c>
    </row>
    <row r="53" spans="1:12" ht="13.2">
      <c r="A53" s="372"/>
      <c r="B53" s="111">
        <v>1</v>
      </c>
      <c r="C53" s="112" t="s">
        <v>493</v>
      </c>
      <c r="D53" s="112" t="s">
        <v>494</v>
      </c>
      <c r="E53" s="111" t="s">
        <v>484</v>
      </c>
      <c r="F53" s="102">
        <f>+ SUMIF('Nhập kho T42024'!B:B, C53,'Nhập kho T42024'!F:F)</f>
        <v>0</v>
      </c>
      <c r="G53" s="100">
        <f>+ (SUMIF('Nhập kho T42024'!B:B, C53,'Nhập kho T42024'!G:G))*3500</f>
        <v>0</v>
      </c>
      <c r="H53" s="101"/>
      <c r="I53" s="101">
        <f>+ SUMIF('Doanh thu'!A:A, C53,'Doanh thu'!E:E)</f>
        <v>3</v>
      </c>
      <c r="J53" s="101">
        <f>F53-I53+11</f>
        <v>8</v>
      </c>
      <c r="K53" s="103">
        <f t="shared" si="0"/>
        <v>38202.6</v>
      </c>
      <c r="L53" s="104">
        <f>+ SUMIF('Doanh thu'!A:A, C53,'Doanh thu'!F:F)</f>
        <v>38202.6</v>
      </c>
    </row>
    <row r="54" spans="1:12" ht="13.2">
      <c r="A54" s="372"/>
      <c r="B54" s="111">
        <v>1</v>
      </c>
      <c r="C54" s="112" t="s">
        <v>495</v>
      </c>
      <c r="D54" s="112" t="s">
        <v>496</v>
      </c>
      <c r="E54" s="111" t="s">
        <v>484</v>
      </c>
      <c r="F54" s="102">
        <f>+ SUMIF('Nhập kho T42024'!B:B, C54,'Nhập kho T42024'!F:F)</f>
        <v>0</v>
      </c>
      <c r="G54" s="100">
        <f>+ (SUMIF('Nhập kho T42024'!B:B, C54,'Nhập kho T42024'!G:G))*3500</f>
        <v>0</v>
      </c>
      <c r="H54" s="101"/>
      <c r="I54" s="101">
        <f>+ SUMIF('Doanh thu'!A:A, C54,'Doanh thu'!E:E)</f>
        <v>2</v>
      </c>
      <c r="J54" s="101">
        <f>F54-I54+10</f>
        <v>8</v>
      </c>
      <c r="K54" s="103">
        <f t="shared" si="0"/>
        <v>44160</v>
      </c>
      <c r="L54" s="104">
        <f>+ SUMIF('Doanh thu'!A:A, C54,'Doanh thu'!F:F)</f>
        <v>44160</v>
      </c>
    </row>
    <row r="55" spans="1:12" ht="13.2">
      <c r="A55" s="372"/>
      <c r="B55" s="111">
        <v>1</v>
      </c>
      <c r="C55" s="112" t="s">
        <v>497</v>
      </c>
      <c r="D55" s="112" t="s">
        <v>498</v>
      </c>
      <c r="E55" s="111" t="s">
        <v>484</v>
      </c>
      <c r="F55" s="102">
        <f>+ SUMIF('Nhập kho T42024'!B:B, C55,'Nhập kho T42024'!F:F)</f>
        <v>0</v>
      </c>
      <c r="G55" s="100">
        <f>+ (SUMIF('Nhập kho T42024'!B:B, C55,'Nhập kho T42024'!G:G))*3500</f>
        <v>0</v>
      </c>
      <c r="H55" s="101"/>
      <c r="I55" s="101">
        <f>+ SUMIF('Doanh thu'!A:A, C55,'Doanh thu'!E:E)</f>
        <v>1</v>
      </c>
      <c r="J55" s="101">
        <f>F55-I55+4</f>
        <v>3</v>
      </c>
      <c r="K55" s="103">
        <f t="shared" si="0"/>
        <v>52440</v>
      </c>
      <c r="L55" s="104">
        <f>+ SUMIF('Doanh thu'!A:A, C55,'Doanh thu'!F:F)</f>
        <v>52440</v>
      </c>
    </row>
    <row r="56" spans="1:12" ht="13.2">
      <c r="A56" s="372"/>
      <c r="B56" s="111">
        <v>1</v>
      </c>
      <c r="C56" s="112" t="s">
        <v>499</v>
      </c>
      <c r="D56" s="112" t="s">
        <v>500</v>
      </c>
      <c r="E56" s="111" t="s">
        <v>484</v>
      </c>
      <c r="F56" s="102">
        <f>+ SUMIF('Nhập kho T42024'!B:B, C56,'Nhập kho T42024'!F:F)</f>
        <v>0</v>
      </c>
      <c r="G56" s="100">
        <f>+ (SUMIF('Nhập kho T42024'!B:B, C56,'Nhập kho T42024'!G:G))*3500</f>
        <v>0</v>
      </c>
      <c r="H56" s="101"/>
      <c r="I56" s="101">
        <f>+ SUMIF('Doanh thu'!A:A, C56,'Doanh thu'!E:E)</f>
        <v>6</v>
      </c>
      <c r="J56" s="101">
        <f>F56-I56+12</f>
        <v>6</v>
      </c>
      <c r="K56" s="103">
        <f t="shared" si="0"/>
        <v>171120</v>
      </c>
      <c r="L56" s="104">
        <f>+ SUMIF('Doanh thu'!A:A, C56,'Doanh thu'!F:F)</f>
        <v>171120</v>
      </c>
    </row>
    <row r="57" spans="1:12" ht="13.2">
      <c r="A57" s="372"/>
      <c r="B57" s="111">
        <v>1</v>
      </c>
      <c r="C57" s="112" t="s">
        <v>501</v>
      </c>
      <c r="D57" s="112" t="s">
        <v>502</v>
      </c>
      <c r="E57" s="111" t="s">
        <v>484</v>
      </c>
      <c r="F57" s="102">
        <f>+ SUMIF('Nhập kho T42024'!B:B, C57,'Nhập kho T42024'!F:F)</f>
        <v>0</v>
      </c>
      <c r="G57" s="100">
        <f>+ (SUMIF('Nhập kho T42024'!B:B, C57,'Nhập kho T42024'!G:G))*3500</f>
        <v>0</v>
      </c>
      <c r="H57" s="101"/>
      <c r="I57" s="101">
        <f>+ SUMIF('Doanh thu'!A:A, C57,'Doanh thu'!E:E)</f>
        <v>2</v>
      </c>
      <c r="J57" s="101">
        <f>F57-I57+13</f>
        <v>11</v>
      </c>
      <c r="K57" s="103">
        <f t="shared" si="0"/>
        <v>19762</v>
      </c>
      <c r="L57" s="104">
        <f>+ SUMIF('Doanh thu'!A:A, C57,'Doanh thu'!F:F)</f>
        <v>19762</v>
      </c>
    </row>
    <row r="58" spans="1:12" ht="13.2">
      <c r="A58" s="372"/>
      <c r="B58" s="111">
        <v>1</v>
      </c>
      <c r="C58" s="112" t="s">
        <v>503</v>
      </c>
      <c r="D58" s="112" t="s">
        <v>504</v>
      </c>
      <c r="E58" s="111" t="s">
        <v>484</v>
      </c>
      <c r="F58" s="102">
        <f>+ SUMIF('Nhập kho T42024'!B:B, C58,'Nhập kho T42024'!F:F)</f>
        <v>0</v>
      </c>
      <c r="G58" s="100">
        <f>+ (SUMIF('Nhập kho T42024'!B:B, C58,'Nhập kho T42024'!G:G))*3500</f>
        <v>0</v>
      </c>
      <c r="H58" s="101"/>
      <c r="I58" s="101">
        <f>+ SUMIF('Doanh thu'!A:A, C58,'Doanh thu'!E:E)</f>
        <v>4</v>
      </c>
      <c r="J58" s="101">
        <f>F58-I58+6</f>
        <v>2</v>
      </c>
      <c r="K58" s="103">
        <f t="shared" si="0"/>
        <v>128800</v>
      </c>
      <c r="L58" s="104">
        <f>+ SUMIF('Doanh thu'!A:A, C58,'Doanh thu'!F:F)</f>
        <v>128800</v>
      </c>
    </row>
    <row r="59" spans="1:12" ht="13.2">
      <c r="A59" s="372"/>
      <c r="B59" s="111">
        <v>1</v>
      </c>
      <c r="C59" s="112" t="s">
        <v>505</v>
      </c>
      <c r="D59" s="112" t="s">
        <v>506</v>
      </c>
      <c r="E59" s="111" t="s">
        <v>484</v>
      </c>
      <c r="F59" s="102">
        <f>+ SUMIF('Nhập kho T42024'!B:B, C59,'Nhập kho T42024'!F:F)</f>
        <v>0</v>
      </c>
      <c r="G59" s="100">
        <f>+ (SUMIF('Nhập kho T42024'!B:B, C59,'Nhập kho T42024'!G:G))*3500</f>
        <v>0</v>
      </c>
      <c r="H59" s="101"/>
      <c r="I59" s="101">
        <f>+ SUMIF('Doanh thu'!A:A, C59,'Doanh thu'!E:E)</f>
        <v>0</v>
      </c>
      <c r="J59" s="101">
        <f t="shared" ref="J59:J62" si="9">F59-I59</f>
        <v>0</v>
      </c>
      <c r="K59" s="103">
        <f t="shared" si="0"/>
        <v>0</v>
      </c>
      <c r="L59" s="104">
        <f>+ SUMIF('Doanh thu'!A:A, C59,'Doanh thu'!F:F)</f>
        <v>0</v>
      </c>
    </row>
    <row r="60" spans="1:12" ht="13.2">
      <c r="A60" s="372"/>
      <c r="B60" s="111">
        <v>1</v>
      </c>
      <c r="C60" s="112" t="s">
        <v>507</v>
      </c>
      <c r="D60" s="112" t="s">
        <v>508</v>
      </c>
      <c r="E60" s="111" t="s">
        <v>484</v>
      </c>
      <c r="F60" s="102">
        <f>+ SUMIF('Nhập kho T42024'!B:B, C60,'Nhập kho T42024'!F:F)</f>
        <v>0</v>
      </c>
      <c r="G60" s="100">
        <f>+ (SUMIF('Nhập kho T42024'!B:B, C60,'Nhập kho T42024'!G:G))*3500</f>
        <v>0</v>
      </c>
      <c r="H60" s="101"/>
      <c r="I60" s="101">
        <f>+ SUMIF('Doanh thu'!A:A, C60,'Doanh thu'!E:E)</f>
        <v>0</v>
      </c>
      <c r="J60" s="101">
        <f t="shared" si="9"/>
        <v>0</v>
      </c>
      <c r="K60" s="103">
        <f t="shared" si="0"/>
        <v>0</v>
      </c>
      <c r="L60" s="104">
        <f>+ SUMIF('Doanh thu'!A:A, C60,'Doanh thu'!F:F)</f>
        <v>0</v>
      </c>
    </row>
    <row r="61" spans="1:12" ht="13.2">
      <c r="A61" s="372"/>
      <c r="B61" s="111">
        <v>1</v>
      </c>
      <c r="C61" s="112" t="s">
        <v>509</v>
      </c>
      <c r="D61" s="112" t="s">
        <v>510</v>
      </c>
      <c r="E61" s="111" t="s">
        <v>484</v>
      </c>
      <c r="F61" s="102">
        <f>+ SUMIF('Nhập kho T42024'!B:B, C61,'Nhập kho T42024'!F:F)</f>
        <v>0</v>
      </c>
      <c r="G61" s="100">
        <f>+ (SUMIF('Nhập kho T42024'!B:B, C61,'Nhập kho T42024'!G:G))*3500</f>
        <v>0</v>
      </c>
      <c r="H61" s="101"/>
      <c r="I61" s="101">
        <f>+ SUMIF('Doanh thu'!A:A, C61,'Doanh thu'!E:E)</f>
        <v>0</v>
      </c>
      <c r="J61" s="101">
        <f t="shared" si="9"/>
        <v>0</v>
      </c>
      <c r="K61" s="103">
        <f t="shared" si="0"/>
        <v>0</v>
      </c>
      <c r="L61" s="104">
        <f>+ SUMIF('Doanh thu'!A:A, C61,'Doanh thu'!F:F)</f>
        <v>0</v>
      </c>
    </row>
    <row r="62" spans="1:12" ht="13.2">
      <c r="A62" s="372"/>
      <c r="B62" s="111">
        <v>1</v>
      </c>
      <c r="C62" s="112" t="s">
        <v>511</v>
      </c>
      <c r="D62" s="112" t="s">
        <v>512</v>
      </c>
      <c r="E62" s="111" t="s">
        <v>484</v>
      </c>
      <c r="F62" s="102">
        <f>+ SUMIF('Nhập kho T42024'!B:B, C62,'Nhập kho T42024'!F:F)</f>
        <v>0</v>
      </c>
      <c r="G62" s="100">
        <f>+ (SUMIF('Nhập kho T42024'!B:B, C62,'Nhập kho T42024'!G:G))*3500</f>
        <v>0</v>
      </c>
      <c r="H62" s="101"/>
      <c r="I62" s="101">
        <f>+ SUMIF('Doanh thu'!A:A, C62,'Doanh thu'!E:E)</f>
        <v>0</v>
      </c>
      <c r="J62" s="101">
        <f t="shared" si="9"/>
        <v>0</v>
      </c>
      <c r="K62" s="103">
        <f t="shared" si="0"/>
        <v>0</v>
      </c>
      <c r="L62" s="104">
        <f>+ SUMIF('Doanh thu'!A:A, C62,'Doanh thu'!F:F)</f>
        <v>0</v>
      </c>
    </row>
    <row r="63" spans="1:12" ht="13.2">
      <c r="A63" s="372"/>
      <c r="B63" s="111">
        <v>1</v>
      </c>
      <c r="C63" s="112" t="s">
        <v>513</v>
      </c>
      <c r="D63" s="112" t="s">
        <v>514</v>
      </c>
      <c r="E63" s="111" t="s">
        <v>484</v>
      </c>
      <c r="F63" s="102">
        <f>+ SUMIF('Nhập kho T42024'!B:B, C63,'Nhập kho T42024'!F:F)</f>
        <v>0</v>
      </c>
      <c r="G63" s="100">
        <f>+ (SUMIF('Nhập kho T42024'!B:B, C63,'Nhập kho T42024'!G:G))*3500</f>
        <v>0</v>
      </c>
      <c r="H63" s="101"/>
      <c r="I63" s="101">
        <f>+ SUMIF('Doanh thu'!A:A, C63,'Doanh thu'!E:E)</f>
        <v>0</v>
      </c>
      <c r="J63" s="101">
        <f>F63-I63+4</f>
        <v>4</v>
      </c>
      <c r="K63" s="103">
        <f t="shared" si="0"/>
        <v>0</v>
      </c>
      <c r="L63" s="104">
        <f>+ SUMIF('Doanh thu'!A:A, C63,'Doanh thu'!F:F)</f>
        <v>0</v>
      </c>
    </row>
    <row r="64" spans="1:12" ht="13.2">
      <c r="A64" s="372"/>
      <c r="B64" s="111">
        <v>1</v>
      </c>
      <c r="C64" s="112" t="s">
        <v>515</v>
      </c>
      <c r="D64" s="112" t="s">
        <v>516</v>
      </c>
      <c r="E64" s="111" t="s">
        <v>484</v>
      </c>
      <c r="F64" s="102">
        <f>+ SUMIF('Nhập kho T42024'!B:B, C64,'Nhập kho T42024'!F:F)</f>
        <v>0</v>
      </c>
      <c r="G64" s="100">
        <f>+ (SUMIF('Nhập kho T42024'!B:B, C64,'Nhập kho T42024'!G:G))*3500</f>
        <v>0</v>
      </c>
      <c r="H64" s="101"/>
      <c r="I64" s="101">
        <f>+ SUMIF('Doanh thu'!A:A, C64,'Doanh thu'!E:E)</f>
        <v>0</v>
      </c>
      <c r="J64" s="101">
        <f t="shared" ref="J64:J66" si="10">F64-I64</f>
        <v>0</v>
      </c>
      <c r="K64" s="103">
        <f t="shared" si="0"/>
        <v>0</v>
      </c>
      <c r="L64" s="104">
        <f>+ SUMIF('Doanh thu'!A:A, C64,'Doanh thu'!F:F)</f>
        <v>0</v>
      </c>
    </row>
    <row r="65" spans="1:12" ht="13.2">
      <c r="A65" s="372"/>
      <c r="B65" s="111">
        <v>1</v>
      </c>
      <c r="C65" s="112" t="s">
        <v>517</v>
      </c>
      <c r="D65" s="112" t="s">
        <v>518</v>
      </c>
      <c r="E65" s="111" t="s">
        <v>484</v>
      </c>
      <c r="F65" s="102">
        <f>+ SUMIF('Nhập kho T42024'!B:B, C65,'Nhập kho T42024'!F:F)</f>
        <v>0</v>
      </c>
      <c r="G65" s="100">
        <f>+ (SUMIF('Nhập kho T42024'!B:B, C65,'Nhập kho T42024'!G:G))*3500</f>
        <v>0</v>
      </c>
      <c r="H65" s="101"/>
      <c r="I65" s="101">
        <f>+ SUMIF('Doanh thu'!A:A, C65,'Doanh thu'!E:E)</f>
        <v>0</v>
      </c>
      <c r="J65" s="101">
        <f t="shared" si="10"/>
        <v>0</v>
      </c>
      <c r="K65" s="103">
        <f t="shared" si="0"/>
        <v>0</v>
      </c>
      <c r="L65" s="104">
        <f>+ SUMIF('Doanh thu'!A:A, C65,'Doanh thu'!F:F)</f>
        <v>0</v>
      </c>
    </row>
    <row r="66" spans="1:12" ht="13.2">
      <c r="A66" s="372"/>
      <c r="B66" s="111">
        <v>1</v>
      </c>
      <c r="C66" s="112" t="s">
        <v>519</v>
      </c>
      <c r="D66" s="112" t="s">
        <v>520</v>
      </c>
      <c r="E66" s="111" t="s">
        <v>484</v>
      </c>
      <c r="F66" s="102">
        <f>+ SUMIF('Nhập kho T42024'!B:B, C66,'Nhập kho T42024'!F:F)</f>
        <v>0</v>
      </c>
      <c r="G66" s="100">
        <f>+ (SUMIF('Nhập kho T42024'!B:B, C66,'Nhập kho T42024'!G:G))*3500</f>
        <v>0</v>
      </c>
      <c r="H66" s="101"/>
      <c r="I66" s="101">
        <f>+ SUMIF('Doanh thu'!A:A, C66,'Doanh thu'!E:E)</f>
        <v>0</v>
      </c>
      <c r="J66" s="101">
        <f t="shared" si="10"/>
        <v>0</v>
      </c>
      <c r="K66" s="103">
        <f t="shared" si="0"/>
        <v>0</v>
      </c>
      <c r="L66" s="104">
        <f>+ SUMIF('Doanh thu'!A:A, C66,'Doanh thu'!F:F)</f>
        <v>0</v>
      </c>
    </row>
    <row r="67" spans="1:12" ht="13.2">
      <c r="A67" s="372"/>
      <c r="B67" s="111">
        <v>1</v>
      </c>
      <c r="C67" s="112" t="s">
        <v>521</v>
      </c>
      <c r="D67" s="112" t="s">
        <v>522</v>
      </c>
      <c r="E67" s="111" t="s">
        <v>484</v>
      </c>
      <c r="F67" s="102">
        <f>+ SUMIF('Nhập kho T42024'!B:B, C67,'Nhập kho T42024'!F:F)</f>
        <v>0</v>
      </c>
      <c r="G67" s="100">
        <f>+ (SUMIF('Nhập kho T42024'!B:B, C67,'Nhập kho T42024'!G:G))*3500</f>
        <v>0</v>
      </c>
      <c r="H67" s="101"/>
      <c r="I67" s="101">
        <f>+ SUMIF('Doanh thu'!A:A, C67,'Doanh thu'!E:E)</f>
        <v>0</v>
      </c>
      <c r="J67" s="101">
        <f>F67-I67+2</f>
        <v>2</v>
      </c>
      <c r="K67" s="103">
        <f t="shared" si="0"/>
        <v>0</v>
      </c>
      <c r="L67" s="104">
        <f>+ SUMIF('Doanh thu'!A:A, C67,'Doanh thu'!F:F)</f>
        <v>0</v>
      </c>
    </row>
    <row r="68" spans="1:12" ht="13.2">
      <c r="A68" s="372"/>
      <c r="B68" s="111">
        <v>1</v>
      </c>
      <c r="C68" s="112" t="s">
        <v>523</v>
      </c>
      <c r="D68" s="112" t="s">
        <v>524</v>
      </c>
      <c r="E68" s="111" t="s">
        <v>484</v>
      </c>
      <c r="F68" s="102">
        <f>+ SUMIF('Nhập kho T42024'!B:B, C68,'Nhập kho T42024'!F:F)</f>
        <v>0</v>
      </c>
      <c r="G68" s="100">
        <f>+ (SUMIF('Nhập kho T42024'!B:B, C68,'Nhập kho T42024'!G:G))*3500</f>
        <v>0</v>
      </c>
      <c r="H68" s="101"/>
      <c r="I68" s="101">
        <f>+ SUMIF('Doanh thu'!A:A, C68,'Doanh thu'!E:E)</f>
        <v>0</v>
      </c>
      <c r="J68" s="101">
        <f t="shared" ref="J68:J69" si="11">F68-I68</f>
        <v>0</v>
      </c>
      <c r="K68" s="103">
        <f t="shared" si="0"/>
        <v>0</v>
      </c>
      <c r="L68" s="104">
        <f>+ SUMIF('Doanh thu'!A:A, C68,'Doanh thu'!F:F)</f>
        <v>0</v>
      </c>
    </row>
    <row r="69" spans="1:12" ht="13.2">
      <c r="A69" s="372"/>
      <c r="B69" s="111">
        <v>1</v>
      </c>
      <c r="C69" s="112" t="s">
        <v>525</v>
      </c>
      <c r="D69" s="112" t="s">
        <v>526</v>
      </c>
      <c r="E69" s="111" t="s">
        <v>484</v>
      </c>
      <c r="F69" s="102">
        <f>+ SUMIF('Nhập kho T42024'!B:B, C69,'Nhập kho T42024'!F:F)</f>
        <v>0</v>
      </c>
      <c r="G69" s="100">
        <f>+ (SUMIF('Nhập kho T42024'!B:B, C69,'Nhập kho T42024'!G:G))*3500</f>
        <v>0</v>
      </c>
      <c r="H69" s="101"/>
      <c r="I69" s="101">
        <f>+ SUMIF('Doanh thu'!A:A, C69,'Doanh thu'!E:E)</f>
        <v>0</v>
      </c>
      <c r="J69" s="101">
        <f t="shared" si="11"/>
        <v>0</v>
      </c>
      <c r="K69" s="103">
        <f t="shared" si="0"/>
        <v>0</v>
      </c>
      <c r="L69" s="104">
        <f>+ SUMIF('Doanh thu'!A:A, C69,'Doanh thu'!F:F)</f>
        <v>0</v>
      </c>
    </row>
    <row r="70" spans="1:12" ht="13.2">
      <c r="A70" s="372"/>
      <c r="B70" s="111">
        <v>1</v>
      </c>
      <c r="C70" s="112" t="s">
        <v>527</v>
      </c>
      <c r="D70" s="112" t="s">
        <v>528</v>
      </c>
      <c r="E70" s="111" t="s">
        <v>484</v>
      </c>
      <c r="F70" s="102">
        <f>+ SUMIF('Nhập kho T42024'!B:B, C70,'Nhập kho T42024'!F:F)</f>
        <v>0</v>
      </c>
      <c r="G70" s="100">
        <f>+ (SUMIF('Nhập kho T42024'!B:B, C70,'Nhập kho T42024'!G:G))*3500</f>
        <v>0</v>
      </c>
      <c r="H70" s="101"/>
      <c r="I70" s="101">
        <f>+ SUMIF('Doanh thu'!A:A, C70,'Doanh thu'!E:E)</f>
        <v>1</v>
      </c>
      <c r="J70" s="101">
        <f t="shared" ref="J70:J77" si="12">F70-I70+10</f>
        <v>9</v>
      </c>
      <c r="K70" s="103">
        <f t="shared" si="0"/>
        <v>33120</v>
      </c>
      <c r="L70" s="104">
        <f>+ SUMIF('Doanh thu'!A:A, C70,'Doanh thu'!F:F)</f>
        <v>33120</v>
      </c>
    </row>
    <row r="71" spans="1:12" ht="13.2">
      <c r="A71" s="372"/>
      <c r="B71" s="111">
        <v>1</v>
      </c>
      <c r="C71" s="112" t="s">
        <v>529</v>
      </c>
      <c r="D71" s="112" t="s">
        <v>530</v>
      </c>
      <c r="E71" s="111" t="s">
        <v>484</v>
      </c>
      <c r="F71" s="102">
        <f>+ SUMIF('Nhập kho T42024'!B:B, C71,'Nhập kho T42024'!F:F)</f>
        <v>0</v>
      </c>
      <c r="G71" s="100">
        <f>+ (SUMIF('Nhập kho T42024'!B:B, C71,'Nhập kho T42024'!G:G))*3500</f>
        <v>0</v>
      </c>
      <c r="H71" s="101"/>
      <c r="I71" s="101">
        <f>+ SUMIF('Doanh thu'!A:A, C71,'Doanh thu'!E:E)</f>
        <v>1</v>
      </c>
      <c r="J71" s="101">
        <f t="shared" si="12"/>
        <v>9</v>
      </c>
      <c r="K71" s="103">
        <f t="shared" si="0"/>
        <v>33120</v>
      </c>
      <c r="L71" s="104">
        <f>+ SUMIF('Doanh thu'!A:A, C71,'Doanh thu'!F:F)</f>
        <v>33120</v>
      </c>
    </row>
    <row r="72" spans="1:12" ht="13.2">
      <c r="A72" s="372"/>
      <c r="B72" s="111">
        <v>1</v>
      </c>
      <c r="C72" s="112" t="s">
        <v>531</v>
      </c>
      <c r="D72" s="112" t="s">
        <v>532</v>
      </c>
      <c r="E72" s="111" t="s">
        <v>484</v>
      </c>
      <c r="F72" s="102">
        <f>+ SUMIF('Nhập kho T42024'!B:B, C72,'Nhập kho T42024'!F:F)</f>
        <v>0</v>
      </c>
      <c r="G72" s="100">
        <f>+ (SUMIF('Nhập kho T42024'!B:B, C72,'Nhập kho T42024'!G:G))*3500</f>
        <v>0</v>
      </c>
      <c r="H72" s="101"/>
      <c r="I72" s="101">
        <f>+ SUMIF('Doanh thu'!A:A, C72,'Doanh thu'!E:E)</f>
        <v>0</v>
      </c>
      <c r="J72" s="101">
        <f t="shared" si="12"/>
        <v>10</v>
      </c>
      <c r="K72" s="103">
        <f t="shared" si="0"/>
        <v>0</v>
      </c>
      <c r="L72" s="104">
        <f>+ SUMIF('Doanh thu'!A:A, C72,'Doanh thu'!F:F)</f>
        <v>0</v>
      </c>
    </row>
    <row r="73" spans="1:12" ht="13.2">
      <c r="A73" s="372"/>
      <c r="B73" s="111">
        <v>1</v>
      </c>
      <c r="C73" s="112" t="s">
        <v>533</v>
      </c>
      <c r="D73" s="112" t="s">
        <v>534</v>
      </c>
      <c r="E73" s="111" t="s">
        <v>484</v>
      </c>
      <c r="F73" s="102">
        <f>+ SUMIF('Nhập kho T42024'!B:B, C73,'Nhập kho T42024'!F:F)</f>
        <v>0</v>
      </c>
      <c r="G73" s="100">
        <f>+ (SUMIF('Nhập kho T42024'!B:B, C73,'Nhập kho T42024'!G:G))*3500</f>
        <v>0</v>
      </c>
      <c r="H73" s="101"/>
      <c r="I73" s="101">
        <f>+ SUMIF('Doanh thu'!A:A, C73,'Doanh thu'!E:E)</f>
        <v>7</v>
      </c>
      <c r="J73" s="101">
        <f t="shared" si="12"/>
        <v>3</v>
      </c>
      <c r="K73" s="103">
        <f t="shared" si="0"/>
        <v>231840</v>
      </c>
      <c r="L73" s="104">
        <f>+ SUMIF('Doanh thu'!A:A, C73,'Doanh thu'!F:F)</f>
        <v>231840</v>
      </c>
    </row>
    <row r="74" spans="1:12" ht="13.2">
      <c r="A74" s="372"/>
      <c r="B74" s="111">
        <v>1</v>
      </c>
      <c r="C74" s="112" t="s">
        <v>535</v>
      </c>
      <c r="D74" s="112" t="s">
        <v>536</v>
      </c>
      <c r="E74" s="111" t="s">
        <v>484</v>
      </c>
      <c r="F74" s="102">
        <f>+ SUMIF('Nhập kho T42024'!B:B, C74,'Nhập kho T42024'!F:F)</f>
        <v>0</v>
      </c>
      <c r="G74" s="100">
        <f>+ (SUMIF('Nhập kho T42024'!B:B, C74,'Nhập kho T42024'!G:G))*3500</f>
        <v>0</v>
      </c>
      <c r="H74" s="101"/>
      <c r="I74" s="101">
        <f>+ SUMIF('Doanh thu'!A:A, C74,'Doanh thu'!E:E)</f>
        <v>4</v>
      </c>
      <c r="J74" s="101">
        <f t="shared" si="12"/>
        <v>6</v>
      </c>
      <c r="K74" s="103">
        <f t="shared" si="0"/>
        <v>145360</v>
      </c>
      <c r="L74" s="104">
        <f>+ SUMIF('Doanh thu'!A:A, C74,'Doanh thu'!F:F)</f>
        <v>145360</v>
      </c>
    </row>
    <row r="75" spans="1:12" ht="13.2">
      <c r="A75" s="372"/>
      <c r="B75" s="111">
        <v>1</v>
      </c>
      <c r="C75" s="112" t="s">
        <v>537</v>
      </c>
      <c r="D75" s="112" t="s">
        <v>538</v>
      </c>
      <c r="E75" s="111" t="s">
        <v>484</v>
      </c>
      <c r="F75" s="102">
        <f>+ SUMIF('Nhập kho T42024'!B:B, C75,'Nhập kho T42024'!F:F)</f>
        <v>0</v>
      </c>
      <c r="G75" s="100">
        <f>+ (SUMIF('Nhập kho T42024'!B:B, C75,'Nhập kho T42024'!G:G))*3500</f>
        <v>0</v>
      </c>
      <c r="H75" s="101"/>
      <c r="I75" s="101">
        <f>+ SUMIF('Doanh thu'!A:A, C75,'Doanh thu'!E:E)</f>
        <v>0</v>
      </c>
      <c r="J75" s="101">
        <f t="shared" si="12"/>
        <v>10</v>
      </c>
      <c r="K75" s="103">
        <f t="shared" si="0"/>
        <v>0</v>
      </c>
      <c r="L75" s="104">
        <f>+ SUMIF('Doanh thu'!A:A, C75,'Doanh thu'!F:F)</f>
        <v>0</v>
      </c>
    </row>
    <row r="76" spans="1:12" ht="13.2">
      <c r="A76" s="372"/>
      <c r="B76" s="111">
        <v>1</v>
      </c>
      <c r="C76" s="112" t="s">
        <v>539</v>
      </c>
      <c r="D76" s="112" t="s">
        <v>540</v>
      </c>
      <c r="E76" s="111" t="s">
        <v>484</v>
      </c>
      <c r="F76" s="102">
        <f>+ SUMIF('Nhập kho T42024'!B:B, C76,'Nhập kho T42024'!F:F)</f>
        <v>0</v>
      </c>
      <c r="G76" s="100">
        <f>+ (SUMIF('Nhập kho T42024'!B:B, C76,'Nhập kho T42024'!G:G))*3500</f>
        <v>0</v>
      </c>
      <c r="H76" s="101"/>
      <c r="I76" s="101">
        <f>+ SUMIF('Doanh thu'!A:A, C76,'Doanh thu'!E:E)</f>
        <v>3</v>
      </c>
      <c r="J76" s="101">
        <f t="shared" si="12"/>
        <v>7</v>
      </c>
      <c r="K76" s="103">
        <f t="shared" si="0"/>
        <v>109020</v>
      </c>
      <c r="L76" s="104">
        <f>+ SUMIF('Doanh thu'!A:A, C76,'Doanh thu'!F:F)</f>
        <v>109020</v>
      </c>
    </row>
    <row r="77" spans="1:12" ht="13.2">
      <c r="A77" s="372"/>
      <c r="B77" s="111">
        <v>1</v>
      </c>
      <c r="C77" s="112" t="s">
        <v>541</v>
      </c>
      <c r="D77" s="112" t="s">
        <v>542</v>
      </c>
      <c r="E77" s="111" t="s">
        <v>484</v>
      </c>
      <c r="F77" s="102">
        <f>+ SUMIF('Nhập kho T42024'!B:B, C77,'Nhập kho T42024'!F:F)</f>
        <v>0</v>
      </c>
      <c r="G77" s="100">
        <f>+ (SUMIF('Nhập kho T42024'!B:B, C77,'Nhập kho T42024'!G:G))*3500</f>
        <v>0</v>
      </c>
      <c r="H77" s="101"/>
      <c r="I77" s="101">
        <f>+ SUMIF('Doanh thu'!A:A, C77,'Doanh thu'!E:E)</f>
        <v>1</v>
      </c>
      <c r="J77" s="101">
        <f t="shared" si="12"/>
        <v>9</v>
      </c>
      <c r="K77" s="103">
        <f t="shared" si="0"/>
        <v>27140</v>
      </c>
      <c r="L77" s="104">
        <f>+ SUMIF('Doanh thu'!A:A, C77,'Doanh thu'!F:F)</f>
        <v>27140</v>
      </c>
    </row>
    <row r="78" spans="1:12" ht="13.2">
      <c r="A78" s="372"/>
      <c r="B78" s="111">
        <v>1</v>
      </c>
      <c r="C78" s="112" t="s">
        <v>543</v>
      </c>
      <c r="D78" s="112" t="s">
        <v>544</v>
      </c>
      <c r="E78" s="111" t="s">
        <v>444</v>
      </c>
      <c r="F78" s="102">
        <f>+ SUMIF('Nhập kho T42024'!B:B, C78,'Nhập kho T42024'!F:F)</f>
        <v>0</v>
      </c>
      <c r="G78" s="100">
        <f>+ (SUMIF('Nhập kho T42024'!B:B, C78,'Nhập kho T42024'!G:G))*3500</f>
        <v>0</v>
      </c>
      <c r="H78" s="101"/>
      <c r="I78" s="101">
        <f>+ SUMIF('Doanh thu'!A:A, C78,'Doanh thu'!E:E)</f>
        <v>8</v>
      </c>
      <c r="J78" s="101">
        <f>F78-I78+6</f>
        <v>-2</v>
      </c>
      <c r="K78" s="103">
        <f t="shared" si="0"/>
        <v>112127.4</v>
      </c>
      <c r="L78" s="104">
        <f>+ SUMIF('Doanh thu'!A:A, C78,'Doanh thu'!F:F)</f>
        <v>112127.4</v>
      </c>
    </row>
    <row r="79" spans="1:12" ht="13.2">
      <c r="A79" s="372"/>
      <c r="B79" s="111">
        <v>1</v>
      </c>
      <c r="C79" s="112" t="s">
        <v>545</v>
      </c>
      <c r="D79" s="112" t="s">
        <v>546</v>
      </c>
      <c r="E79" s="111" t="s">
        <v>444</v>
      </c>
      <c r="F79" s="102">
        <f>+ SUMIF('Nhập kho T42024'!B:B, C79,'Nhập kho T42024'!F:F)</f>
        <v>0</v>
      </c>
      <c r="G79" s="100">
        <f>+ (SUMIF('Nhập kho T42024'!B:B, C79,'Nhập kho T42024'!G:G))*3500</f>
        <v>0</v>
      </c>
      <c r="H79" s="101"/>
      <c r="I79" s="101">
        <f>+ SUMIF('Doanh thu'!A:A, C79,'Doanh thu'!E:E)</f>
        <v>5</v>
      </c>
      <c r="J79" s="101">
        <f>F79-I79+9</f>
        <v>4</v>
      </c>
      <c r="K79" s="103">
        <f t="shared" si="0"/>
        <v>70127.399999999994</v>
      </c>
      <c r="L79" s="104">
        <f>+ SUMIF('Doanh thu'!A:A, C79,'Doanh thu'!F:F)</f>
        <v>70127.399999999994</v>
      </c>
    </row>
    <row r="80" spans="1:12" ht="13.2">
      <c r="A80" s="372"/>
      <c r="B80" s="111">
        <v>1</v>
      </c>
      <c r="C80" s="112" t="s">
        <v>547</v>
      </c>
      <c r="D80" s="112" t="s">
        <v>548</v>
      </c>
      <c r="E80" s="111" t="s">
        <v>444</v>
      </c>
      <c r="F80" s="102">
        <f>+ SUMIF('Nhập kho T42024'!B:B, C80,'Nhập kho T42024'!F:F)</f>
        <v>0</v>
      </c>
      <c r="G80" s="100">
        <f>+ (SUMIF('Nhập kho T42024'!B:B, C80,'Nhập kho T42024'!G:G))*3500</f>
        <v>0</v>
      </c>
      <c r="H80" s="101"/>
      <c r="I80" s="101">
        <f>+ SUMIF('Doanh thu'!A:A, C80,'Doanh thu'!E:E)</f>
        <v>4</v>
      </c>
      <c r="J80" s="101">
        <f>F80-I80+10</f>
        <v>6</v>
      </c>
      <c r="K80" s="103">
        <f t="shared" si="0"/>
        <v>56254.8</v>
      </c>
      <c r="L80" s="104">
        <f>+ SUMIF('Doanh thu'!A:A, C80,'Doanh thu'!F:F)</f>
        <v>56254.8</v>
      </c>
    </row>
    <row r="81" spans="1:31" ht="13.2">
      <c r="A81" s="372"/>
      <c r="B81" s="111">
        <v>1</v>
      </c>
      <c r="C81" s="112" t="s">
        <v>549</v>
      </c>
      <c r="D81" s="112" t="s">
        <v>550</v>
      </c>
      <c r="E81" s="111" t="s">
        <v>551</v>
      </c>
      <c r="F81" s="102">
        <f>+ SUMIF('Nhập kho T42024'!B:B, C81,'Nhập kho T42024'!F:F)</f>
        <v>0</v>
      </c>
      <c r="G81" s="100">
        <f>+ (SUMIF('Nhập kho T42024'!B:B, C81,'Nhập kho T42024'!G:G))*3500</f>
        <v>0</v>
      </c>
      <c r="H81" s="101"/>
      <c r="I81" s="101">
        <f>+ SUMIF('Doanh thu'!A:A, C81,'Doanh thu'!E:E)</f>
        <v>2</v>
      </c>
      <c r="J81" s="101">
        <f t="shared" ref="J81:J82" si="13">F81-I81+3</f>
        <v>1</v>
      </c>
      <c r="K81" s="103">
        <f t="shared" si="0"/>
        <v>38000</v>
      </c>
      <c r="L81" s="104">
        <f>+ SUMIF('Doanh thu'!A:A, C81,'Doanh thu'!F:F)</f>
        <v>38000</v>
      </c>
    </row>
    <row r="82" spans="1:31" ht="13.2">
      <c r="A82" s="372"/>
      <c r="B82" s="111">
        <v>1</v>
      </c>
      <c r="C82" s="112" t="s">
        <v>552</v>
      </c>
      <c r="D82" s="112" t="s">
        <v>553</v>
      </c>
      <c r="E82" s="111" t="s">
        <v>551</v>
      </c>
      <c r="F82" s="102">
        <f>+ SUMIF('Nhập kho T42024'!B:B, C82,'Nhập kho T42024'!F:F)</f>
        <v>0</v>
      </c>
      <c r="G82" s="100">
        <f>+ (SUMIF('Nhập kho T42024'!B:B, C82,'Nhập kho T42024'!G:G))*3500</f>
        <v>0</v>
      </c>
      <c r="H82" s="101"/>
      <c r="I82" s="101">
        <f>+ SUMIF('Doanh thu'!A:A, C82,'Doanh thu'!E:E)</f>
        <v>3</v>
      </c>
      <c r="J82" s="101">
        <f t="shared" si="13"/>
        <v>0</v>
      </c>
      <c r="K82" s="103">
        <f t="shared" si="0"/>
        <v>57000</v>
      </c>
      <c r="L82" s="104">
        <f>+ SUMIF('Doanh thu'!A:A, C82,'Doanh thu'!F:F)</f>
        <v>57000</v>
      </c>
    </row>
    <row r="83" spans="1:31" ht="13.2">
      <c r="A83" s="372"/>
      <c r="B83" s="111">
        <v>1</v>
      </c>
      <c r="C83" s="112" t="s">
        <v>554</v>
      </c>
      <c r="D83" s="112" t="s">
        <v>555</v>
      </c>
      <c r="E83" s="111" t="s">
        <v>551</v>
      </c>
      <c r="F83" s="102">
        <f>+ SUMIF('Nhập kho T42024'!B:B, C83,'Nhập kho T42024'!F:F)</f>
        <v>0</v>
      </c>
      <c r="G83" s="100">
        <f>+ (SUMIF('Nhập kho T42024'!B:B, C83,'Nhập kho T42024'!G:G))*3500</f>
        <v>0</v>
      </c>
      <c r="H83" s="101"/>
      <c r="I83" s="101">
        <f>+ SUMIF('Doanh thu'!A:A, C83,'Doanh thu'!E:E)</f>
        <v>6</v>
      </c>
      <c r="J83" s="101">
        <f>F83-I83+10</f>
        <v>4</v>
      </c>
      <c r="K83" s="103">
        <f t="shared" si="0"/>
        <v>120000</v>
      </c>
      <c r="L83" s="104">
        <f>+ SUMIF('Doanh thu'!A:A, C83,'Doanh thu'!F:F)</f>
        <v>120000</v>
      </c>
    </row>
    <row r="84" spans="1:31" ht="13.2">
      <c r="A84" s="372"/>
      <c r="B84" s="111">
        <v>1</v>
      </c>
      <c r="C84" s="112" t="s">
        <v>556</v>
      </c>
      <c r="D84" s="112" t="s">
        <v>557</v>
      </c>
      <c r="E84" s="111" t="s">
        <v>551</v>
      </c>
      <c r="F84" s="102">
        <f>+ SUMIF('Nhập kho T42024'!B:B, C84,'Nhập kho T42024'!F:F)</f>
        <v>0</v>
      </c>
      <c r="G84" s="100">
        <f>+ (SUMIF('Nhập kho T42024'!B:B, C84,'Nhập kho T42024'!G:G))*3500</f>
        <v>0</v>
      </c>
      <c r="H84" s="101"/>
      <c r="I84" s="101">
        <f>+ SUMIF('Doanh thu'!A:A, C84,'Doanh thu'!E:E)</f>
        <v>3</v>
      </c>
      <c r="J84" s="101">
        <f>F84-I84+4</f>
        <v>1</v>
      </c>
      <c r="K84" s="103">
        <f t="shared" si="0"/>
        <v>69000</v>
      </c>
      <c r="L84" s="104">
        <f>+ SUMIF('Doanh thu'!A:A, C84,'Doanh thu'!F:F)</f>
        <v>69000</v>
      </c>
    </row>
    <row r="85" spans="1:31" ht="13.2">
      <c r="A85" s="372"/>
      <c r="B85" s="111">
        <v>1</v>
      </c>
      <c r="C85" s="112" t="s">
        <v>558</v>
      </c>
      <c r="D85" s="112" t="s">
        <v>559</v>
      </c>
      <c r="E85" s="111" t="s">
        <v>551</v>
      </c>
      <c r="F85" s="102">
        <f>+ SUMIF('Nhập kho T42024'!B:B, C85,'Nhập kho T42024'!F:F)</f>
        <v>0</v>
      </c>
      <c r="G85" s="100">
        <f>+ (SUMIF('Nhập kho T42024'!B:B, C85,'Nhập kho T42024'!G:G))*3500</f>
        <v>0</v>
      </c>
      <c r="H85" s="101"/>
      <c r="I85" s="101">
        <f>+ SUMIF('Doanh thu'!A:A, C85,'Doanh thu'!E:E)</f>
        <v>2</v>
      </c>
      <c r="J85" s="101">
        <f>F85-I85+3</f>
        <v>1</v>
      </c>
      <c r="K85" s="103">
        <f t="shared" si="0"/>
        <v>46000</v>
      </c>
      <c r="L85" s="104">
        <f>+ SUMIF('Doanh thu'!A:A, C85,'Doanh thu'!F:F)</f>
        <v>46000</v>
      </c>
    </row>
    <row r="86" spans="1:31" ht="13.2">
      <c r="A86" s="372"/>
      <c r="B86" s="111">
        <v>1</v>
      </c>
      <c r="C86" s="112" t="s">
        <v>560</v>
      </c>
      <c r="D86" s="112" t="s">
        <v>561</v>
      </c>
      <c r="E86" s="111" t="s">
        <v>551</v>
      </c>
      <c r="F86" s="114">
        <f>+ SUMIF('Nhập kho T42024'!B:B, C86,'Nhập kho T42024'!F:F)</f>
        <v>0</v>
      </c>
      <c r="G86" s="100">
        <f>+ (SUMIF('Nhập kho T42024'!B:B, C86,'Nhập kho T42024'!G:G))*3500</f>
        <v>0</v>
      </c>
      <c r="H86" s="115"/>
      <c r="I86" s="115">
        <f>+ SUMIF('Doanh thu'!A:A, C86,'Doanh thu'!E:E)</f>
        <v>0</v>
      </c>
      <c r="J86" s="115">
        <f>F86-I86</f>
        <v>0</v>
      </c>
      <c r="K86" s="103">
        <f t="shared" si="0"/>
        <v>0</v>
      </c>
      <c r="L86" s="104">
        <f>+ SUMIF('Doanh thu'!A:A, C86,'Doanh thu'!F:F)</f>
        <v>0</v>
      </c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</row>
    <row r="87" spans="1:31" ht="13.2">
      <c r="A87" s="372"/>
      <c r="B87" s="111">
        <v>1</v>
      </c>
      <c r="C87" s="112" t="s">
        <v>562</v>
      </c>
      <c r="D87" s="112" t="s">
        <v>563</v>
      </c>
      <c r="E87" s="111" t="s">
        <v>551</v>
      </c>
      <c r="F87" s="102">
        <f>+ SUMIF('Nhập kho T42024'!B:B, C87,'Nhập kho T42024'!F:F)</f>
        <v>0</v>
      </c>
      <c r="G87" s="100">
        <f>+ (SUMIF('Nhập kho T42024'!B:B, C87,'Nhập kho T42024'!G:G))*3500</f>
        <v>0</v>
      </c>
      <c r="H87" s="101"/>
      <c r="I87" s="101">
        <f>+ SUMIF('Doanh thu'!A:A, C87,'Doanh thu'!E:E)</f>
        <v>4</v>
      </c>
      <c r="J87" s="101">
        <f>F87-I87+5</f>
        <v>1</v>
      </c>
      <c r="K87" s="103">
        <f t="shared" si="0"/>
        <v>120000</v>
      </c>
      <c r="L87" s="104">
        <f>+ SUMIF('Doanh thu'!A:A, C87,'Doanh thu'!F:F)</f>
        <v>120000</v>
      </c>
    </row>
    <row r="88" spans="1:31" ht="13.2">
      <c r="A88" s="372"/>
      <c r="B88" s="111">
        <v>1</v>
      </c>
      <c r="C88" s="112" t="s">
        <v>564</v>
      </c>
      <c r="D88" s="112" t="s">
        <v>565</v>
      </c>
      <c r="E88" s="111" t="s">
        <v>551</v>
      </c>
      <c r="F88" s="102">
        <f>+ SUMIF('Nhập kho T42024'!B:B, C88,'Nhập kho T42024'!F:F)</f>
        <v>0</v>
      </c>
      <c r="G88" s="100">
        <f>+ (SUMIF('Nhập kho T42024'!B:B, C88,'Nhập kho T42024'!G:G))*3500</f>
        <v>0</v>
      </c>
      <c r="H88" s="101"/>
      <c r="I88" s="101">
        <f>+ SUMIF('Doanh thu'!A:A, C88,'Doanh thu'!E:E)</f>
        <v>1</v>
      </c>
      <c r="J88" s="101">
        <f t="shared" ref="J88:J89" si="14">F88-I88</f>
        <v>-1</v>
      </c>
      <c r="K88" s="103">
        <f t="shared" si="0"/>
        <v>28000</v>
      </c>
      <c r="L88" s="104">
        <f>+ SUMIF('Doanh thu'!A:A, C88,'Doanh thu'!F:F)</f>
        <v>28000</v>
      </c>
    </row>
    <row r="89" spans="1:31" ht="13.2">
      <c r="A89" s="372"/>
      <c r="B89" s="111">
        <v>1</v>
      </c>
      <c r="C89" s="112" t="s">
        <v>566</v>
      </c>
      <c r="D89" s="112" t="s">
        <v>567</v>
      </c>
      <c r="E89" s="111" t="s">
        <v>551</v>
      </c>
      <c r="F89" s="102">
        <f>+ SUMIF('Nhập kho T42024'!B:B, C89,'Nhập kho T42024'!F:F)</f>
        <v>0</v>
      </c>
      <c r="G89" s="100">
        <f>+ (SUMIF('Nhập kho T42024'!B:B, C89,'Nhập kho T42024'!G:G))*3500</f>
        <v>0</v>
      </c>
      <c r="H89" s="101"/>
      <c r="I89" s="101">
        <f>+ SUMIF('Doanh thu'!A:A, C89,'Doanh thu'!E:E)</f>
        <v>1</v>
      </c>
      <c r="J89" s="101">
        <f t="shared" si="14"/>
        <v>-1</v>
      </c>
      <c r="K89" s="103">
        <f t="shared" si="0"/>
        <v>28000</v>
      </c>
      <c r="L89" s="104">
        <f>+ SUMIF('Doanh thu'!A:A, C89,'Doanh thu'!F:F)</f>
        <v>28000</v>
      </c>
    </row>
    <row r="90" spans="1:31" ht="13.2">
      <c r="A90" s="372"/>
      <c r="B90" s="111">
        <v>1</v>
      </c>
      <c r="C90" s="112" t="s">
        <v>568</v>
      </c>
      <c r="D90" s="112" t="s">
        <v>569</v>
      </c>
      <c r="E90" s="111" t="s">
        <v>551</v>
      </c>
      <c r="F90" s="102">
        <f>+ SUMIF('Nhập kho T42024'!B:B, C90,'Nhập kho T42024'!F:F)</f>
        <v>0</v>
      </c>
      <c r="G90" s="100">
        <f>+ (SUMIF('Nhập kho T42024'!B:B, C90,'Nhập kho T42024'!G:G))*3500</f>
        <v>0</v>
      </c>
      <c r="H90" s="101"/>
      <c r="I90" s="101">
        <f>+ SUMIF('Doanh thu'!A:A, C90,'Doanh thu'!E:E)</f>
        <v>3</v>
      </c>
      <c r="J90" s="101">
        <f>F90-I90+6</f>
        <v>3</v>
      </c>
      <c r="K90" s="103">
        <f t="shared" si="0"/>
        <v>90000</v>
      </c>
      <c r="L90" s="104">
        <f>+ SUMIF('Doanh thu'!A:A, C90,'Doanh thu'!F:F)</f>
        <v>90000</v>
      </c>
    </row>
    <row r="91" spans="1:31" ht="13.2">
      <c r="A91" s="372"/>
      <c r="B91" s="111">
        <v>1</v>
      </c>
      <c r="C91" s="112" t="s">
        <v>570</v>
      </c>
      <c r="D91" s="112" t="s">
        <v>571</v>
      </c>
      <c r="E91" s="111" t="s">
        <v>551</v>
      </c>
      <c r="F91" s="102">
        <f>+ SUMIF('Nhập kho T42024'!B:B, C91,'Nhập kho T42024'!F:F)</f>
        <v>0</v>
      </c>
      <c r="G91" s="100">
        <f>+ (SUMIF('Nhập kho T42024'!B:B, C91,'Nhập kho T42024'!G:G))*3500</f>
        <v>0</v>
      </c>
      <c r="H91" s="101"/>
      <c r="I91" s="101">
        <f>+ SUMIF('Doanh thu'!A:A, C91,'Doanh thu'!E:E)</f>
        <v>1</v>
      </c>
      <c r="J91" s="101">
        <f>F91-I91</f>
        <v>-1</v>
      </c>
      <c r="K91" s="103">
        <f t="shared" si="0"/>
        <v>30000</v>
      </c>
      <c r="L91" s="104">
        <f>+ SUMIF('Doanh thu'!A:A, C91,'Doanh thu'!F:F)</f>
        <v>30000</v>
      </c>
    </row>
    <row r="92" spans="1:31" ht="13.2">
      <c r="A92" s="372"/>
      <c r="B92" s="111">
        <v>1</v>
      </c>
      <c r="C92" s="112" t="s">
        <v>572</v>
      </c>
      <c r="D92" s="112" t="s">
        <v>573</v>
      </c>
      <c r="E92" s="111" t="s">
        <v>551</v>
      </c>
      <c r="F92" s="102">
        <f>+ SUMIF('Nhập kho T42024'!B:B, C92,'Nhập kho T42024'!F:F)</f>
        <v>0</v>
      </c>
      <c r="G92" s="100">
        <f>+ (SUMIF('Nhập kho T42024'!B:B, C92,'Nhập kho T42024'!G:G))*3500</f>
        <v>0</v>
      </c>
      <c r="H92" s="101"/>
      <c r="I92" s="101">
        <f>+ SUMIF('Doanh thu'!A:A, C92,'Doanh thu'!E:E)</f>
        <v>3</v>
      </c>
      <c r="J92" s="101">
        <f>F92-I92+2</f>
        <v>-1</v>
      </c>
      <c r="K92" s="103">
        <f t="shared" si="0"/>
        <v>90000</v>
      </c>
      <c r="L92" s="104">
        <f>+ SUMIF('Doanh thu'!A:A, C92,'Doanh thu'!F:F)</f>
        <v>90000</v>
      </c>
    </row>
    <row r="93" spans="1:31" ht="13.2">
      <c r="A93" s="372"/>
      <c r="B93" s="111">
        <v>1</v>
      </c>
      <c r="C93" s="112" t="s">
        <v>574</v>
      </c>
      <c r="D93" s="112" t="s">
        <v>575</v>
      </c>
      <c r="E93" s="111" t="s">
        <v>551</v>
      </c>
      <c r="F93" s="102">
        <f>+ SUMIF('Nhập kho T42024'!B:B, C93,'Nhập kho T42024'!F:F)</f>
        <v>0</v>
      </c>
      <c r="G93" s="100">
        <f>+ (SUMIF('Nhập kho T42024'!B:B, C93,'Nhập kho T42024'!G:G))*3500</f>
        <v>0</v>
      </c>
      <c r="H93" s="101"/>
      <c r="I93" s="101">
        <f>+ SUMIF('Doanh thu'!A:A, C93,'Doanh thu'!E:E)</f>
        <v>0</v>
      </c>
      <c r="J93" s="101">
        <f>F93-I93+1</f>
        <v>1</v>
      </c>
      <c r="K93" s="103">
        <f t="shared" si="0"/>
        <v>0</v>
      </c>
      <c r="L93" s="104">
        <f>+ SUMIF('Doanh thu'!A:A, C93,'Doanh thu'!F:F)</f>
        <v>0</v>
      </c>
    </row>
    <row r="94" spans="1:31" ht="13.2">
      <c r="A94" s="372"/>
      <c r="B94" s="111">
        <v>1</v>
      </c>
      <c r="C94" s="112" t="s">
        <v>576</v>
      </c>
      <c r="D94" s="112" t="s">
        <v>577</v>
      </c>
      <c r="E94" s="111" t="s">
        <v>551</v>
      </c>
      <c r="F94" s="102">
        <f>+ SUMIF('Nhập kho T42024'!B:B, C94,'Nhập kho T42024'!F:F)</f>
        <v>0</v>
      </c>
      <c r="G94" s="100">
        <f>+ (SUMIF('Nhập kho T42024'!B:B, C94,'Nhập kho T42024'!G:G))*3500</f>
        <v>0</v>
      </c>
      <c r="H94" s="101"/>
      <c r="I94" s="101">
        <f>+ SUMIF('Doanh thu'!A:A, C94,'Doanh thu'!E:E)</f>
        <v>1</v>
      </c>
      <c r="J94" s="101">
        <f>F94-I94+6</f>
        <v>5</v>
      </c>
      <c r="K94" s="103">
        <f t="shared" si="0"/>
        <v>20000</v>
      </c>
      <c r="L94" s="104">
        <f>+ SUMIF('Doanh thu'!A:A, C94,'Doanh thu'!F:F)</f>
        <v>20000</v>
      </c>
    </row>
    <row r="95" spans="1:31" ht="13.2">
      <c r="A95" s="372"/>
      <c r="B95" s="111">
        <v>1</v>
      </c>
      <c r="C95" s="112" t="s">
        <v>578</v>
      </c>
      <c r="D95" s="112" t="s">
        <v>579</v>
      </c>
      <c r="E95" s="111" t="s">
        <v>551</v>
      </c>
      <c r="F95" s="102">
        <f>+ SUMIF('Nhập kho T42024'!B:B, C95,'Nhập kho T42024'!F:F)</f>
        <v>0</v>
      </c>
      <c r="G95" s="100">
        <f>+ (SUMIF('Nhập kho T42024'!B:B, C95,'Nhập kho T42024'!G:G))*3500</f>
        <v>0</v>
      </c>
      <c r="H95" s="101"/>
      <c r="I95" s="101">
        <f>+ SUMIF('Doanh thu'!A:A, C95,'Doanh thu'!E:E)</f>
        <v>3</v>
      </c>
      <c r="J95" s="101">
        <f>F95-I95+8</f>
        <v>5</v>
      </c>
      <c r="K95" s="103">
        <f t="shared" si="0"/>
        <v>60000</v>
      </c>
      <c r="L95" s="104">
        <f>+ SUMIF('Doanh thu'!A:A, C95,'Doanh thu'!F:F)</f>
        <v>60000</v>
      </c>
    </row>
    <row r="96" spans="1:31" ht="13.2">
      <c r="A96" s="372"/>
      <c r="B96" s="111">
        <v>1</v>
      </c>
      <c r="C96" s="112" t="s">
        <v>580</v>
      </c>
      <c r="D96" s="112" t="s">
        <v>581</v>
      </c>
      <c r="E96" s="111" t="s">
        <v>551</v>
      </c>
      <c r="F96" s="102">
        <f>+ SUMIF('Nhập kho T42024'!B:B, C96,'Nhập kho T42024'!F:F)</f>
        <v>0</v>
      </c>
      <c r="G96" s="100">
        <f>+ (SUMIF('Nhập kho T42024'!B:B, C96,'Nhập kho T42024'!G:G))*3500</f>
        <v>0</v>
      </c>
      <c r="H96" s="101"/>
      <c r="I96" s="101">
        <f>+ SUMIF('Doanh thu'!A:A, C96,'Doanh thu'!E:E)</f>
        <v>4</v>
      </c>
      <c r="J96" s="101">
        <f>F96-I96+9</f>
        <v>5</v>
      </c>
      <c r="K96" s="103">
        <f t="shared" si="0"/>
        <v>80000</v>
      </c>
      <c r="L96" s="104">
        <f>+ SUMIF('Doanh thu'!A:A, C96,'Doanh thu'!F:F)</f>
        <v>80000</v>
      </c>
    </row>
    <row r="97" spans="1:12" ht="13.2">
      <c r="A97" s="372"/>
      <c r="B97" s="111">
        <v>1</v>
      </c>
      <c r="C97" s="112" t="s">
        <v>582</v>
      </c>
      <c r="D97" s="112" t="s">
        <v>583</v>
      </c>
      <c r="E97" s="111" t="s">
        <v>444</v>
      </c>
      <c r="F97" s="102">
        <f>+ SUMIF('Nhập kho T42024'!B:B, C97,'Nhập kho T42024'!F:F)</f>
        <v>0</v>
      </c>
      <c r="G97" s="100">
        <f>+ (SUMIF('Nhập kho T42024'!B:B, C97,'Nhập kho T42024'!G:G))*3500</f>
        <v>0</v>
      </c>
      <c r="H97" s="101"/>
      <c r="I97" s="101">
        <f>+ SUMIF('Doanh thu'!A:A, C97,'Doanh thu'!E:E)</f>
        <v>2</v>
      </c>
      <c r="J97" s="101">
        <f>F97-I97+3</f>
        <v>1</v>
      </c>
      <c r="K97" s="103">
        <f t="shared" si="0"/>
        <v>26000</v>
      </c>
      <c r="L97" s="104">
        <f>+ SUMIF('Doanh thu'!A:A, C97,'Doanh thu'!F:F)</f>
        <v>26000</v>
      </c>
    </row>
    <row r="98" spans="1:12" ht="13.2">
      <c r="A98" s="372"/>
      <c r="B98" s="111">
        <v>1</v>
      </c>
      <c r="C98" s="112" t="s">
        <v>584</v>
      </c>
      <c r="D98" s="112" t="s">
        <v>585</v>
      </c>
      <c r="E98" s="111" t="s">
        <v>444</v>
      </c>
      <c r="F98" s="102">
        <f>+ SUMIF('Nhập kho T42024'!B:B, C98,'Nhập kho T42024'!F:F)</f>
        <v>0</v>
      </c>
      <c r="G98" s="100">
        <f>+ (SUMIF('Nhập kho T42024'!B:B, C98,'Nhập kho T42024'!G:G))*3500</f>
        <v>0</v>
      </c>
      <c r="H98" s="101"/>
      <c r="I98" s="101">
        <f>+ SUMIF('Doanh thu'!A:A, C98,'Doanh thu'!E:E)</f>
        <v>0</v>
      </c>
      <c r="J98" s="101">
        <f>F98-I98+1</f>
        <v>1</v>
      </c>
      <c r="K98" s="103">
        <f t="shared" si="0"/>
        <v>0</v>
      </c>
      <c r="L98" s="104">
        <f>+ SUMIF('Doanh thu'!A:A, C98,'Doanh thu'!F:F)</f>
        <v>0</v>
      </c>
    </row>
    <row r="99" spans="1:12" ht="13.2">
      <c r="A99" s="372"/>
      <c r="B99" s="111">
        <v>1</v>
      </c>
      <c r="C99" s="112" t="s">
        <v>586</v>
      </c>
      <c r="D99" s="112" t="s">
        <v>587</v>
      </c>
      <c r="E99" s="111" t="s">
        <v>444</v>
      </c>
      <c r="F99" s="102">
        <f>+ SUMIF('Nhập kho T42024'!B:B, C99,'Nhập kho T42024'!F:F)</f>
        <v>0</v>
      </c>
      <c r="G99" s="100">
        <f>+ (SUMIF('Nhập kho T42024'!B:B, C99,'Nhập kho T42024'!G:G))*3500</f>
        <v>0</v>
      </c>
      <c r="H99" s="101"/>
      <c r="I99" s="101">
        <f>+ SUMIF('Doanh thu'!A:A, C99,'Doanh thu'!E:E)</f>
        <v>0</v>
      </c>
      <c r="J99" s="101">
        <f t="shared" ref="J99:J100" si="15">F99-I99</f>
        <v>0</v>
      </c>
      <c r="K99" s="103">
        <f t="shared" si="0"/>
        <v>0</v>
      </c>
      <c r="L99" s="104">
        <f>+ SUMIF('Doanh thu'!A:A, C99,'Doanh thu'!F:F)</f>
        <v>0</v>
      </c>
    </row>
    <row r="100" spans="1:12" ht="13.2">
      <c r="A100" s="372"/>
      <c r="B100" s="111">
        <v>1</v>
      </c>
      <c r="C100" s="112" t="s">
        <v>588</v>
      </c>
      <c r="D100" s="112" t="s">
        <v>589</v>
      </c>
      <c r="E100" s="111" t="s">
        <v>444</v>
      </c>
      <c r="F100" s="102">
        <f>+ SUMIF('Nhập kho T42024'!B:B, C100,'Nhập kho T42024'!F:F)</f>
        <v>0</v>
      </c>
      <c r="G100" s="100">
        <f>+ (SUMIF('Nhập kho T42024'!B:B, C100,'Nhập kho T42024'!G:G))*3500</f>
        <v>0</v>
      </c>
      <c r="H100" s="101"/>
      <c r="I100" s="101">
        <f>+ SUMIF('Doanh thu'!A:A, C100,'Doanh thu'!E:E)</f>
        <v>0</v>
      </c>
      <c r="J100" s="101">
        <f t="shared" si="15"/>
        <v>0</v>
      </c>
      <c r="K100" s="103">
        <f t="shared" si="0"/>
        <v>0</v>
      </c>
      <c r="L100" s="104">
        <f>+ SUMIF('Doanh thu'!A:A, C100,'Doanh thu'!F:F)</f>
        <v>0</v>
      </c>
    </row>
    <row r="101" spans="1:12" ht="13.2">
      <c r="A101" s="372"/>
      <c r="B101" s="111">
        <v>1</v>
      </c>
      <c r="C101" s="112" t="s">
        <v>590</v>
      </c>
      <c r="D101" s="112" t="s">
        <v>591</v>
      </c>
      <c r="E101" s="111" t="s">
        <v>444</v>
      </c>
      <c r="F101" s="102">
        <f>+ SUMIF('Nhập kho T42024'!B:B, C101,'Nhập kho T42024'!F:F)</f>
        <v>0</v>
      </c>
      <c r="G101" s="100">
        <f>+ (SUMIF('Nhập kho T42024'!B:B, C101,'Nhập kho T42024'!G:G))*3500</f>
        <v>0</v>
      </c>
      <c r="H101" s="101"/>
      <c r="I101" s="101">
        <f>+ SUMIF('Doanh thu'!A:A, C101,'Doanh thu'!E:E)</f>
        <v>4</v>
      </c>
      <c r="J101" s="101">
        <f>F101-I101+3</f>
        <v>-1</v>
      </c>
      <c r="K101" s="103">
        <f t="shared" si="0"/>
        <v>56000</v>
      </c>
      <c r="L101" s="104">
        <f>+ SUMIF('Doanh thu'!A:A, C101,'Doanh thu'!F:F)</f>
        <v>56000</v>
      </c>
    </row>
    <row r="102" spans="1:12" ht="13.2">
      <c r="A102" s="372"/>
      <c r="B102" s="111">
        <v>1</v>
      </c>
      <c r="C102" s="112" t="s">
        <v>629</v>
      </c>
      <c r="D102" s="112" t="s">
        <v>630</v>
      </c>
      <c r="E102" s="111" t="s">
        <v>444</v>
      </c>
      <c r="F102" s="102">
        <f>+ SUMIF('Nhập kho T42024'!B:B, C102,'Nhập kho T42024'!F:F)</f>
        <v>0</v>
      </c>
      <c r="G102" s="100">
        <f>+ (SUMIF('Nhập kho T42024'!B:B, C102,'Nhập kho T42024'!G:G))*3500</f>
        <v>0</v>
      </c>
      <c r="H102" s="101"/>
      <c r="I102" s="101">
        <f>+ SUMIF('Doanh thu'!A:A, C102,'Doanh thu'!E:E)</f>
        <v>2</v>
      </c>
      <c r="J102" s="101">
        <f>F102-I102+7</f>
        <v>5</v>
      </c>
      <c r="K102" s="103">
        <f t="shared" si="0"/>
        <v>65000</v>
      </c>
      <c r="L102" s="104">
        <f>+ SUMIF('Doanh thu'!A:A, C102,'Doanh thu'!F:F)</f>
        <v>65000</v>
      </c>
    </row>
    <row r="103" spans="1:12" ht="13.2">
      <c r="A103" s="372"/>
      <c r="B103" s="111">
        <v>1</v>
      </c>
      <c r="C103" s="112" t="s">
        <v>631</v>
      </c>
      <c r="D103" s="112" t="s">
        <v>632</v>
      </c>
      <c r="E103" s="111" t="s">
        <v>444</v>
      </c>
      <c r="F103" s="102">
        <f>+ SUMIF('Nhập kho T42024'!B:B, C103,'Nhập kho T42024'!F:F)</f>
        <v>0</v>
      </c>
      <c r="G103" s="100">
        <f>+ (SUMIF('Nhập kho T42024'!B:B, C103,'Nhập kho T42024'!G:G))*3500</f>
        <v>0</v>
      </c>
      <c r="H103" s="101"/>
      <c r="I103" s="101">
        <f>+ SUMIF('Doanh thu'!A:A, C103,'Doanh thu'!E:E)</f>
        <v>1</v>
      </c>
      <c r="J103" s="101">
        <f>F103-I103+1</f>
        <v>0</v>
      </c>
      <c r="K103" s="103">
        <f t="shared" si="0"/>
        <v>19000</v>
      </c>
      <c r="L103" s="104">
        <f>+ SUMIF('Doanh thu'!A:A, C103,'Doanh thu'!F:F)</f>
        <v>19000</v>
      </c>
    </row>
    <row r="104" spans="1:12" ht="13.2">
      <c r="A104" s="372"/>
      <c r="B104" s="111">
        <v>1</v>
      </c>
      <c r="C104" s="112" t="s">
        <v>633</v>
      </c>
      <c r="D104" s="112" t="s">
        <v>634</v>
      </c>
      <c r="E104" s="111" t="s">
        <v>444</v>
      </c>
      <c r="F104" s="102">
        <f>+ SUMIF('Nhập kho T42024'!B:B, C104,'Nhập kho T42024'!F:F)</f>
        <v>0</v>
      </c>
      <c r="G104" s="100">
        <f>+ (SUMIF('Nhập kho T42024'!B:B, C104,'Nhập kho T42024'!G:G))*3500</f>
        <v>0</v>
      </c>
      <c r="H104" s="101"/>
      <c r="I104" s="101">
        <f>+ SUMIF('Doanh thu'!A:A, C104,'Doanh thu'!E:E)</f>
        <v>2</v>
      </c>
      <c r="J104" s="101">
        <f>F104-I104+2</f>
        <v>0</v>
      </c>
      <c r="K104" s="103">
        <f t="shared" si="0"/>
        <v>65000</v>
      </c>
      <c r="L104" s="104">
        <f>+ SUMIF('Doanh thu'!A:A, C104,'Doanh thu'!F:F)</f>
        <v>65000</v>
      </c>
    </row>
    <row r="105" spans="1:12" ht="13.2">
      <c r="A105" s="372"/>
      <c r="B105" s="111">
        <v>1</v>
      </c>
      <c r="C105" s="112" t="s">
        <v>635</v>
      </c>
      <c r="D105" s="112" t="s">
        <v>636</v>
      </c>
      <c r="E105" s="111" t="s">
        <v>444</v>
      </c>
      <c r="F105" s="102">
        <f>+ SUMIF('Nhập kho T42024'!B:B, C105,'Nhập kho T42024'!F:F)</f>
        <v>0</v>
      </c>
      <c r="G105" s="100">
        <f>+ (SUMIF('Nhập kho T42024'!B:B, C105,'Nhập kho T42024'!G:G))*3500</f>
        <v>0</v>
      </c>
      <c r="H105" s="101"/>
      <c r="I105" s="101">
        <f>+ SUMIF('Doanh thu'!A:A, C105,'Doanh thu'!E:E)</f>
        <v>0</v>
      </c>
      <c r="J105" s="101">
        <f t="shared" ref="J105:J107" si="16">F105-I105</f>
        <v>0</v>
      </c>
      <c r="K105" s="103">
        <f t="shared" si="0"/>
        <v>0</v>
      </c>
      <c r="L105" s="104">
        <f>+ SUMIF('Doanh thu'!A:A, C105,'Doanh thu'!F:F)</f>
        <v>0</v>
      </c>
    </row>
    <row r="106" spans="1:12" ht="13.2">
      <c r="A106" s="372"/>
      <c r="B106" s="111">
        <v>1</v>
      </c>
      <c r="C106" s="112" t="s">
        <v>637</v>
      </c>
      <c r="D106" s="112" t="s">
        <v>638</v>
      </c>
      <c r="E106" s="111" t="s">
        <v>444</v>
      </c>
      <c r="F106" s="102">
        <f>+ SUMIF('Nhập kho T42024'!B:B, C106,'Nhập kho T42024'!F:F)</f>
        <v>0</v>
      </c>
      <c r="G106" s="100">
        <f>+ (SUMIF('Nhập kho T42024'!B:B, C106,'Nhập kho T42024'!G:G))*3500</f>
        <v>0</v>
      </c>
      <c r="H106" s="101"/>
      <c r="I106" s="101">
        <f>+ SUMIF('Doanh thu'!A:A, C106,'Doanh thu'!E:E)</f>
        <v>0</v>
      </c>
      <c r="J106" s="101">
        <f t="shared" si="16"/>
        <v>0</v>
      </c>
      <c r="K106" s="103">
        <f t="shared" si="0"/>
        <v>0</v>
      </c>
      <c r="L106" s="104">
        <f>+ SUMIF('Doanh thu'!A:A, C106,'Doanh thu'!F:F)</f>
        <v>0</v>
      </c>
    </row>
    <row r="107" spans="1:12" ht="13.2">
      <c r="A107" s="372"/>
      <c r="B107" s="111">
        <v>1</v>
      </c>
      <c r="C107" s="112" t="s">
        <v>639</v>
      </c>
      <c r="D107" s="112" t="s">
        <v>640</v>
      </c>
      <c r="E107" s="111" t="s">
        <v>444</v>
      </c>
      <c r="F107" s="102">
        <f>+ SUMIF('Nhập kho T42024'!B:B, C107,'Nhập kho T42024'!F:F)</f>
        <v>0</v>
      </c>
      <c r="G107" s="100">
        <f>+ (SUMIF('Nhập kho T42024'!B:B, C107,'Nhập kho T42024'!G:G))*3500</f>
        <v>0</v>
      </c>
      <c r="H107" s="101"/>
      <c r="I107" s="101">
        <f>+ SUMIF('Doanh thu'!A:A, C107,'Doanh thu'!E:E)</f>
        <v>0</v>
      </c>
      <c r="J107" s="101">
        <f t="shared" si="16"/>
        <v>0</v>
      </c>
      <c r="K107" s="103">
        <f t="shared" si="0"/>
        <v>0</v>
      </c>
      <c r="L107" s="104">
        <f>+ SUMIF('Doanh thu'!A:A, C107,'Doanh thu'!F:F)</f>
        <v>0</v>
      </c>
    </row>
    <row r="108" spans="1:12" ht="13.2">
      <c r="A108" s="372"/>
      <c r="B108" s="111">
        <v>1</v>
      </c>
      <c r="C108" s="112" t="s">
        <v>641</v>
      </c>
      <c r="D108" s="112" t="s">
        <v>642</v>
      </c>
      <c r="E108" s="111" t="s">
        <v>444</v>
      </c>
      <c r="F108" s="102">
        <f>+ SUMIF('Nhập kho T42024'!B:B, C108,'Nhập kho T42024'!F:F)</f>
        <v>0</v>
      </c>
      <c r="G108" s="100">
        <f>+ (SUMIF('Nhập kho T42024'!B:B, C108,'Nhập kho T42024'!G:G))*3500</f>
        <v>0</v>
      </c>
      <c r="H108" s="101"/>
      <c r="I108" s="101">
        <f>+ SUMIF('Doanh thu'!A:A, C108,'Doanh thu'!E:E)</f>
        <v>3</v>
      </c>
      <c r="J108" s="101">
        <f t="shared" ref="J108:J109" si="17">F108-I108+3</f>
        <v>0</v>
      </c>
      <c r="K108" s="103">
        <f t="shared" si="0"/>
        <v>64000</v>
      </c>
      <c r="L108" s="104">
        <f>+ SUMIF('Doanh thu'!A:A, C108,'Doanh thu'!F:F)</f>
        <v>64000</v>
      </c>
    </row>
    <row r="109" spans="1:12" ht="13.2">
      <c r="A109" s="372"/>
      <c r="B109" s="111">
        <v>1</v>
      </c>
      <c r="C109" s="112" t="s">
        <v>643</v>
      </c>
      <c r="D109" s="112" t="s">
        <v>644</v>
      </c>
      <c r="E109" s="111" t="s">
        <v>444</v>
      </c>
      <c r="F109" s="102">
        <f>+ SUMIF('Nhập kho T42024'!B:B, C109,'Nhập kho T42024'!F:F)</f>
        <v>0</v>
      </c>
      <c r="G109" s="100">
        <f>+ (SUMIF('Nhập kho T42024'!B:B, C109,'Nhập kho T42024'!G:G))*3500</f>
        <v>0</v>
      </c>
      <c r="H109" s="101"/>
      <c r="I109" s="101">
        <f>+ SUMIF('Doanh thu'!A:A, C109,'Doanh thu'!E:E)</f>
        <v>3</v>
      </c>
      <c r="J109" s="101">
        <f t="shared" si="17"/>
        <v>0</v>
      </c>
      <c r="K109" s="103">
        <f t="shared" si="0"/>
        <v>63000</v>
      </c>
      <c r="L109" s="104">
        <f>+ SUMIF('Doanh thu'!A:A, C109,'Doanh thu'!F:F)</f>
        <v>63000</v>
      </c>
    </row>
    <row r="110" spans="1:12" ht="13.2">
      <c r="A110" s="372"/>
      <c r="B110" s="111">
        <v>1</v>
      </c>
      <c r="C110" s="112" t="s">
        <v>645</v>
      </c>
      <c r="D110" s="112" t="s">
        <v>646</v>
      </c>
      <c r="E110" s="111" t="s">
        <v>444</v>
      </c>
      <c r="F110" s="102">
        <f>+ SUMIF('Nhập kho T42024'!B:B, C110,'Nhập kho T42024'!F:F)</f>
        <v>0</v>
      </c>
      <c r="G110" s="100">
        <f>+ (SUMIF('Nhập kho T42024'!B:B, C110,'Nhập kho T42024'!G:G))*3500</f>
        <v>0</v>
      </c>
      <c r="H110" s="101"/>
      <c r="I110" s="101">
        <f>+ SUMIF('Doanh thu'!A:A, C110,'Doanh thu'!E:E)</f>
        <v>1</v>
      </c>
      <c r="J110" s="101">
        <f>F110-I110+1</f>
        <v>0</v>
      </c>
      <c r="K110" s="103">
        <f t="shared" si="0"/>
        <v>21000</v>
      </c>
      <c r="L110" s="104">
        <f>+ SUMIF('Doanh thu'!A:A, C110,'Doanh thu'!F:F)</f>
        <v>21000</v>
      </c>
    </row>
    <row r="111" spans="1:12" ht="13.2">
      <c r="A111" s="372"/>
      <c r="B111" s="111">
        <v>1</v>
      </c>
      <c r="C111" s="112" t="s">
        <v>647</v>
      </c>
      <c r="D111" s="112" t="s">
        <v>648</v>
      </c>
      <c r="E111" s="111" t="s">
        <v>444</v>
      </c>
      <c r="F111" s="102">
        <f>+ SUMIF('Nhập kho T42024'!B:B, C111,'Nhập kho T42024'!F:F)</f>
        <v>0</v>
      </c>
      <c r="G111" s="100">
        <f>+ (SUMIF('Nhập kho T42024'!B:B, C111,'Nhập kho T42024'!G:G))*3500</f>
        <v>0</v>
      </c>
      <c r="H111" s="101"/>
      <c r="I111" s="101">
        <f>+ SUMIF('Doanh thu'!A:A, C111,'Doanh thu'!E:E)</f>
        <v>2</v>
      </c>
      <c r="J111" s="101">
        <f>F111-I111+2</f>
        <v>0</v>
      </c>
      <c r="K111" s="103">
        <f t="shared" si="0"/>
        <v>42000</v>
      </c>
      <c r="L111" s="104">
        <f>+ SUMIF('Doanh thu'!A:A, C111,'Doanh thu'!F:F)</f>
        <v>42000</v>
      </c>
    </row>
    <row r="112" spans="1:12" ht="13.2">
      <c r="A112" s="372"/>
      <c r="B112" s="111">
        <v>1</v>
      </c>
      <c r="C112" s="112" t="s">
        <v>649</v>
      </c>
      <c r="D112" s="112" t="s">
        <v>650</v>
      </c>
      <c r="E112" s="111" t="s">
        <v>444</v>
      </c>
      <c r="F112" s="102">
        <f>+ SUMIF('Nhập kho T42024'!B:B, C112,'Nhập kho T42024'!F:F)</f>
        <v>0</v>
      </c>
      <c r="G112" s="100">
        <f>+ (SUMIF('Nhập kho T42024'!B:B, C112,'Nhập kho T42024'!G:G))*3500</f>
        <v>0</v>
      </c>
      <c r="H112" s="101"/>
      <c r="I112" s="101">
        <f>+ SUMIF('Doanh thu'!A:A, C112,'Doanh thu'!E:E)</f>
        <v>0</v>
      </c>
      <c r="J112" s="101">
        <f>F112-I112</f>
        <v>0</v>
      </c>
      <c r="K112" s="103">
        <f t="shared" si="0"/>
        <v>0</v>
      </c>
      <c r="L112" s="104">
        <f>+ SUMIF('Doanh thu'!A:A, C112,'Doanh thu'!F:F)</f>
        <v>0</v>
      </c>
    </row>
    <row r="113" spans="1:12" ht="13.2">
      <c r="A113" s="372"/>
      <c r="B113" s="111">
        <v>1</v>
      </c>
      <c r="C113" s="112" t="s">
        <v>651</v>
      </c>
      <c r="D113" s="112" t="s">
        <v>652</v>
      </c>
      <c r="E113" s="111" t="s">
        <v>444</v>
      </c>
      <c r="F113" s="102">
        <f>+ SUMIF('Nhập kho T42024'!B:B, C113,'Nhập kho T42024'!F:F)</f>
        <v>0</v>
      </c>
      <c r="G113" s="100">
        <f>+ (SUMIF('Nhập kho T42024'!B:B, C113,'Nhập kho T42024'!G:G))*3500</f>
        <v>0</v>
      </c>
      <c r="H113" s="101"/>
      <c r="I113" s="101">
        <f>+ SUMIF('Doanh thu'!A:A, C113,'Doanh thu'!E:E)</f>
        <v>0</v>
      </c>
      <c r="J113" s="101">
        <f>F113-I113+1</f>
        <v>1</v>
      </c>
      <c r="K113" s="103">
        <f t="shared" si="0"/>
        <v>0</v>
      </c>
      <c r="L113" s="104">
        <f>+ SUMIF('Doanh thu'!A:A, C113,'Doanh thu'!F:F)</f>
        <v>0</v>
      </c>
    </row>
    <row r="114" spans="1:12" ht="13.2">
      <c r="A114" s="372"/>
      <c r="B114" s="111">
        <v>1</v>
      </c>
      <c r="C114" s="112" t="s">
        <v>653</v>
      </c>
      <c r="D114" s="112" t="s">
        <v>654</v>
      </c>
      <c r="E114" s="111" t="s">
        <v>444</v>
      </c>
      <c r="F114" s="102">
        <f>+ SUMIF('Nhập kho T42024'!B:B, C114,'Nhập kho T42024'!F:F)</f>
        <v>0</v>
      </c>
      <c r="G114" s="100">
        <f>+ (SUMIF('Nhập kho T42024'!B:B, C114,'Nhập kho T42024'!G:G))*3500</f>
        <v>0</v>
      </c>
      <c r="H114" s="101"/>
      <c r="I114" s="101">
        <f>+ SUMIF('Doanh thu'!A:A, C114,'Doanh thu'!E:E)</f>
        <v>0</v>
      </c>
      <c r="J114" s="101">
        <f t="shared" ref="J114:J116" si="18">F114-I114</f>
        <v>0</v>
      </c>
      <c r="K114" s="103">
        <f t="shared" si="0"/>
        <v>0</v>
      </c>
      <c r="L114" s="104">
        <f>+ SUMIF('Doanh thu'!A:A, C114,'Doanh thu'!F:F)</f>
        <v>0</v>
      </c>
    </row>
    <row r="115" spans="1:12" ht="13.2">
      <c r="A115" s="372"/>
      <c r="B115" s="111">
        <v>1</v>
      </c>
      <c r="C115" s="112" t="s">
        <v>655</v>
      </c>
      <c r="D115" s="112" t="s">
        <v>656</v>
      </c>
      <c r="E115" s="111" t="s">
        <v>444</v>
      </c>
      <c r="F115" s="102">
        <f>+ SUMIF('Nhập kho T42024'!B:B, C115,'Nhập kho T42024'!F:F)</f>
        <v>0</v>
      </c>
      <c r="G115" s="100">
        <f>+ (SUMIF('Nhập kho T42024'!B:B, C115,'Nhập kho T42024'!G:G))*3500</f>
        <v>0</v>
      </c>
      <c r="H115" s="101"/>
      <c r="I115" s="101">
        <f>+ SUMIF('Doanh thu'!A:A, C115,'Doanh thu'!E:E)</f>
        <v>0</v>
      </c>
      <c r="J115" s="101">
        <f t="shared" si="18"/>
        <v>0</v>
      </c>
      <c r="K115" s="103">
        <f t="shared" si="0"/>
        <v>0</v>
      </c>
      <c r="L115" s="104">
        <f>+ SUMIF('Doanh thu'!A:A, C115,'Doanh thu'!F:F)</f>
        <v>0</v>
      </c>
    </row>
    <row r="116" spans="1:12" ht="13.2">
      <c r="A116" s="372"/>
      <c r="B116" s="111">
        <v>1</v>
      </c>
      <c r="C116" s="112" t="s">
        <v>657</v>
      </c>
      <c r="D116" s="112" t="s">
        <v>658</v>
      </c>
      <c r="E116" s="111" t="s">
        <v>444</v>
      </c>
      <c r="F116" s="102">
        <f>+ SUMIF('Nhập kho T42024'!B:B, C116,'Nhập kho T42024'!F:F)</f>
        <v>0</v>
      </c>
      <c r="G116" s="100">
        <f>+ (SUMIF('Nhập kho T42024'!B:B, C116,'Nhập kho T42024'!G:G))*3500</f>
        <v>0</v>
      </c>
      <c r="H116" s="101"/>
      <c r="I116" s="101">
        <f>+ SUMIF('Doanh thu'!A:A, C116,'Doanh thu'!E:E)</f>
        <v>0</v>
      </c>
      <c r="J116" s="101">
        <f t="shared" si="18"/>
        <v>0</v>
      </c>
      <c r="K116" s="103">
        <f t="shared" si="0"/>
        <v>0</v>
      </c>
      <c r="L116" s="104">
        <f>+ SUMIF('Doanh thu'!A:A, C116,'Doanh thu'!F:F)</f>
        <v>0</v>
      </c>
    </row>
    <row r="117" spans="1:12" ht="13.2">
      <c r="A117" s="372"/>
      <c r="B117" s="111">
        <v>1</v>
      </c>
      <c r="C117" s="112" t="s">
        <v>659</v>
      </c>
      <c r="D117" s="112" t="s">
        <v>660</v>
      </c>
      <c r="E117" s="111" t="s">
        <v>444</v>
      </c>
      <c r="F117" s="102">
        <f>+ SUMIF('Nhập kho T42024'!B:B, C117,'Nhập kho T42024'!F:F)</f>
        <v>0</v>
      </c>
      <c r="G117" s="100">
        <f>+ (SUMIF('Nhập kho T42024'!B:B, C117,'Nhập kho T42024'!G:G))*3500</f>
        <v>0</v>
      </c>
      <c r="H117" s="101"/>
      <c r="I117" s="101">
        <f>+ SUMIF('Doanh thu'!A:A, C117,'Doanh thu'!E:E)</f>
        <v>1</v>
      </c>
      <c r="J117" s="101">
        <f t="shared" ref="J117:J118" si="19">F117-I117+2</f>
        <v>1</v>
      </c>
      <c r="K117" s="103">
        <f t="shared" si="0"/>
        <v>29000</v>
      </c>
      <c r="L117" s="104">
        <f>+ SUMIF('Doanh thu'!A:A, C117,'Doanh thu'!F:F)</f>
        <v>29000</v>
      </c>
    </row>
    <row r="118" spans="1:12" ht="13.2">
      <c r="A118" s="372"/>
      <c r="B118" s="111">
        <v>1</v>
      </c>
      <c r="C118" s="112" t="s">
        <v>661</v>
      </c>
      <c r="D118" s="112" t="s">
        <v>662</v>
      </c>
      <c r="E118" s="111" t="s">
        <v>444</v>
      </c>
      <c r="F118" s="102">
        <f>+ SUMIF('Nhập kho T42024'!B:B, C118,'Nhập kho T42024'!F:F)</f>
        <v>0</v>
      </c>
      <c r="G118" s="100">
        <f>+ (SUMIF('Nhập kho T42024'!B:B, C118,'Nhập kho T42024'!G:G))*3500</f>
        <v>0</v>
      </c>
      <c r="H118" s="101"/>
      <c r="I118" s="101">
        <f>+ SUMIF('Doanh thu'!A:A, C118,'Doanh thu'!E:E)</f>
        <v>2</v>
      </c>
      <c r="J118" s="101">
        <f t="shared" si="19"/>
        <v>0</v>
      </c>
      <c r="K118" s="103">
        <f t="shared" si="0"/>
        <v>55000</v>
      </c>
      <c r="L118" s="104">
        <f>+ SUMIF('Doanh thu'!A:A, C118,'Doanh thu'!F:F)</f>
        <v>55000</v>
      </c>
    </row>
    <row r="119" spans="1:12" ht="13.2">
      <c r="A119" s="372"/>
      <c r="B119" s="111">
        <v>1</v>
      </c>
      <c r="C119" s="112" t="s">
        <v>663</v>
      </c>
      <c r="D119" s="112" t="s">
        <v>664</v>
      </c>
      <c r="E119" s="111" t="s">
        <v>444</v>
      </c>
      <c r="F119" s="102">
        <f>+ SUMIF('Nhập kho T42024'!B:B, C119,'Nhập kho T42024'!F:F)</f>
        <v>0</v>
      </c>
      <c r="G119" s="100">
        <f>+ (SUMIF('Nhập kho T42024'!B:B, C119,'Nhập kho T42024'!G:G))*3500</f>
        <v>0</v>
      </c>
      <c r="H119" s="101"/>
      <c r="I119" s="101">
        <f>+ SUMIF('Doanh thu'!A:A, C119,'Doanh thu'!E:E)</f>
        <v>0</v>
      </c>
      <c r="J119" s="101">
        <f>F119-I119</f>
        <v>0</v>
      </c>
      <c r="K119" s="103">
        <f t="shared" si="0"/>
        <v>0</v>
      </c>
      <c r="L119" s="104">
        <f>+ SUMIF('Doanh thu'!A:A, C119,'Doanh thu'!F:F)</f>
        <v>0</v>
      </c>
    </row>
    <row r="120" spans="1:12" ht="13.2">
      <c r="A120" s="372"/>
      <c r="B120" s="111">
        <v>1</v>
      </c>
      <c r="C120" s="112" t="s">
        <v>665</v>
      </c>
      <c r="D120" s="112" t="s">
        <v>666</v>
      </c>
      <c r="E120" s="111" t="s">
        <v>444</v>
      </c>
      <c r="F120" s="102">
        <f>+ SUMIF('Nhập kho T42024'!B:B, C120,'Nhập kho T42024'!F:F)</f>
        <v>0</v>
      </c>
      <c r="G120" s="100">
        <f>+ (SUMIF('Nhập kho T42024'!B:B, C120,'Nhập kho T42024'!G:G))*3500</f>
        <v>0</v>
      </c>
      <c r="H120" s="101"/>
      <c r="I120" s="101">
        <f>+ SUMIF('Doanh thu'!A:A, C120,'Doanh thu'!E:E)</f>
        <v>2</v>
      </c>
      <c r="J120" s="101">
        <f>F120-I120+2</f>
        <v>0</v>
      </c>
      <c r="K120" s="103">
        <f t="shared" si="0"/>
        <v>20000</v>
      </c>
      <c r="L120" s="104">
        <f>+ SUMIF('Doanh thu'!A:A, C120,'Doanh thu'!F:F)</f>
        <v>20000</v>
      </c>
    </row>
    <row r="121" spans="1:12" ht="13.2">
      <c r="A121" s="372"/>
      <c r="B121" s="111">
        <v>1</v>
      </c>
      <c r="C121" s="112" t="s">
        <v>667</v>
      </c>
      <c r="D121" s="112" t="s">
        <v>668</v>
      </c>
      <c r="E121" s="111" t="s">
        <v>444</v>
      </c>
      <c r="F121" s="102">
        <f>+ SUMIF('Nhập kho T42024'!B:B, C121,'Nhập kho T42024'!F:F)</f>
        <v>0</v>
      </c>
      <c r="G121" s="100">
        <f>+ (SUMIF('Nhập kho T42024'!B:B, C121,'Nhập kho T42024'!G:G))*3500</f>
        <v>0</v>
      </c>
      <c r="H121" s="101"/>
      <c r="I121" s="101">
        <f>+ SUMIF('Doanh thu'!A:A, C121,'Doanh thu'!E:E)</f>
        <v>1</v>
      </c>
      <c r="J121" s="101">
        <f t="shared" ref="J121:J123" si="20">F121-I121+1</f>
        <v>0</v>
      </c>
      <c r="K121" s="103">
        <f t="shared" si="0"/>
        <v>11000</v>
      </c>
      <c r="L121" s="104">
        <f>+ SUMIF('Doanh thu'!A:A, C121,'Doanh thu'!F:F)</f>
        <v>11000</v>
      </c>
    </row>
    <row r="122" spans="1:12" ht="13.2">
      <c r="A122" s="372"/>
      <c r="B122" s="111">
        <v>1</v>
      </c>
      <c r="C122" s="112" t="s">
        <v>669</v>
      </c>
      <c r="D122" s="112" t="s">
        <v>670</v>
      </c>
      <c r="E122" s="111" t="s">
        <v>444</v>
      </c>
      <c r="F122" s="102">
        <f>+ SUMIF('Nhập kho T42024'!B:B, C122,'Nhập kho T42024'!F:F)</f>
        <v>0</v>
      </c>
      <c r="G122" s="100">
        <f>+ (SUMIF('Nhập kho T42024'!B:B, C122,'Nhập kho T42024'!G:G))*3500</f>
        <v>0</v>
      </c>
      <c r="H122" s="101"/>
      <c r="I122" s="101">
        <f>+ SUMIF('Doanh thu'!A:A, C122,'Doanh thu'!E:E)</f>
        <v>1</v>
      </c>
      <c r="J122" s="101">
        <f t="shared" si="20"/>
        <v>0</v>
      </c>
      <c r="K122" s="103">
        <f t="shared" si="0"/>
        <v>13000</v>
      </c>
      <c r="L122" s="104">
        <f>+ SUMIF('Doanh thu'!A:A, C122,'Doanh thu'!F:F)</f>
        <v>13000</v>
      </c>
    </row>
    <row r="123" spans="1:12" ht="13.2">
      <c r="A123" s="372"/>
      <c r="B123" s="111">
        <v>1</v>
      </c>
      <c r="C123" s="112" t="s">
        <v>671</v>
      </c>
      <c r="D123" s="112" t="s">
        <v>672</v>
      </c>
      <c r="E123" s="111" t="s">
        <v>444</v>
      </c>
      <c r="F123" s="102">
        <f>+ SUMIF('Nhập kho T42024'!B:B, C123,'Nhập kho T42024'!F:F)</f>
        <v>0</v>
      </c>
      <c r="G123" s="100">
        <f>+ (SUMIF('Nhập kho T42024'!B:B, C123,'Nhập kho T42024'!G:G))*3500</f>
        <v>0</v>
      </c>
      <c r="H123" s="101"/>
      <c r="I123" s="101">
        <f>+ SUMIF('Doanh thu'!A:A, C123,'Doanh thu'!E:E)</f>
        <v>1</v>
      </c>
      <c r="J123" s="101">
        <f t="shared" si="20"/>
        <v>0</v>
      </c>
      <c r="K123" s="103">
        <f t="shared" si="0"/>
        <v>11000</v>
      </c>
      <c r="L123" s="104">
        <f>+ SUMIF('Doanh thu'!A:A, C123,'Doanh thu'!F:F)</f>
        <v>11000</v>
      </c>
    </row>
    <row r="124" spans="1:12" ht="13.2">
      <c r="A124" s="372"/>
      <c r="B124" s="111">
        <v>1</v>
      </c>
      <c r="C124" s="112" t="s">
        <v>673</v>
      </c>
      <c r="D124" s="112" t="s">
        <v>674</v>
      </c>
      <c r="E124" s="111" t="s">
        <v>444</v>
      </c>
      <c r="F124" s="102">
        <f>+ SUMIF('Nhập kho T42024'!B:B, C124,'Nhập kho T42024'!F:F)</f>
        <v>0</v>
      </c>
      <c r="G124" s="100">
        <f>+ (SUMIF('Nhập kho T42024'!B:B, C124,'Nhập kho T42024'!G:G))*3500</f>
        <v>0</v>
      </c>
      <c r="H124" s="101"/>
      <c r="I124" s="101">
        <f>+ SUMIF('Doanh thu'!A:A, C124,'Doanh thu'!E:E)</f>
        <v>3</v>
      </c>
      <c r="J124" s="101">
        <f>F124-I124+3</f>
        <v>0</v>
      </c>
      <c r="K124" s="103">
        <f t="shared" si="0"/>
        <v>36000</v>
      </c>
      <c r="L124" s="104">
        <f>+ SUMIF('Doanh thu'!A:A, C124,'Doanh thu'!F:F)</f>
        <v>36000</v>
      </c>
    </row>
    <row r="125" spans="1:12" ht="13.2">
      <c r="A125" s="372"/>
      <c r="B125" s="111">
        <v>1</v>
      </c>
      <c r="C125" s="112" t="s">
        <v>675</v>
      </c>
      <c r="D125" s="112" t="s">
        <v>676</v>
      </c>
      <c r="E125" s="111" t="s">
        <v>444</v>
      </c>
      <c r="F125" s="102">
        <f>+ SUMIF('Nhập kho T42024'!B:B, C125,'Nhập kho T42024'!F:F)</f>
        <v>0</v>
      </c>
      <c r="G125" s="100">
        <f>+ (SUMIF('Nhập kho T42024'!B:B, C125,'Nhập kho T42024'!G:G))*3500</f>
        <v>0</v>
      </c>
      <c r="H125" s="101"/>
      <c r="I125" s="101">
        <f>+ SUMIF('Doanh thu'!A:A, C125,'Doanh thu'!E:E)</f>
        <v>1</v>
      </c>
      <c r="J125" s="101">
        <f>F125-I125+2</f>
        <v>1</v>
      </c>
      <c r="K125" s="103">
        <f t="shared" si="0"/>
        <v>14000</v>
      </c>
      <c r="L125" s="104">
        <f>+ SUMIF('Doanh thu'!A:A, C125,'Doanh thu'!F:F)</f>
        <v>14000</v>
      </c>
    </row>
    <row r="126" spans="1:12" ht="13.2">
      <c r="A126" s="372"/>
      <c r="B126" s="111">
        <v>1</v>
      </c>
      <c r="C126" s="112" t="s">
        <v>677</v>
      </c>
      <c r="D126" s="112" t="s">
        <v>678</v>
      </c>
      <c r="E126" s="111" t="s">
        <v>444</v>
      </c>
      <c r="F126" s="102">
        <f>+ SUMIF('Nhập kho T42024'!B:B, C126,'Nhập kho T42024'!F:F)</f>
        <v>0</v>
      </c>
      <c r="G126" s="100">
        <f>+ (SUMIF('Nhập kho T42024'!B:B, C126,'Nhập kho T42024'!G:G))*3500</f>
        <v>0</v>
      </c>
      <c r="H126" s="101"/>
      <c r="I126" s="101">
        <f>+ SUMIF('Doanh thu'!A:A, C126,'Doanh thu'!E:E)</f>
        <v>0</v>
      </c>
      <c r="J126" s="101">
        <f t="shared" ref="J126:J132" si="21">F126-I126</f>
        <v>0</v>
      </c>
      <c r="K126" s="103">
        <f t="shared" si="0"/>
        <v>0</v>
      </c>
      <c r="L126" s="104">
        <f>+ SUMIF('Doanh thu'!A:A, C126,'Doanh thu'!F:F)</f>
        <v>0</v>
      </c>
    </row>
    <row r="127" spans="1:12" ht="13.2">
      <c r="A127" s="372"/>
      <c r="B127" s="111">
        <v>1</v>
      </c>
      <c r="C127" s="112" t="s">
        <v>679</v>
      </c>
      <c r="D127" s="112" t="s">
        <v>680</v>
      </c>
      <c r="E127" s="111" t="s">
        <v>444</v>
      </c>
      <c r="F127" s="102">
        <f>+ SUMIF('Nhập kho T42024'!B:B, C127,'Nhập kho T42024'!F:F)</f>
        <v>0</v>
      </c>
      <c r="G127" s="100">
        <f>+ (SUMIF('Nhập kho T42024'!B:B, C127,'Nhập kho T42024'!G:G))*3500</f>
        <v>0</v>
      </c>
      <c r="H127" s="101"/>
      <c r="I127" s="101">
        <f>+ SUMIF('Doanh thu'!A:A, C127,'Doanh thu'!E:E)</f>
        <v>0</v>
      </c>
      <c r="J127" s="101">
        <f t="shared" si="21"/>
        <v>0</v>
      </c>
      <c r="K127" s="103">
        <f t="shared" si="0"/>
        <v>0</v>
      </c>
      <c r="L127" s="104">
        <f>+ SUMIF('Doanh thu'!A:A, C127,'Doanh thu'!F:F)</f>
        <v>0</v>
      </c>
    </row>
    <row r="128" spans="1:12" ht="13.2">
      <c r="A128" s="372"/>
      <c r="B128" s="111">
        <v>1</v>
      </c>
      <c r="C128" s="112" t="s">
        <v>681</v>
      </c>
      <c r="D128" s="112" t="s">
        <v>682</v>
      </c>
      <c r="E128" s="111" t="s">
        <v>444</v>
      </c>
      <c r="F128" s="102">
        <f>+ SUMIF('Nhập kho T42024'!B:B, C128,'Nhập kho T42024'!F:F)</f>
        <v>0</v>
      </c>
      <c r="G128" s="100">
        <f>+ (SUMIF('Nhập kho T42024'!B:B, C128,'Nhập kho T42024'!G:G))*3500</f>
        <v>0</v>
      </c>
      <c r="H128" s="101"/>
      <c r="I128" s="101">
        <f>+ SUMIF('Doanh thu'!A:A, C128,'Doanh thu'!E:E)</f>
        <v>0</v>
      </c>
      <c r="J128" s="101">
        <f t="shared" si="21"/>
        <v>0</v>
      </c>
      <c r="K128" s="103">
        <f t="shared" si="0"/>
        <v>0</v>
      </c>
      <c r="L128" s="104">
        <f>+ SUMIF('Doanh thu'!A:A, C128,'Doanh thu'!F:F)</f>
        <v>0</v>
      </c>
    </row>
    <row r="129" spans="1:12" ht="13.2">
      <c r="A129" s="372"/>
      <c r="B129" s="111">
        <v>1</v>
      </c>
      <c r="C129" s="112" t="s">
        <v>683</v>
      </c>
      <c r="D129" s="112" t="s">
        <v>684</v>
      </c>
      <c r="E129" s="111" t="s">
        <v>444</v>
      </c>
      <c r="F129" s="102">
        <f>+ SUMIF('Nhập kho T42024'!B:B, C129,'Nhập kho T42024'!F:F)</f>
        <v>0</v>
      </c>
      <c r="G129" s="100">
        <f>+ (SUMIF('Nhập kho T42024'!B:B, C129,'Nhập kho T42024'!G:G))*3500</f>
        <v>0</v>
      </c>
      <c r="H129" s="101"/>
      <c r="I129" s="101">
        <f>+ SUMIF('Doanh thu'!A:A, C129,'Doanh thu'!E:E)</f>
        <v>0</v>
      </c>
      <c r="J129" s="101">
        <f t="shared" si="21"/>
        <v>0</v>
      </c>
      <c r="K129" s="103">
        <f t="shared" si="0"/>
        <v>0</v>
      </c>
      <c r="L129" s="104">
        <f>+ SUMIF('Doanh thu'!A:A, C129,'Doanh thu'!F:F)</f>
        <v>0</v>
      </c>
    </row>
    <row r="130" spans="1:12" ht="13.2">
      <c r="A130" s="372"/>
      <c r="B130" s="111">
        <v>1</v>
      </c>
      <c r="C130" s="112" t="s">
        <v>685</v>
      </c>
      <c r="D130" s="112" t="s">
        <v>686</v>
      </c>
      <c r="E130" s="111" t="s">
        <v>444</v>
      </c>
      <c r="F130" s="102">
        <f>+ SUMIF('Nhập kho T42024'!B:B, C130,'Nhập kho T42024'!F:F)</f>
        <v>0</v>
      </c>
      <c r="G130" s="100">
        <f>+ (SUMIF('Nhập kho T42024'!B:B, C130,'Nhập kho T42024'!G:G))*3500</f>
        <v>0</v>
      </c>
      <c r="H130" s="101"/>
      <c r="I130" s="101">
        <f>+ SUMIF('Doanh thu'!A:A, C130,'Doanh thu'!E:E)</f>
        <v>0</v>
      </c>
      <c r="J130" s="101">
        <f t="shared" si="21"/>
        <v>0</v>
      </c>
      <c r="K130" s="103">
        <f t="shared" si="0"/>
        <v>0</v>
      </c>
      <c r="L130" s="104">
        <f>+ SUMIF('Doanh thu'!A:A, C130,'Doanh thu'!F:F)</f>
        <v>0</v>
      </c>
    </row>
    <row r="131" spans="1:12" ht="13.2">
      <c r="A131" s="372"/>
      <c r="B131" s="111">
        <v>1</v>
      </c>
      <c r="C131" s="112" t="s">
        <v>687</v>
      </c>
      <c r="D131" s="112" t="s">
        <v>688</v>
      </c>
      <c r="E131" s="111" t="s">
        <v>444</v>
      </c>
      <c r="F131" s="102">
        <f>+ SUMIF('Nhập kho T42024'!B:B, C131,'Nhập kho T42024'!F:F)</f>
        <v>0</v>
      </c>
      <c r="G131" s="100">
        <f>+ (SUMIF('Nhập kho T42024'!B:B, C131,'Nhập kho T42024'!G:G))*3500</f>
        <v>0</v>
      </c>
      <c r="H131" s="101"/>
      <c r="I131" s="101">
        <f>+ SUMIF('Doanh thu'!A:A, C131,'Doanh thu'!E:E)</f>
        <v>0</v>
      </c>
      <c r="J131" s="101">
        <f t="shared" si="21"/>
        <v>0</v>
      </c>
      <c r="K131" s="103">
        <f t="shared" si="0"/>
        <v>0</v>
      </c>
      <c r="L131" s="104">
        <f>+ SUMIF('Doanh thu'!A:A, C131,'Doanh thu'!F:F)</f>
        <v>0</v>
      </c>
    </row>
    <row r="132" spans="1:12" ht="13.2">
      <c r="A132" s="372"/>
      <c r="B132" s="111">
        <v>1</v>
      </c>
      <c r="C132" s="112" t="s">
        <v>689</v>
      </c>
      <c r="D132" s="112" t="s">
        <v>690</v>
      </c>
      <c r="E132" s="111" t="s">
        <v>444</v>
      </c>
      <c r="F132" s="102">
        <f>+ SUMIF('Nhập kho T42024'!B:B, C132,'Nhập kho T42024'!F:F)</f>
        <v>0</v>
      </c>
      <c r="G132" s="100">
        <f>+ (SUMIF('Nhập kho T42024'!B:B, C132,'Nhập kho T42024'!G:G))*3500</f>
        <v>0</v>
      </c>
      <c r="H132" s="101"/>
      <c r="I132" s="101">
        <f>+ SUMIF('Doanh thu'!A:A, C132,'Doanh thu'!E:E)</f>
        <v>0</v>
      </c>
      <c r="J132" s="101">
        <f t="shared" si="21"/>
        <v>0</v>
      </c>
      <c r="K132" s="103">
        <f t="shared" si="0"/>
        <v>0</v>
      </c>
      <c r="L132" s="104">
        <f>+ SUMIF('Doanh thu'!A:A, C132,'Doanh thu'!F:F)</f>
        <v>0</v>
      </c>
    </row>
    <row r="133" spans="1:12" ht="13.2">
      <c r="A133" s="372"/>
      <c r="B133" s="111">
        <v>1</v>
      </c>
      <c r="C133" s="112" t="s">
        <v>691</v>
      </c>
      <c r="D133" s="112" t="s">
        <v>692</v>
      </c>
      <c r="E133" s="111" t="s">
        <v>444</v>
      </c>
      <c r="F133" s="102">
        <f>+ SUMIF('Nhập kho T42024'!B:B, C133,'Nhập kho T42024'!F:F)</f>
        <v>0</v>
      </c>
      <c r="G133" s="100">
        <f>+ (SUMIF('Nhập kho T42024'!B:B, C133,'Nhập kho T42024'!G:G))*3500</f>
        <v>0</v>
      </c>
      <c r="H133" s="101"/>
      <c r="I133" s="101">
        <f>+ SUMIF('Doanh thu'!A:A, C133,'Doanh thu'!E:E)</f>
        <v>0</v>
      </c>
      <c r="J133" s="101">
        <f>F133-I133+1</f>
        <v>1</v>
      </c>
      <c r="K133" s="103">
        <f t="shared" si="0"/>
        <v>0</v>
      </c>
      <c r="L133" s="104">
        <f>+ SUMIF('Doanh thu'!A:A, C133,'Doanh thu'!F:F)</f>
        <v>0</v>
      </c>
    </row>
    <row r="134" spans="1:12" ht="13.2">
      <c r="A134" s="372"/>
      <c r="B134" s="111">
        <v>1</v>
      </c>
      <c r="C134" s="112" t="s">
        <v>693</v>
      </c>
      <c r="D134" s="112" t="s">
        <v>694</v>
      </c>
      <c r="E134" s="111" t="s">
        <v>444</v>
      </c>
      <c r="F134" s="102">
        <f>+ SUMIF('Nhập kho T42024'!B:B, C134,'Nhập kho T42024'!F:F)</f>
        <v>0</v>
      </c>
      <c r="G134" s="100">
        <f>+ (SUMIF('Nhập kho T42024'!B:B, C134,'Nhập kho T42024'!G:G))*3500</f>
        <v>0</v>
      </c>
      <c r="H134" s="101"/>
      <c r="I134" s="101">
        <f>+ SUMIF('Doanh thu'!A:A, C134,'Doanh thu'!E:E)</f>
        <v>1</v>
      </c>
      <c r="J134" s="101">
        <f>F134-I134+2</f>
        <v>1</v>
      </c>
      <c r="K134" s="103">
        <f t="shared" si="0"/>
        <v>14000</v>
      </c>
      <c r="L134" s="104">
        <f>+ SUMIF('Doanh thu'!A:A, C134,'Doanh thu'!F:F)</f>
        <v>14000</v>
      </c>
    </row>
    <row r="135" spans="1:12" ht="13.2">
      <c r="A135" s="372"/>
      <c r="B135" s="111">
        <v>1</v>
      </c>
      <c r="C135" s="112" t="s">
        <v>695</v>
      </c>
      <c r="D135" s="112" t="s">
        <v>696</v>
      </c>
      <c r="E135" s="111" t="s">
        <v>444</v>
      </c>
      <c r="F135" s="102">
        <f>+ SUMIF('Nhập kho T42024'!B:B, C135,'Nhập kho T42024'!F:F)</f>
        <v>0</v>
      </c>
      <c r="G135" s="100">
        <f>+ (SUMIF('Nhập kho T42024'!B:B, C135,'Nhập kho T42024'!G:G))*3500</f>
        <v>0</v>
      </c>
      <c r="H135" s="101"/>
      <c r="I135" s="101">
        <f>+ SUMIF('Doanh thu'!A:A, C135,'Doanh thu'!E:E)</f>
        <v>1</v>
      </c>
      <c r="J135" s="101">
        <f t="shared" ref="J135:J138" si="22">F135-I135+1</f>
        <v>0</v>
      </c>
      <c r="K135" s="103">
        <f t="shared" si="0"/>
        <v>29500</v>
      </c>
      <c r="L135" s="104">
        <f>+ SUMIF('Doanh thu'!A:A, C135,'Doanh thu'!F:F)</f>
        <v>29500</v>
      </c>
    </row>
    <row r="136" spans="1:12" ht="13.2">
      <c r="A136" s="372"/>
      <c r="B136" s="111">
        <v>1</v>
      </c>
      <c r="C136" s="112" t="s">
        <v>697</v>
      </c>
      <c r="D136" s="112" t="s">
        <v>698</v>
      </c>
      <c r="E136" s="111" t="s">
        <v>444</v>
      </c>
      <c r="F136" s="102">
        <f>+ SUMIF('Nhập kho T42024'!B:B, C136,'Nhập kho T42024'!F:F)</f>
        <v>0</v>
      </c>
      <c r="G136" s="100">
        <f>+ (SUMIF('Nhập kho T42024'!B:B, C136,'Nhập kho T42024'!G:G))*3500</f>
        <v>0</v>
      </c>
      <c r="H136" s="101"/>
      <c r="I136" s="101">
        <f>+ SUMIF('Doanh thu'!A:A, C136,'Doanh thu'!E:E)</f>
        <v>1</v>
      </c>
      <c r="J136" s="101">
        <f t="shared" si="22"/>
        <v>0</v>
      </c>
      <c r="K136" s="103">
        <f t="shared" si="0"/>
        <v>29500</v>
      </c>
      <c r="L136" s="104">
        <f>+ SUMIF('Doanh thu'!A:A, C136,'Doanh thu'!F:F)</f>
        <v>29500</v>
      </c>
    </row>
    <row r="137" spans="1:12" ht="13.2">
      <c r="A137" s="372"/>
      <c r="B137" s="111">
        <v>1</v>
      </c>
      <c r="C137" s="112" t="s">
        <v>699</v>
      </c>
      <c r="D137" s="112" t="s">
        <v>700</v>
      </c>
      <c r="E137" s="111" t="s">
        <v>444</v>
      </c>
      <c r="F137" s="102">
        <f>+ SUMIF('Nhập kho T42024'!B:B, C137,'Nhập kho T42024'!F:F)</f>
        <v>0</v>
      </c>
      <c r="G137" s="100">
        <f>+ (SUMIF('Nhập kho T42024'!B:B, C137,'Nhập kho T42024'!G:G))*3500</f>
        <v>0</v>
      </c>
      <c r="H137" s="101"/>
      <c r="I137" s="101">
        <f>+ SUMIF('Doanh thu'!A:A, C137,'Doanh thu'!E:E)</f>
        <v>0</v>
      </c>
      <c r="J137" s="101">
        <f t="shared" si="22"/>
        <v>1</v>
      </c>
      <c r="K137" s="103">
        <f t="shared" si="0"/>
        <v>0</v>
      </c>
      <c r="L137" s="104">
        <f>+ SUMIF('Doanh thu'!A:A, C137,'Doanh thu'!F:F)</f>
        <v>0</v>
      </c>
    </row>
    <row r="138" spans="1:12" ht="13.2">
      <c r="A138" s="372"/>
      <c r="B138" s="111">
        <v>1</v>
      </c>
      <c r="C138" s="112" t="s">
        <v>701</v>
      </c>
      <c r="D138" s="112" t="s">
        <v>702</v>
      </c>
      <c r="E138" s="111" t="s">
        <v>444</v>
      </c>
      <c r="F138" s="102">
        <f>+ SUMIF('Nhập kho T42024'!B:B, C138,'Nhập kho T42024'!F:F)</f>
        <v>0</v>
      </c>
      <c r="G138" s="100">
        <f>+ (SUMIF('Nhập kho T42024'!B:B, C138,'Nhập kho T42024'!G:G))*3500</f>
        <v>0</v>
      </c>
      <c r="H138" s="101"/>
      <c r="I138" s="101">
        <f>+ SUMIF('Doanh thu'!A:A, C138,'Doanh thu'!E:E)</f>
        <v>1</v>
      </c>
      <c r="J138" s="101">
        <f t="shared" si="22"/>
        <v>0</v>
      </c>
      <c r="K138" s="103">
        <f t="shared" si="0"/>
        <v>12000</v>
      </c>
      <c r="L138" s="104">
        <f>+ SUMIF('Doanh thu'!A:A, C138,'Doanh thu'!F:F)</f>
        <v>12000</v>
      </c>
    </row>
    <row r="139" spans="1:12" ht="13.2">
      <c r="A139" s="372"/>
      <c r="B139" s="111">
        <v>1</v>
      </c>
      <c r="C139" s="112" t="s">
        <v>703</v>
      </c>
      <c r="D139" s="112" t="s">
        <v>704</v>
      </c>
      <c r="E139" s="111" t="s">
        <v>444</v>
      </c>
      <c r="F139" s="102">
        <f>+ SUMIF('Nhập kho T42024'!B:B, C139,'Nhập kho T42024'!F:F)</f>
        <v>0</v>
      </c>
      <c r="G139" s="100">
        <f>+ (SUMIF('Nhập kho T42024'!B:B, C139,'Nhập kho T42024'!G:G))*3500</f>
        <v>0</v>
      </c>
      <c r="H139" s="101"/>
      <c r="I139" s="101">
        <f>+ SUMIF('Doanh thu'!A:A, C139,'Doanh thu'!E:E)</f>
        <v>0</v>
      </c>
      <c r="J139" s="101">
        <f>F139-I139</f>
        <v>0</v>
      </c>
      <c r="K139" s="103">
        <f t="shared" si="0"/>
        <v>0</v>
      </c>
      <c r="L139" s="104">
        <f>+ SUMIF('Doanh thu'!A:A, C139,'Doanh thu'!F:F)</f>
        <v>0</v>
      </c>
    </row>
    <row r="140" spans="1:12" ht="13.2">
      <c r="A140" s="372"/>
      <c r="B140" s="111">
        <v>1</v>
      </c>
      <c r="C140" s="112" t="s">
        <v>705</v>
      </c>
      <c r="D140" s="112" t="s">
        <v>706</v>
      </c>
      <c r="E140" s="111" t="s">
        <v>444</v>
      </c>
      <c r="F140" s="102">
        <f>+ SUMIF('Nhập kho T42024'!B:B, C140,'Nhập kho T42024'!F:F)</f>
        <v>0</v>
      </c>
      <c r="G140" s="100">
        <f>+ (SUMIF('Nhập kho T42024'!B:B, C140,'Nhập kho T42024'!G:G))*3500</f>
        <v>0</v>
      </c>
      <c r="H140" s="101"/>
      <c r="I140" s="101">
        <f>+ SUMIF('Doanh thu'!A:A, C140,'Doanh thu'!E:E)</f>
        <v>1</v>
      </c>
      <c r="J140" s="101">
        <f>F140-I140+1</f>
        <v>0</v>
      </c>
      <c r="K140" s="103">
        <f t="shared" si="0"/>
        <v>12000</v>
      </c>
      <c r="L140" s="104">
        <f>+ SUMIF('Doanh thu'!A:A, C140,'Doanh thu'!F:F)</f>
        <v>12000</v>
      </c>
    </row>
    <row r="141" spans="1:12" ht="13.2">
      <c r="A141" s="372"/>
      <c r="B141" s="111">
        <v>1</v>
      </c>
      <c r="C141" s="112" t="s">
        <v>707</v>
      </c>
      <c r="D141" s="112" t="s">
        <v>708</v>
      </c>
      <c r="E141" s="111" t="s">
        <v>444</v>
      </c>
      <c r="F141" s="102">
        <f>+ SUMIF('Nhập kho T42024'!B:B, C141,'Nhập kho T42024'!F:F)</f>
        <v>0</v>
      </c>
      <c r="G141" s="100">
        <f>+ (SUMIF('Nhập kho T42024'!B:B, C141,'Nhập kho T42024'!G:G))*3500</f>
        <v>0</v>
      </c>
      <c r="H141" s="101"/>
      <c r="I141" s="101">
        <f>+ SUMIF('Doanh thu'!A:A, C141,'Doanh thu'!E:E)</f>
        <v>0</v>
      </c>
      <c r="J141" s="101">
        <f t="shared" ref="J141:J143" si="23">F141-I141</f>
        <v>0</v>
      </c>
      <c r="K141" s="103">
        <f t="shared" si="0"/>
        <v>0</v>
      </c>
      <c r="L141" s="104">
        <f>+ SUMIF('Doanh thu'!A:A, C141,'Doanh thu'!F:F)</f>
        <v>0</v>
      </c>
    </row>
    <row r="142" spans="1:12" ht="13.2">
      <c r="A142" s="372"/>
      <c r="B142" s="111">
        <v>1</v>
      </c>
      <c r="C142" s="112" t="s">
        <v>709</v>
      </c>
      <c r="D142" s="112" t="s">
        <v>710</v>
      </c>
      <c r="E142" s="111" t="s">
        <v>444</v>
      </c>
      <c r="F142" s="102">
        <f>+ SUMIF('Nhập kho T42024'!B:B, C142,'Nhập kho T42024'!F:F)</f>
        <v>0</v>
      </c>
      <c r="G142" s="100">
        <f>+ (SUMIF('Nhập kho T42024'!B:B, C142,'Nhập kho T42024'!G:G))*3500</f>
        <v>0</v>
      </c>
      <c r="H142" s="101"/>
      <c r="I142" s="101">
        <f>+ SUMIF('Doanh thu'!A:A, C142,'Doanh thu'!E:E)</f>
        <v>1</v>
      </c>
      <c r="J142" s="101">
        <f t="shared" si="23"/>
        <v>-1</v>
      </c>
      <c r="K142" s="103">
        <f t="shared" si="0"/>
        <v>12000</v>
      </c>
      <c r="L142" s="104">
        <f>+ SUMIF('Doanh thu'!A:A, C142,'Doanh thu'!F:F)</f>
        <v>12000</v>
      </c>
    </row>
    <row r="143" spans="1:12" ht="13.2">
      <c r="A143" s="372"/>
      <c r="B143" s="111">
        <v>1</v>
      </c>
      <c r="C143" s="112" t="s">
        <v>711</v>
      </c>
      <c r="D143" s="112" t="s">
        <v>712</v>
      </c>
      <c r="E143" s="111" t="s">
        <v>444</v>
      </c>
      <c r="F143" s="102">
        <f>+ SUMIF('Nhập kho T42024'!B:B, C143,'Nhập kho T42024'!F:F)</f>
        <v>0</v>
      </c>
      <c r="G143" s="100">
        <f>+ (SUMIF('Nhập kho T42024'!B:B, C143,'Nhập kho T42024'!G:G))*3500</f>
        <v>0</v>
      </c>
      <c r="H143" s="101"/>
      <c r="I143" s="101">
        <f>+ SUMIF('Doanh thu'!A:A, C143,'Doanh thu'!E:E)</f>
        <v>0</v>
      </c>
      <c r="J143" s="101">
        <f t="shared" si="23"/>
        <v>0</v>
      </c>
      <c r="K143" s="103">
        <f t="shared" si="0"/>
        <v>0</v>
      </c>
      <c r="L143" s="104">
        <f>+ SUMIF('Doanh thu'!A:A, C143,'Doanh thu'!F:F)</f>
        <v>0</v>
      </c>
    </row>
    <row r="144" spans="1:12" ht="13.2">
      <c r="A144" s="372"/>
      <c r="B144" s="111">
        <v>1</v>
      </c>
      <c r="C144" s="112" t="s">
        <v>713</v>
      </c>
      <c r="D144" s="112" t="s">
        <v>714</v>
      </c>
      <c r="E144" s="111" t="s">
        <v>444</v>
      </c>
      <c r="F144" s="102">
        <f>+ SUMIF('Nhập kho T42024'!B:B, C144,'Nhập kho T42024'!F:F)</f>
        <v>0</v>
      </c>
      <c r="G144" s="100">
        <f>+ (SUMIF('Nhập kho T42024'!B:B, C144,'Nhập kho T42024'!G:G))*3500</f>
        <v>0</v>
      </c>
      <c r="H144" s="101"/>
      <c r="I144" s="101">
        <f>+ SUMIF('Doanh thu'!A:A, C144,'Doanh thu'!E:E)</f>
        <v>1</v>
      </c>
      <c r="J144" s="101">
        <f>F144-I144+1</f>
        <v>0</v>
      </c>
      <c r="K144" s="103">
        <f t="shared" si="0"/>
        <v>12000</v>
      </c>
      <c r="L144" s="104">
        <f>+ SUMIF('Doanh thu'!A:A, C144,'Doanh thu'!F:F)</f>
        <v>12000</v>
      </c>
    </row>
    <row r="145" spans="1:12" ht="13.2">
      <c r="A145" s="372"/>
      <c r="B145" s="111">
        <v>1</v>
      </c>
      <c r="C145" s="112" t="s">
        <v>715</v>
      </c>
      <c r="D145" s="112" t="s">
        <v>716</v>
      </c>
      <c r="E145" s="111" t="s">
        <v>444</v>
      </c>
      <c r="F145" s="102">
        <f>+ SUMIF('Nhập kho T42024'!B:B, C145,'Nhập kho T42024'!F:F)</f>
        <v>0</v>
      </c>
      <c r="G145" s="100">
        <f>+ (SUMIF('Nhập kho T42024'!B:B, C145,'Nhập kho T42024'!G:G))*3500</f>
        <v>0</v>
      </c>
      <c r="H145" s="101"/>
      <c r="I145" s="101">
        <f>+ SUMIF('Doanh thu'!A:A, C145,'Doanh thu'!E:E)</f>
        <v>0</v>
      </c>
      <c r="J145" s="101">
        <f t="shared" ref="J145:J152" si="24">F145-I145</f>
        <v>0</v>
      </c>
      <c r="K145" s="103">
        <f t="shared" si="0"/>
        <v>0</v>
      </c>
      <c r="L145" s="104">
        <f>+ SUMIF('Doanh thu'!A:A, C145,'Doanh thu'!F:F)</f>
        <v>0</v>
      </c>
    </row>
    <row r="146" spans="1:12" ht="13.2">
      <c r="A146" s="372"/>
      <c r="B146" s="111">
        <v>1</v>
      </c>
      <c r="C146" s="112" t="s">
        <v>717</v>
      </c>
      <c r="D146" s="112" t="s">
        <v>718</v>
      </c>
      <c r="E146" s="111" t="s">
        <v>444</v>
      </c>
      <c r="F146" s="102">
        <f>+ SUMIF('Nhập kho T42024'!B:B, C146,'Nhập kho T42024'!F:F)</f>
        <v>0</v>
      </c>
      <c r="G146" s="100">
        <f>+ (SUMIF('Nhập kho T42024'!B:B, C146,'Nhập kho T42024'!G:G))*3500</f>
        <v>0</v>
      </c>
      <c r="H146" s="101"/>
      <c r="I146" s="101">
        <f>+ SUMIF('Doanh thu'!A:A, C146,'Doanh thu'!E:E)</f>
        <v>0</v>
      </c>
      <c r="J146" s="101">
        <f t="shared" si="24"/>
        <v>0</v>
      </c>
      <c r="K146" s="103">
        <f t="shared" si="0"/>
        <v>0</v>
      </c>
      <c r="L146" s="104">
        <f>+ SUMIF('Doanh thu'!A:A, C146,'Doanh thu'!F:F)</f>
        <v>0</v>
      </c>
    </row>
    <row r="147" spans="1:12" ht="13.2">
      <c r="A147" s="372"/>
      <c r="B147" s="111">
        <v>1</v>
      </c>
      <c r="C147" s="112" t="s">
        <v>719</v>
      </c>
      <c r="D147" s="112" t="s">
        <v>718</v>
      </c>
      <c r="E147" s="111" t="s">
        <v>444</v>
      </c>
      <c r="F147" s="102">
        <f>+ SUMIF('Nhập kho T42024'!B:B, C147,'Nhập kho T42024'!F:F)</f>
        <v>50</v>
      </c>
      <c r="G147" s="100">
        <f>+ (SUMIF('Nhập kho T42024'!B:B, C147,'Nhập kho T42024'!G:G))*3500</f>
        <v>428750</v>
      </c>
      <c r="H147" s="101"/>
      <c r="I147" s="101">
        <f>+ SUMIF('Doanh thu'!A:A, C147,'Doanh thu'!E:E)</f>
        <v>39</v>
      </c>
      <c r="J147" s="101">
        <f t="shared" si="24"/>
        <v>11</v>
      </c>
      <c r="K147" s="103">
        <f t="shared" si="0"/>
        <v>858000</v>
      </c>
      <c r="L147" s="104">
        <f>+ SUMIF('Doanh thu'!A:A, C147,'Doanh thu'!F:F)</f>
        <v>858000</v>
      </c>
    </row>
    <row r="148" spans="1:12" ht="13.2">
      <c r="A148" s="372"/>
      <c r="B148" s="111">
        <v>1</v>
      </c>
      <c r="C148" s="112" t="s">
        <v>720</v>
      </c>
      <c r="D148" s="112" t="s">
        <v>721</v>
      </c>
      <c r="E148" s="111" t="s">
        <v>444</v>
      </c>
      <c r="F148" s="102">
        <f>+ SUMIF('Nhập kho T42024'!B:B, C148,'Nhập kho T42024'!F:F)</f>
        <v>17</v>
      </c>
      <c r="G148" s="100">
        <f>+ (SUMIF('Nhập kho T42024'!B:B, C148,'Nhập kho T42024'!G:G))*3500</f>
        <v>145775.00000000003</v>
      </c>
      <c r="H148" s="101"/>
      <c r="I148" s="101">
        <f>+ SUMIF('Doanh thu'!A:A, C148,'Doanh thu'!E:E)</f>
        <v>16</v>
      </c>
      <c r="J148" s="101">
        <f t="shared" si="24"/>
        <v>1</v>
      </c>
      <c r="K148" s="103">
        <f t="shared" si="0"/>
        <v>352000</v>
      </c>
      <c r="L148" s="104">
        <f>+ SUMIF('Doanh thu'!A:A, C148,'Doanh thu'!F:F)</f>
        <v>352000</v>
      </c>
    </row>
    <row r="149" spans="1:12" ht="13.2">
      <c r="A149" s="372"/>
      <c r="B149" s="111">
        <v>1</v>
      </c>
      <c r="C149" s="112" t="s">
        <v>722</v>
      </c>
      <c r="D149" s="112" t="s">
        <v>723</v>
      </c>
      <c r="E149" s="111" t="s">
        <v>444</v>
      </c>
      <c r="F149" s="102">
        <f>+ SUMIF('Nhập kho T42024'!B:B, C149,'Nhập kho T42024'!F:F)</f>
        <v>5</v>
      </c>
      <c r="G149" s="100">
        <f>+ (SUMIF('Nhập kho T42024'!B:B, C149,'Nhập kho T42024'!G:G))*3500</f>
        <v>42875</v>
      </c>
      <c r="H149" s="101"/>
      <c r="I149" s="101">
        <f>+ SUMIF('Doanh thu'!A:A, C149,'Doanh thu'!E:E)</f>
        <v>0</v>
      </c>
      <c r="J149" s="101">
        <f t="shared" si="24"/>
        <v>5</v>
      </c>
      <c r="K149" s="103">
        <f t="shared" si="0"/>
        <v>0</v>
      </c>
      <c r="L149" s="104">
        <f>+ SUMIF('Doanh thu'!A:A, C149,'Doanh thu'!F:F)</f>
        <v>0</v>
      </c>
    </row>
    <row r="150" spans="1:12" ht="13.2">
      <c r="A150" s="372"/>
      <c r="B150" s="111">
        <v>1</v>
      </c>
      <c r="C150" s="112" t="s">
        <v>724</v>
      </c>
      <c r="D150" s="112" t="s">
        <v>725</v>
      </c>
      <c r="E150" s="111" t="s">
        <v>444</v>
      </c>
      <c r="F150" s="102">
        <f>+ SUMIF('Nhập kho T42024'!B:B, C150,'Nhập kho T42024'!F:F)</f>
        <v>5</v>
      </c>
      <c r="G150" s="100">
        <f>+ (SUMIF('Nhập kho T42024'!B:B, C150,'Nhập kho T42024'!G:G))*3500</f>
        <v>42875</v>
      </c>
      <c r="H150" s="101"/>
      <c r="I150" s="101">
        <f>+ SUMIF('Doanh thu'!A:A, C150,'Doanh thu'!E:E)</f>
        <v>2</v>
      </c>
      <c r="J150" s="101">
        <f t="shared" si="24"/>
        <v>3</v>
      </c>
      <c r="K150" s="103">
        <f t="shared" si="0"/>
        <v>44000</v>
      </c>
      <c r="L150" s="104">
        <f>+ SUMIF('Doanh thu'!A:A, C150,'Doanh thu'!F:F)</f>
        <v>44000</v>
      </c>
    </row>
    <row r="151" spans="1:12" ht="13.2">
      <c r="A151" s="372"/>
      <c r="B151" s="111">
        <v>1</v>
      </c>
      <c r="C151" s="112" t="s">
        <v>726</v>
      </c>
      <c r="D151" s="112" t="s">
        <v>727</v>
      </c>
      <c r="E151" s="111" t="s">
        <v>444</v>
      </c>
      <c r="F151" s="102">
        <f>+ SUMIF('Nhập kho T42024'!B:B, C151,'Nhập kho T42024'!F:F)</f>
        <v>5</v>
      </c>
      <c r="G151" s="100">
        <f>+ (SUMIF('Nhập kho T42024'!B:B, C151,'Nhập kho T42024'!G:G))*3500</f>
        <v>42875</v>
      </c>
      <c r="H151" s="101"/>
      <c r="I151" s="101">
        <f>+ SUMIF('Doanh thu'!A:A, C151,'Doanh thu'!E:E)</f>
        <v>2</v>
      </c>
      <c r="J151" s="101">
        <f t="shared" si="24"/>
        <v>3</v>
      </c>
      <c r="K151" s="103">
        <f t="shared" si="0"/>
        <v>44000</v>
      </c>
      <c r="L151" s="104">
        <f>+ SUMIF('Doanh thu'!A:A, C151,'Doanh thu'!F:F)</f>
        <v>44000</v>
      </c>
    </row>
    <row r="152" spans="1:12" ht="13.2">
      <c r="A152" s="372"/>
      <c r="B152" s="111">
        <v>1</v>
      </c>
      <c r="C152" s="112" t="s">
        <v>728</v>
      </c>
      <c r="D152" s="112" t="s">
        <v>729</v>
      </c>
      <c r="E152" s="111" t="s">
        <v>444</v>
      </c>
      <c r="F152" s="102">
        <f>+ SUMIF('Nhập kho T42024'!B:B, C152,'Nhập kho T42024'!F:F)</f>
        <v>5</v>
      </c>
      <c r="G152" s="100">
        <f>+ (SUMIF('Nhập kho T42024'!B:B, C152,'Nhập kho T42024'!G:G))*3500</f>
        <v>42875</v>
      </c>
      <c r="H152" s="101"/>
      <c r="I152" s="101">
        <f>+ SUMIF('Doanh thu'!A:A, C152,'Doanh thu'!E:E)</f>
        <v>2</v>
      </c>
      <c r="J152" s="101">
        <f t="shared" si="24"/>
        <v>3</v>
      </c>
      <c r="K152" s="103">
        <f t="shared" si="0"/>
        <v>44000</v>
      </c>
      <c r="L152" s="104">
        <f>+ SUMIF('Doanh thu'!A:A, C152,'Doanh thu'!F:F)</f>
        <v>44000</v>
      </c>
    </row>
    <row r="153" spans="1:12" ht="13.2">
      <c r="A153" s="372"/>
      <c r="B153" s="111">
        <v>1</v>
      </c>
      <c r="C153" s="112" t="s">
        <v>730</v>
      </c>
      <c r="D153" s="112" t="s">
        <v>731</v>
      </c>
      <c r="E153" s="111" t="s">
        <v>444</v>
      </c>
      <c r="F153" s="102">
        <f>+ SUMIF('Nhập kho T42024'!B:B, C153,'Nhập kho T42024'!F:F)</f>
        <v>1</v>
      </c>
      <c r="G153" s="100">
        <f>+ (SUMIF('Nhập kho T42024'!B:B, C153,'Nhập kho T42024'!G:G))*3500</f>
        <v>8575</v>
      </c>
      <c r="H153" s="101"/>
      <c r="I153" s="101">
        <f>+ SUMIF('Doanh thu'!A:A, C153,'Doanh thu'!E:E)</f>
        <v>0</v>
      </c>
      <c r="J153" s="101">
        <f>F153-I153-1</f>
        <v>0</v>
      </c>
      <c r="K153" s="103">
        <f t="shared" si="0"/>
        <v>0</v>
      </c>
      <c r="L153" s="104">
        <f>+ SUMIF('Doanh thu'!A:A, C153,'Doanh thu'!F:F)</f>
        <v>0</v>
      </c>
    </row>
    <row r="154" spans="1:12" ht="13.2">
      <c r="A154" s="372"/>
      <c r="B154" s="111">
        <v>1</v>
      </c>
      <c r="C154" s="112" t="s">
        <v>732</v>
      </c>
      <c r="D154" s="112" t="s">
        <v>733</v>
      </c>
      <c r="E154" s="111" t="s">
        <v>444</v>
      </c>
      <c r="F154" s="102">
        <f>+ SUMIF('Nhập kho T42024'!B:B, C154,'Nhập kho T42024'!F:F)</f>
        <v>20</v>
      </c>
      <c r="G154" s="100">
        <f>+ (SUMIF('Nhập kho T42024'!B:B, C154,'Nhập kho T42024'!G:G))*3500</f>
        <v>119700.00000000001</v>
      </c>
      <c r="H154" s="101"/>
      <c r="I154" s="101">
        <f>+ SUMIF('Doanh thu'!A:A, C154,'Doanh thu'!E:E)</f>
        <v>16</v>
      </c>
      <c r="J154" s="101">
        <f t="shared" ref="J154:J155" si="25">F154-I154+12</f>
        <v>16</v>
      </c>
      <c r="K154" s="103">
        <f t="shared" si="0"/>
        <v>296000</v>
      </c>
      <c r="L154" s="104">
        <f>+ SUMIF('Doanh thu'!A:A, C154,'Doanh thu'!F:F)</f>
        <v>296000</v>
      </c>
    </row>
    <row r="155" spans="1:12" ht="13.2">
      <c r="A155" s="372"/>
      <c r="B155" s="111">
        <v>1</v>
      </c>
      <c r="C155" s="112" t="s">
        <v>734</v>
      </c>
      <c r="D155" s="112" t="s">
        <v>735</v>
      </c>
      <c r="E155" s="111" t="s">
        <v>444</v>
      </c>
      <c r="F155" s="102">
        <f>+ SUMIF('Nhập kho T42024'!B:B, C155,'Nhập kho T42024'!F:F)</f>
        <v>20</v>
      </c>
      <c r="G155" s="100">
        <f>+ (SUMIF('Nhập kho T42024'!B:B, C155,'Nhập kho T42024'!G:G))*3500</f>
        <v>119700.00000000001</v>
      </c>
      <c r="H155" s="101"/>
      <c r="I155" s="101">
        <f>+ SUMIF('Doanh thu'!A:A, C155,'Doanh thu'!E:E)</f>
        <v>34</v>
      </c>
      <c r="J155" s="101">
        <f t="shared" si="25"/>
        <v>-2</v>
      </c>
      <c r="K155" s="103">
        <f t="shared" si="0"/>
        <v>629000</v>
      </c>
      <c r="L155" s="104">
        <f>+ SUMIF('Doanh thu'!A:A, C155,'Doanh thu'!F:F)</f>
        <v>629000</v>
      </c>
    </row>
    <row r="156" spans="1:12" ht="13.2">
      <c r="A156" s="372"/>
      <c r="B156" s="111">
        <v>1</v>
      </c>
      <c r="C156" s="112" t="s">
        <v>736</v>
      </c>
      <c r="D156" s="112" t="s">
        <v>737</v>
      </c>
      <c r="E156" s="111" t="s">
        <v>444</v>
      </c>
      <c r="F156" s="102">
        <f>+ SUMIF('Nhập kho T42024'!B:B, C156,'Nhập kho T42024'!F:F)</f>
        <v>20</v>
      </c>
      <c r="G156" s="100">
        <f>+ (SUMIF('Nhập kho T42024'!B:B, C156,'Nhập kho T42024'!G:G))*3500</f>
        <v>119700.00000000001</v>
      </c>
      <c r="H156" s="101"/>
      <c r="I156" s="101">
        <f>+ SUMIF('Doanh thu'!A:A, C156,'Doanh thu'!E:E)</f>
        <v>28</v>
      </c>
      <c r="J156" s="101">
        <f>F156-I156+10</f>
        <v>2</v>
      </c>
      <c r="K156" s="103">
        <f t="shared" si="0"/>
        <v>499500</v>
      </c>
      <c r="L156" s="104">
        <f>+ SUMIF('Doanh thu'!A:A, C156,'Doanh thu'!F:F)</f>
        <v>499500</v>
      </c>
    </row>
    <row r="157" spans="1:12" ht="13.2">
      <c r="A157" s="372"/>
      <c r="B157" s="111">
        <v>1</v>
      </c>
      <c r="C157" s="112" t="s">
        <v>738</v>
      </c>
      <c r="D157" s="112" t="s">
        <v>739</v>
      </c>
      <c r="E157" s="111" t="s">
        <v>444</v>
      </c>
      <c r="F157" s="102">
        <f>+ SUMIF('Nhập kho T42024'!B:B, C157,'Nhập kho T42024'!F:F)</f>
        <v>20</v>
      </c>
      <c r="G157" s="100">
        <f>+ (SUMIF('Nhập kho T42024'!B:B, C157,'Nhập kho T42024'!G:G))*3500</f>
        <v>119700.00000000001</v>
      </c>
      <c r="H157" s="101"/>
      <c r="I157" s="101">
        <f>+ SUMIF('Doanh thu'!A:A, C157,'Doanh thu'!E:E)</f>
        <v>40</v>
      </c>
      <c r="J157" s="101">
        <f>F157-I157+11</f>
        <v>-9</v>
      </c>
      <c r="K157" s="103">
        <f t="shared" si="0"/>
        <v>740000</v>
      </c>
      <c r="L157" s="104">
        <f>+ SUMIF('Doanh thu'!A:A, C157,'Doanh thu'!F:F)</f>
        <v>740000</v>
      </c>
    </row>
    <row r="158" spans="1:12" ht="13.2">
      <c r="A158" s="372"/>
      <c r="B158" s="111">
        <v>1</v>
      </c>
      <c r="C158" s="112" t="s">
        <v>740</v>
      </c>
      <c r="D158" s="112" t="s">
        <v>741</v>
      </c>
      <c r="E158" s="111" t="s">
        <v>444</v>
      </c>
      <c r="F158" s="102">
        <f>+ SUMIF('Nhập kho T42024'!B:B, C158,'Nhập kho T42024'!F:F)</f>
        <v>20</v>
      </c>
      <c r="G158" s="100">
        <f>+ (SUMIF('Nhập kho T42024'!B:B, C158,'Nhập kho T42024'!G:G))*3500</f>
        <v>119700.00000000001</v>
      </c>
      <c r="H158" s="101"/>
      <c r="I158" s="101">
        <f>+ SUMIF('Doanh thu'!A:A, C158,'Doanh thu'!E:E)</f>
        <v>18</v>
      </c>
      <c r="J158" s="101">
        <f>F158-I158+12</f>
        <v>14</v>
      </c>
      <c r="K158" s="103">
        <f t="shared" si="0"/>
        <v>314500</v>
      </c>
      <c r="L158" s="104">
        <f>+ SUMIF('Doanh thu'!A:A, C158,'Doanh thu'!F:F)</f>
        <v>314500</v>
      </c>
    </row>
    <row r="159" spans="1:12" ht="13.2">
      <c r="A159" s="372"/>
      <c r="B159" s="111">
        <v>1</v>
      </c>
      <c r="C159" s="112" t="s">
        <v>742</v>
      </c>
      <c r="D159" s="112" t="s">
        <v>743</v>
      </c>
      <c r="E159" s="111" t="s">
        <v>444</v>
      </c>
      <c r="F159" s="102">
        <f>+ SUMIF('Nhập kho T42024'!B:B, C159,'Nhập kho T42024'!F:F)</f>
        <v>20</v>
      </c>
      <c r="G159" s="100">
        <f>+ (SUMIF('Nhập kho T42024'!B:B, C159,'Nhập kho T42024'!G:G))*3500</f>
        <v>119700.00000000001</v>
      </c>
      <c r="H159" s="101"/>
      <c r="I159" s="101">
        <f>+ SUMIF('Doanh thu'!A:A, C159,'Doanh thu'!E:E)</f>
        <v>28</v>
      </c>
      <c r="J159" s="101">
        <f>F159-I159+11</f>
        <v>3</v>
      </c>
      <c r="K159" s="103">
        <f t="shared" si="0"/>
        <v>518000</v>
      </c>
      <c r="L159" s="104">
        <f>+ SUMIF('Doanh thu'!A:A, C159,'Doanh thu'!F:F)</f>
        <v>518000</v>
      </c>
    </row>
    <row r="160" spans="1:12" ht="13.2">
      <c r="A160" s="372"/>
      <c r="B160" s="111">
        <v>1</v>
      </c>
      <c r="C160" s="112" t="s">
        <v>744</v>
      </c>
      <c r="D160" s="112" t="s">
        <v>745</v>
      </c>
      <c r="E160" s="111" t="s">
        <v>444</v>
      </c>
      <c r="F160" s="102">
        <f>+ SUMIF('Nhập kho T42024'!B:B, C160,'Nhập kho T42024'!F:F)</f>
        <v>5</v>
      </c>
      <c r="G160" s="100">
        <f>+ (SUMIF('Nhập kho T42024'!B:B, C160,'Nhập kho T42024'!G:G))*3500</f>
        <v>29925.000000000004</v>
      </c>
      <c r="H160" s="101"/>
      <c r="I160" s="101">
        <f>+ SUMIF('Doanh thu'!A:A, C160,'Doanh thu'!E:E)</f>
        <v>20</v>
      </c>
      <c r="J160" s="101">
        <f>F160-I160+17</f>
        <v>2</v>
      </c>
      <c r="K160" s="103">
        <f t="shared" si="0"/>
        <v>351500</v>
      </c>
      <c r="L160" s="104">
        <f>+ SUMIF('Doanh thu'!A:A, C160,'Doanh thu'!F:F)</f>
        <v>351500</v>
      </c>
    </row>
    <row r="161" spans="1:12" ht="13.2">
      <c r="A161" s="372"/>
      <c r="B161" s="111">
        <v>1</v>
      </c>
      <c r="C161" s="112" t="s">
        <v>746</v>
      </c>
      <c r="D161" s="112" t="s">
        <v>747</v>
      </c>
      <c r="E161" s="111" t="s">
        <v>444</v>
      </c>
      <c r="F161" s="102">
        <f>+ SUMIF('Nhập kho T42024'!B:B, C161,'Nhập kho T42024'!F:F)</f>
        <v>0</v>
      </c>
      <c r="G161" s="100">
        <f>+ (SUMIF('Nhập kho T42024'!B:B, C161,'Nhập kho T42024'!G:G))*3500</f>
        <v>0</v>
      </c>
      <c r="H161" s="101"/>
      <c r="I161" s="101">
        <f>+ SUMIF('Doanh thu'!A:A, C161,'Doanh thu'!E:E)</f>
        <v>0</v>
      </c>
      <c r="J161" s="101">
        <f>F161-I161</f>
        <v>0</v>
      </c>
      <c r="K161" s="103">
        <f t="shared" si="0"/>
        <v>0</v>
      </c>
      <c r="L161" s="104">
        <f>+ SUMIF('Doanh thu'!A:A, C161,'Doanh thu'!F:F)</f>
        <v>0</v>
      </c>
    </row>
    <row r="162" spans="1:12" ht="13.2">
      <c r="A162" s="372"/>
      <c r="B162" s="111">
        <v>1</v>
      </c>
      <c r="C162" s="112" t="s">
        <v>748</v>
      </c>
      <c r="D162" s="112" t="s">
        <v>749</v>
      </c>
      <c r="E162" s="111" t="s">
        <v>444</v>
      </c>
      <c r="F162" s="102">
        <f>+ SUMIF('Nhập kho T42024'!B:B, C162,'Nhập kho T42024'!F:F)</f>
        <v>0</v>
      </c>
      <c r="G162" s="100">
        <f>+ (SUMIF('Nhập kho T42024'!B:B, C162,'Nhập kho T42024'!G:G))*3500</f>
        <v>0</v>
      </c>
      <c r="H162" s="101"/>
      <c r="I162" s="101">
        <f>+ SUMIF('Doanh thu'!A:A, C162,'Doanh thu'!E:E)</f>
        <v>3</v>
      </c>
      <c r="J162" s="101">
        <f>F162-I162+3</f>
        <v>0</v>
      </c>
      <c r="K162" s="103">
        <f t="shared" si="0"/>
        <v>55500</v>
      </c>
      <c r="L162" s="104">
        <f>+ SUMIF('Doanh thu'!A:A, C162,'Doanh thu'!F:F)</f>
        <v>55500</v>
      </c>
    </row>
    <row r="163" spans="1:12" ht="13.2">
      <c r="A163" s="372"/>
      <c r="B163" s="111">
        <v>1</v>
      </c>
      <c r="C163" s="112" t="s">
        <v>750</v>
      </c>
      <c r="D163" s="112" t="s">
        <v>751</v>
      </c>
      <c r="E163" s="111" t="s">
        <v>444</v>
      </c>
      <c r="F163" s="102">
        <f>+ SUMIF('Nhập kho T42024'!B:B, C163,'Nhập kho T42024'!F:F)</f>
        <v>0</v>
      </c>
      <c r="G163" s="100">
        <f>+ (SUMIF('Nhập kho T42024'!B:B, C163,'Nhập kho T42024'!G:G))*3500</f>
        <v>0</v>
      </c>
      <c r="H163" s="101"/>
      <c r="I163" s="101">
        <f>+ SUMIF('Doanh thu'!A:A, C163,'Doanh thu'!E:E)</f>
        <v>0</v>
      </c>
      <c r="J163" s="101">
        <f>F163-I163+1</f>
        <v>1</v>
      </c>
      <c r="K163" s="103">
        <f t="shared" si="0"/>
        <v>0</v>
      </c>
      <c r="L163" s="104">
        <f>+ SUMIF('Doanh thu'!A:A, C163,'Doanh thu'!F:F)</f>
        <v>0</v>
      </c>
    </row>
    <row r="164" spans="1:12" ht="13.2">
      <c r="A164" s="372"/>
      <c r="B164" s="111">
        <v>1</v>
      </c>
      <c r="C164" s="112" t="s">
        <v>752</v>
      </c>
      <c r="D164" s="112" t="s">
        <v>753</v>
      </c>
      <c r="E164" s="111" t="s">
        <v>444</v>
      </c>
      <c r="F164" s="102">
        <f>+ SUMIF('Nhập kho T42024'!B:B, C164,'Nhập kho T42024'!F:F)</f>
        <v>0</v>
      </c>
      <c r="G164" s="100">
        <f>+ (SUMIF('Nhập kho T42024'!B:B, C164,'Nhập kho T42024'!G:G))*3500</f>
        <v>0</v>
      </c>
      <c r="H164" s="101"/>
      <c r="I164" s="101">
        <f>+ SUMIF('Doanh thu'!A:A, C164,'Doanh thu'!E:E)</f>
        <v>0</v>
      </c>
      <c r="J164" s="101">
        <f t="shared" ref="J164:J165" si="26">F164-I164</f>
        <v>0</v>
      </c>
      <c r="K164" s="103">
        <f t="shared" si="0"/>
        <v>0</v>
      </c>
      <c r="L164" s="104">
        <f>+ SUMIF('Doanh thu'!A:A, C164,'Doanh thu'!F:F)</f>
        <v>0</v>
      </c>
    </row>
    <row r="165" spans="1:12" ht="13.2">
      <c r="A165" s="372"/>
      <c r="B165" s="111">
        <v>1</v>
      </c>
      <c r="C165" s="112" t="s">
        <v>754</v>
      </c>
      <c r="D165" s="112" t="s">
        <v>755</v>
      </c>
      <c r="E165" s="111" t="s">
        <v>444</v>
      </c>
      <c r="F165" s="102">
        <f>+ SUMIF('Nhập kho T42024'!B:B, C165,'Nhập kho T42024'!F:F)</f>
        <v>0</v>
      </c>
      <c r="G165" s="100">
        <f>+ (SUMIF('Nhập kho T42024'!B:B, C165,'Nhập kho T42024'!G:G))*3500</f>
        <v>0</v>
      </c>
      <c r="H165" s="101"/>
      <c r="I165" s="101">
        <f>+ SUMIF('Doanh thu'!A:A, C165,'Doanh thu'!E:E)</f>
        <v>0</v>
      </c>
      <c r="J165" s="101">
        <f t="shared" si="26"/>
        <v>0</v>
      </c>
      <c r="K165" s="103">
        <f t="shared" si="0"/>
        <v>0</v>
      </c>
      <c r="L165" s="104">
        <f>+ SUMIF('Doanh thu'!A:A, C165,'Doanh thu'!F:F)</f>
        <v>0</v>
      </c>
    </row>
    <row r="166" spans="1:12" ht="13.2">
      <c r="A166" s="372"/>
      <c r="B166" s="111">
        <v>1</v>
      </c>
      <c r="C166" s="112" t="s">
        <v>756</v>
      </c>
      <c r="D166" s="112" t="s">
        <v>757</v>
      </c>
      <c r="E166" s="111" t="s">
        <v>444</v>
      </c>
      <c r="F166" s="102">
        <f>+ SUMIF('Nhập kho T42024'!B:B, C166,'Nhập kho T42024'!F:F)</f>
        <v>0</v>
      </c>
      <c r="G166" s="100">
        <f>+ (SUMIF('Nhập kho T42024'!B:B, C166,'Nhập kho T42024'!G:G))*3500</f>
        <v>0</v>
      </c>
      <c r="H166" s="101"/>
      <c r="I166" s="101">
        <f>+ SUMIF('Doanh thu'!A:A, C166,'Doanh thu'!E:E)</f>
        <v>1</v>
      </c>
      <c r="J166" s="101">
        <f>F166-I166+1</f>
        <v>0</v>
      </c>
      <c r="K166" s="103">
        <f t="shared" si="0"/>
        <v>14500</v>
      </c>
      <c r="L166" s="104">
        <f>+ SUMIF('Doanh thu'!A:A, C166,'Doanh thu'!F:F)</f>
        <v>14500</v>
      </c>
    </row>
    <row r="167" spans="1:12" ht="13.2">
      <c r="A167" s="372"/>
      <c r="B167" s="111">
        <v>1</v>
      </c>
      <c r="C167" s="112" t="s">
        <v>758</v>
      </c>
      <c r="D167" s="112" t="s">
        <v>759</v>
      </c>
      <c r="E167" s="111" t="s">
        <v>444</v>
      </c>
      <c r="F167" s="102">
        <f>+ SUMIF('Nhập kho T42024'!B:B, C167,'Nhập kho T42024'!F:F)</f>
        <v>0</v>
      </c>
      <c r="G167" s="100">
        <f>+ (SUMIF('Nhập kho T42024'!B:B, C167,'Nhập kho T42024'!G:G))*3500</f>
        <v>0</v>
      </c>
      <c r="H167" s="101"/>
      <c r="I167" s="101">
        <f>+ SUMIF('Doanh thu'!A:A, C167,'Doanh thu'!E:E)</f>
        <v>0</v>
      </c>
      <c r="J167" s="101">
        <f t="shared" ref="J167:J168" si="27">F167-I167</f>
        <v>0</v>
      </c>
      <c r="K167" s="103">
        <f t="shared" si="0"/>
        <v>0</v>
      </c>
      <c r="L167" s="104">
        <f>+ SUMIF('Doanh thu'!A:A, C167,'Doanh thu'!F:F)</f>
        <v>0</v>
      </c>
    </row>
    <row r="168" spans="1:12" ht="13.2">
      <c r="A168" s="372"/>
      <c r="B168" s="111">
        <v>1</v>
      </c>
      <c r="C168" s="112" t="s">
        <v>760</v>
      </c>
      <c r="D168" s="112" t="s">
        <v>761</v>
      </c>
      <c r="E168" s="111" t="s">
        <v>444</v>
      </c>
      <c r="F168" s="102">
        <f>+ SUMIF('Nhập kho T42024'!B:B, C168,'Nhập kho T42024'!F:F)</f>
        <v>0</v>
      </c>
      <c r="G168" s="100">
        <f>+ (SUMIF('Nhập kho T42024'!B:B, C168,'Nhập kho T42024'!G:G))*3500</f>
        <v>0</v>
      </c>
      <c r="H168" s="101"/>
      <c r="I168" s="101">
        <f>+ SUMIF('Doanh thu'!A:A, C168,'Doanh thu'!E:E)</f>
        <v>0</v>
      </c>
      <c r="J168" s="101">
        <f t="shared" si="27"/>
        <v>0</v>
      </c>
      <c r="K168" s="103">
        <f t="shared" si="0"/>
        <v>0</v>
      </c>
      <c r="L168" s="104">
        <f>+ SUMIF('Doanh thu'!A:A, C168,'Doanh thu'!F:F)</f>
        <v>0</v>
      </c>
    </row>
    <row r="169" spans="1:12" ht="13.2">
      <c r="A169" s="372"/>
      <c r="B169" s="111">
        <v>1</v>
      </c>
      <c r="C169" s="112" t="s">
        <v>762</v>
      </c>
      <c r="D169" s="112" t="s">
        <v>763</v>
      </c>
      <c r="E169" s="111" t="s">
        <v>444</v>
      </c>
      <c r="F169" s="102">
        <f>+ SUMIF('Nhập kho T42024'!B:B, C169,'Nhập kho T42024'!F:F)</f>
        <v>0</v>
      </c>
      <c r="G169" s="100">
        <f>+ (SUMIF('Nhập kho T42024'!B:B, C169,'Nhập kho T42024'!G:G))*3500</f>
        <v>0</v>
      </c>
      <c r="H169" s="101"/>
      <c r="I169" s="101">
        <f>+ SUMIF('Doanh thu'!A:A, C169,'Doanh thu'!E:E)</f>
        <v>1</v>
      </c>
      <c r="J169" s="101">
        <f>F169-I169+1</f>
        <v>0</v>
      </c>
      <c r="K169" s="103">
        <f t="shared" si="0"/>
        <v>14500</v>
      </c>
      <c r="L169" s="104">
        <f>+ SUMIF('Doanh thu'!A:A, C169,'Doanh thu'!F:F)</f>
        <v>14500</v>
      </c>
    </row>
    <row r="170" spans="1:12" ht="13.2">
      <c r="A170" s="372"/>
      <c r="B170" s="111">
        <v>1</v>
      </c>
      <c r="C170" s="112" t="s">
        <v>764</v>
      </c>
      <c r="D170" s="112" t="s">
        <v>765</v>
      </c>
      <c r="E170" s="111" t="s">
        <v>444</v>
      </c>
      <c r="F170" s="102">
        <f>+ SUMIF('Nhập kho T42024'!B:B, C170,'Nhập kho T42024'!F:F)</f>
        <v>0</v>
      </c>
      <c r="G170" s="100">
        <f>+ (SUMIF('Nhập kho T42024'!B:B, C170,'Nhập kho T42024'!G:G))*3500</f>
        <v>0</v>
      </c>
      <c r="H170" s="101"/>
      <c r="I170" s="101">
        <f>+ SUMIF('Doanh thu'!A:A, C170,'Doanh thu'!E:E)</f>
        <v>0</v>
      </c>
      <c r="J170" s="101">
        <f t="shared" ref="J170:J172" si="28">F170-I170</f>
        <v>0</v>
      </c>
      <c r="K170" s="103">
        <f t="shared" si="0"/>
        <v>0</v>
      </c>
      <c r="L170" s="104">
        <f>+ SUMIF('Doanh thu'!A:A, C170,'Doanh thu'!F:F)</f>
        <v>0</v>
      </c>
    </row>
    <row r="171" spans="1:12" ht="13.2">
      <c r="A171" s="372"/>
      <c r="B171" s="111">
        <v>1</v>
      </c>
      <c r="C171" s="112" t="s">
        <v>766</v>
      </c>
      <c r="D171" s="112" t="s">
        <v>767</v>
      </c>
      <c r="E171" s="111" t="s">
        <v>444</v>
      </c>
      <c r="F171" s="102">
        <f>+ SUMIF('Nhập kho T42024'!B:B, C171,'Nhập kho T42024'!F:F)</f>
        <v>0</v>
      </c>
      <c r="G171" s="100">
        <f>+ (SUMIF('Nhập kho T42024'!B:B, C171,'Nhập kho T42024'!G:G))*3500</f>
        <v>0</v>
      </c>
      <c r="H171" s="101"/>
      <c r="I171" s="101">
        <f>+ SUMIF('Doanh thu'!A:A, C171,'Doanh thu'!E:E)</f>
        <v>0</v>
      </c>
      <c r="J171" s="101">
        <f t="shared" si="28"/>
        <v>0</v>
      </c>
      <c r="K171" s="103">
        <f t="shared" si="0"/>
        <v>0</v>
      </c>
      <c r="L171" s="104">
        <f>+ SUMIF('Doanh thu'!A:A, C171,'Doanh thu'!F:F)</f>
        <v>0</v>
      </c>
    </row>
    <row r="172" spans="1:12" ht="13.2">
      <c r="A172" s="372"/>
      <c r="B172" s="111">
        <v>1</v>
      </c>
      <c r="C172" s="112" t="s">
        <v>768</v>
      </c>
      <c r="D172" s="112" t="s">
        <v>769</v>
      </c>
      <c r="E172" s="111" t="s">
        <v>444</v>
      </c>
      <c r="F172" s="102">
        <f>+ SUMIF('Nhập kho T42024'!B:B, C172,'Nhập kho T42024'!F:F)</f>
        <v>0</v>
      </c>
      <c r="G172" s="100">
        <f>+ (SUMIF('Nhập kho T42024'!B:B, C172,'Nhập kho T42024'!G:G))*3500</f>
        <v>0</v>
      </c>
      <c r="H172" s="101"/>
      <c r="I172" s="101">
        <f>+ SUMIF('Doanh thu'!A:A, C172,'Doanh thu'!E:E)</f>
        <v>0</v>
      </c>
      <c r="J172" s="101">
        <f t="shared" si="28"/>
        <v>0</v>
      </c>
      <c r="K172" s="103">
        <f t="shared" si="0"/>
        <v>0</v>
      </c>
      <c r="L172" s="104">
        <f>+ SUMIF('Doanh thu'!A:A, C172,'Doanh thu'!F:F)</f>
        <v>0</v>
      </c>
    </row>
    <row r="173" spans="1:12" ht="13.2">
      <c r="A173" s="372"/>
      <c r="B173" s="111">
        <v>1</v>
      </c>
      <c r="C173" s="112" t="s">
        <v>770</v>
      </c>
      <c r="D173" s="112" t="s">
        <v>771</v>
      </c>
      <c r="E173" s="111" t="s">
        <v>444</v>
      </c>
      <c r="F173" s="102">
        <f>+ SUMIF('Nhập kho T42024'!B:B, C173,'Nhập kho T42024'!F:F)</f>
        <v>0</v>
      </c>
      <c r="G173" s="100">
        <f>+ (SUMIF('Nhập kho T42024'!B:B, C173,'Nhập kho T42024'!G:G))*3500</f>
        <v>0</v>
      </c>
      <c r="H173" s="101"/>
      <c r="I173" s="101">
        <f>+ SUMIF('Doanh thu'!A:A, C173,'Doanh thu'!E:E)</f>
        <v>1</v>
      </c>
      <c r="J173" s="101">
        <f>F173-I173+2</f>
        <v>1</v>
      </c>
      <c r="K173" s="103">
        <f t="shared" si="0"/>
        <v>19500</v>
      </c>
      <c r="L173" s="104">
        <f>+ SUMIF('Doanh thu'!A:A, C173,'Doanh thu'!F:F)</f>
        <v>19500</v>
      </c>
    </row>
    <row r="174" spans="1:12" ht="13.2">
      <c r="A174" s="372"/>
      <c r="B174" s="111">
        <v>1</v>
      </c>
      <c r="C174" s="112" t="s">
        <v>772</v>
      </c>
      <c r="D174" s="112" t="s">
        <v>773</v>
      </c>
      <c r="E174" s="111" t="s">
        <v>444</v>
      </c>
      <c r="F174" s="102">
        <f>+ SUMIF('Nhập kho T42024'!B:B, C174,'Nhập kho T42024'!F:F)</f>
        <v>0</v>
      </c>
      <c r="G174" s="100">
        <f>+ (SUMIF('Nhập kho T42024'!B:B, C174,'Nhập kho T42024'!G:G))*3500</f>
        <v>0</v>
      </c>
      <c r="H174" s="101"/>
      <c r="I174" s="101">
        <f>+ SUMIF('Doanh thu'!A:A, C174,'Doanh thu'!E:E)</f>
        <v>1</v>
      </c>
      <c r="J174" s="101">
        <f t="shared" ref="J174:J177" si="29">F174-I174</f>
        <v>-1</v>
      </c>
      <c r="K174" s="103">
        <f t="shared" si="0"/>
        <v>19680</v>
      </c>
      <c r="L174" s="104">
        <f>+ SUMIF('Doanh thu'!A:A, C174,'Doanh thu'!F:F)</f>
        <v>19680</v>
      </c>
    </row>
    <row r="175" spans="1:12" ht="13.2">
      <c r="A175" s="372"/>
      <c r="B175" s="111">
        <v>1</v>
      </c>
      <c r="C175" s="112" t="s">
        <v>774</v>
      </c>
      <c r="D175" s="112" t="s">
        <v>775</v>
      </c>
      <c r="E175" s="111" t="s">
        <v>444</v>
      </c>
      <c r="F175" s="102">
        <f>+ SUMIF('Nhập kho T42024'!B:B, C175,'Nhập kho T42024'!F:F)</f>
        <v>0</v>
      </c>
      <c r="G175" s="100">
        <f>+ (SUMIF('Nhập kho T42024'!B:B, C175,'Nhập kho T42024'!G:G))*3500</f>
        <v>0</v>
      </c>
      <c r="H175" s="101"/>
      <c r="I175" s="101">
        <f>+ SUMIF('Doanh thu'!A:A, C175,'Doanh thu'!E:E)</f>
        <v>0</v>
      </c>
      <c r="J175" s="101">
        <f t="shared" si="29"/>
        <v>0</v>
      </c>
      <c r="K175" s="103">
        <f t="shared" si="0"/>
        <v>0</v>
      </c>
      <c r="L175" s="104">
        <f>+ SUMIF('Doanh thu'!A:A, C175,'Doanh thu'!F:F)</f>
        <v>0</v>
      </c>
    </row>
    <row r="176" spans="1:12" ht="13.2">
      <c r="A176" s="372"/>
      <c r="B176" s="111">
        <v>1</v>
      </c>
      <c r="C176" s="112" t="s">
        <v>776</v>
      </c>
      <c r="D176" s="112" t="s">
        <v>777</v>
      </c>
      <c r="E176" s="111" t="s">
        <v>444</v>
      </c>
      <c r="F176" s="102">
        <f>+ SUMIF('Nhập kho T42024'!B:B, C176,'Nhập kho T42024'!F:F)</f>
        <v>0</v>
      </c>
      <c r="G176" s="100">
        <f>+ (SUMIF('Nhập kho T42024'!B:B, C176,'Nhập kho T42024'!G:G))*3500</f>
        <v>0</v>
      </c>
      <c r="H176" s="101"/>
      <c r="I176" s="101">
        <f>+ SUMIF('Doanh thu'!A:A, C176,'Doanh thu'!E:E)</f>
        <v>0</v>
      </c>
      <c r="J176" s="101">
        <f t="shared" si="29"/>
        <v>0</v>
      </c>
      <c r="K176" s="103">
        <f t="shared" si="0"/>
        <v>0</v>
      </c>
      <c r="L176" s="104">
        <f>+ SUMIF('Doanh thu'!A:A, C176,'Doanh thu'!F:F)</f>
        <v>0</v>
      </c>
    </row>
    <row r="177" spans="1:12" ht="13.2">
      <c r="A177" s="372"/>
      <c r="B177" s="111">
        <v>1</v>
      </c>
      <c r="C177" s="112" t="s">
        <v>778</v>
      </c>
      <c r="D177" s="112" t="s">
        <v>779</v>
      </c>
      <c r="E177" s="111" t="s">
        <v>444</v>
      </c>
      <c r="F177" s="102">
        <f>+ SUMIF('Nhập kho T42024'!B:B, C177,'Nhập kho T42024'!F:F)</f>
        <v>0</v>
      </c>
      <c r="G177" s="100">
        <f>+ (SUMIF('Nhập kho T42024'!B:B, C177,'Nhập kho T42024'!G:G))*3500</f>
        <v>0</v>
      </c>
      <c r="H177" s="101"/>
      <c r="I177" s="101">
        <f>+ SUMIF('Doanh thu'!A:A, C177,'Doanh thu'!E:E)</f>
        <v>0</v>
      </c>
      <c r="J177" s="101">
        <f t="shared" si="29"/>
        <v>0</v>
      </c>
      <c r="K177" s="103">
        <f t="shared" si="0"/>
        <v>0</v>
      </c>
      <c r="L177" s="104">
        <f>+ SUMIF('Doanh thu'!A:A, C177,'Doanh thu'!F:F)</f>
        <v>0</v>
      </c>
    </row>
    <row r="178" spans="1:12" ht="13.2">
      <c r="A178" s="372"/>
      <c r="B178" s="111">
        <v>1</v>
      </c>
      <c r="C178" s="112" t="s">
        <v>780</v>
      </c>
      <c r="D178" s="112" t="s">
        <v>781</v>
      </c>
      <c r="E178" s="111" t="s">
        <v>444</v>
      </c>
      <c r="F178" s="102">
        <f>+ SUMIF('Nhập kho T42024'!B:B, C178,'Nhập kho T42024'!F:F)</f>
        <v>0</v>
      </c>
      <c r="G178" s="100">
        <f>+ (SUMIF('Nhập kho T42024'!B:B, C178,'Nhập kho T42024'!G:G))*3500</f>
        <v>0</v>
      </c>
      <c r="H178" s="101"/>
      <c r="I178" s="101">
        <f>+ SUMIF('Doanh thu'!A:A, C178,'Doanh thu'!E:E)</f>
        <v>0</v>
      </c>
      <c r="J178" s="101">
        <f t="shared" ref="J178:J179" si="30">F178-I178+11</f>
        <v>11</v>
      </c>
      <c r="K178" s="103">
        <f t="shared" si="0"/>
        <v>0</v>
      </c>
      <c r="L178" s="104">
        <f>+ SUMIF('Doanh thu'!A:A, C178,'Doanh thu'!F:F)</f>
        <v>0</v>
      </c>
    </row>
    <row r="179" spans="1:12" ht="13.2">
      <c r="A179" s="372"/>
      <c r="B179" s="111">
        <v>1</v>
      </c>
      <c r="C179" s="112" t="s">
        <v>782</v>
      </c>
      <c r="D179" s="112" t="s">
        <v>783</v>
      </c>
      <c r="E179" s="111" t="s">
        <v>444</v>
      </c>
      <c r="F179" s="102">
        <f>+ SUMIF('Nhập kho T42024'!B:B, C179,'Nhập kho T42024'!F:F)</f>
        <v>0</v>
      </c>
      <c r="G179" s="100">
        <f>+ (SUMIF('Nhập kho T42024'!B:B, C179,'Nhập kho T42024'!G:G))*3500</f>
        <v>0</v>
      </c>
      <c r="H179" s="101"/>
      <c r="I179" s="101">
        <f>+ SUMIF('Doanh thu'!A:A, C179,'Doanh thu'!E:E)</f>
        <v>2</v>
      </c>
      <c r="J179" s="101">
        <f t="shared" si="30"/>
        <v>9</v>
      </c>
      <c r="K179" s="103">
        <f t="shared" si="0"/>
        <v>37000</v>
      </c>
      <c r="L179" s="104">
        <f>+ SUMIF('Doanh thu'!A:A, C179,'Doanh thu'!F:F)</f>
        <v>37000</v>
      </c>
    </row>
    <row r="180" spans="1:12" ht="13.2">
      <c r="A180" s="372"/>
      <c r="B180" s="111">
        <v>1</v>
      </c>
      <c r="C180" s="112" t="s">
        <v>784</v>
      </c>
      <c r="D180" s="112" t="s">
        <v>785</v>
      </c>
      <c r="E180" s="111" t="s">
        <v>444</v>
      </c>
      <c r="F180" s="102">
        <f>+ SUMIF('Nhập kho T42024'!B:B, C180,'Nhập kho T42024'!F:F)</f>
        <v>0</v>
      </c>
      <c r="G180" s="100">
        <f>+ (SUMIF('Nhập kho T42024'!B:B, C180,'Nhập kho T42024'!G:G))*3500</f>
        <v>0</v>
      </c>
      <c r="H180" s="101"/>
      <c r="I180" s="101">
        <f>+ SUMIF('Doanh thu'!A:A, C180,'Doanh thu'!E:E)</f>
        <v>0</v>
      </c>
      <c r="J180" s="101">
        <f t="shared" ref="J180:J181" si="31">F180-I180</f>
        <v>0</v>
      </c>
      <c r="K180" s="103">
        <f t="shared" si="0"/>
        <v>0</v>
      </c>
      <c r="L180" s="104">
        <f>+ SUMIF('Doanh thu'!A:A, C180,'Doanh thu'!F:F)</f>
        <v>0</v>
      </c>
    </row>
    <row r="181" spans="1:12" ht="13.2">
      <c r="A181" s="372"/>
      <c r="B181" s="111">
        <v>1</v>
      </c>
      <c r="C181" s="112" t="s">
        <v>786</v>
      </c>
      <c r="D181" s="112" t="s">
        <v>787</v>
      </c>
      <c r="E181" s="111" t="s">
        <v>444</v>
      </c>
      <c r="F181" s="102">
        <f>+ SUMIF('Nhập kho T42024'!B:B, C181,'Nhập kho T42024'!F:F)</f>
        <v>0</v>
      </c>
      <c r="G181" s="100">
        <f>+ (SUMIF('Nhập kho T42024'!B:B, C181,'Nhập kho T42024'!G:G))*3500</f>
        <v>0</v>
      </c>
      <c r="H181" s="101"/>
      <c r="I181" s="101">
        <f>+ SUMIF('Doanh thu'!A:A, C181,'Doanh thu'!E:E)</f>
        <v>0</v>
      </c>
      <c r="J181" s="101">
        <f t="shared" si="31"/>
        <v>0</v>
      </c>
      <c r="K181" s="103">
        <f t="shared" si="0"/>
        <v>0</v>
      </c>
      <c r="L181" s="104">
        <f>+ SUMIF('Doanh thu'!A:A, C181,'Doanh thu'!F:F)</f>
        <v>0</v>
      </c>
    </row>
    <row r="182" spans="1:12" ht="13.2">
      <c r="A182" s="372"/>
      <c r="B182" s="111">
        <v>1</v>
      </c>
      <c r="C182" s="112" t="s">
        <v>788</v>
      </c>
      <c r="D182" s="112" t="s">
        <v>789</v>
      </c>
      <c r="E182" s="111" t="s">
        <v>444</v>
      </c>
      <c r="F182" s="102">
        <f>+ SUMIF('Nhập kho T42024'!B:B, C182,'Nhập kho T42024'!F:F)</f>
        <v>90</v>
      </c>
      <c r="G182" s="100">
        <f>+ (SUMIF('Nhập kho T42024'!B:B, C182,'Nhập kho T42024'!G:G))*3500</f>
        <v>1479100</v>
      </c>
      <c r="H182" s="101"/>
      <c r="I182" s="101">
        <f>+ SUMIF('Doanh thu'!A:A, C182,'Doanh thu'!E:E)</f>
        <v>93</v>
      </c>
      <c r="J182" s="101">
        <f>F182-I182+7</f>
        <v>4</v>
      </c>
      <c r="K182" s="103">
        <f t="shared" si="0"/>
        <v>3608000</v>
      </c>
      <c r="L182" s="104">
        <f>+ SUMIF('Doanh thu'!A:A, C182,'Doanh thu'!F:F)</f>
        <v>3608000</v>
      </c>
    </row>
    <row r="183" spans="1:12" ht="13.2">
      <c r="A183" s="372"/>
      <c r="B183" s="111">
        <v>1</v>
      </c>
      <c r="C183" s="112" t="s">
        <v>790</v>
      </c>
      <c r="D183" s="112" t="s">
        <v>791</v>
      </c>
      <c r="E183" s="111" t="s">
        <v>444</v>
      </c>
      <c r="F183" s="102">
        <f>+ SUMIF('Nhập kho T42024'!B:B, C183,'Nhập kho T42024'!F:F)</f>
        <v>55</v>
      </c>
      <c r="G183" s="100">
        <f>+ (SUMIF('Nhập kho T42024'!B:B, C183,'Nhập kho T42024'!G:G))*3500</f>
        <v>904575</v>
      </c>
      <c r="H183" s="101"/>
      <c r="I183" s="101">
        <f>+ SUMIF('Doanh thu'!A:A, C183,'Doanh thu'!E:E)</f>
        <v>42</v>
      </c>
      <c r="J183" s="101">
        <f>F183-I183-8</f>
        <v>5</v>
      </c>
      <c r="K183" s="103">
        <f t="shared" si="0"/>
        <v>1680000</v>
      </c>
      <c r="L183" s="104">
        <f>+ SUMIF('Doanh thu'!A:A, C183,'Doanh thu'!F:F)</f>
        <v>1680000</v>
      </c>
    </row>
    <row r="184" spans="1:12" ht="13.2">
      <c r="A184" s="372"/>
      <c r="B184" s="111">
        <v>1</v>
      </c>
      <c r="C184" s="112" t="s">
        <v>792</v>
      </c>
      <c r="D184" s="112" t="s">
        <v>793</v>
      </c>
      <c r="E184" s="111" t="s">
        <v>444</v>
      </c>
      <c r="F184" s="102">
        <f>+ SUMIF('Nhập kho T42024'!B:B, C184,'Nhập kho T42024'!F:F)</f>
        <v>55</v>
      </c>
      <c r="G184" s="100">
        <f>+ (SUMIF('Nhập kho T42024'!B:B, C184,'Nhập kho T42024'!G:G))*3500</f>
        <v>904575</v>
      </c>
      <c r="H184" s="101"/>
      <c r="I184" s="101">
        <f>+ SUMIF('Doanh thu'!A:A, C184,'Doanh thu'!E:E)</f>
        <v>69</v>
      </c>
      <c r="J184" s="101">
        <f>F184-I184+13</f>
        <v>-1</v>
      </c>
      <c r="K184" s="103">
        <f t="shared" si="0"/>
        <v>2622000</v>
      </c>
      <c r="L184" s="104">
        <f>+ SUMIF('Doanh thu'!A:A, C184,'Doanh thu'!F:F)</f>
        <v>2622000</v>
      </c>
    </row>
    <row r="185" spans="1:12" ht="13.2">
      <c r="A185" s="372"/>
      <c r="B185" s="111">
        <v>1</v>
      </c>
      <c r="C185" s="112" t="s">
        <v>794</v>
      </c>
      <c r="D185" s="112" t="s">
        <v>795</v>
      </c>
      <c r="E185" s="111" t="s">
        <v>444</v>
      </c>
      <c r="F185" s="102">
        <f>+ SUMIF('Nhập kho T42024'!B:B, C185,'Nhập kho T42024'!F:F)</f>
        <v>67</v>
      </c>
      <c r="G185" s="100">
        <f>+ (SUMIF('Nhập kho T42024'!B:B, C185,'Nhập kho T42024'!G:G))*3500</f>
        <v>1100155</v>
      </c>
      <c r="H185" s="101"/>
      <c r="I185" s="101">
        <f>+ SUMIF('Doanh thu'!A:A, C185,'Doanh thu'!E:E)</f>
        <v>70</v>
      </c>
      <c r="J185" s="101">
        <f>F185-I185+6</f>
        <v>3</v>
      </c>
      <c r="K185" s="103">
        <f t="shared" si="0"/>
        <v>2760000</v>
      </c>
      <c r="L185" s="104">
        <f>+ SUMIF('Doanh thu'!A:A, C185,'Doanh thu'!F:F)</f>
        <v>2760000</v>
      </c>
    </row>
    <row r="186" spans="1:12" ht="13.2">
      <c r="A186" s="372"/>
      <c r="B186" s="111">
        <v>1</v>
      </c>
      <c r="C186" s="112" t="s">
        <v>796</v>
      </c>
      <c r="D186" s="112" t="s">
        <v>797</v>
      </c>
      <c r="E186" s="111" t="s">
        <v>444</v>
      </c>
      <c r="F186" s="102">
        <f>+ SUMIF('Nhập kho T42024'!B:B, C186,'Nhập kho T42024'!F:F)</f>
        <v>25</v>
      </c>
      <c r="G186" s="100">
        <f>+ (SUMIF('Nhập kho T42024'!B:B, C186,'Nhập kho T42024'!G:G))*3500</f>
        <v>396024.99999999994</v>
      </c>
      <c r="H186" s="101"/>
      <c r="I186" s="101">
        <f>+ SUMIF('Doanh thu'!A:A, C186,'Doanh thu'!E:E)</f>
        <v>104</v>
      </c>
      <c r="J186" s="101">
        <f>F186-I186+80</f>
        <v>1</v>
      </c>
      <c r="K186" s="103">
        <f t="shared" si="0"/>
        <v>4010000</v>
      </c>
      <c r="L186" s="104">
        <f>+ SUMIF('Doanh thu'!A:A, C186,'Doanh thu'!F:F)</f>
        <v>4010000</v>
      </c>
    </row>
    <row r="187" spans="1:12" ht="13.2">
      <c r="A187" s="372"/>
      <c r="B187" s="111">
        <v>1</v>
      </c>
      <c r="C187" s="112" t="s">
        <v>798</v>
      </c>
      <c r="D187" s="112" t="s">
        <v>799</v>
      </c>
      <c r="E187" s="111" t="s">
        <v>444</v>
      </c>
      <c r="F187" s="102">
        <f>+ SUMIF('Nhập kho T42024'!B:B, C187,'Nhập kho T42024'!F:F)</f>
        <v>60</v>
      </c>
      <c r="G187" s="100">
        <f>+ (SUMIF('Nhập kho T42024'!B:B, C187,'Nhập kho T42024'!G:G))*3500</f>
        <v>982800</v>
      </c>
      <c r="H187" s="101"/>
      <c r="I187" s="101">
        <f>+ SUMIF('Doanh thu'!A:A, C187,'Doanh thu'!E:E)</f>
        <v>62</v>
      </c>
      <c r="J187" s="101">
        <f>F187-I187-7</f>
        <v>-9</v>
      </c>
      <c r="K187" s="103">
        <f t="shared" si="0"/>
        <v>2480000</v>
      </c>
      <c r="L187" s="104">
        <f>+ SUMIF('Doanh thu'!A:A, C187,'Doanh thu'!F:F)</f>
        <v>2480000</v>
      </c>
    </row>
    <row r="188" spans="1:12" ht="13.2">
      <c r="A188" s="372"/>
      <c r="B188" s="111">
        <v>1</v>
      </c>
      <c r="C188" s="112" t="s">
        <v>800</v>
      </c>
      <c r="D188" s="112" t="s">
        <v>801</v>
      </c>
      <c r="E188" s="111" t="s">
        <v>444</v>
      </c>
      <c r="F188" s="102">
        <f>+ SUMIF('Nhập kho T42024'!B:B, C188,'Nhập kho T42024'!F:F)</f>
        <v>17</v>
      </c>
      <c r="G188" s="100">
        <f>+ (SUMIF('Nhập kho T42024'!B:B, C188,'Nhập kho T42024'!G:G))*3500</f>
        <v>286054.99999999994</v>
      </c>
      <c r="H188" s="101"/>
      <c r="I188" s="101">
        <f>+ SUMIF('Doanh thu'!A:A, C188,'Doanh thu'!E:E)</f>
        <v>29</v>
      </c>
      <c r="J188" s="101">
        <f>F188-I188+13</f>
        <v>1</v>
      </c>
      <c r="K188" s="103">
        <f t="shared" si="0"/>
        <v>1102000</v>
      </c>
      <c r="L188" s="104">
        <f>+ SUMIF('Doanh thu'!A:A, C188,'Doanh thu'!F:F)</f>
        <v>1102000</v>
      </c>
    </row>
    <row r="189" spans="1:12" ht="13.2">
      <c r="A189" s="372"/>
      <c r="B189" s="111">
        <v>1</v>
      </c>
      <c r="C189" s="112" t="s">
        <v>802</v>
      </c>
      <c r="D189" s="112" t="s">
        <v>803</v>
      </c>
      <c r="E189" s="111" t="s">
        <v>444</v>
      </c>
      <c r="F189" s="102">
        <f>+ SUMIF('Nhập kho T42024'!B:B, C189,'Nhập kho T42024'!F:F)</f>
        <v>9</v>
      </c>
      <c r="G189" s="100">
        <f>+ (SUMIF('Nhập kho T42024'!B:B, C189,'Nhập kho T42024'!G:G))*3500</f>
        <v>51030.000000000007</v>
      </c>
      <c r="H189" s="101"/>
      <c r="I189" s="101">
        <f>+ SUMIF('Doanh thu'!A:A, C189,'Doanh thu'!E:E)</f>
        <v>8</v>
      </c>
      <c r="J189" s="101">
        <f>F189-I189-6</f>
        <v>-5</v>
      </c>
      <c r="K189" s="103">
        <f t="shared" si="0"/>
        <v>152000</v>
      </c>
      <c r="L189" s="104">
        <f>+ SUMIF('Doanh thu'!A:A, C189,'Doanh thu'!F:F)</f>
        <v>152000</v>
      </c>
    </row>
    <row r="190" spans="1:12" ht="13.2">
      <c r="A190" s="372"/>
      <c r="B190" s="111">
        <v>1</v>
      </c>
      <c r="C190" s="112" t="s">
        <v>804</v>
      </c>
      <c r="D190" s="112" t="s">
        <v>797</v>
      </c>
      <c r="E190" s="111" t="s">
        <v>444</v>
      </c>
      <c r="F190" s="102">
        <f>+ SUMIF('Nhập kho T42024'!B:B, C190,'Nhập kho T42024'!F:F)</f>
        <v>9</v>
      </c>
      <c r="G190" s="100">
        <f>+ (SUMIF('Nhập kho T42024'!B:B, C190,'Nhập kho T42024'!G:G))*3500</f>
        <v>51030.000000000007</v>
      </c>
      <c r="H190" s="101"/>
      <c r="I190" s="101">
        <f>+ SUMIF('Doanh thu'!A:A, C190,'Doanh thu'!E:E)</f>
        <v>6</v>
      </c>
      <c r="J190" s="101">
        <f>F190-I190-5</f>
        <v>-2</v>
      </c>
      <c r="K190" s="103">
        <f t="shared" si="0"/>
        <v>110000</v>
      </c>
      <c r="L190" s="104">
        <f>+ SUMIF('Doanh thu'!A:A, C190,'Doanh thu'!F:F)</f>
        <v>110000</v>
      </c>
    </row>
    <row r="191" spans="1:12" ht="13.2">
      <c r="A191" s="372"/>
      <c r="B191" s="111">
        <v>1</v>
      </c>
      <c r="C191" s="112" t="s">
        <v>805</v>
      </c>
      <c r="D191" s="112" t="s">
        <v>806</v>
      </c>
      <c r="E191" s="111" t="s">
        <v>444</v>
      </c>
      <c r="F191" s="102">
        <f>+ SUMIF('Nhập kho T42024'!B:B, C191,'Nhập kho T42024'!F:F)</f>
        <v>9</v>
      </c>
      <c r="G191" s="100">
        <f>+ (SUMIF('Nhập kho T42024'!B:B, C191,'Nhập kho T42024'!G:G))*3500</f>
        <v>51030.000000000007</v>
      </c>
      <c r="H191" s="101"/>
      <c r="I191" s="101">
        <f>+ SUMIF('Doanh thu'!A:A, C191,'Doanh thu'!E:E)</f>
        <v>2</v>
      </c>
      <c r="J191" s="101">
        <f t="shared" ref="J191:J192" si="32">F191-I191-6</f>
        <v>1</v>
      </c>
      <c r="K191" s="103">
        <f t="shared" si="0"/>
        <v>38000</v>
      </c>
      <c r="L191" s="104">
        <f>+ SUMIF('Doanh thu'!A:A, C191,'Doanh thu'!F:F)</f>
        <v>38000</v>
      </c>
    </row>
    <row r="192" spans="1:12" ht="13.2">
      <c r="A192" s="372"/>
      <c r="B192" s="111">
        <v>1</v>
      </c>
      <c r="C192" s="112" t="s">
        <v>807</v>
      </c>
      <c r="D192" s="112" t="s">
        <v>799</v>
      </c>
      <c r="E192" s="111" t="s">
        <v>444</v>
      </c>
      <c r="F192" s="102">
        <f>+ SUMIF('Nhập kho T42024'!B:B, C192,'Nhập kho T42024'!F:F)</f>
        <v>9</v>
      </c>
      <c r="G192" s="100">
        <f>+ (SUMIF('Nhập kho T42024'!B:B, C192,'Nhập kho T42024'!G:G))*3500</f>
        <v>51030.000000000007</v>
      </c>
      <c r="H192" s="101"/>
      <c r="I192" s="101">
        <f>+ SUMIF('Doanh thu'!A:A, C192,'Doanh thu'!E:E)</f>
        <v>7</v>
      </c>
      <c r="J192" s="101">
        <f t="shared" si="32"/>
        <v>-4</v>
      </c>
      <c r="K192" s="103">
        <f t="shared" si="0"/>
        <v>133000</v>
      </c>
      <c r="L192" s="104">
        <f>+ SUMIF('Doanh thu'!A:A, C192,'Doanh thu'!F:F)</f>
        <v>133000</v>
      </c>
    </row>
    <row r="193" spans="1:12" ht="13.2">
      <c r="A193" s="372"/>
      <c r="B193" s="111">
        <v>1</v>
      </c>
      <c r="C193" s="112" t="s">
        <v>808</v>
      </c>
      <c r="D193" s="112" t="s">
        <v>809</v>
      </c>
      <c r="E193" s="111" t="s">
        <v>444</v>
      </c>
      <c r="F193" s="102">
        <f>+ SUMIF('Nhập kho T42024'!B:B, C193,'Nhập kho T42024'!F:F)</f>
        <v>15</v>
      </c>
      <c r="G193" s="100">
        <f>+ (SUMIF('Nhập kho T42024'!B:B, C193,'Nhập kho T42024'!G:G))*3500</f>
        <v>81375</v>
      </c>
      <c r="H193" s="101"/>
      <c r="I193" s="101">
        <f>+ SUMIF('Doanh thu'!A:A, C193,'Doanh thu'!E:E)</f>
        <v>2</v>
      </c>
      <c r="J193" s="101">
        <f t="shared" ref="J193:J195" si="33">F193-I193-12</f>
        <v>1</v>
      </c>
      <c r="K193" s="103">
        <f t="shared" si="0"/>
        <v>36000</v>
      </c>
      <c r="L193" s="104">
        <f>+ SUMIF('Doanh thu'!A:A, C193,'Doanh thu'!F:F)</f>
        <v>36000</v>
      </c>
    </row>
    <row r="194" spans="1:12" ht="13.2">
      <c r="A194" s="372"/>
      <c r="B194" s="111">
        <v>1</v>
      </c>
      <c r="C194" s="112" t="s">
        <v>810</v>
      </c>
      <c r="D194" s="112" t="s">
        <v>811</v>
      </c>
      <c r="E194" s="111" t="s">
        <v>444</v>
      </c>
      <c r="F194" s="102">
        <f>+ SUMIF('Nhập kho T42024'!B:B, C194,'Nhập kho T42024'!F:F)</f>
        <v>15</v>
      </c>
      <c r="G194" s="100">
        <f>+ (SUMIF('Nhập kho T42024'!B:B, C194,'Nhập kho T42024'!G:G))*3500</f>
        <v>81375</v>
      </c>
      <c r="H194" s="101"/>
      <c r="I194" s="101">
        <f>+ SUMIF('Doanh thu'!A:A, C194,'Doanh thu'!E:E)</f>
        <v>2</v>
      </c>
      <c r="J194" s="101">
        <f t="shared" si="33"/>
        <v>1</v>
      </c>
      <c r="K194" s="103">
        <f t="shared" si="0"/>
        <v>36000</v>
      </c>
      <c r="L194" s="104">
        <f>+ SUMIF('Doanh thu'!A:A, C194,'Doanh thu'!F:F)</f>
        <v>36000</v>
      </c>
    </row>
    <row r="195" spans="1:12" ht="13.2">
      <c r="A195" s="372"/>
      <c r="B195" s="111">
        <v>1</v>
      </c>
      <c r="C195" s="112" t="s">
        <v>812</v>
      </c>
      <c r="D195" s="112" t="s">
        <v>797</v>
      </c>
      <c r="E195" s="111" t="s">
        <v>444</v>
      </c>
      <c r="F195" s="102">
        <f>+ SUMIF('Nhập kho T42024'!B:B, C195,'Nhập kho T42024'!F:F)</f>
        <v>15</v>
      </c>
      <c r="G195" s="100">
        <f>+ (SUMIF('Nhập kho T42024'!B:B, C195,'Nhập kho T42024'!G:G))*3500</f>
        <v>81375</v>
      </c>
      <c r="H195" s="101"/>
      <c r="I195" s="101">
        <f>+ SUMIF('Doanh thu'!A:A, C195,'Doanh thu'!E:E)</f>
        <v>5</v>
      </c>
      <c r="J195" s="101">
        <f t="shared" si="33"/>
        <v>-2</v>
      </c>
      <c r="K195" s="103">
        <f t="shared" si="0"/>
        <v>90000</v>
      </c>
      <c r="L195" s="104">
        <f>+ SUMIF('Doanh thu'!A:A, C195,'Doanh thu'!F:F)</f>
        <v>90000</v>
      </c>
    </row>
    <row r="196" spans="1:12" ht="13.2">
      <c r="A196" s="372"/>
      <c r="B196" s="111">
        <v>1</v>
      </c>
      <c r="C196" s="112" t="s">
        <v>813</v>
      </c>
      <c r="D196" s="112" t="s">
        <v>814</v>
      </c>
      <c r="E196" s="111" t="s">
        <v>444</v>
      </c>
      <c r="F196" s="102">
        <f>+ SUMIF('Nhập kho T42024'!B:B, C196,'Nhập kho T42024'!F:F)</f>
        <v>15</v>
      </c>
      <c r="G196" s="100">
        <f>+ (SUMIF('Nhập kho T42024'!B:B, C196,'Nhập kho T42024'!G:G))*3500</f>
        <v>81375</v>
      </c>
      <c r="H196" s="101"/>
      <c r="I196" s="101">
        <f>+ SUMIF('Doanh thu'!A:A, C196,'Doanh thu'!E:E)</f>
        <v>4</v>
      </c>
      <c r="J196" s="101">
        <f>F196-I196-11</f>
        <v>0</v>
      </c>
      <c r="K196" s="103">
        <f t="shared" si="0"/>
        <v>69000</v>
      </c>
      <c r="L196" s="104">
        <f>+ SUMIF('Doanh thu'!A:A, C196,'Doanh thu'!F:F)</f>
        <v>69000</v>
      </c>
    </row>
    <row r="197" spans="1:12" ht="13.2">
      <c r="A197" s="372"/>
      <c r="B197" s="111">
        <v>1</v>
      </c>
      <c r="C197" s="112" t="s">
        <v>815</v>
      </c>
      <c r="D197" s="112" t="s">
        <v>816</v>
      </c>
      <c r="E197" s="111" t="s">
        <v>444</v>
      </c>
      <c r="F197" s="102">
        <f>+ SUMIF('Nhập kho T42024'!B:B, C197,'Nhập kho T42024'!F:F)</f>
        <v>15</v>
      </c>
      <c r="G197" s="100">
        <f>+ (SUMIF('Nhập kho T42024'!B:B, C197,'Nhập kho T42024'!G:G))*3500</f>
        <v>81375</v>
      </c>
      <c r="H197" s="101"/>
      <c r="I197" s="101">
        <f>+ SUMIF('Doanh thu'!A:A, C197,'Doanh thu'!E:E)</f>
        <v>2</v>
      </c>
      <c r="J197" s="101">
        <f>F197-I197-12</f>
        <v>1</v>
      </c>
      <c r="K197" s="103">
        <f t="shared" si="0"/>
        <v>36000</v>
      </c>
      <c r="L197" s="104">
        <f>+ SUMIF('Doanh thu'!A:A, C197,'Doanh thu'!F:F)</f>
        <v>36000</v>
      </c>
    </row>
    <row r="198" spans="1:12" ht="13.2">
      <c r="A198" s="372"/>
      <c r="B198" s="111">
        <v>1</v>
      </c>
      <c r="C198" s="112" t="s">
        <v>817</v>
      </c>
      <c r="D198" s="112" t="s">
        <v>818</v>
      </c>
      <c r="E198" s="111" t="s">
        <v>444</v>
      </c>
      <c r="F198" s="102">
        <f>+ SUMIF('Nhập kho T42024'!B:B, C198,'Nhập kho T42024'!F:F)</f>
        <v>56</v>
      </c>
      <c r="G198" s="100">
        <f>+ (SUMIF('Nhập kho T42024'!B:B, C198,'Nhập kho T42024'!G:G))*3500</f>
        <v>1039149.9999999999</v>
      </c>
      <c r="H198" s="101"/>
      <c r="I198" s="101">
        <f>+ SUMIF('Doanh thu'!A:A, C198,'Doanh thu'!E:E)</f>
        <v>50</v>
      </c>
      <c r="J198" s="101">
        <f>F198-I198-4</f>
        <v>2</v>
      </c>
      <c r="K198" s="103">
        <f t="shared" si="0"/>
        <v>2600000</v>
      </c>
      <c r="L198" s="104">
        <f>+ SUMIF('Doanh thu'!A:A, C198,'Doanh thu'!F:F)</f>
        <v>2600000</v>
      </c>
    </row>
    <row r="199" spans="1:12" ht="13.2">
      <c r="A199" s="372"/>
      <c r="B199" s="111">
        <v>1</v>
      </c>
      <c r="C199" s="112" t="s">
        <v>819</v>
      </c>
      <c r="D199" s="112" t="s">
        <v>820</v>
      </c>
      <c r="E199" s="111" t="s">
        <v>444</v>
      </c>
      <c r="F199" s="102">
        <f>+ SUMIF('Nhập kho T42024'!B:B, C199,'Nhập kho T42024'!F:F)</f>
        <v>50</v>
      </c>
      <c r="G199" s="100">
        <f>+ (SUMIF('Nhập kho T42024'!B:B, C199,'Nhập kho T42024'!G:G))*3500</f>
        <v>937650.00000000012</v>
      </c>
      <c r="H199" s="101"/>
      <c r="I199" s="101">
        <f>+ SUMIF('Doanh thu'!A:A, C199,'Doanh thu'!E:E)</f>
        <v>37</v>
      </c>
      <c r="J199" s="101">
        <f>F199-I199-6</f>
        <v>7</v>
      </c>
      <c r="K199" s="103">
        <f t="shared" si="0"/>
        <v>1924000</v>
      </c>
      <c r="L199" s="104">
        <f>+ SUMIF('Doanh thu'!A:A, C199,'Doanh thu'!F:F)</f>
        <v>1924000</v>
      </c>
    </row>
    <row r="200" spans="1:12" ht="13.2">
      <c r="A200" s="372"/>
      <c r="B200" s="111">
        <v>1</v>
      </c>
      <c r="C200" s="112" t="s">
        <v>821</v>
      </c>
      <c r="D200" s="112" t="s">
        <v>822</v>
      </c>
      <c r="E200" s="111" t="s">
        <v>444</v>
      </c>
      <c r="F200" s="102">
        <f>+ SUMIF('Nhập kho T42024'!B:B, C200,'Nhập kho T42024'!F:F)</f>
        <v>25</v>
      </c>
      <c r="G200" s="100">
        <f>+ (SUMIF('Nhập kho T42024'!B:B, C200,'Nhập kho T42024'!G:G))*3500</f>
        <v>493500</v>
      </c>
      <c r="H200" s="101"/>
      <c r="I200" s="101">
        <f>+ SUMIF('Doanh thu'!A:A, C200,'Doanh thu'!E:E)</f>
        <v>27</v>
      </c>
      <c r="J200" s="101">
        <f>F200-I200+2</f>
        <v>0</v>
      </c>
      <c r="K200" s="103">
        <f t="shared" si="0"/>
        <v>1404000</v>
      </c>
      <c r="L200" s="104">
        <f>+ SUMIF('Doanh thu'!A:A, C200,'Doanh thu'!F:F)</f>
        <v>1404000</v>
      </c>
    </row>
    <row r="201" spans="1:12" ht="13.2">
      <c r="A201" s="372"/>
      <c r="B201" s="111">
        <v>1</v>
      </c>
      <c r="C201" s="112" t="s">
        <v>823</v>
      </c>
      <c r="D201" s="112" t="s">
        <v>824</v>
      </c>
      <c r="E201" s="111" t="s">
        <v>444</v>
      </c>
      <c r="F201" s="102">
        <f>+ SUMIF('Nhập kho T42024'!B:B, C201,'Nhập kho T42024'!F:F)</f>
        <v>33</v>
      </c>
      <c r="G201" s="100">
        <f>+ (SUMIF('Nhập kho T42024'!B:B, C201,'Nhập kho T42024'!G:G))*3500</f>
        <v>634900.00000000012</v>
      </c>
      <c r="H201" s="101"/>
      <c r="I201" s="101">
        <f>+ SUMIF('Doanh thu'!A:A, C201,'Doanh thu'!E:E)</f>
        <v>30</v>
      </c>
      <c r="J201" s="101">
        <f>F201-I201-4</f>
        <v>-1</v>
      </c>
      <c r="K201" s="103">
        <f t="shared" si="0"/>
        <v>1560000</v>
      </c>
      <c r="L201" s="104">
        <f>+ SUMIF('Doanh thu'!A:A, C201,'Doanh thu'!F:F)</f>
        <v>1560000</v>
      </c>
    </row>
    <row r="202" spans="1:12" ht="13.2">
      <c r="A202" s="372"/>
      <c r="B202" s="111">
        <v>1</v>
      </c>
      <c r="C202" s="112" t="s">
        <v>825</v>
      </c>
      <c r="D202" s="112" t="s">
        <v>826</v>
      </c>
      <c r="E202" s="111" t="s">
        <v>444</v>
      </c>
      <c r="F202" s="102">
        <f>+ SUMIF('Nhập kho T42024'!B:B, C202,'Nhập kho T42024'!F:F)</f>
        <v>25</v>
      </c>
      <c r="G202" s="100">
        <f>+ (SUMIF('Nhập kho T42024'!B:B, C202,'Nhập kho T42024'!G:G))*3500</f>
        <v>493500</v>
      </c>
      <c r="H202" s="101"/>
      <c r="I202" s="101">
        <f>+ SUMIF('Doanh thu'!A:A, C202,'Doanh thu'!E:E)</f>
        <v>23</v>
      </c>
      <c r="J202" s="101">
        <f>F202-I202-3</f>
        <v>-1</v>
      </c>
      <c r="K202" s="103">
        <f t="shared" si="0"/>
        <v>1196000</v>
      </c>
      <c r="L202" s="104">
        <f>+ SUMIF('Doanh thu'!A:A, C202,'Doanh thu'!F:F)</f>
        <v>1196000</v>
      </c>
    </row>
    <row r="203" spans="1:12" ht="13.2">
      <c r="A203" s="372"/>
      <c r="B203" s="111">
        <v>1</v>
      </c>
      <c r="C203" s="112" t="s">
        <v>827</v>
      </c>
      <c r="D203" s="112" t="s">
        <v>828</v>
      </c>
      <c r="E203" s="111" t="s">
        <v>444</v>
      </c>
      <c r="F203" s="102">
        <f>+ SUMIF('Nhập kho T42024'!B:B, C203,'Nhập kho T42024'!F:F)</f>
        <v>60</v>
      </c>
      <c r="G203" s="100">
        <f>+ (SUMIF('Nhập kho T42024'!B:B, C203,'Nhập kho T42024'!G:G))*3500</f>
        <v>997500</v>
      </c>
      <c r="H203" s="101"/>
      <c r="I203" s="101">
        <f>+ SUMIF('Doanh thu'!A:A, C203,'Doanh thu'!E:E)</f>
        <v>15</v>
      </c>
      <c r="J203" s="101">
        <f>F203-I203-51+1</f>
        <v>-5</v>
      </c>
      <c r="K203" s="103">
        <f t="shared" si="0"/>
        <v>780000</v>
      </c>
      <c r="L203" s="104">
        <f>+ SUMIF('Doanh thu'!A:A, C203,'Doanh thu'!F:F)</f>
        <v>780000</v>
      </c>
    </row>
    <row r="204" spans="1:12" ht="13.2">
      <c r="A204" s="372"/>
      <c r="B204" s="111">
        <v>1</v>
      </c>
      <c r="C204" s="112" t="s">
        <v>829</v>
      </c>
      <c r="D204" s="112" t="s">
        <v>799</v>
      </c>
      <c r="E204" s="111" t="s">
        <v>444</v>
      </c>
      <c r="F204" s="102">
        <f>+ SUMIF('Nhập kho T42024'!B:B, C204,'Nhập kho T42024'!F:F)</f>
        <v>10</v>
      </c>
      <c r="G204" s="100">
        <f>+ (SUMIF('Nhập kho T42024'!B:B, C204,'Nhập kho T42024'!G:G))*3500</f>
        <v>199500</v>
      </c>
      <c r="H204" s="101"/>
      <c r="I204" s="101">
        <f>+ SUMIF('Doanh thu'!A:A, C204,'Doanh thu'!E:E)</f>
        <v>11</v>
      </c>
      <c r="J204" s="101">
        <f>F204-I204-1</f>
        <v>-2</v>
      </c>
      <c r="K204" s="103">
        <f t="shared" si="0"/>
        <v>572000</v>
      </c>
      <c r="L204" s="104">
        <f>+ SUMIF('Doanh thu'!A:A, C204,'Doanh thu'!F:F)</f>
        <v>572000</v>
      </c>
    </row>
    <row r="205" spans="1:12" ht="13.2">
      <c r="A205" s="372"/>
      <c r="B205" s="111"/>
      <c r="C205" s="112" t="s">
        <v>830</v>
      </c>
      <c r="D205" s="112" t="s">
        <v>831</v>
      </c>
      <c r="E205" s="111" t="s">
        <v>444</v>
      </c>
      <c r="F205" s="102">
        <f>+ SUMIF('Nhập kho T42024'!B:B, C205,'Nhập kho T42024'!F:F)</f>
        <v>14</v>
      </c>
      <c r="G205" s="100">
        <f>+ (SUMIF('Nhập kho T42024'!B:B, C205,'Nhập kho T42024'!G:G))*3500</f>
        <v>87710.000000000015</v>
      </c>
      <c r="H205" s="101"/>
      <c r="I205" s="101">
        <f>+ SUMIF('Doanh thu'!A:A, C205,'Doanh thu'!E:E)</f>
        <v>5</v>
      </c>
      <c r="J205" s="101">
        <f t="shared" ref="J205:J208" si="34">F205-I205</f>
        <v>9</v>
      </c>
      <c r="K205" s="103">
        <f t="shared" si="0"/>
        <v>90000</v>
      </c>
      <c r="L205" s="104">
        <f>+ SUMIF('Doanh thu'!A:A, C205,'Doanh thu'!F:F)</f>
        <v>90000</v>
      </c>
    </row>
    <row r="206" spans="1:12" ht="13.2">
      <c r="A206" s="372"/>
      <c r="B206" s="111"/>
      <c r="C206" s="112" t="s">
        <v>832</v>
      </c>
      <c r="D206" s="112" t="s">
        <v>833</v>
      </c>
      <c r="E206" s="111" t="s">
        <v>444</v>
      </c>
      <c r="F206" s="102">
        <f>+ SUMIF('Nhập kho T42024'!B:B, C206,'Nhập kho T42024'!F:F)</f>
        <v>14</v>
      </c>
      <c r="G206" s="100">
        <f>+ (SUMIF('Nhập kho T42024'!B:B, C206,'Nhập kho T42024'!G:G))*3500</f>
        <v>87710.000000000015</v>
      </c>
      <c r="H206" s="101"/>
      <c r="I206" s="101">
        <f>+ SUMIF('Doanh thu'!A:A, C206,'Doanh thu'!E:E)</f>
        <v>6</v>
      </c>
      <c r="J206" s="101">
        <f t="shared" si="34"/>
        <v>8</v>
      </c>
      <c r="K206" s="103">
        <f t="shared" si="0"/>
        <v>108000</v>
      </c>
      <c r="L206" s="104">
        <f>+ SUMIF('Doanh thu'!A:A, C206,'Doanh thu'!F:F)</f>
        <v>108000</v>
      </c>
    </row>
    <row r="207" spans="1:12" ht="13.2">
      <c r="A207" s="372"/>
      <c r="B207" s="111"/>
      <c r="C207" s="112" t="s">
        <v>834</v>
      </c>
      <c r="D207" s="118" t="s">
        <v>835</v>
      </c>
      <c r="E207" s="111" t="s">
        <v>444</v>
      </c>
      <c r="F207" s="102">
        <f>+ SUMIF('Nhập kho T42024'!B:B, C207,'Nhập kho T42024'!F:F)</f>
        <v>14</v>
      </c>
      <c r="G207" s="100">
        <f>+ (SUMIF('Nhập kho T42024'!B:B, C207,'Nhập kho T42024'!G:G))*3500</f>
        <v>87710.000000000015</v>
      </c>
      <c r="H207" s="101"/>
      <c r="I207" s="101">
        <f>+ SUMIF('Doanh thu'!A:A, C207,'Doanh thu'!E:E)</f>
        <v>8</v>
      </c>
      <c r="J207" s="101">
        <f t="shared" si="34"/>
        <v>6</v>
      </c>
      <c r="K207" s="103">
        <f t="shared" si="0"/>
        <v>144000</v>
      </c>
      <c r="L207" s="104">
        <f>+ SUMIF('Doanh thu'!A:A, C207,'Doanh thu'!F:F)</f>
        <v>144000</v>
      </c>
    </row>
    <row r="208" spans="1:12" ht="13.2">
      <c r="A208" s="373"/>
      <c r="B208" s="111"/>
      <c r="C208" s="112" t="s">
        <v>836</v>
      </c>
      <c r="D208" s="118" t="s">
        <v>837</v>
      </c>
      <c r="E208" s="111" t="s">
        <v>444</v>
      </c>
      <c r="F208" s="102">
        <f>+ SUMIF('Nhập kho T42024'!B:B, C208,'Nhập kho T42024'!F:F)</f>
        <v>12</v>
      </c>
      <c r="G208" s="100">
        <f>+ (SUMIF('Nhập kho T42024'!B:B, C208,'Nhập kho T42024'!G:G))*3500</f>
        <v>75180</v>
      </c>
      <c r="H208" s="101"/>
      <c r="I208" s="101">
        <f>+ SUMIF('Doanh thu'!A:A, C208,'Doanh thu'!E:E)</f>
        <v>4</v>
      </c>
      <c r="J208" s="101">
        <f t="shared" si="34"/>
        <v>8</v>
      </c>
      <c r="K208" s="103">
        <f t="shared" si="0"/>
        <v>72000</v>
      </c>
      <c r="L208" s="104">
        <f>+ SUMIF('Doanh thu'!A:A, C208,'Doanh thu'!F:F)</f>
        <v>72000</v>
      </c>
    </row>
    <row r="209" spans="1:12" ht="13.2">
      <c r="A209" s="391" t="s">
        <v>838</v>
      </c>
      <c r="B209" s="101">
        <v>1</v>
      </c>
      <c r="C209" s="119" t="s">
        <v>839</v>
      </c>
      <c r="D209" s="119" t="s">
        <v>840</v>
      </c>
      <c r="E209" s="120" t="s">
        <v>841</v>
      </c>
      <c r="F209" s="102">
        <f>+ SUMIF('Nhập kho T42024'!B:B, C209,'Nhập kho T42024'!F:F)</f>
        <v>0</v>
      </c>
      <c r="G209" s="100">
        <f>+ (SUMIF('Nhập kho T42024'!B:B, C209,'Nhập kho T42024'!G:G))*3500</f>
        <v>0</v>
      </c>
      <c r="H209" s="101"/>
      <c r="I209" s="101">
        <f>+ SUMIF('Doanh thu'!A:A, C209,'Doanh thu'!E:E)</f>
        <v>0</v>
      </c>
      <c r="J209" s="101">
        <f>F209-I209+5</f>
        <v>5</v>
      </c>
      <c r="K209" s="103">
        <f t="shared" si="0"/>
        <v>0</v>
      </c>
      <c r="L209" s="104">
        <f>+ SUMIF('Doanh thu'!A:A, C209,'Doanh thu'!F:F)</f>
        <v>0</v>
      </c>
    </row>
    <row r="210" spans="1:12" ht="13.2">
      <c r="A210" s="372"/>
      <c r="B210" s="101">
        <v>1</v>
      </c>
      <c r="C210" s="119" t="s">
        <v>842</v>
      </c>
      <c r="D210" s="119" t="s">
        <v>843</v>
      </c>
      <c r="E210" s="122" t="s">
        <v>841</v>
      </c>
      <c r="F210" s="102">
        <f>+ SUMIF('Nhập kho T42024'!B:B, C210,'Nhập kho T42024'!F:F)</f>
        <v>0</v>
      </c>
      <c r="G210" s="100">
        <f>+ (SUMIF('Nhập kho T42024'!B:B, C210,'Nhập kho T42024'!G:G))*3500</f>
        <v>0</v>
      </c>
      <c r="H210" s="101"/>
      <c r="I210" s="101">
        <f>+ SUMIF('Doanh thu'!A:A, C210,'Doanh thu'!E:E)</f>
        <v>2</v>
      </c>
      <c r="J210" s="101">
        <f>F210-I210+6</f>
        <v>4</v>
      </c>
      <c r="K210" s="103">
        <f t="shared" si="0"/>
        <v>22000</v>
      </c>
      <c r="L210" s="104">
        <f>+ SUMIF('Doanh thu'!A:A, C210,'Doanh thu'!F:F)</f>
        <v>22000</v>
      </c>
    </row>
    <row r="211" spans="1:12" ht="13.2">
      <c r="A211" s="372"/>
      <c r="B211" s="101">
        <v>1</v>
      </c>
      <c r="C211" s="119" t="s">
        <v>844</v>
      </c>
      <c r="D211" s="119" t="s">
        <v>845</v>
      </c>
      <c r="E211" s="122" t="s">
        <v>841</v>
      </c>
      <c r="F211" s="102">
        <f>+ SUMIF('Nhập kho T42024'!B:B, C211,'Nhập kho T42024'!F:F)</f>
        <v>0</v>
      </c>
      <c r="G211" s="100">
        <f>+ (SUMIF('Nhập kho T42024'!B:B, C211,'Nhập kho T42024'!G:G))*3500</f>
        <v>0</v>
      </c>
      <c r="H211" s="101"/>
      <c r="I211" s="101">
        <f>+ SUMIF('Doanh thu'!A:A, C211,'Doanh thu'!E:E)</f>
        <v>3</v>
      </c>
      <c r="J211" s="101">
        <f>F211-I211+5</f>
        <v>2</v>
      </c>
      <c r="K211" s="103">
        <f t="shared" si="0"/>
        <v>33000</v>
      </c>
      <c r="L211" s="104">
        <f>+ SUMIF('Doanh thu'!A:A, C211,'Doanh thu'!F:F)</f>
        <v>33000</v>
      </c>
    </row>
    <row r="212" spans="1:12" ht="13.2">
      <c r="A212" s="372"/>
      <c r="B212" s="101">
        <v>1</v>
      </c>
      <c r="C212" s="119" t="s">
        <v>846</v>
      </c>
      <c r="D212" s="119" t="s">
        <v>847</v>
      </c>
      <c r="E212" s="122" t="s">
        <v>841</v>
      </c>
      <c r="F212" s="102">
        <f>+ SUMIF('Nhập kho T42024'!B:B, C212,'Nhập kho T42024'!F:F)</f>
        <v>0</v>
      </c>
      <c r="G212" s="100">
        <f>+ (SUMIF('Nhập kho T42024'!B:B, C212,'Nhập kho T42024'!G:G))*3500</f>
        <v>0</v>
      </c>
      <c r="H212" s="101"/>
      <c r="I212" s="101">
        <f>+ SUMIF('Doanh thu'!A:A, C212,'Doanh thu'!E:E)</f>
        <v>0</v>
      </c>
      <c r="J212" s="101">
        <f>F212-I212+4</f>
        <v>4</v>
      </c>
      <c r="K212" s="103">
        <f t="shared" si="0"/>
        <v>0</v>
      </c>
      <c r="L212" s="104">
        <f>+ SUMIF('Doanh thu'!A:A, C212,'Doanh thu'!F:F)</f>
        <v>0</v>
      </c>
    </row>
    <row r="213" spans="1:12" ht="13.2">
      <c r="A213" s="372"/>
      <c r="B213" s="101">
        <v>1</v>
      </c>
      <c r="C213" s="119" t="s">
        <v>848</v>
      </c>
      <c r="D213" s="119" t="s">
        <v>849</v>
      </c>
      <c r="E213" s="122" t="s">
        <v>841</v>
      </c>
      <c r="F213" s="102">
        <f>+ SUMIF('Nhập kho T42024'!B:B, C213,'Nhập kho T42024'!F:F)</f>
        <v>0</v>
      </c>
      <c r="G213" s="100">
        <f>+ (SUMIF('Nhập kho T42024'!B:B, C213,'Nhập kho T42024'!G:G))*3500</f>
        <v>0</v>
      </c>
      <c r="H213" s="101"/>
      <c r="I213" s="101">
        <f>+ SUMIF('Doanh thu'!A:A, C213,'Doanh thu'!E:E)</f>
        <v>1</v>
      </c>
      <c r="J213" s="101">
        <f t="shared" ref="J213:J214" si="35">F213-I213+3</f>
        <v>2</v>
      </c>
      <c r="K213" s="103">
        <f t="shared" si="0"/>
        <v>11000</v>
      </c>
      <c r="L213" s="104">
        <f>+ SUMIF('Doanh thu'!A:A, C213,'Doanh thu'!F:F)</f>
        <v>11000</v>
      </c>
    </row>
    <row r="214" spans="1:12" ht="13.2">
      <c r="A214" s="372"/>
      <c r="B214" s="101">
        <v>1</v>
      </c>
      <c r="C214" s="119" t="s">
        <v>850</v>
      </c>
      <c r="D214" s="119" t="s">
        <v>851</v>
      </c>
      <c r="E214" s="122" t="s">
        <v>841</v>
      </c>
      <c r="F214" s="102">
        <f>+ SUMIF('Nhập kho T42024'!B:B, C214,'Nhập kho T42024'!F:F)</f>
        <v>0</v>
      </c>
      <c r="G214" s="100">
        <f>+ (SUMIF('Nhập kho T42024'!B:B, C214,'Nhập kho T42024'!G:G))*3500</f>
        <v>0</v>
      </c>
      <c r="H214" s="101"/>
      <c r="I214" s="101">
        <f>+ SUMIF('Doanh thu'!A:A, C214,'Doanh thu'!E:E)</f>
        <v>2</v>
      </c>
      <c r="J214" s="101">
        <f t="shared" si="35"/>
        <v>1</v>
      </c>
      <c r="K214" s="103">
        <f t="shared" si="0"/>
        <v>22000</v>
      </c>
      <c r="L214" s="104">
        <f>+ SUMIF('Doanh thu'!A:A, C214,'Doanh thu'!F:F)</f>
        <v>22000</v>
      </c>
    </row>
    <row r="215" spans="1:12" ht="13.2">
      <c r="A215" s="372"/>
      <c r="B215" s="101">
        <v>1</v>
      </c>
      <c r="C215" s="119" t="s">
        <v>852</v>
      </c>
      <c r="D215" s="119" t="s">
        <v>853</v>
      </c>
      <c r="E215" s="122" t="s">
        <v>841</v>
      </c>
      <c r="F215" s="102">
        <f>+ SUMIF('Nhập kho T42024'!B:B, C215,'Nhập kho T42024'!F:F)</f>
        <v>0</v>
      </c>
      <c r="G215" s="100">
        <f>+ (SUMIF('Nhập kho T42024'!B:B, C215,'Nhập kho T42024'!G:G))*3500</f>
        <v>0</v>
      </c>
      <c r="H215" s="101"/>
      <c r="I215" s="101">
        <f>+ SUMIF('Doanh thu'!A:A, C215,'Doanh thu'!E:E)</f>
        <v>7</v>
      </c>
      <c r="J215" s="101">
        <f>F215-I215+10</f>
        <v>3</v>
      </c>
      <c r="K215" s="103">
        <f t="shared" si="0"/>
        <v>77000</v>
      </c>
      <c r="L215" s="104">
        <f>+ SUMIF('Doanh thu'!A:A, C215,'Doanh thu'!F:F)</f>
        <v>77000</v>
      </c>
    </row>
    <row r="216" spans="1:12" ht="13.2">
      <c r="A216" s="372"/>
      <c r="B216" s="101">
        <v>1</v>
      </c>
      <c r="C216" s="119" t="s">
        <v>854</v>
      </c>
      <c r="D216" s="119" t="s">
        <v>855</v>
      </c>
      <c r="E216" s="120" t="s">
        <v>841</v>
      </c>
      <c r="F216" s="102">
        <f>+ SUMIF('Nhập kho T42024'!B:B, C216,'Nhập kho T42024'!F:F)</f>
        <v>0</v>
      </c>
      <c r="G216" s="100">
        <f>+ (SUMIF('Nhập kho T42024'!B:B, C216,'Nhập kho T42024'!G:G))*3500</f>
        <v>0</v>
      </c>
      <c r="H216" s="101"/>
      <c r="I216" s="101">
        <f>+ SUMIF('Doanh thu'!A:A, C216,'Doanh thu'!E:E)</f>
        <v>1</v>
      </c>
      <c r="J216" s="101">
        <f>F216-I216+3</f>
        <v>2</v>
      </c>
      <c r="K216" s="103">
        <f t="shared" si="0"/>
        <v>11000</v>
      </c>
      <c r="L216" s="104">
        <f>+ SUMIF('Doanh thu'!A:A, C216,'Doanh thu'!F:F)</f>
        <v>11000</v>
      </c>
    </row>
    <row r="217" spans="1:12" ht="13.2">
      <c r="A217" s="372"/>
      <c r="B217" s="101">
        <v>1</v>
      </c>
      <c r="C217" s="119" t="s">
        <v>856</v>
      </c>
      <c r="D217" s="119" t="s">
        <v>857</v>
      </c>
      <c r="E217" s="120" t="s">
        <v>841</v>
      </c>
      <c r="F217" s="102">
        <f>+ SUMIF('Nhập kho T42024'!B:B, C217,'Nhập kho T42024'!F:F)</f>
        <v>0</v>
      </c>
      <c r="G217" s="100">
        <f>+ (SUMIF('Nhập kho T42024'!B:B, C217,'Nhập kho T42024'!G:G))*3500</f>
        <v>0</v>
      </c>
      <c r="H217" s="101"/>
      <c r="I217" s="101">
        <f>+ SUMIF('Doanh thu'!A:A, C217,'Doanh thu'!E:E)</f>
        <v>0</v>
      </c>
      <c r="J217" s="101">
        <f>F217-I217+7</f>
        <v>7</v>
      </c>
      <c r="K217" s="103">
        <f t="shared" si="0"/>
        <v>0</v>
      </c>
      <c r="L217" s="104">
        <f>+ SUMIF('Doanh thu'!A:A, C217,'Doanh thu'!F:F)</f>
        <v>0</v>
      </c>
    </row>
    <row r="218" spans="1:12" ht="13.2">
      <c r="A218" s="372"/>
      <c r="B218" s="101">
        <v>1</v>
      </c>
      <c r="C218" s="119" t="s">
        <v>858</v>
      </c>
      <c r="D218" s="119" t="s">
        <v>859</v>
      </c>
      <c r="E218" s="120" t="s">
        <v>841</v>
      </c>
      <c r="F218" s="102">
        <f>+ SUMIF('Nhập kho T42024'!B:B, C218,'Nhập kho T42024'!F:F)</f>
        <v>0</v>
      </c>
      <c r="G218" s="100">
        <f>+ (SUMIF('Nhập kho T42024'!B:B, C218,'Nhập kho T42024'!G:G))*3500</f>
        <v>0</v>
      </c>
      <c r="H218" s="101"/>
      <c r="I218" s="101">
        <f>+ SUMIF('Doanh thu'!A:A, C218,'Doanh thu'!E:E)</f>
        <v>2</v>
      </c>
      <c r="J218" s="101">
        <f>F218-I218+3</f>
        <v>1</v>
      </c>
      <c r="K218" s="103">
        <f t="shared" si="0"/>
        <v>21000</v>
      </c>
      <c r="L218" s="104">
        <f>+ SUMIF('Doanh thu'!A:A, C218,'Doanh thu'!F:F)</f>
        <v>21000</v>
      </c>
    </row>
    <row r="219" spans="1:12" ht="13.2">
      <c r="A219" s="372"/>
      <c r="B219" s="101">
        <v>1</v>
      </c>
      <c r="C219" s="119" t="s">
        <v>860</v>
      </c>
      <c r="D219" s="119" t="s">
        <v>861</v>
      </c>
      <c r="E219" s="123" t="s">
        <v>444</v>
      </c>
      <c r="F219" s="102">
        <f>+ SUMIF('Nhập kho T42024'!B:B, C219,'Nhập kho T42024'!F:F)</f>
        <v>20</v>
      </c>
      <c r="G219" s="100">
        <f>+ (SUMIF('Nhập kho T42024'!B:B, C219,'Nhập kho T42024'!G:G))*3500</f>
        <v>49000</v>
      </c>
      <c r="H219" s="101"/>
      <c r="I219" s="101">
        <f>+ SUMIF('Doanh thu'!A:A, C219,'Doanh thu'!E:E)</f>
        <v>2</v>
      </c>
      <c r="J219" s="101">
        <f>F219-I219+2</f>
        <v>20</v>
      </c>
      <c r="K219" s="103">
        <f t="shared" si="0"/>
        <v>18000</v>
      </c>
      <c r="L219" s="104">
        <f>+ SUMIF('Doanh thu'!A:A, C219,'Doanh thu'!F:F)</f>
        <v>18000</v>
      </c>
    </row>
    <row r="220" spans="1:12" ht="13.2">
      <c r="A220" s="372"/>
      <c r="B220" s="101">
        <v>1</v>
      </c>
      <c r="C220" s="119" t="s">
        <v>862</v>
      </c>
      <c r="D220" s="119" t="s">
        <v>863</v>
      </c>
      <c r="E220" s="123" t="s">
        <v>444</v>
      </c>
      <c r="F220" s="102">
        <f>+ SUMIF('Nhập kho T42024'!B:B, C220,'Nhập kho T42024'!F:F)</f>
        <v>20</v>
      </c>
      <c r="G220" s="100">
        <f>+ (SUMIF('Nhập kho T42024'!B:B, C220,'Nhập kho T42024'!G:G))*3500</f>
        <v>49000</v>
      </c>
      <c r="H220" s="101"/>
      <c r="I220" s="101">
        <f>+ SUMIF('Doanh thu'!A:A, C220,'Doanh thu'!E:E)</f>
        <v>1</v>
      </c>
      <c r="J220" s="101">
        <f t="shared" ref="J220:J221" si="36">F220-I220+1</f>
        <v>20</v>
      </c>
      <c r="K220" s="103">
        <f t="shared" si="0"/>
        <v>9000</v>
      </c>
      <c r="L220" s="104">
        <f>+ SUMIF('Doanh thu'!A:A, C220,'Doanh thu'!F:F)</f>
        <v>9000</v>
      </c>
    </row>
    <row r="221" spans="1:12" ht="13.2">
      <c r="A221" s="372"/>
      <c r="B221" s="101">
        <v>1</v>
      </c>
      <c r="C221" s="119" t="s">
        <v>864</v>
      </c>
      <c r="D221" s="119" t="s">
        <v>865</v>
      </c>
      <c r="E221" s="123" t="s">
        <v>444</v>
      </c>
      <c r="F221" s="102">
        <f>+ SUMIF('Nhập kho T42024'!B:B, C221,'Nhập kho T42024'!F:F)</f>
        <v>20</v>
      </c>
      <c r="G221" s="100">
        <f>+ (SUMIF('Nhập kho T42024'!B:B, C221,'Nhập kho T42024'!G:G))*3500</f>
        <v>49000</v>
      </c>
      <c r="H221" s="101"/>
      <c r="I221" s="101">
        <f>+ SUMIF('Doanh thu'!A:A, C221,'Doanh thu'!E:E)</f>
        <v>4</v>
      </c>
      <c r="J221" s="101">
        <f t="shared" si="36"/>
        <v>17</v>
      </c>
      <c r="K221" s="103">
        <f t="shared" si="0"/>
        <v>36000</v>
      </c>
      <c r="L221" s="104">
        <f>+ SUMIF('Doanh thu'!A:A, C221,'Doanh thu'!F:F)</f>
        <v>36000</v>
      </c>
    </row>
    <row r="222" spans="1:12" ht="13.2">
      <c r="A222" s="372"/>
      <c r="B222" s="101">
        <v>1</v>
      </c>
      <c r="C222" s="119" t="s">
        <v>866</v>
      </c>
      <c r="D222" s="119" t="s">
        <v>867</v>
      </c>
      <c r="E222" s="123" t="s">
        <v>444</v>
      </c>
      <c r="F222" s="102">
        <f>+ SUMIF('Nhập kho T42024'!B:B, C222,'Nhập kho T42024'!F:F)</f>
        <v>20</v>
      </c>
      <c r="G222" s="100">
        <f>+ (SUMIF('Nhập kho T42024'!B:B, C222,'Nhập kho T42024'!G:G))*3500</f>
        <v>49000</v>
      </c>
      <c r="H222" s="101"/>
      <c r="I222" s="101">
        <f>+ SUMIF('Doanh thu'!A:A, C222,'Doanh thu'!E:E)</f>
        <v>7</v>
      </c>
      <c r="J222" s="101">
        <f>F222-I222+2</f>
        <v>15</v>
      </c>
      <c r="K222" s="103">
        <f t="shared" si="0"/>
        <v>63000</v>
      </c>
      <c r="L222" s="104">
        <f>+ SUMIF('Doanh thu'!A:A, C222,'Doanh thu'!F:F)</f>
        <v>63000</v>
      </c>
    </row>
    <row r="223" spans="1:12" ht="13.2">
      <c r="A223" s="372"/>
      <c r="B223" s="101">
        <v>1</v>
      </c>
      <c r="C223" s="119" t="s">
        <v>868</v>
      </c>
      <c r="D223" s="119" t="s">
        <v>869</v>
      </c>
      <c r="E223" s="123" t="s">
        <v>444</v>
      </c>
      <c r="F223" s="102">
        <f>+ SUMIF('Nhập kho T42024'!B:B, C223,'Nhập kho T42024'!F:F)</f>
        <v>20</v>
      </c>
      <c r="G223" s="100">
        <f>+ (SUMIF('Nhập kho T42024'!B:B, C223,'Nhập kho T42024'!G:G))*3500</f>
        <v>49000</v>
      </c>
      <c r="H223" s="101"/>
      <c r="I223" s="101">
        <f>+ SUMIF('Doanh thu'!A:A, C223,'Doanh thu'!E:E)</f>
        <v>0</v>
      </c>
      <c r="J223" s="101">
        <f>F223-I223</f>
        <v>20</v>
      </c>
      <c r="K223" s="103">
        <f t="shared" si="0"/>
        <v>0</v>
      </c>
      <c r="L223" s="104">
        <f>+ SUMIF('Doanh thu'!A:A, C223,'Doanh thu'!F:F)</f>
        <v>0</v>
      </c>
    </row>
    <row r="224" spans="1:12" ht="13.2">
      <c r="A224" s="372"/>
      <c r="B224" s="101">
        <v>1</v>
      </c>
      <c r="C224" s="119" t="s">
        <v>870</v>
      </c>
      <c r="D224" s="119" t="s">
        <v>871</v>
      </c>
      <c r="E224" s="123" t="s">
        <v>444</v>
      </c>
      <c r="F224" s="102">
        <f>+ SUMIF('Nhập kho T42024'!B:B, C224,'Nhập kho T42024'!F:F)</f>
        <v>19</v>
      </c>
      <c r="G224" s="100">
        <f>+ (SUMIF('Nhập kho T42024'!B:B, C224,'Nhập kho T42024'!G:G))*3500</f>
        <v>46549.999999999993</v>
      </c>
      <c r="H224" s="101"/>
      <c r="I224" s="101">
        <f>+ SUMIF('Doanh thu'!A:A, C224,'Doanh thu'!E:E)</f>
        <v>9</v>
      </c>
      <c r="J224" s="101">
        <f>F224-I224+2</f>
        <v>12</v>
      </c>
      <c r="K224" s="103">
        <f t="shared" si="0"/>
        <v>81000</v>
      </c>
      <c r="L224" s="104">
        <f>+ SUMIF('Doanh thu'!A:A, C224,'Doanh thu'!F:F)</f>
        <v>81000</v>
      </c>
    </row>
    <row r="225" spans="1:31" ht="13.2">
      <c r="A225" s="372"/>
      <c r="B225" s="101">
        <v>1</v>
      </c>
      <c r="C225" s="119" t="s">
        <v>872</v>
      </c>
      <c r="D225" s="119" t="s">
        <v>873</v>
      </c>
      <c r="E225" s="123" t="s">
        <v>444</v>
      </c>
      <c r="F225" s="102">
        <f>+ SUMIF('Nhập kho T42024'!B:B, C225,'Nhập kho T42024'!F:F)</f>
        <v>0</v>
      </c>
      <c r="G225" s="100">
        <f>+ (SUMIF('Nhập kho T42024'!B:B, C225,'Nhập kho T42024'!G:G))*3500</f>
        <v>0</v>
      </c>
      <c r="H225" s="101"/>
      <c r="I225" s="101">
        <f>+ SUMIF('Doanh thu'!A:A, C225,'Doanh thu'!E:E)</f>
        <v>3</v>
      </c>
      <c r="J225" s="101">
        <f>F225-I225+3</f>
        <v>0</v>
      </c>
      <c r="K225" s="103">
        <f t="shared" si="0"/>
        <v>27000</v>
      </c>
      <c r="L225" s="104">
        <f>+ SUMIF('Doanh thu'!A:A, C225,'Doanh thu'!F:F)</f>
        <v>27000</v>
      </c>
    </row>
    <row r="226" spans="1:31" ht="13.2">
      <c r="A226" s="372"/>
      <c r="B226" s="101">
        <v>1</v>
      </c>
      <c r="C226" s="119" t="s">
        <v>874</v>
      </c>
      <c r="D226" s="119" t="s">
        <v>875</v>
      </c>
      <c r="E226" s="123" t="s">
        <v>444</v>
      </c>
      <c r="F226" s="102">
        <f>+ SUMIF('Nhập kho T42024'!B:B, C226,'Nhập kho T42024'!F:F)</f>
        <v>0</v>
      </c>
      <c r="G226" s="100">
        <f>+ (SUMIF('Nhập kho T42024'!B:B, C226,'Nhập kho T42024'!G:G))*3500</f>
        <v>0</v>
      </c>
      <c r="H226" s="101"/>
      <c r="I226" s="101">
        <f>+ SUMIF('Doanh thu'!A:A, C226,'Doanh thu'!E:E)</f>
        <v>1</v>
      </c>
      <c r="J226" s="101">
        <f>F226-I226+1</f>
        <v>0</v>
      </c>
      <c r="K226" s="103">
        <f t="shared" si="0"/>
        <v>9000</v>
      </c>
      <c r="L226" s="104">
        <f>+ SUMIF('Doanh thu'!A:A, C226,'Doanh thu'!F:F)</f>
        <v>9000</v>
      </c>
    </row>
    <row r="227" spans="1:31" ht="13.2">
      <c r="A227" s="372"/>
      <c r="B227" s="101">
        <v>1</v>
      </c>
      <c r="C227" s="119" t="s">
        <v>876</v>
      </c>
      <c r="D227" s="119" t="s">
        <v>877</v>
      </c>
      <c r="E227" s="123" t="s">
        <v>444</v>
      </c>
      <c r="F227" s="102">
        <f>+ SUMIF('Nhập kho T42024'!B:B, C227,'Nhập kho T42024'!F:F)</f>
        <v>0</v>
      </c>
      <c r="G227" s="100">
        <f>+ (SUMIF('Nhập kho T42024'!B:B, C227,'Nhập kho T42024'!G:G))*3500</f>
        <v>0</v>
      </c>
      <c r="H227" s="101"/>
      <c r="I227" s="101">
        <f>+ SUMIF('Doanh thu'!A:A, C227,'Doanh thu'!E:E)</f>
        <v>4</v>
      </c>
      <c r="J227" s="101">
        <f>F227-I227+4</f>
        <v>0</v>
      </c>
      <c r="K227" s="103">
        <f t="shared" si="0"/>
        <v>36000</v>
      </c>
      <c r="L227" s="104">
        <f>+ SUMIF('Doanh thu'!A:A, C227,'Doanh thu'!F:F)</f>
        <v>36000</v>
      </c>
    </row>
    <row r="228" spans="1:31" ht="13.2">
      <c r="A228" s="372"/>
      <c r="B228" s="101">
        <v>1</v>
      </c>
      <c r="C228" s="119" t="s">
        <v>878</v>
      </c>
      <c r="D228" s="119" t="s">
        <v>879</v>
      </c>
      <c r="E228" s="123" t="s">
        <v>444</v>
      </c>
      <c r="F228" s="102">
        <f>+ SUMIF('Nhập kho T42024'!B:B, C228,'Nhập kho T42024'!F:F)</f>
        <v>0</v>
      </c>
      <c r="G228" s="100">
        <f>+ (SUMIF('Nhập kho T42024'!B:B, C228,'Nhập kho T42024'!G:G))*3500</f>
        <v>0</v>
      </c>
      <c r="H228" s="101"/>
      <c r="I228" s="101">
        <f>+ SUMIF('Doanh thu'!A:A, C228,'Doanh thu'!E:E)</f>
        <v>0</v>
      </c>
      <c r="J228" s="101">
        <f t="shared" ref="J228:J229" si="37">F228-I228</f>
        <v>0</v>
      </c>
      <c r="K228" s="103">
        <f t="shared" si="0"/>
        <v>0</v>
      </c>
      <c r="L228" s="104">
        <f>+ SUMIF('Doanh thu'!A:A, C228,'Doanh thu'!F:F)</f>
        <v>0</v>
      </c>
    </row>
    <row r="229" spans="1:31" ht="13.2">
      <c r="A229" s="372"/>
      <c r="B229" s="101">
        <v>1</v>
      </c>
      <c r="C229" s="119" t="s">
        <v>880</v>
      </c>
      <c r="D229" s="119" t="s">
        <v>881</v>
      </c>
      <c r="E229" s="123" t="s">
        <v>444</v>
      </c>
      <c r="F229" s="102">
        <f>+ SUMIF('Nhập kho T42024'!B:B, C229,'Nhập kho T42024'!F:F)</f>
        <v>0</v>
      </c>
      <c r="G229" s="100">
        <f>+ (SUMIF('Nhập kho T42024'!B:B, C229,'Nhập kho T42024'!G:G))*3500</f>
        <v>0</v>
      </c>
      <c r="H229" s="101"/>
      <c r="I229" s="101">
        <f>+ SUMIF('Doanh thu'!A:A, C229,'Doanh thu'!E:E)</f>
        <v>0</v>
      </c>
      <c r="J229" s="101">
        <f t="shared" si="37"/>
        <v>0</v>
      </c>
      <c r="K229" s="103">
        <f t="shared" si="0"/>
        <v>0</v>
      </c>
      <c r="L229" s="104">
        <f>+ SUMIF('Doanh thu'!A:A, C229,'Doanh thu'!F:F)</f>
        <v>0</v>
      </c>
    </row>
    <row r="230" spans="1:31" ht="13.2">
      <c r="A230" s="373"/>
      <c r="B230" s="101">
        <v>1</v>
      </c>
      <c r="C230" s="119" t="s">
        <v>882</v>
      </c>
      <c r="D230" s="119" t="s">
        <v>883</v>
      </c>
      <c r="E230" s="123" t="s">
        <v>444</v>
      </c>
      <c r="F230" s="102">
        <f>+ SUMIF('Nhập kho T42024'!B:B, C230,'Nhập kho T42024'!F:F)</f>
        <v>0</v>
      </c>
      <c r="G230" s="100">
        <f>+ (SUMIF('Nhập kho T42024'!B:B, C230,'Nhập kho T42024'!G:G))*3500</f>
        <v>0</v>
      </c>
      <c r="H230" s="101"/>
      <c r="I230" s="101">
        <f>+ SUMIF('Doanh thu'!A:A, C230,'Doanh thu'!E:E)</f>
        <v>3</v>
      </c>
      <c r="J230" s="101">
        <f>F230-I230+3</f>
        <v>0</v>
      </c>
      <c r="K230" s="103">
        <f t="shared" si="0"/>
        <v>27000</v>
      </c>
      <c r="L230" s="104">
        <f>+ SUMIF('Doanh thu'!A:A, C230,'Doanh thu'!F:F)</f>
        <v>27000</v>
      </c>
    </row>
    <row r="231" spans="1:31" ht="13.2">
      <c r="A231" s="392" t="s">
        <v>884</v>
      </c>
      <c r="B231" s="101">
        <v>1</v>
      </c>
      <c r="C231" s="124" t="s">
        <v>885</v>
      </c>
      <c r="D231" s="124" t="s">
        <v>886</v>
      </c>
      <c r="E231" s="101" t="s">
        <v>444</v>
      </c>
      <c r="F231" s="102">
        <f>+ SUMIF('Nhập kho T42024'!B:B, C231,'Nhập kho T42024'!F:F)</f>
        <v>51</v>
      </c>
      <c r="G231" s="100">
        <f>+ (SUMIF('Nhập kho T42024'!B:B, C231,'Nhập kho T42024'!G:G))*3500</f>
        <v>476490.00000000006</v>
      </c>
      <c r="H231" s="101"/>
      <c r="I231" s="101">
        <f>+ SUMIF('Doanh thu'!A:A, C231,'Doanh thu'!E:E)</f>
        <v>42</v>
      </c>
      <c r="J231" s="101">
        <f>F231-I231+5</f>
        <v>14</v>
      </c>
      <c r="K231" s="103">
        <f t="shared" si="0"/>
        <v>2490075</v>
      </c>
      <c r="L231" s="104">
        <f>+ SUMIF('Doanh thu'!A:A, C231,'Doanh thu'!F:F)</f>
        <v>2490075</v>
      </c>
    </row>
    <row r="232" spans="1:31" ht="13.2">
      <c r="A232" s="369"/>
      <c r="B232" s="101">
        <v>1</v>
      </c>
      <c r="C232" s="124" t="s">
        <v>887</v>
      </c>
      <c r="D232" s="124" t="s">
        <v>888</v>
      </c>
      <c r="E232" s="101" t="s">
        <v>444</v>
      </c>
      <c r="F232" s="102">
        <f>+ SUMIF('Nhập kho T42024'!B:B, C232,'Nhập kho T42024'!F:F)</f>
        <v>48</v>
      </c>
      <c r="G232" s="100">
        <f>+ (SUMIF('Nhập kho T42024'!B:B, C232,'Nhập kho T42024'!G:G))*3500</f>
        <v>397635.00000000006</v>
      </c>
      <c r="H232" s="101"/>
      <c r="I232" s="101">
        <f>+ SUMIF('Doanh thu'!A:A, C232,'Doanh thu'!E:E)</f>
        <v>42</v>
      </c>
      <c r="J232" s="101">
        <f>F232-I232+3</f>
        <v>9</v>
      </c>
      <c r="K232" s="103">
        <f t="shared" si="0"/>
        <v>2484720</v>
      </c>
      <c r="L232" s="104">
        <f>+ SUMIF('Doanh thu'!A:A, C232,'Doanh thu'!F:F)</f>
        <v>2484720</v>
      </c>
    </row>
    <row r="233" spans="1:31" ht="13.2">
      <c r="A233" s="369"/>
      <c r="B233" s="101">
        <v>1</v>
      </c>
      <c r="C233" s="124" t="s">
        <v>889</v>
      </c>
      <c r="D233" s="124" t="s">
        <v>890</v>
      </c>
      <c r="E233" s="101" t="s">
        <v>444</v>
      </c>
      <c r="F233" s="102">
        <f>+ SUMIF('Nhập kho T42024'!B:B, C233,'Nhập kho T42024'!F:F)</f>
        <v>29</v>
      </c>
      <c r="G233" s="100">
        <f>+ (SUMIF('Nhập kho T42024'!B:B, C233,'Nhập kho T42024'!G:G))*3500</f>
        <v>556710</v>
      </c>
      <c r="H233" s="101"/>
      <c r="I233" s="101">
        <f>+ SUMIF('Doanh thu'!A:A, C233,'Doanh thu'!E:E)</f>
        <v>27</v>
      </c>
      <c r="J233" s="101">
        <f>F233-I233+6</f>
        <v>8</v>
      </c>
      <c r="K233" s="103">
        <f t="shared" si="0"/>
        <v>1735050</v>
      </c>
      <c r="L233" s="104">
        <f>+ SUMIF('Doanh thu'!A:A, C233,'Doanh thu'!F:F)</f>
        <v>1735050</v>
      </c>
    </row>
    <row r="234" spans="1:31" ht="13.2">
      <c r="A234" s="369"/>
      <c r="B234" s="101">
        <v>1</v>
      </c>
      <c r="C234" s="124" t="s">
        <v>891</v>
      </c>
      <c r="D234" s="124" t="s">
        <v>892</v>
      </c>
      <c r="E234" s="101" t="s">
        <v>444</v>
      </c>
      <c r="F234" s="102">
        <f>+ SUMIF('Nhập kho T42024'!B:B, C234,'Nhập kho T42024'!F:F)</f>
        <v>169</v>
      </c>
      <c r="G234" s="100">
        <f>+ (SUMIF('Nhập kho T42024'!B:B, C234,'Nhập kho T42024'!G:G))*3500</f>
        <v>1521450</v>
      </c>
      <c r="H234" s="101"/>
      <c r="I234" s="101">
        <f>+ SUMIF('Doanh thu'!A:A, C234,'Doanh thu'!E:E)</f>
        <v>157</v>
      </c>
      <c r="J234" s="101">
        <f>F234-I234+4</f>
        <v>16</v>
      </c>
      <c r="K234" s="103">
        <f t="shared" si="0"/>
        <v>9353925</v>
      </c>
      <c r="L234" s="104">
        <f>+ SUMIF('Doanh thu'!A:A, C234,'Doanh thu'!F:F)</f>
        <v>9353925</v>
      </c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</row>
    <row r="235" spans="1:31" ht="13.2">
      <c r="A235" s="369"/>
      <c r="B235" s="101">
        <v>1</v>
      </c>
      <c r="C235" s="124" t="s">
        <v>893</v>
      </c>
      <c r="D235" s="124" t="s">
        <v>894</v>
      </c>
      <c r="E235" s="101" t="s">
        <v>444</v>
      </c>
      <c r="F235" s="102">
        <f>+ SUMIF('Nhập kho T42024'!B:B, C235,'Nhập kho T42024'!F:F)</f>
        <v>43</v>
      </c>
      <c r="G235" s="100">
        <f>+ (SUMIF('Nhập kho T42024'!B:B, C235,'Nhập kho T42024'!G:G))*3500</f>
        <v>666330</v>
      </c>
      <c r="H235" s="101"/>
      <c r="I235" s="101">
        <f>+ SUMIF('Doanh thu'!A:A, C235,'Doanh thu'!E:E)</f>
        <v>57</v>
      </c>
      <c r="J235" s="101">
        <f>F235-I235+12</f>
        <v>-2</v>
      </c>
      <c r="K235" s="103">
        <f t="shared" si="0"/>
        <v>3653925</v>
      </c>
      <c r="L235" s="104">
        <f>+ SUMIF('Doanh thu'!A:A, C235,'Doanh thu'!F:F)</f>
        <v>3653925</v>
      </c>
    </row>
    <row r="236" spans="1:31" ht="13.2">
      <c r="A236" s="369"/>
      <c r="B236" s="101">
        <v>1</v>
      </c>
      <c r="C236" s="124" t="s">
        <v>895</v>
      </c>
      <c r="D236" s="124" t="s">
        <v>896</v>
      </c>
      <c r="E236" s="101" t="s">
        <v>444</v>
      </c>
      <c r="F236" s="102">
        <f>+ SUMIF('Nhập kho T42024'!B:B, C236,'Nhập kho T42024'!F:F)</f>
        <v>90</v>
      </c>
      <c r="G236" s="100">
        <f>+ (SUMIF('Nhập kho T42024'!B:B, C236,'Nhập kho T42024'!G:G))*3500</f>
        <v>1000300</v>
      </c>
      <c r="H236" s="101"/>
      <c r="I236" s="101">
        <f>+ SUMIF('Doanh thu'!A:A, C236,'Doanh thu'!E:E)</f>
        <v>94</v>
      </c>
      <c r="J236" s="101">
        <f>F236-I236+5</f>
        <v>1</v>
      </c>
      <c r="K236" s="103">
        <f t="shared" si="0"/>
        <v>5564440</v>
      </c>
      <c r="L236" s="104">
        <f>+ SUMIF('Doanh thu'!A:A, C236,'Doanh thu'!F:F)</f>
        <v>5564440</v>
      </c>
    </row>
    <row r="237" spans="1:31" ht="13.2">
      <c r="A237" s="369"/>
      <c r="B237" s="101">
        <v>1</v>
      </c>
      <c r="C237" s="124" t="s">
        <v>897</v>
      </c>
      <c r="D237" s="124" t="s">
        <v>898</v>
      </c>
      <c r="E237" s="101" t="s">
        <v>444</v>
      </c>
      <c r="F237" s="102">
        <f>+ SUMIF('Nhập kho T42024'!B:B, C237,'Nhập kho T42024'!F:F)</f>
        <v>31</v>
      </c>
      <c r="G237" s="100">
        <f>+ (SUMIF('Nhập kho T42024'!B:B, C237,'Nhập kho T42024'!G:G))*3500</f>
        <v>313950.00000000006</v>
      </c>
      <c r="H237" s="101"/>
      <c r="I237" s="101">
        <f>+ SUMIF('Doanh thu'!A:A, C237,'Doanh thu'!E:E)</f>
        <v>38</v>
      </c>
      <c r="J237" s="101">
        <f>F237-I237+12</f>
        <v>5</v>
      </c>
      <c r="K237" s="103">
        <f t="shared" si="0"/>
        <v>2441325</v>
      </c>
      <c r="L237" s="104">
        <f>+ SUMIF('Doanh thu'!A:A, C237,'Doanh thu'!F:F)</f>
        <v>2441325</v>
      </c>
    </row>
    <row r="238" spans="1:31" ht="13.2">
      <c r="A238" s="369"/>
      <c r="B238" s="101">
        <v>1</v>
      </c>
      <c r="C238" s="222" t="s">
        <v>903</v>
      </c>
      <c r="D238" s="222" t="s">
        <v>2129</v>
      </c>
      <c r="E238" s="223" t="s">
        <v>444</v>
      </c>
      <c r="F238" s="224">
        <f>+ SUMIF('Nhập kho T42024'!B:B, C238,'Nhập kho T42024'!F:F)</f>
        <v>17</v>
      </c>
      <c r="G238" s="100">
        <f>+ (SUMIF('Nhập kho T42024'!B:B, C238,'Nhập kho T42024'!G:G))*3500</f>
        <v>503370.00000000006</v>
      </c>
      <c r="H238" s="223"/>
      <c r="I238" s="223">
        <f>+ SUMIF('Doanh thu'!A:A, C238,'Doanh thu'!E:E)</f>
        <v>17</v>
      </c>
      <c r="J238" s="223">
        <f t="shared" ref="J238:J239" si="38">F238-I238</f>
        <v>0</v>
      </c>
      <c r="K238" s="225">
        <f t="shared" si="0"/>
        <v>1096500</v>
      </c>
      <c r="L238" s="226">
        <f>+ SUMIF('Doanh thu'!A:A, C238,'Doanh thu'!F:F)</f>
        <v>1096500</v>
      </c>
    </row>
    <row r="239" spans="1:31" ht="13.2">
      <c r="A239" s="369"/>
      <c r="B239" s="101">
        <v>1</v>
      </c>
      <c r="C239" s="28" t="s">
        <v>905</v>
      </c>
      <c r="D239" s="28" t="s">
        <v>906</v>
      </c>
      <c r="E239" s="101" t="s">
        <v>444</v>
      </c>
      <c r="F239" s="102">
        <f>+ SUMIF('Nhập kho T42024'!B:B, C239,'Nhập kho T42024'!F:F)</f>
        <v>35</v>
      </c>
      <c r="G239" s="100">
        <f>+ (SUMIF('Nhập kho T42024'!B:B, C239,'Nhập kho T42024'!G:G))*3500</f>
        <v>468090.00000000006</v>
      </c>
      <c r="H239" s="101"/>
      <c r="I239" s="101">
        <f>+ SUMIF('Doanh thu'!A:A, C239,'Doanh thu'!E:E)</f>
        <v>28</v>
      </c>
      <c r="J239" s="101">
        <f t="shared" si="38"/>
        <v>7</v>
      </c>
      <c r="K239" s="103">
        <f t="shared" si="0"/>
        <v>1806000</v>
      </c>
      <c r="L239" s="104">
        <f>+ SUMIF('Doanh thu'!A:A, C239,'Doanh thu'!F:F)</f>
        <v>1806000</v>
      </c>
    </row>
    <row r="240" spans="1:31" ht="13.2">
      <c r="A240" s="369"/>
      <c r="B240" s="101">
        <v>1</v>
      </c>
      <c r="C240" s="28" t="s">
        <v>907</v>
      </c>
      <c r="D240" s="28" t="s">
        <v>908</v>
      </c>
      <c r="E240" s="101" t="s">
        <v>444</v>
      </c>
      <c r="F240" s="102">
        <f>+ SUMIF('Nhập kho T42024'!B:B, C240,'Nhập kho T42024'!F:F)</f>
        <v>17</v>
      </c>
      <c r="G240" s="100">
        <f>+ (SUMIF('Nhập kho T42024'!B:B, C240,'Nhập kho T42024'!G:G))*3500</f>
        <v>197120</v>
      </c>
      <c r="H240" s="101"/>
      <c r="I240" s="101">
        <f>+ SUMIF('Doanh thu'!A:A, C240,'Doanh thu'!E:E)</f>
        <v>11</v>
      </c>
      <c r="J240" s="101">
        <f>F240-I240+14</f>
        <v>20</v>
      </c>
      <c r="K240" s="103">
        <f t="shared" si="0"/>
        <v>509340</v>
      </c>
      <c r="L240" s="104">
        <f>+ SUMIF('Doanh thu'!A:A, C240,'Doanh thu'!F:F)</f>
        <v>509340</v>
      </c>
    </row>
    <row r="241" spans="1:12" ht="13.2">
      <c r="A241" s="369"/>
      <c r="B241" s="101">
        <v>1</v>
      </c>
      <c r="C241" s="28" t="s">
        <v>909</v>
      </c>
      <c r="D241" s="28" t="s">
        <v>910</v>
      </c>
      <c r="E241" s="101" t="s">
        <v>444</v>
      </c>
      <c r="F241" s="102">
        <f>+ SUMIF('Nhập kho T42024'!B:B, C241,'Nhập kho T42024'!F:F)</f>
        <v>2</v>
      </c>
      <c r="G241" s="100">
        <f>+ (SUMIF('Nhập kho T42024'!B:B, C241,'Nhập kho T42024'!G:G))*3500</f>
        <v>32690</v>
      </c>
      <c r="H241" s="101"/>
      <c r="I241" s="101">
        <f>+ SUMIF('Doanh thu'!A:A, C241,'Doanh thu'!E:E)</f>
        <v>3</v>
      </c>
      <c r="J241" s="101">
        <f>F241-I241+1</f>
        <v>0</v>
      </c>
      <c r="K241" s="103">
        <f t="shared" si="0"/>
        <v>135000</v>
      </c>
      <c r="L241" s="104">
        <f>+ SUMIF('Doanh thu'!A:A, C241,'Doanh thu'!F:F)</f>
        <v>135000</v>
      </c>
    </row>
    <row r="242" spans="1:12" ht="13.2">
      <c r="A242" s="369"/>
      <c r="B242" s="101">
        <v>1</v>
      </c>
      <c r="C242" s="28" t="s">
        <v>911</v>
      </c>
      <c r="D242" s="28" t="s">
        <v>912</v>
      </c>
      <c r="E242" s="101" t="s">
        <v>444</v>
      </c>
      <c r="F242" s="102">
        <f>+ SUMIF('Nhập kho T42024'!B:B, C242,'Nhập kho T42024'!F:F)</f>
        <v>10</v>
      </c>
      <c r="G242" s="100">
        <f>+ (SUMIF('Nhập kho T42024'!B:B, C242,'Nhập kho T42024'!G:G))*3500</f>
        <v>82145</v>
      </c>
      <c r="H242" s="101"/>
      <c r="I242" s="101">
        <f>+ SUMIF('Doanh thu'!A:A, C242,'Doanh thu'!E:E)</f>
        <v>10</v>
      </c>
      <c r="J242" s="101">
        <f>F242-I242+17</f>
        <v>17</v>
      </c>
      <c r="K242" s="103">
        <f t="shared" si="0"/>
        <v>450000</v>
      </c>
      <c r="L242" s="104">
        <f>+ SUMIF('Doanh thu'!A:A, C242,'Doanh thu'!F:F)</f>
        <v>450000</v>
      </c>
    </row>
    <row r="243" spans="1:12" ht="13.2">
      <c r="A243" s="369"/>
      <c r="B243" s="101">
        <v>1</v>
      </c>
      <c r="C243" s="28" t="s">
        <v>913</v>
      </c>
      <c r="D243" s="28" t="s">
        <v>914</v>
      </c>
      <c r="E243" s="101" t="s">
        <v>444</v>
      </c>
      <c r="F243" s="102">
        <f>+ SUMIF('Nhập kho T42024'!B:B, C243,'Nhập kho T42024'!F:F)</f>
        <v>21</v>
      </c>
      <c r="G243" s="100">
        <f>+ (SUMIF('Nhập kho T42024'!B:B, C243,'Nhập kho T42024'!G:G))*3500</f>
        <v>180495</v>
      </c>
      <c r="H243" s="101"/>
      <c r="I243" s="101">
        <f>+ SUMIF('Doanh thu'!A:A, C243,'Doanh thu'!E:E)</f>
        <v>25</v>
      </c>
      <c r="J243" s="101">
        <f>F243-I243+22</f>
        <v>18</v>
      </c>
      <c r="K243" s="103">
        <f t="shared" si="0"/>
        <v>1125000</v>
      </c>
      <c r="L243" s="104">
        <f>+ SUMIF('Doanh thu'!A:A, C243,'Doanh thu'!F:F)</f>
        <v>1125000</v>
      </c>
    </row>
    <row r="244" spans="1:12" ht="13.2">
      <c r="A244" s="369"/>
      <c r="B244" s="101">
        <v>1</v>
      </c>
      <c r="C244" s="28" t="s">
        <v>915</v>
      </c>
      <c r="D244" s="28" t="s">
        <v>916</v>
      </c>
      <c r="E244" s="101" t="s">
        <v>444</v>
      </c>
      <c r="F244" s="102">
        <f>+ SUMIF('Nhập kho T42024'!B:B, C244,'Nhập kho T42024'!F:F)</f>
        <v>160</v>
      </c>
      <c r="G244" s="100">
        <f>+ (SUMIF('Nhập kho T42024'!B:B, C244,'Nhập kho T42024'!G:G))*3500</f>
        <v>1804250</v>
      </c>
      <c r="H244" s="101"/>
      <c r="I244" s="101">
        <f>+ SUMIF('Doanh thu'!A:A, C244,'Doanh thu'!E:E)</f>
        <v>101</v>
      </c>
      <c r="J244" s="101">
        <f>F244-I244</f>
        <v>59</v>
      </c>
      <c r="K244" s="103">
        <f t="shared" si="0"/>
        <v>4557360</v>
      </c>
      <c r="L244" s="104">
        <f>+ SUMIF('Doanh thu'!A:A, C244,'Doanh thu'!F:F)</f>
        <v>4557360</v>
      </c>
    </row>
    <row r="245" spans="1:12" ht="13.2">
      <c r="A245" s="369"/>
      <c r="B245" s="101">
        <v>1</v>
      </c>
      <c r="C245" s="28" t="s">
        <v>917</v>
      </c>
      <c r="D245" s="28" t="s">
        <v>918</v>
      </c>
      <c r="E245" s="101" t="s">
        <v>444</v>
      </c>
      <c r="F245" s="102">
        <f>+ SUMIF('Nhập kho T42024'!B:B, C245,'Nhập kho T42024'!F:F)</f>
        <v>24</v>
      </c>
      <c r="G245" s="100">
        <f>+ (SUMIF('Nhập kho T42024'!B:B, C245,'Nhập kho T42024'!G:G))*3500</f>
        <v>229950</v>
      </c>
      <c r="H245" s="101"/>
      <c r="I245" s="101">
        <f>+ SUMIF('Doanh thu'!A:A, C245,'Doanh thu'!E:E)</f>
        <v>35</v>
      </c>
      <c r="J245" s="101">
        <f>F245-I245+24</f>
        <v>13</v>
      </c>
      <c r="K245" s="103">
        <f t="shared" si="0"/>
        <v>1575000</v>
      </c>
      <c r="L245" s="104">
        <f>+ SUMIF('Doanh thu'!A:A, C245,'Doanh thu'!F:F)</f>
        <v>1575000</v>
      </c>
    </row>
    <row r="246" spans="1:12" ht="13.2">
      <c r="A246" s="369"/>
      <c r="B246" s="101">
        <v>1</v>
      </c>
      <c r="C246" s="28" t="s">
        <v>919</v>
      </c>
      <c r="D246" s="28" t="s">
        <v>920</v>
      </c>
      <c r="E246" s="101" t="s">
        <v>444</v>
      </c>
      <c r="F246" s="102">
        <f>+ SUMIF('Nhập kho T42024'!B:B, C246,'Nhập kho T42024'!F:F)</f>
        <v>20</v>
      </c>
      <c r="G246" s="100">
        <f>+ (SUMIF('Nhập kho T42024'!B:B, C246,'Nhập kho T42024'!G:G))*3500</f>
        <v>247275.00000000003</v>
      </c>
      <c r="H246" s="101"/>
      <c r="I246" s="101">
        <f>+ SUMIF('Doanh thu'!A:A, C246,'Doanh thu'!E:E)</f>
        <v>16</v>
      </c>
      <c r="J246" s="101">
        <f>F246-I246</f>
        <v>4</v>
      </c>
      <c r="K246" s="103">
        <f t="shared" si="0"/>
        <v>720000</v>
      </c>
      <c r="L246" s="104">
        <f>+ SUMIF('Doanh thu'!A:A, C246,'Doanh thu'!F:F)</f>
        <v>720000</v>
      </c>
    </row>
    <row r="247" spans="1:12" ht="13.2">
      <c r="A247" s="369"/>
      <c r="B247" s="101">
        <v>1</v>
      </c>
      <c r="C247" s="28" t="s">
        <v>923</v>
      </c>
      <c r="D247" s="28" t="s">
        <v>924</v>
      </c>
      <c r="E247" s="101" t="s">
        <v>444</v>
      </c>
      <c r="F247" s="102">
        <f>+ SUMIF('Nhập kho T42024'!B:B, C247,'Nhập kho T42024'!F:F)</f>
        <v>0</v>
      </c>
      <c r="G247" s="100">
        <f>+ (SUMIF('Nhập kho T42024'!B:B, C247,'Nhập kho T42024'!G:G))*3500</f>
        <v>0</v>
      </c>
      <c r="H247" s="101"/>
      <c r="I247" s="101">
        <f>+ SUMIF('Doanh thu'!A:A, C247,'Doanh thu'!E:E)</f>
        <v>6</v>
      </c>
      <c r="J247" s="101">
        <f t="shared" ref="J247:J248" si="39">F247-I247+3</f>
        <v>-3</v>
      </c>
      <c r="K247" s="103">
        <f t="shared" si="0"/>
        <v>854400</v>
      </c>
      <c r="L247" s="104">
        <f>+ SUMIF('Doanh thu'!A:A, C247,'Doanh thu'!F:F)</f>
        <v>854400</v>
      </c>
    </row>
    <row r="248" spans="1:12" ht="13.2">
      <c r="A248" s="369"/>
      <c r="B248" s="101">
        <v>1</v>
      </c>
      <c r="C248" s="28" t="s">
        <v>925</v>
      </c>
      <c r="D248" s="28" t="s">
        <v>926</v>
      </c>
      <c r="E248" s="101" t="s">
        <v>444</v>
      </c>
      <c r="F248" s="102">
        <f>+ SUMIF('Nhập kho T42024'!B:B, C248,'Nhập kho T42024'!F:F)</f>
        <v>0</v>
      </c>
      <c r="G248" s="100">
        <f>+ (SUMIF('Nhập kho T42024'!B:B, C248,'Nhập kho T42024'!G:G))*3500</f>
        <v>0</v>
      </c>
      <c r="H248" s="101"/>
      <c r="I248" s="101">
        <f>+ SUMIF('Doanh thu'!A:A, C248,'Doanh thu'!E:E)</f>
        <v>7</v>
      </c>
      <c r="J248" s="101">
        <f t="shared" si="39"/>
        <v>-4</v>
      </c>
      <c r="K248" s="103">
        <f t="shared" si="0"/>
        <v>996800</v>
      </c>
      <c r="L248" s="104">
        <f>+ SUMIF('Doanh thu'!A:A, C248,'Doanh thu'!F:F)</f>
        <v>996800</v>
      </c>
    </row>
    <row r="249" spans="1:12" ht="13.2">
      <c r="A249" s="369"/>
      <c r="B249" s="101">
        <v>1</v>
      </c>
      <c r="C249" s="28" t="s">
        <v>927</v>
      </c>
      <c r="D249" s="28" t="s">
        <v>928</v>
      </c>
      <c r="E249" s="101" t="s">
        <v>444</v>
      </c>
      <c r="F249" s="102">
        <f>+ SUMIF('Nhập kho T42024'!B:B, C249,'Nhập kho T42024'!F:F)</f>
        <v>0</v>
      </c>
      <c r="G249" s="100">
        <f>+ (SUMIF('Nhập kho T42024'!B:B, C249,'Nhập kho T42024'!G:G))*3500</f>
        <v>0</v>
      </c>
      <c r="H249" s="101"/>
      <c r="I249" s="101">
        <f>+ SUMIF('Doanh thu'!A:A, C249,'Doanh thu'!E:E)</f>
        <v>7</v>
      </c>
      <c r="J249" s="101">
        <f>F249-I249+5</f>
        <v>-2</v>
      </c>
      <c r="K249" s="103">
        <f t="shared" si="0"/>
        <v>996800</v>
      </c>
      <c r="L249" s="104">
        <f>+ SUMIF('Doanh thu'!A:A, C249,'Doanh thu'!F:F)</f>
        <v>996800</v>
      </c>
    </row>
    <row r="250" spans="1:12" ht="13.2">
      <c r="A250" s="369"/>
      <c r="B250" s="101">
        <v>1</v>
      </c>
      <c r="C250" s="28" t="s">
        <v>929</v>
      </c>
      <c r="D250" s="28" t="s">
        <v>930</v>
      </c>
      <c r="E250" s="101" t="s">
        <v>444</v>
      </c>
      <c r="F250" s="102">
        <f>+ SUMIF('Nhập kho T42024'!B:B, C250,'Nhập kho T42024'!F:F)</f>
        <v>0</v>
      </c>
      <c r="G250" s="100">
        <f>+ (SUMIF('Nhập kho T42024'!B:B, C250,'Nhập kho T42024'!G:G))*3500</f>
        <v>0</v>
      </c>
      <c r="H250" s="101"/>
      <c r="I250" s="101">
        <f>+ SUMIF('Doanh thu'!A:A, C250,'Doanh thu'!E:E)</f>
        <v>6</v>
      </c>
      <c r="J250" s="101">
        <f t="shared" ref="J250:J251" si="40">F250-I250+4</f>
        <v>-2</v>
      </c>
      <c r="K250" s="103">
        <f t="shared" si="0"/>
        <v>854400</v>
      </c>
      <c r="L250" s="104">
        <f>+ SUMIF('Doanh thu'!A:A, C250,'Doanh thu'!F:F)</f>
        <v>854400</v>
      </c>
    </row>
    <row r="251" spans="1:12" ht="13.2">
      <c r="A251" s="369"/>
      <c r="B251" s="101">
        <v>1</v>
      </c>
      <c r="C251" s="28" t="s">
        <v>931</v>
      </c>
      <c r="D251" s="28" t="s">
        <v>932</v>
      </c>
      <c r="E251" s="101" t="s">
        <v>444</v>
      </c>
      <c r="F251" s="102">
        <f>+ SUMIF('Nhập kho T42024'!B:B, C251,'Nhập kho T42024'!F:F)</f>
        <v>0</v>
      </c>
      <c r="G251" s="100">
        <f>+ (SUMIF('Nhập kho T42024'!B:B, C251,'Nhập kho T42024'!G:G))*3500</f>
        <v>0</v>
      </c>
      <c r="H251" s="101"/>
      <c r="I251" s="101">
        <f>+ SUMIF('Doanh thu'!A:A, C251,'Doanh thu'!E:E)</f>
        <v>5</v>
      </c>
      <c r="J251" s="101">
        <f t="shared" si="40"/>
        <v>-1</v>
      </c>
      <c r="K251" s="103">
        <f t="shared" si="0"/>
        <v>712000</v>
      </c>
      <c r="L251" s="104">
        <f>+ SUMIF('Doanh thu'!A:A, C251,'Doanh thu'!F:F)</f>
        <v>712000</v>
      </c>
    </row>
    <row r="252" spans="1:12" ht="13.2">
      <c r="A252" s="369"/>
      <c r="B252" s="101">
        <v>1</v>
      </c>
      <c r="C252" s="28" t="s">
        <v>933</v>
      </c>
      <c r="D252" s="28" t="s">
        <v>934</v>
      </c>
      <c r="E252" s="101" t="s">
        <v>444</v>
      </c>
      <c r="F252" s="102">
        <f>+ SUMIF('Nhập kho T42024'!B:B, C252,'Nhập kho T42024'!F:F)</f>
        <v>0</v>
      </c>
      <c r="G252" s="100">
        <f>+ (SUMIF('Nhập kho T42024'!B:B, C252,'Nhập kho T42024'!G:G))*3500</f>
        <v>0</v>
      </c>
      <c r="H252" s="101"/>
      <c r="I252" s="101">
        <f>+ SUMIF('Doanh thu'!A:A, C252,'Doanh thu'!E:E)</f>
        <v>2</v>
      </c>
      <c r="J252" s="101">
        <f>F252-I252+2</f>
        <v>0</v>
      </c>
      <c r="K252" s="103">
        <f t="shared" si="0"/>
        <v>347100</v>
      </c>
      <c r="L252" s="104">
        <f>+ SUMIF('Doanh thu'!A:A, C252,'Doanh thu'!F:F)</f>
        <v>347100</v>
      </c>
    </row>
    <row r="253" spans="1:12" ht="13.2">
      <c r="A253" s="369"/>
      <c r="B253" s="101">
        <v>1</v>
      </c>
      <c r="C253" s="28" t="s">
        <v>935</v>
      </c>
      <c r="D253" s="28" t="s">
        <v>936</v>
      </c>
      <c r="E253" s="101" t="s">
        <v>444</v>
      </c>
      <c r="F253" s="102">
        <f>+ SUMIF('Nhập kho T42024'!B:B, C253,'Nhập kho T42024'!F:F)</f>
        <v>0</v>
      </c>
      <c r="G253" s="100">
        <f>+ (SUMIF('Nhập kho T42024'!B:B, C253,'Nhập kho T42024'!G:G))*3500</f>
        <v>0</v>
      </c>
      <c r="H253" s="101"/>
      <c r="I253" s="101">
        <f>+ SUMIF('Doanh thu'!A:A, C253,'Doanh thu'!E:E)</f>
        <v>3</v>
      </c>
      <c r="J253" s="101">
        <f t="shared" ref="J253:J254" si="41">F253-I253+3</f>
        <v>0</v>
      </c>
      <c r="K253" s="103">
        <f t="shared" si="0"/>
        <v>520650</v>
      </c>
      <c r="L253" s="104">
        <f>+ SUMIF('Doanh thu'!A:A, C253,'Doanh thu'!F:F)</f>
        <v>520650</v>
      </c>
    </row>
    <row r="254" spans="1:12" ht="13.2">
      <c r="A254" s="369"/>
      <c r="B254" s="101">
        <v>1</v>
      </c>
      <c r="C254" s="28" t="s">
        <v>937</v>
      </c>
      <c r="D254" s="28" t="s">
        <v>938</v>
      </c>
      <c r="E254" s="101" t="s">
        <v>444</v>
      </c>
      <c r="F254" s="102">
        <f>+ SUMIF('Nhập kho T42024'!B:B, C254,'Nhập kho T42024'!F:F)</f>
        <v>0</v>
      </c>
      <c r="G254" s="100">
        <f>+ (SUMIF('Nhập kho T42024'!B:B, C254,'Nhập kho T42024'!G:G))*3500</f>
        <v>0</v>
      </c>
      <c r="H254" s="101"/>
      <c r="I254" s="101">
        <f>+ SUMIF('Doanh thu'!A:A, C254,'Doanh thu'!E:E)</f>
        <v>3</v>
      </c>
      <c r="J254" s="101">
        <f t="shared" si="41"/>
        <v>0</v>
      </c>
      <c r="K254" s="103">
        <f t="shared" si="0"/>
        <v>614100</v>
      </c>
      <c r="L254" s="104">
        <f>+ SUMIF('Doanh thu'!A:A, C254,'Doanh thu'!F:F)</f>
        <v>614100</v>
      </c>
    </row>
    <row r="255" spans="1:12" ht="13.2">
      <c r="A255" s="369"/>
      <c r="B255" s="101"/>
      <c r="C255" s="28" t="s">
        <v>939</v>
      </c>
      <c r="D255" s="28" t="s">
        <v>940</v>
      </c>
      <c r="E255" s="101" t="s">
        <v>394</v>
      </c>
      <c r="F255" s="102">
        <f>+ SUMIF('Nhập kho T42024'!B:B, C255,'Nhập kho T42024'!F:F)</f>
        <v>0</v>
      </c>
      <c r="G255" s="100">
        <f>+ (SUMIF('Nhập kho T42024'!B:B, C255,'Nhập kho T42024'!G:G))*3500</f>
        <v>0</v>
      </c>
      <c r="H255" s="101"/>
      <c r="I255" s="101">
        <f>+ SUMIF('Doanh thu'!A:A, C255,'Doanh thu'!E:E)</f>
        <v>2</v>
      </c>
      <c r="J255" s="101">
        <f>F255-I255+1</f>
        <v>-1</v>
      </c>
      <c r="K255" s="103">
        <f t="shared" si="0"/>
        <v>90000</v>
      </c>
      <c r="L255" s="104">
        <f>+ SUMIF('Doanh thu'!A:A, C255,'Doanh thu'!F:F)</f>
        <v>90000</v>
      </c>
    </row>
    <row r="256" spans="1:12" ht="13.2">
      <c r="A256" s="369"/>
      <c r="B256" s="101">
        <v>1</v>
      </c>
      <c r="C256" s="28" t="s">
        <v>941</v>
      </c>
      <c r="D256" s="28" t="s">
        <v>942</v>
      </c>
      <c r="E256" s="101" t="s">
        <v>444</v>
      </c>
      <c r="F256" s="102">
        <f>+ SUMIF('Nhập kho T42024'!B:B, C256,'Nhập kho T42024'!F:F)</f>
        <v>0</v>
      </c>
      <c r="G256" s="100">
        <f>+ (SUMIF('Nhập kho T42024'!B:B, C256,'Nhập kho T42024'!G:G))*3500</f>
        <v>0</v>
      </c>
      <c r="H256" s="101"/>
      <c r="I256" s="101">
        <f>+ SUMIF('Doanh thu'!A:A, C256,'Doanh thu'!E:E)</f>
        <v>8</v>
      </c>
      <c r="J256" s="101">
        <f t="shared" ref="J256:J258" si="42">F256-I256+6</f>
        <v>-2</v>
      </c>
      <c r="K256" s="103">
        <f t="shared" si="0"/>
        <v>64000</v>
      </c>
      <c r="L256" s="104">
        <f>+ SUMIF('Doanh thu'!A:A, C256,'Doanh thu'!F:F)</f>
        <v>64000</v>
      </c>
    </row>
    <row r="257" spans="1:12" ht="13.2">
      <c r="A257" s="369"/>
      <c r="B257" s="101">
        <v>1</v>
      </c>
      <c r="C257" s="28" t="s">
        <v>943</v>
      </c>
      <c r="D257" s="28" t="s">
        <v>944</v>
      </c>
      <c r="E257" s="101" t="s">
        <v>444</v>
      </c>
      <c r="F257" s="102">
        <f>+ SUMIF('Nhập kho T42024'!B:B, C257,'Nhập kho T42024'!F:F)</f>
        <v>0</v>
      </c>
      <c r="G257" s="100">
        <f>+ (SUMIF('Nhập kho T42024'!B:B, C257,'Nhập kho T42024'!G:G))*3500</f>
        <v>0</v>
      </c>
      <c r="H257" s="101"/>
      <c r="I257" s="101">
        <f>+ SUMIF('Doanh thu'!A:A, C257,'Doanh thu'!E:E)</f>
        <v>2</v>
      </c>
      <c r="J257" s="101">
        <f t="shared" si="42"/>
        <v>4</v>
      </c>
      <c r="K257" s="103">
        <f t="shared" si="0"/>
        <v>16000</v>
      </c>
      <c r="L257" s="104">
        <f>+ SUMIF('Doanh thu'!A:A, C257,'Doanh thu'!F:F)</f>
        <v>16000</v>
      </c>
    </row>
    <row r="258" spans="1:12" ht="13.2">
      <c r="A258" s="369"/>
      <c r="B258" s="101">
        <v>1</v>
      </c>
      <c r="C258" s="28" t="s">
        <v>945</v>
      </c>
      <c r="D258" s="28" t="s">
        <v>946</v>
      </c>
      <c r="E258" s="101" t="s">
        <v>444</v>
      </c>
      <c r="F258" s="102">
        <f>+ SUMIF('Nhập kho T42024'!B:B, C258,'Nhập kho T42024'!F:F)</f>
        <v>0</v>
      </c>
      <c r="G258" s="100">
        <f>+ (SUMIF('Nhập kho T42024'!B:B, C258,'Nhập kho T42024'!G:G))*3500</f>
        <v>0</v>
      </c>
      <c r="H258" s="101"/>
      <c r="I258" s="101">
        <f>+ SUMIF('Doanh thu'!A:A, C258,'Doanh thu'!E:E)</f>
        <v>2</v>
      </c>
      <c r="J258" s="101">
        <f t="shared" si="42"/>
        <v>4</v>
      </c>
      <c r="K258" s="103">
        <f t="shared" ref="K258:K338" si="43">SUM(L258)</f>
        <v>16000</v>
      </c>
      <c r="L258" s="104">
        <f>+ SUMIF('Doanh thu'!A:A, C258,'Doanh thu'!F:F)</f>
        <v>16000</v>
      </c>
    </row>
    <row r="259" spans="1:12" ht="13.2">
      <c r="A259" s="369"/>
      <c r="B259" s="101">
        <v>1</v>
      </c>
      <c r="C259" s="28" t="s">
        <v>947</v>
      </c>
      <c r="D259" s="28" t="s">
        <v>948</v>
      </c>
      <c r="E259" s="101" t="s">
        <v>444</v>
      </c>
      <c r="F259" s="102">
        <f>+ SUMIF('Nhập kho T42024'!B:B, C259,'Nhập kho T42024'!F:F)</f>
        <v>0</v>
      </c>
      <c r="G259" s="100">
        <f>+ (SUMIF('Nhập kho T42024'!B:B, C259,'Nhập kho T42024'!G:G))*3500</f>
        <v>0</v>
      </c>
      <c r="H259" s="101"/>
      <c r="I259" s="101">
        <f>+ SUMIF('Doanh thu'!A:A, C259,'Doanh thu'!E:E)</f>
        <v>2</v>
      </c>
      <c r="J259" s="101">
        <f t="shared" ref="J259:J260" si="44">F259-I259+5</f>
        <v>3</v>
      </c>
      <c r="K259" s="103">
        <f t="shared" si="43"/>
        <v>16000</v>
      </c>
      <c r="L259" s="104">
        <f>+ SUMIF('Doanh thu'!A:A, C259,'Doanh thu'!F:F)</f>
        <v>16000</v>
      </c>
    </row>
    <row r="260" spans="1:12" ht="13.2">
      <c r="A260" s="369"/>
      <c r="B260" s="101">
        <v>1</v>
      </c>
      <c r="C260" s="28" t="s">
        <v>949</v>
      </c>
      <c r="D260" s="28" t="s">
        <v>950</v>
      </c>
      <c r="E260" s="101" t="s">
        <v>444</v>
      </c>
      <c r="F260" s="102">
        <f>+ SUMIF('Nhập kho T42024'!B:B, C260,'Nhập kho T42024'!F:F)</f>
        <v>0</v>
      </c>
      <c r="G260" s="100">
        <f>+ (SUMIF('Nhập kho T42024'!B:B, C260,'Nhập kho T42024'!G:G))*3500</f>
        <v>0</v>
      </c>
      <c r="H260" s="101"/>
      <c r="I260" s="101">
        <f>+ SUMIF('Doanh thu'!A:A, C260,'Doanh thu'!E:E)</f>
        <v>5</v>
      </c>
      <c r="J260" s="101">
        <f t="shared" si="44"/>
        <v>0</v>
      </c>
      <c r="K260" s="103">
        <f t="shared" si="43"/>
        <v>40000</v>
      </c>
      <c r="L260" s="104">
        <f>+ SUMIF('Doanh thu'!A:A, C260,'Doanh thu'!F:F)</f>
        <v>40000</v>
      </c>
    </row>
    <row r="261" spans="1:12" ht="13.2">
      <c r="A261" s="369"/>
      <c r="B261" s="101">
        <v>1</v>
      </c>
      <c r="C261" s="28" t="s">
        <v>951</v>
      </c>
      <c r="D261" s="28" t="s">
        <v>952</v>
      </c>
      <c r="E261" s="101" t="s">
        <v>444</v>
      </c>
      <c r="F261" s="102">
        <f>+ SUMIF('Nhập kho T42024'!B:B, C261,'Nhập kho T42024'!F:F)</f>
        <v>0</v>
      </c>
      <c r="G261" s="100">
        <f>+ (SUMIF('Nhập kho T42024'!B:B, C261,'Nhập kho T42024'!G:G))*3500</f>
        <v>0</v>
      </c>
      <c r="H261" s="101"/>
      <c r="I261" s="101">
        <f>+ SUMIF('Doanh thu'!A:A, C261,'Doanh thu'!E:E)</f>
        <v>0</v>
      </c>
      <c r="J261" s="101">
        <f t="shared" ref="J261:J263" si="45">F261-I261</f>
        <v>0</v>
      </c>
      <c r="K261" s="103">
        <f t="shared" si="43"/>
        <v>0</v>
      </c>
      <c r="L261" s="104">
        <f>+ SUMIF('Doanh thu'!A:A, C261,'Doanh thu'!F:F)</f>
        <v>0</v>
      </c>
    </row>
    <row r="262" spans="1:12" ht="13.2">
      <c r="A262" s="369"/>
      <c r="B262" s="101">
        <v>1</v>
      </c>
      <c r="C262" s="28" t="s">
        <v>953</v>
      </c>
      <c r="D262" s="28" t="s">
        <v>954</v>
      </c>
      <c r="E262" s="101" t="s">
        <v>444</v>
      </c>
      <c r="F262" s="102">
        <f>+ SUMIF('Nhập kho T42024'!B:B, C262,'Nhập kho T42024'!F:F)</f>
        <v>0</v>
      </c>
      <c r="G262" s="100">
        <f>+ (SUMIF('Nhập kho T42024'!B:B, C262,'Nhập kho T42024'!G:G))*3500</f>
        <v>0</v>
      </c>
      <c r="H262" s="101"/>
      <c r="I262" s="101">
        <f>+ SUMIF('Doanh thu'!A:A, C262,'Doanh thu'!E:E)</f>
        <v>0</v>
      </c>
      <c r="J262" s="101">
        <f t="shared" si="45"/>
        <v>0</v>
      </c>
      <c r="K262" s="103">
        <f t="shared" si="43"/>
        <v>0</v>
      </c>
      <c r="L262" s="104">
        <f>+ SUMIF('Doanh thu'!A:A, C262,'Doanh thu'!F:F)</f>
        <v>0</v>
      </c>
    </row>
    <row r="263" spans="1:12" ht="13.2">
      <c r="A263" s="369"/>
      <c r="B263" s="101">
        <v>1</v>
      </c>
      <c r="C263" s="28" t="s">
        <v>955</v>
      </c>
      <c r="D263" s="28" t="s">
        <v>956</v>
      </c>
      <c r="E263" s="101" t="s">
        <v>444</v>
      </c>
      <c r="F263" s="102">
        <f>+ SUMIF('Nhập kho T42024'!B:B, C263,'Nhập kho T42024'!F:F)</f>
        <v>0</v>
      </c>
      <c r="G263" s="100">
        <f>+ (SUMIF('Nhập kho T42024'!B:B, C263,'Nhập kho T42024'!G:G))*3500</f>
        <v>0</v>
      </c>
      <c r="H263" s="101"/>
      <c r="I263" s="101">
        <f>+ SUMIF('Doanh thu'!A:A, C263,'Doanh thu'!E:E)</f>
        <v>0</v>
      </c>
      <c r="J263" s="101">
        <f t="shared" si="45"/>
        <v>0</v>
      </c>
      <c r="K263" s="103">
        <f t="shared" si="43"/>
        <v>0</v>
      </c>
      <c r="L263" s="104">
        <f>+ SUMIF('Doanh thu'!A:A, C263,'Doanh thu'!F:F)</f>
        <v>0</v>
      </c>
    </row>
    <row r="264" spans="1:12" ht="13.2">
      <c r="A264" s="127"/>
      <c r="B264" s="101">
        <v>1</v>
      </c>
      <c r="C264" s="28" t="s">
        <v>957</v>
      </c>
      <c r="D264" s="28" t="s">
        <v>958</v>
      </c>
      <c r="E264" s="101" t="s">
        <v>444</v>
      </c>
      <c r="F264" s="102">
        <f>+ SUMIF('Nhập kho T42024'!B:B, C264,'Nhập kho T42024'!F:F)</f>
        <v>0</v>
      </c>
      <c r="G264" s="100">
        <f>+ (SUMIF('Nhập kho T42024'!B:B, C264,'Nhập kho T42024'!G:G))*3500</f>
        <v>0</v>
      </c>
      <c r="H264" s="101"/>
      <c r="I264" s="101">
        <f>+ SUMIF('Doanh thu'!A:A, C264,'Doanh thu'!E:E)</f>
        <v>3</v>
      </c>
      <c r="J264" s="101">
        <f>F264-I264+4</f>
        <v>1</v>
      </c>
      <c r="K264" s="103">
        <f t="shared" si="43"/>
        <v>465000</v>
      </c>
      <c r="L264" s="104">
        <f>+ SUMIF('Doanh thu'!A:A, C264,'Doanh thu'!F:F)</f>
        <v>465000</v>
      </c>
    </row>
    <row r="265" spans="1:12" ht="13.2">
      <c r="A265" s="127"/>
      <c r="B265" s="101">
        <v>1</v>
      </c>
      <c r="C265" s="28" t="s">
        <v>959</v>
      </c>
      <c r="D265" s="28" t="s">
        <v>960</v>
      </c>
      <c r="E265" s="101" t="s">
        <v>444</v>
      </c>
      <c r="F265" s="102">
        <f>+ SUMIF('Nhập kho T42024'!B:B, C265,'Nhập kho T42024'!F:F)</f>
        <v>0</v>
      </c>
      <c r="G265" s="100">
        <f>+ (SUMIF('Nhập kho T42024'!B:B, C265,'Nhập kho T42024'!G:G))*3500</f>
        <v>0</v>
      </c>
      <c r="H265" s="101"/>
      <c r="I265" s="101">
        <f>+ SUMIF('Doanh thu'!A:A, C265,'Doanh thu'!E:E)</f>
        <v>3</v>
      </c>
      <c r="J265" s="101">
        <f>F265-I265+3</f>
        <v>0</v>
      </c>
      <c r="K265" s="103">
        <f t="shared" si="43"/>
        <v>465000</v>
      </c>
      <c r="L265" s="104">
        <f>+ SUMIF('Doanh thu'!A:A, C265,'Doanh thu'!F:F)</f>
        <v>465000</v>
      </c>
    </row>
    <row r="266" spans="1:12" ht="13.2">
      <c r="A266" s="127"/>
      <c r="B266" s="101">
        <v>1</v>
      </c>
      <c r="C266" s="28" t="s">
        <v>961</v>
      </c>
      <c r="D266" s="28" t="s">
        <v>962</v>
      </c>
      <c r="E266" s="101" t="s">
        <v>444</v>
      </c>
      <c r="F266" s="102">
        <f>+ SUMIF('Nhập kho T42024'!B:B, C266,'Nhập kho T42024'!F:F)</f>
        <v>0</v>
      </c>
      <c r="G266" s="100">
        <f>+ (SUMIF('Nhập kho T42024'!B:B, C266,'Nhập kho T42024'!G:G))*3500</f>
        <v>0</v>
      </c>
      <c r="H266" s="101"/>
      <c r="I266" s="101">
        <f>+ SUMIF('Doanh thu'!A:A, C266,'Doanh thu'!E:E)</f>
        <v>4</v>
      </c>
      <c r="J266" s="101">
        <f t="shared" ref="J266:J267" si="46">F266-I266+4</f>
        <v>0</v>
      </c>
      <c r="K266" s="103">
        <f t="shared" si="43"/>
        <v>620000</v>
      </c>
      <c r="L266" s="104">
        <f>+ SUMIF('Doanh thu'!A:A, C266,'Doanh thu'!F:F)</f>
        <v>620000</v>
      </c>
    </row>
    <row r="267" spans="1:12" ht="13.2">
      <c r="A267" s="127"/>
      <c r="B267" s="101">
        <v>1</v>
      </c>
      <c r="C267" s="28" t="s">
        <v>963</v>
      </c>
      <c r="D267" s="28" t="s">
        <v>964</v>
      </c>
      <c r="E267" s="101" t="s">
        <v>444</v>
      </c>
      <c r="F267" s="102">
        <f>+ SUMIF('Nhập kho T42024'!B:B, C267,'Nhập kho T42024'!F:F)</f>
        <v>0</v>
      </c>
      <c r="G267" s="100">
        <f>+ (SUMIF('Nhập kho T42024'!B:B, C267,'Nhập kho T42024'!G:G))*3500</f>
        <v>0</v>
      </c>
      <c r="H267" s="101"/>
      <c r="I267" s="101">
        <f>+ SUMIF('Doanh thu'!A:A, C267,'Doanh thu'!E:E)</f>
        <v>2</v>
      </c>
      <c r="J267" s="101">
        <f t="shared" si="46"/>
        <v>2</v>
      </c>
      <c r="K267" s="103">
        <f t="shared" si="43"/>
        <v>310000</v>
      </c>
      <c r="L267" s="104">
        <f>+ SUMIF('Doanh thu'!A:A, C267,'Doanh thu'!F:F)</f>
        <v>310000</v>
      </c>
    </row>
    <row r="268" spans="1:12" ht="13.2">
      <c r="A268" s="127"/>
      <c r="B268" s="101">
        <v>1</v>
      </c>
      <c r="C268" s="28" t="s">
        <v>965</v>
      </c>
      <c r="D268" s="28" t="s">
        <v>966</v>
      </c>
      <c r="E268" s="101" t="s">
        <v>444</v>
      </c>
      <c r="F268" s="102">
        <f>+ SUMIF('Nhập kho T42024'!B:B, C268,'Nhập kho T42024'!F:F)</f>
        <v>0</v>
      </c>
      <c r="G268" s="100">
        <f>+ (SUMIF('Nhập kho T42024'!B:B, C268,'Nhập kho T42024'!G:G))*3500</f>
        <v>0</v>
      </c>
      <c r="H268" s="101"/>
      <c r="I268" s="101">
        <f>+ SUMIF('Doanh thu'!A:A, C268,'Doanh thu'!E:E)</f>
        <v>3</v>
      </c>
      <c r="J268" s="101">
        <f t="shared" ref="J268:J269" si="47">F268-I268+3</f>
        <v>0</v>
      </c>
      <c r="K268" s="103">
        <f t="shared" si="43"/>
        <v>465000</v>
      </c>
      <c r="L268" s="104">
        <f>+ SUMIF('Doanh thu'!A:A, C268,'Doanh thu'!F:F)</f>
        <v>465000</v>
      </c>
    </row>
    <row r="269" spans="1:12" ht="13.2">
      <c r="A269" s="127"/>
      <c r="B269" s="101">
        <v>1</v>
      </c>
      <c r="C269" s="28" t="s">
        <v>967</v>
      </c>
      <c r="D269" s="28" t="s">
        <v>968</v>
      </c>
      <c r="E269" s="101" t="s">
        <v>444</v>
      </c>
      <c r="F269" s="102">
        <f>+ SUMIF('Nhập kho T42024'!B:B, C269,'Nhập kho T42024'!F:F)</f>
        <v>0</v>
      </c>
      <c r="G269" s="100">
        <f>+ (SUMIF('Nhập kho T42024'!B:B, C269,'Nhập kho T42024'!G:G))*3500</f>
        <v>0</v>
      </c>
      <c r="H269" s="101"/>
      <c r="I269" s="101">
        <f>+ SUMIF('Doanh thu'!A:A, C269,'Doanh thu'!E:E)</f>
        <v>3</v>
      </c>
      <c r="J269" s="101">
        <f t="shared" si="47"/>
        <v>0</v>
      </c>
      <c r="K269" s="103">
        <f t="shared" si="43"/>
        <v>465000</v>
      </c>
      <c r="L269" s="104">
        <f>+ SUMIF('Doanh thu'!A:A, C269,'Doanh thu'!F:F)</f>
        <v>465000</v>
      </c>
    </row>
    <row r="270" spans="1:12" ht="13.2">
      <c r="A270" s="127"/>
      <c r="B270" s="101">
        <v>1</v>
      </c>
      <c r="C270" s="28" t="s">
        <v>969</v>
      </c>
      <c r="D270" s="28" t="s">
        <v>970</v>
      </c>
      <c r="E270" s="101" t="s">
        <v>444</v>
      </c>
      <c r="F270" s="102">
        <f>+ SUMIF('Nhập kho T42024'!B:B, C270,'Nhập kho T42024'!F:F)</f>
        <v>0</v>
      </c>
      <c r="G270" s="100">
        <f>+ (SUMIF('Nhập kho T42024'!B:B, C270,'Nhập kho T42024'!G:G))*3500</f>
        <v>0</v>
      </c>
      <c r="H270" s="101"/>
      <c r="I270" s="101">
        <f>+ SUMIF('Doanh thu'!A:A, C270,'Doanh thu'!E:E)</f>
        <v>9</v>
      </c>
      <c r="J270" s="101">
        <f>F270-I270+10</f>
        <v>1</v>
      </c>
      <c r="K270" s="103">
        <f t="shared" si="43"/>
        <v>643500</v>
      </c>
      <c r="L270" s="104">
        <f>+ SUMIF('Doanh thu'!A:A, C270,'Doanh thu'!F:F)</f>
        <v>643500</v>
      </c>
    </row>
    <row r="271" spans="1:12" ht="13.2">
      <c r="A271" s="127"/>
      <c r="B271" s="101">
        <v>1</v>
      </c>
      <c r="C271" s="28" t="s">
        <v>971</v>
      </c>
      <c r="D271" s="28" t="s">
        <v>972</v>
      </c>
      <c r="E271" s="101" t="s">
        <v>444</v>
      </c>
      <c r="F271" s="102">
        <f>+ SUMIF('Nhập kho T42024'!B:B, C271,'Nhập kho T42024'!F:F)</f>
        <v>0</v>
      </c>
      <c r="G271" s="100">
        <f>+ (SUMIF('Nhập kho T42024'!B:B, C271,'Nhập kho T42024'!G:G))*3500</f>
        <v>0</v>
      </c>
      <c r="H271" s="101"/>
      <c r="I271" s="101">
        <f>+ SUMIF('Doanh thu'!A:A, C271,'Doanh thu'!E:E)</f>
        <v>7</v>
      </c>
      <c r="J271" s="101">
        <f>F271-I271+11</f>
        <v>4</v>
      </c>
      <c r="K271" s="103">
        <f t="shared" si="43"/>
        <v>500500</v>
      </c>
      <c r="L271" s="104">
        <f>+ SUMIF('Doanh thu'!A:A, C271,'Doanh thu'!F:F)</f>
        <v>500500</v>
      </c>
    </row>
    <row r="272" spans="1:12" ht="13.2">
      <c r="A272" s="127"/>
      <c r="B272" s="101">
        <v>1</v>
      </c>
      <c r="C272" s="28" t="s">
        <v>973</v>
      </c>
      <c r="D272" s="28" t="s">
        <v>974</v>
      </c>
      <c r="E272" s="101" t="s">
        <v>444</v>
      </c>
      <c r="F272" s="102">
        <f>+ SUMIF('Nhập kho T42024'!B:B, C272,'Nhập kho T42024'!F:F)</f>
        <v>0</v>
      </c>
      <c r="G272" s="100">
        <f>+ (SUMIF('Nhập kho T42024'!B:B, C272,'Nhập kho T42024'!G:G))*3500</f>
        <v>0</v>
      </c>
      <c r="H272" s="101"/>
      <c r="I272" s="101">
        <f>+ SUMIF('Doanh thu'!A:A, C272,'Doanh thu'!E:E)</f>
        <v>4</v>
      </c>
      <c r="J272" s="101">
        <f>F272-I272+15</f>
        <v>11</v>
      </c>
      <c r="K272" s="103">
        <f t="shared" si="43"/>
        <v>286000</v>
      </c>
      <c r="L272" s="104">
        <f>+ SUMIF('Doanh thu'!A:A, C272,'Doanh thu'!F:F)</f>
        <v>286000</v>
      </c>
    </row>
    <row r="273" spans="1:12" ht="13.2">
      <c r="A273" s="127"/>
      <c r="B273" s="101">
        <v>1</v>
      </c>
      <c r="C273" s="28" t="s">
        <v>975</v>
      </c>
      <c r="D273" s="28" t="s">
        <v>976</v>
      </c>
      <c r="E273" s="101" t="s">
        <v>444</v>
      </c>
      <c r="F273" s="102">
        <f>+ SUMIF('Nhập kho T42024'!B:B, C273,'Nhập kho T42024'!F:F)</f>
        <v>0</v>
      </c>
      <c r="G273" s="100">
        <f>+ (SUMIF('Nhập kho T42024'!B:B, C273,'Nhập kho T42024'!G:G))*3500</f>
        <v>0</v>
      </c>
      <c r="H273" s="101"/>
      <c r="I273" s="101">
        <f>+ SUMIF('Doanh thu'!A:A, C273,'Doanh thu'!E:E)</f>
        <v>4</v>
      </c>
      <c r="J273" s="101">
        <f>F273-I273+10</f>
        <v>6</v>
      </c>
      <c r="K273" s="103">
        <f t="shared" si="43"/>
        <v>286000</v>
      </c>
      <c r="L273" s="104">
        <f>+ SUMIF('Doanh thu'!A:A, C273,'Doanh thu'!F:F)</f>
        <v>286000</v>
      </c>
    </row>
    <row r="274" spans="1:12" ht="13.2">
      <c r="A274" s="393" t="s">
        <v>343</v>
      </c>
      <c r="B274" s="101">
        <v>1</v>
      </c>
      <c r="C274" s="28" t="s">
        <v>977</v>
      </c>
      <c r="D274" s="28" t="s">
        <v>978</v>
      </c>
      <c r="E274" s="101" t="s">
        <v>444</v>
      </c>
      <c r="F274" s="102">
        <f>+ SUMIF('Nhập kho T42024'!B:B, C274,'Nhập kho T42024'!F:F)</f>
        <v>179</v>
      </c>
      <c r="G274" s="100">
        <f>+ (SUMIF('Nhập kho T42024'!B:B, C274,'Nhập kho T42024'!G:G))*3500</f>
        <v>2241400</v>
      </c>
      <c r="H274" s="101"/>
      <c r="I274" s="101">
        <f>+ SUMIF('Doanh thu'!A:A, C274,'Doanh thu'!E:E)</f>
        <v>131</v>
      </c>
      <c r="J274" s="101">
        <f t="shared" ref="J274:J275" si="48">F274-I274+5</f>
        <v>53</v>
      </c>
      <c r="K274" s="103">
        <f t="shared" si="43"/>
        <v>7411980</v>
      </c>
      <c r="L274" s="104">
        <f>+ SUMIF('Doanh thu'!A:A, C274,'Doanh thu'!F:F)</f>
        <v>7411980</v>
      </c>
    </row>
    <row r="275" spans="1:12" ht="13.2">
      <c r="A275" s="369"/>
      <c r="B275" s="101">
        <v>1</v>
      </c>
      <c r="C275" s="28" t="s">
        <v>979</v>
      </c>
      <c r="D275" s="28" t="s">
        <v>980</v>
      </c>
      <c r="E275" s="101" t="s">
        <v>444</v>
      </c>
      <c r="F275" s="102">
        <f>+ SUMIF('Nhập kho T42024'!B:B, C275,'Nhập kho T42024'!F:F)</f>
        <v>0</v>
      </c>
      <c r="G275" s="100">
        <f>+ (SUMIF('Nhập kho T42024'!B:B, C275,'Nhập kho T42024'!G:G))*3500</f>
        <v>0</v>
      </c>
      <c r="H275" s="101"/>
      <c r="I275" s="101">
        <f>+ SUMIF('Doanh thu'!A:A, C275,'Doanh thu'!E:E)</f>
        <v>10</v>
      </c>
      <c r="J275" s="101">
        <f t="shared" si="48"/>
        <v>-5</v>
      </c>
      <c r="K275" s="103">
        <f t="shared" si="43"/>
        <v>507840</v>
      </c>
      <c r="L275" s="104">
        <f>+ SUMIF('Doanh thu'!A:A, C275,'Doanh thu'!F:F)</f>
        <v>507840</v>
      </c>
    </row>
    <row r="276" spans="1:12" ht="13.2">
      <c r="A276" s="369"/>
      <c r="B276" s="101">
        <v>1</v>
      </c>
      <c r="C276" s="28" t="s">
        <v>981</v>
      </c>
      <c r="D276" s="28" t="s">
        <v>982</v>
      </c>
      <c r="E276" s="101" t="s">
        <v>444</v>
      </c>
      <c r="F276" s="102">
        <f>+ SUMIF('Nhập kho T42024'!B:B, C276,'Nhập kho T42024'!F:F)</f>
        <v>119</v>
      </c>
      <c r="G276" s="100">
        <f>+ (SUMIF('Nhập kho T42024'!B:B, C276,'Nhập kho T42024'!G:G))*3500</f>
        <v>879130</v>
      </c>
      <c r="H276" s="101"/>
      <c r="I276" s="101">
        <f>+ SUMIF('Doanh thu'!A:A, C276,'Doanh thu'!E:E)</f>
        <v>40</v>
      </c>
      <c r="J276" s="101">
        <f>F276-I276-4</f>
        <v>75</v>
      </c>
      <c r="K276" s="103">
        <f t="shared" si="43"/>
        <v>2263200</v>
      </c>
      <c r="L276" s="104">
        <f>+ SUMIF('Doanh thu'!A:A, C276,'Doanh thu'!F:F)</f>
        <v>2263200</v>
      </c>
    </row>
    <row r="277" spans="1:12" ht="13.2">
      <c r="A277" s="369"/>
      <c r="B277" s="101">
        <v>1</v>
      </c>
      <c r="C277" s="28" t="s">
        <v>983</v>
      </c>
      <c r="D277" s="28" t="s">
        <v>984</v>
      </c>
      <c r="E277" s="101" t="s">
        <v>444</v>
      </c>
      <c r="F277" s="102">
        <f>+ SUMIF('Nhập kho T42024'!B:B, C277,'Nhập kho T42024'!F:F)</f>
        <v>0</v>
      </c>
      <c r="G277" s="100">
        <f>+ (SUMIF('Nhập kho T42024'!B:B, C277,'Nhập kho T42024'!G:G))*3500</f>
        <v>0</v>
      </c>
      <c r="H277" s="101"/>
      <c r="I277" s="101">
        <f>+ SUMIF('Doanh thu'!A:A, C277,'Doanh thu'!E:E)</f>
        <v>0</v>
      </c>
      <c r="J277" s="101">
        <f>F277-I277</f>
        <v>0</v>
      </c>
      <c r="K277" s="103">
        <f t="shared" si="43"/>
        <v>0</v>
      </c>
      <c r="L277" s="104">
        <f>+ SUMIF('Doanh thu'!A:A, C277,'Doanh thu'!F:F)</f>
        <v>0</v>
      </c>
    </row>
    <row r="278" spans="1:12" ht="13.2">
      <c r="A278" s="369"/>
      <c r="B278" s="101">
        <v>1</v>
      </c>
      <c r="C278" s="28" t="s">
        <v>985</v>
      </c>
      <c r="D278" s="28" t="s">
        <v>986</v>
      </c>
      <c r="E278" s="101" t="s">
        <v>444</v>
      </c>
      <c r="F278" s="102">
        <f>+ SUMIF('Nhập kho T42024'!B:B, C278,'Nhập kho T42024'!F:F)</f>
        <v>30</v>
      </c>
      <c r="G278" s="100">
        <f>+ (SUMIF('Nhập kho T42024'!B:B, C278,'Nhập kho T42024'!G:G))*3500</f>
        <v>269360</v>
      </c>
      <c r="H278" s="101"/>
      <c r="I278" s="101">
        <f>+ SUMIF('Doanh thu'!A:A, C278,'Doanh thu'!E:E)</f>
        <v>11</v>
      </c>
      <c r="J278" s="101">
        <f>F278-I278+4</f>
        <v>23</v>
      </c>
      <c r="K278" s="103">
        <f t="shared" si="43"/>
        <v>622380</v>
      </c>
      <c r="L278" s="104">
        <f>+ SUMIF('Doanh thu'!A:A, C278,'Doanh thu'!F:F)</f>
        <v>622380</v>
      </c>
    </row>
    <row r="279" spans="1:12" ht="13.2">
      <c r="A279" s="369"/>
      <c r="B279" s="101">
        <v>1</v>
      </c>
      <c r="C279" s="28" t="s">
        <v>987</v>
      </c>
      <c r="D279" s="28" t="s">
        <v>988</v>
      </c>
      <c r="E279" s="101" t="s">
        <v>444</v>
      </c>
      <c r="F279" s="102">
        <f>+ SUMIF('Nhập kho T42024'!B:B, C279,'Nhập kho T42024'!F:F)</f>
        <v>51</v>
      </c>
      <c r="G279" s="100">
        <f>+ (SUMIF('Nhập kho T42024'!B:B, C279,'Nhập kho T42024'!G:G))*3500</f>
        <v>884240</v>
      </c>
      <c r="H279" s="101"/>
      <c r="I279" s="101">
        <f>+ SUMIF('Doanh thu'!A:A, C279,'Doanh thu'!E:E)</f>
        <v>21</v>
      </c>
      <c r="J279" s="101">
        <f>F279-I279-12</f>
        <v>18</v>
      </c>
      <c r="K279" s="103">
        <f t="shared" si="43"/>
        <v>1188180</v>
      </c>
      <c r="L279" s="104">
        <f>+ SUMIF('Doanh thu'!A:A, C279,'Doanh thu'!F:F)</f>
        <v>1188180</v>
      </c>
    </row>
    <row r="280" spans="1:12" ht="13.2">
      <c r="B280" s="101">
        <v>1</v>
      </c>
      <c r="C280" s="28" t="s">
        <v>989</v>
      </c>
      <c r="D280" s="28" t="s">
        <v>990</v>
      </c>
      <c r="E280" s="101" t="s">
        <v>444</v>
      </c>
      <c r="F280" s="102">
        <f>+ SUMIF('Nhập kho T42024'!B:B, C280,'Nhập kho T42024'!F:F)</f>
        <v>136</v>
      </c>
      <c r="G280" s="100">
        <f>+ (SUMIF('Nhập kho T42024'!B:B, C280,'Nhập kho T42024'!G:G))*3500</f>
        <v>1347360</v>
      </c>
      <c r="H280" s="101"/>
      <c r="I280" s="101">
        <f>+ SUMIF('Doanh thu'!A:A, C280,'Doanh thu'!E:E)</f>
        <v>58</v>
      </c>
      <c r="J280" s="101">
        <f>F280-I280-10</f>
        <v>68</v>
      </c>
      <c r="K280" s="103">
        <f t="shared" si="43"/>
        <v>3422000</v>
      </c>
      <c r="L280" s="104">
        <f>+ SUMIF('Doanh thu'!A:A, C280,'Doanh thu'!F:F)</f>
        <v>3422000</v>
      </c>
    </row>
    <row r="281" spans="1:12" ht="13.2">
      <c r="B281" s="101">
        <v>1</v>
      </c>
      <c r="C281" s="28" t="s">
        <v>995</v>
      </c>
      <c r="D281" s="28" t="s">
        <v>996</v>
      </c>
      <c r="E281" s="101" t="s">
        <v>444</v>
      </c>
      <c r="F281" s="102">
        <f>+ SUMIF('Nhập kho T42024'!B:B, C281,'Nhập kho T42024'!F:F)</f>
        <v>0</v>
      </c>
      <c r="G281" s="100">
        <f>+ (SUMIF('Nhập kho T42024'!B:B, C281,'Nhập kho T42024'!G:G))*3500</f>
        <v>0</v>
      </c>
      <c r="H281" s="101"/>
      <c r="I281" s="101">
        <f>+ SUMIF('Doanh thu'!A:A, C281,'Doanh thu'!E:E)</f>
        <v>8</v>
      </c>
      <c r="J281" s="101">
        <f>F281-I281+16</f>
        <v>8</v>
      </c>
      <c r="K281" s="103">
        <f t="shared" si="43"/>
        <v>312000</v>
      </c>
      <c r="L281" s="104">
        <f>+ SUMIF('Doanh thu'!A:A, C281,'Doanh thu'!F:F)</f>
        <v>312000</v>
      </c>
    </row>
    <row r="282" spans="1:12" ht="13.2">
      <c r="B282" s="101">
        <v>1</v>
      </c>
      <c r="C282" s="28" t="s">
        <v>997</v>
      </c>
      <c r="D282" s="28" t="s">
        <v>998</v>
      </c>
      <c r="E282" s="101" t="s">
        <v>444</v>
      </c>
      <c r="F282" s="102">
        <f>+ SUMIF('Nhập kho T42024'!B:B, C282,'Nhập kho T42024'!F:F)</f>
        <v>0</v>
      </c>
      <c r="G282" s="100">
        <f>+ (SUMIF('Nhập kho T42024'!B:B, C282,'Nhập kho T42024'!G:G))*3500</f>
        <v>0</v>
      </c>
      <c r="H282" s="101"/>
      <c r="I282" s="101">
        <f>+ SUMIF('Doanh thu'!A:A, C282,'Doanh thu'!E:E)</f>
        <v>7</v>
      </c>
      <c r="J282" s="101">
        <f>F282-I282+17</f>
        <v>10</v>
      </c>
      <c r="K282" s="103">
        <f t="shared" si="43"/>
        <v>273000</v>
      </c>
      <c r="L282" s="104">
        <f>+ SUMIF('Doanh thu'!A:A, C282,'Doanh thu'!F:F)</f>
        <v>273000</v>
      </c>
    </row>
    <row r="283" spans="1:12" ht="13.2">
      <c r="B283" s="101">
        <v>1</v>
      </c>
      <c r="C283" s="28" t="s">
        <v>999</v>
      </c>
      <c r="D283" s="28" t="s">
        <v>1000</v>
      </c>
      <c r="E283" s="101" t="s">
        <v>444</v>
      </c>
      <c r="F283" s="102">
        <f>+ SUMIF('Nhập kho T42024'!B:B, C283,'Nhập kho T42024'!F:F)</f>
        <v>0</v>
      </c>
      <c r="G283" s="100">
        <f>+ (SUMIF('Nhập kho T42024'!B:B, C283,'Nhập kho T42024'!G:G))*3500</f>
        <v>0</v>
      </c>
      <c r="H283" s="101"/>
      <c r="I283" s="101">
        <f>+ SUMIF('Doanh thu'!A:A, C283,'Doanh thu'!E:E)</f>
        <v>5</v>
      </c>
      <c r="J283" s="101">
        <f>F283-I283+16</f>
        <v>11</v>
      </c>
      <c r="K283" s="103">
        <f t="shared" si="43"/>
        <v>195000</v>
      </c>
      <c r="L283" s="104">
        <f>+ SUMIF('Doanh thu'!A:A, C283,'Doanh thu'!F:F)</f>
        <v>195000</v>
      </c>
    </row>
    <row r="284" spans="1:12" ht="13.2">
      <c r="B284" s="101">
        <v>1</v>
      </c>
      <c r="C284" s="28" t="s">
        <v>1001</v>
      </c>
      <c r="D284" s="28" t="s">
        <v>1002</v>
      </c>
      <c r="E284" s="101" t="s">
        <v>444</v>
      </c>
      <c r="F284" s="102">
        <f>+ SUMIF('Nhập kho T42024'!B:B, C284,'Nhập kho T42024'!F:F)</f>
        <v>0</v>
      </c>
      <c r="G284" s="100">
        <f>+ (SUMIF('Nhập kho T42024'!B:B, C284,'Nhập kho T42024'!G:G))*3500</f>
        <v>0</v>
      </c>
      <c r="H284" s="101"/>
      <c r="I284" s="101">
        <f>+ SUMIF('Doanh thu'!A:A, C284,'Doanh thu'!E:E)</f>
        <v>7</v>
      </c>
      <c r="J284" s="101">
        <f>F284-I284+15</f>
        <v>8</v>
      </c>
      <c r="K284" s="103">
        <f t="shared" si="43"/>
        <v>273000</v>
      </c>
      <c r="L284" s="104">
        <f>+ SUMIF('Doanh thu'!A:A, C284,'Doanh thu'!F:F)</f>
        <v>273000</v>
      </c>
    </row>
    <row r="285" spans="1:12" ht="13.2">
      <c r="B285" s="101">
        <v>1</v>
      </c>
      <c r="C285" s="28" t="s">
        <v>1003</v>
      </c>
      <c r="D285" s="28" t="s">
        <v>1004</v>
      </c>
      <c r="E285" s="101" t="s">
        <v>444</v>
      </c>
      <c r="F285" s="102">
        <f>+ SUMIF('Nhập kho T42024'!B:B, C285,'Nhập kho T42024'!F:F)</f>
        <v>0</v>
      </c>
      <c r="G285" s="100">
        <f>+ (SUMIF('Nhập kho T42024'!B:B, C285,'Nhập kho T42024'!G:G))*3500</f>
        <v>0</v>
      </c>
      <c r="H285" s="101"/>
      <c r="I285" s="101">
        <f>+ SUMIF('Doanh thu'!A:A, C285,'Doanh thu'!E:E)</f>
        <v>2</v>
      </c>
      <c r="J285" s="101">
        <f>F285-I285+1</f>
        <v>-1</v>
      </c>
      <c r="K285" s="103">
        <f t="shared" si="43"/>
        <v>39000</v>
      </c>
      <c r="L285" s="104">
        <f>+ SUMIF('Doanh thu'!A:A, C285,'Doanh thu'!F:F)</f>
        <v>39000</v>
      </c>
    </row>
    <row r="286" spans="1:12" ht="13.2">
      <c r="B286" s="101">
        <v>1</v>
      </c>
      <c r="C286" s="28" t="s">
        <v>1005</v>
      </c>
      <c r="D286" s="28" t="s">
        <v>1006</v>
      </c>
      <c r="E286" s="101" t="s">
        <v>444</v>
      </c>
      <c r="F286" s="102">
        <f>+ SUMIF('Nhập kho T42024'!B:B, C286,'Nhập kho T42024'!F:F)</f>
        <v>0</v>
      </c>
      <c r="G286" s="100">
        <f>+ (SUMIF('Nhập kho T42024'!B:B, C286,'Nhập kho T42024'!G:G))*3500</f>
        <v>0</v>
      </c>
      <c r="H286" s="101"/>
      <c r="I286" s="101">
        <f>+ SUMIF('Doanh thu'!A:A, C286,'Doanh thu'!E:E)</f>
        <v>2</v>
      </c>
      <c r="J286" s="101">
        <f t="shared" ref="J286:J295" si="49">F286-I286+14</f>
        <v>12</v>
      </c>
      <c r="K286" s="103">
        <f t="shared" si="43"/>
        <v>78000</v>
      </c>
      <c r="L286" s="104">
        <f>+ SUMIF('Doanh thu'!A:A, C286,'Doanh thu'!F:F)</f>
        <v>78000</v>
      </c>
    </row>
    <row r="287" spans="1:12" ht="13.2">
      <c r="B287" s="101">
        <v>1</v>
      </c>
      <c r="C287" s="28" t="s">
        <v>1007</v>
      </c>
      <c r="D287" s="28" t="s">
        <v>1008</v>
      </c>
      <c r="E287" s="101" t="s">
        <v>444</v>
      </c>
      <c r="F287" s="102">
        <f>+ SUMIF('Nhập kho T42024'!B:B, C287,'Nhập kho T42024'!F:F)</f>
        <v>0</v>
      </c>
      <c r="G287" s="100">
        <f>+ (SUMIF('Nhập kho T42024'!B:B, C287,'Nhập kho T42024'!G:G))*3500</f>
        <v>0</v>
      </c>
      <c r="H287" s="101"/>
      <c r="I287" s="101">
        <f>+ SUMIF('Doanh thu'!A:A, C287,'Doanh thu'!E:E)</f>
        <v>2</v>
      </c>
      <c r="J287" s="101">
        <f t="shared" si="49"/>
        <v>12</v>
      </c>
      <c r="K287" s="103">
        <f t="shared" si="43"/>
        <v>78000</v>
      </c>
      <c r="L287" s="104">
        <f>+ SUMIF('Doanh thu'!A:A, C287,'Doanh thu'!F:F)</f>
        <v>78000</v>
      </c>
    </row>
    <row r="288" spans="1:12" ht="13.2">
      <c r="B288" s="101">
        <v>1</v>
      </c>
      <c r="C288" s="28" t="s">
        <v>1009</v>
      </c>
      <c r="D288" s="28" t="s">
        <v>1010</v>
      </c>
      <c r="E288" s="101" t="s">
        <v>444</v>
      </c>
      <c r="F288" s="102">
        <f>+ SUMIF('Nhập kho T42024'!B:B, C288,'Nhập kho T42024'!F:F)</f>
        <v>0</v>
      </c>
      <c r="G288" s="100">
        <f>+ (SUMIF('Nhập kho T42024'!B:B, C288,'Nhập kho T42024'!G:G))*3500</f>
        <v>0</v>
      </c>
      <c r="H288" s="101"/>
      <c r="I288" s="101">
        <f>+ SUMIF('Doanh thu'!A:A, C288,'Doanh thu'!E:E)</f>
        <v>4</v>
      </c>
      <c r="J288" s="101">
        <f t="shared" si="49"/>
        <v>10</v>
      </c>
      <c r="K288" s="103">
        <f t="shared" si="43"/>
        <v>156000</v>
      </c>
      <c r="L288" s="104">
        <f>+ SUMIF('Doanh thu'!A:A, C288,'Doanh thu'!F:F)</f>
        <v>156000</v>
      </c>
    </row>
    <row r="289" spans="2:12" ht="13.2">
      <c r="B289" s="101">
        <v>1</v>
      </c>
      <c r="C289" s="28" t="s">
        <v>1011</v>
      </c>
      <c r="D289" s="28" t="s">
        <v>1012</v>
      </c>
      <c r="E289" s="101" t="s">
        <v>444</v>
      </c>
      <c r="F289" s="102">
        <f>+ SUMIF('Nhập kho T42024'!B:B, C289,'Nhập kho T42024'!F:F)</f>
        <v>0</v>
      </c>
      <c r="G289" s="100">
        <f>+ (SUMIF('Nhập kho T42024'!B:B, C289,'Nhập kho T42024'!G:G))*3500</f>
        <v>0</v>
      </c>
      <c r="H289" s="101"/>
      <c r="I289" s="101">
        <f>+ SUMIF('Doanh thu'!A:A, C289,'Doanh thu'!E:E)</f>
        <v>2</v>
      </c>
      <c r="J289" s="101">
        <f t="shared" si="49"/>
        <v>12</v>
      </c>
      <c r="K289" s="103">
        <f t="shared" si="43"/>
        <v>78000</v>
      </c>
      <c r="L289" s="104">
        <f>+ SUMIF('Doanh thu'!A:A, C289,'Doanh thu'!F:F)</f>
        <v>78000</v>
      </c>
    </row>
    <row r="290" spans="2:12" ht="13.2">
      <c r="B290" s="101">
        <v>1</v>
      </c>
      <c r="C290" s="28" t="s">
        <v>1013</v>
      </c>
      <c r="D290" s="28" t="s">
        <v>1014</v>
      </c>
      <c r="E290" s="101" t="s">
        <v>444</v>
      </c>
      <c r="F290" s="102">
        <f>+ SUMIF('Nhập kho T42024'!B:B, C290,'Nhập kho T42024'!F:F)</f>
        <v>0</v>
      </c>
      <c r="G290" s="100">
        <f>+ (SUMIF('Nhập kho T42024'!B:B, C290,'Nhập kho T42024'!G:G))*3500</f>
        <v>0</v>
      </c>
      <c r="H290" s="101"/>
      <c r="I290" s="101">
        <f>+ SUMIF('Doanh thu'!A:A, C290,'Doanh thu'!E:E)</f>
        <v>1</v>
      </c>
      <c r="J290" s="101">
        <f t="shared" si="49"/>
        <v>13</v>
      </c>
      <c r="K290" s="103">
        <f t="shared" si="43"/>
        <v>39000</v>
      </c>
      <c r="L290" s="104">
        <f>+ SUMIF('Doanh thu'!A:A, C290,'Doanh thu'!F:F)</f>
        <v>39000</v>
      </c>
    </row>
    <row r="291" spans="2:12" ht="13.2">
      <c r="B291" s="101">
        <v>1</v>
      </c>
      <c r="C291" s="28" t="s">
        <v>1015</v>
      </c>
      <c r="D291" s="28" t="s">
        <v>1016</v>
      </c>
      <c r="E291" s="101" t="s">
        <v>444</v>
      </c>
      <c r="F291" s="102">
        <f>+ SUMIF('Nhập kho T42024'!B:B, C291,'Nhập kho T42024'!F:F)</f>
        <v>0</v>
      </c>
      <c r="G291" s="100">
        <f>+ (SUMIF('Nhập kho T42024'!B:B, C291,'Nhập kho T42024'!G:G))*3500</f>
        <v>0</v>
      </c>
      <c r="H291" s="101"/>
      <c r="I291" s="101">
        <f>+ SUMIF('Doanh thu'!A:A, C291,'Doanh thu'!E:E)</f>
        <v>1</v>
      </c>
      <c r="J291" s="101">
        <f t="shared" si="49"/>
        <v>13</v>
      </c>
      <c r="K291" s="103">
        <f t="shared" si="43"/>
        <v>39000</v>
      </c>
      <c r="L291" s="104">
        <f>+ SUMIF('Doanh thu'!A:A, C291,'Doanh thu'!F:F)</f>
        <v>39000</v>
      </c>
    </row>
    <row r="292" spans="2:12" ht="13.2">
      <c r="B292" s="101">
        <v>1</v>
      </c>
      <c r="C292" s="28" t="s">
        <v>1017</v>
      </c>
      <c r="D292" s="28" t="s">
        <v>1018</v>
      </c>
      <c r="E292" s="101" t="s">
        <v>444</v>
      </c>
      <c r="F292" s="102">
        <f>+ SUMIF('Nhập kho T42024'!B:B, C292,'Nhập kho T42024'!F:F)</f>
        <v>0</v>
      </c>
      <c r="G292" s="100">
        <f>+ (SUMIF('Nhập kho T42024'!B:B, C292,'Nhập kho T42024'!G:G))*3500</f>
        <v>0</v>
      </c>
      <c r="H292" s="101"/>
      <c r="I292" s="101">
        <f>+ SUMIF('Doanh thu'!A:A, C292,'Doanh thu'!E:E)</f>
        <v>3</v>
      </c>
      <c r="J292" s="101">
        <f t="shared" si="49"/>
        <v>11</v>
      </c>
      <c r="K292" s="103">
        <f t="shared" si="43"/>
        <v>117000</v>
      </c>
      <c r="L292" s="104">
        <f>+ SUMIF('Doanh thu'!A:A, C292,'Doanh thu'!F:F)</f>
        <v>117000</v>
      </c>
    </row>
    <row r="293" spans="2:12" ht="13.2">
      <c r="B293" s="101">
        <v>1</v>
      </c>
      <c r="C293" s="28" t="s">
        <v>1019</v>
      </c>
      <c r="D293" s="28" t="s">
        <v>1020</v>
      </c>
      <c r="E293" s="101" t="s">
        <v>444</v>
      </c>
      <c r="F293" s="102">
        <f>+ SUMIF('Nhập kho T42024'!B:B, C293,'Nhập kho T42024'!F:F)</f>
        <v>0</v>
      </c>
      <c r="G293" s="100">
        <f>+ (SUMIF('Nhập kho T42024'!B:B, C293,'Nhập kho T42024'!G:G))*3500</f>
        <v>0</v>
      </c>
      <c r="H293" s="101"/>
      <c r="I293" s="101">
        <f>+ SUMIF('Doanh thu'!A:A, C293,'Doanh thu'!E:E)</f>
        <v>1</v>
      </c>
      <c r="J293" s="101">
        <f t="shared" si="49"/>
        <v>13</v>
      </c>
      <c r="K293" s="103">
        <f t="shared" si="43"/>
        <v>39000</v>
      </c>
      <c r="L293" s="104">
        <f>+ SUMIF('Doanh thu'!A:A, C293,'Doanh thu'!F:F)</f>
        <v>39000</v>
      </c>
    </row>
    <row r="294" spans="2:12" ht="13.2">
      <c r="B294" s="101">
        <v>1</v>
      </c>
      <c r="C294" s="28" t="s">
        <v>1021</v>
      </c>
      <c r="D294" s="28" t="s">
        <v>1022</v>
      </c>
      <c r="E294" s="101" t="s">
        <v>444</v>
      </c>
      <c r="F294" s="102">
        <f>+ SUMIF('Nhập kho T42024'!B:B, C294,'Nhập kho T42024'!F:F)</f>
        <v>0</v>
      </c>
      <c r="G294" s="100">
        <f>+ (SUMIF('Nhập kho T42024'!B:B, C294,'Nhập kho T42024'!G:G))*3500</f>
        <v>0</v>
      </c>
      <c r="H294" s="101"/>
      <c r="I294" s="101">
        <f>+ SUMIF('Doanh thu'!A:A, C294,'Doanh thu'!E:E)</f>
        <v>1</v>
      </c>
      <c r="J294" s="101">
        <f t="shared" si="49"/>
        <v>13</v>
      </c>
      <c r="K294" s="103">
        <f t="shared" si="43"/>
        <v>39000</v>
      </c>
      <c r="L294" s="104">
        <f>+ SUMIF('Doanh thu'!A:A, C294,'Doanh thu'!F:F)</f>
        <v>39000</v>
      </c>
    </row>
    <row r="295" spans="2:12" ht="13.2">
      <c r="B295" s="101">
        <v>1</v>
      </c>
      <c r="C295" s="28" t="s">
        <v>1023</v>
      </c>
      <c r="D295" s="28" t="s">
        <v>1024</v>
      </c>
      <c r="E295" s="101" t="s">
        <v>444</v>
      </c>
      <c r="F295" s="102">
        <f>+ SUMIF('Nhập kho T42024'!B:B, C295,'Nhập kho T42024'!F:F)</f>
        <v>0</v>
      </c>
      <c r="G295" s="100">
        <f>+ (SUMIF('Nhập kho T42024'!B:B, C295,'Nhập kho T42024'!G:G))*3500</f>
        <v>0</v>
      </c>
      <c r="H295" s="101"/>
      <c r="I295" s="101">
        <f>+ SUMIF('Doanh thu'!A:A, C295,'Doanh thu'!E:E)</f>
        <v>1</v>
      </c>
      <c r="J295" s="101">
        <f t="shared" si="49"/>
        <v>13</v>
      </c>
      <c r="K295" s="103">
        <f t="shared" si="43"/>
        <v>39000</v>
      </c>
      <c r="L295" s="104">
        <f>+ SUMIF('Doanh thu'!A:A, C295,'Doanh thu'!F:F)</f>
        <v>39000</v>
      </c>
    </row>
    <row r="296" spans="2:12" ht="13.2">
      <c r="B296" s="101">
        <v>1</v>
      </c>
      <c r="C296" s="28" t="s">
        <v>1025</v>
      </c>
      <c r="D296" s="28" t="s">
        <v>1026</v>
      </c>
      <c r="E296" s="101" t="s">
        <v>444</v>
      </c>
      <c r="F296" s="102">
        <f>+ SUMIF('Nhập kho T42024'!B:B, C296,'Nhập kho T42024'!F:F)</f>
        <v>56</v>
      </c>
      <c r="G296" s="100">
        <f>+ (SUMIF('Nhập kho T42024'!B:B, C296,'Nhập kho T42024'!G:G))*3500</f>
        <v>609420</v>
      </c>
      <c r="H296" s="101"/>
      <c r="I296" s="101">
        <f>+ SUMIF('Doanh thu'!A:A, C296,'Doanh thu'!E:E)</f>
        <v>63</v>
      </c>
      <c r="J296" s="101">
        <f>F296-I296+16</f>
        <v>9</v>
      </c>
      <c r="K296" s="103">
        <f t="shared" si="43"/>
        <v>2381400</v>
      </c>
      <c r="L296" s="104">
        <f>+ SUMIF('Doanh thu'!A:A, C296,'Doanh thu'!F:F)</f>
        <v>2381400</v>
      </c>
    </row>
    <row r="297" spans="2:12" ht="13.2">
      <c r="B297" s="101">
        <v>1</v>
      </c>
      <c r="C297" s="28" t="s">
        <v>1027</v>
      </c>
      <c r="D297" s="28" t="s">
        <v>1028</v>
      </c>
      <c r="E297" s="101" t="s">
        <v>444</v>
      </c>
      <c r="F297" s="102">
        <f>+ SUMIF('Nhập kho T42024'!B:B, C297,'Nhập kho T42024'!F:F)</f>
        <v>61</v>
      </c>
      <c r="G297" s="100">
        <f>+ (SUMIF('Nhập kho T42024'!B:B, C297,'Nhập kho T42024'!G:G))*3500</f>
        <v>489824.99999999994</v>
      </c>
      <c r="H297" s="101"/>
      <c r="I297" s="101">
        <f>+ SUMIF('Doanh thu'!A:A, C297,'Doanh thu'!E:E)</f>
        <v>64</v>
      </c>
      <c r="J297" s="101">
        <f>F297-I297+17</f>
        <v>14</v>
      </c>
      <c r="K297" s="103">
        <f t="shared" si="43"/>
        <v>2419200</v>
      </c>
      <c r="L297" s="104">
        <f>+ SUMIF('Doanh thu'!A:A, C297,'Doanh thu'!F:F)</f>
        <v>2419200</v>
      </c>
    </row>
    <row r="298" spans="2:12" ht="13.2">
      <c r="B298" s="101">
        <v>1</v>
      </c>
      <c r="C298" s="28" t="s">
        <v>1029</v>
      </c>
      <c r="D298" s="28" t="s">
        <v>1030</v>
      </c>
      <c r="E298" s="101" t="s">
        <v>444</v>
      </c>
      <c r="F298" s="102">
        <f>+ SUMIF('Nhập kho T42024'!B:B, C298,'Nhập kho T42024'!F:F)</f>
        <v>41</v>
      </c>
      <c r="G298" s="100">
        <f>+ (SUMIF('Nhập kho T42024'!B:B, C298,'Nhập kho T42024'!G:G))*3500</f>
        <v>289625</v>
      </c>
      <c r="H298" s="101"/>
      <c r="I298" s="101">
        <f>+ SUMIF('Doanh thu'!A:A, C298,'Doanh thu'!E:E)</f>
        <v>40</v>
      </c>
      <c r="J298" s="101">
        <f>F298-I298+16</f>
        <v>17</v>
      </c>
      <c r="K298" s="103">
        <f t="shared" si="43"/>
        <v>1512000</v>
      </c>
      <c r="L298" s="104">
        <f>+ SUMIF('Doanh thu'!A:A, C298,'Doanh thu'!F:F)</f>
        <v>1512000</v>
      </c>
    </row>
    <row r="299" spans="2:12" ht="13.2">
      <c r="B299" s="101">
        <v>1</v>
      </c>
      <c r="C299" s="28" t="s">
        <v>1031</v>
      </c>
      <c r="D299" s="28" t="s">
        <v>1032</v>
      </c>
      <c r="E299" s="101" t="s">
        <v>444</v>
      </c>
      <c r="F299" s="102">
        <f>+ SUMIF('Nhập kho T42024'!B:B, C299,'Nhập kho T42024'!F:F)</f>
        <v>54</v>
      </c>
      <c r="G299" s="100">
        <f>+ (SUMIF('Nhập kho T42024'!B:B, C299,'Nhập kho T42024'!G:G))*3500</f>
        <v>410900</v>
      </c>
      <c r="H299" s="101"/>
      <c r="I299" s="101">
        <f>+ SUMIF('Doanh thu'!A:A, C299,'Doanh thu'!E:E)</f>
        <v>54</v>
      </c>
      <c r="J299" s="101">
        <f>F299-I299+17</f>
        <v>17</v>
      </c>
      <c r="K299" s="103">
        <f t="shared" si="43"/>
        <v>2041200</v>
      </c>
      <c r="L299" s="104">
        <f>+ SUMIF('Doanh thu'!A:A, C299,'Doanh thu'!F:F)</f>
        <v>2041200</v>
      </c>
    </row>
    <row r="300" spans="2:12" ht="13.2">
      <c r="B300" s="101">
        <v>1</v>
      </c>
      <c r="C300" s="28" t="s">
        <v>1033</v>
      </c>
      <c r="D300" s="28" t="s">
        <v>1034</v>
      </c>
      <c r="E300" s="101" t="s">
        <v>444</v>
      </c>
      <c r="F300" s="102">
        <f>+ SUMIF('Nhập kho T42024'!B:B, C300,'Nhập kho T42024'!F:F)</f>
        <v>73</v>
      </c>
      <c r="G300" s="100">
        <f>+ (SUMIF('Nhập kho T42024'!B:B, C300,'Nhập kho T42024'!G:G))*3500</f>
        <v>549290</v>
      </c>
      <c r="H300" s="101"/>
      <c r="I300" s="101">
        <f>+ SUMIF('Doanh thu'!A:A, C300,'Doanh thu'!E:E)</f>
        <v>66</v>
      </c>
      <c r="J300" s="101">
        <f>F300-I300+13</f>
        <v>20</v>
      </c>
      <c r="K300" s="103">
        <f t="shared" si="43"/>
        <v>2494800</v>
      </c>
      <c r="L300" s="104">
        <f>+ SUMIF('Doanh thu'!A:A, C300,'Doanh thu'!F:F)</f>
        <v>2494800</v>
      </c>
    </row>
    <row r="301" spans="2:12" ht="13.2">
      <c r="B301" s="101">
        <v>1</v>
      </c>
      <c r="C301" s="28" t="s">
        <v>1035</v>
      </c>
      <c r="D301" s="28" t="s">
        <v>1036</v>
      </c>
      <c r="E301" s="101" t="s">
        <v>1037</v>
      </c>
      <c r="F301" s="102">
        <f>+ SUMIF('Nhập kho T42024'!B:B, C301,'Nhập kho T42024'!F:F)</f>
        <v>0</v>
      </c>
      <c r="G301" s="100">
        <f>+ (SUMIF('Nhập kho T42024'!B:B, C301,'Nhập kho T42024'!G:G))*3500</f>
        <v>0</v>
      </c>
      <c r="H301" s="101"/>
      <c r="I301" s="101">
        <f>+ SUMIF('Doanh thu'!A:A, C301,'Doanh thu'!E:E)</f>
        <v>0</v>
      </c>
      <c r="J301" s="101">
        <f t="shared" ref="J301:J305" si="50">F301-I301</f>
        <v>0</v>
      </c>
      <c r="K301" s="103">
        <f t="shared" si="43"/>
        <v>0</v>
      </c>
      <c r="L301" s="104">
        <f>+ SUMIF('Doanh thu'!A:A, C301,'Doanh thu'!F:F)</f>
        <v>0</v>
      </c>
    </row>
    <row r="302" spans="2:12" ht="13.2">
      <c r="B302" s="101">
        <v>1</v>
      </c>
      <c r="C302" s="28" t="s">
        <v>1038</v>
      </c>
      <c r="D302" s="28" t="s">
        <v>1039</v>
      </c>
      <c r="E302" s="101" t="s">
        <v>1037</v>
      </c>
      <c r="F302" s="102">
        <f>+ SUMIF('Nhập kho T42024'!B:B, C302,'Nhập kho T42024'!F:F)</f>
        <v>0</v>
      </c>
      <c r="G302" s="100">
        <f>+ (SUMIF('Nhập kho T42024'!B:B, C302,'Nhập kho T42024'!G:G))*3500</f>
        <v>0</v>
      </c>
      <c r="H302" s="101"/>
      <c r="I302" s="101">
        <f>+ SUMIF('Doanh thu'!A:A, C302,'Doanh thu'!E:E)</f>
        <v>0</v>
      </c>
      <c r="J302" s="101">
        <f t="shared" si="50"/>
        <v>0</v>
      </c>
      <c r="K302" s="103">
        <f t="shared" si="43"/>
        <v>0</v>
      </c>
      <c r="L302" s="104">
        <f>+ SUMIF('Doanh thu'!A:A, C302,'Doanh thu'!F:F)</f>
        <v>0</v>
      </c>
    </row>
    <row r="303" spans="2:12" ht="13.2">
      <c r="B303" s="101">
        <v>1</v>
      </c>
      <c r="C303" s="28" t="s">
        <v>1040</v>
      </c>
      <c r="D303" s="28" t="s">
        <v>1041</v>
      </c>
      <c r="E303" s="101" t="s">
        <v>1037</v>
      </c>
      <c r="F303" s="102">
        <f>+ SUMIF('Nhập kho T42024'!B:B, C303,'Nhập kho T42024'!F:F)</f>
        <v>0</v>
      </c>
      <c r="G303" s="100">
        <f>+ (SUMIF('Nhập kho T42024'!B:B, C303,'Nhập kho T42024'!G:G))*3500</f>
        <v>0</v>
      </c>
      <c r="H303" s="101"/>
      <c r="I303" s="101">
        <f>+ SUMIF('Doanh thu'!A:A, C303,'Doanh thu'!E:E)</f>
        <v>0</v>
      </c>
      <c r="J303" s="101">
        <f t="shared" si="50"/>
        <v>0</v>
      </c>
      <c r="K303" s="103">
        <f t="shared" si="43"/>
        <v>0</v>
      </c>
      <c r="L303" s="104">
        <f>+ SUMIF('Doanh thu'!A:A, C303,'Doanh thu'!F:F)</f>
        <v>0</v>
      </c>
    </row>
    <row r="304" spans="2:12" ht="13.2">
      <c r="B304" s="101">
        <v>1</v>
      </c>
      <c r="C304" s="28" t="s">
        <v>1042</v>
      </c>
      <c r="D304" s="28" t="s">
        <v>1043</v>
      </c>
      <c r="E304" s="101" t="s">
        <v>1037</v>
      </c>
      <c r="F304" s="102">
        <f>+ SUMIF('Nhập kho T42024'!B:B, C304,'Nhập kho T42024'!F:F)</f>
        <v>0</v>
      </c>
      <c r="G304" s="100">
        <f>+ (SUMIF('Nhập kho T42024'!B:B, C304,'Nhập kho T42024'!G:G))*3500</f>
        <v>0</v>
      </c>
      <c r="H304" s="101"/>
      <c r="I304" s="101">
        <f>+ SUMIF('Doanh thu'!A:A, C304,'Doanh thu'!E:E)</f>
        <v>0</v>
      </c>
      <c r="J304" s="101">
        <f t="shared" si="50"/>
        <v>0</v>
      </c>
      <c r="K304" s="103">
        <f t="shared" si="43"/>
        <v>0</v>
      </c>
      <c r="L304" s="104">
        <f>+ SUMIF('Doanh thu'!A:A, C304,'Doanh thu'!F:F)</f>
        <v>0</v>
      </c>
    </row>
    <row r="305" spans="2:12" ht="13.2">
      <c r="B305" s="101">
        <v>1</v>
      </c>
      <c r="C305" s="28" t="s">
        <v>1044</v>
      </c>
      <c r="D305" s="28" t="s">
        <v>1045</v>
      </c>
      <c r="E305" s="101" t="s">
        <v>1037</v>
      </c>
      <c r="F305" s="102">
        <f>+ SUMIF('Nhập kho T42024'!B:B, C305,'Nhập kho T42024'!F:F)</f>
        <v>0</v>
      </c>
      <c r="G305" s="100">
        <f>+ (SUMIF('Nhập kho T42024'!B:B, C305,'Nhập kho T42024'!G:G))*3500</f>
        <v>0</v>
      </c>
      <c r="H305" s="101"/>
      <c r="I305" s="101">
        <f>+ SUMIF('Doanh thu'!A:A, C305,'Doanh thu'!E:E)</f>
        <v>0</v>
      </c>
      <c r="J305" s="101">
        <f t="shared" si="50"/>
        <v>0</v>
      </c>
      <c r="K305" s="103">
        <f t="shared" si="43"/>
        <v>0</v>
      </c>
      <c r="L305" s="104">
        <f>+ SUMIF('Doanh thu'!A:A, C305,'Doanh thu'!F:F)</f>
        <v>0</v>
      </c>
    </row>
    <row r="306" spans="2:12" ht="13.2">
      <c r="B306" s="101">
        <v>1</v>
      </c>
      <c r="C306" s="28" t="s">
        <v>1046</v>
      </c>
      <c r="D306" s="28" t="s">
        <v>1047</v>
      </c>
      <c r="E306" s="101" t="s">
        <v>1037</v>
      </c>
      <c r="F306" s="102">
        <f>+ SUMIF('Nhập kho T42024'!B:B, C306,'Nhập kho T42024'!F:F)</f>
        <v>0</v>
      </c>
      <c r="G306" s="100">
        <f>+ (SUMIF('Nhập kho T42024'!B:B, C306,'Nhập kho T42024'!G:G))*3500</f>
        <v>0</v>
      </c>
      <c r="H306" s="101"/>
      <c r="I306" s="101">
        <f>+ SUMIF('Doanh thu'!A:A, C306,'Doanh thu'!E:E)</f>
        <v>3</v>
      </c>
      <c r="J306" s="101">
        <f>F306-I306+3</f>
        <v>0</v>
      </c>
      <c r="K306" s="103">
        <f t="shared" si="43"/>
        <v>29400</v>
      </c>
      <c r="L306" s="104">
        <f>+ SUMIF('Doanh thu'!A:A, C306,'Doanh thu'!F:F)</f>
        <v>29400</v>
      </c>
    </row>
    <row r="307" spans="2:12" ht="13.2">
      <c r="B307" s="101">
        <v>1</v>
      </c>
      <c r="C307" s="28" t="s">
        <v>1048</v>
      </c>
      <c r="D307" s="28" t="s">
        <v>1049</v>
      </c>
      <c r="E307" s="101" t="s">
        <v>1037</v>
      </c>
      <c r="F307" s="102">
        <f>+ SUMIF('Nhập kho T42024'!B:B, C307,'Nhập kho T42024'!F:F)</f>
        <v>0</v>
      </c>
      <c r="G307" s="100">
        <f>+ (SUMIF('Nhập kho T42024'!B:B, C307,'Nhập kho T42024'!G:G))*3500</f>
        <v>0</v>
      </c>
      <c r="H307" s="101"/>
      <c r="I307" s="101">
        <f>+ SUMIF('Doanh thu'!A:A, C307,'Doanh thu'!E:E)</f>
        <v>1</v>
      </c>
      <c r="J307" s="101">
        <f>F307-I307+1</f>
        <v>0</v>
      </c>
      <c r="K307" s="103">
        <f t="shared" si="43"/>
        <v>9800</v>
      </c>
      <c r="L307" s="104">
        <f>+ SUMIF('Doanh thu'!A:A, C307,'Doanh thu'!F:F)</f>
        <v>9800</v>
      </c>
    </row>
    <row r="308" spans="2:12" ht="13.2">
      <c r="B308" s="101">
        <v>1</v>
      </c>
      <c r="C308" s="28" t="s">
        <v>1050</v>
      </c>
      <c r="D308" s="28" t="s">
        <v>1051</v>
      </c>
      <c r="E308" s="101" t="s">
        <v>1037</v>
      </c>
      <c r="F308" s="102">
        <f>+ SUMIF('Nhập kho T42024'!B:B, C308,'Nhập kho T42024'!F:F)</f>
        <v>0</v>
      </c>
      <c r="G308" s="100">
        <f>+ (SUMIF('Nhập kho T42024'!B:B, C308,'Nhập kho T42024'!G:G))*3500</f>
        <v>0</v>
      </c>
      <c r="H308" s="101"/>
      <c r="I308" s="101">
        <f>+ SUMIF('Doanh thu'!A:A, C308,'Doanh thu'!E:E)</f>
        <v>2</v>
      </c>
      <c r="J308" s="101">
        <f>F308-I308+2</f>
        <v>0</v>
      </c>
      <c r="K308" s="103">
        <f t="shared" si="43"/>
        <v>19600</v>
      </c>
      <c r="L308" s="104">
        <f>+ SUMIF('Doanh thu'!A:A, C308,'Doanh thu'!F:F)</f>
        <v>19600</v>
      </c>
    </row>
    <row r="309" spans="2:12" ht="13.2">
      <c r="B309" s="101">
        <v>1</v>
      </c>
      <c r="C309" s="28" t="s">
        <v>1052</v>
      </c>
      <c r="D309" s="28" t="s">
        <v>1053</v>
      </c>
      <c r="E309" s="101" t="s">
        <v>1037</v>
      </c>
      <c r="F309" s="102">
        <f>+ SUMIF('Nhập kho T42024'!B:B, C309,'Nhập kho T42024'!F:F)</f>
        <v>0</v>
      </c>
      <c r="G309" s="100">
        <f>+ (SUMIF('Nhập kho T42024'!B:B, C309,'Nhập kho T42024'!G:G))*3500</f>
        <v>0</v>
      </c>
      <c r="H309" s="101"/>
      <c r="I309" s="101">
        <f>+ SUMIF('Doanh thu'!A:A, C309,'Doanh thu'!E:E)</f>
        <v>0</v>
      </c>
      <c r="J309" s="101">
        <f>F309-I309</f>
        <v>0</v>
      </c>
      <c r="K309" s="103">
        <f t="shared" si="43"/>
        <v>0</v>
      </c>
      <c r="L309" s="104">
        <f>+ SUMIF('Doanh thu'!A:A, C309,'Doanh thu'!F:F)</f>
        <v>0</v>
      </c>
    </row>
    <row r="310" spans="2:12" ht="13.2">
      <c r="B310" s="101">
        <v>1</v>
      </c>
      <c r="C310" s="28" t="s">
        <v>1054</v>
      </c>
      <c r="D310" s="28" t="s">
        <v>1055</v>
      </c>
      <c r="E310" s="101" t="s">
        <v>1037</v>
      </c>
      <c r="F310" s="102">
        <f>+ SUMIF('Nhập kho T42024'!B:B, C310,'Nhập kho T42024'!F:F)</f>
        <v>0</v>
      </c>
      <c r="G310" s="100">
        <f>+ (SUMIF('Nhập kho T42024'!B:B, C310,'Nhập kho T42024'!G:G))*3500</f>
        <v>0</v>
      </c>
      <c r="H310" s="101"/>
      <c r="I310" s="101">
        <f>+ SUMIF('Doanh thu'!A:A, C310,'Doanh thu'!E:E)</f>
        <v>1</v>
      </c>
      <c r="J310" s="101">
        <f>F310-I310+1</f>
        <v>0</v>
      </c>
      <c r="K310" s="103">
        <f t="shared" si="43"/>
        <v>9800</v>
      </c>
      <c r="L310" s="104">
        <f>+ SUMIF('Doanh thu'!A:A, C310,'Doanh thu'!F:F)</f>
        <v>9800</v>
      </c>
    </row>
    <row r="311" spans="2:12" ht="13.2">
      <c r="B311" s="101">
        <v>1</v>
      </c>
      <c r="C311" s="28" t="s">
        <v>1056</v>
      </c>
      <c r="D311" s="28" t="s">
        <v>1057</v>
      </c>
      <c r="E311" s="101" t="s">
        <v>1037</v>
      </c>
      <c r="F311" s="102">
        <f>+ SUMIF('Nhập kho T42024'!B:B, C311,'Nhập kho T42024'!F:F)</f>
        <v>0</v>
      </c>
      <c r="G311" s="100">
        <f>+ (SUMIF('Nhập kho T42024'!B:B, C311,'Nhập kho T42024'!G:G))*3500</f>
        <v>0</v>
      </c>
      <c r="H311" s="101"/>
      <c r="I311" s="101">
        <f>+ SUMIF('Doanh thu'!A:A, C311,'Doanh thu'!E:E)</f>
        <v>4</v>
      </c>
      <c r="J311" s="101">
        <f>F311-I311+4</f>
        <v>0</v>
      </c>
      <c r="K311" s="103">
        <f t="shared" si="43"/>
        <v>37600</v>
      </c>
      <c r="L311" s="104">
        <f>+ SUMIF('Doanh thu'!A:A, C311,'Doanh thu'!F:F)</f>
        <v>37600</v>
      </c>
    </row>
    <row r="312" spans="2:12" ht="13.2">
      <c r="B312" s="101">
        <v>1</v>
      </c>
      <c r="C312" s="28" t="s">
        <v>1058</v>
      </c>
      <c r="D312" s="28" t="s">
        <v>1059</v>
      </c>
      <c r="E312" s="101" t="s">
        <v>1037</v>
      </c>
      <c r="F312" s="102">
        <f>+ SUMIF('Nhập kho T42024'!B:B, C312,'Nhập kho T42024'!F:F)</f>
        <v>0</v>
      </c>
      <c r="G312" s="100">
        <f>+ (SUMIF('Nhập kho T42024'!B:B, C312,'Nhập kho T42024'!G:G))*3500</f>
        <v>0</v>
      </c>
      <c r="H312" s="101"/>
      <c r="I312" s="101">
        <f>+ SUMIF('Doanh thu'!A:A, C312,'Doanh thu'!E:E)</f>
        <v>2</v>
      </c>
      <c r="J312" s="101">
        <f>F312-I312+2</f>
        <v>0</v>
      </c>
      <c r="K312" s="103">
        <f t="shared" si="43"/>
        <v>18800</v>
      </c>
      <c r="L312" s="104">
        <f>+ SUMIF('Doanh thu'!A:A, C312,'Doanh thu'!F:F)</f>
        <v>18800</v>
      </c>
    </row>
    <row r="313" spans="2:12" ht="13.2">
      <c r="B313" s="101">
        <v>1</v>
      </c>
      <c r="C313" s="28" t="s">
        <v>1060</v>
      </c>
      <c r="D313" s="28" t="s">
        <v>1061</v>
      </c>
      <c r="E313" s="101" t="s">
        <v>1037</v>
      </c>
      <c r="F313" s="102">
        <f>+ SUMIF('Nhập kho T42024'!B:B, C313,'Nhập kho T42024'!F:F)</f>
        <v>0</v>
      </c>
      <c r="G313" s="100">
        <f>+ (SUMIF('Nhập kho T42024'!B:B, C313,'Nhập kho T42024'!G:G))*3500</f>
        <v>0</v>
      </c>
      <c r="H313" s="101"/>
      <c r="I313" s="101">
        <f>+ SUMIF('Doanh thu'!A:A, C313,'Doanh thu'!E:E)</f>
        <v>3</v>
      </c>
      <c r="J313" s="101">
        <f>F313-I313+3</f>
        <v>0</v>
      </c>
      <c r="K313" s="103">
        <f t="shared" si="43"/>
        <v>28200</v>
      </c>
      <c r="L313" s="104">
        <f>+ SUMIF('Doanh thu'!A:A, C313,'Doanh thu'!F:F)</f>
        <v>28200</v>
      </c>
    </row>
    <row r="314" spans="2:12" ht="13.2">
      <c r="B314" s="101">
        <v>1</v>
      </c>
      <c r="C314" s="28" t="s">
        <v>1062</v>
      </c>
      <c r="D314" s="28" t="s">
        <v>1063</v>
      </c>
      <c r="E314" s="101" t="s">
        <v>1037</v>
      </c>
      <c r="F314" s="102">
        <f>+ SUMIF('Nhập kho T42024'!B:B, C314,'Nhập kho T42024'!F:F)</f>
        <v>0</v>
      </c>
      <c r="G314" s="100">
        <f>+ (SUMIF('Nhập kho T42024'!B:B, C314,'Nhập kho T42024'!G:G))*3500</f>
        <v>0</v>
      </c>
      <c r="H314" s="101"/>
      <c r="I314" s="101">
        <f>+ SUMIF('Doanh thu'!A:A, C314,'Doanh thu'!E:E)</f>
        <v>0</v>
      </c>
      <c r="J314" s="101">
        <f>F314-I314</f>
        <v>0</v>
      </c>
      <c r="K314" s="103">
        <f t="shared" si="43"/>
        <v>0</v>
      </c>
      <c r="L314" s="104">
        <f>+ SUMIF('Doanh thu'!A:A, C314,'Doanh thu'!F:F)</f>
        <v>0</v>
      </c>
    </row>
    <row r="315" spans="2:12" ht="13.2">
      <c r="B315" s="101">
        <v>1</v>
      </c>
      <c r="C315" s="28" t="s">
        <v>1064</v>
      </c>
      <c r="D315" s="28" t="s">
        <v>1065</v>
      </c>
      <c r="E315" s="101" t="s">
        <v>1037</v>
      </c>
      <c r="F315" s="102">
        <f>+ SUMIF('Nhập kho T42024'!B:B, C315,'Nhập kho T42024'!F:F)</f>
        <v>0</v>
      </c>
      <c r="G315" s="100">
        <f>+ (SUMIF('Nhập kho T42024'!B:B, C315,'Nhập kho T42024'!G:G))*3500</f>
        <v>0</v>
      </c>
      <c r="H315" s="101"/>
      <c r="I315" s="101">
        <f>+ SUMIF('Doanh thu'!A:A, C315,'Doanh thu'!E:E)</f>
        <v>4</v>
      </c>
      <c r="J315" s="101">
        <f t="shared" ref="J315:J316" si="51">F315-I315+3</f>
        <v>-1</v>
      </c>
      <c r="K315" s="103">
        <f t="shared" si="43"/>
        <v>39600</v>
      </c>
      <c r="L315" s="104">
        <f>+ SUMIF('Doanh thu'!A:A, C315,'Doanh thu'!F:F)</f>
        <v>39600</v>
      </c>
    </row>
    <row r="316" spans="2:12" ht="13.2">
      <c r="B316" s="101">
        <v>1</v>
      </c>
      <c r="C316" s="28" t="s">
        <v>1066</v>
      </c>
      <c r="D316" s="28" t="s">
        <v>1067</v>
      </c>
      <c r="E316" s="101" t="s">
        <v>1037</v>
      </c>
      <c r="F316" s="102">
        <f>+ SUMIF('Nhập kho T42024'!B:B, C316,'Nhập kho T42024'!F:F)</f>
        <v>0</v>
      </c>
      <c r="G316" s="100">
        <f>+ (SUMIF('Nhập kho T42024'!B:B, C316,'Nhập kho T42024'!G:G))*3500</f>
        <v>0</v>
      </c>
      <c r="H316" s="101"/>
      <c r="I316" s="101">
        <f>+ SUMIF('Doanh thu'!A:A, C316,'Doanh thu'!E:E)</f>
        <v>4</v>
      </c>
      <c r="J316" s="101">
        <f t="shared" si="51"/>
        <v>-1</v>
      </c>
      <c r="K316" s="103">
        <f t="shared" si="43"/>
        <v>37947.800000000003</v>
      </c>
      <c r="L316" s="104">
        <f>+ SUMIF('Doanh thu'!A:A, C316,'Doanh thu'!F:F)</f>
        <v>37947.800000000003</v>
      </c>
    </row>
    <row r="317" spans="2:12" ht="13.2">
      <c r="B317" s="101">
        <v>1</v>
      </c>
      <c r="C317" s="28" t="s">
        <v>1068</v>
      </c>
      <c r="D317" s="28" t="s">
        <v>1069</v>
      </c>
      <c r="E317" s="101" t="s">
        <v>1037</v>
      </c>
      <c r="F317" s="102">
        <f>+ SUMIF('Nhập kho T42024'!B:B, C317,'Nhập kho T42024'!F:F)</f>
        <v>0</v>
      </c>
      <c r="G317" s="100">
        <f>+ (SUMIF('Nhập kho T42024'!B:B, C317,'Nhập kho T42024'!G:G))*3500</f>
        <v>0</v>
      </c>
      <c r="H317" s="101"/>
      <c r="I317" s="101">
        <f>+ SUMIF('Doanh thu'!A:A, C317,'Doanh thu'!E:E)</f>
        <v>1</v>
      </c>
      <c r="J317" s="101">
        <f>F317-I317</f>
        <v>-1</v>
      </c>
      <c r="K317" s="103">
        <f t="shared" si="43"/>
        <v>9900</v>
      </c>
      <c r="L317" s="104">
        <f>+ SUMIF('Doanh thu'!A:A, C317,'Doanh thu'!F:F)</f>
        <v>9900</v>
      </c>
    </row>
    <row r="318" spans="2:12" ht="13.2">
      <c r="B318" s="101">
        <v>1</v>
      </c>
      <c r="C318" s="28" t="s">
        <v>1070</v>
      </c>
      <c r="D318" s="28" t="s">
        <v>1071</v>
      </c>
      <c r="E318" s="101" t="s">
        <v>1037</v>
      </c>
      <c r="F318" s="102">
        <f>+ SUMIF('Nhập kho T42024'!B:B, C318,'Nhập kho T42024'!F:F)</f>
        <v>0</v>
      </c>
      <c r="G318" s="100">
        <f>+ (SUMIF('Nhập kho T42024'!B:B, C318,'Nhập kho T42024'!G:G))*3500</f>
        <v>0</v>
      </c>
      <c r="H318" s="101"/>
      <c r="I318" s="101">
        <f>+ SUMIF('Doanh thu'!A:A, C318,'Doanh thu'!E:E)</f>
        <v>3</v>
      </c>
      <c r="J318" s="101">
        <f>F318-I318+2</f>
        <v>-1</v>
      </c>
      <c r="K318" s="103">
        <f t="shared" si="43"/>
        <v>26395.599999999999</v>
      </c>
      <c r="L318" s="104">
        <f>+ SUMIF('Doanh thu'!A:A, C318,'Doanh thu'!F:F)</f>
        <v>26395.599999999999</v>
      </c>
    </row>
    <row r="319" spans="2:12" ht="13.2">
      <c r="B319" s="101">
        <v>1</v>
      </c>
      <c r="C319" s="28" t="s">
        <v>1072</v>
      </c>
      <c r="D319" s="28" t="s">
        <v>1073</v>
      </c>
      <c r="E319" s="101" t="s">
        <v>1037</v>
      </c>
      <c r="F319" s="102">
        <f>+ SUMIF('Nhập kho T42024'!B:B, C319,'Nhập kho T42024'!F:F)</f>
        <v>0</v>
      </c>
      <c r="G319" s="100">
        <f>+ (SUMIF('Nhập kho T42024'!B:B, C319,'Nhập kho T42024'!G:G))*3500</f>
        <v>0</v>
      </c>
      <c r="H319" s="101"/>
      <c r="I319" s="101">
        <f>+ SUMIF('Doanh thu'!A:A, C319,'Doanh thu'!E:E)</f>
        <v>1</v>
      </c>
      <c r="J319" s="101">
        <f>F319-I319</f>
        <v>-1</v>
      </c>
      <c r="K319" s="103">
        <f t="shared" si="43"/>
        <v>9900</v>
      </c>
      <c r="L319" s="104">
        <f>+ SUMIF('Doanh thu'!A:A, C319,'Doanh thu'!F:F)</f>
        <v>9900</v>
      </c>
    </row>
    <row r="320" spans="2:12" ht="13.2">
      <c r="B320" s="101">
        <v>1</v>
      </c>
      <c r="C320" s="28" t="s">
        <v>1074</v>
      </c>
      <c r="D320" s="28" t="s">
        <v>1075</v>
      </c>
      <c r="E320" s="101" t="s">
        <v>1037</v>
      </c>
      <c r="F320" s="102">
        <f>+ SUMIF('Nhập kho T42024'!B:B, C320,'Nhập kho T42024'!F:F)</f>
        <v>0</v>
      </c>
      <c r="G320" s="100">
        <f>+ (SUMIF('Nhập kho T42024'!B:B, C320,'Nhập kho T42024'!G:G))*3500</f>
        <v>0</v>
      </c>
      <c r="H320" s="101"/>
      <c r="I320" s="101">
        <f>+ SUMIF('Doanh thu'!A:A, C320,'Doanh thu'!E:E)</f>
        <v>2</v>
      </c>
      <c r="J320" s="101">
        <f>F320-I320+2</f>
        <v>0</v>
      </c>
      <c r="K320" s="103">
        <f t="shared" si="43"/>
        <v>19800</v>
      </c>
      <c r="L320" s="104">
        <f>+ SUMIF('Doanh thu'!A:A, C320,'Doanh thu'!F:F)</f>
        <v>19800</v>
      </c>
    </row>
    <row r="321" spans="2:12" ht="13.2">
      <c r="B321" s="101">
        <v>1</v>
      </c>
      <c r="C321" s="28" t="s">
        <v>1076</v>
      </c>
      <c r="D321" s="28" t="s">
        <v>1077</v>
      </c>
      <c r="E321" s="101" t="s">
        <v>1037</v>
      </c>
      <c r="F321" s="102">
        <f>+ SUMIF('Nhập kho T42024'!B:B, C321,'Nhập kho T42024'!F:F)</f>
        <v>0</v>
      </c>
      <c r="G321" s="100">
        <f>+ (SUMIF('Nhập kho T42024'!B:B, C321,'Nhập kho T42024'!G:G))*3500</f>
        <v>0</v>
      </c>
      <c r="H321" s="101"/>
      <c r="I321" s="101">
        <f>+ SUMIF('Doanh thu'!A:A, C321,'Doanh thu'!E:E)</f>
        <v>1</v>
      </c>
      <c r="J321" s="101">
        <f>F321-I321+1</f>
        <v>0</v>
      </c>
      <c r="K321" s="103">
        <f t="shared" si="43"/>
        <v>9900</v>
      </c>
      <c r="L321" s="104">
        <f>+ SUMIF('Doanh thu'!A:A, C321,'Doanh thu'!F:F)</f>
        <v>9900</v>
      </c>
    </row>
    <row r="322" spans="2:12" ht="13.2">
      <c r="B322" s="101">
        <v>1</v>
      </c>
      <c r="C322" s="28" t="s">
        <v>1078</v>
      </c>
      <c r="D322" s="28" t="s">
        <v>1079</v>
      </c>
      <c r="E322" s="101" t="s">
        <v>1037</v>
      </c>
      <c r="F322" s="102">
        <f>+ SUMIF('Nhập kho T42024'!B:B, C322,'Nhập kho T42024'!F:F)</f>
        <v>0</v>
      </c>
      <c r="G322" s="100">
        <f>+ (SUMIF('Nhập kho T42024'!B:B, C322,'Nhập kho T42024'!G:G))*3500</f>
        <v>0</v>
      </c>
      <c r="H322" s="101"/>
      <c r="I322" s="101">
        <f>+ SUMIF('Doanh thu'!A:A, C322,'Doanh thu'!E:E)</f>
        <v>0</v>
      </c>
      <c r="J322" s="101">
        <f>F322-I322</f>
        <v>0</v>
      </c>
      <c r="K322" s="103">
        <f t="shared" si="43"/>
        <v>0</v>
      </c>
      <c r="L322" s="104">
        <f>+ SUMIF('Doanh thu'!A:A, C322,'Doanh thu'!F:F)</f>
        <v>0</v>
      </c>
    </row>
    <row r="323" spans="2:12" ht="13.2">
      <c r="B323" s="101">
        <v>1</v>
      </c>
      <c r="C323" s="28" t="s">
        <v>1080</v>
      </c>
      <c r="D323" s="28" t="s">
        <v>1081</v>
      </c>
      <c r="E323" s="101" t="s">
        <v>1037</v>
      </c>
      <c r="F323" s="102">
        <f>+ SUMIF('Nhập kho T42024'!B:B, C323,'Nhập kho T42024'!F:F)</f>
        <v>0</v>
      </c>
      <c r="G323" s="100">
        <f>+ (SUMIF('Nhập kho T42024'!B:B, C323,'Nhập kho T42024'!G:G))*3500</f>
        <v>0</v>
      </c>
      <c r="H323" s="101"/>
      <c r="I323" s="101">
        <f>+ SUMIF('Doanh thu'!A:A, C323,'Doanh thu'!E:E)</f>
        <v>2</v>
      </c>
      <c r="J323" s="101">
        <f t="shared" ref="J323:J324" si="52">F323-I323+2</f>
        <v>0</v>
      </c>
      <c r="K323" s="103">
        <f t="shared" si="43"/>
        <v>19800</v>
      </c>
      <c r="L323" s="104">
        <f>+ SUMIF('Doanh thu'!A:A, C323,'Doanh thu'!F:F)</f>
        <v>19800</v>
      </c>
    </row>
    <row r="324" spans="2:12" ht="13.2">
      <c r="B324" s="101">
        <v>1</v>
      </c>
      <c r="C324" s="28" t="s">
        <v>1082</v>
      </c>
      <c r="D324" s="28" t="s">
        <v>1083</v>
      </c>
      <c r="E324" s="101" t="s">
        <v>1037</v>
      </c>
      <c r="F324" s="102">
        <f>+ SUMIF('Nhập kho T42024'!B:B, C324,'Nhập kho T42024'!F:F)</f>
        <v>0</v>
      </c>
      <c r="G324" s="100">
        <f>+ (SUMIF('Nhập kho T42024'!B:B, C324,'Nhập kho T42024'!G:G))*3500</f>
        <v>0</v>
      </c>
      <c r="H324" s="101"/>
      <c r="I324" s="101">
        <f>+ SUMIF('Doanh thu'!A:A, C324,'Doanh thu'!E:E)</f>
        <v>2</v>
      </c>
      <c r="J324" s="101">
        <f t="shared" si="52"/>
        <v>0</v>
      </c>
      <c r="K324" s="103">
        <f t="shared" si="43"/>
        <v>19800</v>
      </c>
      <c r="L324" s="104">
        <f>+ SUMIF('Doanh thu'!A:A, C324,'Doanh thu'!F:F)</f>
        <v>19800</v>
      </c>
    </row>
    <row r="325" spans="2:12" ht="13.2">
      <c r="B325" s="101">
        <v>1</v>
      </c>
      <c r="C325" s="28" t="s">
        <v>1084</v>
      </c>
      <c r="D325" s="28" t="s">
        <v>1085</v>
      </c>
      <c r="E325" s="101" t="s">
        <v>1037</v>
      </c>
      <c r="F325" s="102">
        <f>+ SUMIF('Nhập kho T42024'!B:B, C325,'Nhập kho T42024'!F:F)</f>
        <v>0</v>
      </c>
      <c r="G325" s="100">
        <f>+ (SUMIF('Nhập kho T42024'!B:B, C325,'Nhập kho T42024'!G:G))*3500</f>
        <v>0</v>
      </c>
      <c r="H325" s="101"/>
      <c r="I325" s="101">
        <f>+ SUMIF('Doanh thu'!A:A, C325,'Doanh thu'!E:E)</f>
        <v>1</v>
      </c>
      <c r="J325" s="101">
        <f t="shared" ref="J325:J329" si="53">F325-I325</f>
        <v>-1</v>
      </c>
      <c r="K325" s="103">
        <f t="shared" si="43"/>
        <v>9900</v>
      </c>
      <c r="L325" s="104">
        <f>+ SUMIF('Doanh thu'!A:A, C325,'Doanh thu'!F:F)</f>
        <v>9900</v>
      </c>
    </row>
    <row r="326" spans="2:12" ht="13.2">
      <c r="B326" s="101">
        <v>1</v>
      </c>
      <c r="C326" s="28" t="s">
        <v>1086</v>
      </c>
      <c r="D326" s="28" t="s">
        <v>1087</v>
      </c>
      <c r="E326" s="101" t="s">
        <v>1037</v>
      </c>
      <c r="F326" s="102">
        <f>+ SUMIF('Nhập kho T42024'!B:B, C326,'Nhập kho T42024'!F:F)</f>
        <v>0</v>
      </c>
      <c r="G326" s="100">
        <f>+ (SUMIF('Nhập kho T42024'!B:B, C326,'Nhập kho T42024'!G:G))*3500</f>
        <v>0</v>
      </c>
      <c r="H326" s="101"/>
      <c r="I326" s="101">
        <f>+ SUMIF('Doanh thu'!A:A, C326,'Doanh thu'!E:E)</f>
        <v>1</v>
      </c>
      <c r="J326" s="101">
        <f t="shared" si="53"/>
        <v>-1</v>
      </c>
      <c r="K326" s="103">
        <f t="shared" si="43"/>
        <v>9900</v>
      </c>
      <c r="L326" s="104">
        <f>+ SUMIF('Doanh thu'!A:A, C326,'Doanh thu'!F:F)</f>
        <v>9900</v>
      </c>
    </row>
    <row r="327" spans="2:12" ht="13.2">
      <c r="B327" s="101">
        <v>1</v>
      </c>
      <c r="C327" s="28" t="s">
        <v>1088</v>
      </c>
      <c r="D327" s="28" t="s">
        <v>1089</v>
      </c>
      <c r="E327" s="101" t="s">
        <v>1037</v>
      </c>
      <c r="F327" s="102">
        <f>+ SUMIF('Nhập kho T42024'!B:B, C327,'Nhập kho T42024'!F:F)</f>
        <v>0</v>
      </c>
      <c r="G327" s="100">
        <f>+ (SUMIF('Nhập kho T42024'!B:B, C327,'Nhập kho T42024'!G:G))*3500</f>
        <v>0</v>
      </c>
      <c r="H327" s="101"/>
      <c r="I327" s="101">
        <f>+ SUMIF('Doanh thu'!A:A, C327,'Doanh thu'!E:E)</f>
        <v>1</v>
      </c>
      <c r="J327" s="101">
        <f t="shared" si="53"/>
        <v>-1</v>
      </c>
      <c r="K327" s="103">
        <f t="shared" si="43"/>
        <v>9900</v>
      </c>
      <c r="L327" s="104">
        <f>+ SUMIF('Doanh thu'!A:A, C327,'Doanh thu'!F:F)</f>
        <v>9900</v>
      </c>
    </row>
    <row r="328" spans="2:12" ht="13.2">
      <c r="B328" s="101">
        <v>1</v>
      </c>
      <c r="C328" s="28" t="s">
        <v>1090</v>
      </c>
      <c r="D328" s="28" t="s">
        <v>1091</v>
      </c>
      <c r="E328" s="101" t="s">
        <v>1037</v>
      </c>
      <c r="F328" s="102">
        <f>+ SUMIF('Nhập kho T42024'!B:B, C328,'Nhập kho T42024'!F:F)</f>
        <v>0</v>
      </c>
      <c r="G328" s="100">
        <f>+ (SUMIF('Nhập kho T42024'!B:B, C328,'Nhập kho T42024'!G:G))*3500</f>
        <v>0</v>
      </c>
      <c r="H328" s="101"/>
      <c r="I328" s="101">
        <f>+ SUMIF('Doanh thu'!A:A, C328,'Doanh thu'!E:E)</f>
        <v>1</v>
      </c>
      <c r="J328" s="101">
        <f t="shared" si="53"/>
        <v>-1</v>
      </c>
      <c r="K328" s="103">
        <f t="shared" si="43"/>
        <v>9900</v>
      </c>
      <c r="L328" s="104">
        <f>+ SUMIF('Doanh thu'!A:A, C328,'Doanh thu'!F:F)</f>
        <v>9900</v>
      </c>
    </row>
    <row r="329" spans="2:12" ht="13.2">
      <c r="B329" s="101">
        <v>1</v>
      </c>
      <c r="C329" s="28" t="s">
        <v>1092</v>
      </c>
      <c r="D329" s="28" t="s">
        <v>1093</v>
      </c>
      <c r="E329" s="101" t="s">
        <v>1037</v>
      </c>
      <c r="F329" s="102">
        <f>+ SUMIF('Nhập kho T42024'!B:B, C329,'Nhập kho T42024'!F:F)</f>
        <v>0</v>
      </c>
      <c r="G329" s="100">
        <f>+ (SUMIF('Nhập kho T42024'!B:B, C329,'Nhập kho T42024'!G:G))*3500</f>
        <v>0</v>
      </c>
      <c r="H329" s="101"/>
      <c r="I329" s="101">
        <f>+ SUMIF('Doanh thu'!A:A, C329,'Doanh thu'!E:E)</f>
        <v>1</v>
      </c>
      <c r="J329" s="101">
        <f t="shared" si="53"/>
        <v>-1</v>
      </c>
      <c r="K329" s="103">
        <f t="shared" si="43"/>
        <v>9900</v>
      </c>
      <c r="L329" s="104">
        <f>+ SUMIF('Doanh thu'!A:A, C329,'Doanh thu'!F:F)</f>
        <v>9900</v>
      </c>
    </row>
    <row r="330" spans="2:12" ht="13.2">
      <c r="B330" s="101">
        <v>1</v>
      </c>
      <c r="C330" s="28" t="s">
        <v>1094</v>
      </c>
      <c r="D330" s="28" t="s">
        <v>1095</v>
      </c>
      <c r="E330" s="101" t="s">
        <v>1037</v>
      </c>
      <c r="F330" s="102">
        <f>+ SUMIF('Nhập kho T42024'!B:B, C330,'Nhập kho T42024'!F:F)</f>
        <v>0</v>
      </c>
      <c r="G330" s="100">
        <f>+ (SUMIF('Nhập kho T42024'!B:B, C330,'Nhập kho T42024'!G:G))*3500</f>
        <v>0</v>
      </c>
      <c r="H330" s="101"/>
      <c r="I330" s="101">
        <f>+ SUMIF('Doanh thu'!A:A, C330,'Doanh thu'!E:E)</f>
        <v>3</v>
      </c>
      <c r="J330" s="101">
        <f>F330-I330+3</f>
        <v>0</v>
      </c>
      <c r="K330" s="103">
        <f t="shared" si="43"/>
        <v>47700</v>
      </c>
      <c r="L330" s="104">
        <f>+ SUMIF('Doanh thu'!A:A, C330,'Doanh thu'!F:F)</f>
        <v>47700</v>
      </c>
    </row>
    <row r="331" spans="2:12" ht="13.2">
      <c r="B331" s="101">
        <v>1</v>
      </c>
      <c r="C331" s="28" t="s">
        <v>1096</v>
      </c>
      <c r="D331" s="28" t="s">
        <v>1097</v>
      </c>
      <c r="E331" s="101" t="s">
        <v>1037</v>
      </c>
      <c r="F331" s="102">
        <f>+ SUMIF('Nhập kho T42024'!B:B, C331,'Nhập kho T42024'!F:F)</f>
        <v>0</v>
      </c>
      <c r="G331" s="100">
        <f>+ (SUMIF('Nhập kho T42024'!B:B, C331,'Nhập kho T42024'!G:G))*3500</f>
        <v>0</v>
      </c>
      <c r="H331" s="101"/>
      <c r="I331" s="101">
        <f>+ SUMIF('Doanh thu'!A:A, C331,'Doanh thu'!E:E)</f>
        <v>2</v>
      </c>
      <c r="J331" s="101">
        <f>F331-I331+2</f>
        <v>0</v>
      </c>
      <c r="K331" s="103">
        <f t="shared" si="43"/>
        <v>31800</v>
      </c>
      <c r="L331" s="104">
        <f>+ SUMIF('Doanh thu'!A:A, C331,'Doanh thu'!F:F)</f>
        <v>31800</v>
      </c>
    </row>
    <row r="332" spans="2:12" ht="13.2">
      <c r="B332" s="101">
        <v>1</v>
      </c>
      <c r="C332" s="28" t="s">
        <v>1098</v>
      </c>
      <c r="D332" s="28" t="s">
        <v>1099</v>
      </c>
      <c r="E332" s="101" t="s">
        <v>1037</v>
      </c>
      <c r="F332" s="102">
        <f>+ SUMIF('Nhập kho T42024'!B:B, C332,'Nhập kho T42024'!F:F)</f>
        <v>0</v>
      </c>
      <c r="G332" s="100">
        <f>+ (SUMIF('Nhập kho T42024'!B:B, C332,'Nhập kho T42024'!G:G))*3500</f>
        <v>0</v>
      </c>
      <c r="H332" s="101"/>
      <c r="I332" s="101">
        <f>+ SUMIF('Doanh thu'!A:A, C332,'Doanh thu'!E:E)</f>
        <v>3</v>
      </c>
      <c r="J332" s="101">
        <f t="shared" ref="J332:J334" si="54">F332-I332+3</f>
        <v>0</v>
      </c>
      <c r="K332" s="103">
        <f t="shared" si="43"/>
        <v>47700</v>
      </c>
      <c r="L332" s="104">
        <f>+ SUMIF('Doanh thu'!A:A, C332,'Doanh thu'!F:F)</f>
        <v>47700</v>
      </c>
    </row>
    <row r="333" spans="2:12" ht="13.2">
      <c r="B333" s="101">
        <v>1</v>
      </c>
      <c r="C333" s="28" t="s">
        <v>1100</v>
      </c>
      <c r="D333" s="28" t="s">
        <v>1101</v>
      </c>
      <c r="E333" s="101" t="s">
        <v>1037</v>
      </c>
      <c r="F333" s="102">
        <f>+ SUMIF('Nhập kho T42024'!B:B, C333,'Nhập kho T42024'!F:F)</f>
        <v>0</v>
      </c>
      <c r="G333" s="100">
        <f>+ (SUMIF('Nhập kho T42024'!B:B, C333,'Nhập kho T42024'!G:G))*3500</f>
        <v>0</v>
      </c>
      <c r="H333" s="101"/>
      <c r="I333" s="101">
        <f>+ SUMIF('Doanh thu'!A:A, C333,'Doanh thu'!E:E)</f>
        <v>3</v>
      </c>
      <c r="J333" s="101">
        <f t="shared" si="54"/>
        <v>0</v>
      </c>
      <c r="K333" s="103">
        <f t="shared" si="43"/>
        <v>47138</v>
      </c>
      <c r="L333" s="104">
        <f>+ SUMIF('Doanh thu'!A:A, C333,'Doanh thu'!F:F)</f>
        <v>47138</v>
      </c>
    </row>
    <row r="334" spans="2:12" ht="13.2">
      <c r="B334" s="101">
        <v>1</v>
      </c>
      <c r="C334" s="28" t="s">
        <v>1102</v>
      </c>
      <c r="D334" s="28" t="s">
        <v>1103</v>
      </c>
      <c r="E334" s="101" t="s">
        <v>1037</v>
      </c>
      <c r="F334" s="102">
        <f>+ SUMIF('Nhập kho T42024'!B:B, C334,'Nhập kho T42024'!F:F)</f>
        <v>0</v>
      </c>
      <c r="G334" s="100">
        <f>+ (SUMIF('Nhập kho T42024'!B:B, C334,'Nhập kho T42024'!G:G))*3500</f>
        <v>0</v>
      </c>
      <c r="H334" s="101"/>
      <c r="I334" s="101">
        <f>+ SUMIF('Doanh thu'!A:A, C334,'Doanh thu'!E:E)</f>
        <v>3</v>
      </c>
      <c r="J334" s="101">
        <f t="shared" si="54"/>
        <v>0</v>
      </c>
      <c r="K334" s="103">
        <f t="shared" si="43"/>
        <v>59400</v>
      </c>
      <c r="L334" s="104">
        <f>+ SUMIF('Doanh thu'!A:A, C334,'Doanh thu'!F:F)</f>
        <v>59400</v>
      </c>
    </row>
    <row r="335" spans="2:12" ht="13.2">
      <c r="B335" s="101">
        <v>1</v>
      </c>
      <c r="C335" s="28" t="s">
        <v>1104</v>
      </c>
      <c r="D335" s="28" t="s">
        <v>1105</v>
      </c>
      <c r="E335" s="101" t="s">
        <v>1037</v>
      </c>
      <c r="F335" s="102">
        <f>+ SUMIF('Nhập kho T42024'!B:B, C335,'Nhập kho T42024'!F:F)</f>
        <v>0</v>
      </c>
      <c r="G335" s="100">
        <f>+ (SUMIF('Nhập kho T42024'!B:B, C335,'Nhập kho T42024'!G:G))*3500</f>
        <v>0</v>
      </c>
      <c r="H335" s="101"/>
      <c r="I335" s="101">
        <f>+ SUMIF('Doanh thu'!A:A, C335,'Doanh thu'!E:E)</f>
        <v>4</v>
      </c>
      <c r="J335" s="101">
        <f>F335-I335+4</f>
        <v>0</v>
      </c>
      <c r="K335" s="103">
        <f t="shared" si="43"/>
        <v>79200</v>
      </c>
      <c r="L335" s="104">
        <f>+ SUMIF('Doanh thu'!A:A, C335,'Doanh thu'!F:F)</f>
        <v>79200</v>
      </c>
    </row>
    <row r="336" spans="2:12" ht="13.2">
      <c r="B336" s="101">
        <v>1</v>
      </c>
      <c r="C336" s="28" t="s">
        <v>1106</v>
      </c>
      <c r="D336" s="28" t="s">
        <v>1107</v>
      </c>
      <c r="E336" s="101" t="s">
        <v>1037</v>
      </c>
      <c r="F336" s="102">
        <f>+ SUMIF('Nhập kho T42024'!B:B, C336,'Nhập kho T42024'!F:F)</f>
        <v>0</v>
      </c>
      <c r="G336" s="100">
        <f>+ (SUMIF('Nhập kho T42024'!B:B, C336,'Nhập kho T42024'!G:G))*3500</f>
        <v>0</v>
      </c>
      <c r="H336" s="101"/>
      <c r="I336" s="101">
        <f>+ SUMIF('Doanh thu'!A:A, C336,'Doanh thu'!E:E)</f>
        <v>5</v>
      </c>
      <c r="J336" s="101">
        <f>F336-I336+5</f>
        <v>0</v>
      </c>
      <c r="K336" s="103">
        <f t="shared" si="43"/>
        <v>99000</v>
      </c>
      <c r="L336" s="104">
        <f>+ SUMIF('Doanh thu'!A:A, C336,'Doanh thu'!F:F)</f>
        <v>99000</v>
      </c>
    </row>
    <row r="337" spans="2:12" ht="13.2">
      <c r="B337" s="101">
        <v>1</v>
      </c>
      <c r="C337" s="28" t="s">
        <v>1108</v>
      </c>
      <c r="D337" s="28" t="s">
        <v>1099</v>
      </c>
      <c r="E337" s="101" t="s">
        <v>1037</v>
      </c>
      <c r="F337" s="102">
        <f>+ SUMIF('Nhập kho T42024'!B:B, C337,'Nhập kho T42024'!F:F)</f>
        <v>0</v>
      </c>
      <c r="G337" s="100">
        <f>+ (SUMIF('Nhập kho T42024'!B:B, C337,'Nhập kho T42024'!G:G))*3500</f>
        <v>0</v>
      </c>
      <c r="H337" s="101"/>
      <c r="I337" s="101">
        <f>+ SUMIF('Doanh thu'!A:A, C337,'Doanh thu'!E:E)</f>
        <v>4</v>
      </c>
      <c r="J337" s="101">
        <f>F337-I337+4</f>
        <v>0</v>
      </c>
      <c r="K337" s="103">
        <f t="shared" si="43"/>
        <v>79200</v>
      </c>
      <c r="L337" s="104">
        <f>+ SUMIF('Doanh thu'!A:A, C337,'Doanh thu'!F:F)</f>
        <v>79200</v>
      </c>
    </row>
    <row r="338" spans="2:12" ht="13.2">
      <c r="B338" s="101">
        <v>1</v>
      </c>
      <c r="C338" s="28" t="s">
        <v>1109</v>
      </c>
      <c r="D338" s="28" t="s">
        <v>1110</v>
      </c>
      <c r="E338" s="101" t="s">
        <v>1037</v>
      </c>
      <c r="F338" s="102">
        <f>+ SUMIF('Nhập kho T42024'!B:B, C338,'Nhập kho T42024'!F:F)</f>
        <v>0</v>
      </c>
      <c r="G338" s="100">
        <f>+ (SUMIF('Nhập kho T42024'!B:B, C338,'Nhập kho T42024'!G:G))*3500</f>
        <v>0</v>
      </c>
      <c r="H338" s="101"/>
      <c r="I338" s="101">
        <f>+ SUMIF('Doanh thu'!A:A, C338,'Doanh thu'!E:E)</f>
        <v>2</v>
      </c>
      <c r="J338" s="101">
        <f>F338-I338+2</f>
        <v>0</v>
      </c>
      <c r="K338" s="103">
        <f t="shared" si="43"/>
        <v>39600</v>
      </c>
      <c r="L338" s="104">
        <f>+ SUMIF('Doanh thu'!A:A, C338,'Doanh thu'!F:F)</f>
        <v>39600</v>
      </c>
    </row>
    <row r="339" spans="2:12" ht="13.2">
      <c r="B339" s="101"/>
      <c r="C339" s="28"/>
      <c r="D339" s="28"/>
      <c r="E339" s="101"/>
      <c r="F339" s="102"/>
      <c r="G339" s="100"/>
      <c r="H339" s="101"/>
      <c r="I339" s="101"/>
      <c r="J339" s="101"/>
      <c r="K339" s="103"/>
      <c r="L339" s="104"/>
    </row>
    <row r="340" spans="2:12" ht="13.2">
      <c r="B340" s="101">
        <v>242</v>
      </c>
      <c r="C340" s="28"/>
      <c r="D340" s="30"/>
      <c r="E340" s="227"/>
      <c r="F340" s="156"/>
      <c r="G340" s="100"/>
      <c r="H340" s="101"/>
      <c r="I340" s="101">
        <f>+ SUMIF('Doanh thu'!A:A, C340,'Doanh thu'!E:E)</f>
        <v>0</v>
      </c>
      <c r="J340" s="101">
        <f t="shared" ref="J340:J375" si="55">F340-I340</f>
        <v>0</v>
      </c>
      <c r="K340" s="228"/>
      <c r="L340" s="136"/>
    </row>
    <row r="341" spans="2:12" ht="13.2">
      <c r="B341" s="101">
        <v>243</v>
      </c>
      <c r="C341" s="30"/>
      <c r="D341" s="30"/>
      <c r="E341" s="227"/>
      <c r="F341" s="156"/>
      <c r="G341" s="100"/>
      <c r="H341" s="101"/>
      <c r="I341" s="101">
        <f>+ SUMIF('Doanh thu'!A:A, C341,'Doanh thu'!E:E)</f>
        <v>0</v>
      </c>
      <c r="J341" s="101">
        <f t="shared" si="55"/>
        <v>0</v>
      </c>
      <c r="K341" s="228"/>
      <c r="L341" s="136"/>
    </row>
    <row r="342" spans="2:12" ht="13.2">
      <c r="B342" s="101">
        <v>244</v>
      </c>
      <c r="C342" s="30"/>
      <c r="D342" s="30"/>
      <c r="E342" s="227"/>
      <c r="F342" s="156"/>
      <c r="G342" s="100"/>
      <c r="H342" s="101"/>
      <c r="I342" s="101">
        <f>+ SUMIF('Doanh thu'!A:A, C342,'Doanh thu'!E:E)</f>
        <v>0</v>
      </c>
      <c r="J342" s="101">
        <f t="shared" si="55"/>
        <v>0</v>
      </c>
      <c r="K342" s="228"/>
      <c r="L342" s="136"/>
    </row>
    <row r="343" spans="2:12" ht="13.2">
      <c r="B343" s="101">
        <v>245</v>
      </c>
      <c r="C343" s="30"/>
      <c r="D343" s="30"/>
      <c r="E343" s="227"/>
      <c r="F343" s="156"/>
      <c r="G343" s="100"/>
      <c r="H343" s="101"/>
      <c r="I343" s="101">
        <f>+ SUMIF('Doanh thu'!A:A, C343,'Doanh thu'!E:E)</f>
        <v>0</v>
      </c>
      <c r="J343" s="101">
        <f t="shared" si="55"/>
        <v>0</v>
      </c>
      <c r="K343" s="228"/>
      <c r="L343" s="136"/>
    </row>
    <row r="344" spans="2:12" ht="13.2">
      <c r="B344" s="101">
        <v>246</v>
      </c>
      <c r="C344" s="30"/>
      <c r="D344" s="30"/>
      <c r="E344" s="227"/>
      <c r="F344" s="156"/>
      <c r="G344" s="100"/>
      <c r="H344" s="101"/>
      <c r="I344" s="101">
        <f>+ SUMIF('Doanh thu'!A:A, C344,'Doanh thu'!E:E)</f>
        <v>0</v>
      </c>
      <c r="J344" s="101">
        <f t="shared" si="55"/>
        <v>0</v>
      </c>
      <c r="K344" s="228"/>
      <c r="L344" s="136"/>
    </row>
    <row r="345" spans="2:12" ht="13.2">
      <c r="B345" s="101">
        <v>247</v>
      </c>
      <c r="C345" s="30"/>
      <c r="D345" s="30"/>
      <c r="E345" s="227"/>
      <c r="F345" s="156"/>
      <c r="G345" s="100"/>
      <c r="H345" s="101"/>
      <c r="I345" s="101">
        <f>+ SUMIF('Doanh thu'!A:A, C345,'Doanh thu'!E:E)</f>
        <v>0</v>
      </c>
      <c r="J345" s="101">
        <f t="shared" si="55"/>
        <v>0</v>
      </c>
      <c r="K345" s="228"/>
      <c r="L345" s="136"/>
    </row>
    <row r="346" spans="2:12" ht="13.2">
      <c r="B346" s="101">
        <v>248</v>
      </c>
      <c r="C346" s="30"/>
      <c r="D346" s="30"/>
      <c r="E346" s="227"/>
      <c r="F346" s="156"/>
      <c r="G346" s="100"/>
      <c r="H346" s="101"/>
      <c r="I346" s="101">
        <f>+ SUMIF('Doanh thu'!A:A, C346,'Doanh thu'!E:E)</f>
        <v>0</v>
      </c>
      <c r="J346" s="101">
        <f t="shared" si="55"/>
        <v>0</v>
      </c>
      <c r="K346" s="228"/>
      <c r="L346" s="136"/>
    </row>
    <row r="347" spans="2:12" ht="13.2">
      <c r="B347" s="101">
        <v>249</v>
      </c>
      <c r="C347" s="30"/>
      <c r="D347" s="30"/>
      <c r="E347" s="227"/>
      <c r="F347" s="156"/>
      <c r="G347" s="100"/>
      <c r="H347" s="101"/>
      <c r="I347" s="101">
        <f>+ SUMIF('Doanh thu'!A:A, C347,'Doanh thu'!E:E)</f>
        <v>0</v>
      </c>
      <c r="J347" s="101">
        <f t="shared" si="55"/>
        <v>0</v>
      </c>
      <c r="K347" s="228"/>
      <c r="L347" s="136"/>
    </row>
    <row r="348" spans="2:12" ht="13.2">
      <c r="B348" s="101">
        <v>250</v>
      </c>
      <c r="C348" s="30"/>
      <c r="D348" s="30"/>
      <c r="E348" s="227"/>
      <c r="F348" s="156"/>
      <c r="G348" s="100"/>
      <c r="H348" s="101"/>
      <c r="I348" s="101">
        <f>+ SUMIF('Doanh thu'!A:A, C348,'Doanh thu'!E:E)</f>
        <v>0</v>
      </c>
      <c r="J348" s="101">
        <f t="shared" si="55"/>
        <v>0</v>
      </c>
      <c r="K348" s="228"/>
      <c r="L348" s="136"/>
    </row>
    <row r="349" spans="2:12" ht="13.2">
      <c r="B349" s="101">
        <v>251</v>
      </c>
      <c r="C349" s="30"/>
      <c r="D349" s="30"/>
      <c r="E349" s="227"/>
      <c r="F349" s="156"/>
      <c r="G349" s="100"/>
      <c r="H349" s="101"/>
      <c r="I349" s="101">
        <f>+ SUMIF('Doanh thu'!A:A, C349,'Doanh thu'!E:E)</f>
        <v>0</v>
      </c>
      <c r="J349" s="101">
        <f t="shared" si="55"/>
        <v>0</v>
      </c>
      <c r="K349" s="228"/>
      <c r="L349" s="136"/>
    </row>
    <row r="350" spans="2:12" ht="13.2">
      <c r="B350" s="101">
        <v>252</v>
      </c>
      <c r="C350" s="30"/>
      <c r="D350" s="30"/>
      <c r="E350" s="227"/>
      <c r="F350" s="156"/>
      <c r="G350" s="100"/>
      <c r="H350" s="101"/>
      <c r="I350" s="101">
        <f>+ SUMIF('Doanh thu'!A:A, C350,'Doanh thu'!E:E)</f>
        <v>0</v>
      </c>
      <c r="J350" s="101">
        <f t="shared" si="55"/>
        <v>0</v>
      </c>
      <c r="K350" s="228"/>
      <c r="L350" s="136"/>
    </row>
    <row r="351" spans="2:12" ht="13.2">
      <c r="B351" s="101">
        <v>253</v>
      </c>
      <c r="C351" s="30"/>
      <c r="D351" s="30"/>
      <c r="E351" s="227"/>
      <c r="F351" s="156"/>
      <c r="G351" s="100"/>
      <c r="H351" s="101"/>
      <c r="I351" s="101">
        <f>+ SUMIF('Doanh thu'!A:A, C351,'Doanh thu'!E:E)</f>
        <v>0</v>
      </c>
      <c r="J351" s="101">
        <f t="shared" si="55"/>
        <v>0</v>
      </c>
      <c r="K351" s="228"/>
      <c r="L351" s="136"/>
    </row>
    <row r="352" spans="2:12" ht="13.2">
      <c r="B352" s="101">
        <v>254</v>
      </c>
      <c r="C352" s="30"/>
      <c r="D352" s="30"/>
      <c r="E352" s="227"/>
      <c r="F352" s="156"/>
      <c r="G352" s="100"/>
      <c r="H352" s="101"/>
      <c r="I352" s="101">
        <f>+ SUMIF('Doanh thu'!A:A, C352,'Doanh thu'!E:E)</f>
        <v>0</v>
      </c>
      <c r="J352" s="101">
        <f t="shared" si="55"/>
        <v>0</v>
      </c>
      <c r="K352" s="228"/>
      <c r="L352" s="136"/>
    </row>
    <row r="353" spans="2:12" ht="13.2">
      <c r="B353" s="101">
        <v>255</v>
      </c>
      <c r="C353" s="30"/>
      <c r="D353" s="30"/>
      <c r="E353" s="227"/>
      <c r="F353" s="156"/>
      <c r="G353" s="100"/>
      <c r="H353" s="101"/>
      <c r="I353" s="101">
        <f>+ SUMIF('Doanh thu'!A:A, C353,'Doanh thu'!E:E)</f>
        <v>0</v>
      </c>
      <c r="J353" s="101">
        <f t="shared" si="55"/>
        <v>0</v>
      </c>
      <c r="K353" s="228"/>
      <c r="L353" s="136"/>
    </row>
    <row r="354" spans="2:12" ht="13.2">
      <c r="B354" s="101">
        <v>256</v>
      </c>
      <c r="C354" s="30"/>
      <c r="D354" s="30"/>
      <c r="E354" s="227"/>
      <c r="F354" s="156"/>
      <c r="G354" s="100"/>
      <c r="H354" s="101"/>
      <c r="I354" s="101">
        <f>+ SUMIF('Doanh thu'!A:A, C354,'Doanh thu'!E:E)</f>
        <v>0</v>
      </c>
      <c r="J354" s="101">
        <f t="shared" si="55"/>
        <v>0</v>
      </c>
      <c r="K354" s="228"/>
      <c r="L354" s="136"/>
    </row>
    <row r="355" spans="2:12" ht="13.2">
      <c r="B355" s="101">
        <v>257</v>
      </c>
      <c r="C355" s="30"/>
      <c r="D355" s="30"/>
      <c r="E355" s="227"/>
      <c r="F355" s="156"/>
      <c r="G355" s="100"/>
      <c r="H355" s="101"/>
      <c r="I355" s="101">
        <f>+ SUMIF('Doanh thu'!A:A, C355,'Doanh thu'!E:E)</f>
        <v>0</v>
      </c>
      <c r="J355" s="101">
        <f t="shared" si="55"/>
        <v>0</v>
      </c>
      <c r="K355" s="228"/>
      <c r="L355" s="136"/>
    </row>
    <row r="356" spans="2:12" ht="13.2">
      <c r="B356" s="101">
        <v>258</v>
      </c>
      <c r="C356" s="30"/>
      <c r="D356" s="30"/>
      <c r="E356" s="227"/>
      <c r="F356" s="156"/>
      <c r="G356" s="100"/>
      <c r="H356" s="101"/>
      <c r="I356" s="101">
        <f>+ SUMIF('Doanh thu'!A:A, C356,'Doanh thu'!E:E)</f>
        <v>0</v>
      </c>
      <c r="J356" s="101">
        <f t="shared" si="55"/>
        <v>0</v>
      </c>
      <c r="K356" s="228"/>
      <c r="L356" s="136"/>
    </row>
    <row r="357" spans="2:12" ht="13.2">
      <c r="B357" s="101">
        <v>259</v>
      </c>
      <c r="C357" s="30"/>
      <c r="D357" s="30"/>
      <c r="E357" s="227"/>
      <c r="F357" s="156"/>
      <c r="G357" s="100"/>
      <c r="H357" s="101"/>
      <c r="I357" s="101">
        <f>+ SUMIF('Doanh thu'!A:A, C357,'Doanh thu'!E:E)</f>
        <v>0</v>
      </c>
      <c r="J357" s="101">
        <f t="shared" si="55"/>
        <v>0</v>
      </c>
      <c r="K357" s="228"/>
      <c r="L357" s="136"/>
    </row>
    <row r="358" spans="2:12" ht="13.2">
      <c r="B358" s="101">
        <v>260</v>
      </c>
      <c r="C358" s="30"/>
      <c r="D358" s="30"/>
      <c r="E358" s="227"/>
      <c r="F358" s="156"/>
      <c r="G358" s="100"/>
      <c r="H358" s="101"/>
      <c r="I358" s="101">
        <f>+ SUMIF('Doanh thu'!A:A, C358,'Doanh thu'!E:E)</f>
        <v>0</v>
      </c>
      <c r="J358" s="101">
        <f t="shared" si="55"/>
        <v>0</v>
      </c>
      <c r="K358" s="228"/>
      <c r="L358" s="136"/>
    </row>
    <row r="359" spans="2:12" ht="13.2">
      <c r="B359" s="101">
        <v>261</v>
      </c>
      <c r="C359" s="30"/>
      <c r="D359" s="30"/>
      <c r="E359" s="227"/>
      <c r="F359" s="156"/>
      <c r="G359" s="100"/>
      <c r="H359" s="101"/>
      <c r="I359" s="101">
        <f>+ SUMIF('Doanh thu'!A:A, C359,'Doanh thu'!E:E)</f>
        <v>0</v>
      </c>
      <c r="J359" s="101">
        <f t="shared" si="55"/>
        <v>0</v>
      </c>
      <c r="K359" s="228"/>
      <c r="L359" s="136"/>
    </row>
    <row r="360" spans="2:12" ht="13.2">
      <c r="B360" s="101">
        <v>262</v>
      </c>
      <c r="C360" s="30"/>
      <c r="D360" s="30"/>
      <c r="E360" s="227"/>
      <c r="F360" s="156"/>
      <c r="G360" s="100"/>
      <c r="H360" s="101"/>
      <c r="I360" s="101">
        <f>+ SUMIF('Doanh thu'!A:A, C360,'Doanh thu'!E:E)</f>
        <v>0</v>
      </c>
      <c r="J360" s="101">
        <f t="shared" si="55"/>
        <v>0</v>
      </c>
      <c r="K360" s="228"/>
      <c r="L360" s="136"/>
    </row>
    <row r="361" spans="2:12" ht="13.2">
      <c r="B361" s="101">
        <v>263</v>
      </c>
      <c r="C361" s="30"/>
      <c r="D361" s="30"/>
      <c r="E361" s="227"/>
      <c r="F361" s="156"/>
      <c r="G361" s="100"/>
      <c r="H361" s="101"/>
      <c r="I361" s="101">
        <f>+ SUMIF('Doanh thu'!A:A, C361,'Doanh thu'!E:E)</f>
        <v>0</v>
      </c>
      <c r="J361" s="101">
        <f t="shared" si="55"/>
        <v>0</v>
      </c>
      <c r="K361" s="228"/>
      <c r="L361" s="136"/>
    </row>
    <row r="362" spans="2:12" ht="13.2">
      <c r="B362" s="101">
        <v>264</v>
      </c>
      <c r="C362" s="30"/>
      <c r="D362" s="30"/>
      <c r="E362" s="227"/>
      <c r="F362" s="156"/>
      <c r="G362" s="100"/>
      <c r="H362" s="101"/>
      <c r="I362" s="101">
        <f>+ SUMIF('Doanh thu'!A:A, C362,'Doanh thu'!E:E)</f>
        <v>0</v>
      </c>
      <c r="J362" s="101">
        <f t="shared" si="55"/>
        <v>0</v>
      </c>
      <c r="K362" s="228"/>
      <c r="L362" s="136"/>
    </row>
    <row r="363" spans="2:12" ht="13.2">
      <c r="B363" s="101">
        <v>265</v>
      </c>
      <c r="C363" s="30"/>
      <c r="D363" s="30"/>
      <c r="E363" s="227"/>
      <c r="F363" s="156"/>
      <c r="G363" s="100"/>
      <c r="H363" s="101"/>
      <c r="I363" s="101">
        <f>+ SUMIF('Doanh thu'!A:A, C363,'Doanh thu'!E:E)</f>
        <v>0</v>
      </c>
      <c r="J363" s="101">
        <f t="shared" si="55"/>
        <v>0</v>
      </c>
      <c r="K363" s="228"/>
      <c r="L363" s="136"/>
    </row>
    <row r="364" spans="2:12" ht="13.2">
      <c r="B364" s="101">
        <v>266</v>
      </c>
      <c r="C364" s="30"/>
      <c r="D364" s="30"/>
      <c r="E364" s="227"/>
      <c r="F364" s="156"/>
      <c r="G364" s="100"/>
      <c r="H364" s="101"/>
      <c r="I364" s="101">
        <f>+ SUMIF('Doanh thu'!A:A, C364,'Doanh thu'!E:E)</f>
        <v>0</v>
      </c>
      <c r="J364" s="101">
        <f t="shared" si="55"/>
        <v>0</v>
      </c>
      <c r="K364" s="228"/>
      <c r="L364" s="136"/>
    </row>
    <row r="365" spans="2:12" ht="13.2">
      <c r="B365" s="101">
        <v>267</v>
      </c>
      <c r="E365" s="75"/>
      <c r="F365" s="138"/>
      <c r="G365" s="159"/>
      <c r="H365" s="66"/>
      <c r="I365" s="101">
        <f>+ SUMIF('Doanh thu'!A:A, C365,'Doanh thu'!E:E)</f>
        <v>0</v>
      </c>
      <c r="J365" s="101">
        <f t="shared" si="55"/>
        <v>0</v>
      </c>
      <c r="K365" s="140"/>
      <c r="L365" s="136"/>
    </row>
    <row r="366" spans="2:12" ht="13.2">
      <c r="B366" s="101">
        <v>268</v>
      </c>
      <c r="E366" s="75"/>
      <c r="F366" s="138"/>
      <c r="G366" s="159"/>
      <c r="H366" s="66"/>
      <c r="I366" s="101">
        <f>+ SUMIF('Doanh thu'!A:A, C366,'Doanh thu'!E:E)</f>
        <v>0</v>
      </c>
      <c r="J366" s="101">
        <f t="shared" si="55"/>
        <v>0</v>
      </c>
      <c r="K366" s="140"/>
      <c r="L366" s="136"/>
    </row>
    <row r="367" spans="2:12" ht="13.2">
      <c r="B367" s="101">
        <v>269</v>
      </c>
      <c r="E367" s="75"/>
      <c r="F367" s="138"/>
      <c r="G367" s="159"/>
      <c r="H367" s="66"/>
      <c r="I367" s="101">
        <f>+ SUMIF('Doanh thu'!A:A, C367,'Doanh thu'!E:E)</f>
        <v>0</v>
      </c>
      <c r="J367" s="101">
        <f t="shared" si="55"/>
        <v>0</v>
      </c>
      <c r="K367" s="140"/>
      <c r="L367" s="136"/>
    </row>
    <row r="368" spans="2:12" ht="13.2">
      <c r="B368" s="101">
        <v>270</v>
      </c>
      <c r="E368" s="75"/>
      <c r="F368" s="138"/>
      <c r="G368" s="159"/>
      <c r="H368" s="66"/>
      <c r="I368" s="101">
        <f>+ SUMIF('Doanh thu'!A:A, C368,'Doanh thu'!E:E)</f>
        <v>0</v>
      </c>
      <c r="J368" s="101">
        <f t="shared" si="55"/>
        <v>0</v>
      </c>
      <c r="K368" s="140"/>
      <c r="L368" s="136"/>
    </row>
    <row r="369" spans="2:12" ht="13.2">
      <c r="B369" s="101">
        <v>271</v>
      </c>
      <c r="E369" s="75"/>
      <c r="F369" s="138"/>
      <c r="G369" s="159"/>
      <c r="H369" s="66"/>
      <c r="I369" s="101">
        <f>+ SUMIF('Doanh thu'!A:A, C369,'Doanh thu'!E:E)</f>
        <v>0</v>
      </c>
      <c r="J369" s="101">
        <f t="shared" si="55"/>
        <v>0</v>
      </c>
      <c r="K369" s="140"/>
      <c r="L369" s="136"/>
    </row>
    <row r="370" spans="2:12" ht="13.2">
      <c r="B370" s="101">
        <v>272</v>
      </c>
      <c r="E370" s="75"/>
      <c r="F370" s="138"/>
      <c r="G370" s="159"/>
      <c r="H370" s="66"/>
      <c r="I370" s="101">
        <f>+ SUMIF('Doanh thu'!A:A, C370,'Doanh thu'!E:E)</f>
        <v>0</v>
      </c>
      <c r="J370" s="101">
        <f t="shared" si="55"/>
        <v>0</v>
      </c>
      <c r="K370" s="140"/>
      <c r="L370" s="136"/>
    </row>
    <row r="371" spans="2:12" ht="13.2">
      <c r="B371" s="101">
        <v>273</v>
      </c>
      <c r="E371" s="75"/>
      <c r="F371" s="138"/>
      <c r="G371" s="159"/>
      <c r="H371" s="66"/>
      <c r="I371" s="101">
        <f>+ SUMIF('Doanh thu'!A:A, C371,'Doanh thu'!E:E)</f>
        <v>0</v>
      </c>
      <c r="J371" s="101">
        <f t="shared" si="55"/>
        <v>0</v>
      </c>
      <c r="K371" s="140"/>
      <c r="L371" s="136"/>
    </row>
    <row r="372" spans="2:12" ht="13.2">
      <c r="B372" s="101">
        <v>274</v>
      </c>
      <c r="E372" s="75"/>
      <c r="F372" s="138"/>
      <c r="G372" s="159"/>
      <c r="H372" s="66"/>
      <c r="I372" s="101">
        <f>+ SUMIF('Doanh thu'!A:A, C372,'Doanh thu'!E:E)</f>
        <v>0</v>
      </c>
      <c r="J372" s="101">
        <f t="shared" si="55"/>
        <v>0</v>
      </c>
      <c r="K372" s="140"/>
      <c r="L372" s="136"/>
    </row>
    <row r="373" spans="2:12" ht="13.2">
      <c r="B373" s="101">
        <v>275</v>
      </c>
      <c r="E373" s="75"/>
      <c r="F373" s="138"/>
      <c r="G373" s="159"/>
      <c r="H373" s="66"/>
      <c r="I373" s="101">
        <f>+ SUMIF('Doanh thu'!A:A, C373,'Doanh thu'!E:E)</f>
        <v>0</v>
      </c>
      <c r="J373" s="101">
        <f t="shared" si="55"/>
        <v>0</v>
      </c>
      <c r="K373" s="140"/>
      <c r="L373" s="136"/>
    </row>
    <row r="374" spans="2:12" ht="13.2">
      <c r="B374" s="101">
        <v>276</v>
      </c>
      <c r="F374" s="138"/>
      <c r="G374" s="159"/>
      <c r="H374" s="66"/>
      <c r="I374" s="101">
        <f>+ SUMIF('Doanh thu'!A:A, C374,'Doanh thu'!E:E)</f>
        <v>0</v>
      </c>
      <c r="J374" s="101">
        <f t="shared" si="55"/>
        <v>0</v>
      </c>
      <c r="K374" s="140"/>
      <c r="L374" s="136"/>
    </row>
    <row r="375" spans="2:12" ht="13.2">
      <c r="B375" s="101">
        <v>277</v>
      </c>
      <c r="F375" s="138"/>
      <c r="G375" s="159"/>
      <c r="H375" s="66"/>
      <c r="I375" s="101">
        <f>+ SUMIF('Doanh thu'!A:A, C375,'Doanh thu'!E:E)</f>
        <v>0</v>
      </c>
      <c r="J375" s="101">
        <f t="shared" si="55"/>
        <v>0</v>
      </c>
      <c r="K375" s="140"/>
      <c r="L375" s="136"/>
    </row>
    <row r="376" spans="2:12" ht="13.2">
      <c r="F376" s="138"/>
      <c r="G376" s="2"/>
      <c r="H376" s="139"/>
      <c r="I376" s="139"/>
      <c r="J376" s="139"/>
      <c r="K376" s="140"/>
      <c r="L376" s="136"/>
    </row>
    <row r="377" spans="2:12" ht="13.2">
      <c r="F377" s="138"/>
      <c r="G377" s="2"/>
      <c r="H377" s="139"/>
      <c r="I377" s="139"/>
      <c r="J377" s="139"/>
      <c r="K377" s="140"/>
      <c r="L377" s="136"/>
    </row>
    <row r="378" spans="2:12" ht="13.2">
      <c r="F378" s="138"/>
      <c r="G378" s="2"/>
      <c r="H378" s="139"/>
      <c r="I378" s="139"/>
      <c r="J378" s="139"/>
      <c r="K378" s="140"/>
      <c r="L378" s="136"/>
    </row>
    <row r="379" spans="2:12" ht="13.2">
      <c r="F379" s="138"/>
      <c r="G379" s="2"/>
      <c r="H379" s="139"/>
      <c r="I379" s="139"/>
      <c r="J379" s="139"/>
      <c r="K379" s="140"/>
      <c r="L379" s="136"/>
    </row>
    <row r="380" spans="2:12" ht="13.2">
      <c r="F380" s="138"/>
      <c r="G380" s="2"/>
      <c r="H380" s="139"/>
      <c r="I380" s="139"/>
      <c r="J380" s="139"/>
      <c r="K380" s="140"/>
      <c r="L380" s="136"/>
    </row>
    <row r="381" spans="2:12" ht="13.2">
      <c r="F381" s="138"/>
      <c r="G381" s="2"/>
      <c r="H381" s="139"/>
      <c r="I381" s="139"/>
      <c r="J381" s="139"/>
      <c r="K381" s="140"/>
      <c r="L381" s="136"/>
    </row>
    <row r="382" spans="2:12" ht="13.2">
      <c r="F382" s="138"/>
      <c r="G382" s="2"/>
      <c r="H382" s="139"/>
      <c r="I382" s="139"/>
      <c r="J382" s="139"/>
      <c r="K382" s="140"/>
      <c r="L382" s="136"/>
    </row>
    <row r="383" spans="2:12" ht="13.2">
      <c r="F383" s="138"/>
      <c r="G383" s="2"/>
      <c r="H383" s="139"/>
      <c r="I383" s="139"/>
      <c r="J383" s="139"/>
      <c r="K383" s="140"/>
      <c r="L383" s="136"/>
    </row>
    <row r="384" spans="2:12" ht="13.2">
      <c r="F384" s="138"/>
      <c r="G384" s="2"/>
      <c r="H384" s="139"/>
      <c r="I384" s="139"/>
      <c r="J384" s="139"/>
      <c r="K384" s="140"/>
      <c r="L384" s="136"/>
    </row>
    <row r="385" spans="6:12" ht="13.2">
      <c r="F385" s="138"/>
      <c r="G385" s="2"/>
      <c r="H385" s="139"/>
      <c r="I385" s="139"/>
      <c r="J385" s="139"/>
      <c r="K385" s="140"/>
      <c r="L385" s="136"/>
    </row>
    <row r="386" spans="6:12" ht="13.2">
      <c r="F386" s="138"/>
      <c r="G386" s="2"/>
      <c r="H386" s="139"/>
      <c r="I386" s="139"/>
      <c r="J386" s="139"/>
      <c r="K386" s="140"/>
      <c r="L386" s="136"/>
    </row>
    <row r="387" spans="6:12" ht="13.2">
      <c r="F387" s="138"/>
      <c r="G387" s="2"/>
      <c r="H387" s="139"/>
      <c r="I387" s="139"/>
      <c r="J387" s="139"/>
      <c r="K387" s="140"/>
      <c r="L387" s="136"/>
    </row>
    <row r="388" spans="6:12" ht="13.2">
      <c r="F388" s="138"/>
      <c r="G388" s="2"/>
      <c r="H388" s="139"/>
      <c r="I388" s="139"/>
      <c r="J388" s="139"/>
      <c r="K388" s="140"/>
      <c r="L388" s="136"/>
    </row>
    <row r="389" spans="6:12" ht="13.2">
      <c r="F389" s="138"/>
      <c r="G389" s="2"/>
      <c r="H389" s="139"/>
      <c r="I389" s="139"/>
      <c r="J389" s="139"/>
      <c r="K389" s="140"/>
      <c r="L389" s="136"/>
    </row>
    <row r="390" spans="6:12" ht="13.2">
      <c r="F390" s="138"/>
      <c r="G390" s="2"/>
      <c r="H390" s="139"/>
      <c r="I390" s="139"/>
      <c r="J390" s="139"/>
      <c r="K390" s="140"/>
      <c r="L390" s="136"/>
    </row>
    <row r="391" spans="6:12" ht="13.2">
      <c r="F391" s="138"/>
      <c r="G391" s="2"/>
      <c r="H391" s="139"/>
      <c r="I391" s="139"/>
      <c r="J391" s="139"/>
      <c r="K391" s="140"/>
      <c r="L391" s="136"/>
    </row>
    <row r="392" spans="6:12" ht="13.2">
      <c r="F392" s="138"/>
      <c r="G392" s="2"/>
      <c r="H392" s="139"/>
      <c r="I392" s="139"/>
      <c r="J392" s="139"/>
      <c r="K392" s="140"/>
      <c r="L392" s="136"/>
    </row>
    <row r="393" spans="6:12" ht="13.2">
      <c r="F393" s="138"/>
      <c r="G393" s="2"/>
      <c r="H393" s="139"/>
      <c r="I393" s="139"/>
      <c r="J393" s="139"/>
      <c r="K393" s="140"/>
      <c r="L393" s="136"/>
    </row>
    <row r="394" spans="6:12" ht="13.2">
      <c r="F394" s="138"/>
      <c r="G394" s="2"/>
      <c r="H394" s="139"/>
      <c r="I394" s="139"/>
      <c r="J394" s="139"/>
      <c r="K394" s="140"/>
      <c r="L394" s="136"/>
    </row>
    <row r="395" spans="6:12" ht="13.2">
      <c r="F395" s="138"/>
      <c r="G395" s="2"/>
      <c r="H395" s="139"/>
      <c r="I395" s="139"/>
      <c r="J395" s="139"/>
      <c r="K395" s="140"/>
      <c r="L395" s="136"/>
    </row>
    <row r="396" spans="6:12" ht="13.2">
      <c r="F396" s="138"/>
      <c r="G396" s="2"/>
      <c r="H396" s="139"/>
      <c r="I396" s="139"/>
      <c r="J396" s="139"/>
      <c r="K396" s="140"/>
      <c r="L396" s="136"/>
    </row>
    <row r="397" spans="6:12" ht="13.2">
      <c r="F397" s="138"/>
      <c r="G397" s="2"/>
      <c r="H397" s="139"/>
      <c r="I397" s="139"/>
      <c r="J397" s="139"/>
      <c r="K397" s="140"/>
      <c r="L397" s="136"/>
    </row>
    <row r="398" spans="6:12" ht="13.2">
      <c r="F398" s="138"/>
      <c r="G398" s="2"/>
      <c r="H398" s="139"/>
      <c r="I398" s="139"/>
      <c r="J398" s="139"/>
      <c r="K398" s="140"/>
      <c r="L398" s="136"/>
    </row>
    <row r="399" spans="6:12" ht="13.2">
      <c r="F399" s="138"/>
      <c r="G399" s="2"/>
      <c r="H399" s="139"/>
      <c r="I399" s="139"/>
      <c r="J399" s="139"/>
      <c r="K399" s="140"/>
      <c r="L399" s="136"/>
    </row>
    <row r="400" spans="6:12" ht="13.2">
      <c r="F400" s="138"/>
      <c r="G400" s="2"/>
      <c r="H400" s="139"/>
      <c r="I400" s="139"/>
      <c r="J400" s="139"/>
      <c r="K400" s="140"/>
      <c r="L400" s="136"/>
    </row>
    <row r="401" spans="6:12" ht="13.2">
      <c r="F401" s="138"/>
      <c r="G401" s="2"/>
      <c r="H401" s="139"/>
      <c r="I401" s="139"/>
      <c r="J401" s="139"/>
      <c r="K401" s="140"/>
      <c r="L401" s="136"/>
    </row>
    <row r="402" spans="6:12" ht="13.2">
      <c r="F402" s="138"/>
      <c r="G402" s="2"/>
      <c r="H402" s="139"/>
      <c r="I402" s="139"/>
      <c r="J402" s="139"/>
      <c r="K402" s="140"/>
      <c r="L402" s="136"/>
    </row>
    <row r="403" spans="6:12" ht="13.2">
      <c r="F403" s="138"/>
      <c r="G403" s="2"/>
      <c r="H403" s="139"/>
      <c r="I403" s="139"/>
      <c r="J403" s="139"/>
      <c r="K403" s="140"/>
      <c r="L403" s="136"/>
    </row>
    <row r="404" spans="6:12" ht="13.2">
      <c r="F404" s="138"/>
      <c r="G404" s="2"/>
      <c r="H404" s="139"/>
      <c r="I404" s="139"/>
      <c r="J404" s="139"/>
      <c r="K404" s="140"/>
      <c r="L404" s="136"/>
    </row>
    <row r="405" spans="6:12" ht="13.2">
      <c r="F405" s="138"/>
      <c r="G405" s="2"/>
      <c r="H405" s="139"/>
      <c r="I405" s="139"/>
      <c r="J405" s="139"/>
      <c r="K405" s="140"/>
      <c r="L405" s="136"/>
    </row>
    <row r="406" spans="6:12" ht="13.2">
      <c r="F406" s="138"/>
      <c r="G406" s="2"/>
      <c r="H406" s="139"/>
      <c r="I406" s="139"/>
      <c r="J406" s="139"/>
      <c r="K406" s="140"/>
      <c r="L406" s="136"/>
    </row>
    <row r="407" spans="6:12" ht="13.2">
      <c r="F407" s="138"/>
      <c r="G407" s="2"/>
      <c r="H407" s="139"/>
      <c r="I407" s="139"/>
      <c r="J407" s="139"/>
      <c r="K407" s="140"/>
      <c r="L407" s="136"/>
    </row>
    <row r="408" spans="6:12" ht="13.2">
      <c r="F408" s="138"/>
      <c r="G408" s="2"/>
      <c r="H408" s="139"/>
      <c r="I408" s="139"/>
      <c r="J408" s="139"/>
      <c r="K408" s="140"/>
      <c r="L408" s="136"/>
    </row>
    <row r="409" spans="6:12" ht="13.2">
      <c r="F409" s="138"/>
      <c r="G409" s="2"/>
      <c r="H409" s="139"/>
      <c r="I409" s="139"/>
      <c r="J409" s="139"/>
      <c r="K409" s="140"/>
      <c r="L409" s="136"/>
    </row>
    <row r="410" spans="6:12" ht="13.2">
      <c r="F410" s="138"/>
      <c r="G410" s="2"/>
      <c r="H410" s="139"/>
      <c r="I410" s="139"/>
      <c r="J410" s="139"/>
      <c r="K410" s="140"/>
      <c r="L410" s="136"/>
    </row>
    <row r="411" spans="6:12" ht="13.2">
      <c r="F411" s="138"/>
      <c r="G411" s="2"/>
      <c r="H411" s="139"/>
      <c r="I411" s="139"/>
      <c r="J411" s="139"/>
      <c r="K411" s="140"/>
      <c r="L411" s="136"/>
    </row>
    <row r="412" spans="6:12" ht="13.2">
      <c r="F412" s="138"/>
      <c r="G412" s="2"/>
      <c r="H412" s="139"/>
      <c r="I412" s="139"/>
      <c r="J412" s="139"/>
      <c r="K412" s="140"/>
      <c r="L412" s="136"/>
    </row>
    <row r="413" spans="6:12" ht="13.2">
      <c r="F413" s="138"/>
      <c r="G413" s="2"/>
      <c r="H413" s="139"/>
      <c r="I413" s="139"/>
      <c r="J413" s="139"/>
      <c r="K413" s="140"/>
      <c r="L413" s="136"/>
    </row>
    <row r="414" spans="6:12" ht="13.2">
      <c r="F414" s="138"/>
      <c r="G414" s="2"/>
      <c r="H414" s="139"/>
      <c r="I414" s="139"/>
      <c r="J414" s="139"/>
      <c r="K414" s="140"/>
      <c r="L414" s="136"/>
    </row>
    <row r="415" spans="6:12" ht="13.2">
      <c r="F415" s="138"/>
      <c r="G415" s="2"/>
      <c r="H415" s="139"/>
      <c r="I415" s="139"/>
      <c r="J415" s="139"/>
      <c r="K415" s="140"/>
      <c r="L415" s="136"/>
    </row>
    <row r="416" spans="6:12" ht="13.2">
      <c r="F416" s="138"/>
      <c r="G416" s="2"/>
      <c r="H416" s="139"/>
      <c r="I416" s="139"/>
      <c r="J416" s="139"/>
      <c r="K416" s="140"/>
      <c r="L416" s="136"/>
    </row>
    <row r="417" spans="6:12" ht="13.2">
      <c r="F417" s="138"/>
      <c r="G417" s="2"/>
      <c r="H417" s="139"/>
      <c r="I417" s="139"/>
      <c r="J417" s="139"/>
      <c r="K417" s="140"/>
      <c r="L417" s="136"/>
    </row>
    <row r="418" spans="6:12" ht="13.2">
      <c r="F418" s="138"/>
      <c r="G418" s="2"/>
      <c r="H418" s="139"/>
      <c r="I418" s="139"/>
      <c r="J418" s="139"/>
      <c r="K418" s="140"/>
      <c r="L418" s="136"/>
    </row>
    <row r="419" spans="6:12" ht="13.2">
      <c r="F419" s="138"/>
      <c r="G419" s="2"/>
      <c r="H419" s="139"/>
      <c r="I419" s="139"/>
      <c r="J419" s="139"/>
      <c r="K419" s="140"/>
      <c r="L419" s="136"/>
    </row>
    <row r="420" spans="6:12" ht="13.2">
      <c r="F420" s="138"/>
      <c r="G420" s="2"/>
      <c r="H420" s="139"/>
      <c r="I420" s="139"/>
      <c r="J420" s="139"/>
      <c r="K420" s="140"/>
      <c r="L420" s="136"/>
    </row>
    <row r="421" spans="6:12" ht="13.2">
      <c r="F421" s="138"/>
      <c r="G421" s="2"/>
      <c r="H421" s="139"/>
      <c r="I421" s="139"/>
      <c r="J421" s="139"/>
      <c r="K421" s="140"/>
      <c r="L421" s="136"/>
    </row>
    <row r="422" spans="6:12" ht="13.2">
      <c r="F422" s="138"/>
      <c r="G422" s="2"/>
      <c r="H422" s="139"/>
      <c r="I422" s="139"/>
      <c r="J422" s="139"/>
      <c r="K422" s="140"/>
      <c r="L422" s="136"/>
    </row>
    <row r="423" spans="6:12" ht="13.2">
      <c r="F423" s="138"/>
      <c r="G423" s="2"/>
      <c r="H423" s="139"/>
      <c r="I423" s="139"/>
      <c r="J423" s="139"/>
      <c r="K423" s="140"/>
      <c r="L423" s="136"/>
    </row>
    <row r="424" spans="6:12" ht="13.2">
      <c r="F424" s="138"/>
      <c r="G424" s="2"/>
      <c r="H424" s="139"/>
      <c r="I424" s="139"/>
      <c r="J424" s="139"/>
      <c r="K424" s="140"/>
      <c r="L424" s="136"/>
    </row>
    <row r="425" spans="6:12" ht="13.2">
      <c r="F425" s="138"/>
      <c r="G425" s="2"/>
      <c r="H425" s="139"/>
      <c r="I425" s="139"/>
      <c r="J425" s="139"/>
      <c r="K425" s="140"/>
      <c r="L425" s="136"/>
    </row>
    <row r="426" spans="6:12" ht="13.2">
      <c r="F426" s="138"/>
      <c r="G426" s="2"/>
      <c r="H426" s="139"/>
      <c r="I426" s="139"/>
      <c r="J426" s="139"/>
      <c r="K426" s="140"/>
      <c r="L426" s="136"/>
    </row>
    <row r="427" spans="6:12" ht="13.2">
      <c r="F427" s="138"/>
      <c r="G427" s="2"/>
      <c r="H427" s="139"/>
      <c r="I427" s="139"/>
      <c r="J427" s="139"/>
      <c r="K427" s="140"/>
      <c r="L427" s="136"/>
    </row>
    <row r="428" spans="6:12" ht="13.2">
      <c r="F428" s="138"/>
      <c r="G428" s="2"/>
      <c r="H428" s="139"/>
      <c r="I428" s="139"/>
      <c r="J428" s="139"/>
      <c r="K428" s="140"/>
      <c r="L428" s="136"/>
    </row>
    <row r="429" spans="6:12" ht="13.2">
      <c r="F429" s="138"/>
      <c r="G429" s="2"/>
      <c r="H429" s="139"/>
      <c r="I429" s="139"/>
      <c r="J429" s="139"/>
      <c r="K429" s="140"/>
      <c r="L429" s="136"/>
    </row>
    <row r="430" spans="6:12" ht="13.2">
      <c r="F430" s="138"/>
      <c r="G430" s="2"/>
      <c r="H430" s="139"/>
      <c r="I430" s="139"/>
      <c r="J430" s="139"/>
      <c r="K430" s="140"/>
      <c r="L430" s="136"/>
    </row>
    <row r="431" spans="6:12" ht="13.2">
      <c r="F431" s="138"/>
      <c r="G431" s="2"/>
      <c r="H431" s="139"/>
      <c r="I431" s="139"/>
      <c r="J431" s="139"/>
      <c r="K431" s="140"/>
      <c r="L431" s="136"/>
    </row>
    <row r="432" spans="6:12" ht="13.2">
      <c r="F432" s="138"/>
      <c r="G432" s="2"/>
      <c r="H432" s="139"/>
      <c r="I432" s="139"/>
      <c r="J432" s="139"/>
      <c r="K432" s="140"/>
      <c r="L432" s="136"/>
    </row>
    <row r="433" spans="6:12" ht="13.2">
      <c r="F433" s="138"/>
      <c r="G433" s="2"/>
      <c r="H433" s="139"/>
      <c r="I433" s="139"/>
      <c r="J433" s="139"/>
      <c r="K433" s="140"/>
      <c r="L433" s="136"/>
    </row>
    <row r="434" spans="6:12" ht="13.2">
      <c r="F434" s="138"/>
      <c r="G434" s="2"/>
      <c r="H434" s="139"/>
      <c r="I434" s="139"/>
      <c r="J434" s="139"/>
      <c r="K434" s="140"/>
      <c r="L434" s="136"/>
    </row>
    <row r="435" spans="6:12" ht="13.2">
      <c r="F435" s="138"/>
      <c r="G435" s="2"/>
      <c r="H435" s="139"/>
      <c r="I435" s="139"/>
      <c r="J435" s="139"/>
      <c r="K435" s="140"/>
      <c r="L435" s="136"/>
    </row>
    <row r="436" spans="6:12" ht="13.2">
      <c r="F436" s="138"/>
      <c r="G436" s="2"/>
      <c r="H436" s="139"/>
      <c r="I436" s="139"/>
      <c r="J436" s="139"/>
      <c r="K436" s="140"/>
      <c r="L436" s="136"/>
    </row>
    <row r="437" spans="6:12" ht="13.2">
      <c r="F437" s="138"/>
      <c r="G437" s="2"/>
      <c r="H437" s="139"/>
      <c r="I437" s="139"/>
      <c r="J437" s="139"/>
      <c r="K437" s="140"/>
      <c r="L437" s="136"/>
    </row>
    <row r="438" spans="6:12" ht="13.2">
      <c r="F438" s="138"/>
      <c r="G438" s="2"/>
      <c r="H438" s="139"/>
      <c r="I438" s="139"/>
      <c r="J438" s="139"/>
      <c r="K438" s="140"/>
      <c r="L438" s="136"/>
    </row>
    <row r="439" spans="6:12" ht="13.2">
      <c r="F439" s="138"/>
      <c r="G439" s="2"/>
      <c r="H439" s="139"/>
      <c r="I439" s="139"/>
      <c r="J439" s="139"/>
      <c r="K439" s="140"/>
      <c r="L439" s="136"/>
    </row>
    <row r="440" spans="6:12" ht="13.2">
      <c r="F440" s="138"/>
      <c r="G440" s="2"/>
      <c r="H440" s="139"/>
      <c r="I440" s="139"/>
      <c r="J440" s="139"/>
      <c r="K440" s="140"/>
      <c r="L440" s="136"/>
    </row>
    <row r="441" spans="6:12" ht="13.2">
      <c r="F441" s="138"/>
      <c r="G441" s="2"/>
      <c r="H441" s="139"/>
      <c r="I441" s="139"/>
      <c r="J441" s="139"/>
      <c r="K441" s="140"/>
      <c r="L441" s="136"/>
    </row>
    <row r="442" spans="6:12" ht="13.2">
      <c r="F442" s="138"/>
      <c r="G442" s="2"/>
      <c r="H442" s="139"/>
      <c r="I442" s="139"/>
      <c r="J442" s="139"/>
      <c r="K442" s="140"/>
      <c r="L442" s="136"/>
    </row>
    <row r="443" spans="6:12" ht="13.2">
      <c r="F443" s="138"/>
      <c r="G443" s="2"/>
      <c r="H443" s="139"/>
      <c r="I443" s="139"/>
      <c r="J443" s="139"/>
      <c r="K443" s="140"/>
      <c r="L443" s="136"/>
    </row>
    <row r="444" spans="6:12" ht="13.2">
      <c r="F444" s="138"/>
      <c r="G444" s="2"/>
      <c r="H444" s="139"/>
      <c r="I444" s="139"/>
      <c r="J444" s="139"/>
      <c r="K444" s="140"/>
      <c r="L444" s="136"/>
    </row>
    <row r="445" spans="6:12" ht="13.2">
      <c r="F445" s="138"/>
      <c r="G445" s="2"/>
      <c r="H445" s="139"/>
      <c r="I445" s="139"/>
      <c r="J445" s="139"/>
      <c r="K445" s="140"/>
      <c r="L445" s="136"/>
    </row>
    <row r="446" spans="6:12" ht="13.2">
      <c r="F446" s="138"/>
      <c r="G446" s="2"/>
      <c r="H446" s="139"/>
      <c r="I446" s="139"/>
      <c r="J446" s="139"/>
      <c r="K446" s="140"/>
      <c r="L446" s="136"/>
    </row>
    <row r="447" spans="6:12" ht="13.2">
      <c r="F447" s="138"/>
      <c r="G447" s="2"/>
      <c r="H447" s="139"/>
      <c r="I447" s="139"/>
      <c r="J447" s="139"/>
      <c r="K447" s="140"/>
      <c r="L447" s="136"/>
    </row>
    <row r="448" spans="6:12" ht="13.2">
      <c r="F448" s="138"/>
      <c r="G448" s="2"/>
      <c r="H448" s="139"/>
      <c r="I448" s="139"/>
      <c r="J448" s="139"/>
      <c r="K448" s="140"/>
      <c r="L448" s="136"/>
    </row>
    <row r="449" spans="6:12" ht="13.2">
      <c r="F449" s="138"/>
      <c r="G449" s="2"/>
      <c r="H449" s="139"/>
      <c r="I449" s="139"/>
      <c r="J449" s="139"/>
      <c r="K449" s="140"/>
      <c r="L449" s="136"/>
    </row>
    <row r="450" spans="6:12" ht="13.2">
      <c r="F450" s="138"/>
      <c r="G450" s="2"/>
      <c r="H450" s="139"/>
      <c r="I450" s="139"/>
      <c r="J450" s="139"/>
      <c r="K450" s="140"/>
      <c r="L450" s="136"/>
    </row>
    <row r="451" spans="6:12" ht="13.2">
      <c r="F451" s="138"/>
      <c r="G451" s="2"/>
      <c r="H451" s="139"/>
      <c r="I451" s="139"/>
      <c r="J451" s="139"/>
      <c r="K451" s="140"/>
      <c r="L451" s="136"/>
    </row>
    <row r="452" spans="6:12" ht="13.2">
      <c r="F452" s="138"/>
      <c r="G452" s="2"/>
      <c r="H452" s="139"/>
      <c r="I452" s="139"/>
      <c r="J452" s="139"/>
      <c r="K452" s="140"/>
      <c r="L452" s="136"/>
    </row>
    <row r="453" spans="6:12" ht="13.2">
      <c r="F453" s="138"/>
      <c r="G453" s="2"/>
      <c r="H453" s="139"/>
      <c r="I453" s="139"/>
      <c r="J453" s="139"/>
      <c r="K453" s="140"/>
      <c r="L453" s="136"/>
    </row>
    <row r="454" spans="6:12" ht="13.2">
      <c r="F454" s="138"/>
      <c r="G454" s="2"/>
      <c r="H454" s="139"/>
      <c r="I454" s="139"/>
      <c r="J454" s="139"/>
      <c r="K454" s="140"/>
      <c r="L454" s="136"/>
    </row>
    <row r="455" spans="6:12" ht="13.2">
      <c r="F455" s="138"/>
      <c r="G455" s="2"/>
      <c r="H455" s="139"/>
      <c r="I455" s="139"/>
      <c r="J455" s="139"/>
      <c r="K455" s="140"/>
      <c r="L455" s="136"/>
    </row>
    <row r="456" spans="6:12" ht="13.2">
      <c r="F456" s="138"/>
      <c r="G456" s="2"/>
      <c r="H456" s="139"/>
      <c r="I456" s="139"/>
      <c r="J456" s="139"/>
      <c r="K456" s="140"/>
      <c r="L456" s="136"/>
    </row>
    <row r="457" spans="6:12" ht="13.2">
      <c r="F457" s="138"/>
      <c r="G457" s="2"/>
      <c r="H457" s="139"/>
      <c r="I457" s="139"/>
      <c r="J457" s="139"/>
      <c r="K457" s="140"/>
      <c r="L457" s="136"/>
    </row>
    <row r="458" spans="6:12" ht="13.2">
      <c r="F458" s="138"/>
      <c r="G458" s="2"/>
      <c r="H458" s="139"/>
      <c r="I458" s="139"/>
      <c r="J458" s="139"/>
      <c r="K458" s="140"/>
      <c r="L458" s="136"/>
    </row>
    <row r="459" spans="6:12" ht="13.2">
      <c r="F459" s="138"/>
      <c r="G459" s="2"/>
      <c r="H459" s="139"/>
      <c r="I459" s="139"/>
      <c r="J459" s="139"/>
      <c r="K459" s="140"/>
      <c r="L459" s="136"/>
    </row>
    <row r="460" spans="6:12" ht="13.2">
      <c r="F460" s="138"/>
      <c r="G460" s="2"/>
      <c r="H460" s="139"/>
      <c r="I460" s="139"/>
      <c r="J460" s="139"/>
      <c r="K460" s="140"/>
      <c r="L460" s="136"/>
    </row>
    <row r="461" spans="6:12" ht="13.2">
      <c r="F461" s="138"/>
      <c r="G461" s="2"/>
      <c r="H461" s="139"/>
      <c r="I461" s="139"/>
      <c r="J461" s="139"/>
      <c r="K461" s="140"/>
      <c r="L461" s="136"/>
    </row>
    <row r="462" spans="6:12" ht="13.2">
      <c r="F462" s="138"/>
      <c r="G462" s="2"/>
      <c r="H462" s="139"/>
      <c r="I462" s="139"/>
      <c r="J462" s="139"/>
      <c r="K462" s="140"/>
      <c r="L462" s="136"/>
    </row>
    <row r="463" spans="6:12" ht="13.2">
      <c r="F463" s="138"/>
      <c r="G463" s="2"/>
      <c r="H463" s="139"/>
      <c r="I463" s="139"/>
      <c r="J463" s="139"/>
      <c r="K463" s="140"/>
      <c r="L463" s="136"/>
    </row>
    <row r="464" spans="6:12" ht="13.2">
      <c r="F464" s="138"/>
      <c r="G464" s="2"/>
      <c r="H464" s="139"/>
      <c r="I464" s="139"/>
      <c r="J464" s="139"/>
      <c r="K464" s="140"/>
      <c r="L464" s="136"/>
    </row>
    <row r="465" spans="6:12" ht="13.2">
      <c r="F465" s="138"/>
      <c r="G465" s="2"/>
      <c r="H465" s="139"/>
      <c r="I465" s="139"/>
      <c r="J465" s="139"/>
      <c r="K465" s="140"/>
      <c r="L465" s="136"/>
    </row>
    <row r="466" spans="6:12" ht="13.2">
      <c r="F466" s="138"/>
      <c r="G466" s="2"/>
      <c r="H466" s="139"/>
      <c r="I466" s="139"/>
      <c r="J466" s="139"/>
      <c r="K466" s="140"/>
      <c r="L466" s="136"/>
    </row>
    <row r="467" spans="6:12" ht="13.2">
      <c r="F467" s="138"/>
      <c r="G467" s="2"/>
      <c r="H467" s="139"/>
      <c r="I467" s="139"/>
      <c r="J467" s="139"/>
      <c r="K467" s="140"/>
      <c r="L467" s="136"/>
    </row>
    <row r="468" spans="6:12" ht="13.2">
      <c r="F468" s="138"/>
      <c r="G468" s="2"/>
      <c r="H468" s="139"/>
      <c r="I468" s="139"/>
      <c r="J468" s="139"/>
      <c r="K468" s="140"/>
      <c r="L468" s="136"/>
    </row>
    <row r="469" spans="6:12" ht="13.2">
      <c r="F469" s="138"/>
      <c r="G469" s="2"/>
      <c r="H469" s="139"/>
      <c r="I469" s="139"/>
      <c r="J469" s="139"/>
      <c r="K469" s="140"/>
      <c r="L469" s="136"/>
    </row>
    <row r="470" spans="6:12" ht="13.2">
      <c r="F470" s="138"/>
      <c r="G470" s="2"/>
      <c r="H470" s="139"/>
      <c r="I470" s="139"/>
      <c r="J470" s="139"/>
      <c r="K470" s="140"/>
      <c r="L470" s="136"/>
    </row>
    <row r="471" spans="6:12" ht="13.2">
      <c r="F471" s="138"/>
      <c r="G471" s="2"/>
      <c r="H471" s="139"/>
      <c r="I471" s="139"/>
      <c r="J471" s="139"/>
      <c r="K471" s="140"/>
      <c r="L471" s="136"/>
    </row>
    <row r="472" spans="6:12" ht="13.2">
      <c r="F472" s="138"/>
      <c r="G472" s="2"/>
      <c r="H472" s="139"/>
      <c r="I472" s="139"/>
      <c r="J472" s="139"/>
      <c r="K472" s="140"/>
      <c r="L472" s="136"/>
    </row>
    <row r="473" spans="6:12" ht="13.2">
      <c r="F473" s="138"/>
      <c r="G473" s="2"/>
      <c r="H473" s="139"/>
      <c r="I473" s="139"/>
      <c r="J473" s="139"/>
      <c r="K473" s="140"/>
      <c r="L473" s="136"/>
    </row>
    <row r="474" spans="6:12" ht="13.2">
      <c r="F474" s="138"/>
      <c r="G474" s="2"/>
      <c r="H474" s="139"/>
      <c r="I474" s="139"/>
      <c r="J474" s="139"/>
      <c r="K474" s="140"/>
      <c r="L474" s="136"/>
    </row>
    <row r="475" spans="6:12" ht="13.2">
      <c r="F475" s="138"/>
      <c r="G475" s="2"/>
      <c r="H475" s="139"/>
      <c r="I475" s="139"/>
      <c r="J475" s="139"/>
      <c r="K475" s="140"/>
      <c r="L475" s="136"/>
    </row>
    <row r="476" spans="6:12" ht="13.2">
      <c r="F476" s="138"/>
      <c r="G476" s="2"/>
      <c r="H476" s="139"/>
      <c r="I476" s="139"/>
      <c r="J476" s="139"/>
      <c r="K476" s="140"/>
      <c r="L476" s="136"/>
    </row>
    <row r="477" spans="6:12" ht="13.2">
      <c r="F477" s="138"/>
      <c r="G477" s="2"/>
      <c r="H477" s="139"/>
      <c r="I477" s="139"/>
      <c r="J477" s="139"/>
      <c r="K477" s="140"/>
      <c r="L477" s="136"/>
    </row>
    <row r="478" spans="6:12" ht="13.2">
      <c r="F478" s="138"/>
      <c r="G478" s="2"/>
      <c r="H478" s="139"/>
      <c r="I478" s="139"/>
      <c r="J478" s="139"/>
      <c r="K478" s="140"/>
      <c r="L478" s="136"/>
    </row>
    <row r="479" spans="6:12" ht="13.2">
      <c r="F479" s="138"/>
      <c r="G479" s="2"/>
      <c r="H479" s="139"/>
      <c r="I479" s="139"/>
      <c r="J479" s="139"/>
      <c r="K479" s="140"/>
      <c r="L479" s="136"/>
    </row>
    <row r="480" spans="6:12" ht="13.2">
      <c r="F480" s="138"/>
      <c r="G480" s="2"/>
      <c r="H480" s="139"/>
      <c r="I480" s="139"/>
      <c r="J480" s="139"/>
      <c r="K480" s="140"/>
      <c r="L480" s="136"/>
    </row>
    <row r="481" spans="6:12" ht="13.2">
      <c r="F481" s="138"/>
      <c r="G481" s="2"/>
      <c r="H481" s="139"/>
      <c r="I481" s="139"/>
      <c r="J481" s="139"/>
      <c r="K481" s="140"/>
      <c r="L481" s="136"/>
    </row>
    <row r="482" spans="6:12" ht="13.2">
      <c r="F482" s="138"/>
      <c r="G482" s="2"/>
      <c r="H482" s="139"/>
      <c r="I482" s="139"/>
      <c r="J482" s="139"/>
      <c r="K482" s="140"/>
      <c r="L482" s="136"/>
    </row>
    <row r="483" spans="6:12" ht="13.2">
      <c r="F483" s="138"/>
      <c r="G483" s="2"/>
      <c r="H483" s="139"/>
      <c r="I483" s="139"/>
      <c r="J483" s="139"/>
      <c r="K483" s="140"/>
      <c r="L483" s="136"/>
    </row>
    <row r="484" spans="6:12" ht="13.2">
      <c r="F484" s="138"/>
      <c r="G484" s="2"/>
      <c r="H484" s="139"/>
      <c r="I484" s="139"/>
      <c r="J484" s="139"/>
      <c r="K484" s="140"/>
      <c r="L484" s="136"/>
    </row>
    <row r="485" spans="6:12" ht="13.2">
      <c r="F485" s="138"/>
      <c r="G485" s="2"/>
      <c r="H485" s="139"/>
      <c r="I485" s="139"/>
      <c r="J485" s="139"/>
      <c r="K485" s="140"/>
      <c r="L485" s="136"/>
    </row>
    <row r="486" spans="6:12" ht="13.2">
      <c r="F486" s="138"/>
      <c r="G486" s="2"/>
      <c r="H486" s="139"/>
      <c r="I486" s="139"/>
      <c r="J486" s="139"/>
      <c r="K486" s="140"/>
      <c r="L486" s="136"/>
    </row>
    <row r="487" spans="6:12" ht="13.2">
      <c r="F487" s="138"/>
      <c r="G487" s="2"/>
      <c r="H487" s="139"/>
      <c r="I487" s="139"/>
      <c r="J487" s="139"/>
      <c r="K487" s="140"/>
      <c r="L487" s="136"/>
    </row>
    <row r="488" spans="6:12" ht="13.2">
      <c r="F488" s="138"/>
      <c r="G488" s="2"/>
      <c r="H488" s="139"/>
      <c r="I488" s="139"/>
      <c r="J488" s="139"/>
      <c r="K488" s="140"/>
      <c r="L488" s="136"/>
    </row>
    <row r="489" spans="6:12" ht="13.2">
      <c r="F489" s="138"/>
      <c r="G489" s="2"/>
      <c r="H489" s="139"/>
      <c r="I489" s="139"/>
      <c r="J489" s="139"/>
      <c r="K489" s="140"/>
      <c r="L489" s="136"/>
    </row>
    <row r="490" spans="6:12" ht="13.2">
      <c r="F490" s="138"/>
      <c r="G490" s="2"/>
      <c r="H490" s="139"/>
      <c r="I490" s="139"/>
      <c r="J490" s="139"/>
      <c r="K490" s="140"/>
      <c r="L490" s="136"/>
    </row>
    <row r="491" spans="6:12" ht="13.2">
      <c r="F491" s="138"/>
      <c r="G491" s="2"/>
      <c r="H491" s="139"/>
      <c r="I491" s="139"/>
      <c r="J491" s="139"/>
      <c r="K491" s="140"/>
      <c r="L491" s="136"/>
    </row>
    <row r="492" spans="6:12" ht="13.2">
      <c r="F492" s="138"/>
      <c r="G492" s="2"/>
      <c r="H492" s="139"/>
      <c r="I492" s="139"/>
      <c r="J492" s="139"/>
      <c r="K492" s="140"/>
      <c r="L492" s="136"/>
    </row>
    <row r="493" spans="6:12" ht="13.2">
      <c r="F493" s="138"/>
      <c r="G493" s="2"/>
      <c r="H493" s="139"/>
      <c r="I493" s="139"/>
      <c r="J493" s="139"/>
      <c r="K493" s="140"/>
      <c r="L493" s="136"/>
    </row>
    <row r="494" spans="6:12" ht="13.2">
      <c r="F494" s="138"/>
      <c r="G494" s="2"/>
      <c r="H494" s="139"/>
      <c r="I494" s="139"/>
      <c r="J494" s="139"/>
      <c r="K494" s="140"/>
      <c r="L494" s="136"/>
    </row>
    <row r="495" spans="6:12" ht="13.2">
      <c r="F495" s="138"/>
      <c r="G495" s="2"/>
      <c r="H495" s="139"/>
      <c r="I495" s="139"/>
      <c r="J495" s="139"/>
      <c r="K495" s="140"/>
      <c r="L495" s="136"/>
    </row>
    <row r="496" spans="6:12" ht="13.2">
      <c r="F496" s="138"/>
      <c r="G496" s="2"/>
      <c r="H496" s="139"/>
      <c r="I496" s="139"/>
      <c r="J496" s="139"/>
      <c r="K496" s="140"/>
      <c r="L496" s="136"/>
    </row>
    <row r="497" spans="6:12" ht="13.2">
      <c r="F497" s="138"/>
      <c r="G497" s="2"/>
      <c r="H497" s="139"/>
      <c r="I497" s="139"/>
      <c r="J497" s="139"/>
      <c r="K497" s="140"/>
      <c r="L497" s="136"/>
    </row>
    <row r="498" spans="6:12" ht="13.2">
      <c r="F498" s="138"/>
      <c r="G498" s="2"/>
      <c r="H498" s="139"/>
      <c r="I498" s="139"/>
      <c r="J498" s="139"/>
      <c r="K498" s="140"/>
      <c r="L498" s="136"/>
    </row>
    <row r="499" spans="6:12" ht="13.2">
      <c r="F499" s="138"/>
      <c r="G499" s="2"/>
      <c r="H499" s="139"/>
      <c r="I499" s="139"/>
      <c r="J499" s="139"/>
      <c r="K499" s="140"/>
      <c r="L499" s="136"/>
    </row>
    <row r="500" spans="6:12" ht="13.2">
      <c r="F500" s="138"/>
      <c r="G500" s="2"/>
      <c r="H500" s="139"/>
      <c r="I500" s="139"/>
      <c r="J500" s="139"/>
      <c r="K500" s="140"/>
      <c r="L500" s="136"/>
    </row>
    <row r="501" spans="6:12" ht="13.2">
      <c r="F501" s="138"/>
      <c r="G501" s="2"/>
      <c r="H501" s="139"/>
      <c r="I501" s="139"/>
      <c r="J501" s="139"/>
      <c r="K501" s="140"/>
      <c r="L501" s="136"/>
    </row>
    <row r="502" spans="6:12" ht="13.2">
      <c r="F502" s="138"/>
      <c r="G502" s="2"/>
      <c r="H502" s="139"/>
      <c r="I502" s="139"/>
      <c r="J502" s="139"/>
      <c r="K502" s="140"/>
      <c r="L502" s="136"/>
    </row>
    <row r="503" spans="6:12" ht="13.2">
      <c r="F503" s="138"/>
      <c r="G503" s="2"/>
      <c r="H503" s="139"/>
      <c r="I503" s="139"/>
      <c r="J503" s="139"/>
      <c r="K503" s="140"/>
      <c r="L503" s="136"/>
    </row>
    <row r="504" spans="6:12" ht="13.2">
      <c r="F504" s="138"/>
      <c r="G504" s="2"/>
      <c r="H504" s="139"/>
      <c r="I504" s="139"/>
      <c r="J504" s="139"/>
      <c r="K504" s="140"/>
      <c r="L504" s="136"/>
    </row>
    <row r="505" spans="6:12" ht="13.2">
      <c r="F505" s="138"/>
      <c r="G505" s="2"/>
      <c r="H505" s="139"/>
      <c r="I505" s="139"/>
      <c r="J505" s="139"/>
      <c r="K505" s="140"/>
      <c r="L505" s="136"/>
    </row>
    <row r="506" spans="6:12" ht="13.2">
      <c r="F506" s="138"/>
      <c r="G506" s="2"/>
      <c r="H506" s="139"/>
      <c r="I506" s="139"/>
      <c r="J506" s="139"/>
      <c r="K506" s="140"/>
      <c r="L506" s="136"/>
    </row>
    <row r="507" spans="6:12" ht="13.2">
      <c r="F507" s="138"/>
      <c r="G507" s="2"/>
      <c r="H507" s="139"/>
      <c r="I507" s="139"/>
      <c r="J507" s="139"/>
      <c r="K507" s="140"/>
      <c r="L507" s="136"/>
    </row>
    <row r="508" spans="6:12" ht="13.2">
      <c r="F508" s="138"/>
      <c r="G508" s="2"/>
      <c r="H508" s="139"/>
      <c r="I508" s="139"/>
      <c r="J508" s="139"/>
      <c r="K508" s="140"/>
      <c r="L508" s="136"/>
    </row>
    <row r="509" spans="6:12" ht="13.2">
      <c r="F509" s="138"/>
      <c r="G509" s="2"/>
      <c r="H509" s="139"/>
      <c r="I509" s="139"/>
      <c r="J509" s="139"/>
      <c r="K509" s="140"/>
      <c r="L509" s="136"/>
    </row>
    <row r="510" spans="6:12" ht="13.2">
      <c r="F510" s="138"/>
      <c r="G510" s="2"/>
      <c r="H510" s="139"/>
      <c r="I510" s="139"/>
      <c r="J510" s="139"/>
      <c r="K510" s="140"/>
      <c r="L510" s="136"/>
    </row>
    <row r="511" spans="6:12" ht="13.2">
      <c r="F511" s="138"/>
      <c r="G511" s="2"/>
      <c r="H511" s="139"/>
      <c r="I511" s="139"/>
      <c r="J511" s="139"/>
      <c r="K511" s="140"/>
      <c r="L511" s="136"/>
    </row>
    <row r="512" spans="6:12" ht="13.2">
      <c r="F512" s="138"/>
      <c r="G512" s="2"/>
      <c r="H512" s="139"/>
      <c r="I512" s="139"/>
      <c r="J512" s="139"/>
      <c r="K512" s="140"/>
      <c r="L512" s="136"/>
    </row>
    <row r="513" spans="6:12" ht="13.2">
      <c r="F513" s="138"/>
      <c r="G513" s="2"/>
      <c r="H513" s="139"/>
      <c r="I513" s="139"/>
      <c r="J513" s="139"/>
      <c r="K513" s="140"/>
      <c r="L513" s="136"/>
    </row>
    <row r="514" spans="6:12" ht="13.2">
      <c r="F514" s="138"/>
      <c r="G514" s="2"/>
      <c r="H514" s="139"/>
      <c r="I514" s="139"/>
      <c r="J514" s="139"/>
      <c r="K514" s="140"/>
      <c r="L514" s="136"/>
    </row>
    <row r="515" spans="6:12" ht="13.2">
      <c r="F515" s="138"/>
      <c r="G515" s="2"/>
      <c r="H515" s="139"/>
      <c r="I515" s="139"/>
      <c r="J515" s="139"/>
      <c r="K515" s="140"/>
      <c r="L515" s="136"/>
    </row>
    <row r="516" spans="6:12" ht="13.2">
      <c r="F516" s="138"/>
      <c r="G516" s="2"/>
      <c r="H516" s="139"/>
      <c r="I516" s="139"/>
      <c r="J516" s="139"/>
      <c r="K516" s="140"/>
      <c r="L516" s="136"/>
    </row>
    <row r="517" spans="6:12" ht="13.2">
      <c r="F517" s="138"/>
      <c r="G517" s="2"/>
      <c r="H517" s="139"/>
      <c r="I517" s="139"/>
      <c r="J517" s="139"/>
      <c r="K517" s="140"/>
      <c r="L517" s="136"/>
    </row>
    <row r="518" spans="6:12" ht="13.2">
      <c r="F518" s="138"/>
      <c r="G518" s="2"/>
      <c r="H518" s="139"/>
      <c r="I518" s="139"/>
      <c r="J518" s="139"/>
      <c r="K518" s="140"/>
      <c r="L518" s="136"/>
    </row>
    <row r="519" spans="6:12" ht="13.2">
      <c r="F519" s="138"/>
      <c r="G519" s="2"/>
      <c r="H519" s="139"/>
      <c r="I519" s="139"/>
      <c r="J519" s="139"/>
      <c r="K519" s="140"/>
      <c r="L519" s="136"/>
    </row>
    <row r="520" spans="6:12" ht="13.2">
      <c r="F520" s="138"/>
      <c r="G520" s="2"/>
      <c r="H520" s="139"/>
      <c r="I520" s="139"/>
      <c r="J520" s="139"/>
      <c r="K520" s="140"/>
      <c r="L520" s="136"/>
    </row>
    <row r="521" spans="6:12" ht="13.2">
      <c r="F521" s="138"/>
      <c r="G521" s="2"/>
      <c r="H521" s="139"/>
      <c r="I521" s="139"/>
      <c r="J521" s="139"/>
      <c r="K521" s="140"/>
      <c r="L521" s="136"/>
    </row>
    <row r="522" spans="6:12" ht="13.2">
      <c r="F522" s="138"/>
      <c r="G522" s="2"/>
      <c r="H522" s="139"/>
      <c r="I522" s="139"/>
      <c r="J522" s="139"/>
      <c r="K522" s="140"/>
      <c r="L522" s="136"/>
    </row>
    <row r="523" spans="6:12" ht="13.2">
      <c r="F523" s="138"/>
      <c r="G523" s="2"/>
      <c r="H523" s="139"/>
      <c r="I523" s="139"/>
      <c r="J523" s="139"/>
      <c r="K523" s="140"/>
      <c r="L523" s="136"/>
    </row>
    <row r="524" spans="6:12" ht="13.2">
      <c r="F524" s="138"/>
      <c r="G524" s="2"/>
      <c r="H524" s="139"/>
      <c r="I524" s="139"/>
      <c r="J524" s="139"/>
      <c r="K524" s="140"/>
      <c r="L524" s="136"/>
    </row>
    <row r="525" spans="6:12" ht="13.2">
      <c r="F525" s="138"/>
      <c r="G525" s="2"/>
      <c r="H525" s="139"/>
      <c r="I525" s="139"/>
      <c r="J525" s="139"/>
      <c r="K525" s="140"/>
      <c r="L525" s="136"/>
    </row>
    <row r="526" spans="6:12" ht="13.2">
      <c r="F526" s="138"/>
      <c r="G526" s="2"/>
      <c r="H526" s="139"/>
      <c r="I526" s="139"/>
      <c r="J526" s="139"/>
      <c r="K526" s="140"/>
      <c r="L526" s="136"/>
    </row>
    <row r="527" spans="6:12" ht="13.2">
      <c r="F527" s="138"/>
      <c r="G527" s="2"/>
      <c r="H527" s="139"/>
      <c r="I527" s="139"/>
      <c r="J527" s="139"/>
      <c r="K527" s="140"/>
      <c r="L527" s="136"/>
    </row>
    <row r="528" spans="6:12" ht="13.2">
      <c r="F528" s="138"/>
      <c r="G528" s="2"/>
      <c r="H528" s="139"/>
      <c r="I528" s="139"/>
      <c r="J528" s="139"/>
      <c r="K528" s="140"/>
      <c r="L528" s="136"/>
    </row>
    <row r="529" spans="6:12" ht="13.2">
      <c r="F529" s="138"/>
      <c r="G529" s="2"/>
      <c r="H529" s="139"/>
      <c r="I529" s="139"/>
      <c r="J529" s="139"/>
      <c r="K529" s="140"/>
      <c r="L529" s="136"/>
    </row>
    <row r="530" spans="6:12" ht="13.2">
      <c r="F530" s="138"/>
      <c r="G530" s="2"/>
      <c r="H530" s="139"/>
      <c r="I530" s="139"/>
      <c r="J530" s="139"/>
      <c r="K530" s="140"/>
      <c r="L530" s="136"/>
    </row>
    <row r="531" spans="6:12" ht="13.2">
      <c r="F531" s="138"/>
      <c r="G531" s="2"/>
      <c r="H531" s="139"/>
      <c r="I531" s="139"/>
      <c r="J531" s="139"/>
      <c r="K531" s="140"/>
      <c r="L531" s="136"/>
    </row>
    <row r="532" spans="6:12" ht="13.2">
      <c r="F532" s="138"/>
      <c r="G532" s="2"/>
      <c r="H532" s="139"/>
      <c r="I532" s="139"/>
      <c r="J532" s="139"/>
      <c r="K532" s="140"/>
      <c r="L532" s="136"/>
    </row>
    <row r="533" spans="6:12" ht="13.2">
      <c r="F533" s="138"/>
      <c r="G533" s="2"/>
      <c r="H533" s="139"/>
      <c r="I533" s="139"/>
      <c r="J533" s="139"/>
      <c r="K533" s="140"/>
      <c r="L533" s="136"/>
    </row>
    <row r="534" spans="6:12" ht="13.2">
      <c r="F534" s="138"/>
      <c r="G534" s="2"/>
      <c r="H534" s="139"/>
      <c r="I534" s="139"/>
      <c r="J534" s="139"/>
      <c r="K534" s="140"/>
      <c r="L534" s="136"/>
    </row>
    <row r="535" spans="6:12" ht="13.2">
      <c r="F535" s="138"/>
      <c r="G535" s="2"/>
      <c r="H535" s="139"/>
      <c r="I535" s="139"/>
      <c r="J535" s="139"/>
      <c r="K535" s="140"/>
      <c r="L535" s="136"/>
    </row>
    <row r="536" spans="6:12" ht="13.2">
      <c r="F536" s="138"/>
      <c r="G536" s="2"/>
      <c r="H536" s="139"/>
      <c r="I536" s="139"/>
      <c r="J536" s="139"/>
      <c r="K536" s="140"/>
      <c r="L536" s="136"/>
    </row>
    <row r="537" spans="6:12" ht="13.2">
      <c r="F537" s="138"/>
      <c r="G537" s="2"/>
      <c r="H537" s="139"/>
      <c r="I537" s="139"/>
      <c r="J537" s="139"/>
      <c r="K537" s="140"/>
      <c r="L537" s="136"/>
    </row>
    <row r="538" spans="6:12" ht="13.2">
      <c r="F538" s="138"/>
      <c r="G538" s="2"/>
      <c r="H538" s="139"/>
      <c r="I538" s="139"/>
      <c r="J538" s="139"/>
      <c r="K538" s="140"/>
      <c r="L538" s="136"/>
    </row>
    <row r="539" spans="6:12" ht="13.2">
      <c r="F539" s="138"/>
      <c r="G539" s="2"/>
      <c r="H539" s="139"/>
      <c r="I539" s="139"/>
      <c r="J539" s="139"/>
      <c r="K539" s="140"/>
      <c r="L539" s="136"/>
    </row>
    <row r="540" spans="6:12" ht="13.2">
      <c r="F540" s="138"/>
      <c r="G540" s="2"/>
      <c r="H540" s="139"/>
      <c r="I540" s="139"/>
      <c r="J540" s="139"/>
      <c r="K540" s="140"/>
      <c r="L540" s="136"/>
    </row>
    <row r="541" spans="6:12" ht="13.2">
      <c r="F541" s="138"/>
      <c r="G541" s="2"/>
      <c r="H541" s="139"/>
      <c r="I541" s="139"/>
      <c r="J541" s="139"/>
      <c r="K541" s="140"/>
      <c r="L541" s="136"/>
    </row>
    <row r="542" spans="6:12" ht="13.2">
      <c r="F542" s="138"/>
      <c r="G542" s="2"/>
      <c r="H542" s="139"/>
      <c r="I542" s="139"/>
      <c r="J542" s="139"/>
      <c r="K542" s="140"/>
      <c r="L542" s="136"/>
    </row>
    <row r="543" spans="6:12" ht="13.2">
      <c r="F543" s="138"/>
      <c r="G543" s="2"/>
      <c r="H543" s="139"/>
      <c r="I543" s="139"/>
      <c r="J543" s="139"/>
      <c r="K543" s="140"/>
      <c r="L543" s="136"/>
    </row>
    <row r="544" spans="6:12" ht="13.2">
      <c r="F544" s="138"/>
      <c r="G544" s="2"/>
      <c r="H544" s="139"/>
      <c r="I544" s="139"/>
      <c r="J544" s="139"/>
      <c r="K544" s="140"/>
      <c r="L544" s="136"/>
    </row>
    <row r="545" spans="6:12" ht="13.2">
      <c r="F545" s="138"/>
      <c r="G545" s="2"/>
      <c r="H545" s="139"/>
      <c r="I545" s="139"/>
      <c r="J545" s="139"/>
      <c r="K545" s="140"/>
      <c r="L545" s="136"/>
    </row>
    <row r="546" spans="6:12" ht="13.2">
      <c r="F546" s="138"/>
      <c r="G546" s="2"/>
      <c r="H546" s="139"/>
      <c r="I546" s="139"/>
      <c r="J546" s="139"/>
      <c r="K546" s="140"/>
      <c r="L546" s="136"/>
    </row>
    <row r="547" spans="6:12" ht="13.2">
      <c r="F547" s="138"/>
      <c r="G547" s="2"/>
      <c r="H547" s="139"/>
      <c r="I547" s="139"/>
      <c r="J547" s="139"/>
      <c r="K547" s="140"/>
      <c r="L547" s="136"/>
    </row>
    <row r="548" spans="6:12" ht="13.2">
      <c r="F548" s="138"/>
      <c r="G548" s="2"/>
      <c r="H548" s="139"/>
      <c r="I548" s="139"/>
      <c r="J548" s="139"/>
      <c r="K548" s="140"/>
      <c r="L548" s="136"/>
    </row>
    <row r="549" spans="6:12" ht="13.2">
      <c r="F549" s="138"/>
      <c r="G549" s="2"/>
      <c r="H549" s="139"/>
      <c r="I549" s="139"/>
      <c r="J549" s="139"/>
      <c r="K549" s="140"/>
      <c r="L549" s="136"/>
    </row>
    <row r="550" spans="6:12" ht="13.2">
      <c r="F550" s="138"/>
      <c r="G550" s="2"/>
      <c r="H550" s="139"/>
      <c r="I550" s="139"/>
      <c r="J550" s="139"/>
      <c r="K550" s="140"/>
      <c r="L550" s="136"/>
    </row>
    <row r="551" spans="6:12" ht="13.2">
      <c r="F551" s="138"/>
      <c r="G551" s="2"/>
      <c r="H551" s="139"/>
      <c r="I551" s="139"/>
      <c r="J551" s="139"/>
      <c r="K551" s="140"/>
      <c r="L551" s="136"/>
    </row>
    <row r="552" spans="6:12" ht="13.2">
      <c r="F552" s="138"/>
      <c r="G552" s="2"/>
      <c r="H552" s="139"/>
      <c r="I552" s="139"/>
      <c r="J552" s="139"/>
      <c r="K552" s="140"/>
      <c r="L552" s="136"/>
    </row>
    <row r="553" spans="6:12" ht="13.2">
      <c r="F553" s="138"/>
      <c r="G553" s="2"/>
      <c r="H553" s="139"/>
      <c r="I553" s="139"/>
      <c r="J553" s="139"/>
      <c r="K553" s="140"/>
      <c r="L553" s="136"/>
    </row>
    <row r="554" spans="6:12" ht="13.2">
      <c r="F554" s="138"/>
      <c r="G554" s="2"/>
      <c r="H554" s="139"/>
      <c r="I554" s="139"/>
      <c r="J554" s="139"/>
      <c r="K554" s="140"/>
      <c r="L554" s="136"/>
    </row>
    <row r="555" spans="6:12" ht="13.2">
      <c r="F555" s="138"/>
      <c r="G555" s="2"/>
      <c r="H555" s="139"/>
      <c r="I555" s="139"/>
      <c r="J555" s="139"/>
      <c r="K555" s="140"/>
      <c r="L555" s="136"/>
    </row>
    <row r="556" spans="6:12" ht="13.2">
      <c r="F556" s="138"/>
      <c r="G556" s="2"/>
      <c r="H556" s="139"/>
      <c r="I556" s="139"/>
      <c r="J556" s="139"/>
      <c r="K556" s="140"/>
      <c r="L556" s="136"/>
    </row>
    <row r="557" spans="6:12" ht="13.2">
      <c r="F557" s="138"/>
      <c r="G557" s="2"/>
      <c r="H557" s="139"/>
      <c r="I557" s="139"/>
      <c r="J557" s="139"/>
      <c r="K557" s="140"/>
      <c r="L557" s="136"/>
    </row>
    <row r="558" spans="6:12" ht="13.2">
      <c r="F558" s="138"/>
      <c r="G558" s="2"/>
      <c r="H558" s="139"/>
      <c r="I558" s="139"/>
      <c r="J558" s="139"/>
      <c r="K558" s="140"/>
      <c r="L558" s="136"/>
    </row>
    <row r="559" spans="6:12" ht="13.2">
      <c r="F559" s="138"/>
      <c r="G559" s="2"/>
      <c r="H559" s="139"/>
      <c r="I559" s="139"/>
      <c r="J559" s="139"/>
      <c r="K559" s="140"/>
      <c r="L559" s="136"/>
    </row>
    <row r="560" spans="6:12" ht="13.2">
      <c r="F560" s="138"/>
      <c r="G560" s="2"/>
      <c r="H560" s="139"/>
      <c r="I560" s="139"/>
      <c r="J560" s="139"/>
      <c r="K560" s="140"/>
      <c r="L560" s="136"/>
    </row>
    <row r="561" spans="6:12" ht="13.2">
      <c r="F561" s="138"/>
      <c r="G561" s="2"/>
      <c r="H561" s="139"/>
      <c r="I561" s="139"/>
      <c r="J561" s="139"/>
      <c r="K561" s="140"/>
      <c r="L561" s="136"/>
    </row>
    <row r="562" spans="6:12" ht="13.2">
      <c r="F562" s="138"/>
      <c r="G562" s="2"/>
      <c r="H562" s="139"/>
      <c r="I562" s="139"/>
      <c r="J562" s="139"/>
      <c r="K562" s="140"/>
      <c r="L562" s="136"/>
    </row>
    <row r="563" spans="6:12" ht="13.2">
      <c r="F563" s="138"/>
      <c r="G563" s="2"/>
      <c r="H563" s="139"/>
      <c r="I563" s="139"/>
      <c r="J563" s="139"/>
      <c r="K563" s="140"/>
      <c r="L563" s="136"/>
    </row>
    <row r="564" spans="6:12" ht="13.2">
      <c r="F564" s="138"/>
      <c r="G564" s="2"/>
      <c r="H564" s="139"/>
      <c r="I564" s="139"/>
      <c r="J564" s="139"/>
      <c r="K564" s="140"/>
      <c r="L564" s="136"/>
    </row>
    <row r="565" spans="6:12" ht="13.2">
      <c r="F565" s="138"/>
      <c r="G565" s="2"/>
      <c r="H565" s="139"/>
      <c r="I565" s="139"/>
      <c r="J565" s="139"/>
      <c r="K565" s="140"/>
      <c r="L565" s="136"/>
    </row>
    <row r="566" spans="6:12" ht="13.2">
      <c r="F566" s="138"/>
      <c r="G566" s="2"/>
      <c r="H566" s="139"/>
      <c r="I566" s="139"/>
      <c r="J566" s="139"/>
      <c r="K566" s="140"/>
      <c r="L566" s="136"/>
    </row>
    <row r="567" spans="6:12" ht="13.2">
      <c r="F567" s="138"/>
      <c r="G567" s="2"/>
      <c r="H567" s="139"/>
      <c r="I567" s="139"/>
      <c r="J567" s="139"/>
      <c r="K567" s="140"/>
      <c r="L567" s="136"/>
    </row>
    <row r="568" spans="6:12" ht="13.2">
      <c r="F568" s="138"/>
      <c r="G568" s="2"/>
      <c r="H568" s="139"/>
      <c r="I568" s="139"/>
      <c r="J568" s="139"/>
      <c r="K568" s="140"/>
      <c r="L568" s="136"/>
    </row>
    <row r="569" spans="6:12" ht="13.2">
      <c r="F569" s="138"/>
      <c r="G569" s="2"/>
      <c r="H569" s="139"/>
      <c r="I569" s="139"/>
      <c r="J569" s="139"/>
      <c r="K569" s="140"/>
      <c r="L569" s="136"/>
    </row>
    <row r="570" spans="6:12" ht="13.2">
      <c r="F570" s="138"/>
      <c r="G570" s="2"/>
      <c r="H570" s="139"/>
      <c r="I570" s="139"/>
      <c r="J570" s="139"/>
      <c r="K570" s="140"/>
      <c r="L570" s="136"/>
    </row>
    <row r="571" spans="6:12" ht="13.2">
      <c r="F571" s="138"/>
      <c r="G571" s="2"/>
      <c r="H571" s="139"/>
      <c r="I571" s="139"/>
      <c r="J571" s="139"/>
      <c r="K571" s="140"/>
      <c r="L571" s="136"/>
    </row>
    <row r="572" spans="6:12" ht="13.2">
      <c r="F572" s="138"/>
      <c r="G572" s="2"/>
      <c r="H572" s="139"/>
      <c r="I572" s="139"/>
      <c r="J572" s="139"/>
      <c r="K572" s="140"/>
      <c r="L572" s="136"/>
    </row>
    <row r="573" spans="6:12" ht="13.2">
      <c r="F573" s="138"/>
      <c r="G573" s="2"/>
      <c r="H573" s="139"/>
      <c r="I573" s="139"/>
      <c r="J573" s="139"/>
      <c r="K573" s="140"/>
      <c r="L573" s="136"/>
    </row>
    <row r="574" spans="6:12" ht="13.2">
      <c r="F574" s="138"/>
      <c r="G574" s="2"/>
      <c r="H574" s="139"/>
      <c r="I574" s="139"/>
      <c r="J574" s="139"/>
      <c r="K574" s="140"/>
      <c r="L574" s="136"/>
    </row>
    <row r="575" spans="6:12" ht="13.2">
      <c r="F575" s="138"/>
      <c r="G575" s="2"/>
      <c r="H575" s="139"/>
      <c r="I575" s="139"/>
      <c r="J575" s="139"/>
      <c r="K575" s="140"/>
      <c r="L575" s="136"/>
    </row>
    <row r="576" spans="6:12" ht="13.2">
      <c r="F576" s="138"/>
      <c r="G576" s="2"/>
      <c r="H576" s="139"/>
      <c r="I576" s="139"/>
      <c r="J576" s="139"/>
      <c r="K576" s="140"/>
      <c r="L576" s="136"/>
    </row>
    <row r="577" spans="6:12" ht="13.2">
      <c r="F577" s="138"/>
      <c r="G577" s="2"/>
      <c r="H577" s="139"/>
      <c r="I577" s="139"/>
      <c r="J577" s="139"/>
      <c r="K577" s="140"/>
      <c r="L577" s="136"/>
    </row>
    <row r="578" spans="6:12" ht="13.2">
      <c r="F578" s="138"/>
      <c r="G578" s="2"/>
      <c r="H578" s="139"/>
      <c r="I578" s="139"/>
      <c r="J578" s="139"/>
      <c r="K578" s="140"/>
      <c r="L578" s="136"/>
    </row>
    <row r="579" spans="6:12" ht="13.2">
      <c r="F579" s="138"/>
      <c r="G579" s="2"/>
      <c r="H579" s="139"/>
      <c r="I579" s="139"/>
      <c r="J579" s="139"/>
      <c r="K579" s="140"/>
      <c r="L579" s="136"/>
    </row>
    <row r="580" spans="6:12" ht="13.2">
      <c r="F580" s="138"/>
      <c r="G580" s="2"/>
      <c r="H580" s="139"/>
      <c r="I580" s="139"/>
      <c r="J580" s="139"/>
      <c r="K580" s="140"/>
      <c r="L580" s="136"/>
    </row>
    <row r="581" spans="6:12" ht="13.2">
      <c r="F581" s="138"/>
      <c r="G581" s="2"/>
      <c r="H581" s="139"/>
      <c r="I581" s="139"/>
      <c r="J581" s="139"/>
      <c r="K581" s="140"/>
      <c r="L581" s="136"/>
    </row>
    <row r="582" spans="6:12" ht="13.2">
      <c r="F582" s="138"/>
      <c r="G582" s="2"/>
      <c r="H582" s="139"/>
      <c r="I582" s="139"/>
      <c r="J582" s="139"/>
      <c r="K582" s="140"/>
      <c r="L582" s="136"/>
    </row>
    <row r="583" spans="6:12" ht="13.2">
      <c r="F583" s="138"/>
      <c r="G583" s="2"/>
      <c r="H583" s="139"/>
      <c r="I583" s="139"/>
      <c r="J583" s="139"/>
      <c r="K583" s="140"/>
      <c r="L583" s="136"/>
    </row>
    <row r="584" spans="6:12" ht="13.2">
      <c r="F584" s="138"/>
      <c r="G584" s="2"/>
      <c r="H584" s="139"/>
      <c r="I584" s="139"/>
      <c r="J584" s="139"/>
      <c r="K584" s="140"/>
      <c r="L584" s="136"/>
    </row>
    <row r="585" spans="6:12" ht="13.2">
      <c r="F585" s="138"/>
      <c r="G585" s="2"/>
      <c r="H585" s="139"/>
      <c r="I585" s="139"/>
      <c r="J585" s="139"/>
      <c r="K585" s="140"/>
      <c r="L585" s="136"/>
    </row>
    <row r="586" spans="6:12" ht="13.2">
      <c r="F586" s="138"/>
      <c r="G586" s="2"/>
      <c r="H586" s="139"/>
      <c r="I586" s="139"/>
      <c r="J586" s="139"/>
      <c r="K586" s="140"/>
      <c r="L586" s="136"/>
    </row>
    <row r="587" spans="6:12" ht="13.2">
      <c r="F587" s="138"/>
      <c r="G587" s="2"/>
      <c r="H587" s="139"/>
      <c r="I587" s="139"/>
      <c r="J587" s="139"/>
      <c r="K587" s="140"/>
      <c r="L587" s="136"/>
    </row>
    <row r="588" spans="6:12" ht="13.2">
      <c r="F588" s="138"/>
      <c r="G588" s="2"/>
      <c r="H588" s="139"/>
      <c r="I588" s="139"/>
      <c r="J588" s="139"/>
      <c r="K588" s="140"/>
      <c r="L588" s="136"/>
    </row>
    <row r="589" spans="6:12" ht="13.2">
      <c r="F589" s="138"/>
      <c r="G589" s="2"/>
      <c r="H589" s="139"/>
      <c r="I589" s="139"/>
      <c r="J589" s="139"/>
      <c r="K589" s="140"/>
      <c r="L589" s="136"/>
    </row>
    <row r="590" spans="6:12" ht="13.2">
      <c r="F590" s="138"/>
      <c r="G590" s="2"/>
      <c r="H590" s="139"/>
      <c r="I590" s="139"/>
      <c r="J590" s="139"/>
      <c r="K590" s="140"/>
      <c r="L590" s="136"/>
    </row>
    <row r="591" spans="6:12" ht="13.2">
      <c r="F591" s="138"/>
      <c r="G591" s="2"/>
      <c r="H591" s="139"/>
      <c r="I591" s="139"/>
      <c r="J591" s="139"/>
      <c r="K591" s="140"/>
      <c r="L591" s="136"/>
    </row>
    <row r="592" spans="6:12" ht="13.2">
      <c r="F592" s="138"/>
      <c r="G592" s="2"/>
      <c r="H592" s="139"/>
      <c r="I592" s="139"/>
      <c r="J592" s="139"/>
      <c r="K592" s="140"/>
      <c r="L592" s="136"/>
    </row>
    <row r="593" spans="6:12" ht="13.2">
      <c r="F593" s="138"/>
      <c r="G593" s="2"/>
      <c r="H593" s="139"/>
      <c r="I593" s="139"/>
      <c r="J593" s="139"/>
      <c r="K593" s="140"/>
      <c r="L593" s="136"/>
    </row>
    <row r="594" spans="6:12" ht="13.2">
      <c r="F594" s="138"/>
      <c r="G594" s="2"/>
      <c r="H594" s="139"/>
      <c r="I594" s="139"/>
      <c r="J594" s="139"/>
      <c r="K594" s="140"/>
      <c r="L594" s="136"/>
    </row>
    <row r="595" spans="6:12" ht="13.2">
      <c r="F595" s="138"/>
      <c r="G595" s="2"/>
      <c r="H595" s="139"/>
      <c r="I595" s="139"/>
      <c r="J595" s="139"/>
      <c r="K595" s="140"/>
      <c r="L595" s="136"/>
    </row>
    <row r="596" spans="6:12" ht="13.2">
      <c r="F596" s="138"/>
      <c r="G596" s="2"/>
      <c r="H596" s="139"/>
      <c r="I596" s="139"/>
      <c r="J596" s="139"/>
      <c r="K596" s="140"/>
      <c r="L596" s="136"/>
    </row>
    <row r="597" spans="6:12" ht="13.2">
      <c r="F597" s="138"/>
      <c r="G597" s="2"/>
      <c r="H597" s="139"/>
      <c r="I597" s="139"/>
      <c r="J597" s="139"/>
      <c r="K597" s="140"/>
      <c r="L597" s="136"/>
    </row>
    <row r="598" spans="6:12" ht="13.2">
      <c r="F598" s="138"/>
      <c r="G598" s="2"/>
      <c r="H598" s="139"/>
      <c r="I598" s="139"/>
      <c r="J598" s="139"/>
      <c r="K598" s="140"/>
      <c r="L598" s="136"/>
    </row>
    <row r="599" spans="6:12" ht="13.2">
      <c r="F599" s="138"/>
      <c r="G599" s="2"/>
      <c r="H599" s="139"/>
      <c r="I599" s="139"/>
      <c r="J599" s="139"/>
      <c r="K599" s="140"/>
      <c r="L599" s="136"/>
    </row>
    <row r="600" spans="6:12" ht="13.2">
      <c r="F600" s="138"/>
      <c r="G600" s="2"/>
      <c r="H600" s="139"/>
      <c r="I600" s="139"/>
      <c r="J600" s="139"/>
      <c r="K600" s="140"/>
      <c r="L600" s="136"/>
    </row>
    <row r="601" spans="6:12" ht="13.2">
      <c r="F601" s="138"/>
      <c r="G601" s="2"/>
      <c r="H601" s="139"/>
      <c r="I601" s="139"/>
      <c r="J601" s="139"/>
      <c r="K601" s="140"/>
      <c r="L601" s="136"/>
    </row>
    <row r="602" spans="6:12" ht="13.2">
      <c r="F602" s="138"/>
      <c r="G602" s="2"/>
      <c r="H602" s="139"/>
      <c r="I602" s="139"/>
      <c r="J602" s="139"/>
      <c r="K602" s="140"/>
      <c r="L602" s="136"/>
    </row>
    <row r="603" spans="6:12" ht="13.2">
      <c r="F603" s="138"/>
      <c r="G603" s="2"/>
      <c r="H603" s="139"/>
      <c r="I603" s="139"/>
      <c r="J603" s="139"/>
      <c r="K603" s="140"/>
      <c r="L603" s="136"/>
    </row>
    <row r="604" spans="6:12" ht="13.2">
      <c r="F604" s="138"/>
      <c r="G604" s="2"/>
      <c r="H604" s="139"/>
      <c r="I604" s="139"/>
      <c r="J604" s="139"/>
      <c r="K604" s="140"/>
      <c r="L604" s="136"/>
    </row>
    <row r="605" spans="6:12" ht="13.2">
      <c r="F605" s="138"/>
      <c r="G605" s="2"/>
      <c r="H605" s="139"/>
      <c r="I605" s="139"/>
      <c r="J605" s="139"/>
      <c r="K605" s="140"/>
      <c r="L605" s="136"/>
    </row>
    <row r="606" spans="6:12" ht="13.2">
      <c r="F606" s="138"/>
      <c r="G606" s="2"/>
      <c r="H606" s="139"/>
      <c r="I606" s="139"/>
      <c r="J606" s="139"/>
      <c r="K606" s="140"/>
      <c r="L606" s="136"/>
    </row>
    <row r="607" spans="6:12" ht="13.2">
      <c r="F607" s="138"/>
      <c r="G607" s="2"/>
      <c r="H607" s="139"/>
      <c r="I607" s="139"/>
      <c r="J607" s="139"/>
      <c r="K607" s="140"/>
      <c r="L607" s="136"/>
    </row>
    <row r="608" spans="6:12" ht="13.2">
      <c r="F608" s="138"/>
      <c r="G608" s="2"/>
      <c r="H608" s="139"/>
      <c r="I608" s="139"/>
      <c r="J608" s="139"/>
      <c r="K608" s="140"/>
      <c r="L608" s="136"/>
    </row>
    <row r="609" spans="6:12" ht="13.2">
      <c r="F609" s="138"/>
      <c r="G609" s="2"/>
      <c r="H609" s="139"/>
      <c r="I609" s="139"/>
      <c r="J609" s="139"/>
      <c r="K609" s="140"/>
      <c r="L609" s="136"/>
    </row>
    <row r="610" spans="6:12" ht="13.2">
      <c r="F610" s="138"/>
      <c r="G610" s="2"/>
      <c r="H610" s="139"/>
      <c r="I610" s="139"/>
      <c r="J610" s="139"/>
      <c r="K610" s="140"/>
      <c r="L610" s="136"/>
    </row>
    <row r="611" spans="6:12" ht="13.2">
      <c r="F611" s="138"/>
      <c r="G611" s="2"/>
      <c r="H611" s="139"/>
      <c r="I611" s="139"/>
      <c r="J611" s="139"/>
      <c r="K611" s="140"/>
      <c r="L611" s="136"/>
    </row>
    <row r="612" spans="6:12" ht="13.2">
      <c r="F612" s="138"/>
      <c r="G612" s="2"/>
      <c r="H612" s="139"/>
      <c r="I612" s="139"/>
      <c r="J612" s="139"/>
      <c r="K612" s="140"/>
      <c r="L612" s="136"/>
    </row>
    <row r="613" spans="6:12" ht="13.2">
      <c r="F613" s="138"/>
      <c r="G613" s="2"/>
      <c r="H613" s="139"/>
      <c r="I613" s="139"/>
      <c r="J613" s="139"/>
      <c r="K613" s="140"/>
      <c r="L613" s="136"/>
    </row>
    <row r="614" spans="6:12" ht="13.2">
      <c r="F614" s="138"/>
      <c r="G614" s="2"/>
      <c r="H614" s="139"/>
      <c r="I614" s="139"/>
      <c r="J614" s="139"/>
      <c r="K614" s="140"/>
      <c r="L614" s="136"/>
    </row>
    <row r="615" spans="6:12" ht="13.2">
      <c r="F615" s="138"/>
      <c r="G615" s="2"/>
      <c r="H615" s="139"/>
      <c r="I615" s="139"/>
      <c r="J615" s="139"/>
      <c r="K615" s="140"/>
      <c r="L615" s="136"/>
    </row>
    <row r="616" spans="6:12" ht="13.2">
      <c r="F616" s="138"/>
      <c r="G616" s="2"/>
      <c r="H616" s="139"/>
      <c r="I616" s="139"/>
      <c r="J616" s="139"/>
      <c r="K616" s="140"/>
      <c r="L616" s="136"/>
    </row>
    <row r="617" spans="6:12" ht="13.2">
      <c r="F617" s="138"/>
      <c r="G617" s="2"/>
      <c r="H617" s="139"/>
      <c r="I617" s="139"/>
      <c r="J617" s="139"/>
      <c r="K617" s="140"/>
      <c r="L617" s="136"/>
    </row>
    <row r="618" spans="6:12" ht="13.2">
      <c r="F618" s="138"/>
      <c r="G618" s="2"/>
      <c r="H618" s="139"/>
      <c r="I618" s="139"/>
      <c r="J618" s="139"/>
      <c r="K618" s="140"/>
      <c r="L618" s="136"/>
    </row>
    <row r="619" spans="6:12" ht="13.2">
      <c r="F619" s="138"/>
      <c r="G619" s="2"/>
      <c r="H619" s="139"/>
      <c r="I619" s="139"/>
      <c r="J619" s="139"/>
      <c r="K619" s="140"/>
      <c r="L619" s="136"/>
    </row>
    <row r="620" spans="6:12" ht="13.2">
      <c r="F620" s="138"/>
      <c r="G620" s="2"/>
      <c r="H620" s="139"/>
      <c r="I620" s="139"/>
      <c r="J620" s="139"/>
      <c r="K620" s="140"/>
      <c r="L620" s="136"/>
    </row>
    <row r="621" spans="6:12" ht="13.2">
      <c r="F621" s="138"/>
      <c r="G621" s="2"/>
      <c r="H621" s="139"/>
      <c r="I621" s="139"/>
      <c r="J621" s="139"/>
      <c r="K621" s="140"/>
      <c r="L621" s="136"/>
    </row>
    <row r="622" spans="6:12" ht="13.2">
      <c r="F622" s="138"/>
      <c r="G622" s="2"/>
      <c r="H622" s="139"/>
      <c r="I622" s="139"/>
      <c r="J622" s="139"/>
      <c r="K622" s="140"/>
      <c r="L622" s="136"/>
    </row>
    <row r="623" spans="6:12" ht="13.2">
      <c r="F623" s="138"/>
      <c r="G623" s="2"/>
      <c r="H623" s="139"/>
      <c r="I623" s="139"/>
      <c r="J623" s="139"/>
      <c r="K623" s="140"/>
      <c r="L623" s="136"/>
    </row>
    <row r="624" spans="6:12" ht="13.2">
      <c r="F624" s="138"/>
      <c r="G624" s="2"/>
      <c r="H624" s="139"/>
      <c r="I624" s="139"/>
      <c r="J624" s="139"/>
      <c r="K624" s="140"/>
      <c r="L624" s="136"/>
    </row>
    <row r="625" spans="6:12" ht="13.2">
      <c r="F625" s="138"/>
      <c r="G625" s="2"/>
      <c r="H625" s="139"/>
      <c r="I625" s="139"/>
      <c r="J625" s="139"/>
      <c r="K625" s="140"/>
      <c r="L625" s="136"/>
    </row>
    <row r="626" spans="6:12" ht="13.2">
      <c r="F626" s="138"/>
      <c r="G626" s="2"/>
      <c r="H626" s="139"/>
      <c r="I626" s="139"/>
      <c r="J626" s="139"/>
      <c r="K626" s="140"/>
      <c r="L626" s="136"/>
    </row>
    <row r="627" spans="6:12" ht="13.2">
      <c r="F627" s="138"/>
      <c r="G627" s="2"/>
      <c r="H627" s="139"/>
      <c r="I627" s="139"/>
      <c r="J627" s="139"/>
      <c r="K627" s="140"/>
      <c r="L627" s="136"/>
    </row>
    <row r="628" spans="6:12" ht="13.2">
      <c r="F628" s="138"/>
      <c r="G628" s="2"/>
      <c r="H628" s="139"/>
      <c r="I628" s="139"/>
      <c r="J628" s="139"/>
      <c r="K628" s="140"/>
      <c r="L628" s="136"/>
    </row>
    <row r="629" spans="6:12" ht="13.2">
      <c r="F629" s="138"/>
      <c r="G629" s="2"/>
      <c r="H629" s="139"/>
      <c r="I629" s="139"/>
      <c r="J629" s="139"/>
      <c r="K629" s="140"/>
      <c r="L629" s="136"/>
    </row>
    <row r="630" spans="6:12" ht="13.2">
      <c r="F630" s="138"/>
      <c r="G630" s="2"/>
      <c r="H630" s="139"/>
      <c r="I630" s="139"/>
      <c r="J630" s="139"/>
      <c r="K630" s="140"/>
      <c r="L630" s="136"/>
    </row>
    <row r="631" spans="6:12" ht="13.2">
      <c r="F631" s="138"/>
      <c r="G631" s="2"/>
      <c r="H631" s="139"/>
      <c r="I631" s="139"/>
      <c r="J631" s="139"/>
      <c r="K631" s="140"/>
      <c r="L631" s="136"/>
    </row>
    <row r="632" spans="6:12" ht="13.2">
      <c r="F632" s="138"/>
      <c r="G632" s="2"/>
      <c r="H632" s="139"/>
      <c r="I632" s="139"/>
      <c r="J632" s="139"/>
      <c r="K632" s="140"/>
      <c r="L632" s="136"/>
    </row>
    <row r="633" spans="6:12" ht="13.2">
      <c r="F633" s="138"/>
      <c r="G633" s="2"/>
      <c r="H633" s="139"/>
      <c r="I633" s="139"/>
      <c r="J633" s="139"/>
      <c r="K633" s="140"/>
      <c r="L633" s="136"/>
    </row>
    <row r="634" spans="6:12" ht="13.2">
      <c r="F634" s="138"/>
      <c r="G634" s="2"/>
      <c r="H634" s="139"/>
      <c r="I634" s="139"/>
      <c r="J634" s="139"/>
      <c r="K634" s="140"/>
      <c r="L634" s="136"/>
    </row>
    <row r="635" spans="6:12" ht="13.2">
      <c r="F635" s="138"/>
      <c r="G635" s="2"/>
      <c r="H635" s="139"/>
      <c r="I635" s="139"/>
      <c r="J635" s="139"/>
      <c r="K635" s="140"/>
      <c r="L635" s="136"/>
    </row>
    <row r="636" spans="6:12" ht="13.2">
      <c r="F636" s="138"/>
      <c r="G636" s="2"/>
      <c r="H636" s="139"/>
      <c r="I636" s="139"/>
      <c r="J636" s="139"/>
      <c r="K636" s="140"/>
      <c r="L636" s="136"/>
    </row>
    <row r="637" spans="6:12" ht="13.2">
      <c r="F637" s="138"/>
      <c r="G637" s="2"/>
      <c r="H637" s="139"/>
      <c r="I637" s="139"/>
      <c r="J637" s="139"/>
      <c r="K637" s="140"/>
      <c r="L637" s="136"/>
    </row>
    <row r="638" spans="6:12" ht="13.2">
      <c r="F638" s="138"/>
      <c r="G638" s="2"/>
      <c r="H638" s="139"/>
      <c r="I638" s="139"/>
      <c r="J638" s="139"/>
      <c r="K638" s="140"/>
      <c r="L638" s="136"/>
    </row>
    <row r="639" spans="6:12" ht="13.2">
      <c r="F639" s="138"/>
      <c r="G639" s="2"/>
      <c r="H639" s="139"/>
      <c r="I639" s="139"/>
      <c r="J639" s="139"/>
      <c r="K639" s="140"/>
      <c r="L639" s="136"/>
    </row>
    <row r="640" spans="6:12" ht="13.2">
      <c r="F640" s="138"/>
      <c r="G640" s="2"/>
      <c r="H640" s="139"/>
      <c r="I640" s="139"/>
      <c r="J640" s="139"/>
      <c r="K640" s="140"/>
      <c r="L640" s="136"/>
    </row>
    <row r="641" spans="6:12" ht="13.2">
      <c r="F641" s="138"/>
      <c r="G641" s="2"/>
      <c r="H641" s="139"/>
      <c r="I641" s="139"/>
      <c r="J641" s="139"/>
      <c r="K641" s="140"/>
      <c r="L641" s="136"/>
    </row>
    <row r="642" spans="6:12" ht="13.2">
      <c r="F642" s="138"/>
      <c r="G642" s="2"/>
      <c r="H642" s="139"/>
      <c r="I642" s="139"/>
      <c r="J642" s="139"/>
      <c r="K642" s="140"/>
      <c r="L642" s="136"/>
    </row>
    <row r="643" spans="6:12" ht="13.2">
      <c r="F643" s="138"/>
      <c r="G643" s="2"/>
      <c r="H643" s="139"/>
      <c r="I643" s="139"/>
      <c r="J643" s="139"/>
      <c r="K643" s="140"/>
      <c r="L643" s="136"/>
    </row>
    <row r="644" spans="6:12" ht="13.2">
      <c r="F644" s="138"/>
      <c r="G644" s="2"/>
      <c r="H644" s="139"/>
      <c r="I644" s="139"/>
      <c r="J644" s="139"/>
      <c r="K644" s="140"/>
      <c r="L644" s="136"/>
    </row>
    <row r="645" spans="6:12" ht="13.2">
      <c r="F645" s="138"/>
      <c r="G645" s="2"/>
      <c r="H645" s="139"/>
      <c r="I645" s="139"/>
      <c r="J645" s="139"/>
      <c r="K645" s="140"/>
      <c r="L645" s="136"/>
    </row>
    <row r="646" spans="6:12" ht="13.2">
      <c r="F646" s="138"/>
      <c r="G646" s="2"/>
      <c r="H646" s="139"/>
      <c r="I646" s="139"/>
      <c r="J646" s="139"/>
      <c r="K646" s="140"/>
      <c r="L646" s="136"/>
    </row>
    <row r="647" spans="6:12" ht="13.2">
      <c r="F647" s="138"/>
      <c r="G647" s="2"/>
      <c r="H647" s="139"/>
      <c r="I647" s="139"/>
      <c r="J647" s="139"/>
      <c r="K647" s="140"/>
      <c r="L647" s="136"/>
    </row>
    <row r="648" spans="6:12" ht="13.2">
      <c r="F648" s="138"/>
      <c r="G648" s="2"/>
      <c r="H648" s="139"/>
      <c r="I648" s="139"/>
      <c r="J648" s="139"/>
      <c r="K648" s="140"/>
      <c r="L648" s="136"/>
    </row>
    <row r="649" spans="6:12" ht="13.2">
      <c r="F649" s="138"/>
      <c r="G649" s="2"/>
      <c r="H649" s="139"/>
      <c r="I649" s="139"/>
      <c r="J649" s="139"/>
      <c r="K649" s="140"/>
      <c r="L649" s="136"/>
    </row>
    <row r="650" spans="6:12" ht="13.2">
      <c r="F650" s="138"/>
      <c r="G650" s="2"/>
      <c r="H650" s="139"/>
      <c r="I650" s="139"/>
      <c r="J650" s="139"/>
      <c r="K650" s="140"/>
      <c r="L650" s="136"/>
    </row>
    <row r="651" spans="6:12" ht="13.2">
      <c r="F651" s="138"/>
      <c r="G651" s="2"/>
      <c r="H651" s="139"/>
      <c r="I651" s="139"/>
      <c r="J651" s="139"/>
      <c r="K651" s="140"/>
      <c r="L651" s="136"/>
    </row>
    <row r="652" spans="6:12" ht="13.2">
      <c r="F652" s="138"/>
      <c r="G652" s="2"/>
      <c r="H652" s="139"/>
      <c r="I652" s="139"/>
      <c r="J652" s="139"/>
      <c r="K652" s="140"/>
      <c r="L652" s="136"/>
    </row>
    <row r="653" spans="6:12" ht="13.2">
      <c r="F653" s="138"/>
      <c r="G653" s="2"/>
      <c r="H653" s="139"/>
      <c r="I653" s="139"/>
      <c r="J653" s="139"/>
      <c r="K653" s="140"/>
      <c r="L653" s="136"/>
    </row>
    <row r="654" spans="6:12" ht="13.2">
      <c r="F654" s="138"/>
      <c r="G654" s="2"/>
      <c r="H654" s="139"/>
      <c r="I654" s="139"/>
      <c r="J654" s="139"/>
      <c r="K654" s="140"/>
      <c r="L654" s="136"/>
    </row>
    <row r="655" spans="6:12" ht="13.2">
      <c r="F655" s="138"/>
      <c r="G655" s="2"/>
      <c r="H655" s="139"/>
      <c r="I655" s="139"/>
      <c r="J655" s="139"/>
      <c r="K655" s="140"/>
      <c r="L655" s="136"/>
    </row>
    <row r="656" spans="6:12" ht="13.2">
      <c r="F656" s="138"/>
      <c r="G656" s="2"/>
      <c r="H656" s="139"/>
      <c r="I656" s="139"/>
      <c r="J656" s="139"/>
      <c r="K656" s="140"/>
      <c r="L656" s="136"/>
    </row>
    <row r="657" spans="6:12" ht="13.2">
      <c r="F657" s="138"/>
      <c r="G657" s="2"/>
      <c r="H657" s="139"/>
      <c r="I657" s="139"/>
      <c r="J657" s="139"/>
      <c r="K657" s="140"/>
      <c r="L657" s="136"/>
    </row>
    <row r="658" spans="6:12" ht="13.2">
      <c r="F658" s="138"/>
      <c r="G658" s="2"/>
      <c r="H658" s="139"/>
      <c r="I658" s="139"/>
      <c r="J658" s="139"/>
      <c r="K658" s="140"/>
      <c r="L658" s="136"/>
    </row>
    <row r="659" spans="6:12" ht="13.2">
      <c r="F659" s="138"/>
      <c r="G659" s="2"/>
      <c r="H659" s="139"/>
      <c r="I659" s="139"/>
      <c r="J659" s="139"/>
      <c r="K659" s="140"/>
      <c r="L659" s="136"/>
    </row>
    <row r="660" spans="6:12" ht="13.2">
      <c r="F660" s="138"/>
      <c r="G660" s="2"/>
      <c r="H660" s="139"/>
      <c r="I660" s="139"/>
      <c r="J660" s="139"/>
      <c r="K660" s="140"/>
      <c r="L660" s="136"/>
    </row>
    <row r="661" spans="6:12" ht="13.2">
      <c r="F661" s="138"/>
      <c r="G661" s="2"/>
      <c r="H661" s="139"/>
      <c r="I661" s="139"/>
      <c r="J661" s="139"/>
      <c r="K661" s="140"/>
      <c r="L661" s="136"/>
    </row>
    <row r="662" spans="6:12" ht="13.2">
      <c r="F662" s="138"/>
      <c r="G662" s="2"/>
      <c r="H662" s="139"/>
      <c r="I662" s="139"/>
      <c r="J662" s="139"/>
      <c r="K662" s="140"/>
      <c r="L662" s="136"/>
    </row>
    <row r="663" spans="6:12" ht="13.2">
      <c r="F663" s="138"/>
      <c r="G663" s="2"/>
      <c r="H663" s="139"/>
      <c r="I663" s="139"/>
      <c r="J663" s="139"/>
      <c r="K663" s="140"/>
      <c r="L663" s="136"/>
    </row>
    <row r="664" spans="6:12" ht="13.2">
      <c r="F664" s="138"/>
      <c r="G664" s="2"/>
      <c r="H664" s="139"/>
      <c r="I664" s="139"/>
      <c r="J664" s="139"/>
      <c r="K664" s="140"/>
      <c r="L664" s="136"/>
    </row>
    <row r="665" spans="6:12" ht="13.2">
      <c r="F665" s="138"/>
      <c r="G665" s="2"/>
      <c r="H665" s="139"/>
      <c r="I665" s="139"/>
      <c r="J665" s="139"/>
      <c r="K665" s="140"/>
      <c r="L665" s="136"/>
    </row>
    <row r="666" spans="6:12" ht="13.2">
      <c r="F666" s="138"/>
      <c r="G666" s="2"/>
      <c r="H666" s="139"/>
      <c r="I666" s="139"/>
      <c r="J666" s="139"/>
      <c r="K666" s="140"/>
      <c r="L666" s="136"/>
    </row>
    <row r="667" spans="6:12" ht="13.2">
      <c r="F667" s="138"/>
      <c r="G667" s="2"/>
      <c r="H667" s="139"/>
      <c r="I667" s="139"/>
      <c r="J667" s="139"/>
      <c r="K667" s="140"/>
      <c r="L667" s="136"/>
    </row>
    <row r="668" spans="6:12" ht="13.2">
      <c r="F668" s="138"/>
      <c r="G668" s="2"/>
      <c r="H668" s="139"/>
      <c r="I668" s="139"/>
      <c r="J668" s="139"/>
      <c r="K668" s="140"/>
      <c r="L668" s="136"/>
    </row>
    <row r="669" spans="6:12" ht="13.2">
      <c r="F669" s="138"/>
      <c r="G669" s="2"/>
      <c r="H669" s="139"/>
      <c r="I669" s="139"/>
      <c r="J669" s="139"/>
      <c r="K669" s="140"/>
      <c r="L669" s="136"/>
    </row>
    <row r="670" spans="6:12" ht="13.2">
      <c r="F670" s="138"/>
      <c r="G670" s="2"/>
      <c r="H670" s="139"/>
      <c r="I670" s="139"/>
      <c r="J670" s="139"/>
      <c r="K670" s="140"/>
      <c r="L670" s="136"/>
    </row>
    <row r="671" spans="6:12" ht="13.2">
      <c r="F671" s="138"/>
      <c r="G671" s="2"/>
      <c r="H671" s="139"/>
      <c r="I671" s="139"/>
      <c r="J671" s="139"/>
      <c r="K671" s="140"/>
      <c r="L671" s="136"/>
    </row>
    <row r="672" spans="6:12" ht="13.2">
      <c r="F672" s="138"/>
      <c r="G672" s="2"/>
      <c r="H672" s="139"/>
      <c r="I672" s="139"/>
      <c r="J672" s="139"/>
      <c r="K672" s="140"/>
      <c r="L672" s="136"/>
    </row>
    <row r="673" spans="6:12" ht="13.2">
      <c r="F673" s="138"/>
      <c r="G673" s="2"/>
      <c r="H673" s="139"/>
      <c r="I673" s="139"/>
      <c r="J673" s="139"/>
      <c r="K673" s="140"/>
      <c r="L673" s="136"/>
    </row>
    <row r="674" spans="6:12" ht="13.2">
      <c r="F674" s="138"/>
      <c r="G674" s="2"/>
      <c r="H674" s="139"/>
      <c r="I674" s="139"/>
      <c r="J674" s="139"/>
      <c r="K674" s="140"/>
      <c r="L674" s="136"/>
    </row>
    <row r="675" spans="6:12" ht="13.2">
      <c r="F675" s="138"/>
      <c r="G675" s="2"/>
      <c r="H675" s="139"/>
      <c r="I675" s="139"/>
      <c r="J675" s="139"/>
      <c r="K675" s="140"/>
      <c r="L675" s="136"/>
    </row>
    <row r="676" spans="6:12" ht="13.2">
      <c r="F676" s="138"/>
      <c r="G676" s="2"/>
      <c r="H676" s="139"/>
      <c r="I676" s="139"/>
      <c r="J676" s="139"/>
      <c r="K676" s="140"/>
      <c r="L676" s="136"/>
    </row>
    <row r="677" spans="6:12" ht="13.2">
      <c r="F677" s="138"/>
      <c r="G677" s="2"/>
      <c r="H677" s="139"/>
      <c r="I677" s="139"/>
      <c r="J677" s="139"/>
      <c r="K677" s="140"/>
      <c r="L677" s="136"/>
    </row>
    <row r="678" spans="6:12" ht="13.2">
      <c r="F678" s="138"/>
      <c r="G678" s="2"/>
      <c r="H678" s="139"/>
      <c r="I678" s="139"/>
      <c r="J678" s="139"/>
      <c r="K678" s="140"/>
      <c r="L678" s="136"/>
    </row>
    <row r="679" spans="6:12" ht="13.2">
      <c r="F679" s="138"/>
      <c r="G679" s="2"/>
      <c r="H679" s="139"/>
      <c r="I679" s="139"/>
      <c r="J679" s="139"/>
      <c r="K679" s="140"/>
      <c r="L679" s="136"/>
    </row>
    <row r="680" spans="6:12" ht="13.2">
      <c r="F680" s="138"/>
      <c r="G680" s="2"/>
      <c r="H680" s="139"/>
      <c r="I680" s="139"/>
      <c r="J680" s="139"/>
      <c r="K680" s="140"/>
      <c r="L680" s="136"/>
    </row>
    <row r="681" spans="6:12" ht="13.2">
      <c r="F681" s="138"/>
      <c r="G681" s="2"/>
      <c r="H681" s="139"/>
      <c r="I681" s="139"/>
      <c r="J681" s="139"/>
      <c r="K681" s="140"/>
      <c r="L681" s="136"/>
    </row>
    <row r="682" spans="6:12" ht="13.2">
      <c r="F682" s="138"/>
      <c r="G682" s="2"/>
      <c r="H682" s="139"/>
      <c r="I682" s="139"/>
      <c r="J682" s="139"/>
      <c r="K682" s="140"/>
      <c r="L682" s="136"/>
    </row>
    <row r="683" spans="6:12" ht="13.2">
      <c r="F683" s="138"/>
      <c r="G683" s="2"/>
      <c r="H683" s="139"/>
      <c r="I683" s="139"/>
      <c r="J683" s="139"/>
      <c r="K683" s="140"/>
      <c r="L683" s="136"/>
    </row>
    <row r="684" spans="6:12" ht="13.2">
      <c r="F684" s="138"/>
      <c r="G684" s="2"/>
      <c r="H684" s="139"/>
      <c r="I684" s="139"/>
      <c r="J684" s="139"/>
      <c r="K684" s="140"/>
      <c r="L684" s="136"/>
    </row>
    <row r="685" spans="6:12" ht="13.2">
      <c r="F685" s="138"/>
      <c r="G685" s="2"/>
      <c r="H685" s="139"/>
      <c r="I685" s="139"/>
      <c r="J685" s="139"/>
      <c r="K685" s="140"/>
      <c r="L685" s="136"/>
    </row>
    <row r="686" spans="6:12" ht="13.2">
      <c r="F686" s="138"/>
      <c r="G686" s="2"/>
      <c r="H686" s="139"/>
      <c r="I686" s="139"/>
      <c r="J686" s="139"/>
      <c r="K686" s="140"/>
      <c r="L686" s="136"/>
    </row>
    <row r="687" spans="6:12" ht="13.2">
      <c r="F687" s="138"/>
      <c r="G687" s="2"/>
      <c r="H687" s="139"/>
      <c r="I687" s="139"/>
      <c r="J687" s="139"/>
      <c r="K687" s="140"/>
      <c r="L687" s="136"/>
    </row>
    <row r="688" spans="6:12" ht="13.2">
      <c r="F688" s="138"/>
      <c r="G688" s="2"/>
      <c r="H688" s="139"/>
      <c r="I688" s="139"/>
      <c r="J688" s="139"/>
      <c r="K688" s="140"/>
      <c r="L688" s="136"/>
    </row>
    <row r="689" spans="6:12" ht="13.2">
      <c r="F689" s="138"/>
      <c r="G689" s="2"/>
      <c r="H689" s="139"/>
      <c r="I689" s="139"/>
      <c r="J689" s="139"/>
      <c r="K689" s="140"/>
      <c r="L689" s="136"/>
    </row>
    <row r="690" spans="6:12" ht="13.2">
      <c r="F690" s="138"/>
      <c r="G690" s="2"/>
      <c r="H690" s="139"/>
      <c r="I690" s="139"/>
      <c r="J690" s="139"/>
      <c r="K690" s="140"/>
      <c r="L690" s="136"/>
    </row>
    <row r="691" spans="6:12" ht="13.2">
      <c r="F691" s="138"/>
      <c r="G691" s="2"/>
      <c r="H691" s="139"/>
      <c r="I691" s="139"/>
      <c r="J691" s="139"/>
      <c r="K691" s="140"/>
      <c r="L691" s="136"/>
    </row>
    <row r="692" spans="6:12" ht="13.2">
      <c r="F692" s="138"/>
      <c r="G692" s="2"/>
      <c r="H692" s="139"/>
      <c r="I692" s="139"/>
      <c r="J692" s="139"/>
      <c r="K692" s="140"/>
      <c r="L692" s="136"/>
    </row>
    <row r="693" spans="6:12" ht="13.2">
      <c r="F693" s="138"/>
      <c r="G693" s="2"/>
      <c r="H693" s="139"/>
      <c r="I693" s="139"/>
      <c r="J693" s="139"/>
      <c r="K693" s="140"/>
      <c r="L693" s="136"/>
    </row>
    <row r="694" spans="6:12" ht="13.2">
      <c r="F694" s="138"/>
      <c r="G694" s="2"/>
      <c r="H694" s="139"/>
      <c r="I694" s="139"/>
      <c r="J694" s="139"/>
      <c r="K694" s="140"/>
      <c r="L694" s="136"/>
    </row>
    <row r="695" spans="6:12" ht="13.2">
      <c r="F695" s="138"/>
      <c r="G695" s="2"/>
      <c r="H695" s="139"/>
      <c r="I695" s="139"/>
      <c r="J695" s="139"/>
      <c r="K695" s="140"/>
      <c r="L695" s="136"/>
    </row>
    <row r="696" spans="6:12" ht="13.2">
      <c r="F696" s="138"/>
      <c r="G696" s="2"/>
      <c r="H696" s="139"/>
      <c r="I696" s="139"/>
      <c r="J696" s="139"/>
      <c r="K696" s="140"/>
      <c r="L696" s="136"/>
    </row>
    <row r="697" spans="6:12" ht="13.2">
      <c r="F697" s="138"/>
      <c r="G697" s="2"/>
      <c r="H697" s="139"/>
      <c r="I697" s="139"/>
      <c r="J697" s="139"/>
      <c r="K697" s="140"/>
      <c r="L697" s="136"/>
    </row>
    <row r="698" spans="6:12" ht="13.2">
      <c r="F698" s="138"/>
      <c r="G698" s="2"/>
      <c r="H698" s="139"/>
      <c r="I698" s="139"/>
      <c r="J698" s="139"/>
      <c r="K698" s="140"/>
      <c r="L698" s="136"/>
    </row>
    <row r="699" spans="6:12" ht="13.2">
      <c r="F699" s="138"/>
      <c r="G699" s="2"/>
      <c r="H699" s="139"/>
      <c r="I699" s="139"/>
      <c r="J699" s="139"/>
      <c r="K699" s="140"/>
      <c r="L699" s="136"/>
    </row>
    <row r="700" spans="6:12" ht="13.2">
      <c r="F700" s="138"/>
      <c r="G700" s="2"/>
      <c r="H700" s="139"/>
      <c r="I700" s="139"/>
      <c r="J700" s="139"/>
      <c r="K700" s="140"/>
      <c r="L700" s="136"/>
    </row>
    <row r="701" spans="6:12" ht="13.2">
      <c r="F701" s="138"/>
      <c r="G701" s="2"/>
      <c r="H701" s="139"/>
      <c r="I701" s="139"/>
      <c r="J701" s="139"/>
      <c r="K701" s="140"/>
      <c r="L701" s="136"/>
    </row>
    <row r="702" spans="6:12" ht="13.2">
      <c r="F702" s="138"/>
      <c r="G702" s="2"/>
      <c r="H702" s="139"/>
      <c r="I702" s="139"/>
      <c r="J702" s="139"/>
      <c r="K702" s="140"/>
      <c r="L702" s="136"/>
    </row>
    <row r="703" spans="6:12" ht="13.2">
      <c r="F703" s="138"/>
      <c r="G703" s="2"/>
      <c r="H703" s="139"/>
      <c r="I703" s="139"/>
      <c r="J703" s="139"/>
      <c r="K703" s="140"/>
      <c r="L703" s="136"/>
    </row>
    <row r="704" spans="6:12" ht="13.2">
      <c r="F704" s="138"/>
      <c r="G704" s="2"/>
      <c r="H704" s="139"/>
      <c r="I704" s="139"/>
      <c r="J704" s="139"/>
      <c r="K704" s="140"/>
      <c r="L704" s="136"/>
    </row>
    <row r="705" spans="6:12" ht="13.2">
      <c r="F705" s="138"/>
      <c r="G705" s="2"/>
      <c r="H705" s="139"/>
      <c r="I705" s="139"/>
      <c r="J705" s="139"/>
      <c r="K705" s="140"/>
      <c r="L705" s="136"/>
    </row>
    <row r="706" spans="6:12" ht="13.2">
      <c r="F706" s="138"/>
      <c r="G706" s="2"/>
      <c r="H706" s="139"/>
      <c r="I706" s="139"/>
      <c r="J706" s="139"/>
      <c r="K706" s="140"/>
      <c r="L706" s="136"/>
    </row>
    <row r="707" spans="6:12" ht="13.2">
      <c r="F707" s="138"/>
      <c r="G707" s="2"/>
      <c r="H707" s="139"/>
      <c r="I707" s="139"/>
      <c r="J707" s="139"/>
      <c r="K707" s="140"/>
      <c r="L707" s="136"/>
    </row>
    <row r="708" spans="6:12" ht="13.2">
      <c r="F708" s="138"/>
      <c r="G708" s="2"/>
      <c r="H708" s="139"/>
      <c r="I708" s="139"/>
      <c r="J708" s="139"/>
      <c r="K708" s="140"/>
      <c r="L708" s="136"/>
    </row>
    <row r="709" spans="6:12" ht="13.2">
      <c r="F709" s="138"/>
      <c r="G709" s="2"/>
      <c r="H709" s="139"/>
      <c r="I709" s="139"/>
      <c r="J709" s="139"/>
      <c r="K709" s="140"/>
      <c r="L709" s="136"/>
    </row>
    <row r="710" spans="6:12" ht="13.2">
      <c r="F710" s="138"/>
      <c r="G710" s="2"/>
      <c r="H710" s="139"/>
      <c r="I710" s="139"/>
      <c r="J710" s="139"/>
      <c r="K710" s="140"/>
      <c r="L710" s="136"/>
    </row>
    <row r="711" spans="6:12" ht="13.2">
      <c r="F711" s="138"/>
      <c r="G711" s="2"/>
      <c r="H711" s="139"/>
      <c r="I711" s="139"/>
      <c r="J711" s="139"/>
      <c r="K711" s="140"/>
      <c r="L711" s="136"/>
    </row>
    <row r="712" spans="6:12" ht="13.2">
      <c r="F712" s="138"/>
      <c r="G712" s="2"/>
      <c r="H712" s="139"/>
      <c r="I712" s="139"/>
      <c r="J712" s="139"/>
      <c r="K712" s="140"/>
      <c r="L712" s="136"/>
    </row>
    <row r="713" spans="6:12" ht="13.2">
      <c r="F713" s="138"/>
      <c r="G713" s="2"/>
      <c r="H713" s="139"/>
      <c r="I713" s="139"/>
      <c r="J713" s="139"/>
      <c r="K713" s="140"/>
      <c r="L713" s="136"/>
    </row>
    <row r="714" spans="6:12" ht="13.2">
      <c r="F714" s="138"/>
      <c r="G714" s="2"/>
      <c r="H714" s="139"/>
      <c r="I714" s="139"/>
      <c r="J714" s="139"/>
      <c r="K714" s="140"/>
      <c r="L714" s="136"/>
    </row>
    <row r="715" spans="6:12" ht="13.2">
      <c r="F715" s="138"/>
      <c r="G715" s="2"/>
      <c r="H715" s="139"/>
      <c r="I715" s="139"/>
      <c r="J715" s="139"/>
      <c r="K715" s="140"/>
      <c r="L715" s="136"/>
    </row>
    <row r="716" spans="6:12" ht="13.2">
      <c r="F716" s="138"/>
      <c r="G716" s="2"/>
      <c r="H716" s="139"/>
      <c r="I716" s="139"/>
      <c r="J716" s="139"/>
      <c r="K716" s="140"/>
      <c r="L716" s="136"/>
    </row>
    <row r="717" spans="6:12" ht="13.2">
      <c r="F717" s="138"/>
      <c r="G717" s="2"/>
      <c r="H717" s="139"/>
      <c r="I717" s="139"/>
      <c r="J717" s="139"/>
      <c r="K717" s="140"/>
      <c r="L717" s="136"/>
    </row>
    <row r="718" spans="6:12" ht="13.2">
      <c r="F718" s="138"/>
      <c r="G718" s="2"/>
      <c r="H718" s="139"/>
      <c r="I718" s="139"/>
      <c r="J718" s="139"/>
      <c r="K718" s="140"/>
      <c r="L718" s="136"/>
    </row>
    <row r="719" spans="6:12" ht="13.2">
      <c r="F719" s="138"/>
      <c r="G719" s="2"/>
      <c r="H719" s="139"/>
      <c r="I719" s="139"/>
      <c r="J719" s="139"/>
      <c r="K719" s="140"/>
      <c r="L719" s="136"/>
    </row>
    <row r="720" spans="6:12" ht="13.2">
      <c r="F720" s="138"/>
      <c r="G720" s="2"/>
      <c r="H720" s="139"/>
      <c r="I720" s="139"/>
      <c r="J720" s="139"/>
      <c r="K720" s="140"/>
      <c r="L720" s="136"/>
    </row>
    <row r="721" spans="6:12" ht="13.2">
      <c r="F721" s="138"/>
      <c r="G721" s="2"/>
      <c r="H721" s="139"/>
      <c r="I721" s="139"/>
      <c r="J721" s="139"/>
      <c r="K721" s="140"/>
      <c r="L721" s="136"/>
    </row>
    <row r="722" spans="6:12" ht="13.2">
      <c r="F722" s="138"/>
      <c r="G722" s="2"/>
      <c r="H722" s="139"/>
      <c r="I722" s="139"/>
      <c r="J722" s="139"/>
      <c r="K722" s="140"/>
      <c r="L722" s="136"/>
    </row>
    <row r="723" spans="6:12" ht="13.2">
      <c r="F723" s="138"/>
      <c r="G723" s="2"/>
      <c r="H723" s="139"/>
      <c r="I723" s="139"/>
      <c r="J723" s="139"/>
      <c r="K723" s="140"/>
      <c r="L723" s="136"/>
    </row>
    <row r="724" spans="6:12" ht="13.2">
      <c r="F724" s="138"/>
      <c r="G724" s="2"/>
      <c r="H724" s="139"/>
      <c r="I724" s="139"/>
      <c r="J724" s="139"/>
      <c r="K724" s="140"/>
      <c r="L724" s="136"/>
    </row>
    <row r="725" spans="6:12" ht="13.2">
      <c r="F725" s="138"/>
      <c r="G725" s="2"/>
      <c r="H725" s="139"/>
      <c r="I725" s="139"/>
      <c r="J725" s="139"/>
      <c r="K725" s="140"/>
      <c r="L725" s="136"/>
    </row>
    <row r="726" spans="6:12" ht="13.2">
      <c r="F726" s="138"/>
      <c r="G726" s="2"/>
      <c r="H726" s="139"/>
      <c r="I726" s="139"/>
      <c r="J726" s="139"/>
      <c r="K726" s="140"/>
      <c r="L726" s="136"/>
    </row>
    <row r="727" spans="6:12" ht="13.2">
      <c r="F727" s="138"/>
      <c r="G727" s="2"/>
      <c r="H727" s="139"/>
      <c r="I727" s="139"/>
      <c r="J727" s="139"/>
      <c r="K727" s="140"/>
      <c r="L727" s="136"/>
    </row>
    <row r="728" spans="6:12" ht="13.2">
      <c r="F728" s="138"/>
      <c r="G728" s="2"/>
      <c r="H728" s="139"/>
      <c r="I728" s="139"/>
      <c r="J728" s="139"/>
      <c r="K728" s="140"/>
      <c r="L728" s="136"/>
    </row>
    <row r="729" spans="6:12" ht="13.2">
      <c r="F729" s="138"/>
      <c r="G729" s="2"/>
      <c r="H729" s="139"/>
      <c r="I729" s="139"/>
      <c r="J729" s="139"/>
      <c r="K729" s="140"/>
      <c r="L729" s="136"/>
    </row>
    <row r="730" spans="6:12" ht="13.2">
      <c r="F730" s="138"/>
      <c r="G730" s="2"/>
      <c r="H730" s="139"/>
      <c r="I730" s="139"/>
      <c r="J730" s="139"/>
      <c r="K730" s="140"/>
      <c r="L730" s="136"/>
    </row>
    <row r="731" spans="6:12" ht="13.2">
      <c r="F731" s="138"/>
      <c r="G731" s="2"/>
      <c r="H731" s="139"/>
      <c r="I731" s="139"/>
      <c r="J731" s="139"/>
      <c r="K731" s="140"/>
      <c r="L731" s="136"/>
    </row>
    <row r="732" spans="6:12" ht="13.2">
      <c r="F732" s="138"/>
      <c r="G732" s="2"/>
      <c r="H732" s="139"/>
      <c r="I732" s="139"/>
      <c r="J732" s="139"/>
      <c r="K732" s="140"/>
      <c r="L732" s="136"/>
    </row>
    <row r="733" spans="6:12" ht="13.2">
      <c r="F733" s="138"/>
      <c r="G733" s="2"/>
      <c r="H733" s="139"/>
      <c r="I733" s="139"/>
      <c r="J733" s="139"/>
      <c r="K733" s="140"/>
      <c r="L733" s="136"/>
    </row>
    <row r="734" spans="6:12" ht="13.2">
      <c r="F734" s="138"/>
      <c r="G734" s="2"/>
      <c r="H734" s="139"/>
      <c r="I734" s="139"/>
      <c r="J734" s="139"/>
      <c r="K734" s="140"/>
      <c r="L734" s="136"/>
    </row>
    <row r="735" spans="6:12" ht="13.2">
      <c r="F735" s="138"/>
      <c r="G735" s="2"/>
      <c r="H735" s="139"/>
      <c r="I735" s="139"/>
      <c r="J735" s="139"/>
      <c r="K735" s="140"/>
      <c r="L735" s="136"/>
    </row>
    <row r="736" spans="6:12" ht="13.2">
      <c r="F736" s="138"/>
      <c r="G736" s="2"/>
      <c r="H736" s="139"/>
      <c r="I736" s="139"/>
      <c r="J736" s="139"/>
      <c r="K736" s="140"/>
      <c r="L736" s="136"/>
    </row>
    <row r="737" spans="6:12" ht="13.2">
      <c r="F737" s="138"/>
      <c r="G737" s="2"/>
      <c r="H737" s="139"/>
      <c r="I737" s="139"/>
      <c r="J737" s="139"/>
      <c r="K737" s="140"/>
      <c r="L737" s="136"/>
    </row>
    <row r="738" spans="6:12" ht="13.2">
      <c r="F738" s="138"/>
      <c r="G738" s="2"/>
      <c r="H738" s="139"/>
      <c r="I738" s="139"/>
      <c r="J738" s="139"/>
      <c r="K738" s="140"/>
      <c r="L738" s="136"/>
    </row>
    <row r="739" spans="6:12" ht="13.2">
      <c r="F739" s="138"/>
      <c r="G739" s="2"/>
      <c r="H739" s="139"/>
      <c r="I739" s="139"/>
      <c r="J739" s="139"/>
      <c r="K739" s="140"/>
      <c r="L739" s="136"/>
    </row>
    <row r="740" spans="6:12" ht="13.2">
      <c r="F740" s="138"/>
      <c r="G740" s="2"/>
      <c r="H740" s="139"/>
      <c r="I740" s="139"/>
      <c r="J740" s="139"/>
      <c r="K740" s="140"/>
      <c r="L740" s="136"/>
    </row>
    <row r="741" spans="6:12" ht="13.2">
      <c r="F741" s="138"/>
      <c r="G741" s="2"/>
      <c r="H741" s="139"/>
      <c r="I741" s="139"/>
      <c r="J741" s="139"/>
      <c r="K741" s="140"/>
      <c r="L741" s="136"/>
    </row>
    <row r="742" spans="6:12" ht="13.2">
      <c r="F742" s="138"/>
      <c r="G742" s="2"/>
      <c r="H742" s="139"/>
      <c r="I742" s="139"/>
      <c r="J742" s="139"/>
      <c r="K742" s="140"/>
      <c r="L742" s="136"/>
    </row>
    <row r="743" spans="6:12" ht="13.2">
      <c r="F743" s="138"/>
      <c r="G743" s="2"/>
      <c r="H743" s="139"/>
      <c r="I743" s="139"/>
      <c r="J743" s="139"/>
      <c r="K743" s="140"/>
      <c r="L743" s="136"/>
    </row>
    <row r="744" spans="6:12" ht="13.2">
      <c r="F744" s="138"/>
      <c r="G744" s="2"/>
      <c r="H744" s="139"/>
      <c r="I744" s="139"/>
      <c r="J744" s="139"/>
      <c r="K744" s="140"/>
      <c r="L744" s="136"/>
    </row>
    <row r="745" spans="6:12" ht="13.2">
      <c r="F745" s="138"/>
      <c r="G745" s="2"/>
      <c r="H745" s="139"/>
      <c r="I745" s="139"/>
      <c r="J745" s="139"/>
      <c r="K745" s="140"/>
      <c r="L745" s="136"/>
    </row>
    <row r="746" spans="6:12" ht="13.2">
      <c r="F746" s="138"/>
      <c r="G746" s="2"/>
      <c r="H746" s="139"/>
      <c r="I746" s="139"/>
      <c r="J746" s="139"/>
      <c r="K746" s="140"/>
      <c r="L746" s="136"/>
    </row>
    <row r="747" spans="6:12" ht="13.2">
      <c r="F747" s="138"/>
      <c r="G747" s="2"/>
      <c r="H747" s="139"/>
      <c r="I747" s="139"/>
      <c r="J747" s="139"/>
      <c r="K747" s="140"/>
      <c r="L747" s="136"/>
    </row>
    <row r="748" spans="6:12" ht="13.2">
      <c r="F748" s="138"/>
      <c r="G748" s="2"/>
      <c r="H748" s="139"/>
      <c r="I748" s="139"/>
      <c r="J748" s="139"/>
      <c r="K748" s="140"/>
      <c r="L748" s="136"/>
    </row>
    <row r="749" spans="6:12" ht="13.2">
      <c r="F749" s="138"/>
      <c r="G749" s="2"/>
      <c r="H749" s="139"/>
      <c r="I749" s="139"/>
      <c r="J749" s="139"/>
      <c r="K749" s="140"/>
      <c r="L749" s="136"/>
    </row>
    <row r="750" spans="6:12" ht="13.2">
      <c r="F750" s="138"/>
      <c r="G750" s="2"/>
      <c r="H750" s="139"/>
      <c r="I750" s="139"/>
      <c r="J750" s="139"/>
      <c r="K750" s="140"/>
      <c r="L750" s="136"/>
    </row>
    <row r="751" spans="6:12" ht="13.2">
      <c r="F751" s="138"/>
      <c r="G751" s="2"/>
      <c r="H751" s="139"/>
      <c r="I751" s="139"/>
      <c r="J751" s="139"/>
      <c r="K751" s="140"/>
      <c r="L751" s="136"/>
    </row>
    <row r="752" spans="6:12" ht="13.2">
      <c r="F752" s="138"/>
      <c r="G752" s="2"/>
      <c r="H752" s="139"/>
      <c r="I752" s="139"/>
      <c r="J752" s="139"/>
      <c r="K752" s="140"/>
      <c r="L752" s="136"/>
    </row>
    <row r="753" spans="6:12" ht="13.2">
      <c r="F753" s="138"/>
      <c r="G753" s="2"/>
      <c r="H753" s="139"/>
      <c r="I753" s="139"/>
      <c r="J753" s="139"/>
      <c r="K753" s="140"/>
      <c r="L753" s="136"/>
    </row>
    <row r="754" spans="6:12" ht="13.2">
      <c r="F754" s="138"/>
      <c r="G754" s="2"/>
      <c r="H754" s="139"/>
      <c r="I754" s="139"/>
      <c r="J754" s="139"/>
      <c r="K754" s="140"/>
      <c r="L754" s="136"/>
    </row>
    <row r="755" spans="6:12" ht="13.2">
      <c r="F755" s="138"/>
      <c r="G755" s="2"/>
      <c r="H755" s="139"/>
      <c r="I755" s="139"/>
      <c r="J755" s="139"/>
      <c r="K755" s="140"/>
      <c r="L755" s="136"/>
    </row>
    <row r="756" spans="6:12" ht="13.2">
      <c r="F756" s="138"/>
      <c r="G756" s="2"/>
      <c r="H756" s="139"/>
      <c r="I756" s="139"/>
      <c r="J756" s="139"/>
      <c r="K756" s="140"/>
      <c r="L756" s="136"/>
    </row>
    <row r="757" spans="6:12" ht="13.2">
      <c r="F757" s="138"/>
      <c r="G757" s="2"/>
      <c r="H757" s="139"/>
      <c r="I757" s="139"/>
      <c r="J757" s="139"/>
      <c r="K757" s="140"/>
      <c r="L757" s="136"/>
    </row>
    <row r="758" spans="6:12" ht="13.2">
      <c r="F758" s="138"/>
      <c r="G758" s="2"/>
      <c r="H758" s="139"/>
      <c r="I758" s="139"/>
      <c r="J758" s="139"/>
      <c r="K758" s="140"/>
      <c r="L758" s="136"/>
    </row>
    <row r="759" spans="6:12" ht="13.2">
      <c r="F759" s="138"/>
      <c r="G759" s="2"/>
      <c r="H759" s="139"/>
      <c r="I759" s="139"/>
      <c r="J759" s="139"/>
      <c r="K759" s="140"/>
      <c r="L759" s="136"/>
    </row>
    <row r="760" spans="6:12" ht="13.2">
      <c r="F760" s="138"/>
      <c r="G760" s="2"/>
      <c r="H760" s="139"/>
      <c r="I760" s="139"/>
      <c r="J760" s="139"/>
      <c r="K760" s="140"/>
      <c r="L760" s="136"/>
    </row>
    <row r="761" spans="6:12" ht="13.2">
      <c r="F761" s="138"/>
      <c r="G761" s="2"/>
      <c r="H761" s="139"/>
      <c r="I761" s="139"/>
      <c r="J761" s="139"/>
      <c r="K761" s="140"/>
      <c r="L761" s="136"/>
    </row>
    <row r="762" spans="6:12" ht="13.2">
      <c r="F762" s="138"/>
      <c r="G762" s="2"/>
      <c r="H762" s="139"/>
      <c r="I762" s="139"/>
      <c r="J762" s="139"/>
      <c r="K762" s="140"/>
      <c r="L762" s="136"/>
    </row>
    <row r="763" spans="6:12" ht="13.2">
      <c r="F763" s="138"/>
      <c r="G763" s="2"/>
      <c r="H763" s="139"/>
      <c r="I763" s="139"/>
      <c r="J763" s="139"/>
      <c r="K763" s="140"/>
      <c r="L763" s="136"/>
    </row>
    <row r="764" spans="6:12" ht="13.2">
      <c r="F764" s="138"/>
      <c r="G764" s="2"/>
      <c r="H764" s="139"/>
      <c r="I764" s="139"/>
      <c r="J764" s="139"/>
      <c r="K764" s="140"/>
      <c r="L764" s="136"/>
    </row>
    <row r="765" spans="6:12" ht="13.2">
      <c r="F765" s="138"/>
      <c r="G765" s="2"/>
      <c r="H765" s="139"/>
      <c r="I765" s="139"/>
      <c r="J765" s="139"/>
      <c r="K765" s="140"/>
      <c r="L765" s="136"/>
    </row>
    <row r="766" spans="6:12" ht="13.2">
      <c r="F766" s="138"/>
      <c r="G766" s="2"/>
      <c r="H766" s="139"/>
      <c r="I766" s="139"/>
      <c r="J766" s="139"/>
      <c r="K766" s="140"/>
      <c r="L766" s="136"/>
    </row>
    <row r="767" spans="6:12" ht="13.2">
      <c r="F767" s="138"/>
      <c r="G767" s="2"/>
      <c r="H767" s="139"/>
      <c r="I767" s="139"/>
      <c r="J767" s="139"/>
      <c r="K767" s="140"/>
      <c r="L767" s="136"/>
    </row>
    <row r="768" spans="6:12" ht="13.2">
      <c r="F768" s="138"/>
      <c r="G768" s="2"/>
      <c r="H768" s="139"/>
      <c r="I768" s="139"/>
      <c r="J768" s="139"/>
      <c r="K768" s="140"/>
      <c r="L768" s="136"/>
    </row>
    <row r="769" spans="6:12" ht="13.2">
      <c r="F769" s="138"/>
      <c r="G769" s="2"/>
      <c r="H769" s="139"/>
      <c r="I769" s="139"/>
      <c r="J769" s="139"/>
      <c r="K769" s="140"/>
      <c r="L769" s="136"/>
    </row>
    <row r="770" spans="6:12" ht="13.2">
      <c r="F770" s="138"/>
      <c r="G770" s="2"/>
      <c r="H770" s="139"/>
      <c r="I770" s="139"/>
      <c r="J770" s="139"/>
      <c r="K770" s="140"/>
      <c r="L770" s="136"/>
    </row>
    <row r="771" spans="6:12" ht="13.2">
      <c r="F771" s="138"/>
      <c r="G771" s="2"/>
      <c r="H771" s="139"/>
      <c r="I771" s="139"/>
      <c r="J771" s="139"/>
      <c r="K771" s="140"/>
      <c r="L771" s="136"/>
    </row>
    <row r="772" spans="6:12" ht="13.2">
      <c r="F772" s="138"/>
      <c r="G772" s="2"/>
      <c r="H772" s="139"/>
      <c r="I772" s="139"/>
      <c r="J772" s="139"/>
      <c r="K772" s="140"/>
      <c r="L772" s="136"/>
    </row>
    <row r="773" spans="6:12" ht="13.2">
      <c r="F773" s="138"/>
      <c r="G773" s="2"/>
      <c r="H773" s="139"/>
      <c r="I773" s="139"/>
      <c r="J773" s="139"/>
      <c r="K773" s="140"/>
      <c r="L773" s="136"/>
    </row>
    <row r="774" spans="6:12" ht="13.2">
      <c r="F774" s="138"/>
      <c r="G774" s="2"/>
      <c r="H774" s="139"/>
      <c r="I774" s="139"/>
      <c r="J774" s="139"/>
      <c r="K774" s="140"/>
      <c r="L774" s="136"/>
    </row>
    <row r="775" spans="6:12" ht="13.2">
      <c r="F775" s="138"/>
      <c r="G775" s="2"/>
      <c r="H775" s="139"/>
      <c r="I775" s="139"/>
      <c r="J775" s="139"/>
      <c r="K775" s="140"/>
      <c r="L775" s="136"/>
    </row>
    <row r="776" spans="6:12" ht="13.2">
      <c r="F776" s="138"/>
      <c r="G776" s="2"/>
      <c r="H776" s="139"/>
      <c r="I776" s="139"/>
      <c r="J776" s="139"/>
      <c r="K776" s="140"/>
      <c r="L776" s="136"/>
    </row>
    <row r="777" spans="6:12" ht="13.2">
      <c r="F777" s="138"/>
      <c r="G777" s="2"/>
      <c r="H777" s="139"/>
      <c r="I777" s="139"/>
      <c r="J777" s="139"/>
      <c r="K777" s="140"/>
      <c r="L777" s="136"/>
    </row>
    <row r="778" spans="6:12" ht="13.2">
      <c r="F778" s="138"/>
      <c r="G778" s="2"/>
      <c r="H778" s="139"/>
      <c r="I778" s="139"/>
      <c r="J778" s="139"/>
      <c r="K778" s="140"/>
      <c r="L778" s="136"/>
    </row>
    <row r="779" spans="6:12" ht="13.2">
      <c r="F779" s="138"/>
      <c r="G779" s="2"/>
      <c r="H779" s="139"/>
      <c r="I779" s="139"/>
      <c r="J779" s="139"/>
      <c r="K779" s="140"/>
      <c r="L779" s="136"/>
    </row>
    <row r="780" spans="6:12" ht="13.2">
      <c r="F780" s="138"/>
      <c r="G780" s="2"/>
      <c r="H780" s="139"/>
      <c r="I780" s="139"/>
      <c r="J780" s="139"/>
      <c r="K780" s="140"/>
      <c r="L780" s="136"/>
    </row>
    <row r="781" spans="6:12" ht="13.2">
      <c r="F781" s="138"/>
      <c r="G781" s="2"/>
      <c r="H781" s="139"/>
      <c r="I781" s="139"/>
      <c r="J781" s="139"/>
      <c r="K781" s="140"/>
      <c r="L781" s="136"/>
    </row>
    <row r="782" spans="6:12" ht="13.2">
      <c r="F782" s="138"/>
      <c r="G782" s="2"/>
      <c r="H782" s="139"/>
      <c r="I782" s="139"/>
      <c r="J782" s="139"/>
      <c r="K782" s="140"/>
      <c r="L782" s="136"/>
    </row>
    <row r="783" spans="6:12" ht="13.2">
      <c r="F783" s="138"/>
      <c r="G783" s="2"/>
      <c r="H783" s="139"/>
      <c r="I783" s="139"/>
      <c r="J783" s="139"/>
      <c r="K783" s="140"/>
      <c r="L783" s="136"/>
    </row>
    <row r="784" spans="6:12" ht="13.2">
      <c r="F784" s="138"/>
      <c r="G784" s="2"/>
      <c r="H784" s="139"/>
      <c r="I784" s="139"/>
      <c r="J784" s="139"/>
      <c r="K784" s="140"/>
      <c r="L784" s="136"/>
    </row>
    <row r="785" spans="6:12" ht="13.2">
      <c r="F785" s="138"/>
      <c r="G785" s="2"/>
      <c r="H785" s="139"/>
      <c r="I785" s="139"/>
      <c r="J785" s="139"/>
      <c r="K785" s="140"/>
      <c r="L785" s="136"/>
    </row>
    <row r="786" spans="6:12" ht="13.2">
      <c r="F786" s="138"/>
      <c r="G786" s="2"/>
      <c r="H786" s="139"/>
      <c r="I786" s="139"/>
      <c r="J786" s="139"/>
      <c r="K786" s="140"/>
      <c r="L786" s="136"/>
    </row>
    <row r="787" spans="6:12" ht="13.2">
      <c r="F787" s="138"/>
      <c r="G787" s="2"/>
      <c r="H787" s="139"/>
      <c r="I787" s="139"/>
      <c r="J787" s="139"/>
      <c r="K787" s="140"/>
      <c r="L787" s="136"/>
    </row>
    <row r="788" spans="6:12" ht="13.2">
      <c r="F788" s="138"/>
      <c r="G788" s="2"/>
      <c r="H788" s="139"/>
      <c r="I788" s="139"/>
      <c r="J788" s="139"/>
      <c r="K788" s="140"/>
      <c r="L788" s="136"/>
    </row>
    <row r="789" spans="6:12" ht="13.2">
      <c r="F789" s="138"/>
      <c r="G789" s="2"/>
      <c r="H789" s="139"/>
      <c r="I789" s="139"/>
      <c r="J789" s="139"/>
      <c r="K789" s="140"/>
      <c r="L789" s="136"/>
    </row>
    <row r="790" spans="6:12" ht="13.2">
      <c r="F790" s="138"/>
      <c r="G790" s="2"/>
      <c r="H790" s="139"/>
      <c r="I790" s="139"/>
      <c r="J790" s="139"/>
      <c r="K790" s="140"/>
      <c r="L790" s="136"/>
    </row>
    <row r="791" spans="6:12" ht="13.2">
      <c r="F791" s="138"/>
      <c r="G791" s="2"/>
      <c r="H791" s="139"/>
      <c r="I791" s="139"/>
      <c r="J791" s="139"/>
      <c r="K791" s="140"/>
      <c r="L791" s="136"/>
    </row>
    <row r="792" spans="6:12" ht="13.2">
      <c r="F792" s="138"/>
      <c r="G792" s="2"/>
      <c r="H792" s="139"/>
      <c r="I792" s="139"/>
      <c r="J792" s="139"/>
      <c r="K792" s="140"/>
      <c r="L792" s="136"/>
    </row>
    <row r="793" spans="6:12" ht="13.2">
      <c r="F793" s="138"/>
      <c r="G793" s="2"/>
      <c r="H793" s="139"/>
      <c r="I793" s="139"/>
      <c r="J793" s="139"/>
      <c r="K793" s="140"/>
      <c r="L793" s="136"/>
    </row>
    <row r="794" spans="6:12" ht="13.2">
      <c r="F794" s="138"/>
      <c r="G794" s="2"/>
      <c r="H794" s="139"/>
      <c r="I794" s="139"/>
      <c r="J794" s="139"/>
      <c r="K794" s="140"/>
      <c r="L794" s="136"/>
    </row>
    <row r="795" spans="6:12" ht="13.2">
      <c r="F795" s="138"/>
      <c r="G795" s="2"/>
      <c r="H795" s="139"/>
      <c r="I795" s="139"/>
      <c r="J795" s="139"/>
      <c r="K795" s="140"/>
      <c r="L795" s="136"/>
    </row>
    <row r="796" spans="6:12" ht="13.2">
      <c r="F796" s="138"/>
      <c r="G796" s="2"/>
      <c r="H796" s="139"/>
      <c r="I796" s="139"/>
      <c r="J796" s="139"/>
      <c r="K796" s="140"/>
      <c r="L796" s="136"/>
    </row>
    <row r="797" spans="6:12" ht="13.2">
      <c r="F797" s="138"/>
      <c r="G797" s="2"/>
      <c r="H797" s="139"/>
      <c r="I797" s="139"/>
      <c r="J797" s="139"/>
      <c r="K797" s="140"/>
      <c r="L797" s="136"/>
    </row>
    <row r="798" spans="6:12" ht="13.2">
      <c r="F798" s="138"/>
      <c r="G798" s="2"/>
      <c r="H798" s="139"/>
      <c r="I798" s="139"/>
      <c r="J798" s="139"/>
      <c r="K798" s="140"/>
      <c r="L798" s="136"/>
    </row>
    <row r="799" spans="6:12" ht="13.2">
      <c r="F799" s="138"/>
      <c r="G799" s="2"/>
      <c r="H799" s="139"/>
      <c r="I799" s="139"/>
      <c r="J799" s="139"/>
      <c r="K799" s="140"/>
      <c r="L799" s="136"/>
    </row>
    <row r="800" spans="6:12" ht="13.2">
      <c r="F800" s="138"/>
      <c r="G800" s="2"/>
      <c r="H800" s="139"/>
      <c r="I800" s="139"/>
      <c r="J800" s="139"/>
      <c r="K800" s="140"/>
      <c r="L800" s="136"/>
    </row>
    <row r="801" spans="6:12" ht="13.2">
      <c r="F801" s="138"/>
      <c r="G801" s="2"/>
      <c r="H801" s="139"/>
      <c r="I801" s="139"/>
      <c r="J801" s="139"/>
      <c r="K801" s="140"/>
      <c r="L801" s="136"/>
    </row>
    <row r="802" spans="6:12" ht="13.2">
      <c r="F802" s="138"/>
      <c r="G802" s="2"/>
      <c r="H802" s="139"/>
      <c r="I802" s="139"/>
      <c r="J802" s="139"/>
      <c r="K802" s="140"/>
      <c r="L802" s="136"/>
    </row>
    <row r="803" spans="6:12" ht="13.2">
      <c r="F803" s="138"/>
      <c r="G803" s="2"/>
      <c r="H803" s="139"/>
      <c r="I803" s="139"/>
      <c r="J803" s="139"/>
      <c r="K803" s="140"/>
      <c r="L803" s="136"/>
    </row>
    <row r="804" spans="6:12" ht="13.2">
      <c r="F804" s="138"/>
      <c r="G804" s="2"/>
      <c r="H804" s="139"/>
      <c r="I804" s="139"/>
      <c r="J804" s="139"/>
      <c r="K804" s="140"/>
      <c r="L804" s="136"/>
    </row>
    <row r="805" spans="6:12" ht="13.2">
      <c r="F805" s="138"/>
      <c r="G805" s="2"/>
      <c r="H805" s="139"/>
      <c r="I805" s="139"/>
      <c r="J805" s="139"/>
      <c r="K805" s="140"/>
      <c r="L805" s="136"/>
    </row>
    <row r="806" spans="6:12" ht="13.2">
      <c r="F806" s="138"/>
      <c r="G806" s="2"/>
      <c r="H806" s="139"/>
      <c r="I806" s="139"/>
      <c r="J806" s="139"/>
      <c r="K806" s="140"/>
      <c r="L806" s="136"/>
    </row>
    <row r="807" spans="6:12" ht="13.2">
      <c r="F807" s="138"/>
      <c r="G807" s="2"/>
      <c r="H807" s="139"/>
      <c r="I807" s="139"/>
      <c r="J807" s="139"/>
      <c r="K807" s="140"/>
      <c r="L807" s="136"/>
    </row>
    <row r="808" spans="6:12" ht="13.2">
      <c r="F808" s="138"/>
      <c r="G808" s="2"/>
      <c r="H808" s="139"/>
      <c r="I808" s="139"/>
      <c r="J808" s="139"/>
      <c r="K808" s="140"/>
      <c r="L808" s="136"/>
    </row>
    <row r="809" spans="6:12" ht="13.2">
      <c r="F809" s="138"/>
      <c r="G809" s="2"/>
      <c r="H809" s="139"/>
      <c r="I809" s="139"/>
      <c r="J809" s="139"/>
      <c r="K809" s="140"/>
      <c r="L809" s="136"/>
    </row>
    <row r="810" spans="6:12" ht="13.2">
      <c r="F810" s="138"/>
      <c r="G810" s="2"/>
      <c r="H810" s="139"/>
      <c r="I810" s="139"/>
      <c r="J810" s="139"/>
      <c r="K810" s="140"/>
      <c r="L810" s="136"/>
    </row>
    <row r="811" spans="6:12" ht="13.2">
      <c r="F811" s="138"/>
      <c r="G811" s="2"/>
      <c r="H811" s="139"/>
      <c r="I811" s="139"/>
      <c r="J811" s="139"/>
      <c r="K811" s="140"/>
      <c r="L811" s="136"/>
    </row>
    <row r="812" spans="6:12" ht="13.2">
      <c r="F812" s="138"/>
      <c r="G812" s="2"/>
      <c r="H812" s="139"/>
      <c r="I812" s="139"/>
      <c r="J812" s="139"/>
      <c r="K812" s="140"/>
      <c r="L812" s="136"/>
    </row>
    <row r="813" spans="6:12" ht="13.2">
      <c r="F813" s="138"/>
      <c r="G813" s="2"/>
      <c r="H813" s="139"/>
      <c r="I813" s="139"/>
      <c r="J813" s="139"/>
      <c r="K813" s="140"/>
      <c r="L813" s="136"/>
    </row>
    <row r="814" spans="6:12" ht="13.2">
      <c r="F814" s="138"/>
      <c r="G814" s="2"/>
      <c r="H814" s="139"/>
      <c r="I814" s="139"/>
      <c r="J814" s="139"/>
      <c r="K814" s="140"/>
      <c r="L814" s="136"/>
    </row>
    <row r="815" spans="6:12" ht="13.2">
      <c r="F815" s="138"/>
      <c r="G815" s="2"/>
      <c r="H815" s="139"/>
      <c r="I815" s="139"/>
      <c r="J815" s="139"/>
      <c r="K815" s="140"/>
      <c r="L815" s="136"/>
    </row>
    <row r="816" spans="6:12" ht="13.2">
      <c r="F816" s="138"/>
      <c r="G816" s="2"/>
      <c r="H816" s="139"/>
      <c r="I816" s="139"/>
      <c r="J816" s="139"/>
      <c r="K816" s="140"/>
      <c r="L816" s="136"/>
    </row>
    <row r="817" spans="6:12" ht="13.2">
      <c r="F817" s="138"/>
      <c r="G817" s="2"/>
      <c r="H817" s="139"/>
      <c r="I817" s="139"/>
      <c r="J817" s="139"/>
      <c r="K817" s="140"/>
      <c r="L817" s="136"/>
    </row>
    <row r="818" spans="6:12" ht="13.2">
      <c r="F818" s="138"/>
      <c r="G818" s="2"/>
      <c r="H818" s="139"/>
      <c r="I818" s="139"/>
      <c r="J818" s="139"/>
      <c r="K818" s="140"/>
      <c r="L818" s="136"/>
    </row>
    <row r="819" spans="6:12" ht="13.2">
      <c r="F819" s="138"/>
      <c r="G819" s="2"/>
      <c r="H819" s="139"/>
      <c r="I819" s="139"/>
      <c r="J819" s="139"/>
      <c r="K819" s="140"/>
      <c r="L819" s="136"/>
    </row>
    <row r="820" spans="6:12" ht="13.2">
      <c r="F820" s="138"/>
      <c r="G820" s="2"/>
      <c r="H820" s="139"/>
      <c r="I820" s="139"/>
      <c r="J820" s="139"/>
      <c r="K820" s="140"/>
      <c r="L820" s="136"/>
    </row>
    <row r="821" spans="6:12" ht="13.2">
      <c r="F821" s="138"/>
      <c r="G821" s="2"/>
      <c r="H821" s="139"/>
      <c r="I821" s="139"/>
      <c r="J821" s="139"/>
      <c r="K821" s="140"/>
      <c r="L821" s="136"/>
    </row>
    <row r="822" spans="6:12" ht="13.2">
      <c r="F822" s="138"/>
      <c r="G822" s="2"/>
      <c r="H822" s="139"/>
      <c r="I822" s="139"/>
      <c r="J822" s="139"/>
      <c r="K822" s="140"/>
      <c r="L822" s="136"/>
    </row>
    <row r="823" spans="6:12" ht="13.2">
      <c r="F823" s="138"/>
      <c r="G823" s="2"/>
      <c r="H823" s="139"/>
      <c r="I823" s="139"/>
      <c r="J823" s="139"/>
      <c r="K823" s="140"/>
      <c r="L823" s="136"/>
    </row>
    <row r="824" spans="6:12" ht="13.2">
      <c r="F824" s="138"/>
      <c r="G824" s="2"/>
      <c r="H824" s="139"/>
      <c r="I824" s="139"/>
      <c r="J824" s="139"/>
      <c r="K824" s="140"/>
      <c r="L824" s="136"/>
    </row>
    <row r="825" spans="6:12" ht="13.2">
      <c r="F825" s="138"/>
      <c r="G825" s="2"/>
      <c r="H825" s="139"/>
      <c r="I825" s="139"/>
      <c r="J825" s="139"/>
      <c r="K825" s="140"/>
      <c r="L825" s="136"/>
    </row>
    <row r="826" spans="6:12" ht="13.2">
      <c r="F826" s="138"/>
      <c r="G826" s="2"/>
      <c r="H826" s="139"/>
      <c r="I826" s="139"/>
      <c r="J826" s="139"/>
      <c r="K826" s="140"/>
      <c r="L826" s="136"/>
    </row>
    <row r="827" spans="6:12" ht="13.2">
      <c r="F827" s="138"/>
      <c r="G827" s="2"/>
      <c r="H827" s="139"/>
      <c r="I827" s="139"/>
      <c r="J827" s="139"/>
      <c r="K827" s="140"/>
      <c r="L827" s="136"/>
    </row>
    <row r="828" spans="6:12" ht="13.2">
      <c r="F828" s="138"/>
      <c r="G828" s="2"/>
      <c r="H828" s="139"/>
      <c r="I828" s="139"/>
      <c r="J828" s="139"/>
      <c r="K828" s="140"/>
      <c r="L828" s="136"/>
    </row>
    <row r="829" spans="6:12" ht="13.2">
      <c r="F829" s="138"/>
      <c r="G829" s="2"/>
      <c r="H829" s="139"/>
      <c r="I829" s="139"/>
      <c r="J829" s="139"/>
      <c r="K829" s="140"/>
      <c r="L829" s="136"/>
    </row>
    <row r="830" spans="6:12" ht="13.2">
      <c r="F830" s="138"/>
      <c r="G830" s="2"/>
      <c r="H830" s="139"/>
      <c r="I830" s="139"/>
      <c r="J830" s="139"/>
      <c r="K830" s="140"/>
      <c r="L830" s="136"/>
    </row>
    <row r="831" spans="6:12" ht="13.2">
      <c r="F831" s="138"/>
      <c r="G831" s="2"/>
      <c r="H831" s="139"/>
      <c r="I831" s="139"/>
      <c r="J831" s="139"/>
      <c r="K831" s="140"/>
      <c r="L831" s="136"/>
    </row>
    <row r="832" spans="6:12" ht="13.2">
      <c r="F832" s="138"/>
      <c r="G832" s="2"/>
      <c r="H832" s="139"/>
      <c r="I832" s="139"/>
      <c r="J832" s="139"/>
      <c r="K832" s="140"/>
      <c r="L832" s="136"/>
    </row>
    <row r="833" spans="6:12" ht="13.2">
      <c r="F833" s="138"/>
      <c r="G833" s="2"/>
      <c r="H833" s="139"/>
      <c r="I833" s="139"/>
      <c r="J833" s="139"/>
      <c r="K833" s="140"/>
      <c r="L833" s="136"/>
    </row>
    <row r="834" spans="6:12" ht="13.2">
      <c r="F834" s="138"/>
      <c r="G834" s="2"/>
      <c r="H834" s="139"/>
      <c r="I834" s="139"/>
      <c r="J834" s="139"/>
      <c r="K834" s="140"/>
      <c r="L834" s="136"/>
    </row>
    <row r="835" spans="6:12" ht="13.2">
      <c r="F835" s="138"/>
      <c r="G835" s="2"/>
      <c r="H835" s="139"/>
      <c r="I835" s="139"/>
      <c r="J835" s="139"/>
      <c r="K835" s="140"/>
      <c r="L835" s="136"/>
    </row>
    <row r="836" spans="6:12" ht="13.2">
      <c r="F836" s="138"/>
      <c r="G836" s="2"/>
      <c r="H836" s="139"/>
      <c r="I836" s="139"/>
      <c r="J836" s="139"/>
      <c r="K836" s="140"/>
      <c r="L836" s="136"/>
    </row>
    <row r="837" spans="6:12" ht="13.2">
      <c r="F837" s="138"/>
      <c r="G837" s="2"/>
      <c r="H837" s="139"/>
      <c r="I837" s="139"/>
      <c r="J837" s="139"/>
      <c r="K837" s="140"/>
      <c r="L837" s="136"/>
    </row>
    <row r="838" spans="6:12" ht="13.2">
      <c r="F838" s="138"/>
      <c r="G838" s="2"/>
      <c r="H838" s="139"/>
      <c r="I838" s="139"/>
      <c r="J838" s="139"/>
      <c r="K838" s="140"/>
      <c r="L838" s="136"/>
    </row>
    <row r="839" spans="6:12" ht="13.2">
      <c r="F839" s="138"/>
      <c r="G839" s="2"/>
      <c r="H839" s="139"/>
      <c r="I839" s="139"/>
      <c r="J839" s="139"/>
      <c r="K839" s="140"/>
      <c r="L839" s="136"/>
    </row>
    <row r="840" spans="6:12" ht="13.2">
      <c r="F840" s="138"/>
      <c r="G840" s="2"/>
      <c r="H840" s="139"/>
      <c r="I840" s="139"/>
      <c r="J840" s="139"/>
      <c r="K840" s="140"/>
      <c r="L840" s="136"/>
    </row>
    <row r="841" spans="6:12" ht="13.2">
      <c r="F841" s="138"/>
      <c r="G841" s="2"/>
      <c r="H841" s="139"/>
      <c r="I841" s="139"/>
      <c r="J841" s="139"/>
      <c r="K841" s="140"/>
      <c r="L841" s="136"/>
    </row>
    <row r="842" spans="6:12" ht="13.2">
      <c r="F842" s="138"/>
      <c r="G842" s="2"/>
      <c r="H842" s="139"/>
      <c r="I842" s="139"/>
      <c r="J842" s="139"/>
      <c r="K842" s="140"/>
      <c r="L842" s="136"/>
    </row>
    <row r="843" spans="6:12" ht="13.2">
      <c r="F843" s="138"/>
      <c r="G843" s="2"/>
      <c r="H843" s="139"/>
      <c r="I843" s="139"/>
      <c r="J843" s="139"/>
      <c r="K843" s="140"/>
      <c r="L843" s="136"/>
    </row>
    <row r="844" spans="6:12" ht="13.2">
      <c r="F844" s="138"/>
      <c r="G844" s="2"/>
      <c r="H844" s="139"/>
      <c r="I844" s="139"/>
      <c r="J844" s="139"/>
      <c r="K844" s="140"/>
      <c r="L844" s="136"/>
    </row>
    <row r="845" spans="6:12" ht="13.2">
      <c r="F845" s="138"/>
      <c r="G845" s="2"/>
      <c r="H845" s="139"/>
      <c r="I845" s="139"/>
      <c r="J845" s="139"/>
      <c r="K845" s="140"/>
      <c r="L845" s="136"/>
    </row>
    <row r="846" spans="6:12" ht="13.2">
      <c r="F846" s="138"/>
      <c r="G846" s="2"/>
      <c r="H846" s="139"/>
      <c r="I846" s="139"/>
      <c r="J846" s="139"/>
      <c r="K846" s="140"/>
      <c r="L846" s="136"/>
    </row>
    <row r="847" spans="6:12" ht="13.2">
      <c r="F847" s="138"/>
      <c r="G847" s="2"/>
      <c r="H847" s="139"/>
      <c r="I847" s="139"/>
      <c r="J847" s="139"/>
      <c r="K847" s="140"/>
      <c r="L847" s="136"/>
    </row>
    <row r="848" spans="6:12" ht="13.2">
      <c r="F848" s="138"/>
      <c r="G848" s="2"/>
      <c r="H848" s="139"/>
      <c r="I848" s="139"/>
      <c r="J848" s="139"/>
      <c r="K848" s="140"/>
      <c r="L848" s="136"/>
    </row>
    <row r="849" spans="6:12" ht="13.2">
      <c r="F849" s="138"/>
      <c r="G849" s="2"/>
      <c r="H849" s="139"/>
      <c r="I849" s="139"/>
      <c r="J849" s="139"/>
      <c r="K849" s="140"/>
      <c r="L849" s="136"/>
    </row>
    <row r="850" spans="6:12" ht="13.2">
      <c r="F850" s="138"/>
      <c r="G850" s="2"/>
      <c r="H850" s="139"/>
      <c r="I850" s="139"/>
      <c r="J850" s="139"/>
      <c r="K850" s="140"/>
      <c r="L850" s="136"/>
    </row>
    <row r="851" spans="6:12" ht="13.2">
      <c r="F851" s="138"/>
      <c r="G851" s="2"/>
      <c r="H851" s="139"/>
      <c r="I851" s="139"/>
      <c r="J851" s="139"/>
      <c r="K851" s="140"/>
      <c r="L851" s="136"/>
    </row>
    <row r="852" spans="6:12" ht="13.2">
      <c r="F852" s="138"/>
      <c r="G852" s="2"/>
      <c r="H852" s="139"/>
      <c r="I852" s="139"/>
      <c r="J852" s="139"/>
      <c r="K852" s="140"/>
      <c r="L852" s="136"/>
    </row>
    <row r="853" spans="6:12" ht="13.2">
      <c r="F853" s="138"/>
      <c r="G853" s="2"/>
      <c r="H853" s="139"/>
      <c r="I853" s="139"/>
      <c r="J853" s="139"/>
      <c r="K853" s="140"/>
      <c r="L853" s="136"/>
    </row>
    <row r="854" spans="6:12" ht="13.2">
      <c r="F854" s="138"/>
      <c r="G854" s="2"/>
      <c r="H854" s="139"/>
      <c r="I854" s="139"/>
      <c r="J854" s="139"/>
      <c r="K854" s="140"/>
      <c r="L854" s="136"/>
    </row>
    <row r="855" spans="6:12" ht="13.2">
      <c r="F855" s="138"/>
      <c r="G855" s="2"/>
      <c r="H855" s="139"/>
      <c r="I855" s="139"/>
      <c r="J855" s="139"/>
      <c r="K855" s="140"/>
      <c r="L855" s="136"/>
    </row>
    <row r="856" spans="6:12" ht="13.2">
      <c r="F856" s="138"/>
      <c r="G856" s="2"/>
      <c r="H856" s="139"/>
      <c r="I856" s="139"/>
      <c r="J856" s="139"/>
      <c r="K856" s="140"/>
      <c r="L856" s="136"/>
    </row>
    <row r="857" spans="6:12" ht="13.2">
      <c r="F857" s="138"/>
      <c r="G857" s="2"/>
      <c r="H857" s="139"/>
      <c r="I857" s="139"/>
      <c r="J857" s="139"/>
      <c r="K857" s="140"/>
      <c r="L857" s="136"/>
    </row>
    <row r="858" spans="6:12" ht="13.2">
      <c r="F858" s="138"/>
      <c r="G858" s="2"/>
      <c r="H858" s="139"/>
      <c r="I858" s="139"/>
      <c r="J858" s="139"/>
      <c r="K858" s="140"/>
      <c r="L858" s="136"/>
    </row>
    <row r="859" spans="6:12" ht="13.2">
      <c r="F859" s="138"/>
      <c r="G859" s="2"/>
      <c r="H859" s="139"/>
      <c r="I859" s="139"/>
      <c r="J859" s="139"/>
      <c r="K859" s="140"/>
      <c r="L859" s="136"/>
    </row>
    <row r="860" spans="6:12" ht="13.2">
      <c r="F860" s="138"/>
      <c r="G860" s="2"/>
      <c r="H860" s="139"/>
      <c r="I860" s="139"/>
      <c r="J860" s="139"/>
      <c r="K860" s="140"/>
      <c r="L860" s="136"/>
    </row>
    <row r="861" spans="6:12" ht="13.2">
      <c r="F861" s="138"/>
      <c r="G861" s="2"/>
      <c r="H861" s="139"/>
      <c r="I861" s="139"/>
      <c r="J861" s="139"/>
      <c r="K861" s="140"/>
      <c r="L861" s="136"/>
    </row>
    <row r="862" spans="6:12" ht="13.2">
      <c r="F862" s="138"/>
      <c r="G862" s="2"/>
      <c r="H862" s="139"/>
      <c r="I862" s="139"/>
      <c r="J862" s="139"/>
      <c r="K862" s="140"/>
      <c r="L862" s="136"/>
    </row>
    <row r="863" spans="6:12" ht="13.2">
      <c r="F863" s="138"/>
      <c r="G863" s="2"/>
      <c r="H863" s="139"/>
      <c r="I863" s="139"/>
      <c r="J863" s="139"/>
      <c r="K863" s="140"/>
      <c r="L863" s="136"/>
    </row>
    <row r="864" spans="6:12" ht="13.2">
      <c r="F864" s="138"/>
      <c r="G864" s="2"/>
      <c r="H864" s="139"/>
      <c r="I864" s="139"/>
      <c r="J864" s="139"/>
      <c r="K864" s="140"/>
      <c r="L864" s="136"/>
    </row>
    <row r="865" spans="6:12" ht="13.2">
      <c r="F865" s="138"/>
      <c r="G865" s="2"/>
      <c r="H865" s="139"/>
      <c r="I865" s="139"/>
      <c r="J865" s="139"/>
      <c r="K865" s="140"/>
      <c r="L865" s="136"/>
    </row>
    <row r="866" spans="6:12" ht="13.2">
      <c r="F866" s="138"/>
      <c r="G866" s="2"/>
      <c r="H866" s="139"/>
      <c r="I866" s="139"/>
      <c r="J866" s="139"/>
      <c r="K866" s="140"/>
      <c r="L866" s="136"/>
    </row>
    <row r="867" spans="6:12" ht="13.2">
      <c r="F867" s="138"/>
      <c r="G867" s="2"/>
      <c r="H867" s="139"/>
      <c r="I867" s="139"/>
      <c r="J867" s="139"/>
      <c r="K867" s="140"/>
      <c r="L867" s="136"/>
    </row>
    <row r="868" spans="6:12" ht="13.2">
      <c r="F868" s="138"/>
      <c r="G868" s="2"/>
      <c r="H868" s="139"/>
      <c r="I868" s="139"/>
      <c r="J868" s="139"/>
      <c r="K868" s="140"/>
      <c r="L868" s="136"/>
    </row>
    <row r="869" spans="6:12" ht="13.2">
      <c r="F869" s="138"/>
      <c r="G869" s="2"/>
      <c r="H869" s="139"/>
      <c r="I869" s="139"/>
      <c r="J869" s="139"/>
      <c r="K869" s="140"/>
      <c r="L869" s="136"/>
    </row>
    <row r="870" spans="6:12" ht="13.2">
      <c r="F870" s="138"/>
      <c r="G870" s="2"/>
      <c r="H870" s="139"/>
      <c r="I870" s="139"/>
      <c r="J870" s="139"/>
      <c r="K870" s="140"/>
      <c r="L870" s="136"/>
    </row>
    <row r="871" spans="6:12" ht="13.2">
      <c r="F871" s="138"/>
      <c r="G871" s="2"/>
      <c r="H871" s="139"/>
      <c r="I871" s="139"/>
      <c r="J871" s="139"/>
      <c r="K871" s="140"/>
      <c r="L871" s="136"/>
    </row>
    <row r="872" spans="6:12" ht="13.2">
      <c r="F872" s="138"/>
      <c r="G872" s="2"/>
      <c r="H872" s="139"/>
      <c r="I872" s="139"/>
      <c r="J872" s="139"/>
      <c r="K872" s="140"/>
      <c r="L872" s="136"/>
    </row>
    <row r="873" spans="6:12" ht="13.2">
      <c r="F873" s="138"/>
      <c r="G873" s="2"/>
      <c r="H873" s="139"/>
      <c r="I873" s="139"/>
      <c r="J873" s="139"/>
      <c r="K873" s="140"/>
      <c r="L873" s="136"/>
    </row>
    <row r="874" spans="6:12" ht="13.2">
      <c r="F874" s="138"/>
      <c r="G874" s="2"/>
      <c r="H874" s="139"/>
      <c r="I874" s="139"/>
      <c r="J874" s="139"/>
      <c r="K874" s="140"/>
      <c r="L874" s="136"/>
    </row>
    <row r="875" spans="6:12" ht="13.2">
      <c r="F875" s="138"/>
      <c r="G875" s="2"/>
      <c r="H875" s="139"/>
      <c r="I875" s="139"/>
      <c r="J875" s="139"/>
      <c r="K875" s="140"/>
      <c r="L875" s="136"/>
    </row>
    <row r="876" spans="6:12" ht="13.2">
      <c r="F876" s="138"/>
      <c r="G876" s="2"/>
      <c r="H876" s="139"/>
      <c r="I876" s="139"/>
      <c r="J876" s="139"/>
      <c r="K876" s="140"/>
      <c r="L876" s="136"/>
    </row>
    <row r="877" spans="6:12" ht="13.2">
      <c r="F877" s="138"/>
      <c r="G877" s="2"/>
      <c r="H877" s="139"/>
      <c r="I877" s="139"/>
      <c r="J877" s="139"/>
      <c r="K877" s="140"/>
      <c r="L877" s="136"/>
    </row>
    <row r="878" spans="6:12" ht="13.2">
      <c r="F878" s="138"/>
      <c r="G878" s="2"/>
      <c r="H878" s="139"/>
      <c r="I878" s="139"/>
      <c r="J878" s="139"/>
      <c r="K878" s="140"/>
      <c r="L878" s="136"/>
    </row>
    <row r="879" spans="6:12" ht="13.2">
      <c r="F879" s="138"/>
      <c r="G879" s="2"/>
      <c r="H879" s="139"/>
      <c r="I879" s="139"/>
      <c r="J879" s="139"/>
      <c r="K879" s="140"/>
      <c r="L879" s="136"/>
    </row>
    <row r="880" spans="6:12" ht="13.2">
      <c r="F880" s="138"/>
      <c r="G880" s="2"/>
      <c r="H880" s="139"/>
      <c r="I880" s="139"/>
      <c r="J880" s="139"/>
      <c r="K880" s="140"/>
      <c r="L880" s="136"/>
    </row>
    <row r="881" spans="6:12" ht="13.2">
      <c r="F881" s="138"/>
      <c r="G881" s="2"/>
      <c r="H881" s="139"/>
      <c r="I881" s="139"/>
      <c r="J881" s="139"/>
      <c r="K881" s="140"/>
      <c r="L881" s="136"/>
    </row>
    <row r="882" spans="6:12" ht="13.2">
      <c r="F882" s="138"/>
      <c r="G882" s="2"/>
      <c r="H882" s="139"/>
      <c r="I882" s="139"/>
      <c r="J882" s="139"/>
      <c r="K882" s="140"/>
      <c r="L882" s="136"/>
    </row>
    <row r="883" spans="6:12" ht="13.2">
      <c r="F883" s="138"/>
      <c r="G883" s="2"/>
      <c r="H883" s="139"/>
      <c r="I883" s="139"/>
      <c r="J883" s="139"/>
      <c r="K883" s="140"/>
      <c r="L883" s="136"/>
    </row>
    <row r="884" spans="6:12" ht="13.2">
      <c r="F884" s="138"/>
      <c r="G884" s="2"/>
      <c r="H884" s="139"/>
      <c r="I884" s="139"/>
      <c r="J884" s="139"/>
      <c r="K884" s="140"/>
      <c r="L884" s="136"/>
    </row>
    <row r="885" spans="6:12" ht="13.2">
      <c r="F885" s="138"/>
      <c r="G885" s="2"/>
      <c r="H885" s="139"/>
      <c r="I885" s="139"/>
      <c r="J885" s="139"/>
      <c r="K885" s="140"/>
      <c r="L885" s="136"/>
    </row>
    <row r="886" spans="6:12" ht="13.2">
      <c r="F886" s="138"/>
      <c r="G886" s="2"/>
      <c r="H886" s="139"/>
      <c r="I886" s="139"/>
      <c r="J886" s="139"/>
      <c r="K886" s="140"/>
      <c r="L886" s="136"/>
    </row>
    <row r="887" spans="6:12" ht="13.2">
      <c r="F887" s="138"/>
      <c r="G887" s="2"/>
      <c r="H887" s="139"/>
      <c r="I887" s="139"/>
      <c r="J887" s="139"/>
      <c r="K887" s="140"/>
      <c r="L887" s="136"/>
    </row>
    <row r="888" spans="6:12" ht="13.2">
      <c r="F888" s="138"/>
      <c r="G888" s="2"/>
      <c r="H888" s="139"/>
      <c r="I888" s="139"/>
      <c r="J888" s="139"/>
      <c r="K888" s="140"/>
      <c r="L888" s="136"/>
    </row>
    <row r="889" spans="6:12" ht="13.2">
      <c r="F889" s="138"/>
      <c r="G889" s="2"/>
      <c r="H889" s="139"/>
      <c r="I889" s="139"/>
      <c r="J889" s="139"/>
      <c r="K889" s="140"/>
      <c r="L889" s="136"/>
    </row>
    <row r="890" spans="6:12" ht="13.2">
      <c r="F890" s="138"/>
      <c r="G890" s="2"/>
      <c r="H890" s="139"/>
      <c r="I890" s="139"/>
      <c r="J890" s="139"/>
      <c r="K890" s="140"/>
      <c r="L890" s="136"/>
    </row>
    <row r="891" spans="6:12" ht="13.2">
      <c r="F891" s="138"/>
      <c r="G891" s="2"/>
      <c r="H891" s="139"/>
      <c r="I891" s="139"/>
      <c r="J891" s="139"/>
      <c r="K891" s="140"/>
      <c r="L891" s="136"/>
    </row>
    <row r="892" spans="6:12" ht="13.2">
      <c r="F892" s="138"/>
      <c r="G892" s="2"/>
      <c r="H892" s="139"/>
      <c r="I892" s="139"/>
      <c r="J892" s="139"/>
      <c r="K892" s="140"/>
      <c r="L892" s="136"/>
    </row>
    <row r="893" spans="6:12" ht="13.2">
      <c r="F893" s="138"/>
      <c r="G893" s="2"/>
      <c r="H893" s="139"/>
      <c r="I893" s="139"/>
      <c r="J893" s="139"/>
      <c r="K893" s="140"/>
      <c r="L893" s="136"/>
    </row>
    <row r="894" spans="6:12" ht="13.2">
      <c r="F894" s="138"/>
      <c r="G894" s="2"/>
      <c r="H894" s="139"/>
      <c r="I894" s="139"/>
      <c r="J894" s="139"/>
      <c r="K894" s="140"/>
      <c r="L894" s="136"/>
    </row>
    <row r="895" spans="6:12" ht="13.2">
      <c r="F895" s="138"/>
      <c r="G895" s="2"/>
      <c r="H895" s="139"/>
      <c r="I895" s="139"/>
      <c r="J895" s="139"/>
      <c r="K895" s="140"/>
      <c r="L895" s="136"/>
    </row>
    <row r="896" spans="6:12" ht="13.2">
      <c r="F896" s="138"/>
      <c r="G896" s="2"/>
      <c r="H896" s="139"/>
      <c r="I896" s="139"/>
      <c r="J896" s="139"/>
      <c r="K896" s="140"/>
      <c r="L896" s="136"/>
    </row>
    <row r="897" spans="6:12" ht="13.2">
      <c r="F897" s="138"/>
      <c r="G897" s="2"/>
      <c r="H897" s="139"/>
      <c r="I897" s="139"/>
      <c r="J897" s="139"/>
      <c r="K897" s="140"/>
      <c r="L897" s="136"/>
    </row>
    <row r="898" spans="6:12" ht="13.2">
      <c r="F898" s="138"/>
      <c r="G898" s="2"/>
      <c r="H898" s="139"/>
      <c r="I898" s="139"/>
      <c r="J898" s="139"/>
      <c r="K898" s="140"/>
      <c r="L898" s="136"/>
    </row>
    <row r="899" spans="6:12" ht="13.2">
      <c r="F899" s="138"/>
      <c r="G899" s="2"/>
      <c r="H899" s="139"/>
      <c r="I899" s="139"/>
      <c r="J899" s="139"/>
      <c r="K899" s="140"/>
      <c r="L899" s="136"/>
    </row>
    <row r="900" spans="6:12" ht="13.2">
      <c r="F900" s="138"/>
      <c r="G900" s="2"/>
      <c r="H900" s="139"/>
      <c r="I900" s="139"/>
      <c r="J900" s="139"/>
      <c r="K900" s="140"/>
      <c r="L900" s="136"/>
    </row>
    <row r="901" spans="6:12" ht="13.2">
      <c r="F901" s="138"/>
      <c r="G901" s="2"/>
      <c r="H901" s="139"/>
      <c r="I901" s="139"/>
      <c r="J901" s="139"/>
      <c r="K901" s="140"/>
      <c r="L901" s="136"/>
    </row>
    <row r="902" spans="6:12" ht="13.2">
      <c r="F902" s="138"/>
      <c r="G902" s="2"/>
      <c r="H902" s="139"/>
      <c r="I902" s="139"/>
      <c r="J902" s="139"/>
      <c r="K902" s="140"/>
      <c r="L902" s="136"/>
    </row>
    <row r="903" spans="6:12" ht="13.2">
      <c r="F903" s="138"/>
      <c r="G903" s="2"/>
      <c r="H903" s="139"/>
      <c r="I903" s="139"/>
      <c r="J903" s="139"/>
      <c r="K903" s="140"/>
      <c r="L903" s="136"/>
    </row>
    <row r="904" spans="6:12" ht="13.2">
      <c r="F904" s="138"/>
      <c r="G904" s="2"/>
      <c r="H904" s="139"/>
      <c r="I904" s="139"/>
      <c r="J904" s="139"/>
      <c r="K904" s="140"/>
      <c r="L904" s="136"/>
    </row>
    <row r="905" spans="6:12" ht="13.2">
      <c r="F905" s="138"/>
      <c r="G905" s="2"/>
      <c r="H905" s="139"/>
      <c r="I905" s="139"/>
      <c r="J905" s="139"/>
      <c r="K905" s="140"/>
      <c r="L905" s="136"/>
    </row>
    <row r="906" spans="6:12" ht="13.2">
      <c r="F906" s="138"/>
      <c r="G906" s="2"/>
      <c r="H906" s="139"/>
      <c r="I906" s="139"/>
      <c r="J906" s="139"/>
      <c r="K906" s="140"/>
      <c r="L906" s="136"/>
    </row>
    <row r="907" spans="6:12" ht="13.2">
      <c r="F907" s="138"/>
      <c r="G907" s="2"/>
      <c r="H907" s="139"/>
      <c r="I907" s="139"/>
      <c r="J907" s="139"/>
      <c r="K907" s="140"/>
      <c r="L907" s="136"/>
    </row>
    <row r="908" spans="6:12" ht="13.2">
      <c r="F908" s="138"/>
      <c r="G908" s="2"/>
      <c r="H908" s="139"/>
      <c r="I908" s="139"/>
      <c r="J908" s="139"/>
      <c r="K908" s="140"/>
      <c r="L908" s="136"/>
    </row>
    <row r="909" spans="6:12" ht="13.2">
      <c r="F909" s="138"/>
      <c r="G909" s="2"/>
      <c r="H909" s="139"/>
      <c r="I909" s="139"/>
      <c r="J909" s="139"/>
      <c r="K909" s="140"/>
      <c r="L909" s="136"/>
    </row>
    <row r="910" spans="6:12" ht="13.2">
      <c r="F910" s="138"/>
      <c r="G910" s="2"/>
      <c r="H910" s="139"/>
      <c r="I910" s="139"/>
      <c r="J910" s="139"/>
      <c r="K910" s="140"/>
      <c r="L910" s="136"/>
    </row>
    <row r="911" spans="6:12" ht="13.2">
      <c r="F911" s="138"/>
      <c r="G911" s="2"/>
      <c r="H911" s="139"/>
      <c r="I911" s="139"/>
      <c r="J911" s="139"/>
      <c r="K911" s="140"/>
      <c r="L911" s="136"/>
    </row>
    <row r="912" spans="6:12" ht="13.2">
      <c r="F912" s="138"/>
      <c r="G912" s="2"/>
      <c r="H912" s="139"/>
      <c r="I912" s="139"/>
      <c r="J912" s="139"/>
      <c r="K912" s="140"/>
      <c r="L912" s="136"/>
    </row>
    <row r="913" spans="6:12" ht="13.2">
      <c r="F913" s="138"/>
      <c r="G913" s="2"/>
      <c r="H913" s="139"/>
      <c r="I913" s="139"/>
      <c r="J913" s="139"/>
      <c r="K913" s="140"/>
      <c r="L913" s="136"/>
    </row>
    <row r="914" spans="6:12" ht="13.2">
      <c r="F914" s="138"/>
      <c r="G914" s="2"/>
      <c r="H914" s="139"/>
      <c r="I914" s="139"/>
      <c r="J914" s="139"/>
      <c r="K914" s="140"/>
      <c r="L914" s="136"/>
    </row>
    <row r="915" spans="6:12" ht="13.2">
      <c r="F915" s="138"/>
      <c r="G915" s="2"/>
      <c r="H915" s="139"/>
      <c r="I915" s="139"/>
      <c r="J915" s="139"/>
      <c r="K915" s="140"/>
      <c r="L915" s="136"/>
    </row>
    <row r="916" spans="6:12" ht="13.2">
      <c r="F916" s="138"/>
      <c r="G916" s="2"/>
      <c r="H916" s="139"/>
      <c r="I916" s="139"/>
      <c r="J916" s="139"/>
      <c r="K916" s="140"/>
      <c r="L916" s="136"/>
    </row>
    <row r="917" spans="6:12" ht="13.2">
      <c r="F917" s="138"/>
      <c r="G917" s="2"/>
      <c r="H917" s="139"/>
      <c r="I917" s="139"/>
      <c r="J917" s="139"/>
      <c r="K917" s="140"/>
      <c r="L917" s="136"/>
    </row>
    <row r="918" spans="6:12" ht="13.2">
      <c r="F918" s="138"/>
      <c r="G918" s="2"/>
      <c r="H918" s="139"/>
      <c r="I918" s="139"/>
      <c r="J918" s="139"/>
      <c r="K918" s="140"/>
      <c r="L918" s="136"/>
    </row>
    <row r="919" spans="6:12" ht="13.2">
      <c r="F919" s="138"/>
      <c r="G919" s="2"/>
      <c r="H919" s="139"/>
      <c r="I919" s="139"/>
      <c r="J919" s="139"/>
      <c r="K919" s="140"/>
      <c r="L919" s="136"/>
    </row>
    <row r="920" spans="6:12" ht="13.2">
      <c r="F920" s="138"/>
      <c r="G920" s="2"/>
      <c r="H920" s="139"/>
      <c r="I920" s="139"/>
      <c r="J920" s="139"/>
      <c r="K920" s="140"/>
      <c r="L920" s="136"/>
    </row>
    <row r="921" spans="6:12" ht="13.2">
      <c r="F921" s="138"/>
      <c r="G921" s="2"/>
      <c r="H921" s="139"/>
      <c r="I921" s="139"/>
      <c r="J921" s="139"/>
      <c r="K921" s="140"/>
      <c r="L921" s="136"/>
    </row>
    <row r="922" spans="6:12" ht="13.2">
      <c r="F922" s="138"/>
      <c r="G922" s="2"/>
      <c r="H922" s="139"/>
      <c r="I922" s="139"/>
      <c r="J922" s="139"/>
      <c r="K922" s="140"/>
      <c r="L922" s="136"/>
    </row>
    <row r="923" spans="6:12" ht="13.2">
      <c r="F923" s="138"/>
      <c r="G923" s="2"/>
      <c r="H923" s="139"/>
      <c r="I923" s="139"/>
      <c r="J923" s="139"/>
      <c r="K923" s="140"/>
      <c r="L923" s="136"/>
    </row>
    <row r="924" spans="6:12" ht="13.2">
      <c r="F924" s="138"/>
      <c r="G924" s="2"/>
      <c r="H924" s="139"/>
      <c r="I924" s="139"/>
      <c r="J924" s="139"/>
      <c r="K924" s="140"/>
      <c r="L924" s="136"/>
    </row>
    <row r="925" spans="6:12" ht="13.2">
      <c r="F925" s="138"/>
      <c r="G925" s="2"/>
      <c r="H925" s="139"/>
      <c r="I925" s="139"/>
      <c r="J925" s="139"/>
      <c r="K925" s="140"/>
      <c r="L925" s="136"/>
    </row>
    <row r="926" spans="6:12" ht="13.2">
      <c r="F926" s="138"/>
      <c r="G926" s="2"/>
      <c r="H926" s="139"/>
      <c r="I926" s="139"/>
      <c r="J926" s="139"/>
      <c r="K926" s="140"/>
      <c r="L926" s="136"/>
    </row>
    <row r="927" spans="6:12" ht="13.2">
      <c r="F927" s="138"/>
      <c r="G927" s="2"/>
      <c r="H927" s="139"/>
      <c r="I927" s="139"/>
      <c r="J927" s="139"/>
      <c r="K927" s="140"/>
      <c r="L927" s="136"/>
    </row>
    <row r="928" spans="6:12" ht="13.2">
      <c r="F928" s="138"/>
      <c r="G928" s="2"/>
      <c r="H928" s="139"/>
      <c r="I928" s="139"/>
      <c r="J928" s="139"/>
      <c r="K928" s="140"/>
      <c r="L928" s="136"/>
    </row>
    <row r="929" spans="6:12" ht="13.2">
      <c r="F929" s="138"/>
      <c r="G929" s="2"/>
      <c r="H929" s="139"/>
      <c r="I929" s="139"/>
      <c r="J929" s="139"/>
      <c r="K929" s="140"/>
      <c r="L929" s="136"/>
    </row>
    <row r="930" spans="6:12" ht="13.2">
      <c r="F930" s="138"/>
      <c r="G930" s="2"/>
      <c r="H930" s="139"/>
      <c r="I930" s="139"/>
      <c r="J930" s="139"/>
      <c r="K930" s="140"/>
      <c r="L930" s="136"/>
    </row>
    <row r="931" spans="6:12" ht="13.2">
      <c r="F931" s="138"/>
      <c r="G931" s="2"/>
      <c r="H931" s="139"/>
      <c r="I931" s="139"/>
      <c r="J931" s="139"/>
      <c r="K931" s="140"/>
      <c r="L931" s="136"/>
    </row>
    <row r="932" spans="6:12" ht="13.2">
      <c r="F932" s="138"/>
      <c r="G932" s="2"/>
      <c r="H932" s="139"/>
      <c r="I932" s="139"/>
      <c r="J932" s="139"/>
      <c r="K932" s="140"/>
      <c r="L932" s="136"/>
    </row>
    <row r="933" spans="6:12" ht="13.2">
      <c r="F933" s="138"/>
      <c r="G933" s="2"/>
      <c r="H933" s="139"/>
      <c r="I933" s="139"/>
      <c r="J933" s="139"/>
      <c r="K933" s="140"/>
      <c r="L933" s="136"/>
    </row>
    <row r="934" spans="6:12" ht="13.2">
      <c r="F934" s="138"/>
      <c r="G934" s="2"/>
      <c r="H934" s="139"/>
      <c r="I934" s="139"/>
      <c r="J934" s="139"/>
      <c r="K934" s="140"/>
      <c r="L934" s="136"/>
    </row>
    <row r="935" spans="6:12" ht="13.2">
      <c r="F935" s="138"/>
      <c r="G935" s="2"/>
      <c r="H935" s="139"/>
      <c r="I935" s="139"/>
      <c r="J935" s="139"/>
      <c r="K935" s="140"/>
      <c r="L935" s="136"/>
    </row>
    <row r="936" spans="6:12" ht="13.2">
      <c r="F936" s="138"/>
      <c r="G936" s="2"/>
      <c r="H936" s="139"/>
      <c r="I936" s="139"/>
      <c r="J936" s="139"/>
      <c r="K936" s="140"/>
      <c r="L936" s="136"/>
    </row>
    <row r="937" spans="6:12" ht="13.2">
      <c r="F937" s="138"/>
      <c r="G937" s="2"/>
      <c r="H937" s="139"/>
      <c r="I937" s="139"/>
      <c r="J937" s="139"/>
      <c r="K937" s="140"/>
      <c r="L937" s="136"/>
    </row>
    <row r="938" spans="6:12" ht="13.2">
      <c r="F938" s="138"/>
      <c r="G938" s="2"/>
      <c r="H938" s="139"/>
      <c r="I938" s="139"/>
      <c r="J938" s="139"/>
      <c r="K938" s="140"/>
      <c r="L938" s="136"/>
    </row>
    <row r="939" spans="6:12" ht="13.2">
      <c r="F939" s="138"/>
      <c r="G939" s="2"/>
      <c r="H939" s="139"/>
      <c r="I939" s="139"/>
      <c r="J939" s="139"/>
      <c r="K939" s="140"/>
      <c r="L939" s="136"/>
    </row>
    <row r="940" spans="6:12" ht="13.2">
      <c r="F940" s="138"/>
      <c r="G940" s="2"/>
      <c r="H940" s="139"/>
      <c r="I940" s="139"/>
      <c r="J940" s="139"/>
      <c r="K940" s="140"/>
      <c r="L940" s="136"/>
    </row>
    <row r="941" spans="6:12" ht="13.2">
      <c r="F941" s="138"/>
      <c r="G941" s="2"/>
      <c r="H941" s="139"/>
      <c r="I941" s="139"/>
      <c r="J941" s="139"/>
      <c r="K941" s="140"/>
      <c r="L941" s="136"/>
    </row>
    <row r="942" spans="6:12" ht="13.2">
      <c r="F942" s="138"/>
      <c r="G942" s="2"/>
      <c r="H942" s="139"/>
      <c r="I942" s="139"/>
      <c r="J942" s="139"/>
      <c r="K942" s="140"/>
      <c r="L942" s="136"/>
    </row>
    <row r="943" spans="6:12" ht="13.2">
      <c r="F943" s="138"/>
      <c r="G943" s="2"/>
      <c r="H943" s="139"/>
      <c r="I943" s="139"/>
      <c r="J943" s="139"/>
      <c r="K943" s="140"/>
      <c r="L943" s="136"/>
    </row>
    <row r="944" spans="6:12" ht="13.2">
      <c r="F944" s="138"/>
      <c r="G944" s="2"/>
      <c r="H944" s="139"/>
      <c r="I944" s="139"/>
      <c r="J944" s="139"/>
      <c r="K944" s="140"/>
      <c r="L944" s="136"/>
    </row>
    <row r="945" spans="6:12" ht="13.2">
      <c r="F945" s="138"/>
      <c r="G945" s="2"/>
      <c r="H945" s="139"/>
      <c r="I945" s="139"/>
      <c r="J945" s="139"/>
      <c r="K945" s="140"/>
      <c r="L945" s="136"/>
    </row>
    <row r="946" spans="6:12" ht="13.2">
      <c r="F946" s="138"/>
      <c r="G946" s="2"/>
      <c r="H946" s="139"/>
      <c r="I946" s="139"/>
      <c r="J946" s="139"/>
      <c r="K946" s="140"/>
      <c r="L946" s="136"/>
    </row>
    <row r="947" spans="6:12" ht="13.2">
      <c r="F947" s="138"/>
      <c r="G947" s="2"/>
      <c r="H947" s="139"/>
      <c r="I947" s="139"/>
      <c r="J947" s="139"/>
      <c r="K947" s="140"/>
      <c r="L947" s="136"/>
    </row>
    <row r="948" spans="6:12" ht="13.2">
      <c r="F948" s="138"/>
      <c r="G948" s="2"/>
      <c r="H948" s="139"/>
      <c r="I948" s="139"/>
      <c r="J948" s="139"/>
      <c r="K948" s="140"/>
      <c r="L948" s="136"/>
    </row>
    <row r="949" spans="6:12" ht="13.2">
      <c r="F949" s="138"/>
      <c r="G949" s="2"/>
      <c r="H949" s="139"/>
      <c r="I949" s="139"/>
      <c r="J949" s="139"/>
      <c r="K949" s="140"/>
      <c r="L949" s="136"/>
    </row>
    <row r="950" spans="6:12" ht="13.2">
      <c r="F950" s="138"/>
      <c r="G950" s="2"/>
      <c r="H950" s="139"/>
      <c r="I950" s="139"/>
      <c r="J950" s="139"/>
      <c r="K950" s="140"/>
      <c r="L950" s="136"/>
    </row>
    <row r="951" spans="6:12" ht="13.2">
      <c r="F951" s="138"/>
      <c r="G951" s="2"/>
      <c r="H951" s="139"/>
      <c r="I951" s="139"/>
      <c r="J951" s="139"/>
      <c r="K951" s="140"/>
      <c r="L951" s="136"/>
    </row>
    <row r="952" spans="6:12" ht="13.2">
      <c r="F952" s="138"/>
      <c r="G952" s="2"/>
      <c r="H952" s="139"/>
      <c r="I952" s="139"/>
      <c r="J952" s="139"/>
      <c r="K952" s="140"/>
      <c r="L952" s="136"/>
    </row>
    <row r="953" spans="6:12" ht="13.2">
      <c r="F953" s="138"/>
      <c r="G953" s="2"/>
      <c r="H953" s="139"/>
      <c r="I953" s="139"/>
      <c r="J953" s="139"/>
      <c r="K953" s="140"/>
      <c r="L953" s="136"/>
    </row>
    <row r="954" spans="6:12" ht="13.2">
      <c r="F954" s="138"/>
      <c r="G954" s="2"/>
      <c r="H954" s="139"/>
      <c r="I954" s="139"/>
      <c r="J954" s="139"/>
      <c r="K954" s="140"/>
      <c r="L954" s="136"/>
    </row>
    <row r="955" spans="6:12" ht="13.2">
      <c r="F955" s="138"/>
      <c r="G955" s="2"/>
      <c r="H955" s="139"/>
      <c r="I955" s="139"/>
      <c r="J955" s="139"/>
      <c r="K955" s="140"/>
      <c r="L955" s="136"/>
    </row>
    <row r="956" spans="6:12" ht="13.2">
      <c r="F956" s="138"/>
      <c r="G956" s="2"/>
      <c r="H956" s="139"/>
      <c r="I956" s="139"/>
      <c r="J956" s="139"/>
      <c r="K956" s="140"/>
      <c r="L956" s="136"/>
    </row>
    <row r="957" spans="6:12" ht="13.2">
      <c r="F957" s="138"/>
      <c r="G957" s="2"/>
      <c r="H957" s="139"/>
      <c r="I957" s="139"/>
      <c r="J957" s="139"/>
      <c r="K957" s="140"/>
      <c r="L957" s="136"/>
    </row>
    <row r="958" spans="6:12" ht="13.2">
      <c r="F958" s="138"/>
      <c r="G958" s="2"/>
      <c r="H958" s="139"/>
      <c r="I958" s="139"/>
      <c r="J958" s="139"/>
      <c r="K958" s="140"/>
      <c r="L958" s="136"/>
    </row>
    <row r="959" spans="6:12" ht="13.2">
      <c r="F959" s="138"/>
      <c r="G959" s="2"/>
      <c r="H959" s="139"/>
      <c r="I959" s="139"/>
      <c r="J959" s="139"/>
      <c r="K959" s="140"/>
      <c r="L959" s="136"/>
    </row>
    <row r="960" spans="6:12" ht="13.2">
      <c r="F960" s="138"/>
      <c r="G960" s="2"/>
      <c r="H960" s="139"/>
      <c r="I960" s="139"/>
      <c r="J960" s="139"/>
      <c r="K960" s="140"/>
      <c r="L960" s="136"/>
    </row>
    <row r="961" spans="6:12" ht="13.2">
      <c r="F961" s="138"/>
      <c r="G961" s="2"/>
      <c r="H961" s="139"/>
      <c r="I961" s="139"/>
      <c r="J961" s="139"/>
      <c r="K961" s="140"/>
      <c r="L961" s="136"/>
    </row>
    <row r="962" spans="6:12" ht="13.2">
      <c r="F962" s="138"/>
      <c r="G962" s="2"/>
      <c r="H962" s="139"/>
      <c r="I962" s="139"/>
      <c r="J962" s="139"/>
      <c r="K962" s="140"/>
      <c r="L962" s="136"/>
    </row>
    <row r="963" spans="6:12" ht="13.2">
      <c r="F963" s="138"/>
      <c r="G963" s="2"/>
      <c r="H963" s="139"/>
      <c r="I963" s="139"/>
      <c r="J963" s="139"/>
      <c r="K963" s="140"/>
      <c r="L963" s="136"/>
    </row>
    <row r="964" spans="6:12" ht="13.2">
      <c r="F964" s="138"/>
      <c r="G964" s="2"/>
      <c r="H964" s="139"/>
      <c r="I964" s="139"/>
      <c r="J964" s="139"/>
      <c r="K964" s="140"/>
      <c r="L964" s="136"/>
    </row>
    <row r="965" spans="6:12" ht="13.2">
      <c r="F965" s="138"/>
      <c r="G965" s="2"/>
      <c r="H965" s="139"/>
      <c r="I965" s="139"/>
      <c r="J965" s="139"/>
      <c r="K965" s="140"/>
      <c r="L965" s="136"/>
    </row>
    <row r="966" spans="6:12" ht="13.2">
      <c r="F966" s="138"/>
      <c r="G966" s="2"/>
      <c r="H966" s="139"/>
      <c r="I966" s="139"/>
      <c r="J966" s="139"/>
      <c r="K966" s="140"/>
      <c r="L966" s="136"/>
    </row>
    <row r="967" spans="6:12" ht="13.2">
      <c r="F967" s="138"/>
      <c r="G967" s="2"/>
      <c r="H967" s="139"/>
      <c r="I967" s="139"/>
      <c r="J967" s="139"/>
      <c r="K967" s="140"/>
      <c r="L967" s="136"/>
    </row>
    <row r="968" spans="6:12" ht="13.2">
      <c r="F968" s="138"/>
      <c r="G968" s="2"/>
      <c r="H968" s="139"/>
      <c r="I968" s="139"/>
      <c r="J968" s="139"/>
      <c r="K968" s="140"/>
      <c r="L968" s="136"/>
    </row>
    <row r="969" spans="6:12" ht="13.2">
      <c r="F969" s="138"/>
      <c r="G969" s="2"/>
      <c r="H969" s="139"/>
      <c r="I969" s="139"/>
      <c r="J969" s="139"/>
      <c r="K969" s="140"/>
      <c r="L969" s="136"/>
    </row>
    <row r="970" spans="6:12" ht="13.2">
      <c r="F970" s="138"/>
      <c r="G970" s="2"/>
      <c r="H970" s="139"/>
      <c r="I970" s="139"/>
      <c r="J970" s="139"/>
      <c r="K970" s="140"/>
      <c r="L970" s="136"/>
    </row>
    <row r="971" spans="6:12" ht="13.2">
      <c r="F971" s="138"/>
      <c r="G971" s="2"/>
      <c r="H971" s="139"/>
      <c r="I971" s="139"/>
      <c r="J971" s="139"/>
      <c r="K971" s="140"/>
      <c r="L971" s="136"/>
    </row>
    <row r="972" spans="6:12" ht="13.2">
      <c r="F972" s="138"/>
      <c r="G972" s="2"/>
      <c r="H972" s="139"/>
      <c r="I972" s="139"/>
      <c r="J972" s="139"/>
      <c r="K972" s="140"/>
      <c r="L972" s="136"/>
    </row>
    <row r="973" spans="6:12" ht="13.2">
      <c r="F973" s="138"/>
      <c r="G973" s="2"/>
      <c r="H973" s="139"/>
      <c r="I973" s="139"/>
      <c r="J973" s="139"/>
      <c r="K973" s="140"/>
      <c r="L973" s="136"/>
    </row>
    <row r="974" spans="6:12" ht="13.2">
      <c r="F974" s="138"/>
      <c r="G974" s="2"/>
      <c r="H974" s="139"/>
      <c r="I974" s="139"/>
      <c r="J974" s="139"/>
      <c r="K974" s="140"/>
      <c r="L974" s="136"/>
    </row>
    <row r="975" spans="6:12" ht="13.2">
      <c r="F975" s="138"/>
      <c r="G975" s="2"/>
      <c r="H975" s="139"/>
      <c r="I975" s="139"/>
      <c r="J975" s="139"/>
      <c r="K975" s="140"/>
      <c r="L975" s="136"/>
    </row>
    <row r="976" spans="6:12" ht="13.2">
      <c r="F976" s="138"/>
      <c r="G976" s="2"/>
      <c r="H976" s="139"/>
      <c r="I976" s="139"/>
      <c r="J976" s="139"/>
      <c r="K976" s="140"/>
      <c r="L976" s="136"/>
    </row>
    <row r="977" spans="6:12" ht="13.2">
      <c r="F977" s="138"/>
      <c r="G977" s="2"/>
      <c r="H977" s="139"/>
      <c r="I977" s="139"/>
      <c r="J977" s="139"/>
      <c r="K977" s="140"/>
      <c r="L977" s="136"/>
    </row>
    <row r="978" spans="6:12" ht="13.2">
      <c r="F978" s="138"/>
      <c r="G978" s="2"/>
      <c r="H978" s="139"/>
      <c r="I978" s="139"/>
      <c r="J978" s="139"/>
      <c r="K978" s="140"/>
      <c r="L978" s="136"/>
    </row>
    <row r="979" spans="6:12" ht="13.2">
      <c r="F979" s="138"/>
      <c r="G979" s="2"/>
      <c r="H979" s="139"/>
      <c r="I979" s="139"/>
      <c r="J979" s="139"/>
      <c r="K979" s="140"/>
      <c r="L979" s="136"/>
    </row>
    <row r="980" spans="6:12" ht="13.2">
      <c r="F980" s="138"/>
      <c r="G980" s="2"/>
      <c r="H980" s="139"/>
      <c r="I980" s="139"/>
      <c r="J980" s="139"/>
      <c r="K980" s="140"/>
      <c r="L980" s="136"/>
    </row>
    <row r="981" spans="6:12" ht="13.2">
      <c r="F981" s="138"/>
      <c r="G981" s="2"/>
      <c r="H981" s="139"/>
      <c r="I981" s="139"/>
      <c r="J981" s="139"/>
      <c r="K981" s="140"/>
      <c r="L981" s="136"/>
    </row>
    <row r="982" spans="6:12" ht="13.2">
      <c r="F982" s="138"/>
      <c r="G982" s="2"/>
      <c r="H982" s="139"/>
      <c r="I982" s="139"/>
      <c r="J982" s="139"/>
      <c r="K982" s="140"/>
      <c r="L982" s="136"/>
    </row>
    <row r="983" spans="6:12" ht="13.2">
      <c r="F983" s="138"/>
      <c r="G983" s="2"/>
      <c r="H983" s="139"/>
      <c r="I983" s="139"/>
      <c r="J983" s="139"/>
      <c r="K983" s="140"/>
      <c r="L983" s="136"/>
    </row>
    <row r="984" spans="6:12" ht="13.2">
      <c r="F984" s="138"/>
      <c r="G984" s="2"/>
      <c r="H984" s="139"/>
      <c r="I984" s="139"/>
      <c r="J984" s="139"/>
      <c r="K984" s="140"/>
      <c r="L984" s="136"/>
    </row>
    <row r="985" spans="6:12" ht="13.2">
      <c r="F985" s="138"/>
      <c r="G985" s="2"/>
      <c r="H985" s="139"/>
      <c r="I985" s="139"/>
      <c r="J985" s="139"/>
      <c r="K985" s="140"/>
      <c r="L985" s="136"/>
    </row>
    <row r="986" spans="6:12" ht="13.2">
      <c r="F986" s="138"/>
      <c r="G986" s="2"/>
      <c r="H986" s="139"/>
      <c r="I986" s="139"/>
      <c r="J986" s="139"/>
      <c r="K986" s="140"/>
      <c r="L986" s="136"/>
    </row>
    <row r="987" spans="6:12" ht="13.2">
      <c r="F987" s="138"/>
      <c r="G987" s="2"/>
      <c r="H987" s="139"/>
      <c r="I987" s="139"/>
      <c r="J987" s="139"/>
      <c r="K987" s="140"/>
      <c r="L987" s="136"/>
    </row>
    <row r="988" spans="6:12" ht="13.2">
      <c r="F988" s="138"/>
      <c r="G988" s="2"/>
      <c r="H988" s="139"/>
      <c r="I988" s="139"/>
      <c r="J988" s="139"/>
      <c r="K988" s="140"/>
      <c r="L988" s="136"/>
    </row>
    <row r="989" spans="6:12" ht="13.2">
      <c r="F989" s="138"/>
      <c r="G989" s="2"/>
      <c r="H989" s="139"/>
      <c r="I989" s="139"/>
      <c r="J989" s="139"/>
      <c r="K989" s="140"/>
      <c r="L989" s="136"/>
    </row>
    <row r="990" spans="6:12" ht="13.2">
      <c r="F990" s="138"/>
      <c r="G990" s="2"/>
      <c r="H990" s="139"/>
      <c r="I990" s="139"/>
      <c r="J990" s="139"/>
      <c r="K990" s="140"/>
      <c r="L990" s="136"/>
    </row>
    <row r="991" spans="6:12" ht="13.2">
      <c r="F991" s="138"/>
      <c r="G991" s="2"/>
      <c r="H991" s="139"/>
      <c r="I991" s="139"/>
      <c r="J991" s="139"/>
      <c r="K991" s="140"/>
      <c r="L991" s="136"/>
    </row>
    <row r="992" spans="6:12" ht="13.2">
      <c r="F992" s="138"/>
      <c r="G992" s="2"/>
      <c r="H992" s="139"/>
      <c r="I992" s="139"/>
      <c r="J992" s="139"/>
      <c r="K992" s="140"/>
      <c r="L992" s="136"/>
    </row>
    <row r="993" spans="6:12" ht="13.2">
      <c r="F993" s="138"/>
      <c r="G993" s="2"/>
      <c r="H993" s="139"/>
      <c r="I993" s="139"/>
      <c r="J993" s="139"/>
      <c r="K993" s="140"/>
      <c r="L993" s="136"/>
    </row>
    <row r="994" spans="6:12" ht="13.2">
      <c r="F994" s="138"/>
      <c r="G994" s="2"/>
      <c r="H994" s="139"/>
      <c r="I994" s="139"/>
      <c r="J994" s="139"/>
      <c r="K994" s="140"/>
      <c r="L994" s="136"/>
    </row>
    <row r="995" spans="6:12" ht="13.2">
      <c r="F995" s="138"/>
      <c r="G995" s="2"/>
      <c r="H995" s="139"/>
      <c r="I995" s="139"/>
      <c r="J995" s="139"/>
      <c r="K995" s="140"/>
      <c r="L995" s="136"/>
    </row>
    <row r="996" spans="6:12" ht="13.2">
      <c r="F996" s="138"/>
      <c r="G996" s="2"/>
      <c r="H996" s="139"/>
      <c r="I996" s="139"/>
      <c r="J996" s="139"/>
      <c r="K996" s="140"/>
      <c r="L996" s="136"/>
    </row>
    <row r="997" spans="6:12" ht="13.2">
      <c r="F997" s="138"/>
      <c r="G997" s="2"/>
      <c r="H997" s="139"/>
      <c r="I997" s="139"/>
      <c r="J997" s="139"/>
      <c r="K997" s="140"/>
      <c r="L997" s="136"/>
    </row>
    <row r="998" spans="6:12" ht="13.2">
      <c r="F998" s="138"/>
      <c r="G998" s="2"/>
      <c r="H998" s="139"/>
      <c r="I998" s="139"/>
      <c r="J998" s="139"/>
      <c r="K998" s="140"/>
      <c r="L998" s="136"/>
    </row>
    <row r="999" spans="6:12" ht="13.2">
      <c r="F999" s="138"/>
      <c r="G999" s="2"/>
      <c r="H999" s="139"/>
      <c r="I999" s="139"/>
      <c r="J999" s="139"/>
      <c r="K999" s="140"/>
      <c r="L999" s="136"/>
    </row>
    <row r="1000" spans="6:12" ht="13.2">
      <c r="F1000" s="138"/>
      <c r="G1000" s="2"/>
      <c r="H1000" s="139"/>
      <c r="I1000" s="139"/>
      <c r="J1000" s="139"/>
      <c r="K1000" s="140"/>
      <c r="L1000" s="136"/>
    </row>
    <row r="1001" spans="6:12" ht="13.2">
      <c r="F1001" s="138"/>
      <c r="G1001" s="2"/>
      <c r="H1001" s="139"/>
      <c r="I1001" s="139"/>
      <c r="J1001" s="139"/>
      <c r="K1001" s="140"/>
      <c r="L1001" s="136"/>
    </row>
    <row r="1002" spans="6:12" ht="13.2">
      <c r="F1002" s="138"/>
      <c r="G1002" s="2"/>
      <c r="H1002" s="139"/>
      <c r="I1002" s="139"/>
      <c r="J1002" s="139"/>
      <c r="K1002" s="140"/>
      <c r="L1002" s="136"/>
    </row>
    <row r="1003" spans="6:12" ht="13.2">
      <c r="F1003" s="138"/>
      <c r="G1003" s="2"/>
      <c r="H1003" s="139"/>
      <c r="I1003" s="139"/>
      <c r="J1003" s="139"/>
      <c r="K1003" s="140"/>
      <c r="L1003" s="136"/>
    </row>
    <row r="1004" spans="6:12" ht="13.2">
      <c r="F1004" s="138"/>
      <c r="G1004" s="2"/>
      <c r="H1004" s="139"/>
      <c r="I1004" s="139"/>
      <c r="J1004" s="139"/>
      <c r="K1004" s="140"/>
      <c r="L1004" s="136"/>
    </row>
    <row r="1005" spans="6:12" ht="13.2">
      <c r="F1005" s="138"/>
      <c r="G1005" s="2"/>
      <c r="H1005" s="139"/>
      <c r="I1005" s="139"/>
      <c r="J1005" s="139"/>
      <c r="K1005" s="140"/>
      <c r="L1005" s="136"/>
    </row>
    <row r="1006" spans="6:12" ht="13.2">
      <c r="F1006" s="138"/>
      <c r="G1006" s="2"/>
      <c r="H1006" s="139"/>
      <c r="I1006" s="139"/>
      <c r="J1006" s="139"/>
      <c r="K1006" s="140"/>
      <c r="L1006" s="136"/>
    </row>
    <row r="1007" spans="6:12" ht="13.2">
      <c r="F1007" s="138"/>
      <c r="G1007" s="2"/>
      <c r="H1007" s="139"/>
      <c r="I1007" s="139"/>
      <c r="J1007" s="139"/>
      <c r="K1007" s="140"/>
      <c r="L1007" s="136"/>
    </row>
    <row r="1008" spans="6:12" ht="13.2">
      <c r="F1008" s="138"/>
      <c r="G1008" s="2"/>
      <c r="H1008" s="139"/>
      <c r="I1008" s="139"/>
      <c r="J1008" s="139"/>
      <c r="K1008" s="140"/>
      <c r="L1008" s="136"/>
    </row>
    <row r="1009" spans="6:12" ht="13.2">
      <c r="F1009" s="138"/>
      <c r="G1009" s="2"/>
      <c r="H1009" s="139"/>
      <c r="I1009" s="139"/>
      <c r="J1009" s="139"/>
      <c r="K1009" s="140"/>
      <c r="L1009" s="136"/>
    </row>
    <row r="1010" spans="6:12" ht="13.2">
      <c r="F1010" s="138"/>
      <c r="G1010" s="2"/>
      <c r="H1010" s="139"/>
      <c r="I1010" s="139"/>
      <c r="J1010" s="139"/>
      <c r="K1010" s="140"/>
      <c r="L1010" s="136"/>
    </row>
    <row r="1011" spans="6:12" ht="13.2">
      <c r="F1011" s="138"/>
      <c r="G1011" s="2"/>
      <c r="H1011" s="139"/>
      <c r="I1011" s="139"/>
      <c r="J1011" s="139"/>
      <c r="K1011" s="140"/>
      <c r="L1011" s="136"/>
    </row>
    <row r="1012" spans="6:12" ht="13.2">
      <c r="F1012" s="138"/>
      <c r="G1012" s="2"/>
      <c r="H1012" s="139"/>
      <c r="I1012" s="139"/>
      <c r="J1012" s="139"/>
      <c r="K1012" s="140"/>
      <c r="L1012" s="136"/>
    </row>
    <row r="1013" spans="6:12" ht="13.2">
      <c r="F1013" s="138"/>
      <c r="G1013" s="2"/>
      <c r="H1013" s="139"/>
      <c r="I1013" s="139"/>
      <c r="J1013" s="139"/>
      <c r="K1013" s="140"/>
      <c r="L1013" s="136"/>
    </row>
    <row r="1014" spans="6:12" ht="13.2">
      <c r="F1014" s="138"/>
      <c r="G1014" s="2"/>
      <c r="H1014" s="139"/>
      <c r="I1014" s="139"/>
      <c r="J1014" s="139"/>
      <c r="K1014" s="140"/>
      <c r="L1014" s="136"/>
    </row>
    <row r="1015" spans="6:12" ht="13.2">
      <c r="F1015" s="138"/>
      <c r="G1015" s="2"/>
      <c r="H1015" s="139"/>
      <c r="I1015" s="139"/>
      <c r="J1015" s="139"/>
      <c r="K1015" s="140"/>
      <c r="L1015" s="136"/>
    </row>
    <row r="1016" spans="6:12" ht="13.2">
      <c r="F1016" s="138"/>
      <c r="G1016" s="2"/>
      <c r="H1016" s="139"/>
      <c r="I1016" s="139"/>
      <c r="J1016" s="139"/>
      <c r="K1016" s="140"/>
      <c r="L1016" s="136"/>
    </row>
    <row r="1017" spans="6:12" ht="13.2">
      <c r="F1017" s="138"/>
      <c r="G1017" s="2"/>
      <c r="H1017" s="139"/>
      <c r="I1017" s="139"/>
      <c r="J1017" s="139"/>
      <c r="K1017" s="140"/>
      <c r="L1017" s="136"/>
    </row>
    <row r="1018" spans="6:12" ht="13.2">
      <c r="F1018" s="138"/>
      <c r="G1018" s="2"/>
      <c r="H1018" s="139"/>
      <c r="I1018" s="139"/>
      <c r="J1018" s="139"/>
      <c r="K1018" s="140"/>
      <c r="L1018" s="136"/>
    </row>
    <row r="1019" spans="6:12" ht="13.2">
      <c r="F1019" s="138"/>
      <c r="G1019" s="2"/>
      <c r="H1019" s="139"/>
      <c r="I1019" s="139"/>
      <c r="J1019" s="139"/>
      <c r="K1019" s="140"/>
      <c r="L1019" s="136"/>
    </row>
    <row r="1020" spans="6:12" ht="13.2">
      <c r="F1020" s="138"/>
      <c r="G1020" s="2"/>
      <c r="H1020" s="139"/>
      <c r="I1020" s="139"/>
      <c r="J1020" s="139"/>
      <c r="K1020" s="140"/>
      <c r="L1020" s="136"/>
    </row>
    <row r="1021" spans="6:12" ht="13.2">
      <c r="F1021" s="138"/>
      <c r="G1021" s="2"/>
      <c r="H1021" s="139"/>
      <c r="I1021" s="139"/>
      <c r="J1021" s="139"/>
      <c r="K1021" s="140"/>
      <c r="L1021" s="136"/>
    </row>
    <row r="1022" spans="6:12" ht="13.2">
      <c r="F1022" s="138"/>
      <c r="G1022" s="2"/>
      <c r="H1022" s="139"/>
      <c r="I1022" s="139"/>
      <c r="J1022" s="139"/>
      <c r="K1022" s="140"/>
      <c r="L1022" s="136"/>
    </row>
    <row r="1023" spans="6:12" ht="13.2">
      <c r="F1023" s="138"/>
      <c r="G1023" s="2"/>
      <c r="H1023" s="139"/>
      <c r="I1023" s="139"/>
      <c r="J1023" s="139"/>
      <c r="K1023" s="140"/>
      <c r="L1023" s="136"/>
    </row>
    <row r="1024" spans="6:12" ht="13.2">
      <c r="F1024" s="138"/>
      <c r="G1024" s="2"/>
      <c r="H1024" s="139"/>
      <c r="I1024" s="139"/>
      <c r="J1024" s="139"/>
      <c r="K1024" s="140"/>
      <c r="L1024" s="136"/>
    </row>
    <row r="1025" spans="6:12" ht="13.2">
      <c r="F1025" s="138"/>
      <c r="G1025" s="2"/>
      <c r="H1025" s="139"/>
      <c r="I1025" s="139"/>
      <c r="J1025" s="139"/>
      <c r="K1025" s="140"/>
      <c r="L1025" s="136"/>
    </row>
    <row r="1026" spans="6:12" ht="13.2">
      <c r="F1026" s="138"/>
      <c r="G1026" s="2"/>
      <c r="H1026" s="139"/>
      <c r="I1026" s="139"/>
      <c r="J1026" s="139"/>
      <c r="K1026" s="140"/>
      <c r="L1026" s="136"/>
    </row>
    <row r="1027" spans="6:12" ht="13.2">
      <c r="F1027" s="138"/>
      <c r="G1027" s="2"/>
      <c r="H1027" s="139"/>
      <c r="I1027" s="139"/>
      <c r="J1027" s="139"/>
      <c r="K1027" s="140"/>
      <c r="L1027" s="136"/>
    </row>
    <row r="1028" spans="6:12" ht="13.2">
      <c r="F1028" s="138"/>
      <c r="G1028" s="2"/>
      <c r="H1028" s="139"/>
      <c r="I1028" s="139"/>
      <c r="J1028" s="139"/>
      <c r="K1028" s="140"/>
      <c r="L1028" s="136"/>
    </row>
    <row r="1029" spans="6:12" ht="13.2">
      <c r="F1029" s="138"/>
      <c r="G1029" s="2"/>
      <c r="H1029" s="139"/>
      <c r="I1029" s="139"/>
      <c r="J1029" s="139"/>
      <c r="K1029" s="140"/>
      <c r="L1029" s="136"/>
    </row>
    <row r="1030" spans="6:12" ht="13.2">
      <c r="F1030" s="138"/>
      <c r="G1030" s="2"/>
      <c r="H1030" s="139"/>
      <c r="I1030" s="139"/>
      <c r="J1030" s="139"/>
      <c r="K1030" s="140"/>
      <c r="L1030" s="136"/>
    </row>
    <row r="1031" spans="6:12" ht="13.2">
      <c r="F1031" s="138"/>
      <c r="G1031" s="2"/>
      <c r="H1031" s="139"/>
      <c r="I1031" s="139"/>
      <c r="J1031" s="139"/>
      <c r="K1031" s="140"/>
      <c r="L1031" s="136"/>
    </row>
    <row r="1032" spans="6:12" ht="13.2">
      <c r="F1032" s="138"/>
      <c r="G1032" s="2"/>
      <c r="H1032" s="139"/>
      <c r="I1032" s="139"/>
      <c r="J1032" s="139"/>
      <c r="K1032" s="140"/>
      <c r="L1032" s="136"/>
    </row>
    <row r="1033" spans="6:12" ht="13.2">
      <c r="F1033" s="138"/>
      <c r="G1033" s="2"/>
      <c r="H1033" s="139"/>
      <c r="I1033" s="139"/>
      <c r="J1033" s="139"/>
      <c r="K1033" s="140"/>
      <c r="L1033" s="136"/>
    </row>
    <row r="1034" spans="6:12" ht="13.2">
      <c r="F1034" s="138"/>
      <c r="G1034" s="2"/>
      <c r="H1034" s="139"/>
      <c r="I1034" s="139"/>
      <c r="J1034" s="139"/>
      <c r="K1034" s="140"/>
      <c r="L1034" s="136"/>
    </row>
    <row r="1035" spans="6:12" ht="13.2">
      <c r="F1035" s="138"/>
      <c r="G1035" s="2"/>
      <c r="H1035" s="139"/>
      <c r="I1035" s="139"/>
      <c r="J1035" s="139"/>
      <c r="K1035" s="140"/>
      <c r="L1035" s="136"/>
    </row>
    <row r="1036" spans="6:12" ht="13.2">
      <c r="F1036" s="138"/>
      <c r="G1036" s="2"/>
      <c r="H1036" s="139"/>
      <c r="I1036" s="139"/>
      <c r="J1036" s="139"/>
      <c r="K1036" s="140"/>
      <c r="L1036" s="136"/>
    </row>
    <row r="1037" spans="6:12" ht="13.2">
      <c r="F1037" s="138"/>
      <c r="G1037" s="2"/>
      <c r="H1037" s="139"/>
      <c r="I1037" s="139"/>
      <c r="J1037" s="139"/>
      <c r="K1037" s="140"/>
      <c r="L1037" s="136"/>
    </row>
    <row r="1038" spans="6:12" ht="13.2">
      <c r="F1038" s="138"/>
      <c r="G1038" s="2"/>
      <c r="H1038" s="139"/>
      <c r="I1038" s="139"/>
      <c r="J1038" s="139"/>
      <c r="K1038" s="140"/>
      <c r="L1038" s="136"/>
    </row>
    <row r="1039" spans="6:12" ht="13.2">
      <c r="F1039" s="138"/>
      <c r="G1039" s="2"/>
      <c r="H1039" s="139"/>
      <c r="I1039" s="139"/>
      <c r="J1039" s="139"/>
      <c r="K1039" s="140"/>
      <c r="L1039" s="136"/>
    </row>
    <row r="1040" spans="6:12" ht="13.2">
      <c r="F1040" s="138"/>
      <c r="G1040" s="2"/>
      <c r="H1040" s="139"/>
      <c r="I1040" s="139"/>
      <c r="J1040" s="139"/>
      <c r="K1040" s="140"/>
      <c r="L1040" s="136"/>
    </row>
    <row r="1041" spans="6:12" ht="13.2">
      <c r="F1041" s="138"/>
      <c r="G1041" s="2"/>
      <c r="H1041" s="139"/>
      <c r="I1041" s="139"/>
      <c r="J1041" s="139"/>
      <c r="K1041" s="140"/>
      <c r="L1041" s="136"/>
    </row>
    <row r="1042" spans="6:12" ht="13.2">
      <c r="F1042" s="138"/>
      <c r="G1042" s="2"/>
      <c r="H1042" s="139"/>
      <c r="I1042" s="139"/>
      <c r="J1042" s="139"/>
      <c r="K1042" s="140"/>
      <c r="L1042" s="136"/>
    </row>
    <row r="1043" spans="6:12" ht="13.2">
      <c r="F1043" s="138"/>
      <c r="G1043" s="2"/>
      <c r="H1043" s="139"/>
      <c r="I1043" s="139"/>
      <c r="J1043" s="139"/>
      <c r="K1043" s="140"/>
      <c r="L1043" s="136"/>
    </row>
    <row r="1044" spans="6:12" ht="13.2">
      <c r="F1044" s="138"/>
      <c r="G1044" s="2"/>
      <c r="H1044" s="139"/>
      <c r="I1044" s="139"/>
      <c r="J1044" s="139"/>
      <c r="K1044" s="140"/>
      <c r="L1044" s="136"/>
    </row>
    <row r="1045" spans="6:12" ht="13.2">
      <c r="F1045" s="138"/>
      <c r="G1045" s="2"/>
      <c r="H1045" s="139"/>
      <c r="I1045" s="139"/>
      <c r="J1045" s="139"/>
      <c r="K1045" s="140"/>
      <c r="L1045" s="136"/>
    </row>
    <row r="1046" spans="6:12" ht="13.2">
      <c r="F1046" s="138"/>
      <c r="G1046" s="2"/>
      <c r="H1046" s="139"/>
      <c r="I1046" s="139"/>
      <c r="J1046" s="139"/>
      <c r="K1046" s="140"/>
      <c r="L1046" s="136"/>
    </row>
    <row r="1047" spans="6:12" ht="13.2">
      <c r="F1047" s="138"/>
      <c r="G1047" s="2"/>
      <c r="H1047" s="139"/>
      <c r="I1047" s="139"/>
      <c r="J1047" s="139"/>
      <c r="K1047" s="140"/>
      <c r="L1047" s="136"/>
    </row>
    <row r="1048" spans="6:12" ht="13.2">
      <c r="F1048" s="138"/>
      <c r="G1048" s="2"/>
      <c r="H1048" s="139"/>
      <c r="I1048" s="139"/>
      <c r="J1048" s="139"/>
      <c r="K1048" s="140"/>
      <c r="L1048" s="136"/>
    </row>
    <row r="1049" spans="6:12" ht="13.2">
      <c r="F1049" s="138"/>
      <c r="G1049" s="2"/>
      <c r="H1049" s="139"/>
      <c r="I1049" s="139"/>
      <c r="J1049" s="139"/>
      <c r="K1049" s="140"/>
      <c r="L1049" s="136"/>
    </row>
    <row r="1050" spans="6:12" ht="13.2">
      <c r="F1050" s="138"/>
      <c r="G1050" s="2"/>
      <c r="H1050" s="139"/>
      <c r="I1050" s="139"/>
      <c r="J1050" s="139"/>
      <c r="K1050" s="140"/>
      <c r="L1050" s="136"/>
    </row>
    <row r="1051" spans="6:12" ht="13.2">
      <c r="F1051" s="138"/>
      <c r="G1051" s="2"/>
      <c r="H1051" s="139"/>
      <c r="I1051" s="139"/>
      <c r="J1051" s="139"/>
      <c r="K1051" s="140"/>
      <c r="L1051" s="136"/>
    </row>
    <row r="1052" spans="6:12" ht="13.2">
      <c r="F1052" s="138"/>
      <c r="G1052" s="2"/>
      <c r="H1052" s="139"/>
      <c r="I1052" s="139"/>
      <c r="J1052" s="139"/>
      <c r="K1052" s="140"/>
      <c r="L1052" s="136"/>
    </row>
    <row r="1053" spans="6:12" ht="13.2">
      <c r="F1053" s="138"/>
      <c r="G1053" s="2"/>
      <c r="H1053" s="139"/>
      <c r="I1053" s="139"/>
      <c r="J1053" s="139"/>
      <c r="K1053" s="140"/>
      <c r="L1053" s="136"/>
    </row>
    <row r="1054" spans="6:12" ht="13.2">
      <c r="F1054" s="138"/>
      <c r="G1054" s="2"/>
      <c r="H1054" s="139"/>
      <c r="I1054" s="139"/>
      <c r="J1054" s="139"/>
      <c r="K1054" s="140"/>
      <c r="L1054" s="136"/>
    </row>
    <row r="1055" spans="6:12" ht="13.2">
      <c r="F1055" s="138"/>
      <c r="G1055" s="2"/>
      <c r="H1055" s="139"/>
      <c r="I1055" s="139"/>
      <c r="J1055" s="139"/>
      <c r="K1055" s="140"/>
      <c r="L1055" s="136"/>
    </row>
    <row r="1056" spans="6:12" ht="13.2">
      <c r="F1056" s="138"/>
      <c r="G1056" s="2"/>
      <c r="H1056" s="139"/>
      <c r="I1056" s="139"/>
      <c r="J1056" s="139"/>
      <c r="K1056" s="140"/>
      <c r="L1056" s="136"/>
    </row>
    <row r="1057" spans="6:12" ht="13.2">
      <c r="F1057" s="138"/>
      <c r="G1057" s="2"/>
      <c r="H1057" s="139"/>
      <c r="I1057" s="139"/>
      <c r="J1057" s="139"/>
      <c r="K1057" s="140"/>
      <c r="L1057" s="136"/>
    </row>
    <row r="1058" spans="6:12" ht="13.2">
      <c r="F1058" s="138"/>
      <c r="G1058" s="2"/>
      <c r="H1058" s="139"/>
      <c r="I1058" s="139"/>
      <c r="J1058" s="139"/>
      <c r="K1058" s="140"/>
      <c r="L1058" s="136"/>
    </row>
    <row r="1059" spans="6:12" ht="13.2">
      <c r="F1059" s="138"/>
      <c r="G1059" s="2"/>
      <c r="H1059" s="139"/>
      <c r="I1059" s="139"/>
      <c r="J1059" s="139"/>
      <c r="K1059" s="140"/>
      <c r="L1059" s="136"/>
    </row>
    <row r="1060" spans="6:12" ht="13.2">
      <c r="F1060" s="138"/>
      <c r="G1060" s="2"/>
      <c r="H1060" s="139"/>
      <c r="I1060" s="139"/>
      <c r="J1060" s="139"/>
      <c r="K1060" s="140"/>
      <c r="L1060" s="136"/>
    </row>
    <row r="1061" spans="6:12" ht="13.2">
      <c r="F1061" s="138"/>
      <c r="G1061" s="2"/>
      <c r="H1061" s="139"/>
      <c r="I1061" s="139"/>
      <c r="J1061" s="139"/>
      <c r="K1061" s="140"/>
      <c r="L1061" s="136"/>
    </row>
    <row r="1062" spans="6:12" ht="13.2">
      <c r="F1062" s="138"/>
      <c r="G1062" s="2"/>
      <c r="H1062" s="139"/>
      <c r="I1062" s="139"/>
      <c r="J1062" s="139"/>
      <c r="K1062" s="140"/>
      <c r="L1062" s="136"/>
    </row>
    <row r="1063" spans="6:12" ht="13.2">
      <c r="F1063" s="138"/>
      <c r="G1063" s="2"/>
      <c r="H1063" s="139"/>
      <c r="I1063" s="139"/>
      <c r="J1063" s="139"/>
      <c r="K1063" s="140"/>
      <c r="L1063" s="136"/>
    </row>
    <row r="1064" spans="6:12" ht="13.2">
      <c r="F1064" s="138"/>
      <c r="G1064" s="2"/>
      <c r="H1064" s="139"/>
      <c r="I1064" s="139"/>
      <c r="J1064" s="139"/>
      <c r="K1064" s="140"/>
      <c r="L1064" s="136"/>
    </row>
    <row r="1065" spans="6:12" ht="13.2">
      <c r="F1065" s="138"/>
      <c r="G1065" s="2"/>
      <c r="H1065" s="139"/>
      <c r="I1065" s="139"/>
      <c r="J1065" s="139"/>
      <c r="K1065" s="140"/>
      <c r="L1065" s="136"/>
    </row>
    <row r="1066" spans="6:12" ht="13.2">
      <c r="F1066" s="138"/>
      <c r="G1066" s="2"/>
      <c r="H1066" s="139"/>
      <c r="I1066" s="139"/>
      <c r="J1066" s="139"/>
      <c r="K1066" s="140"/>
      <c r="L1066" s="136"/>
    </row>
    <row r="1067" spans="6:12" ht="13.2">
      <c r="F1067" s="138"/>
      <c r="G1067" s="2"/>
      <c r="H1067" s="139"/>
      <c r="I1067" s="139"/>
      <c r="J1067" s="139"/>
      <c r="K1067" s="140"/>
      <c r="L1067" s="136"/>
    </row>
    <row r="1068" spans="6:12" ht="13.2">
      <c r="F1068" s="138"/>
      <c r="G1068" s="2"/>
      <c r="H1068" s="139"/>
      <c r="I1068" s="139"/>
      <c r="J1068" s="139"/>
      <c r="K1068" s="140"/>
      <c r="L1068" s="136"/>
    </row>
    <row r="1069" spans="6:12" ht="13.2">
      <c r="F1069" s="138"/>
      <c r="G1069" s="2"/>
      <c r="H1069" s="139"/>
      <c r="I1069" s="139"/>
      <c r="J1069" s="139"/>
      <c r="K1069" s="140"/>
      <c r="L1069" s="136"/>
    </row>
    <row r="1070" spans="6:12" ht="13.2">
      <c r="F1070" s="138"/>
      <c r="G1070" s="2"/>
      <c r="H1070" s="139"/>
      <c r="I1070" s="139"/>
      <c r="J1070" s="139"/>
      <c r="K1070" s="140"/>
      <c r="L1070" s="136"/>
    </row>
    <row r="1071" spans="6:12" ht="13.2">
      <c r="F1071" s="138"/>
      <c r="G1071" s="2"/>
      <c r="H1071" s="139"/>
      <c r="I1071" s="139"/>
      <c r="J1071" s="139"/>
      <c r="K1071" s="140"/>
      <c r="L1071" s="136"/>
    </row>
    <row r="1072" spans="6:12" ht="13.2">
      <c r="F1072" s="138"/>
      <c r="G1072" s="2"/>
      <c r="H1072" s="139"/>
      <c r="I1072" s="139"/>
      <c r="J1072" s="139"/>
      <c r="K1072" s="140"/>
      <c r="L1072" s="136"/>
    </row>
    <row r="1073" spans="6:12" ht="13.2">
      <c r="F1073" s="138"/>
      <c r="G1073" s="2"/>
      <c r="H1073" s="139"/>
      <c r="I1073" s="139"/>
      <c r="J1073" s="139"/>
      <c r="K1073" s="140"/>
      <c r="L1073" s="136"/>
    </row>
    <row r="1074" spans="6:12" ht="13.2">
      <c r="F1074" s="138"/>
      <c r="G1074" s="2"/>
      <c r="H1074" s="139"/>
      <c r="I1074" s="139"/>
      <c r="J1074" s="139"/>
      <c r="K1074" s="140"/>
      <c r="L1074" s="136"/>
    </row>
    <row r="1075" spans="6:12" ht="13.2">
      <c r="F1075" s="138"/>
      <c r="G1075" s="2"/>
      <c r="H1075" s="139"/>
      <c r="I1075" s="139"/>
      <c r="J1075" s="139"/>
      <c r="K1075" s="140"/>
      <c r="L1075" s="136"/>
    </row>
    <row r="1076" spans="6:12" ht="13.2">
      <c r="F1076" s="138"/>
      <c r="G1076" s="2"/>
      <c r="H1076" s="139"/>
      <c r="I1076" s="139"/>
      <c r="J1076" s="139"/>
      <c r="K1076" s="140"/>
      <c r="L1076" s="136"/>
    </row>
    <row r="1077" spans="6:12" ht="13.2">
      <c r="F1077" s="138"/>
      <c r="G1077" s="2"/>
      <c r="H1077" s="139"/>
      <c r="I1077" s="139"/>
      <c r="J1077" s="139"/>
      <c r="K1077" s="140"/>
      <c r="L1077" s="136"/>
    </row>
    <row r="1078" spans="6:12" ht="13.2">
      <c r="F1078" s="138"/>
      <c r="G1078" s="2"/>
      <c r="H1078" s="139"/>
      <c r="I1078" s="139"/>
      <c r="J1078" s="139"/>
      <c r="K1078" s="140"/>
      <c r="L1078" s="136"/>
    </row>
    <row r="1079" spans="6:12" ht="13.2">
      <c r="F1079" s="138"/>
      <c r="G1079" s="2"/>
      <c r="H1079" s="139"/>
      <c r="I1079" s="139"/>
      <c r="J1079" s="139"/>
      <c r="K1079" s="140"/>
      <c r="L1079" s="136"/>
    </row>
    <row r="1080" spans="6:12" ht="13.2">
      <c r="F1080" s="138"/>
      <c r="G1080" s="2"/>
      <c r="H1080" s="139"/>
      <c r="I1080" s="139"/>
      <c r="J1080" s="139"/>
      <c r="K1080" s="140"/>
      <c r="L1080" s="136"/>
    </row>
    <row r="1081" spans="6:12" ht="13.2">
      <c r="F1081" s="138"/>
      <c r="G1081" s="2"/>
      <c r="H1081" s="139"/>
      <c r="I1081" s="139"/>
      <c r="J1081" s="139"/>
      <c r="K1081" s="140"/>
      <c r="L1081" s="136"/>
    </row>
    <row r="1082" spans="6:12" ht="13.2">
      <c r="F1082" s="138"/>
      <c r="G1082" s="2"/>
      <c r="H1082" s="139"/>
      <c r="I1082" s="139"/>
      <c r="J1082" s="139"/>
      <c r="K1082" s="140"/>
      <c r="L1082" s="136"/>
    </row>
    <row r="1083" spans="6:12" ht="13.2">
      <c r="F1083" s="138"/>
      <c r="G1083" s="2"/>
      <c r="H1083" s="139"/>
      <c r="I1083" s="139"/>
      <c r="J1083" s="139"/>
      <c r="K1083" s="140"/>
      <c r="L1083" s="136"/>
    </row>
    <row r="1084" spans="6:12" ht="13.2">
      <c r="F1084" s="138"/>
      <c r="G1084" s="2"/>
      <c r="H1084" s="139"/>
      <c r="I1084" s="139"/>
      <c r="J1084" s="139"/>
      <c r="K1084" s="140"/>
      <c r="L1084" s="136"/>
    </row>
    <row r="1085" spans="6:12" ht="13.2">
      <c r="F1085" s="138"/>
      <c r="G1085" s="2"/>
      <c r="H1085" s="139"/>
      <c r="I1085" s="139"/>
      <c r="J1085" s="139"/>
      <c r="K1085" s="140"/>
      <c r="L1085" s="136"/>
    </row>
    <row r="1086" spans="6:12" ht="13.2">
      <c r="F1086" s="138"/>
      <c r="G1086" s="2"/>
      <c r="H1086" s="139"/>
      <c r="I1086" s="139"/>
      <c r="J1086" s="139"/>
      <c r="K1086" s="140"/>
      <c r="L1086" s="136"/>
    </row>
    <row r="1087" spans="6:12" ht="13.2">
      <c r="F1087" s="138"/>
      <c r="G1087" s="2"/>
      <c r="H1087" s="139"/>
      <c r="I1087" s="139"/>
      <c r="J1087" s="139"/>
      <c r="K1087" s="140"/>
      <c r="L1087" s="136"/>
    </row>
    <row r="1088" spans="6:12" ht="13.2">
      <c r="F1088" s="138"/>
      <c r="G1088" s="2"/>
      <c r="H1088" s="139"/>
      <c r="I1088" s="139"/>
      <c r="J1088" s="139"/>
      <c r="K1088" s="140"/>
      <c r="L1088" s="136"/>
    </row>
    <row r="1089" spans="6:12" ht="13.2">
      <c r="F1089" s="138"/>
      <c r="G1089" s="2"/>
      <c r="H1089" s="139"/>
      <c r="I1089" s="139"/>
      <c r="J1089" s="139"/>
      <c r="K1089" s="140"/>
      <c r="L1089" s="136"/>
    </row>
    <row r="1090" spans="6:12" ht="13.2">
      <c r="F1090" s="138"/>
      <c r="G1090" s="2"/>
      <c r="H1090" s="139"/>
      <c r="I1090" s="139"/>
      <c r="J1090" s="139"/>
      <c r="K1090" s="140"/>
      <c r="L1090" s="136"/>
    </row>
    <row r="1091" spans="6:12" ht="13.2">
      <c r="F1091" s="138"/>
      <c r="G1091" s="2"/>
      <c r="H1091" s="139"/>
      <c r="I1091" s="139"/>
      <c r="J1091" s="139"/>
      <c r="K1091" s="140"/>
      <c r="L1091" s="136"/>
    </row>
    <row r="1092" spans="6:12" ht="13.2">
      <c r="F1092" s="138"/>
      <c r="G1092" s="2"/>
      <c r="H1092" s="139"/>
      <c r="I1092" s="139"/>
      <c r="J1092" s="139"/>
      <c r="K1092" s="140"/>
      <c r="L1092" s="136"/>
    </row>
    <row r="1093" spans="6:12" ht="13.2">
      <c r="F1093" s="138"/>
      <c r="G1093" s="2"/>
      <c r="H1093" s="139"/>
      <c r="I1093" s="139"/>
      <c r="J1093" s="139"/>
      <c r="K1093" s="140"/>
      <c r="L1093" s="136"/>
    </row>
    <row r="1094" spans="6:12" ht="13.2">
      <c r="F1094" s="138"/>
      <c r="G1094" s="2"/>
      <c r="H1094" s="139"/>
      <c r="I1094" s="139"/>
      <c r="J1094" s="139"/>
      <c r="K1094" s="140"/>
      <c r="L1094" s="136"/>
    </row>
    <row r="1095" spans="6:12" ht="13.2">
      <c r="F1095" s="138"/>
      <c r="G1095" s="2"/>
      <c r="H1095" s="139"/>
      <c r="I1095" s="139"/>
      <c r="J1095" s="139"/>
      <c r="K1095" s="140"/>
      <c r="L1095" s="136"/>
    </row>
    <row r="1096" spans="6:12" ht="13.2">
      <c r="F1096" s="138"/>
      <c r="G1096" s="2"/>
      <c r="H1096" s="139"/>
      <c r="I1096" s="139"/>
      <c r="J1096" s="139"/>
      <c r="K1096" s="140"/>
      <c r="L1096" s="136"/>
    </row>
    <row r="1097" spans="6:12" ht="13.2">
      <c r="F1097" s="138"/>
      <c r="G1097" s="2"/>
      <c r="H1097" s="139"/>
      <c r="I1097" s="139"/>
      <c r="J1097" s="139"/>
      <c r="K1097" s="140"/>
      <c r="L1097" s="136"/>
    </row>
    <row r="1098" spans="6:12" ht="13.2">
      <c r="F1098" s="138"/>
      <c r="G1098" s="2"/>
      <c r="H1098" s="139"/>
      <c r="I1098" s="139"/>
      <c r="J1098" s="139"/>
      <c r="K1098" s="140"/>
      <c r="L1098" s="136"/>
    </row>
    <row r="1099" spans="6:12" ht="13.2">
      <c r="F1099" s="138"/>
      <c r="G1099" s="2"/>
      <c r="H1099" s="139"/>
      <c r="I1099" s="139"/>
      <c r="J1099" s="139"/>
      <c r="K1099" s="140"/>
      <c r="L1099" s="136"/>
    </row>
    <row r="1100" spans="6:12" ht="13.2">
      <c r="F1100" s="138"/>
      <c r="G1100" s="2"/>
      <c r="H1100" s="139"/>
      <c r="I1100" s="139"/>
      <c r="J1100" s="139"/>
      <c r="K1100" s="140"/>
      <c r="L1100" s="136"/>
    </row>
    <row r="1101" spans="6:12" ht="13.2">
      <c r="F1101" s="138"/>
      <c r="G1101" s="2"/>
      <c r="H1101" s="139"/>
      <c r="I1101" s="139"/>
      <c r="J1101" s="139"/>
      <c r="K1101" s="140"/>
      <c r="L1101" s="136"/>
    </row>
    <row r="1102" spans="6:12" ht="13.2">
      <c r="F1102" s="138"/>
      <c r="G1102" s="2"/>
      <c r="H1102" s="139"/>
      <c r="I1102" s="139"/>
      <c r="J1102" s="139"/>
      <c r="K1102" s="140"/>
      <c r="L1102" s="136"/>
    </row>
    <row r="1103" spans="6:12" ht="13.2">
      <c r="F1103" s="138"/>
      <c r="G1103" s="2"/>
      <c r="H1103" s="139"/>
      <c r="I1103" s="139"/>
      <c r="J1103" s="139"/>
      <c r="K1103" s="140"/>
      <c r="L1103" s="136"/>
    </row>
    <row r="1104" spans="6:12" ht="13.2">
      <c r="F1104" s="138"/>
      <c r="G1104" s="2"/>
      <c r="H1104" s="139"/>
      <c r="I1104" s="139"/>
      <c r="J1104" s="139"/>
      <c r="K1104" s="140"/>
      <c r="L1104" s="136"/>
    </row>
    <row r="1105" spans="6:12" ht="13.2">
      <c r="F1105" s="138"/>
      <c r="G1105" s="2"/>
      <c r="H1105" s="139"/>
      <c r="I1105" s="139"/>
      <c r="J1105" s="139"/>
      <c r="K1105" s="140"/>
      <c r="L1105" s="136"/>
    </row>
    <row r="1106" spans="6:12" ht="13.2">
      <c r="F1106" s="138"/>
      <c r="G1106" s="2"/>
      <c r="H1106" s="139"/>
      <c r="I1106" s="139"/>
      <c r="J1106" s="139"/>
      <c r="K1106" s="140"/>
      <c r="L1106" s="136"/>
    </row>
    <row r="1107" spans="6:12" ht="13.2">
      <c r="F1107" s="138"/>
      <c r="G1107" s="2"/>
      <c r="H1107" s="139"/>
      <c r="I1107" s="139"/>
      <c r="J1107" s="139"/>
      <c r="K1107" s="140"/>
      <c r="L1107" s="136"/>
    </row>
    <row r="1108" spans="6:12" ht="13.2">
      <c r="F1108" s="138"/>
      <c r="G1108" s="2"/>
      <c r="H1108" s="139"/>
      <c r="I1108" s="139"/>
      <c r="J1108" s="139"/>
      <c r="K1108" s="140"/>
      <c r="L1108" s="136"/>
    </row>
    <row r="1109" spans="6:12" ht="13.2">
      <c r="F1109" s="138"/>
      <c r="G1109" s="2"/>
      <c r="H1109" s="139"/>
      <c r="I1109" s="139"/>
      <c r="J1109" s="139"/>
      <c r="K1109" s="140"/>
      <c r="L1109" s="136"/>
    </row>
    <row r="1110" spans="6:12" ht="13.2">
      <c r="F1110" s="138"/>
      <c r="G1110" s="2"/>
      <c r="H1110" s="139"/>
      <c r="I1110" s="139"/>
      <c r="J1110" s="139"/>
      <c r="K1110" s="140"/>
      <c r="L1110" s="136"/>
    </row>
    <row r="1111" spans="6:12" ht="13.2">
      <c r="F1111" s="138"/>
      <c r="G1111" s="2"/>
      <c r="H1111" s="139"/>
      <c r="I1111" s="139"/>
      <c r="J1111" s="139"/>
      <c r="K1111" s="140"/>
      <c r="L1111" s="136"/>
    </row>
    <row r="1112" spans="6:12" ht="13.2">
      <c r="F1112" s="138"/>
      <c r="G1112" s="2"/>
      <c r="H1112" s="139"/>
      <c r="I1112" s="139"/>
      <c r="J1112" s="139"/>
      <c r="K1112" s="140"/>
      <c r="L1112" s="136"/>
    </row>
    <row r="1113" spans="6:12" ht="13.2">
      <c r="F1113" s="138"/>
      <c r="G1113" s="2"/>
      <c r="H1113" s="139"/>
      <c r="I1113" s="139"/>
      <c r="J1113" s="139"/>
      <c r="K1113" s="140"/>
      <c r="L1113" s="136"/>
    </row>
    <row r="1114" spans="6:12" ht="13.2">
      <c r="F1114" s="138"/>
      <c r="G1114" s="2"/>
      <c r="H1114" s="139"/>
      <c r="I1114" s="139"/>
      <c r="J1114" s="139"/>
      <c r="K1114" s="140"/>
      <c r="L1114" s="136"/>
    </row>
    <row r="1115" spans="6:12" ht="13.2">
      <c r="F1115" s="138"/>
      <c r="G1115" s="2"/>
      <c r="H1115" s="139"/>
      <c r="I1115" s="139"/>
      <c r="J1115" s="139"/>
      <c r="K1115" s="140"/>
      <c r="L1115" s="136"/>
    </row>
    <row r="1116" spans="6:12" ht="13.2">
      <c r="F1116" s="138"/>
      <c r="G1116" s="2"/>
      <c r="H1116" s="139"/>
      <c r="I1116" s="139"/>
      <c r="J1116" s="139"/>
      <c r="K1116" s="140"/>
      <c r="L1116" s="136"/>
    </row>
    <row r="1117" spans="6:12" ht="13.2">
      <c r="F1117" s="138"/>
      <c r="G1117" s="2"/>
      <c r="H1117" s="139"/>
      <c r="I1117" s="139"/>
      <c r="J1117" s="139"/>
      <c r="K1117" s="140"/>
      <c r="L1117" s="136"/>
    </row>
    <row r="1118" spans="6:12" ht="13.2">
      <c r="F1118" s="138"/>
      <c r="G1118" s="2"/>
      <c r="H1118" s="139"/>
      <c r="I1118" s="139"/>
      <c r="J1118" s="139"/>
      <c r="K1118" s="140"/>
      <c r="L1118" s="136"/>
    </row>
    <row r="1119" spans="6:12" ht="13.2">
      <c r="F1119" s="138"/>
      <c r="G1119" s="2"/>
      <c r="H1119" s="139"/>
      <c r="I1119" s="139"/>
      <c r="J1119" s="139"/>
      <c r="K1119" s="140"/>
      <c r="L1119" s="136"/>
    </row>
    <row r="1120" spans="6:12" ht="13.2">
      <c r="F1120" s="138"/>
      <c r="G1120" s="2"/>
      <c r="H1120" s="139"/>
      <c r="I1120" s="139"/>
      <c r="J1120" s="139"/>
      <c r="K1120" s="140"/>
      <c r="L1120" s="136"/>
    </row>
    <row r="1121" spans="6:12" ht="13.2">
      <c r="F1121" s="138"/>
      <c r="G1121" s="2"/>
      <c r="H1121" s="139"/>
      <c r="I1121" s="139"/>
      <c r="J1121" s="139"/>
      <c r="K1121" s="140"/>
      <c r="L1121" s="136"/>
    </row>
    <row r="1122" spans="6:12" ht="13.2">
      <c r="F1122" s="138"/>
      <c r="G1122" s="2"/>
      <c r="H1122" s="139"/>
      <c r="I1122" s="139"/>
      <c r="J1122" s="139"/>
      <c r="K1122" s="140"/>
      <c r="L1122" s="136"/>
    </row>
    <row r="1123" spans="6:12" ht="13.2">
      <c r="F1123" s="138"/>
      <c r="G1123" s="2"/>
      <c r="H1123" s="139"/>
      <c r="I1123" s="139"/>
      <c r="J1123" s="139"/>
      <c r="K1123" s="140"/>
      <c r="L1123" s="136"/>
    </row>
    <row r="1124" spans="6:12" ht="13.2">
      <c r="F1124" s="138"/>
      <c r="G1124" s="2"/>
      <c r="H1124" s="139"/>
      <c r="I1124" s="139"/>
      <c r="J1124" s="139"/>
      <c r="K1124" s="140"/>
      <c r="L1124" s="136"/>
    </row>
    <row r="1125" spans="6:12" ht="13.2">
      <c r="F1125" s="138"/>
      <c r="G1125" s="2"/>
      <c r="H1125" s="139"/>
      <c r="I1125" s="139"/>
      <c r="J1125" s="139"/>
      <c r="K1125" s="140"/>
      <c r="L1125" s="136"/>
    </row>
    <row r="1126" spans="6:12" ht="13.2">
      <c r="F1126" s="138"/>
      <c r="G1126" s="2"/>
      <c r="H1126" s="139"/>
      <c r="I1126" s="139"/>
      <c r="J1126" s="139"/>
      <c r="K1126" s="140"/>
      <c r="L1126" s="136"/>
    </row>
    <row r="1127" spans="6:12" ht="13.2">
      <c r="F1127" s="138"/>
      <c r="G1127" s="2"/>
      <c r="H1127" s="139"/>
      <c r="I1127" s="139"/>
      <c r="J1127" s="139"/>
      <c r="K1127" s="140"/>
      <c r="L1127" s="136"/>
    </row>
    <row r="1128" spans="6:12" ht="13.2">
      <c r="F1128" s="138"/>
      <c r="G1128" s="2"/>
      <c r="H1128" s="139"/>
      <c r="I1128" s="139"/>
      <c r="J1128" s="139"/>
      <c r="K1128" s="140"/>
      <c r="L1128" s="136"/>
    </row>
    <row r="1129" spans="6:12" ht="13.2">
      <c r="F1129" s="138"/>
      <c r="G1129" s="2"/>
      <c r="H1129" s="139"/>
      <c r="I1129" s="139"/>
      <c r="J1129" s="139"/>
      <c r="K1129" s="140"/>
      <c r="L1129" s="136"/>
    </row>
    <row r="1130" spans="6:12" ht="13.2">
      <c r="F1130" s="138"/>
      <c r="G1130" s="2"/>
      <c r="H1130" s="139"/>
      <c r="I1130" s="139"/>
      <c r="J1130" s="139"/>
      <c r="K1130" s="140"/>
      <c r="L1130" s="136"/>
    </row>
    <row r="1131" spans="6:12" ht="13.2">
      <c r="F1131" s="138"/>
      <c r="G1131" s="2"/>
      <c r="H1131" s="139"/>
      <c r="I1131" s="139"/>
      <c r="J1131" s="139"/>
      <c r="K1131" s="140"/>
      <c r="L1131" s="136"/>
    </row>
    <row r="1132" spans="6:12" ht="13.2">
      <c r="F1132" s="138"/>
      <c r="G1132" s="2"/>
      <c r="H1132" s="139"/>
      <c r="I1132" s="139"/>
      <c r="J1132" s="139"/>
      <c r="K1132" s="140"/>
      <c r="L1132" s="136"/>
    </row>
    <row r="1133" spans="6:12" ht="13.2">
      <c r="F1133" s="138"/>
      <c r="G1133" s="2"/>
      <c r="H1133" s="139"/>
      <c r="I1133" s="139"/>
      <c r="J1133" s="139"/>
      <c r="K1133" s="140"/>
      <c r="L1133" s="136"/>
    </row>
    <row r="1134" spans="6:12" ht="13.2">
      <c r="F1134" s="138"/>
      <c r="G1134" s="2"/>
      <c r="H1134" s="139"/>
      <c r="I1134" s="139"/>
      <c r="J1134" s="139"/>
      <c r="K1134" s="140"/>
      <c r="L1134" s="136"/>
    </row>
    <row r="1135" spans="6:12" ht="13.2">
      <c r="F1135" s="138"/>
      <c r="G1135" s="2"/>
      <c r="H1135" s="139"/>
      <c r="I1135" s="139"/>
      <c r="J1135" s="139"/>
      <c r="K1135" s="140"/>
      <c r="L1135" s="136"/>
    </row>
    <row r="1136" spans="6:12" ht="13.2">
      <c r="F1136" s="138"/>
      <c r="G1136" s="2"/>
      <c r="H1136" s="139"/>
      <c r="I1136" s="139"/>
      <c r="J1136" s="139"/>
      <c r="K1136" s="140"/>
      <c r="L1136" s="136"/>
    </row>
    <row r="1137" spans="6:12" ht="13.2">
      <c r="F1137" s="138"/>
      <c r="G1137" s="2"/>
      <c r="H1137" s="139"/>
      <c r="I1137" s="139"/>
      <c r="J1137" s="139"/>
      <c r="K1137" s="140"/>
      <c r="L1137" s="136"/>
    </row>
    <row r="1138" spans="6:12" ht="13.2">
      <c r="F1138" s="138"/>
      <c r="G1138" s="2"/>
      <c r="H1138" s="139"/>
      <c r="I1138" s="139"/>
      <c r="J1138" s="139"/>
      <c r="K1138" s="140"/>
      <c r="L1138" s="136"/>
    </row>
    <row r="1139" spans="6:12" ht="13.2">
      <c r="F1139" s="138"/>
      <c r="G1139" s="2"/>
      <c r="H1139" s="139"/>
      <c r="I1139" s="139"/>
      <c r="J1139" s="139"/>
      <c r="K1139" s="140"/>
      <c r="L1139" s="136"/>
    </row>
    <row r="1140" spans="6:12" ht="13.2">
      <c r="F1140" s="138"/>
      <c r="G1140" s="2"/>
      <c r="H1140" s="139"/>
      <c r="I1140" s="139"/>
      <c r="J1140" s="139"/>
      <c r="K1140" s="140"/>
      <c r="L1140" s="136"/>
    </row>
    <row r="1141" spans="6:12" ht="13.2">
      <c r="F1141" s="138"/>
      <c r="G1141" s="2"/>
      <c r="H1141" s="139"/>
      <c r="I1141" s="139"/>
      <c r="J1141" s="139"/>
      <c r="K1141" s="140"/>
      <c r="L1141" s="136"/>
    </row>
    <row r="1142" spans="6:12" ht="13.2">
      <c r="F1142" s="138"/>
      <c r="G1142" s="2"/>
      <c r="H1142" s="139"/>
      <c r="I1142" s="139"/>
      <c r="J1142" s="139"/>
      <c r="K1142" s="140"/>
      <c r="L1142" s="136"/>
    </row>
    <row r="1143" spans="6:12" ht="13.2">
      <c r="F1143" s="138"/>
      <c r="G1143" s="2"/>
      <c r="H1143" s="139"/>
      <c r="I1143" s="139"/>
      <c r="J1143" s="139"/>
      <c r="K1143" s="140"/>
      <c r="L1143" s="136"/>
    </row>
    <row r="1144" spans="6:12" ht="13.2">
      <c r="F1144" s="138"/>
      <c r="G1144" s="2"/>
      <c r="H1144" s="139"/>
      <c r="I1144" s="139"/>
      <c r="J1144" s="139"/>
      <c r="K1144" s="140"/>
      <c r="L1144" s="136"/>
    </row>
    <row r="1145" spans="6:12" ht="13.2">
      <c r="F1145" s="138"/>
      <c r="G1145" s="2"/>
      <c r="H1145" s="139"/>
      <c r="I1145" s="139"/>
      <c r="J1145" s="139"/>
      <c r="K1145" s="140"/>
      <c r="L1145" s="136"/>
    </row>
    <row r="1146" spans="6:12" ht="13.2">
      <c r="F1146" s="138"/>
      <c r="G1146" s="2"/>
      <c r="H1146" s="139"/>
      <c r="I1146" s="139"/>
      <c r="J1146" s="139"/>
      <c r="K1146" s="140"/>
      <c r="L1146" s="136"/>
    </row>
    <row r="1147" spans="6:12" ht="13.2">
      <c r="F1147" s="138"/>
      <c r="G1147" s="2"/>
      <c r="H1147" s="139"/>
      <c r="I1147" s="139"/>
      <c r="J1147" s="139"/>
      <c r="K1147" s="140"/>
      <c r="L1147" s="136"/>
    </row>
    <row r="1148" spans="6:12" ht="13.2">
      <c r="F1148" s="138"/>
      <c r="G1148" s="2"/>
      <c r="H1148" s="139"/>
      <c r="I1148" s="139"/>
      <c r="J1148" s="139"/>
      <c r="K1148" s="140"/>
      <c r="L1148" s="136"/>
    </row>
    <row r="1149" spans="6:12" ht="13.2">
      <c r="F1149" s="138"/>
      <c r="G1149" s="2"/>
      <c r="H1149" s="139"/>
      <c r="I1149" s="139"/>
      <c r="J1149" s="139"/>
      <c r="K1149" s="140"/>
      <c r="L1149" s="136"/>
    </row>
    <row r="1150" spans="6:12" ht="13.2">
      <c r="F1150" s="138"/>
      <c r="G1150" s="2"/>
      <c r="H1150" s="139"/>
      <c r="I1150" s="139"/>
      <c r="J1150" s="139"/>
      <c r="K1150" s="140"/>
      <c r="L1150" s="136"/>
    </row>
    <row r="1151" spans="6:12" ht="13.2">
      <c r="F1151" s="138"/>
      <c r="G1151" s="2"/>
      <c r="H1151" s="139"/>
      <c r="I1151" s="139"/>
      <c r="J1151" s="139"/>
      <c r="K1151" s="140"/>
      <c r="L1151" s="136"/>
    </row>
    <row r="1152" spans="6:12" ht="13.2">
      <c r="F1152" s="138"/>
      <c r="G1152" s="2"/>
      <c r="H1152" s="139"/>
      <c r="I1152" s="139"/>
      <c r="J1152" s="139"/>
      <c r="K1152" s="140"/>
      <c r="L1152" s="136"/>
    </row>
    <row r="1153" spans="6:12" ht="13.2">
      <c r="F1153" s="138"/>
      <c r="G1153" s="2"/>
      <c r="H1153" s="139"/>
      <c r="I1153" s="139"/>
      <c r="J1153" s="139"/>
      <c r="K1153" s="140"/>
      <c r="L1153" s="136"/>
    </row>
    <row r="1154" spans="6:12" ht="13.2">
      <c r="F1154" s="138"/>
      <c r="G1154" s="2"/>
      <c r="H1154" s="139"/>
      <c r="I1154" s="139"/>
      <c r="J1154" s="139"/>
      <c r="K1154" s="140"/>
      <c r="L1154" s="136"/>
    </row>
    <row r="1155" spans="6:12" ht="13.2">
      <c r="F1155" s="138"/>
      <c r="G1155" s="2"/>
      <c r="H1155" s="139"/>
      <c r="I1155" s="139"/>
      <c r="J1155" s="139"/>
      <c r="K1155" s="140"/>
      <c r="L1155" s="136"/>
    </row>
    <row r="1156" spans="6:12" ht="13.2">
      <c r="F1156" s="138"/>
      <c r="G1156" s="2"/>
      <c r="H1156" s="139"/>
      <c r="I1156" s="139"/>
      <c r="J1156" s="139"/>
      <c r="K1156" s="140"/>
      <c r="L1156" s="136"/>
    </row>
    <row r="1157" spans="6:12" ht="13.2">
      <c r="F1157" s="138"/>
      <c r="G1157" s="2"/>
      <c r="H1157" s="139"/>
      <c r="I1157" s="139"/>
      <c r="J1157" s="139"/>
      <c r="K1157" s="140"/>
      <c r="L1157" s="136"/>
    </row>
    <row r="1158" spans="6:12" ht="13.2">
      <c r="F1158" s="138"/>
      <c r="G1158" s="2"/>
      <c r="H1158" s="139"/>
      <c r="I1158" s="139"/>
      <c r="J1158" s="139"/>
      <c r="K1158" s="140"/>
      <c r="L1158" s="136"/>
    </row>
    <row r="1159" spans="6:12" ht="13.2">
      <c r="F1159" s="138"/>
      <c r="G1159" s="2"/>
      <c r="H1159" s="139"/>
      <c r="I1159" s="139"/>
      <c r="J1159" s="139"/>
      <c r="K1159" s="140"/>
      <c r="L1159" s="136"/>
    </row>
    <row r="1160" spans="6:12" ht="13.2">
      <c r="F1160" s="138"/>
      <c r="G1160" s="2"/>
      <c r="H1160" s="139"/>
      <c r="I1160" s="139"/>
      <c r="J1160" s="139"/>
      <c r="K1160" s="140"/>
      <c r="L1160" s="136"/>
    </row>
    <row r="1161" spans="6:12" ht="13.2">
      <c r="F1161" s="138"/>
      <c r="G1161" s="2"/>
      <c r="H1161" s="139"/>
      <c r="I1161" s="139"/>
      <c r="J1161" s="139"/>
      <c r="K1161" s="140"/>
      <c r="L1161" s="136"/>
    </row>
    <row r="1162" spans="6:12" ht="13.2">
      <c r="F1162" s="138"/>
      <c r="G1162" s="2"/>
      <c r="H1162" s="139"/>
      <c r="I1162" s="139"/>
      <c r="J1162" s="139"/>
      <c r="K1162" s="140"/>
      <c r="L1162" s="136"/>
    </row>
    <row r="1163" spans="6:12" ht="13.2">
      <c r="F1163" s="138"/>
      <c r="G1163" s="2"/>
      <c r="H1163" s="139"/>
      <c r="I1163" s="139"/>
      <c r="J1163" s="139"/>
      <c r="K1163" s="140"/>
      <c r="L1163" s="136"/>
    </row>
    <row r="1164" spans="6:12" ht="13.2">
      <c r="F1164" s="138"/>
      <c r="G1164" s="2"/>
      <c r="H1164" s="139"/>
      <c r="I1164" s="139"/>
      <c r="J1164" s="139"/>
      <c r="K1164" s="140"/>
      <c r="L1164" s="136"/>
    </row>
    <row r="1165" spans="6:12" ht="13.2">
      <c r="F1165" s="138"/>
      <c r="G1165" s="2"/>
      <c r="H1165" s="139"/>
      <c r="I1165" s="139"/>
      <c r="J1165" s="139"/>
      <c r="K1165" s="140"/>
      <c r="L1165" s="136"/>
    </row>
    <row r="1166" spans="6:12" ht="13.2">
      <c r="F1166" s="138"/>
      <c r="G1166" s="2"/>
      <c r="H1166" s="139"/>
      <c r="I1166" s="139"/>
      <c r="J1166" s="139"/>
      <c r="K1166" s="140"/>
      <c r="L1166" s="136"/>
    </row>
    <row r="1167" spans="6:12" ht="13.2">
      <c r="F1167" s="138"/>
      <c r="G1167" s="2"/>
      <c r="H1167" s="139"/>
      <c r="I1167" s="139"/>
      <c r="J1167" s="139"/>
      <c r="K1167" s="140"/>
      <c r="L1167" s="136"/>
    </row>
    <row r="1168" spans="6:12" ht="13.2">
      <c r="F1168" s="138"/>
      <c r="G1168" s="2"/>
      <c r="H1168" s="139"/>
      <c r="I1168" s="139"/>
      <c r="J1168" s="139"/>
      <c r="K1168" s="140"/>
      <c r="L1168" s="136"/>
    </row>
    <row r="1169" spans="6:12" ht="13.2">
      <c r="F1169" s="138"/>
      <c r="G1169" s="2"/>
      <c r="H1169" s="139"/>
      <c r="I1169" s="139"/>
      <c r="J1169" s="139"/>
      <c r="K1169" s="140"/>
      <c r="L1169" s="136"/>
    </row>
    <row r="1170" spans="6:12" ht="13.2">
      <c r="F1170" s="138"/>
      <c r="G1170" s="2"/>
      <c r="H1170" s="139"/>
      <c r="I1170" s="139"/>
      <c r="J1170" s="139"/>
      <c r="K1170" s="140"/>
      <c r="L1170" s="136"/>
    </row>
    <row r="1171" spans="6:12" ht="13.2">
      <c r="F1171" s="138"/>
      <c r="G1171" s="2"/>
      <c r="H1171" s="139"/>
      <c r="I1171" s="139"/>
      <c r="J1171" s="139"/>
      <c r="K1171" s="140"/>
      <c r="L1171" s="136"/>
    </row>
    <row r="1172" spans="6:12" ht="13.2">
      <c r="F1172" s="138"/>
      <c r="G1172" s="2"/>
      <c r="H1172" s="139"/>
      <c r="I1172" s="139"/>
      <c r="J1172" s="139"/>
      <c r="K1172" s="140"/>
      <c r="L1172" s="136"/>
    </row>
    <row r="1173" spans="6:12" ht="13.2">
      <c r="F1173" s="138"/>
      <c r="G1173" s="2"/>
      <c r="H1173" s="139"/>
      <c r="I1173" s="139"/>
      <c r="J1173" s="139"/>
      <c r="K1173" s="140"/>
      <c r="L1173" s="136"/>
    </row>
    <row r="1174" spans="6:12" ht="13.2">
      <c r="F1174" s="138"/>
      <c r="G1174" s="2"/>
      <c r="H1174" s="139"/>
      <c r="I1174" s="139"/>
      <c r="J1174" s="139"/>
      <c r="K1174" s="140"/>
      <c r="L1174" s="136"/>
    </row>
    <row r="1175" spans="6:12" ht="13.2">
      <c r="F1175" s="138"/>
      <c r="G1175" s="2"/>
      <c r="H1175" s="139"/>
      <c r="I1175" s="139"/>
      <c r="J1175" s="139"/>
      <c r="K1175" s="140"/>
      <c r="L1175" s="136"/>
    </row>
    <row r="1176" spans="6:12" ht="13.2">
      <c r="F1176" s="138"/>
      <c r="G1176" s="2"/>
      <c r="H1176" s="139"/>
      <c r="I1176" s="139"/>
      <c r="J1176" s="139"/>
      <c r="K1176" s="140"/>
      <c r="L1176" s="136"/>
    </row>
  </sheetData>
  <autoFilter ref="B2:L236" xr:uid="{00000000-0009-0000-0000-00000C000000}"/>
  <mergeCells count="8">
    <mergeCell ref="A209:A230"/>
    <mergeCell ref="A231:A263"/>
    <mergeCell ref="A274:A279"/>
    <mergeCell ref="B1:L1"/>
    <mergeCell ref="A3:A21"/>
    <mergeCell ref="A22:A28"/>
    <mergeCell ref="A29:A42"/>
    <mergeCell ref="A43:A208"/>
  </mergeCells>
  <conditionalFormatting sqref="J2:J1176">
    <cfRule type="cellIs" dxfId="1" priority="1" operator="lessThanOr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1096"/>
  <sheetViews>
    <sheetView workbookViewId="0"/>
  </sheetViews>
  <sheetFormatPr defaultColWidth="12.6640625" defaultRowHeight="15.75" customHeight="1"/>
  <sheetData>
    <row r="1" spans="1:30" ht="15.75" customHeight="1">
      <c r="A1" s="412" t="s">
        <v>2132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</row>
    <row r="2" spans="1:30">
      <c r="A2" s="229" t="s">
        <v>381</v>
      </c>
      <c r="B2" s="230" t="s">
        <v>2133</v>
      </c>
      <c r="C2" s="230" t="s">
        <v>69</v>
      </c>
      <c r="D2" s="230" t="s">
        <v>382</v>
      </c>
      <c r="E2" s="230" t="s">
        <v>383</v>
      </c>
      <c r="F2" s="230" t="s">
        <v>384</v>
      </c>
      <c r="G2" s="231" t="s">
        <v>1577</v>
      </c>
      <c r="H2" s="230" t="s">
        <v>1578</v>
      </c>
      <c r="I2" s="230" t="s">
        <v>1758</v>
      </c>
      <c r="J2" s="230" t="s">
        <v>336</v>
      </c>
      <c r="K2" s="230" t="s">
        <v>337</v>
      </c>
      <c r="L2" s="230" t="s">
        <v>2134</v>
      </c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</row>
    <row r="3" spans="1:30">
      <c r="A3" s="232">
        <v>1</v>
      </c>
      <c r="B3" s="233" t="s">
        <v>336</v>
      </c>
      <c r="C3" s="234">
        <v>45274</v>
      </c>
      <c r="D3" s="235" t="s">
        <v>435</v>
      </c>
      <c r="E3" s="235" t="str">
        <f>VLOOKUP(D3,'Danh mục hàng hóa'!$C$3:$D$600,2,0)</f>
        <v>Bao lì xì Tết tài lộc</v>
      </c>
      <c r="F3" s="236" t="str">
        <f>VLOOKUP(D3,'Danh mục hàng hóa'!$C$3:$E$613,3,0)</f>
        <v>set 6 cái</v>
      </c>
      <c r="G3" s="237">
        <f t="shared" ref="G3:G7" si="0">640*6</f>
        <v>3840</v>
      </c>
      <c r="H3" s="237">
        <v>20</v>
      </c>
      <c r="I3" s="235"/>
      <c r="J3" s="237">
        <f t="shared" ref="J3:J25" si="1">H3*G3</f>
        <v>76800</v>
      </c>
      <c r="K3" s="237">
        <f t="shared" ref="K3:K209" si="2">G3*I3</f>
        <v>0</v>
      </c>
      <c r="L3" s="235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</row>
    <row r="4" spans="1:30">
      <c r="A4" s="232">
        <v>2</v>
      </c>
      <c r="B4" s="233" t="s">
        <v>336</v>
      </c>
      <c r="C4" s="234">
        <v>45274</v>
      </c>
      <c r="D4" s="235" t="s">
        <v>437</v>
      </c>
      <c r="E4" s="235" t="str">
        <f>VLOOKUP(D4,'Danh mục hàng hóa'!$C$3:$D$600,2,0)</f>
        <v>Bao lì xì Tết hoa</v>
      </c>
      <c r="F4" s="236" t="str">
        <f>VLOOKUP(D4,'Danh mục hàng hóa'!$C$3:$E$613,3,0)</f>
        <v>set 6 cái</v>
      </c>
      <c r="G4" s="237">
        <f t="shared" si="0"/>
        <v>3840</v>
      </c>
      <c r="H4" s="237">
        <v>20</v>
      </c>
      <c r="I4" s="235"/>
      <c r="J4" s="237">
        <f t="shared" si="1"/>
        <v>76800</v>
      </c>
      <c r="K4" s="237">
        <f t="shared" si="2"/>
        <v>0</v>
      </c>
      <c r="L4" s="235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</row>
    <row r="5" spans="1:30">
      <c r="A5" s="232">
        <v>3</v>
      </c>
      <c r="B5" s="233" t="s">
        <v>336</v>
      </c>
      <c r="C5" s="234">
        <v>45274</v>
      </c>
      <c r="D5" s="235" t="s">
        <v>438</v>
      </c>
      <c r="E5" s="235" t="str">
        <f>VLOOKUP(D5,'Danh mục hàng hóa'!$C$3:$D$600,2,0)</f>
        <v>Bao lì xì Tết xanh</v>
      </c>
      <c r="F5" s="236" t="str">
        <f>VLOOKUP(D5,'Danh mục hàng hóa'!$C$3:$E$613,3,0)</f>
        <v>set 6 cái</v>
      </c>
      <c r="G5" s="237">
        <f t="shared" si="0"/>
        <v>3840</v>
      </c>
      <c r="H5" s="237">
        <v>20</v>
      </c>
      <c r="I5" s="235"/>
      <c r="J5" s="237">
        <f t="shared" si="1"/>
        <v>76800</v>
      </c>
      <c r="K5" s="237">
        <f t="shared" si="2"/>
        <v>0</v>
      </c>
      <c r="L5" s="235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</row>
    <row r="6" spans="1:30">
      <c r="A6" s="232">
        <v>4</v>
      </c>
      <c r="B6" s="233" t="s">
        <v>336</v>
      </c>
      <c r="C6" s="234">
        <v>45274</v>
      </c>
      <c r="D6" s="235" t="s">
        <v>439</v>
      </c>
      <c r="E6" s="235" t="str">
        <f>VLOOKUP(D6,'Danh mục hàng hóa'!$C$3:$D$600,2,0)</f>
        <v>Bao lì xì vui vẻ</v>
      </c>
      <c r="F6" s="236" t="str">
        <f>VLOOKUP(D6,'Danh mục hàng hóa'!$C$3:$E$613,3,0)</f>
        <v>set 6 cái</v>
      </c>
      <c r="G6" s="237">
        <f t="shared" si="0"/>
        <v>3840</v>
      </c>
      <c r="H6" s="237">
        <v>20</v>
      </c>
      <c r="I6" s="235"/>
      <c r="J6" s="237">
        <f t="shared" si="1"/>
        <v>76800</v>
      </c>
      <c r="K6" s="237">
        <f t="shared" si="2"/>
        <v>0</v>
      </c>
      <c r="L6" s="235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</row>
    <row r="7" spans="1:30">
      <c r="A7" s="232">
        <v>5</v>
      </c>
      <c r="B7" s="233" t="s">
        <v>336</v>
      </c>
      <c r="C7" s="234">
        <v>45274</v>
      </c>
      <c r="D7" s="235" t="s">
        <v>440</v>
      </c>
      <c r="E7" s="235" t="str">
        <f>VLOOKUP(D7,'Danh mục hàng hóa'!$C$3:$D$600,2,0)</f>
        <v>Bao lì xì ngộ nghĩnh</v>
      </c>
      <c r="F7" s="236" t="str">
        <f>VLOOKUP(D7,'Danh mục hàng hóa'!$C$3:$E$613,3,0)</f>
        <v>set 6 cái</v>
      </c>
      <c r="G7" s="237">
        <f t="shared" si="0"/>
        <v>3840</v>
      </c>
      <c r="H7" s="237">
        <v>20</v>
      </c>
      <c r="I7" s="235"/>
      <c r="J7" s="237">
        <f t="shared" si="1"/>
        <v>76800</v>
      </c>
      <c r="K7" s="237">
        <f t="shared" si="2"/>
        <v>0</v>
      </c>
      <c r="L7" s="235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</row>
    <row r="8" spans="1:30">
      <c r="A8" s="232">
        <v>6</v>
      </c>
      <c r="B8" s="233" t="s">
        <v>336</v>
      </c>
      <c r="C8" s="234">
        <v>45278</v>
      </c>
      <c r="D8" s="235" t="s">
        <v>392</v>
      </c>
      <c r="E8" s="235" t="str">
        <f>VLOOKUP(D8,'Danh mục hàng hóa'!$C$3:$D$600,2,0)</f>
        <v>Túi chườm bụng trái bơ 1000ml</v>
      </c>
      <c r="F8" s="236" t="str">
        <f>VLOOKUP(D8,'Danh mục hàng hóa'!$C$3:$E$613,3,0)</f>
        <v>túi</v>
      </c>
      <c r="G8" s="238">
        <f>VLOOKUP(D8,'Danh mục hàng hóa'!$C$3:$K$613,5,0)</f>
        <v>50440</v>
      </c>
      <c r="H8" s="236">
        <v>0</v>
      </c>
      <c r="I8" s="235"/>
      <c r="J8" s="237">
        <f t="shared" si="1"/>
        <v>0</v>
      </c>
      <c r="K8" s="237">
        <f t="shared" si="2"/>
        <v>0</v>
      </c>
      <c r="L8" s="235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</row>
    <row r="9" spans="1:30">
      <c r="A9" s="232">
        <v>7</v>
      </c>
      <c r="B9" s="233" t="s">
        <v>336</v>
      </c>
      <c r="C9" s="234">
        <v>45278</v>
      </c>
      <c r="D9" s="235" t="s">
        <v>397</v>
      </c>
      <c r="E9" s="235" t="str">
        <f>VLOOKUP(D9,'Danh mục hàng hóa'!$C$3:$D$600,2,0)</f>
        <v>Túi chườm bụng dâu (xanh) 1000ml</v>
      </c>
      <c r="F9" s="236" t="str">
        <f>VLOOKUP(D9,'Danh mục hàng hóa'!$C$3:$E$613,3,0)</f>
        <v>túi</v>
      </c>
      <c r="G9" s="238">
        <f>VLOOKUP(D9,'Danh mục hàng hóa'!$C$3:$K$613,5,0)</f>
        <v>50440</v>
      </c>
      <c r="H9" s="236">
        <v>4</v>
      </c>
      <c r="I9" s="235"/>
      <c r="J9" s="237">
        <f t="shared" si="1"/>
        <v>201760</v>
      </c>
      <c r="K9" s="237">
        <f t="shared" si="2"/>
        <v>0</v>
      </c>
      <c r="L9" s="235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</row>
    <row r="10" spans="1:30">
      <c r="A10" s="232">
        <v>8</v>
      </c>
      <c r="B10" s="233" t="s">
        <v>336</v>
      </c>
      <c r="C10" s="234">
        <v>45278</v>
      </c>
      <c r="D10" s="235" t="s">
        <v>401</v>
      </c>
      <c r="E10" s="235" t="str">
        <f>VLOOKUP(D10,'Danh mục hàng hóa'!$C$3:$D$600,2,0)</f>
        <v>Túi chườm bụng dứa xanh đậm  1000ml</v>
      </c>
      <c r="F10" s="236" t="str">
        <f>VLOOKUP(D10,'Danh mục hàng hóa'!$C$3:$E$613,3,0)</f>
        <v>túi</v>
      </c>
      <c r="G10" s="238">
        <f>VLOOKUP(D10,'Danh mục hàng hóa'!$C$3:$K$613,5,0)</f>
        <v>50440</v>
      </c>
      <c r="H10" s="236">
        <v>4</v>
      </c>
      <c r="I10" s="235"/>
      <c r="J10" s="237">
        <f t="shared" si="1"/>
        <v>201760</v>
      </c>
      <c r="K10" s="237">
        <f t="shared" si="2"/>
        <v>0</v>
      </c>
      <c r="L10" s="235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</row>
    <row r="11" spans="1:30">
      <c r="A11" s="232">
        <v>9</v>
      </c>
      <c r="B11" s="233" t="s">
        <v>336</v>
      </c>
      <c r="C11" s="234">
        <v>45278</v>
      </c>
      <c r="D11" s="235" t="s">
        <v>405</v>
      </c>
      <c r="E11" s="235" t="str">
        <f>VLOOKUP(D11,'Danh mục hàng hóa'!$C$3:$D$600,2,0)</f>
        <v>Túi chườm bụng dâu xanh nhạt 1000ml</v>
      </c>
      <c r="F11" s="236" t="str">
        <f>VLOOKUP(D11,'Danh mục hàng hóa'!$C$3:$E$613,3,0)</f>
        <v>túi</v>
      </c>
      <c r="G11" s="238">
        <f>VLOOKUP(D11,'Danh mục hàng hóa'!$C$3:$K$613,5,0)</f>
        <v>50440</v>
      </c>
      <c r="H11" s="236">
        <v>3</v>
      </c>
      <c r="I11" s="235"/>
      <c r="J11" s="237">
        <f t="shared" si="1"/>
        <v>151320</v>
      </c>
      <c r="K11" s="237">
        <f t="shared" si="2"/>
        <v>0</v>
      </c>
      <c r="L11" s="235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</row>
    <row r="12" spans="1:30">
      <c r="A12" s="232">
        <v>10</v>
      </c>
      <c r="B12" s="233" t="s">
        <v>336</v>
      </c>
      <c r="C12" s="234">
        <v>45278</v>
      </c>
      <c r="D12" s="235" t="s">
        <v>409</v>
      </c>
      <c r="E12" s="235" t="str">
        <f>VLOOKUP(D12,'Danh mục hàng hóa'!$C$3:$D$600,2,0)</f>
        <v>Túi chườm bụng thỏ dứa 1000ml</v>
      </c>
      <c r="F12" s="236" t="str">
        <f>VLOOKUP(D12,'Danh mục hàng hóa'!$C$3:$E$613,3,0)</f>
        <v>túi</v>
      </c>
      <c r="G12" s="238">
        <f>VLOOKUP(D12,'Danh mục hàng hóa'!$C$3:$K$613,5,0)</f>
        <v>50440</v>
      </c>
      <c r="H12" s="236">
        <v>4</v>
      </c>
      <c r="I12" s="235"/>
      <c r="J12" s="237">
        <f t="shared" si="1"/>
        <v>201760</v>
      </c>
      <c r="K12" s="237">
        <f t="shared" si="2"/>
        <v>0</v>
      </c>
      <c r="L12" s="235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</row>
    <row r="13" spans="1:30">
      <c r="A13" s="232">
        <v>11</v>
      </c>
      <c r="B13" s="233" t="s">
        <v>336</v>
      </c>
      <c r="C13" s="234">
        <v>45278</v>
      </c>
      <c r="D13" s="235" t="s">
        <v>413</v>
      </c>
      <c r="E13" s="235" t="str">
        <f>VLOOKUP(D13,'Danh mục hàng hóa'!$C$3:$D$600,2,0)</f>
        <v>Túi chườm bụng trái bơ 500ml</v>
      </c>
      <c r="F13" s="236" t="str">
        <f>VLOOKUP(D13,'Danh mục hàng hóa'!$C$3:$E$613,3,0)</f>
        <v>túi</v>
      </c>
      <c r="G13" s="238">
        <f>VLOOKUP(D13,'Danh mục hàng hóa'!$C$3:$K$613,5,0)</f>
        <v>43340</v>
      </c>
      <c r="H13" s="236">
        <v>3</v>
      </c>
      <c r="I13" s="235"/>
      <c r="J13" s="237">
        <f t="shared" si="1"/>
        <v>130020</v>
      </c>
      <c r="K13" s="237">
        <f t="shared" si="2"/>
        <v>0</v>
      </c>
      <c r="L13" s="235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</row>
    <row r="14" spans="1:30">
      <c r="A14" s="232">
        <v>12</v>
      </c>
      <c r="B14" s="233" t="s">
        <v>336</v>
      </c>
      <c r="C14" s="234">
        <v>45278</v>
      </c>
      <c r="D14" s="235" t="s">
        <v>414</v>
      </c>
      <c r="E14" s="235" t="str">
        <f>VLOOKUP(D14,'Danh mục hàng hóa'!$C$3:$D$600,2,0)</f>
        <v>Túi chườm bụng dâu tây 500ml</v>
      </c>
      <c r="F14" s="236" t="str">
        <f>VLOOKUP(D14,'Danh mục hàng hóa'!$C$3:$E$613,3,0)</f>
        <v>túi</v>
      </c>
      <c r="G14" s="238">
        <f>VLOOKUP(D14,'Danh mục hàng hóa'!$C$3:$K$613,5,0)</f>
        <v>43340</v>
      </c>
      <c r="H14" s="236">
        <v>2</v>
      </c>
      <c r="I14" s="235"/>
      <c r="J14" s="237">
        <f t="shared" si="1"/>
        <v>86680</v>
      </c>
      <c r="K14" s="237">
        <f t="shared" si="2"/>
        <v>0</v>
      </c>
      <c r="L14" s="235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</row>
    <row r="15" spans="1:30">
      <c r="A15" s="232">
        <v>13</v>
      </c>
      <c r="B15" s="233" t="s">
        <v>336</v>
      </c>
      <c r="C15" s="234">
        <v>45278</v>
      </c>
      <c r="D15" s="235" t="s">
        <v>416</v>
      </c>
      <c r="E15" s="235" t="str">
        <f>VLOOKUP(D15,'Danh mục hàng hóa'!$C$3:$D$600,2,0)</f>
        <v>Túi chườm bụng dứa xanh đậm  500ml</v>
      </c>
      <c r="F15" s="236" t="str">
        <f>VLOOKUP(D15,'Danh mục hàng hóa'!$C$3:$E$613,3,0)</f>
        <v>túi</v>
      </c>
      <c r="G15" s="238">
        <f>VLOOKUP(D15,'Danh mục hàng hóa'!$C$3:$K$613,5,0)</f>
        <v>43340</v>
      </c>
      <c r="H15" s="236">
        <v>2</v>
      </c>
      <c r="I15" s="235"/>
      <c r="J15" s="237">
        <f t="shared" si="1"/>
        <v>86680</v>
      </c>
      <c r="K15" s="237">
        <f t="shared" si="2"/>
        <v>0</v>
      </c>
      <c r="L15" s="235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</row>
    <row r="16" spans="1:30">
      <c r="A16" s="232">
        <v>14</v>
      </c>
      <c r="B16" s="233" t="s">
        <v>336</v>
      </c>
      <c r="C16" s="234">
        <v>45278</v>
      </c>
      <c r="D16" s="235" t="s">
        <v>418</v>
      </c>
      <c r="E16" s="235" t="str">
        <f>VLOOKUP(D16,'Danh mục hàng hóa'!$C$3:$D$600,2,0)</f>
        <v>Túi chườm bụng dâu xanh nhạt 500ml</v>
      </c>
      <c r="F16" s="236" t="str">
        <f>VLOOKUP(D16,'Danh mục hàng hóa'!$C$3:$E$613,3,0)</f>
        <v>túi</v>
      </c>
      <c r="G16" s="238">
        <f>VLOOKUP(D16,'Danh mục hàng hóa'!$C$3:$K$613,5,0)</f>
        <v>43340</v>
      </c>
      <c r="H16" s="236">
        <v>2</v>
      </c>
      <c r="I16" s="235"/>
      <c r="J16" s="237">
        <f t="shared" si="1"/>
        <v>86680</v>
      </c>
      <c r="K16" s="237">
        <f t="shared" si="2"/>
        <v>0</v>
      </c>
      <c r="L16" s="235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</row>
    <row r="17" spans="1:30">
      <c r="A17" s="232">
        <v>15</v>
      </c>
      <c r="B17" s="233" t="s">
        <v>336</v>
      </c>
      <c r="C17" s="234">
        <v>45278</v>
      </c>
      <c r="D17" s="235" t="s">
        <v>420</v>
      </c>
      <c r="E17" s="235" t="str">
        <f>VLOOKUP(D17,'Danh mục hàng hóa'!$C$3:$D$600,2,0)</f>
        <v>Túi chườm bụng thỏ dứa 500ml</v>
      </c>
      <c r="F17" s="236" t="str">
        <f>VLOOKUP(D17,'Danh mục hàng hóa'!$C$3:$E$613,3,0)</f>
        <v>túi</v>
      </c>
      <c r="G17" s="238">
        <f>VLOOKUP(D17,'Danh mục hàng hóa'!$C$3:$K$613,5,0)</f>
        <v>43340</v>
      </c>
      <c r="H17" s="236">
        <v>2</v>
      </c>
      <c r="I17" s="235"/>
      <c r="J17" s="237">
        <f t="shared" si="1"/>
        <v>86680</v>
      </c>
      <c r="K17" s="237">
        <f t="shared" si="2"/>
        <v>0</v>
      </c>
      <c r="L17" s="235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</row>
    <row r="18" spans="1:30">
      <c r="A18" s="232">
        <v>16</v>
      </c>
      <c r="B18" s="233" t="s">
        <v>336</v>
      </c>
      <c r="C18" s="234">
        <v>45278</v>
      </c>
      <c r="D18" s="235" t="s">
        <v>472</v>
      </c>
      <c r="E18" s="235" t="str">
        <f>VLOOKUP(D18,'Danh mục hàng hóa'!$C$3:$D$600,2,0)</f>
        <v>Trâm cài gỗ nâu trơn</v>
      </c>
      <c r="F18" s="236" t="str">
        <f>VLOOKUP(D18,'Danh mục hàng hóa'!$C$3:$E$613,3,0)</f>
        <v>cái</v>
      </c>
      <c r="G18" s="238">
        <f>VLOOKUP(D18,'Danh mục hàng hóa'!$C$3:$K$613,5,0)</f>
        <v>9970</v>
      </c>
      <c r="H18" s="236">
        <v>4</v>
      </c>
      <c r="I18" s="235"/>
      <c r="J18" s="237">
        <f t="shared" si="1"/>
        <v>39880</v>
      </c>
      <c r="K18" s="237">
        <f t="shared" si="2"/>
        <v>0</v>
      </c>
      <c r="L18" s="235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</row>
    <row r="19" spans="1:30">
      <c r="A19" s="232">
        <v>17</v>
      </c>
      <c r="B19" s="233" t="s">
        <v>336</v>
      </c>
      <c r="C19" s="234">
        <v>45278</v>
      </c>
      <c r="D19" s="235" t="s">
        <v>474</v>
      </c>
      <c r="E19" s="235" t="str">
        <f>VLOOKUP(D19,'Danh mục hàng hóa'!$C$3:$D$600,2,0)</f>
        <v>Trâm cài hoa xanh</v>
      </c>
      <c r="F19" s="236" t="str">
        <f>VLOOKUP(D19,'Danh mục hàng hóa'!$C$3:$E$613,3,0)</f>
        <v>cái</v>
      </c>
      <c r="G19" s="238">
        <f>VLOOKUP(D19,'Danh mục hàng hóa'!$C$3:$K$613,5,0)</f>
        <v>12455</v>
      </c>
      <c r="H19" s="236">
        <v>4</v>
      </c>
      <c r="I19" s="235"/>
      <c r="J19" s="237">
        <f t="shared" si="1"/>
        <v>49820</v>
      </c>
      <c r="K19" s="237">
        <f t="shared" si="2"/>
        <v>0</v>
      </c>
      <c r="L19" s="235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</row>
    <row r="20" spans="1:30">
      <c r="A20" s="232">
        <v>18</v>
      </c>
      <c r="B20" s="233" t="s">
        <v>336</v>
      </c>
      <c r="C20" s="234">
        <v>45278</v>
      </c>
      <c r="D20" s="235" t="s">
        <v>476</v>
      </c>
      <c r="E20" s="235" t="str">
        <f>VLOOKUP(D20,'Danh mục hàng hóa'!$C$3:$D$600,2,0)</f>
        <v>Trâm cài hoa trắng</v>
      </c>
      <c r="F20" s="236" t="str">
        <f>VLOOKUP(D20,'Danh mục hàng hóa'!$C$3:$E$613,3,0)</f>
        <v>cái</v>
      </c>
      <c r="G20" s="238">
        <f>VLOOKUP(D20,'Danh mục hàng hóa'!$C$3:$K$613,5,0)</f>
        <v>12100</v>
      </c>
      <c r="H20" s="236">
        <v>4</v>
      </c>
      <c r="I20" s="235"/>
      <c r="J20" s="237">
        <f t="shared" si="1"/>
        <v>48400</v>
      </c>
      <c r="K20" s="237">
        <f t="shared" si="2"/>
        <v>0</v>
      </c>
      <c r="L20" s="235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</row>
    <row r="21" spans="1:30">
      <c r="A21" s="232">
        <v>19</v>
      </c>
      <c r="B21" s="233" t="s">
        <v>336</v>
      </c>
      <c r="C21" s="234">
        <v>45278</v>
      </c>
      <c r="D21" s="235" t="s">
        <v>478</v>
      </c>
      <c r="E21" s="235" t="str">
        <f>VLOOKUP(D21,'Danh mục hàng hóa'!$C$3:$D$600,2,0)</f>
        <v>Trâm cài hoa hồng</v>
      </c>
      <c r="F21" s="236" t="str">
        <f>VLOOKUP(D21,'Danh mục hàng hóa'!$C$3:$E$613,3,0)</f>
        <v>cái</v>
      </c>
      <c r="G21" s="238">
        <f>VLOOKUP(D21,'Danh mục hàng hóa'!$C$3:$K$613,5,0)</f>
        <v>13165</v>
      </c>
      <c r="H21" s="236">
        <v>4</v>
      </c>
      <c r="I21" s="235"/>
      <c r="J21" s="237">
        <f t="shared" si="1"/>
        <v>52660</v>
      </c>
      <c r="K21" s="237">
        <f t="shared" si="2"/>
        <v>0</v>
      </c>
      <c r="L21" s="235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</row>
    <row r="22" spans="1:30">
      <c r="A22" s="232">
        <v>20</v>
      </c>
      <c r="B22" s="233" t="s">
        <v>336</v>
      </c>
      <c r="C22" s="234">
        <v>45278</v>
      </c>
      <c r="D22" s="235" t="s">
        <v>480</v>
      </c>
      <c r="E22" s="235" t="str">
        <f>VLOOKUP(D22,'Danh mục hàng hóa'!$C$3:$D$600,2,0)</f>
        <v>Trâm cài gỗ nâu có họa tiết</v>
      </c>
      <c r="F22" s="236" t="str">
        <f>VLOOKUP(D22,'Danh mục hàng hóa'!$C$3:$E$613,3,0)</f>
        <v>cái</v>
      </c>
      <c r="G22" s="238">
        <f>VLOOKUP(D22,'Danh mục hàng hóa'!$C$3:$K$613,5,0)</f>
        <v>9970</v>
      </c>
      <c r="H22" s="236">
        <v>4</v>
      </c>
      <c r="I22" s="235"/>
      <c r="J22" s="237">
        <f t="shared" si="1"/>
        <v>39880</v>
      </c>
      <c r="K22" s="237">
        <f t="shared" si="2"/>
        <v>0</v>
      </c>
      <c r="L22" s="235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</row>
    <row r="23" spans="1:30">
      <c r="A23" s="232">
        <v>21</v>
      </c>
      <c r="B23" s="233" t="s">
        <v>336</v>
      </c>
      <c r="C23" s="234">
        <v>45278</v>
      </c>
      <c r="D23" s="235" t="s">
        <v>431</v>
      </c>
      <c r="E23" s="235" t="str">
        <f>VLOOKUP(D23,'Danh mục hàng hóa'!$C$3:$D$600,2,0)</f>
        <v>Bao lì xì rồng con</v>
      </c>
      <c r="F23" s="236" t="str">
        <f>VLOOKUP(D23,'Danh mục hàng hóa'!$C$3:$E$613,3,0)</f>
        <v>túi 4 cái</v>
      </c>
      <c r="G23" s="238">
        <f>VLOOKUP(D23,'Danh mục hàng hóa'!$C$3:$K$613,5,0)</f>
        <v>7167.5</v>
      </c>
      <c r="H23" s="236">
        <v>50</v>
      </c>
      <c r="I23" s="235"/>
      <c r="J23" s="237">
        <f t="shared" si="1"/>
        <v>358375</v>
      </c>
      <c r="K23" s="237">
        <f t="shared" si="2"/>
        <v>0</v>
      </c>
      <c r="L23" s="235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</row>
    <row r="24" spans="1:30">
      <c r="A24" s="232">
        <v>22</v>
      </c>
      <c r="B24" s="233" t="s">
        <v>336</v>
      </c>
      <c r="C24" s="234">
        <v>45278</v>
      </c>
      <c r="D24" s="235" t="s">
        <v>433</v>
      </c>
      <c r="E24" s="235" t="str">
        <f>VLOOKUP(D24,'Danh mục hàng hóa'!$C$3:$D$600,2,0)</f>
        <v>Bao lì xì rồng lân</v>
      </c>
      <c r="F24" s="236" t="str">
        <f>VLOOKUP(D24,'Danh mục hàng hóa'!$C$3:$E$613,3,0)</f>
        <v>túi 4 cái</v>
      </c>
      <c r="G24" s="238">
        <f>VLOOKUP(D24,'Danh mục hàng hóa'!$C$3:$K$613,5,0)</f>
        <v>7167.5</v>
      </c>
      <c r="H24" s="236">
        <v>50</v>
      </c>
      <c r="I24" s="235"/>
      <c r="J24" s="237">
        <f t="shared" si="1"/>
        <v>358375</v>
      </c>
      <c r="K24" s="237">
        <f t="shared" si="2"/>
        <v>0</v>
      </c>
      <c r="L24" s="235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</row>
    <row r="25" spans="1:30">
      <c r="A25" s="232">
        <v>23</v>
      </c>
      <c r="B25" s="236" t="s">
        <v>337</v>
      </c>
      <c r="C25" s="239">
        <v>45279</v>
      </c>
      <c r="D25" s="235" t="s">
        <v>401</v>
      </c>
      <c r="E25" s="235" t="str">
        <f>VLOOKUP(D25,'Danh mục hàng hóa'!$C$3:$D$600,2,0)</f>
        <v>Túi chườm bụng dứa xanh đậm  1000ml</v>
      </c>
      <c r="F25" s="236" t="str">
        <f>VLOOKUP(D25,'Danh mục hàng hóa'!$C$3:$E$613,3,0)</f>
        <v>túi</v>
      </c>
      <c r="G25" s="237">
        <v>75000</v>
      </c>
      <c r="H25" s="235"/>
      <c r="I25" s="236">
        <v>1</v>
      </c>
      <c r="J25" s="237">
        <f t="shared" si="1"/>
        <v>0</v>
      </c>
      <c r="K25" s="237">
        <f t="shared" si="2"/>
        <v>75000</v>
      </c>
      <c r="L25" s="413" t="s">
        <v>2135</v>
      </c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</row>
    <row r="26" spans="1:30">
      <c r="A26" s="240"/>
      <c r="B26" s="236" t="s">
        <v>337</v>
      </c>
      <c r="C26" s="239">
        <v>45279</v>
      </c>
      <c r="D26" s="235" t="s">
        <v>431</v>
      </c>
      <c r="E26" s="235" t="str">
        <f>VLOOKUP(D26,'Danh mục hàng hóa'!$C$3:$D$600,2,0)</f>
        <v>Bao lì xì rồng con</v>
      </c>
      <c r="F26" s="236" t="str">
        <f>VLOOKUP(D26,'Danh mục hàng hóa'!$C$3:$E$613,3,0)</f>
        <v>túi 4 cái</v>
      </c>
      <c r="G26" s="237">
        <f>200000/15</f>
        <v>13333.333333333334</v>
      </c>
      <c r="H26" s="235"/>
      <c r="I26" s="236">
        <v>15</v>
      </c>
      <c r="J26" s="235"/>
      <c r="K26" s="237">
        <f t="shared" si="2"/>
        <v>200000</v>
      </c>
      <c r="L26" s="414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</row>
    <row r="27" spans="1:30" ht="13.2">
      <c r="A27" s="232">
        <v>25</v>
      </c>
      <c r="B27" s="236" t="s">
        <v>337</v>
      </c>
      <c r="C27" s="239">
        <v>45279</v>
      </c>
      <c r="D27" s="235" t="s">
        <v>435</v>
      </c>
      <c r="E27" s="235" t="str">
        <f>VLOOKUP(D27,'Danh mục hàng hóa'!$C$3:$D$600,2,0)</f>
        <v>Bao lì xì Tết tài lộc</v>
      </c>
      <c r="F27" s="236" t="str">
        <f>VLOOKUP(D27,'Danh mục hàng hóa'!$C$3:$E$613,3,0)</f>
        <v>set 6 cái</v>
      </c>
      <c r="G27" s="237">
        <f>183540/(30+2/3)</f>
        <v>5985</v>
      </c>
      <c r="H27" s="235"/>
      <c r="I27" s="236">
        <f>30+2/3</f>
        <v>30.666666666666668</v>
      </c>
      <c r="J27" s="237">
        <f t="shared" ref="J27:J281" si="3">H27*G27</f>
        <v>0</v>
      </c>
      <c r="K27" s="237">
        <f t="shared" si="2"/>
        <v>183540</v>
      </c>
      <c r="L27" s="415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</row>
    <row r="28" spans="1:30" ht="13.2">
      <c r="A28" s="232">
        <v>26</v>
      </c>
      <c r="B28" s="236" t="s">
        <v>337</v>
      </c>
      <c r="C28" s="239">
        <v>45281</v>
      </c>
      <c r="D28" s="235" t="s">
        <v>414</v>
      </c>
      <c r="E28" s="235" t="str">
        <f>VLOOKUP(D28,'Danh mục hàng hóa'!$C$3:$D$600,2,0)</f>
        <v>Túi chườm bụng dâu tây 500ml</v>
      </c>
      <c r="F28" s="236" t="str">
        <f>VLOOKUP(D28,'Danh mục hàng hóa'!$C$3:$E$613,3,0)</f>
        <v>túi</v>
      </c>
      <c r="G28" s="237">
        <v>75000</v>
      </c>
      <c r="H28" s="235"/>
      <c r="I28" s="236">
        <v>1</v>
      </c>
      <c r="J28" s="237">
        <f t="shared" si="3"/>
        <v>0</v>
      </c>
      <c r="K28" s="237">
        <f t="shared" si="2"/>
        <v>75000</v>
      </c>
      <c r="L28" s="235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</row>
    <row r="29" spans="1:30" ht="13.2">
      <c r="A29" s="232">
        <v>27</v>
      </c>
      <c r="B29" s="236" t="s">
        <v>337</v>
      </c>
      <c r="C29" s="239">
        <v>45281</v>
      </c>
      <c r="D29" s="235" t="s">
        <v>409</v>
      </c>
      <c r="E29" s="235" t="str">
        <f>VLOOKUP(D29,'Danh mục hàng hóa'!$C$3:$D$600,2,0)</f>
        <v>Túi chườm bụng thỏ dứa 1000ml</v>
      </c>
      <c r="F29" s="236" t="str">
        <f>VLOOKUP(D29,'Danh mục hàng hóa'!$C$3:$E$613,3,0)</f>
        <v>túi</v>
      </c>
      <c r="G29" s="237">
        <v>90000</v>
      </c>
      <c r="H29" s="235"/>
      <c r="I29" s="236">
        <v>1</v>
      </c>
      <c r="J29" s="237">
        <f t="shared" si="3"/>
        <v>0</v>
      </c>
      <c r="K29" s="237">
        <f t="shared" si="2"/>
        <v>90000</v>
      </c>
      <c r="L29" s="235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</row>
    <row r="30" spans="1:30" ht="13.2">
      <c r="A30" s="232">
        <v>28</v>
      </c>
      <c r="B30" s="236" t="s">
        <v>337</v>
      </c>
      <c r="C30" s="239">
        <v>45281</v>
      </c>
      <c r="D30" s="235" t="s">
        <v>433</v>
      </c>
      <c r="E30" s="235" t="str">
        <f>VLOOKUP(D30,'Danh mục hàng hóa'!$C$3:$D$600,2,0)</f>
        <v>Bao lì xì rồng lân</v>
      </c>
      <c r="F30" s="236" t="str">
        <f>VLOOKUP(D30,'Danh mục hàng hóa'!$C$3:$E$613,3,0)</f>
        <v>túi 4 cái</v>
      </c>
      <c r="G30" s="237">
        <f>449266/35</f>
        <v>12836.171428571428</v>
      </c>
      <c r="H30" s="235"/>
      <c r="I30" s="236">
        <v>35</v>
      </c>
      <c r="J30" s="237">
        <f t="shared" si="3"/>
        <v>0</v>
      </c>
      <c r="K30" s="237">
        <f t="shared" si="2"/>
        <v>449266</v>
      </c>
      <c r="L30" s="235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</row>
    <row r="31" spans="1:30" ht="13.2">
      <c r="A31" s="232">
        <v>30</v>
      </c>
      <c r="B31" s="236" t="s">
        <v>337</v>
      </c>
      <c r="C31" s="239">
        <v>45283</v>
      </c>
      <c r="D31" s="235" t="s">
        <v>437</v>
      </c>
      <c r="E31" s="235" t="str">
        <f>VLOOKUP(D31,'Danh mục hàng hóa'!$C$3:$D$600,2,0)</f>
        <v>Bao lì xì Tết hoa</v>
      </c>
      <c r="F31" s="236" t="str">
        <f>VLOOKUP(D31,'Danh mục hàng hóa'!$C$3:$E$613,3,0)</f>
        <v>set 6 cái</v>
      </c>
      <c r="G31" s="237">
        <f>140150/(23+2/3)</f>
        <v>5921.8309859154924</v>
      </c>
      <c r="H31" s="235"/>
      <c r="I31" s="236">
        <f>23+2/3</f>
        <v>23.666666666666668</v>
      </c>
      <c r="J31" s="237">
        <f t="shared" si="3"/>
        <v>0</v>
      </c>
      <c r="K31" s="237">
        <f t="shared" si="2"/>
        <v>140150</v>
      </c>
      <c r="L31" s="235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</row>
    <row r="32" spans="1:30" ht="13.2">
      <c r="A32" s="232">
        <v>31</v>
      </c>
      <c r="B32" s="236" t="s">
        <v>337</v>
      </c>
      <c r="C32" s="239">
        <v>45284</v>
      </c>
      <c r="D32" s="235" t="s">
        <v>438</v>
      </c>
      <c r="E32" s="235" t="str">
        <f>VLOOKUP(D32,'Danh mục hàng hóa'!$C$3:$D$600,2,0)</f>
        <v>Bao lì xì Tết xanh</v>
      </c>
      <c r="F32" s="236" t="str">
        <f>VLOOKUP(D32,'Danh mục hàng hóa'!$C$3:$E$613,3,0)</f>
        <v>set 6 cái</v>
      </c>
      <c r="G32" s="237">
        <f>131736/(20+2/3)</f>
        <v>6374.322580645161</v>
      </c>
      <c r="H32" s="235"/>
      <c r="I32" s="236">
        <f>20+2/3</f>
        <v>20.666666666666668</v>
      </c>
      <c r="J32" s="237">
        <f t="shared" si="3"/>
        <v>0</v>
      </c>
      <c r="K32" s="237">
        <f t="shared" si="2"/>
        <v>131736</v>
      </c>
      <c r="L32" s="235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</row>
    <row r="33" spans="1:30" ht="13.2">
      <c r="A33" s="232">
        <v>32</v>
      </c>
      <c r="B33" s="236" t="s">
        <v>337</v>
      </c>
      <c r="C33" s="239">
        <v>45285</v>
      </c>
      <c r="D33" s="235" t="s">
        <v>439</v>
      </c>
      <c r="E33" s="235" t="str">
        <f>VLOOKUP(D33,'Danh mục hàng hóa'!$C$3:$D$600,2,0)</f>
        <v>Bao lì xì vui vẻ</v>
      </c>
      <c r="F33" s="236" t="str">
        <f>VLOOKUP(D33,'Danh mục hàng hóa'!$C$3:$E$613,3,0)</f>
        <v>set 6 cái</v>
      </c>
      <c r="G33" s="237">
        <f>183410/(30+2/3)</f>
        <v>5980.760869565217</v>
      </c>
      <c r="H33" s="235"/>
      <c r="I33" s="236">
        <f>30+2/3</f>
        <v>30.666666666666668</v>
      </c>
      <c r="J33" s="237">
        <f t="shared" si="3"/>
        <v>0</v>
      </c>
      <c r="K33" s="237">
        <f t="shared" si="2"/>
        <v>183410</v>
      </c>
      <c r="L33" s="235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</row>
    <row r="34" spans="1:30" ht="13.2">
      <c r="A34" s="232">
        <v>33</v>
      </c>
      <c r="B34" s="236" t="s">
        <v>337</v>
      </c>
      <c r="C34" s="239">
        <v>45286</v>
      </c>
      <c r="D34" s="235" t="s">
        <v>440</v>
      </c>
      <c r="E34" s="235" t="str">
        <f>VLOOKUP(D34,'Danh mục hàng hóa'!$C$3:$D$600,2,0)</f>
        <v>Bao lì xì ngộ nghĩnh</v>
      </c>
      <c r="F34" s="236" t="str">
        <f>VLOOKUP(D34,'Danh mục hàng hóa'!$C$3:$E$613,3,0)</f>
        <v>set 6 cái</v>
      </c>
      <c r="G34" s="237">
        <f>191150/(29+2/3)</f>
        <v>6443.2584269662921</v>
      </c>
      <c r="H34" s="235"/>
      <c r="I34" s="236">
        <f>29+2/3</f>
        <v>29.666666666666668</v>
      </c>
      <c r="J34" s="237">
        <f t="shared" si="3"/>
        <v>0</v>
      </c>
      <c r="K34" s="237">
        <f t="shared" si="2"/>
        <v>191150</v>
      </c>
      <c r="L34" s="235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</row>
    <row r="35" spans="1:30" ht="13.2">
      <c r="A35" s="232">
        <v>41</v>
      </c>
      <c r="B35" s="236" t="s">
        <v>337</v>
      </c>
      <c r="C35" s="239">
        <v>45280</v>
      </c>
      <c r="D35" s="235" t="s">
        <v>476</v>
      </c>
      <c r="E35" s="235" t="str">
        <f>VLOOKUP(D35,'Danh mục hàng hóa'!$C$3:$D$600,2,0)</f>
        <v>Trâm cài hoa trắng</v>
      </c>
      <c r="F35" s="236" t="str">
        <f>VLOOKUP(D35,'Danh mục hàng hóa'!$C$3:$E$613,3,0)</f>
        <v>cái</v>
      </c>
      <c r="G35" s="237">
        <v>14700</v>
      </c>
      <c r="H35" s="235"/>
      <c r="I35" s="236">
        <v>1</v>
      </c>
      <c r="J35" s="237">
        <f t="shared" si="3"/>
        <v>0</v>
      </c>
      <c r="K35" s="237">
        <f t="shared" si="2"/>
        <v>14700</v>
      </c>
      <c r="L35" s="235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</row>
    <row r="36" spans="1:30" ht="13.2">
      <c r="A36" s="232">
        <v>45</v>
      </c>
      <c r="B36" s="236" t="s">
        <v>337</v>
      </c>
      <c r="C36" s="239">
        <v>45282</v>
      </c>
      <c r="D36" s="235" t="s">
        <v>401</v>
      </c>
      <c r="E36" s="235" t="str">
        <f>VLOOKUP(D36,'Danh mục hàng hóa'!$C$3:$D$600,2,0)</f>
        <v>Túi chườm bụng dứa xanh đậm  1000ml</v>
      </c>
      <c r="F36" s="236" t="str">
        <f>VLOOKUP(D36,'Danh mục hàng hóa'!$C$3:$E$613,3,0)</f>
        <v>túi</v>
      </c>
      <c r="G36" s="237">
        <v>80000</v>
      </c>
      <c r="H36" s="235"/>
      <c r="I36" s="236">
        <v>1</v>
      </c>
      <c r="J36" s="237">
        <f t="shared" si="3"/>
        <v>0</v>
      </c>
      <c r="K36" s="237">
        <f t="shared" si="2"/>
        <v>80000</v>
      </c>
      <c r="L36" s="235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</row>
    <row r="37" spans="1:30" ht="13.2">
      <c r="A37" s="232">
        <v>46</v>
      </c>
      <c r="B37" s="236" t="s">
        <v>337</v>
      </c>
      <c r="C37" s="239">
        <v>45282</v>
      </c>
      <c r="D37" s="235" t="s">
        <v>416</v>
      </c>
      <c r="E37" s="235" t="str">
        <f>VLOOKUP(D37,'Danh mục hàng hóa'!$C$3:$D$600,2,0)</f>
        <v>Túi chườm bụng dứa xanh đậm  500ml</v>
      </c>
      <c r="F37" s="236" t="str">
        <f>VLOOKUP(D37,'Danh mục hàng hóa'!$C$3:$E$613,3,0)</f>
        <v>túi</v>
      </c>
      <c r="G37" s="237">
        <v>60000</v>
      </c>
      <c r="H37" s="235"/>
      <c r="I37" s="236">
        <v>1</v>
      </c>
      <c r="J37" s="237">
        <f t="shared" si="3"/>
        <v>0</v>
      </c>
      <c r="K37" s="237">
        <f t="shared" si="2"/>
        <v>60000</v>
      </c>
      <c r="L37" s="235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</row>
    <row r="38" spans="1:30" ht="13.2">
      <c r="A38" s="232">
        <v>49</v>
      </c>
      <c r="B38" s="236" t="s">
        <v>336</v>
      </c>
      <c r="C38" s="234">
        <v>45282</v>
      </c>
      <c r="D38" s="235" t="s">
        <v>435</v>
      </c>
      <c r="E38" s="235" t="str">
        <f>VLOOKUP(D38,'Danh mục hàng hóa'!$C$3:$D$600,2,0)</f>
        <v>Bao lì xì Tết tài lộc</v>
      </c>
      <c r="F38" s="236" t="str">
        <f>VLOOKUP(D38,'Danh mục hàng hóa'!$C$3:$E$613,3,0)</f>
        <v>set 6 cái</v>
      </c>
      <c r="G38" s="237">
        <v>3665</v>
      </c>
      <c r="H38" s="236">
        <v>100</v>
      </c>
      <c r="I38" s="235"/>
      <c r="J38" s="237">
        <f t="shared" si="3"/>
        <v>366500</v>
      </c>
      <c r="K38" s="237">
        <f t="shared" si="2"/>
        <v>0</v>
      </c>
      <c r="L38" s="235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</row>
    <row r="39" spans="1:30" ht="13.2">
      <c r="A39" s="232">
        <v>50</v>
      </c>
      <c r="B39" s="236" t="s">
        <v>336</v>
      </c>
      <c r="C39" s="234">
        <v>45282</v>
      </c>
      <c r="D39" s="235" t="s">
        <v>437</v>
      </c>
      <c r="E39" s="235" t="str">
        <f>VLOOKUP(D39,'Danh mục hàng hóa'!$C$3:$D$600,2,0)</f>
        <v>Bao lì xì Tết hoa</v>
      </c>
      <c r="F39" s="236" t="str">
        <f>VLOOKUP(D39,'Danh mục hàng hóa'!$C$3:$E$613,3,0)</f>
        <v>set 6 cái</v>
      </c>
      <c r="G39" s="237">
        <v>3665</v>
      </c>
      <c r="H39" s="236">
        <v>100</v>
      </c>
      <c r="I39" s="235"/>
      <c r="J39" s="237">
        <f t="shared" si="3"/>
        <v>366500</v>
      </c>
      <c r="K39" s="237">
        <f t="shared" si="2"/>
        <v>0</v>
      </c>
      <c r="L39" s="235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</row>
    <row r="40" spans="1:30" ht="13.2">
      <c r="A40" s="232">
        <v>56</v>
      </c>
      <c r="B40" s="236" t="s">
        <v>336</v>
      </c>
      <c r="C40" s="234">
        <v>45283</v>
      </c>
      <c r="D40" s="235" t="s">
        <v>442</v>
      </c>
      <c r="E40" s="235" t="str">
        <f>VLOOKUP(D40,'Danh mục hàng hóa'!$C$3:$D$600,2,0)</f>
        <v>Cài áo hoa hồng đen</v>
      </c>
      <c r="F40" s="236" t="str">
        <f>VLOOKUP(D40,'Danh mục hàng hóa'!$C$3:$E$613,3,0)</f>
        <v>cái</v>
      </c>
      <c r="G40" s="238">
        <f>VLOOKUP(D40,'Danh mục hàng hóa'!$C$3:$K$613,5,0)</f>
        <v>16910</v>
      </c>
      <c r="H40" s="236">
        <v>3</v>
      </c>
      <c r="I40" s="235"/>
      <c r="J40" s="237">
        <f t="shared" si="3"/>
        <v>50730</v>
      </c>
      <c r="K40" s="237">
        <f t="shared" si="2"/>
        <v>0</v>
      </c>
      <c r="L40" s="235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</row>
    <row r="41" spans="1:30" ht="13.2">
      <c r="A41" s="232">
        <v>57</v>
      </c>
      <c r="B41" s="236" t="s">
        <v>336</v>
      </c>
      <c r="C41" s="234">
        <v>45283</v>
      </c>
      <c r="D41" s="235" t="s">
        <v>445</v>
      </c>
      <c r="E41" s="235" t="str">
        <f>VLOOKUP(D41,'Danh mục hàng hóa'!$C$3:$D$600,2,0)</f>
        <v>Cài áo hoa hồng đỏ</v>
      </c>
      <c r="F41" s="236" t="str">
        <f>VLOOKUP(D41,'Danh mục hàng hóa'!$C$3:$E$613,3,0)</f>
        <v>cái</v>
      </c>
      <c r="G41" s="238">
        <f>VLOOKUP(D41,'Danh mục hàng hóa'!$C$3:$K$613,5,0)</f>
        <v>16910</v>
      </c>
      <c r="H41" s="236">
        <v>3</v>
      </c>
      <c r="I41" s="235"/>
      <c r="J41" s="237">
        <f t="shared" si="3"/>
        <v>50730</v>
      </c>
      <c r="K41" s="237">
        <f t="shared" si="2"/>
        <v>0</v>
      </c>
      <c r="L41" s="235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</row>
    <row r="42" spans="1:30" ht="13.2">
      <c r="A42" s="232">
        <v>58</v>
      </c>
      <c r="B42" s="236" t="s">
        <v>336</v>
      </c>
      <c r="C42" s="234">
        <v>45283</v>
      </c>
      <c r="D42" s="235" t="s">
        <v>447</v>
      </c>
      <c r="E42" s="235" t="str">
        <f>VLOOKUP(D42,'Danh mục hàng hóa'!$C$3:$D$600,2,0)</f>
        <v>Cài áo hoa hồng xanh có ngọc trai</v>
      </c>
      <c r="F42" s="236" t="str">
        <f>VLOOKUP(D42,'Danh mục hàng hóa'!$C$3:$E$613,3,0)</f>
        <v>cái</v>
      </c>
      <c r="G42" s="238">
        <f>VLOOKUP(D42,'Danh mục hàng hóa'!$C$3:$K$613,5,0)</f>
        <v>9810</v>
      </c>
      <c r="H42" s="236">
        <v>3</v>
      </c>
      <c r="I42" s="235"/>
      <c r="J42" s="237">
        <f t="shared" si="3"/>
        <v>29430</v>
      </c>
      <c r="K42" s="237">
        <f t="shared" si="2"/>
        <v>0</v>
      </c>
      <c r="L42" s="235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</row>
    <row r="43" spans="1:30" ht="13.2">
      <c r="A43" s="232">
        <v>59</v>
      </c>
      <c r="B43" s="236" t="s">
        <v>336</v>
      </c>
      <c r="C43" s="234">
        <v>45283</v>
      </c>
      <c r="D43" s="235" t="s">
        <v>449</v>
      </c>
      <c r="E43" s="235" t="str">
        <f>VLOOKUP(D43,'Danh mục hàng hóa'!$C$3:$D$600,2,0)</f>
        <v>Cài áo hoa hồng trắng có ngọc trai</v>
      </c>
      <c r="F43" s="236" t="str">
        <f>VLOOKUP(D43,'Danh mục hàng hóa'!$C$3:$E$613,3,0)</f>
        <v>cái</v>
      </c>
      <c r="G43" s="238">
        <f>VLOOKUP(D43,'Danh mục hàng hóa'!$C$3:$K$613,5,0)</f>
        <v>9810</v>
      </c>
      <c r="H43" s="236">
        <v>3</v>
      </c>
      <c r="I43" s="235"/>
      <c r="J43" s="237">
        <f t="shared" si="3"/>
        <v>29430</v>
      </c>
      <c r="K43" s="237">
        <f t="shared" si="2"/>
        <v>0</v>
      </c>
      <c r="L43" s="235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</row>
    <row r="44" spans="1:30" ht="13.2">
      <c r="A44" s="232">
        <v>60</v>
      </c>
      <c r="B44" s="236" t="s">
        <v>336</v>
      </c>
      <c r="C44" s="234">
        <v>45283</v>
      </c>
      <c r="D44" s="235" t="s">
        <v>451</v>
      </c>
      <c r="E44" s="235" t="str">
        <f>VLOOKUP(D44,'Danh mục hàng hóa'!$C$3:$D$600,2,0)</f>
        <v>Cài áo ngọc trai bướm vàng</v>
      </c>
      <c r="F44" s="236" t="str">
        <f>VLOOKUP(D44,'Danh mục hàng hóa'!$C$3:$E$613,3,0)</f>
        <v>cái</v>
      </c>
      <c r="G44" s="238">
        <f>VLOOKUP(D44,'Danh mục hàng hóa'!$C$3:$K$613,5,0)</f>
        <v>9810</v>
      </c>
      <c r="H44" s="236">
        <v>3</v>
      </c>
      <c r="I44" s="235"/>
      <c r="J44" s="237">
        <f t="shared" si="3"/>
        <v>29430</v>
      </c>
      <c r="K44" s="237">
        <f t="shared" si="2"/>
        <v>0</v>
      </c>
      <c r="L44" s="235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</row>
    <row r="45" spans="1:30" ht="13.2">
      <c r="A45" s="232">
        <v>61</v>
      </c>
      <c r="B45" s="236" t="s">
        <v>336</v>
      </c>
      <c r="C45" s="234">
        <v>45283</v>
      </c>
      <c r="D45" s="235" t="s">
        <v>453</v>
      </c>
      <c r="E45" s="235" t="str">
        <f>VLOOKUP(D45,'Danh mục hàng hóa'!$C$3:$D$600,2,0)</f>
        <v>Cài áo ngọc trai bướm bạc</v>
      </c>
      <c r="F45" s="236" t="str">
        <f>VLOOKUP(D45,'Danh mục hàng hóa'!$C$3:$E$613,3,0)</f>
        <v>cái</v>
      </c>
      <c r="G45" s="238">
        <f>VLOOKUP(D45,'Danh mục hàng hóa'!$C$3:$K$613,5,0)</f>
        <v>9810</v>
      </c>
      <c r="H45" s="236">
        <v>3</v>
      </c>
      <c r="I45" s="235"/>
      <c r="J45" s="237">
        <f t="shared" si="3"/>
        <v>29430</v>
      </c>
      <c r="K45" s="237">
        <f t="shared" si="2"/>
        <v>0</v>
      </c>
      <c r="L45" s="235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</row>
    <row r="46" spans="1:30" ht="13.2">
      <c r="A46" s="232">
        <v>62</v>
      </c>
      <c r="B46" s="236" t="s">
        <v>336</v>
      </c>
      <c r="C46" s="234">
        <v>45283</v>
      </c>
      <c r="D46" s="235" t="s">
        <v>455</v>
      </c>
      <c r="E46" s="235" t="str">
        <f>VLOOKUP(D46,'Danh mục hàng hóa'!$C$3:$D$600,2,0)</f>
        <v>Cài áo tulip</v>
      </c>
      <c r="F46" s="236" t="str">
        <f>VLOOKUP(D46,'Danh mục hàng hóa'!$C$3:$E$613,3,0)</f>
        <v>cái</v>
      </c>
      <c r="G46" s="238">
        <f>VLOOKUP(D46,'Danh mục hàng hóa'!$C$3:$K$613,5,0)</f>
        <v>11940</v>
      </c>
      <c r="H46" s="236">
        <v>3</v>
      </c>
      <c r="I46" s="235"/>
      <c r="J46" s="237">
        <f t="shared" si="3"/>
        <v>35820</v>
      </c>
      <c r="K46" s="237">
        <f t="shared" si="2"/>
        <v>0</v>
      </c>
      <c r="L46" s="235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</row>
    <row r="47" spans="1:30" ht="13.2">
      <c r="A47" s="232">
        <v>63</v>
      </c>
      <c r="B47" s="236" t="s">
        <v>336</v>
      </c>
      <c r="C47" s="234">
        <v>45283</v>
      </c>
      <c r="D47" s="235" t="s">
        <v>457</v>
      </c>
      <c r="E47" s="235" t="str">
        <f>VLOOKUP(D47,'Danh mục hàng hóa'!$C$3:$D$600,2,0)</f>
        <v>Cài áo lúa</v>
      </c>
      <c r="F47" s="236" t="str">
        <f>VLOOKUP(D47,'Danh mục hàng hóa'!$C$3:$E$613,3,0)</f>
        <v>cái</v>
      </c>
      <c r="G47" s="238">
        <f>VLOOKUP(D47,'Danh mục hàng hóa'!$C$3:$K$613,5,0)</f>
        <v>15135</v>
      </c>
      <c r="H47" s="236">
        <v>3</v>
      </c>
      <c r="I47" s="235"/>
      <c r="J47" s="237">
        <f t="shared" si="3"/>
        <v>45405</v>
      </c>
      <c r="K47" s="237">
        <f t="shared" si="2"/>
        <v>0</v>
      </c>
      <c r="L47" s="235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</row>
    <row r="48" spans="1:30" ht="13.2">
      <c r="A48" s="232">
        <v>64</v>
      </c>
      <c r="B48" s="236" t="s">
        <v>336</v>
      </c>
      <c r="C48" s="234">
        <v>45283</v>
      </c>
      <c r="D48" s="235" t="s">
        <v>459</v>
      </c>
      <c r="E48" s="235" t="str">
        <f>VLOOKUP(D48,'Danh mục hàng hóa'!$C$3:$D$600,2,0)</f>
        <v>Cài áo xương rồng</v>
      </c>
      <c r="F48" s="236" t="str">
        <f>VLOOKUP(D48,'Danh mục hàng hóa'!$C$3:$E$613,3,0)</f>
        <v>cái</v>
      </c>
      <c r="G48" s="238">
        <f>VLOOKUP(D48,'Danh mục hàng hóa'!$C$3:$K$613,5,0)</f>
        <v>15490</v>
      </c>
      <c r="H48" s="236">
        <v>3</v>
      </c>
      <c r="I48" s="235"/>
      <c r="J48" s="237">
        <f t="shared" si="3"/>
        <v>46470</v>
      </c>
      <c r="K48" s="237">
        <f t="shared" si="2"/>
        <v>0</v>
      </c>
      <c r="L48" s="235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</row>
    <row r="49" spans="1:30" ht="13.2">
      <c r="A49" s="232">
        <v>65</v>
      </c>
      <c r="B49" s="236" t="s">
        <v>336</v>
      </c>
      <c r="C49" s="234">
        <v>45283</v>
      </c>
      <c r="D49" s="235" t="s">
        <v>461</v>
      </c>
      <c r="E49" s="235" t="str">
        <f>VLOOKUP(D49,'Danh mục hàng hóa'!$C$3:$D$600,2,0)</f>
        <v>Cài áo trái tim vàng</v>
      </c>
      <c r="F49" s="236" t="str">
        <f>VLOOKUP(D49,'Danh mục hàng hóa'!$C$3:$E$613,3,0)</f>
        <v>cái</v>
      </c>
      <c r="G49" s="238">
        <f>VLOOKUP(D49,'Danh mục hàng hóa'!$C$3:$K$613,5,0)</f>
        <v>10165</v>
      </c>
      <c r="H49" s="236">
        <v>3</v>
      </c>
      <c r="I49" s="235"/>
      <c r="J49" s="237">
        <f t="shared" si="3"/>
        <v>30495</v>
      </c>
      <c r="K49" s="237">
        <f t="shared" si="2"/>
        <v>0</v>
      </c>
      <c r="L49" s="235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</row>
    <row r="50" spans="1:30" ht="13.2">
      <c r="A50" s="232">
        <v>66</v>
      </c>
      <c r="B50" s="236" t="s">
        <v>336</v>
      </c>
      <c r="C50" s="234">
        <v>45283</v>
      </c>
      <c r="D50" s="235" t="s">
        <v>463</v>
      </c>
      <c r="E50" s="235" t="str">
        <f>VLOOKUP(D50,'Danh mục hàng hóa'!$C$3:$D$600,2,0)</f>
        <v>Cài áo trái tim bạc</v>
      </c>
      <c r="F50" s="236" t="str">
        <f>VLOOKUP(D50,'Danh mục hàng hóa'!$C$3:$E$613,3,0)</f>
        <v>cái</v>
      </c>
      <c r="G50" s="238">
        <f>VLOOKUP(D50,'Danh mục hàng hóa'!$C$3:$K$613,5,0)</f>
        <v>10165</v>
      </c>
      <c r="H50" s="236">
        <v>3</v>
      </c>
      <c r="I50" s="235"/>
      <c r="J50" s="237">
        <f t="shared" si="3"/>
        <v>30495</v>
      </c>
      <c r="K50" s="237">
        <f t="shared" si="2"/>
        <v>0</v>
      </c>
      <c r="L50" s="235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</row>
    <row r="51" spans="1:30" ht="13.2">
      <c r="A51" s="232">
        <v>67</v>
      </c>
      <c r="B51" s="236" t="s">
        <v>336</v>
      </c>
      <c r="C51" s="234">
        <v>45283</v>
      </c>
      <c r="D51" s="235" t="s">
        <v>465</v>
      </c>
      <c r="E51" s="235" t="str">
        <f>VLOOKUP(D51,'Danh mục hàng hóa'!$C$3:$D$600,2,0)</f>
        <v>Cài áo kính vàng</v>
      </c>
      <c r="F51" s="236" t="str">
        <f>VLOOKUP(D51,'Danh mục hàng hóa'!$C$3:$E$613,3,0)</f>
        <v>cái</v>
      </c>
      <c r="G51" s="238">
        <f>VLOOKUP(D51,'Danh mục hàng hóa'!$C$3:$K$613,5,0)</f>
        <v>6260</v>
      </c>
      <c r="H51" s="236">
        <v>3</v>
      </c>
      <c r="I51" s="235"/>
      <c r="J51" s="237">
        <f t="shared" si="3"/>
        <v>18780</v>
      </c>
      <c r="K51" s="237">
        <f t="shared" si="2"/>
        <v>0</v>
      </c>
      <c r="L51" s="235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</row>
    <row r="52" spans="1:30" ht="13.2">
      <c r="A52" s="232">
        <v>68</v>
      </c>
      <c r="B52" s="236" t="s">
        <v>336</v>
      </c>
      <c r="C52" s="234">
        <v>45283</v>
      </c>
      <c r="D52" s="235" t="s">
        <v>467</v>
      </c>
      <c r="E52" s="235" t="str">
        <f>VLOOKUP(D52,'Danh mục hàng hóa'!$C$3:$D$600,2,0)</f>
        <v>Cài áo kính bạc</v>
      </c>
      <c r="F52" s="236" t="str">
        <f>VLOOKUP(D52,'Danh mục hàng hóa'!$C$3:$E$613,3,0)</f>
        <v>cái</v>
      </c>
      <c r="G52" s="238">
        <f>VLOOKUP(D52,'Danh mục hàng hóa'!$C$3:$K$613,5,0)</f>
        <v>6260</v>
      </c>
      <c r="H52" s="236">
        <v>3</v>
      </c>
      <c r="I52" s="235"/>
      <c r="J52" s="237">
        <f t="shared" si="3"/>
        <v>18780</v>
      </c>
      <c r="K52" s="237">
        <f t="shared" si="2"/>
        <v>0</v>
      </c>
      <c r="L52" s="235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</row>
    <row r="53" spans="1:30" ht="13.2">
      <c r="A53" s="232">
        <v>69</v>
      </c>
      <c r="B53" s="236" t="s">
        <v>336</v>
      </c>
      <c r="C53" s="234">
        <v>45283</v>
      </c>
      <c r="D53" s="235" t="s">
        <v>469</v>
      </c>
      <c r="E53" s="235" t="str">
        <f>VLOOKUP(D53,'Danh mục hàng hóa'!$C$3:$D$600,2,0)</f>
        <v>Cài áo ong</v>
      </c>
      <c r="F53" s="236" t="str">
        <f>VLOOKUP(D53,'Danh mục hàng hóa'!$C$3:$E$613,3,0)</f>
        <v>cái</v>
      </c>
      <c r="G53" s="238">
        <f>VLOOKUP(D53,'Danh mục hàng hóa'!$C$3:$K$613,5,0)</f>
        <v>14425</v>
      </c>
      <c r="H53" s="236">
        <v>3</v>
      </c>
      <c r="I53" s="235"/>
      <c r="J53" s="237">
        <f t="shared" si="3"/>
        <v>43275</v>
      </c>
      <c r="K53" s="237">
        <f t="shared" si="2"/>
        <v>0</v>
      </c>
      <c r="L53" s="235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</row>
    <row r="54" spans="1:30" ht="13.2">
      <c r="A54" s="232">
        <v>70</v>
      </c>
      <c r="B54" s="236" t="s">
        <v>336</v>
      </c>
      <c r="C54" s="234">
        <v>45283</v>
      </c>
      <c r="D54" s="235" t="s">
        <v>455</v>
      </c>
      <c r="E54" s="235" t="str">
        <f>VLOOKUP(D54,'Danh mục hàng hóa'!$C$3:$D$600,2,0)</f>
        <v>Cài áo tulip</v>
      </c>
      <c r="F54" s="236" t="str">
        <f>VLOOKUP(D54,'Danh mục hàng hóa'!$C$3:$E$613,3,0)</f>
        <v>cái</v>
      </c>
      <c r="G54" s="238">
        <f>VLOOKUP(D54,'Danh mục hàng hóa'!$C$3:$K$613,5,0)</f>
        <v>11940</v>
      </c>
      <c r="H54" s="235"/>
      <c r="I54" s="236">
        <v>1</v>
      </c>
      <c r="J54" s="237">
        <f t="shared" si="3"/>
        <v>0</v>
      </c>
      <c r="K54" s="237">
        <f t="shared" si="2"/>
        <v>11940</v>
      </c>
      <c r="L54" s="235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</row>
    <row r="55" spans="1:30" ht="13.2">
      <c r="A55" s="232">
        <v>71</v>
      </c>
      <c r="B55" s="236" t="s">
        <v>336</v>
      </c>
      <c r="C55" s="234">
        <v>45283</v>
      </c>
      <c r="D55" s="235" t="s">
        <v>457</v>
      </c>
      <c r="E55" s="235" t="str">
        <f>VLOOKUP(D55,'Danh mục hàng hóa'!$C$3:$D$600,2,0)</f>
        <v>Cài áo lúa</v>
      </c>
      <c r="F55" s="236" t="str">
        <f>VLOOKUP(D55,'Danh mục hàng hóa'!$C$3:$E$613,3,0)</f>
        <v>cái</v>
      </c>
      <c r="G55" s="238">
        <f>VLOOKUP(D55,'Danh mục hàng hóa'!$C$3:$K$613,5,0)</f>
        <v>15135</v>
      </c>
      <c r="H55" s="235"/>
      <c r="I55" s="236">
        <v>1</v>
      </c>
      <c r="J55" s="237">
        <f t="shared" si="3"/>
        <v>0</v>
      </c>
      <c r="K55" s="237">
        <f t="shared" si="2"/>
        <v>15135</v>
      </c>
      <c r="L55" s="235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</row>
    <row r="56" spans="1:30" ht="13.2">
      <c r="A56" s="232">
        <v>72</v>
      </c>
      <c r="B56" s="236" t="s">
        <v>336</v>
      </c>
      <c r="C56" s="234">
        <v>45283</v>
      </c>
      <c r="D56" s="235" t="s">
        <v>552</v>
      </c>
      <c r="E56" s="235" t="str">
        <f>VLOOKUP(D56,'Danh mục hàng hóa'!$C$3:$D$600,2,0)</f>
        <v>Ống 20 dây cột tóc kem be nâu</v>
      </c>
      <c r="F56" s="236" t="str">
        <f>VLOOKUP(D56,'Danh mục hàng hóa'!$C$3:$E$613,3,0)</f>
        <v>ống</v>
      </c>
      <c r="G56" s="238">
        <f>VLOOKUP(D56,'Danh mục hàng hóa'!$C$3:$K$613,5,0)</f>
        <v>6680</v>
      </c>
      <c r="H56" s="236">
        <v>5</v>
      </c>
      <c r="I56" s="235"/>
      <c r="J56" s="237">
        <f t="shared" si="3"/>
        <v>33400</v>
      </c>
      <c r="K56" s="237">
        <f t="shared" si="2"/>
        <v>0</v>
      </c>
      <c r="L56" s="235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</row>
    <row r="57" spans="1:30" ht="13.2">
      <c r="A57" s="232">
        <v>73</v>
      </c>
      <c r="B57" s="236" t="s">
        <v>336</v>
      </c>
      <c r="C57" s="234">
        <v>45283</v>
      </c>
      <c r="D57" s="235" t="s">
        <v>554</v>
      </c>
      <c r="E57" s="235" t="str">
        <f>VLOOKUP(D57,'Danh mục hàng hóa'!$C$3:$D$600,2,0)</f>
        <v>Ống 50 dây cột tóc đen</v>
      </c>
      <c r="F57" s="236" t="str">
        <f>VLOOKUP(D57,'Danh mục hàng hóa'!$C$3:$E$613,3,0)</f>
        <v>ống</v>
      </c>
      <c r="G57" s="238">
        <f>VLOOKUP(D57,'Danh mục hàng hóa'!$C$3:$K$613,5,0)</f>
        <v>10940</v>
      </c>
      <c r="H57" s="236">
        <v>8</v>
      </c>
      <c r="I57" s="235"/>
      <c r="J57" s="237">
        <f t="shared" si="3"/>
        <v>87520</v>
      </c>
      <c r="K57" s="237">
        <f t="shared" si="2"/>
        <v>0</v>
      </c>
      <c r="L57" s="235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</row>
    <row r="58" spans="1:30" ht="13.2">
      <c r="A58" s="232">
        <v>74</v>
      </c>
      <c r="B58" s="236" t="s">
        <v>336</v>
      </c>
      <c r="C58" s="234">
        <v>45283</v>
      </c>
      <c r="D58" s="235" t="s">
        <v>556</v>
      </c>
      <c r="E58" s="235" t="str">
        <f>VLOOKUP(D58,'Danh mục hàng hóa'!$C$3:$D$600,2,0)</f>
        <v>Ống 50 dây cột tóc đen be nâu</v>
      </c>
      <c r="F58" s="236" t="str">
        <f>VLOOKUP(D58,'Danh mục hàng hóa'!$C$3:$E$613,3,0)</f>
        <v>ống</v>
      </c>
      <c r="G58" s="238">
        <f>VLOOKUP(D58,'Danh mục hàng hóa'!$C$3:$K$613,5,0)</f>
        <v>10940</v>
      </c>
      <c r="H58" s="236">
        <v>3</v>
      </c>
      <c r="I58" s="235"/>
      <c r="J58" s="237">
        <f t="shared" si="3"/>
        <v>32820</v>
      </c>
      <c r="K58" s="237">
        <f t="shared" si="2"/>
        <v>0</v>
      </c>
      <c r="L58" s="235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</row>
    <row r="59" spans="1:30" ht="13.2">
      <c r="A59" s="232">
        <v>75</v>
      </c>
      <c r="B59" s="236" t="s">
        <v>336</v>
      </c>
      <c r="C59" s="234">
        <v>45283</v>
      </c>
      <c r="D59" s="235" t="s">
        <v>558</v>
      </c>
      <c r="E59" s="235" t="str">
        <f>VLOOKUP(D59,'Danh mục hàng hóa'!$C$3:$D$600,2,0)</f>
        <v>Ống 50 dây cột tóc be nâu</v>
      </c>
      <c r="F59" s="236" t="str">
        <f>VLOOKUP(D59,'Danh mục hàng hóa'!$C$3:$E$613,3,0)</f>
        <v>ống</v>
      </c>
      <c r="G59" s="238">
        <f>VLOOKUP(D59,'Danh mục hàng hóa'!$C$3:$K$613,5,0)</f>
        <v>10940</v>
      </c>
      <c r="H59" s="236">
        <v>4</v>
      </c>
      <c r="I59" s="235"/>
      <c r="J59" s="237">
        <f t="shared" si="3"/>
        <v>43760</v>
      </c>
      <c r="K59" s="237">
        <f t="shared" si="2"/>
        <v>0</v>
      </c>
      <c r="L59" s="235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</row>
    <row r="60" spans="1:30" ht="13.2">
      <c r="A60" s="232">
        <v>76</v>
      </c>
      <c r="B60" s="236" t="s">
        <v>336</v>
      </c>
      <c r="C60" s="234">
        <v>45283</v>
      </c>
      <c r="D60" s="235" t="s">
        <v>560</v>
      </c>
      <c r="E60" s="235" t="str">
        <f>VLOOKUP(D60,'Danh mục hàng hóa'!$C$3:$D$600,2,0)</f>
        <v>Ống 50 dây cột tóc nhiều màu</v>
      </c>
      <c r="F60" s="236" t="str">
        <f>VLOOKUP(D60,'Danh mục hàng hóa'!$C$3:$E$613,3,0)</f>
        <v>ống</v>
      </c>
      <c r="G60" s="238">
        <f>VLOOKUP(D60,'Danh mục hàng hóa'!$C$3:$K$613,5,0)</f>
        <v>10940</v>
      </c>
      <c r="H60" s="236">
        <v>1</v>
      </c>
      <c r="I60" s="235"/>
      <c r="J60" s="237">
        <f t="shared" si="3"/>
        <v>10940</v>
      </c>
      <c r="K60" s="237">
        <f t="shared" si="2"/>
        <v>0</v>
      </c>
      <c r="L60" s="235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</row>
    <row r="61" spans="1:30" ht="13.2">
      <c r="A61" s="232">
        <v>77</v>
      </c>
      <c r="B61" s="236" t="s">
        <v>336</v>
      </c>
      <c r="C61" s="234">
        <v>45283</v>
      </c>
      <c r="D61" s="235" t="s">
        <v>562</v>
      </c>
      <c r="E61" s="235" t="str">
        <f>VLOOKUP(D61,'Danh mục hàng hóa'!$C$3:$D$600,2,0)</f>
        <v>Ống 10 dây cột tóc đen</v>
      </c>
      <c r="F61" s="236" t="str">
        <f>VLOOKUP(D61,'Danh mục hàng hóa'!$C$3:$E$613,3,0)</f>
        <v>ống</v>
      </c>
      <c r="G61" s="238">
        <f>VLOOKUP(D61,'Danh mục hàng hóa'!$C$3:$K$613,5,0)</f>
        <v>15200</v>
      </c>
      <c r="H61" s="236">
        <v>5</v>
      </c>
      <c r="I61" s="235"/>
      <c r="J61" s="237">
        <f t="shared" si="3"/>
        <v>76000</v>
      </c>
      <c r="K61" s="237">
        <f t="shared" si="2"/>
        <v>0</v>
      </c>
      <c r="L61" s="235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</row>
    <row r="62" spans="1:30" ht="13.2">
      <c r="A62" s="232">
        <v>78</v>
      </c>
      <c r="B62" s="236" t="s">
        <v>336</v>
      </c>
      <c r="C62" s="234">
        <v>45283</v>
      </c>
      <c r="D62" s="235" t="s">
        <v>564</v>
      </c>
      <c r="E62" s="235" t="str">
        <f>VLOOKUP(D62,'Danh mục hàng hóa'!$C$3:$D$600,2,0)</f>
        <v>Ống 8 dây cột tóc đen xoắn</v>
      </c>
      <c r="F62" s="236" t="str">
        <f>VLOOKUP(D62,'Danh mục hàng hóa'!$C$3:$E$613,3,0)</f>
        <v>ống</v>
      </c>
      <c r="G62" s="238">
        <f>VLOOKUP(D62,'Danh mục hàng hóa'!$C$3:$K$613,5,0)</f>
        <v>15200</v>
      </c>
      <c r="H62" s="236">
        <v>2</v>
      </c>
      <c r="I62" s="235"/>
      <c r="J62" s="237">
        <f t="shared" si="3"/>
        <v>30400</v>
      </c>
      <c r="K62" s="237">
        <f t="shared" si="2"/>
        <v>0</v>
      </c>
      <c r="L62" s="235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</row>
    <row r="63" spans="1:30" ht="13.2">
      <c r="A63" s="232">
        <v>79</v>
      </c>
      <c r="B63" s="236" t="s">
        <v>336</v>
      </c>
      <c r="C63" s="234">
        <v>45283</v>
      </c>
      <c r="D63" s="235" t="s">
        <v>566</v>
      </c>
      <c r="E63" s="235" t="str">
        <f>VLOOKUP(D63,'Danh mục hàng hóa'!$C$3:$D$600,2,0)</f>
        <v>Ống 8 dây cột tóc đen nâu be</v>
      </c>
      <c r="F63" s="236" t="str">
        <f>VLOOKUP(D63,'Danh mục hàng hóa'!$C$3:$E$613,3,0)</f>
        <v>ống</v>
      </c>
      <c r="G63" s="238">
        <f>VLOOKUP(D63,'Danh mục hàng hóa'!$C$3:$K$613,5,0)</f>
        <v>15200</v>
      </c>
      <c r="H63" s="236">
        <v>2</v>
      </c>
      <c r="I63" s="235"/>
      <c r="J63" s="237">
        <f t="shared" si="3"/>
        <v>30400</v>
      </c>
      <c r="K63" s="237">
        <f t="shared" si="2"/>
        <v>0</v>
      </c>
      <c r="L63" s="235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</row>
    <row r="64" spans="1:30" ht="13.2">
      <c r="A64" s="232">
        <v>80</v>
      </c>
      <c r="B64" s="236" t="s">
        <v>336</v>
      </c>
      <c r="C64" s="234">
        <v>45283</v>
      </c>
      <c r="D64" s="235" t="s">
        <v>568</v>
      </c>
      <c r="E64" s="235" t="str">
        <f>VLOOKUP(D64,'Danh mục hàng hóa'!$C$3:$D$600,2,0)</f>
        <v>Ống 100 dây cột tóc đen</v>
      </c>
      <c r="F64" s="236" t="str">
        <f>VLOOKUP(D64,'Danh mục hàng hóa'!$C$3:$E$613,3,0)</f>
        <v>ống</v>
      </c>
      <c r="G64" s="238">
        <f>VLOOKUP(D64,'Danh mục hàng hóa'!$C$3:$K$613,5,0)</f>
        <v>14490</v>
      </c>
      <c r="H64" s="236">
        <v>8</v>
      </c>
      <c r="I64" s="235"/>
      <c r="J64" s="237">
        <f t="shared" si="3"/>
        <v>115920</v>
      </c>
      <c r="K64" s="237">
        <f t="shared" si="2"/>
        <v>0</v>
      </c>
      <c r="L64" s="235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</row>
    <row r="65" spans="1:30" ht="13.2">
      <c r="A65" s="232">
        <v>81</v>
      </c>
      <c r="B65" s="236" t="s">
        <v>336</v>
      </c>
      <c r="C65" s="234">
        <v>45283</v>
      </c>
      <c r="D65" s="235" t="s">
        <v>570</v>
      </c>
      <c r="E65" s="235" t="str">
        <f>VLOOKUP(D65,'Danh mục hàng hóa'!$C$3:$D$600,2,0)</f>
        <v>Ống 100 dây cột tóc đen nâu be</v>
      </c>
      <c r="F65" s="236" t="str">
        <f>VLOOKUP(D65,'Danh mục hàng hóa'!$C$3:$E$613,3,0)</f>
        <v>ống</v>
      </c>
      <c r="G65" s="238">
        <f>VLOOKUP(D65,'Danh mục hàng hóa'!$C$3:$K$613,5,0)</f>
        <v>14490</v>
      </c>
      <c r="H65" s="236">
        <v>3</v>
      </c>
      <c r="I65" s="235"/>
      <c r="J65" s="237">
        <f t="shared" si="3"/>
        <v>43470</v>
      </c>
      <c r="K65" s="237">
        <f t="shared" si="2"/>
        <v>0</v>
      </c>
      <c r="L65" s="235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</row>
    <row r="66" spans="1:30" ht="13.2">
      <c r="A66" s="232">
        <v>82</v>
      </c>
      <c r="B66" s="236" t="s">
        <v>336</v>
      </c>
      <c r="C66" s="234">
        <v>45283</v>
      </c>
      <c r="D66" s="235" t="s">
        <v>572</v>
      </c>
      <c r="E66" s="235" t="str">
        <f>VLOOKUP(D66,'Danh mục hàng hóa'!$C$3:$D$600,2,0)</f>
        <v>Ống 100 dây cột tóc be nâu</v>
      </c>
      <c r="F66" s="236" t="str">
        <f>VLOOKUP(D66,'Danh mục hàng hóa'!$C$3:$E$613,3,0)</f>
        <v>ống</v>
      </c>
      <c r="G66" s="238">
        <f>VLOOKUP(D66,'Danh mục hàng hóa'!$C$3:$K$613,5,0)</f>
        <v>14490</v>
      </c>
      <c r="H66" s="236">
        <v>4</v>
      </c>
      <c r="I66" s="235"/>
      <c r="J66" s="237">
        <f t="shared" si="3"/>
        <v>57960</v>
      </c>
      <c r="K66" s="237">
        <f t="shared" si="2"/>
        <v>0</v>
      </c>
      <c r="L66" s="235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</row>
    <row r="67" spans="1:30" ht="13.2">
      <c r="A67" s="232">
        <v>83</v>
      </c>
      <c r="B67" s="236" t="s">
        <v>336</v>
      </c>
      <c r="C67" s="234">
        <v>45283</v>
      </c>
      <c r="D67" s="235" t="s">
        <v>574</v>
      </c>
      <c r="E67" s="235" t="str">
        <f>VLOOKUP(D67,'Danh mục hàng hóa'!$C$3:$D$600,2,0)</f>
        <v>Ống 100 dây cột tóc nhiều màu</v>
      </c>
      <c r="F67" s="236" t="str">
        <f>VLOOKUP(D67,'Danh mục hàng hóa'!$C$3:$E$613,3,0)</f>
        <v>ống</v>
      </c>
      <c r="G67" s="238">
        <f>VLOOKUP(D67,'Danh mục hàng hóa'!$C$3:$K$613,5,0)</f>
        <v>14490</v>
      </c>
      <c r="H67" s="236">
        <v>1</v>
      </c>
      <c r="I67" s="235"/>
      <c r="J67" s="237">
        <f t="shared" si="3"/>
        <v>14490</v>
      </c>
      <c r="K67" s="237">
        <f t="shared" si="2"/>
        <v>0</v>
      </c>
      <c r="L67" s="235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</row>
    <row r="68" spans="1:30" ht="13.2">
      <c r="A68" s="232">
        <v>84</v>
      </c>
      <c r="B68" s="236" t="s">
        <v>336</v>
      </c>
      <c r="C68" s="234">
        <v>45283</v>
      </c>
      <c r="D68" s="235" t="s">
        <v>576</v>
      </c>
      <c r="E68" s="235" t="str">
        <f>VLOOKUP(D68,'Danh mục hàng hóa'!$C$3:$D$600,2,0)</f>
        <v>Ống 6 dây cột tóc đen</v>
      </c>
      <c r="F68" s="236" t="str">
        <f>VLOOKUP(D68,'Danh mục hàng hóa'!$C$3:$E$613,3,0)</f>
        <v>ống</v>
      </c>
      <c r="G68" s="238">
        <f>VLOOKUP(D68,'Danh mục hàng hóa'!$C$3:$K$613,5,0)</f>
        <v>8100</v>
      </c>
      <c r="H68" s="236">
        <v>10</v>
      </c>
      <c r="I68" s="235"/>
      <c r="J68" s="237">
        <f t="shared" si="3"/>
        <v>81000</v>
      </c>
      <c r="K68" s="237">
        <f t="shared" si="2"/>
        <v>0</v>
      </c>
      <c r="L68" s="235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</row>
    <row r="69" spans="1:30" ht="13.2">
      <c r="A69" s="232">
        <v>85</v>
      </c>
      <c r="B69" s="236" t="s">
        <v>336</v>
      </c>
      <c r="C69" s="234">
        <v>45283</v>
      </c>
      <c r="D69" s="235" t="s">
        <v>578</v>
      </c>
      <c r="E69" s="235" t="str">
        <f>VLOOKUP(D69,'Danh mục hàng hóa'!$C$3:$D$600,2,0)</f>
        <v>Ống 6 dâu cột tóc nâu</v>
      </c>
      <c r="F69" s="236" t="str">
        <f>VLOOKUP(D69,'Danh mục hàng hóa'!$C$3:$E$613,3,0)</f>
        <v>ống</v>
      </c>
      <c r="G69" s="238">
        <f>VLOOKUP(D69,'Danh mục hàng hóa'!$C$3:$K$613,5,0)</f>
        <v>8100</v>
      </c>
      <c r="H69" s="236">
        <v>10</v>
      </c>
      <c r="I69" s="235"/>
      <c r="J69" s="237">
        <f t="shared" si="3"/>
        <v>81000</v>
      </c>
      <c r="K69" s="237">
        <f t="shared" si="2"/>
        <v>0</v>
      </c>
      <c r="L69" s="235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</row>
    <row r="70" spans="1:30" ht="13.2">
      <c r="A70" s="232">
        <v>86</v>
      </c>
      <c r="B70" s="236" t="s">
        <v>336</v>
      </c>
      <c r="C70" s="234">
        <v>45283</v>
      </c>
      <c r="D70" s="235" t="s">
        <v>580</v>
      </c>
      <c r="E70" s="235" t="str">
        <f>VLOOKUP(D70,'Danh mục hàng hóa'!$C$3:$D$600,2,0)</f>
        <v>Ống 6 dây cột tóc be nâu</v>
      </c>
      <c r="F70" s="236" t="str">
        <f>VLOOKUP(D70,'Danh mục hàng hóa'!$C$3:$E$613,3,0)</f>
        <v>ống</v>
      </c>
      <c r="G70" s="238">
        <f>VLOOKUP(D70,'Danh mục hàng hóa'!$C$3:$K$613,5,0)</f>
        <v>8100</v>
      </c>
      <c r="H70" s="236">
        <v>10</v>
      </c>
      <c r="I70" s="235"/>
      <c r="J70" s="237">
        <f t="shared" si="3"/>
        <v>81000</v>
      </c>
      <c r="K70" s="237">
        <f t="shared" si="2"/>
        <v>0</v>
      </c>
      <c r="L70" s="235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</row>
    <row r="71" spans="1:30" ht="13.2">
      <c r="A71" s="232">
        <v>87</v>
      </c>
      <c r="B71" s="236" t="s">
        <v>336</v>
      </c>
      <c r="C71" s="234">
        <v>45283</v>
      </c>
      <c r="D71" s="235" t="s">
        <v>582</v>
      </c>
      <c r="E71" s="235" t="str">
        <f>VLOOKUP(D71,'Danh mục hàng hóa'!$C$3:$D$600,2,0)</f>
        <v>Kẹp tóc nhựa đen</v>
      </c>
      <c r="F71" s="236" t="str">
        <f>VLOOKUP(D71,'Danh mục hàng hóa'!$C$3:$E$613,3,0)</f>
        <v>cái</v>
      </c>
      <c r="G71" s="238">
        <f>VLOOKUP(D71,'Danh mục hàng hóa'!$C$3:$K$613,5,0)</f>
        <v>8810</v>
      </c>
      <c r="H71" s="236">
        <v>3</v>
      </c>
      <c r="I71" s="235"/>
      <c r="J71" s="237">
        <f t="shared" si="3"/>
        <v>26430</v>
      </c>
      <c r="K71" s="237">
        <f t="shared" si="2"/>
        <v>0</v>
      </c>
      <c r="L71" s="235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</row>
    <row r="72" spans="1:30" ht="13.2">
      <c r="A72" s="232">
        <v>88</v>
      </c>
      <c r="B72" s="236" t="s">
        <v>336</v>
      </c>
      <c r="C72" s="234">
        <v>45283</v>
      </c>
      <c r="D72" s="235" t="s">
        <v>584</v>
      </c>
      <c r="E72" s="235" t="str">
        <f>VLOOKUP(D72,'Danh mục hàng hóa'!$C$3:$D$600,2,0)</f>
        <v>Kẹp tóc nhựa nâu đậm</v>
      </c>
      <c r="F72" s="236" t="str">
        <f>VLOOKUP(D72,'Danh mục hàng hóa'!$C$3:$E$613,3,0)</f>
        <v>cái</v>
      </c>
      <c r="G72" s="238">
        <f>VLOOKUP(D72,'Danh mục hàng hóa'!$C$3:$K$613,5,0)</f>
        <v>8810</v>
      </c>
      <c r="H72" s="236">
        <v>3</v>
      </c>
      <c r="I72" s="235"/>
      <c r="J72" s="237">
        <f t="shared" si="3"/>
        <v>26430</v>
      </c>
      <c r="K72" s="237">
        <f t="shared" si="2"/>
        <v>0</v>
      </c>
      <c r="L72" s="235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</row>
    <row r="73" spans="1:30" ht="13.2">
      <c r="A73" s="232">
        <v>89</v>
      </c>
      <c r="B73" s="236" t="s">
        <v>336</v>
      </c>
      <c r="C73" s="234">
        <v>45283</v>
      </c>
      <c r="D73" s="235" t="s">
        <v>586</v>
      </c>
      <c r="E73" s="235" t="str">
        <f>VLOOKUP(D73,'Danh mục hàng hóa'!$C$3:$D$600,2,0)</f>
        <v>Kẹp tóc nhựa nâu nhạt</v>
      </c>
      <c r="F73" s="236" t="str">
        <f>VLOOKUP(D73,'Danh mục hàng hóa'!$C$3:$E$613,3,0)</f>
        <v>cái</v>
      </c>
      <c r="G73" s="238">
        <f>VLOOKUP(D73,'Danh mục hàng hóa'!$C$3:$K$613,5,0)</f>
        <v>8810</v>
      </c>
      <c r="H73" s="236">
        <v>3</v>
      </c>
      <c r="I73" s="235"/>
      <c r="J73" s="237">
        <f t="shared" si="3"/>
        <v>26430</v>
      </c>
      <c r="K73" s="237">
        <f t="shared" si="2"/>
        <v>0</v>
      </c>
      <c r="L73" s="235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</row>
    <row r="74" spans="1:30" ht="13.2">
      <c r="A74" s="232">
        <v>90</v>
      </c>
      <c r="B74" s="236" t="s">
        <v>336</v>
      </c>
      <c r="C74" s="234">
        <v>45283</v>
      </c>
      <c r="D74" s="235" t="s">
        <v>588</v>
      </c>
      <c r="E74" s="235" t="str">
        <f>VLOOKUP(D74,'Danh mục hàng hóa'!$C$3:$D$600,2,0)</f>
        <v>Kẹp tóc nhựa be</v>
      </c>
      <c r="F74" s="236" t="str">
        <f>VLOOKUP(D74,'Danh mục hàng hóa'!$C$3:$E$613,3,0)</f>
        <v>cái</v>
      </c>
      <c r="G74" s="238">
        <f>VLOOKUP(D74,'Danh mục hàng hóa'!$C$3:$K$613,5,0)</f>
        <v>8810</v>
      </c>
      <c r="H74" s="236">
        <v>2</v>
      </c>
      <c r="I74" s="235"/>
      <c r="J74" s="237">
        <f t="shared" si="3"/>
        <v>17620</v>
      </c>
      <c r="K74" s="237">
        <f t="shared" si="2"/>
        <v>0</v>
      </c>
      <c r="L74" s="235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</row>
    <row r="75" spans="1:30" ht="13.2">
      <c r="A75" s="232">
        <v>91</v>
      </c>
      <c r="B75" s="236" t="s">
        <v>336</v>
      </c>
      <c r="C75" s="234">
        <v>45283</v>
      </c>
      <c r="D75" s="235" t="s">
        <v>590</v>
      </c>
      <c r="E75" s="235" t="str">
        <f>VLOOKUP(D75,'Danh mục hàng hóa'!$C$3:$D$600,2,0)</f>
        <v>Kẹp tóc nhựa kem</v>
      </c>
      <c r="F75" s="236" t="str">
        <f>VLOOKUP(D75,'Danh mục hàng hóa'!$C$3:$E$613,3,0)</f>
        <v>cái</v>
      </c>
      <c r="G75" s="238">
        <f>VLOOKUP(D75,'Danh mục hàng hóa'!$C$3:$K$613,5,0)</f>
        <v>8810</v>
      </c>
      <c r="H75" s="236">
        <v>3</v>
      </c>
      <c r="I75" s="235"/>
      <c r="J75" s="237">
        <f t="shared" si="3"/>
        <v>26430</v>
      </c>
      <c r="K75" s="237">
        <f t="shared" si="2"/>
        <v>0</v>
      </c>
      <c r="L75" s="235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</row>
    <row r="76" spans="1:30" ht="13.2">
      <c r="A76" s="232">
        <v>92</v>
      </c>
      <c r="B76" s="236" t="s">
        <v>336</v>
      </c>
      <c r="C76" s="234">
        <v>45283</v>
      </c>
      <c r="D76" s="235" t="s">
        <v>629</v>
      </c>
      <c r="E76" s="235" t="str">
        <f>VLOOKUP(D76,'Danh mục hàng hóa'!$C$3:$D$600,2,0)</f>
        <v>Kẹp tóc lông nâu đậm</v>
      </c>
      <c r="F76" s="236" t="str">
        <f>VLOOKUP(D76,'Danh mục hàng hóa'!$C$3:$E$613,3,0)</f>
        <v>cái</v>
      </c>
      <c r="G76" s="238">
        <f>VLOOKUP(D76,'Danh mục hàng hóa'!$C$3:$K$613,5,0)</f>
        <v>9875</v>
      </c>
      <c r="H76" s="236">
        <v>3</v>
      </c>
      <c r="I76" s="235"/>
      <c r="J76" s="237">
        <f t="shared" si="3"/>
        <v>29625</v>
      </c>
      <c r="K76" s="237">
        <f t="shared" si="2"/>
        <v>0</v>
      </c>
      <c r="L76" s="235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</row>
    <row r="77" spans="1:30" ht="13.2">
      <c r="A77" s="232">
        <v>93</v>
      </c>
      <c r="B77" s="236" t="s">
        <v>336</v>
      </c>
      <c r="C77" s="234">
        <v>45283</v>
      </c>
      <c r="D77" s="235" t="s">
        <v>631</v>
      </c>
      <c r="E77" s="235" t="str">
        <f>VLOOKUP(D77,'Danh mục hàng hóa'!$C$3:$D$600,2,0)</f>
        <v>Kẹp tóc lông nâu nhạt</v>
      </c>
      <c r="F77" s="236" t="str">
        <f>VLOOKUP(D77,'Danh mục hàng hóa'!$C$3:$E$613,3,0)</f>
        <v>cái</v>
      </c>
      <c r="G77" s="238">
        <f>VLOOKUP(D77,'Danh mục hàng hóa'!$C$3:$K$613,5,0)</f>
        <v>9875</v>
      </c>
      <c r="H77" s="236">
        <v>3</v>
      </c>
      <c r="I77" s="235"/>
      <c r="J77" s="237">
        <f t="shared" si="3"/>
        <v>29625</v>
      </c>
      <c r="K77" s="237">
        <f t="shared" si="2"/>
        <v>0</v>
      </c>
      <c r="L77" s="235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</row>
    <row r="78" spans="1:30" ht="13.2">
      <c r="A78" s="232">
        <v>94</v>
      </c>
      <c r="B78" s="236" t="s">
        <v>336</v>
      </c>
      <c r="C78" s="234">
        <v>45283</v>
      </c>
      <c r="D78" s="235" t="s">
        <v>633</v>
      </c>
      <c r="E78" s="235" t="str">
        <f>VLOOKUP(D78,'Danh mục hàng hóa'!$C$3:$D$600,2,0)</f>
        <v>Kẹp tóc lông be</v>
      </c>
      <c r="F78" s="236" t="str">
        <f>VLOOKUP(D78,'Danh mục hàng hóa'!$C$3:$E$613,3,0)</f>
        <v>cái</v>
      </c>
      <c r="G78" s="238">
        <f>VLOOKUP(D78,'Danh mục hàng hóa'!$C$3:$K$613,5,0)</f>
        <v>9875</v>
      </c>
      <c r="H78" s="236">
        <v>3</v>
      </c>
      <c r="I78" s="235"/>
      <c r="J78" s="237">
        <f t="shared" si="3"/>
        <v>29625</v>
      </c>
      <c r="K78" s="237">
        <f t="shared" si="2"/>
        <v>0</v>
      </c>
      <c r="L78" s="235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</row>
    <row r="79" spans="1:30" ht="13.2">
      <c r="A79" s="232">
        <v>95</v>
      </c>
      <c r="B79" s="236" t="s">
        <v>336</v>
      </c>
      <c r="C79" s="234">
        <v>45283</v>
      </c>
      <c r="D79" s="235" t="s">
        <v>635</v>
      </c>
      <c r="E79" s="235" t="str">
        <f>VLOOKUP(D79,'Danh mục hàng hóa'!$C$3:$D$600,2,0)</f>
        <v>Kẹp tóc len hoa cam</v>
      </c>
      <c r="F79" s="236" t="str">
        <f>VLOOKUP(D79,'Danh mục hàng hóa'!$C$3:$E$613,3,0)</f>
        <v>cái</v>
      </c>
      <c r="G79" s="238">
        <f>VLOOKUP(D79,'Danh mục hàng hóa'!$C$3:$K$613,5,0)</f>
        <v>18750</v>
      </c>
      <c r="H79" s="236">
        <v>7</v>
      </c>
      <c r="I79" s="235"/>
      <c r="J79" s="237">
        <f t="shared" si="3"/>
        <v>131250</v>
      </c>
      <c r="K79" s="237">
        <f t="shared" si="2"/>
        <v>0</v>
      </c>
      <c r="L79" s="235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</row>
    <row r="80" spans="1:30" ht="13.2">
      <c r="A80" s="232">
        <v>96</v>
      </c>
      <c r="B80" s="236" t="s">
        <v>336</v>
      </c>
      <c r="C80" s="234">
        <v>45283</v>
      </c>
      <c r="D80" s="235" t="s">
        <v>637</v>
      </c>
      <c r="E80" s="235" t="str">
        <f>VLOOKUP(D80,'Danh mục hàng hóa'!$C$3:$D$600,2,0)</f>
        <v>Kẹp tóc len hoa trắng</v>
      </c>
      <c r="F80" s="236" t="str">
        <f>VLOOKUP(D80,'Danh mục hàng hóa'!$C$3:$E$613,3,0)</f>
        <v>cái</v>
      </c>
      <c r="G80" s="238">
        <f>VLOOKUP(D80,'Danh mục hàng hóa'!$C$3:$K$613,5,0)</f>
        <v>18750</v>
      </c>
      <c r="H80" s="236">
        <v>2</v>
      </c>
      <c r="I80" s="235"/>
      <c r="J80" s="237">
        <f t="shared" si="3"/>
        <v>37500</v>
      </c>
      <c r="K80" s="237">
        <f t="shared" si="2"/>
        <v>0</v>
      </c>
      <c r="L80" s="235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</row>
    <row r="81" spans="1:30" ht="13.2">
      <c r="A81" s="232">
        <v>97</v>
      </c>
      <c r="B81" s="236" t="s">
        <v>336</v>
      </c>
      <c r="C81" s="234">
        <v>45283</v>
      </c>
      <c r="D81" s="235" t="s">
        <v>639</v>
      </c>
      <c r="E81" s="235" t="str">
        <f>VLOOKUP(D81,'Danh mục hàng hóa'!$C$3:$D$600,2,0)</f>
        <v>Kẹp tóc len hoa be</v>
      </c>
      <c r="F81" s="236" t="str">
        <f>VLOOKUP(D81,'Danh mục hàng hóa'!$C$3:$E$613,3,0)</f>
        <v>cái</v>
      </c>
      <c r="G81" s="238">
        <f>VLOOKUP(D81,'Danh mục hàng hóa'!$C$3:$K$613,5,0)</f>
        <v>18750</v>
      </c>
      <c r="H81" s="236">
        <v>2</v>
      </c>
      <c r="I81" s="235"/>
      <c r="J81" s="237">
        <f t="shared" si="3"/>
        <v>37500</v>
      </c>
      <c r="K81" s="237">
        <f t="shared" si="2"/>
        <v>0</v>
      </c>
      <c r="L81" s="235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</row>
    <row r="82" spans="1:30" ht="13.2">
      <c r="A82" s="232">
        <v>98</v>
      </c>
      <c r="B82" s="236" t="s">
        <v>336</v>
      </c>
      <c r="C82" s="234">
        <v>45283</v>
      </c>
      <c r="D82" s="235" t="s">
        <v>641</v>
      </c>
      <c r="E82" s="235" t="str">
        <f>VLOOKUP(D82,'Danh mục hàng hóa'!$C$3:$D$600,2,0)</f>
        <v>Cài tóc đen</v>
      </c>
      <c r="F82" s="236" t="str">
        <f>VLOOKUP(D82,'Danh mục hàng hóa'!$C$3:$E$613,3,0)</f>
        <v>cái</v>
      </c>
      <c r="G82" s="238">
        <f>VLOOKUP(D82,'Danh mục hàng hóa'!$C$3:$K$613,5,0)</f>
        <v>11650</v>
      </c>
      <c r="H82" s="236">
        <v>3</v>
      </c>
      <c r="I82" s="235"/>
      <c r="J82" s="237">
        <f t="shared" si="3"/>
        <v>34950</v>
      </c>
      <c r="K82" s="237">
        <f t="shared" si="2"/>
        <v>0</v>
      </c>
      <c r="L82" s="235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</row>
    <row r="83" spans="1:30" ht="13.2">
      <c r="A83" s="232">
        <v>99</v>
      </c>
      <c r="B83" s="236" t="s">
        <v>336</v>
      </c>
      <c r="C83" s="234">
        <v>45283</v>
      </c>
      <c r="D83" s="235" t="s">
        <v>643</v>
      </c>
      <c r="E83" s="235" t="str">
        <f>VLOOKUP(D83,'Danh mục hàng hóa'!$C$3:$D$600,2,0)</f>
        <v>Cài tóc nâu</v>
      </c>
      <c r="F83" s="236" t="str">
        <f>VLOOKUP(D83,'Danh mục hàng hóa'!$C$3:$E$613,3,0)</f>
        <v>cái</v>
      </c>
      <c r="G83" s="238">
        <f>VLOOKUP(D83,'Danh mục hàng hóa'!$C$3:$K$613,5,0)</f>
        <v>11650</v>
      </c>
      <c r="H83" s="236">
        <v>3</v>
      </c>
      <c r="I83" s="235"/>
      <c r="J83" s="237">
        <f t="shared" si="3"/>
        <v>34950</v>
      </c>
      <c r="K83" s="237">
        <f t="shared" si="2"/>
        <v>0</v>
      </c>
      <c r="L83" s="235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</row>
    <row r="84" spans="1:30" ht="13.2">
      <c r="A84" s="232">
        <v>100</v>
      </c>
      <c r="B84" s="236" t="s">
        <v>336</v>
      </c>
      <c r="C84" s="234">
        <v>45283</v>
      </c>
      <c r="D84" s="235" t="s">
        <v>645</v>
      </c>
      <c r="E84" s="235" t="str">
        <f>VLOOKUP(D84,'Danh mục hàng hóa'!$C$3:$D$600,2,0)</f>
        <v>Cài tóc be</v>
      </c>
      <c r="F84" s="236" t="str">
        <f>VLOOKUP(D84,'Danh mục hàng hóa'!$C$3:$E$613,3,0)</f>
        <v>cái</v>
      </c>
      <c r="G84" s="238">
        <f>VLOOKUP(D84,'Danh mục hàng hóa'!$C$3:$K$613,5,0)</f>
        <v>11650</v>
      </c>
      <c r="H84" s="236">
        <v>3</v>
      </c>
      <c r="I84" s="235"/>
      <c r="J84" s="237">
        <f t="shared" si="3"/>
        <v>34950</v>
      </c>
      <c r="K84" s="237">
        <f t="shared" si="2"/>
        <v>0</v>
      </c>
      <c r="L84" s="235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</row>
    <row r="85" spans="1:30" ht="13.2">
      <c r="A85" s="232">
        <v>101</v>
      </c>
      <c r="B85" s="236" t="s">
        <v>336</v>
      </c>
      <c r="C85" s="234">
        <v>45283</v>
      </c>
      <c r="D85" s="235" t="s">
        <v>647</v>
      </c>
      <c r="E85" s="235" t="str">
        <f>VLOOKUP(D85,'Danh mục hàng hóa'!$C$3:$D$600,2,0)</f>
        <v>Cài tóc kem</v>
      </c>
      <c r="F85" s="236" t="str">
        <f>VLOOKUP(D85,'Danh mục hàng hóa'!$C$3:$E$613,3,0)</f>
        <v>cái</v>
      </c>
      <c r="G85" s="238">
        <f>VLOOKUP(D85,'Danh mục hàng hóa'!$C$3:$K$613,5,0)</f>
        <v>11650</v>
      </c>
      <c r="H85" s="236">
        <v>3</v>
      </c>
      <c r="I85" s="235"/>
      <c r="J85" s="237">
        <f t="shared" si="3"/>
        <v>34950</v>
      </c>
      <c r="K85" s="237">
        <f t="shared" si="2"/>
        <v>0</v>
      </c>
      <c r="L85" s="235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</row>
    <row r="86" spans="1:30" ht="13.2">
      <c r="A86" s="232">
        <v>102</v>
      </c>
      <c r="B86" s="236" t="s">
        <v>336</v>
      </c>
      <c r="C86" s="234">
        <v>45283</v>
      </c>
      <c r="D86" s="235" t="s">
        <v>649</v>
      </c>
      <c r="E86" s="235" t="str">
        <f>VLOOKUP(D86,'Danh mục hàng hóa'!$C$3:$D$600,2,0)</f>
        <v>Buộc tóc hoa cam</v>
      </c>
      <c r="F86" s="236" t="str">
        <f>VLOOKUP(D86,'Danh mục hàng hóa'!$C$3:$E$613,3,0)</f>
        <v>cái</v>
      </c>
      <c r="G86" s="238">
        <f>VLOOKUP(D86,'Danh mục hàng hóa'!$C$3:$K$613,5,0)</f>
        <v>10230</v>
      </c>
      <c r="H86" s="236">
        <v>3</v>
      </c>
      <c r="I86" s="235"/>
      <c r="J86" s="237">
        <f t="shared" si="3"/>
        <v>30690</v>
      </c>
      <c r="K86" s="237">
        <f t="shared" si="2"/>
        <v>0</v>
      </c>
      <c r="L86" s="235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</row>
    <row r="87" spans="1:30" ht="13.2">
      <c r="A87" s="232">
        <v>103</v>
      </c>
      <c r="B87" s="236" t="s">
        <v>336</v>
      </c>
      <c r="C87" s="234">
        <v>45283</v>
      </c>
      <c r="D87" s="235" t="s">
        <v>651</v>
      </c>
      <c r="E87" s="235" t="str">
        <f>VLOOKUP(D87,'Danh mục hàng hóa'!$C$3:$D$600,2,0)</f>
        <v>Buộc tóc hoa hồng</v>
      </c>
      <c r="F87" s="236" t="str">
        <f>VLOOKUP(D87,'Danh mục hàng hóa'!$C$3:$E$613,3,0)</f>
        <v>cái</v>
      </c>
      <c r="G87" s="238">
        <f>VLOOKUP(D87,'Danh mục hàng hóa'!$C$3:$K$613,5,0)</f>
        <v>10230</v>
      </c>
      <c r="H87" s="236">
        <v>3</v>
      </c>
      <c r="I87" s="235"/>
      <c r="J87" s="237">
        <f t="shared" si="3"/>
        <v>30690</v>
      </c>
      <c r="K87" s="237">
        <f t="shared" si="2"/>
        <v>0</v>
      </c>
      <c r="L87" s="235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</row>
    <row r="88" spans="1:30" ht="13.2">
      <c r="A88" s="232">
        <v>104</v>
      </c>
      <c r="B88" s="236" t="s">
        <v>336</v>
      </c>
      <c r="C88" s="234">
        <v>45283</v>
      </c>
      <c r="D88" s="235" t="s">
        <v>653</v>
      </c>
      <c r="E88" s="235" t="str">
        <f>VLOOKUP(D88,'Danh mục hàng hóa'!$C$3:$D$600,2,0)</f>
        <v>Buộc tóc hoa tím</v>
      </c>
      <c r="F88" s="236" t="str">
        <f>VLOOKUP(D88,'Danh mục hàng hóa'!$C$3:$E$613,3,0)</f>
        <v>cái</v>
      </c>
      <c r="G88" s="238">
        <f>VLOOKUP(D88,'Danh mục hàng hóa'!$C$3:$K$613,5,0)</f>
        <v>10230</v>
      </c>
      <c r="H88" s="236">
        <v>3</v>
      </c>
      <c r="I88" s="235"/>
      <c r="J88" s="237">
        <f t="shared" si="3"/>
        <v>30690</v>
      </c>
      <c r="K88" s="237">
        <f t="shared" si="2"/>
        <v>0</v>
      </c>
      <c r="L88" s="235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</row>
    <row r="89" spans="1:30" ht="13.2">
      <c r="A89" s="232">
        <v>105</v>
      </c>
      <c r="B89" s="236" t="s">
        <v>336</v>
      </c>
      <c r="C89" s="234">
        <v>45283</v>
      </c>
      <c r="D89" s="235" t="s">
        <v>655</v>
      </c>
      <c r="E89" s="235" t="str">
        <f>VLOOKUP(D89,'Danh mục hàng hóa'!$C$3:$D$600,2,0)</f>
        <v>Buộc tóc hoa vàng</v>
      </c>
      <c r="F89" s="236" t="str">
        <f>VLOOKUP(D89,'Danh mục hàng hóa'!$C$3:$E$613,3,0)</f>
        <v>cái</v>
      </c>
      <c r="G89" s="238">
        <f>VLOOKUP(D89,'Danh mục hàng hóa'!$C$3:$K$613,5,0)</f>
        <v>10230</v>
      </c>
      <c r="H89" s="236">
        <v>2</v>
      </c>
      <c r="I89" s="235"/>
      <c r="J89" s="237">
        <f t="shared" si="3"/>
        <v>20460</v>
      </c>
      <c r="K89" s="237">
        <f t="shared" si="2"/>
        <v>0</v>
      </c>
      <c r="L89" s="235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</row>
    <row r="90" spans="1:30" ht="13.2">
      <c r="A90" s="232">
        <v>106</v>
      </c>
      <c r="B90" s="236" t="s">
        <v>336</v>
      </c>
      <c r="C90" s="234">
        <v>45283</v>
      </c>
      <c r="D90" s="235" t="s">
        <v>657</v>
      </c>
      <c r="E90" s="235" t="str">
        <f>VLOOKUP(D90,'Danh mục hàng hóa'!$C$3:$D$600,2,0)</f>
        <v>Buộc tóc hoa xanh</v>
      </c>
      <c r="F90" s="236" t="str">
        <f>VLOOKUP(D90,'Danh mục hàng hóa'!$C$3:$E$613,3,0)</f>
        <v>cái</v>
      </c>
      <c r="G90" s="238">
        <f>VLOOKUP(D90,'Danh mục hàng hóa'!$C$3:$K$613,5,0)</f>
        <v>10230</v>
      </c>
      <c r="H90" s="236">
        <v>2</v>
      </c>
      <c r="I90" s="235"/>
      <c r="J90" s="237">
        <f t="shared" si="3"/>
        <v>20460</v>
      </c>
      <c r="K90" s="237">
        <f t="shared" si="2"/>
        <v>0</v>
      </c>
      <c r="L90" s="235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</row>
    <row r="91" spans="1:30" ht="13.2">
      <c r="A91" s="232">
        <v>107</v>
      </c>
      <c r="B91" s="236" t="s">
        <v>336</v>
      </c>
      <c r="C91" s="234">
        <v>45283</v>
      </c>
      <c r="D91" s="235" t="s">
        <v>659</v>
      </c>
      <c r="E91" s="235" t="str">
        <f>VLOOKUP(D91,'Danh mục hàng hóa'!$C$3:$D$600,2,0)</f>
        <v>Buộc tóc ngọc trai trắng</v>
      </c>
      <c r="F91" s="236" t="str">
        <f>VLOOKUP(D91,'Danh mục hàng hóa'!$C$3:$E$613,3,0)</f>
        <v>cái</v>
      </c>
      <c r="G91" s="238">
        <f>VLOOKUP(D91,'Danh mục hàng hóa'!$C$3:$K$613,5,0)</f>
        <v>13425</v>
      </c>
      <c r="H91" s="236">
        <v>3</v>
      </c>
      <c r="I91" s="235"/>
      <c r="J91" s="237">
        <f t="shared" si="3"/>
        <v>40275</v>
      </c>
      <c r="K91" s="237">
        <f t="shared" si="2"/>
        <v>0</v>
      </c>
      <c r="L91" s="235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</row>
    <row r="92" spans="1:30" ht="13.2">
      <c r="A92" s="232">
        <v>108</v>
      </c>
      <c r="B92" s="236" t="s">
        <v>336</v>
      </c>
      <c r="C92" s="234">
        <v>45283</v>
      </c>
      <c r="D92" s="235" t="s">
        <v>661</v>
      </c>
      <c r="E92" s="235" t="str">
        <f>VLOOKUP(D92,'Danh mục hàng hóa'!$C$3:$D$600,2,0)</f>
        <v>Buộc tóc ngọc trai đen</v>
      </c>
      <c r="F92" s="236" t="str">
        <f>VLOOKUP(D92,'Danh mục hàng hóa'!$C$3:$E$613,3,0)</f>
        <v>cái</v>
      </c>
      <c r="G92" s="238">
        <f>VLOOKUP(D92,'Danh mục hàng hóa'!$C$3:$K$613,5,0)</f>
        <v>13425</v>
      </c>
      <c r="H92" s="236">
        <v>3</v>
      </c>
      <c r="I92" s="235"/>
      <c r="J92" s="237">
        <f t="shared" si="3"/>
        <v>40275</v>
      </c>
      <c r="K92" s="237">
        <f t="shared" si="2"/>
        <v>0</v>
      </c>
      <c r="L92" s="235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</row>
    <row r="93" spans="1:30" ht="13.2">
      <c r="A93" s="232">
        <v>109</v>
      </c>
      <c r="B93" s="236" t="s">
        <v>336</v>
      </c>
      <c r="C93" s="234">
        <v>45283</v>
      </c>
      <c r="D93" s="235" t="s">
        <v>663</v>
      </c>
      <c r="E93" s="235" t="str">
        <f>VLOOKUP(D93,'Danh mục hàng hóa'!$C$3:$D$600,2,0)</f>
        <v>Buộc tóc trắng lông nhỏ</v>
      </c>
      <c r="F93" s="236" t="str">
        <f>VLOOKUP(D93,'Danh mục hàng hóa'!$C$3:$E$613,3,0)</f>
        <v>cái</v>
      </c>
      <c r="G93" s="238">
        <f>VLOOKUP(D93,'Danh mục hàng hóa'!$C$3:$K$613,5,0)</f>
        <v>2775</v>
      </c>
      <c r="H93" s="236">
        <v>2</v>
      </c>
      <c r="I93" s="235"/>
      <c r="J93" s="237">
        <f t="shared" si="3"/>
        <v>5550</v>
      </c>
      <c r="K93" s="237">
        <f t="shared" si="2"/>
        <v>0</v>
      </c>
      <c r="L93" s="235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</row>
    <row r="94" spans="1:30" ht="13.2">
      <c r="A94" s="232">
        <v>110</v>
      </c>
      <c r="B94" s="236" t="s">
        <v>336</v>
      </c>
      <c r="C94" s="234">
        <v>45283</v>
      </c>
      <c r="D94" s="235" t="s">
        <v>665</v>
      </c>
      <c r="E94" s="235" t="str">
        <f>VLOOKUP(D94,'Danh mục hàng hóa'!$C$3:$D$600,2,0)</f>
        <v>Buộc tóc trắng lông</v>
      </c>
      <c r="F94" s="236" t="str">
        <f>VLOOKUP(D94,'Danh mục hàng hóa'!$C$3:$E$613,3,0)</f>
        <v>cái</v>
      </c>
      <c r="G94" s="238">
        <f>VLOOKUP(D94,'Danh mục hàng hóa'!$C$3:$K$613,5,0)</f>
        <v>5260</v>
      </c>
      <c r="H94" s="236">
        <v>2</v>
      </c>
      <c r="I94" s="235"/>
      <c r="J94" s="237">
        <f t="shared" si="3"/>
        <v>10520</v>
      </c>
      <c r="K94" s="237">
        <f t="shared" si="2"/>
        <v>0</v>
      </c>
      <c r="L94" s="235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</row>
    <row r="95" spans="1:30" ht="13.2">
      <c r="A95" s="232">
        <v>111</v>
      </c>
      <c r="B95" s="236" t="s">
        <v>336</v>
      </c>
      <c r="C95" s="234">
        <v>45283</v>
      </c>
      <c r="D95" s="235" t="s">
        <v>667</v>
      </c>
      <c r="E95" s="235" t="str">
        <f>VLOOKUP(D95,'Danh mục hàng hóa'!$C$3:$D$600,2,0)</f>
        <v>Buộc tóc trắng nhung tăm</v>
      </c>
      <c r="F95" s="236" t="str">
        <f>VLOOKUP(D95,'Danh mục hàng hóa'!$C$3:$E$613,3,0)</f>
        <v>cái</v>
      </c>
      <c r="G95" s="238">
        <f>VLOOKUP(D95,'Danh mục hàng hóa'!$C$3:$K$613,5,0)</f>
        <v>5615</v>
      </c>
      <c r="H95" s="236">
        <v>2</v>
      </c>
      <c r="I95" s="235"/>
      <c r="J95" s="237">
        <f t="shared" si="3"/>
        <v>11230</v>
      </c>
      <c r="K95" s="237">
        <f t="shared" si="2"/>
        <v>0</v>
      </c>
      <c r="L95" s="235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</row>
    <row r="96" spans="1:30" ht="13.2">
      <c r="A96" s="232">
        <v>112</v>
      </c>
      <c r="B96" s="236" t="s">
        <v>336</v>
      </c>
      <c r="C96" s="234">
        <v>45283</v>
      </c>
      <c r="D96" s="235" t="s">
        <v>669</v>
      </c>
      <c r="E96" s="235" t="str">
        <f>VLOOKUP(D96,'Danh mục hàng hóa'!$C$3:$D$600,2,0)</f>
        <v>Buộc tóc trắng vải</v>
      </c>
      <c r="F96" s="236" t="str">
        <f>VLOOKUP(D96,'Danh mục hàng hóa'!$C$3:$E$613,3,0)</f>
        <v>cái</v>
      </c>
      <c r="G96" s="238">
        <f>VLOOKUP(D96,'Danh mục hàng hóa'!$C$3:$K$613,5,0)</f>
        <v>6680</v>
      </c>
      <c r="H96" s="236">
        <v>2</v>
      </c>
      <c r="I96" s="235"/>
      <c r="J96" s="237">
        <f t="shared" si="3"/>
        <v>13360</v>
      </c>
      <c r="K96" s="237">
        <f t="shared" si="2"/>
        <v>0</v>
      </c>
      <c r="L96" s="235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</row>
    <row r="97" spans="1:30" ht="13.2">
      <c r="A97" s="232">
        <v>113</v>
      </c>
      <c r="B97" s="236" t="s">
        <v>336</v>
      </c>
      <c r="C97" s="234">
        <v>45283</v>
      </c>
      <c r="D97" s="235" t="s">
        <v>671</v>
      </c>
      <c r="E97" s="235" t="str">
        <f>VLOOKUP(D97,'Danh mục hàng hóa'!$C$3:$D$600,2,0)</f>
        <v>Buộc tóc trắng vải nhung</v>
      </c>
      <c r="F97" s="236" t="str">
        <f>VLOOKUP(D97,'Danh mục hàng hóa'!$C$3:$E$613,3,0)</f>
        <v>cái</v>
      </c>
      <c r="G97" s="238">
        <f>VLOOKUP(D97,'Danh mục hàng hóa'!$C$3:$K$613,5,0)</f>
        <v>5260</v>
      </c>
      <c r="H97" s="236">
        <v>2</v>
      </c>
      <c r="I97" s="235"/>
      <c r="J97" s="237">
        <f t="shared" si="3"/>
        <v>10520</v>
      </c>
      <c r="K97" s="237">
        <f t="shared" si="2"/>
        <v>0</v>
      </c>
      <c r="L97" s="235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</row>
    <row r="98" spans="1:30" ht="13.2">
      <c r="A98" s="232">
        <v>114</v>
      </c>
      <c r="B98" s="236" t="s">
        <v>336</v>
      </c>
      <c r="C98" s="234">
        <v>45283</v>
      </c>
      <c r="D98" s="235" t="s">
        <v>673</v>
      </c>
      <c r="E98" s="235" t="str">
        <f>VLOOKUP(D98,'Danh mục hàng hóa'!$C$3:$D$600,2,0)</f>
        <v>Buộc tóc trắng vải xù</v>
      </c>
      <c r="F98" s="236" t="str">
        <f>VLOOKUP(D98,'Danh mục hàng hóa'!$C$3:$E$613,3,0)</f>
        <v>cái</v>
      </c>
      <c r="G98" s="238">
        <f>VLOOKUP(D98,'Danh mục hàng hóa'!$C$3:$K$613,5,0)</f>
        <v>5615</v>
      </c>
      <c r="H98" s="236">
        <v>2</v>
      </c>
      <c r="I98" s="235"/>
      <c r="J98" s="237">
        <f t="shared" si="3"/>
        <v>11230</v>
      </c>
      <c r="K98" s="237">
        <f t="shared" si="2"/>
        <v>0</v>
      </c>
      <c r="L98" s="235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</row>
    <row r="99" spans="1:30" ht="13.2">
      <c r="A99" s="232">
        <v>115</v>
      </c>
      <c r="B99" s="236" t="s">
        <v>336</v>
      </c>
      <c r="C99" s="234">
        <v>45283</v>
      </c>
      <c r="D99" s="235" t="s">
        <v>675</v>
      </c>
      <c r="E99" s="235" t="str">
        <f>VLOOKUP(D99,'Danh mục hàng hóa'!$C$3:$D$600,2,0)</f>
        <v>Buộc tóc vải xốp trắng</v>
      </c>
      <c r="F99" s="236" t="str">
        <f>VLOOKUP(D99,'Danh mục hàng hóa'!$C$3:$E$613,3,0)</f>
        <v>cái</v>
      </c>
      <c r="G99" s="238">
        <f>VLOOKUP(D99,'Danh mục hàng hóa'!$C$3:$K$613,5,0)</f>
        <v>9875</v>
      </c>
      <c r="H99" s="236">
        <v>2</v>
      </c>
      <c r="I99" s="235"/>
      <c r="J99" s="237">
        <f t="shared" si="3"/>
        <v>19750</v>
      </c>
      <c r="K99" s="237">
        <f t="shared" si="2"/>
        <v>0</v>
      </c>
      <c r="L99" s="235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</row>
    <row r="100" spans="1:30" ht="13.2">
      <c r="A100" s="232">
        <v>116</v>
      </c>
      <c r="B100" s="236" t="s">
        <v>336</v>
      </c>
      <c r="C100" s="234">
        <v>45283</v>
      </c>
      <c r="D100" s="235" t="s">
        <v>677</v>
      </c>
      <c r="E100" s="235" t="str">
        <f>VLOOKUP(D100,'Danh mục hàng hóa'!$C$3:$D$600,2,0)</f>
        <v>Buộc tóc voan hồng nhỏ</v>
      </c>
      <c r="F100" s="236" t="str">
        <f>VLOOKUP(D100,'Danh mục hàng hóa'!$C$3:$E$613,3,0)</f>
        <v>cái</v>
      </c>
      <c r="G100" s="238">
        <f>VLOOKUP(D100,'Danh mục hàng hóa'!$C$3:$K$613,5,0)</f>
        <v>7390</v>
      </c>
      <c r="H100" s="236">
        <v>2</v>
      </c>
      <c r="I100" s="235"/>
      <c r="J100" s="237">
        <f t="shared" si="3"/>
        <v>14780</v>
      </c>
      <c r="K100" s="237">
        <f t="shared" si="2"/>
        <v>0</v>
      </c>
      <c r="L100" s="235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</row>
    <row r="101" spans="1:30" ht="13.2">
      <c r="A101" s="232">
        <v>117</v>
      </c>
      <c r="B101" s="236" t="s">
        <v>336</v>
      </c>
      <c r="C101" s="234">
        <v>45283</v>
      </c>
      <c r="D101" s="235" t="s">
        <v>679</v>
      </c>
      <c r="E101" s="235" t="str">
        <f>VLOOKUP(D101,'Danh mục hàng hóa'!$C$3:$D$600,2,0)</f>
        <v>Buộc tóc voan hồng lớn</v>
      </c>
      <c r="F101" s="236" t="str">
        <f>VLOOKUP(D101,'Danh mục hàng hóa'!$C$3:$E$613,3,0)</f>
        <v>cái</v>
      </c>
      <c r="G101" s="238">
        <f>VLOOKUP(D101,'Danh mục hàng hóa'!$C$3:$K$613,5,0)</f>
        <v>10940</v>
      </c>
      <c r="H101" s="236">
        <v>2</v>
      </c>
      <c r="I101" s="235"/>
      <c r="J101" s="237">
        <f t="shared" si="3"/>
        <v>21880</v>
      </c>
      <c r="K101" s="237">
        <f t="shared" si="2"/>
        <v>0</v>
      </c>
      <c r="L101" s="235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</row>
    <row r="102" spans="1:30" ht="13.2">
      <c r="A102" s="232">
        <v>118</v>
      </c>
      <c r="B102" s="236" t="s">
        <v>336</v>
      </c>
      <c r="C102" s="234">
        <v>45283</v>
      </c>
      <c r="D102" s="235" t="s">
        <v>681</v>
      </c>
      <c r="E102" s="235" t="str">
        <f>VLOOKUP(D102,'Danh mục hàng hóa'!$C$3:$D$600,2,0)</f>
        <v>Buộc tóc voan kem nhỏ</v>
      </c>
      <c r="F102" s="236" t="str">
        <f>VLOOKUP(D102,'Danh mục hàng hóa'!$C$3:$E$613,3,0)</f>
        <v>cái</v>
      </c>
      <c r="G102" s="238">
        <f>VLOOKUP(D102,'Danh mục hàng hóa'!$C$3:$K$613,5,0)</f>
        <v>7390</v>
      </c>
      <c r="H102" s="236">
        <v>2</v>
      </c>
      <c r="I102" s="235"/>
      <c r="J102" s="237">
        <f t="shared" si="3"/>
        <v>14780</v>
      </c>
      <c r="K102" s="237">
        <f t="shared" si="2"/>
        <v>0</v>
      </c>
      <c r="L102" s="235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</row>
    <row r="103" spans="1:30" ht="13.2">
      <c r="A103" s="232">
        <v>119</v>
      </c>
      <c r="B103" s="236" t="s">
        <v>336</v>
      </c>
      <c r="C103" s="234">
        <v>45283</v>
      </c>
      <c r="D103" s="235" t="s">
        <v>683</v>
      </c>
      <c r="E103" s="235" t="str">
        <f>VLOOKUP(D103,'Danh mục hàng hóa'!$C$3:$D$600,2,0)</f>
        <v>Buộc tóc voan kem lớn</v>
      </c>
      <c r="F103" s="236" t="str">
        <f>VLOOKUP(D103,'Danh mục hàng hóa'!$C$3:$E$613,3,0)</f>
        <v>cái</v>
      </c>
      <c r="G103" s="238">
        <f>VLOOKUP(D103,'Danh mục hàng hóa'!$C$3:$K$613,5,0)</f>
        <v>10940</v>
      </c>
      <c r="H103" s="236">
        <v>2</v>
      </c>
      <c r="I103" s="235"/>
      <c r="J103" s="237">
        <f t="shared" si="3"/>
        <v>21880</v>
      </c>
      <c r="K103" s="237">
        <f t="shared" si="2"/>
        <v>0</v>
      </c>
      <c r="L103" s="235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</row>
    <row r="104" spans="1:30" ht="13.2">
      <c r="A104" s="232">
        <v>120</v>
      </c>
      <c r="B104" s="236" t="s">
        <v>336</v>
      </c>
      <c r="C104" s="234">
        <v>45283</v>
      </c>
      <c r="D104" s="235" t="s">
        <v>685</v>
      </c>
      <c r="E104" s="235" t="str">
        <f>VLOOKUP(D104,'Danh mục hàng hóa'!$C$3:$D$600,2,0)</f>
        <v>Buộc tóc voan xanh lớn</v>
      </c>
      <c r="F104" s="236" t="str">
        <f>VLOOKUP(D104,'Danh mục hàng hóa'!$C$3:$E$613,3,0)</f>
        <v>cái</v>
      </c>
      <c r="G104" s="238">
        <f>VLOOKUP(D104,'Danh mục hàng hóa'!$C$3:$K$613,5,0)</f>
        <v>10940</v>
      </c>
      <c r="H104" s="236">
        <v>2</v>
      </c>
      <c r="I104" s="235"/>
      <c r="J104" s="237">
        <f t="shared" si="3"/>
        <v>21880</v>
      </c>
      <c r="K104" s="237">
        <f t="shared" si="2"/>
        <v>0</v>
      </c>
      <c r="L104" s="235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</row>
    <row r="105" spans="1:30" ht="13.2">
      <c r="A105" s="232">
        <v>121</v>
      </c>
      <c r="B105" s="236" t="s">
        <v>336</v>
      </c>
      <c r="C105" s="234">
        <v>45283</v>
      </c>
      <c r="D105" s="235" t="s">
        <v>687</v>
      </c>
      <c r="E105" s="235" t="str">
        <f>VLOOKUP(D105,'Danh mục hàng hóa'!$C$3:$D$600,2,0)</f>
        <v>Buộc tóc hoa xốp hồng</v>
      </c>
      <c r="F105" s="236" t="str">
        <f>VLOOKUP(D105,'Danh mục hàng hóa'!$C$3:$E$613,3,0)</f>
        <v>cái</v>
      </c>
      <c r="G105" s="238">
        <f>VLOOKUP(D105,'Danh mục hàng hóa'!$C$3:$K$613,5,0)</f>
        <v>8455</v>
      </c>
      <c r="H105" s="236">
        <v>2</v>
      </c>
      <c r="I105" s="235"/>
      <c r="J105" s="237">
        <f t="shared" si="3"/>
        <v>16910</v>
      </c>
      <c r="K105" s="237">
        <f t="shared" si="2"/>
        <v>0</v>
      </c>
      <c r="L105" s="235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</row>
    <row r="106" spans="1:30" ht="13.2">
      <c r="A106" s="232">
        <v>122</v>
      </c>
      <c r="B106" s="236" t="s">
        <v>336</v>
      </c>
      <c r="C106" s="234">
        <v>45283</v>
      </c>
      <c r="D106" s="235" t="s">
        <v>689</v>
      </c>
      <c r="E106" s="235" t="str">
        <f>VLOOKUP(D106,'Danh mục hàng hóa'!$C$3:$D$600,2,0)</f>
        <v>Buộc tóc hoa xốp kem</v>
      </c>
      <c r="F106" s="236" t="str">
        <f>VLOOKUP(D106,'Danh mục hàng hóa'!$C$3:$E$613,3,0)</f>
        <v>cái</v>
      </c>
      <c r="G106" s="238">
        <f>VLOOKUP(D106,'Danh mục hàng hóa'!$C$3:$K$613,5,0)</f>
        <v>8455</v>
      </c>
      <c r="H106" s="236">
        <v>3</v>
      </c>
      <c r="I106" s="235"/>
      <c r="J106" s="237">
        <f t="shared" si="3"/>
        <v>25365</v>
      </c>
      <c r="K106" s="237">
        <f t="shared" si="2"/>
        <v>0</v>
      </c>
      <c r="L106" s="235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</row>
    <row r="107" spans="1:30" ht="13.2">
      <c r="A107" s="232">
        <v>123</v>
      </c>
      <c r="B107" s="236" t="s">
        <v>336</v>
      </c>
      <c r="C107" s="234">
        <v>45283</v>
      </c>
      <c r="D107" s="235" t="s">
        <v>691</v>
      </c>
      <c r="E107" s="235" t="str">
        <f>VLOOKUP(D107,'Danh mục hàng hóa'!$C$3:$D$600,2,0)</f>
        <v>Buộc tóc vải xốp nâu</v>
      </c>
      <c r="F107" s="236" t="str">
        <f>VLOOKUP(D107,'Danh mục hàng hóa'!$C$3:$E$613,3,0)</f>
        <v>cái</v>
      </c>
      <c r="G107" s="238">
        <f>VLOOKUP(D107,'Danh mục hàng hóa'!$C$3:$K$613,5,0)</f>
        <v>9875</v>
      </c>
      <c r="H107" s="236">
        <v>3</v>
      </c>
      <c r="I107" s="235"/>
      <c r="J107" s="237">
        <f t="shared" si="3"/>
        <v>29625</v>
      </c>
      <c r="K107" s="237">
        <f t="shared" si="2"/>
        <v>0</v>
      </c>
      <c r="L107" s="235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</row>
    <row r="108" spans="1:30" ht="13.2">
      <c r="A108" s="232">
        <v>124</v>
      </c>
      <c r="B108" s="236" t="s">
        <v>336</v>
      </c>
      <c r="C108" s="234">
        <v>45283</v>
      </c>
      <c r="D108" s="235" t="s">
        <v>693</v>
      </c>
      <c r="E108" s="235" t="str">
        <f>VLOOKUP(D108,'Danh mục hàng hóa'!$C$3:$D$600,2,0)</f>
        <v>Buộc tóc vải xốp đen</v>
      </c>
      <c r="F108" s="236" t="str">
        <f>VLOOKUP(D108,'Danh mục hàng hóa'!$C$3:$E$613,3,0)</f>
        <v>cái</v>
      </c>
      <c r="G108" s="238">
        <f>VLOOKUP(D108,'Danh mục hàng hóa'!$C$3:$K$613,5,0)</f>
        <v>9875</v>
      </c>
      <c r="H108" s="236">
        <v>3</v>
      </c>
      <c r="I108" s="235"/>
      <c r="J108" s="237">
        <f t="shared" si="3"/>
        <v>29625</v>
      </c>
      <c r="K108" s="237">
        <f t="shared" si="2"/>
        <v>0</v>
      </c>
      <c r="L108" s="235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</row>
    <row r="109" spans="1:30" ht="13.2">
      <c r="A109" s="232">
        <v>125</v>
      </c>
      <c r="B109" s="236" t="s">
        <v>336</v>
      </c>
      <c r="C109" s="234">
        <v>45283</v>
      </c>
      <c r="D109" s="235" t="s">
        <v>695</v>
      </c>
      <c r="E109" s="235" t="str">
        <f>VLOOKUP(D109,'Danh mục hàng hóa'!$C$3:$D$600,2,0)</f>
        <v>Buộc tóc lụa hoa đen</v>
      </c>
      <c r="F109" s="236" t="str">
        <f>VLOOKUP(D109,'Danh mục hàng hóa'!$C$3:$E$613,3,0)</f>
        <v>cái</v>
      </c>
      <c r="G109" s="238">
        <f>VLOOKUP(D109,'Danh mục hàng hóa'!$C$3:$K$613,5,0)</f>
        <v>16265</v>
      </c>
      <c r="H109" s="236">
        <v>3</v>
      </c>
      <c r="I109" s="235"/>
      <c r="J109" s="237">
        <f t="shared" si="3"/>
        <v>48795</v>
      </c>
      <c r="K109" s="237">
        <f t="shared" si="2"/>
        <v>0</v>
      </c>
      <c r="L109" s="235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</row>
    <row r="110" spans="1:30" ht="13.2">
      <c r="A110" s="232">
        <v>126</v>
      </c>
      <c r="B110" s="236" t="s">
        <v>336</v>
      </c>
      <c r="C110" s="234">
        <v>45283</v>
      </c>
      <c r="D110" s="235" t="s">
        <v>697</v>
      </c>
      <c r="E110" s="235" t="str">
        <f>VLOOKUP(D110,'Danh mục hàng hóa'!$C$3:$D$600,2,0)</f>
        <v>Buộc tóc lụa hoa be</v>
      </c>
      <c r="F110" s="236" t="str">
        <f>VLOOKUP(D110,'Danh mục hàng hóa'!$C$3:$E$613,3,0)</f>
        <v>cái</v>
      </c>
      <c r="G110" s="238">
        <f>VLOOKUP(D110,'Danh mục hàng hóa'!$C$3:$K$613,5,0)</f>
        <v>16265</v>
      </c>
      <c r="H110" s="236">
        <v>3</v>
      </c>
      <c r="I110" s="235"/>
      <c r="J110" s="237">
        <f t="shared" si="3"/>
        <v>48795</v>
      </c>
      <c r="K110" s="237">
        <f t="shared" si="2"/>
        <v>0</v>
      </c>
      <c r="L110" s="235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</row>
    <row r="111" spans="1:30" ht="13.2">
      <c r="A111" s="232">
        <v>127</v>
      </c>
      <c r="B111" s="236" t="s">
        <v>336</v>
      </c>
      <c r="C111" s="234">
        <v>45283</v>
      </c>
      <c r="D111" s="235" t="s">
        <v>699</v>
      </c>
      <c r="E111" s="235" t="str">
        <f>VLOOKUP(D111,'Danh mục hàng hóa'!$C$3:$D$600,2,0)</f>
        <v>Buộc tóc lụa hoa xanh</v>
      </c>
      <c r="F111" s="236" t="str">
        <f>VLOOKUP(D111,'Danh mục hàng hóa'!$C$3:$E$613,3,0)</f>
        <v>cái</v>
      </c>
      <c r="G111" s="238">
        <f>VLOOKUP(D111,'Danh mục hàng hóa'!$C$3:$K$613,5,0)</f>
        <v>16265</v>
      </c>
      <c r="H111" s="236">
        <v>3</v>
      </c>
      <c r="I111" s="235"/>
      <c r="J111" s="237">
        <f t="shared" si="3"/>
        <v>48795</v>
      </c>
      <c r="K111" s="237">
        <f t="shared" si="2"/>
        <v>0</v>
      </c>
      <c r="L111" s="235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</row>
    <row r="112" spans="1:30" ht="13.2">
      <c r="A112" s="232">
        <v>128</v>
      </c>
      <c r="B112" s="236" t="s">
        <v>336</v>
      </c>
      <c r="C112" s="234">
        <v>45283</v>
      </c>
      <c r="D112" s="235" t="s">
        <v>701</v>
      </c>
      <c r="E112" s="235" t="str">
        <f>VLOOKUP(D112,'Danh mục hàng hóa'!$C$3:$D$600,2,0)</f>
        <v>Buộc tóc hồng len</v>
      </c>
      <c r="F112" s="236" t="str">
        <f>VLOOKUP(D112,'Danh mục hàng hóa'!$C$3:$E$613,3,0)</f>
        <v>cái</v>
      </c>
      <c r="G112" s="238">
        <f>VLOOKUP(D112,'Danh mục hàng hóa'!$C$3:$K$613,5,0)</f>
        <v>7035</v>
      </c>
      <c r="H112" s="236">
        <v>2</v>
      </c>
      <c r="I112" s="235"/>
      <c r="J112" s="237">
        <f t="shared" si="3"/>
        <v>14070</v>
      </c>
      <c r="K112" s="237">
        <f t="shared" si="2"/>
        <v>0</v>
      </c>
      <c r="L112" s="235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</row>
    <row r="113" spans="1:30" ht="13.2">
      <c r="A113" s="232">
        <v>129</v>
      </c>
      <c r="B113" s="236" t="s">
        <v>336</v>
      </c>
      <c r="C113" s="234">
        <v>45283</v>
      </c>
      <c r="D113" s="235" t="s">
        <v>703</v>
      </c>
      <c r="E113" s="235" t="str">
        <f>VLOOKUP(D113,'Danh mục hàng hóa'!$C$3:$D$600,2,0)</f>
        <v>Buộc tóc hồng vải xù</v>
      </c>
      <c r="F113" s="236" t="str">
        <f>VLOOKUP(D113,'Danh mục hàng hóa'!$C$3:$E$613,3,0)</f>
        <v>cái</v>
      </c>
      <c r="G113" s="238">
        <f>VLOOKUP(D113,'Danh mục hàng hóa'!$C$3:$K$613,5,0)</f>
        <v>6325</v>
      </c>
      <c r="H113" s="236">
        <v>2</v>
      </c>
      <c r="I113" s="235"/>
      <c r="J113" s="237">
        <f t="shared" si="3"/>
        <v>12650</v>
      </c>
      <c r="K113" s="237">
        <f t="shared" si="2"/>
        <v>0</v>
      </c>
      <c r="L113" s="235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</row>
    <row r="114" spans="1:30" ht="13.2">
      <c r="A114" s="232">
        <v>130</v>
      </c>
      <c r="B114" s="236" t="s">
        <v>336</v>
      </c>
      <c r="C114" s="234">
        <v>45283</v>
      </c>
      <c r="D114" s="235" t="s">
        <v>705</v>
      </c>
      <c r="E114" s="235" t="str">
        <f>VLOOKUP(D114,'Danh mục hàng hóa'!$C$3:$D$600,2,0)</f>
        <v>Buộc tóc hồng nhung</v>
      </c>
      <c r="F114" s="236" t="str">
        <f>VLOOKUP(D114,'Danh mục hàng hóa'!$C$3:$E$613,3,0)</f>
        <v>cái</v>
      </c>
      <c r="G114" s="238">
        <f>VLOOKUP(D114,'Danh mục hàng hóa'!$C$3:$K$613,5,0)</f>
        <v>6680</v>
      </c>
      <c r="H114" s="236">
        <v>3</v>
      </c>
      <c r="I114" s="235"/>
      <c r="J114" s="237">
        <f t="shared" si="3"/>
        <v>20040</v>
      </c>
      <c r="K114" s="237">
        <f t="shared" si="2"/>
        <v>0</v>
      </c>
      <c r="L114" s="235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</row>
    <row r="115" spans="1:30" ht="13.2">
      <c r="A115" s="232">
        <v>131</v>
      </c>
      <c r="B115" s="236" t="s">
        <v>336</v>
      </c>
      <c r="C115" s="234">
        <v>45283</v>
      </c>
      <c r="D115" s="235" t="s">
        <v>707</v>
      </c>
      <c r="E115" s="235" t="str">
        <f>VLOOKUP(D115,'Danh mục hàng hóa'!$C$3:$D$600,2,0)</f>
        <v>Buộc tóc hồng nhung tăm</v>
      </c>
      <c r="F115" s="236" t="str">
        <f>VLOOKUP(D115,'Danh mục hàng hóa'!$C$3:$E$613,3,0)</f>
        <v>cái</v>
      </c>
      <c r="G115" s="238">
        <f>VLOOKUP(D115,'Danh mục hàng hóa'!$C$3:$K$613,5,0)</f>
        <v>6325</v>
      </c>
      <c r="H115" s="236">
        <v>2</v>
      </c>
      <c r="I115" s="235"/>
      <c r="J115" s="237">
        <f t="shared" si="3"/>
        <v>12650</v>
      </c>
      <c r="K115" s="237">
        <f t="shared" si="2"/>
        <v>0</v>
      </c>
      <c r="L115" s="235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</row>
    <row r="116" spans="1:30" ht="13.2">
      <c r="A116" s="232">
        <v>132</v>
      </c>
      <c r="B116" s="236" t="s">
        <v>336</v>
      </c>
      <c r="C116" s="234">
        <v>45283</v>
      </c>
      <c r="D116" s="235" t="s">
        <v>709</v>
      </c>
      <c r="E116" s="235" t="str">
        <f>VLOOKUP(D116,'Danh mục hàng hóa'!$C$3:$D$600,2,0)</f>
        <v>Buộc tóc hồng lông nhỏ</v>
      </c>
      <c r="F116" s="236" t="str">
        <f>VLOOKUP(D116,'Danh mục hàng hóa'!$C$3:$E$613,3,0)</f>
        <v>cái</v>
      </c>
      <c r="G116" s="238">
        <f>VLOOKUP(D116,'Danh mục hàng hóa'!$C$3:$K$613,5,0)</f>
        <v>3840</v>
      </c>
      <c r="H116" s="236">
        <v>2</v>
      </c>
      <c r="I116" s="235"/>
      <c r="J116" s="237">
        <f t="shared" si="3"/>
        <v>7680</v>
      </c>
      <c r="K116" s="237">
        <f t="shared" si="2"/>
        <v>0</v>
      </c>
      <c r="L116" s="235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</row>
    <row r="117" spans="1:30" ht="13.2">
      <c r="A117" s="232">
        <v>133</v>
      </c>
      <c r="B117" s="236" t="s">
        <v>336</v>
      </c>
      <c r="C117" s="234">
        <v>45283</v>
      </c>
      <c r="D117" s="235" t="s">
        <v>711</v>
      </c>
      <c r="E117" s="235" t="str">
        <f>VLOOKUP(D117,'Danh mục hàng hóa'!$C$3:$D$600,2,0)</f>
        <v>Buộc tóc hồng lông lớn</v>
      </c>
      <c r="F117" s="236" t="str">
        <f>VLOOKUP(D117,'Danh mục hàng hóa'!$C$3:$E$613,3,0)</f>
        <v>cái</v>
      </c>
      <c r="G117" s="238">
        <f>VLOOKUP(D117,'Danh mục hàng hóa'!$C$3:$K$613,5,0)</f>
        <v>6325</v>
      </c>
      <c r="H117" s="236">
        <v>2</v>
      </c>
      <c r="I117" s="235"/>
      <c r="J117" s="237">
        <f t="shared" si="3"/>
        <v>12650</v>
      </c>
      <c r="K117" s="237">
        <f t="shared" si="2"/>
        <v>0</v>
      </c>
      <c r="L117" s="235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</row>
    <row r="118" spans="1:30" ht="13.2">
      <c r="A118" s="232">
        <v>134</v>
      </c>
      <c r="B118" s="236" t="s">
        <v>336</v>
      </c>
      <c r="C118" s="234">
        <v>45283</v>
      </c>
      <c r="D118" s="235" t="s">
        <v>715</v>
      </c>
      <c r="E118" s="235" t="str">
        <f>VLOOKUP(D118,'Danh mục hàng hóa'!$C$3:$D$600,2,0)</f>
        <v>Buộc tóc trắng nhỏ</v>
      </c>
      <c r="F118" s="236" t="str">
        <f>VLOOKUP(D118,'Danh mục hàng hóa'!$C$3:$E$613,3,0)</f>
        <v>cái</v>
      </c>
      <c r="G118" s="238">
        <f>VLOOKUP(D118,'Danh mục hàng hóa'!$C$3:$K$613,5,0)</f>
        <v>3840</v>
      </c>
      <c r="H118" s="236">
        <v>1</v>
      </c>
      <c r="I118" s="235"/>
      <c r="J118" s="237">
        <f t="shared" si="3"/>
        <v>3840</v>
      </c>
      <c r="K118" s="237">
        <f t="shared" si="2"/>
        <v>0</v>
      </c>
      <c r="L118" s="235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</row>
    <row r="119" spans="1:30" ht="13.2">
      <c r="A119" s="232">
        <v>135</v>
      </c>
      <c r="B119" s="236" t="s">
        <v>336</v>
      </c>
      <c r="C119" s="234">
        <v>45283</v>
      </c>
      <c r="D119" s="235" t="s">
        <v>717</v>
      </c>
      <c r="E119" s="235" t="str">
        <f>VLOOKUP(D119,'Danh mục hàng hóa'!$C$3:$D$600,2,0)</f>
        <v>Kẹp nơ hồng</v>
      </c>
      <c r="F119" s="236" t="str">
        <f>VLOOKUP(D119,'Danh mục hàng hóa'!$C$3:$E$613,3,0)</f>
        <v>cái</v>
      </c>
      <c r="G119" s="238">
        <f>VLOOKUP(D119,'Danh mục hàng hóa'!$C$3:$K$613,5,0)</f>
        <v>9697.5</v>
      </c>
      <c r="H119" s="236">
        <v>3</v>
      </c>
      <c r="I119" s="235"/>
      <c r="J119" s="237">
        <f t="shared" si="3"/>
        <v>29092.5</v>
      </c>
      <c r="K119" s="237">
        <f t="shared" si="2"/>
        <v>0</v>
      </c>
      <c r="L119" s="235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</row>
    <row r="120" spans="1:30" ht="13.2">
      <c r="A120" s="232">
        <v>136</v>
      </c>
      <c r="B120" s="236" t="s">
        <v>337</v>
      </c>
      <c r="C120" s="234">
        <v>45283</v>
      </c>
      <c r="D120" s="235" t="s">
        <v>590</v>
      </c>
      <c r="E120" s="235" t="str">
        <f>VLOOKUP(D120,'Danh mục hàng hóa'!$C$3:$D$600,2,0)</f>
        <v>Kẹp tóc nhựa kem</v>
      </c>
      <c r="F120" s="236" t="str">
        <f>VLOOKUP(D120,'Danh mục hàng hóa'!$C$3:$E$613,3,0)</f>
        <v>cái</v>
      </c>
      <c r="G120" s="238">
        <f>VLOOKUP(D120,'Danh mục hàng hóa'!$C$3:$K$613,5,0)</f>
        <v>8810</v>
      </c>
      <c r="H120" s="235"/>
      <c r="I120" s="236">
        <v>2</v>
      </c>
      <c r="J120" s="237">
        <f t="shared" si="3"/>
        <v>0</v>
      </c>
      <c r="K120" s="237">
        <f t="shared" si="2"/>
        <v>17620</v>
      </c>
      <c r="L120" s="236" t="s">
        <v>2136</v>
      </c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</row>
    <row r="121" spans="1:30" ht="13.2">
      <c r="A121" s="232">
        <v>137</v>
      </c>
      <c r="B121" s="236" t="s">
        <v>337</v>
      </c>
      <c r="C121" s="234">
        <v>45283</v>
      </c>
      <c r="D121" s="235" t="s">
        <v>657</v>
      </c>
      <c r="E121" s="235" t="str">
        <f>VLOOKUP(D121,'Danh mục hàng hóa'!$C$3:$D$600,2,0)</f>
        <v>Buộc tóc hoa xanh</v>
      </c>
      <c r="F121" s="236" t="str">
        <f>VLOOKUP(D121,'Danh mục hàng hóa'!$C$3:$E$613,3,0)</f>
        <v>cái</v>
      </c>
      <c r="G121" s="238">
        <f>VLOOKUP(D121,'Danh mục hàng hóa'!$C$3:$K$613,5,0)</f>
        <v>10230</v>
      </c>
      <c r="H121" s="235"/>
      <c r="I121" s="236">
        <v>2</v>
      </c>
      <c r="J121" s="237">
        <f t="shared" si="3"/>
        <v>0</v>
      </c>
      <c r="K121" s="237">
        <f t="shared" si="2"/>
        <v>20460</v>
      </c>
      <c r="L121" s="236" t="s">
        <v>2137</v>
      </c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</row>
    <row r="122" spans="1:30" ht="13.2">
      <c r="A122" s="232">
        <v>138</v>
      </c>
      <c r="B122" s="236" t="s">
        <v>336</v>
      </c>
      <c r="C122" s="234">
        <v>45283</v>
      </c>
      <c r="D122" s="235" t="s">
        <v>839</v>
      </c>
      <c r="E122" s="235" t="str">
        <f>VLOOKUP(D122,'Danh mục hàng hóa'!$C$3:$D$600,2,0)</f>
        <v>Hộp thuốc nơ nâu</v>
      </c>
      <c r="F122" s="236" t="str">
        <f>VLOOKUP(D122,'Danh mục hàng hóa'!$C$3:$E$613,3,0)</f>
        <v>hộp</v>
      </c>
      <c r="G122" s="238">
        <f>VLOOKUP(D122,'Danh mục hàng hóa'!$C$3:$K$613,5,0)</f>
        <v>4479</v>
      </c>
      <c r="H122" s="236">
        <v>5</v>
      </c>
      <c r="I122" s="235"/>
      <c r="J122" s="237">
        <f t="shared" si="3"/>
        <v>22395</v>
      </c>
      <c r="K122" s="237">
        <f t="shared" si="2"/>
        <v>0</v>
      </c>
      <c r="L122" s="235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</row>
    <row r="123" spans="1:30" ht="13.2">
      <c r="A123" s="232">
        <v>139</v>
      </c>
      <c r="B123" s="236" t="s">
        <v>336</v>
      </c>
      <c r="C123" s="234">
        <v>45283</v>
      </c>
      <c r="D123" s="235" t="s">
        <v>842</v>
      </c>
      <c r="E123" s="235" t="str">
        <f>VLOOKUP(D123,'Danh mục hàng hóa'!$C$3:$D$600,2,0)</f>
        <v>Hộp thuốc dấu chân cún</v>
      </c>
      <c r="F123" s="236" t="str">
        <f>VLOOKUP(D123,'Danh mục hàng hóa'!$C$3:$E$613,3,0)</f>
        <v>hộp</v>
      </c>
      <c r="G123" s="238">
        <f>VLOOKUP(D123,'Danh mục hàng hóa'!$C$3:$K$613,5,0)</f>
        <v>4479</v>
      </c>
      <c r="H123" s="236">
        <v>7</v>
      </c>
      <c r="I123" s="235"/>
      <c r="J123" s="237">
        <f t="shared" si="3"/>
        <v>31353</v>
      </c>
      <c r="K123" s="237">
        <f t="shared" si="2"/>
        <v>0</v>
      </c>
      <c r="L123" s="235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</row>
    <row r="124" spans="1:30" ht="13.2">
      <c r="A124" s="232">
        <v>140</v>
      </c>
      <c r="B124" s="236" t="s">
        <v>336</v>
      </c>
      <c r="C124" s="234">
        <v>45283</v>
      </c>
      <c r="D124" s="235" t="s">
        <v>844</v>
      </c>
      <c r="E124" s="235" t="str">
        <f>VLOOKUP(D124,'Danh mục hàng hóa'!$C$3:$D$600,2,0)</f>
        <v>Hộp thuốc mây hồng</v>
      </c>
      <c r="F124" s="236" t="str">
        <f>VLOOKUP(D124,'Danh mục hàng hóa'!$C$3:$E$613,3,0)</f>
        <v>hộp</v>
      </c>
      <c r="G124" s="238">
        <f>VLOOKUP(D124,'Danh mục hàng hóa'!$C$3:$K$613,5,0)</f>
        <v>4479</v>
      </c>
      <c r="H124" s="236">
        <v>5</v>
      </c>
      <c r="I124" s="235"/>
      <c r="J124" s="237">
        <f t="shared" si="3"/>
        <v>22395</v>
      </c>
      <c r="K124" s="237">
        <f t="shared" si="2"/>
        <v>0</v>
      </c>
      <c r="L124" s="235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</row>
    <row r="125" spans="1:30" ht="13.2">
      <c r="A125" s="232">
        <v>141</v>
      </c>
      <c r="B125" s="236" t="s">
        <v>336</v>
      </c>
      <c r="C125" s="234">
        <v>45283</v>
      </c>
      <c r="D125" s="235" t="s">
        <v>846</v>
      </c>
      <c r="E125" s="235" t="str">
        <f>VLOOKUP(D125,'Danh mục hàng hóa'!$C$3:$D$600,2,0)</f>
        <v>Hộp thuốc ngôi sao xanh</v>
      </c>
      <c r="F125" s="236" t="str">
        <f>VLOOKUP(D125,'Danh mục hàng hóa'!$C$3:$E$613,3,0)</f>
        <v>hộp</v>
      </c>
      <c r="G125" s="238">
        <f>VLOOKUP(D125,'Danh mục hàng hóa'!$C$3:$K$613,5,0)</f>
        <v>4479</v>
      </c>
      <c r="H125" s="236">
        <v>5</v>
      </c>
      <c r="I125" s="235"/>
      <c r="J125" s="237">
        <f t="shared" si="3"/>
        <v>22395</v>
      </c>
      <c r="K125" s="237">
        <f t="shared" si="2"/>
        <v>0</v>
      </c>
      <c r="L125" s="235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</row>
    <row r="126" spans="1:30" ht="13.2">
      <c r="A126" s="232">
        <v>142</v>
      </c>
      <c r="B126" s="236" t="s">
        <v>336</v>
      </c>
      <c r="C126" s="234">
        <v>45283</v>
      </c>
      <c r="D126" s="235" t="s">
        <v>848</v>
      </c>
      <c r="E126" s="235" t="str">
        <f>VLOOKUP(D126,'Danh mục hàng hóa'!$C$3:$D$600,2,0)</f>
        <v>Hộp thuốc ông mặt trời</v>
      </c>
      <c r="F126" s="236" t="str">
        <f>VLOOKUP(D126,'Danh mục hàng hóa'!$C$3:$E$613,3,0)</f>
        <v>hộp</v>
      </c>
      <c r="G126" s="238">
        <f>VLOOKUP(D126,'Danh mục hàng hóa'!$C$3:$K$613,5,0)</f>
        <v>4479</v>
      </c>
      <c r="H126" s="236">
        <v>5</v>
      </c>
      <c r="I126" s="235"/>
      <c r="J126" s="237">
        <f t="shared" si="3"/>
        <v>22395</v>
      </c>
      <c r="K126" s="237">
        <f t="shared" si="2"/>
        <v>0</v>
      </c>
      <c r="L126" s="235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</row>
    <row r="127" spans="1:30" ht="13.2">
      <c r="A127" s="232">
        <v>143</v>
      </c>
      <c r="B127" s="236" t="s">
        <v>336</v>
      </c>
      <c r="C127" s="234">
        <v>45283</v>
      </c>
      <c r="D127" s="235" t="s">
        <v>850</v>
      </c>
      <c r="E127" s="235" t="str">
        <f>VLOOKUP(D127,'Danh mục hàng hóa'!$C$3:$D$600,2,0)</f>
        <v>Hộp thuốc cô bé tóc nâu</v>
      </c>
      <c r="F127" s="236" t="str">
        <f>VLOOKUP(D127,'Danh mục hàng hóa'!$C$3:$E$613,3,0)</f>
        <v>hộp</v>
      </c>
      <c r="G127" s="238">
        <f>VLOOKUP(D127,'Danh mục hàng hóa'!$C$3:$K$613,5,0)</f>
        <v>4479</v>
      </c>
      <c r="H127" s="236">
        <v>3</v>
      </c>
      <c r="I127" s="235"/>
      <c r="J127" s="237">
        <f t="shared" si="3"/>
        <v>13437</v>
      </c>
      <c r="K127" s="237">
        <f t="shared" si="2"/>
        <v>0</v>
      </c>
      <c r="L127" s="235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</row>
    <row r="128" spans="1:30" ht="13.2">
      <c r="A128" s="232">
        <v>144</v>
      </c>
      <c r="B128" s="236" t="s">
        <v>336</v>
      </c>
      <c r="C128" s="234">
        <v>45283</v>
      </c>
      <c r="D128" s="235" t="s">
        <v>852</v>
      </c>
      <c r="E128" s="235" t="str">
        <f>VLOOKUP(D128,'Danh mục hàng hóa'!$C$3:$D$600,2,0)</f>
        <v>Hộp thuốc nơ hồng</v>
      </c>
      <c r="F128" s="236" t="str">
        <f>VLOOKUP(D128,'Danh mục hàng hóa'!$C$3:$E$613,3,0)</f>
        <v>hộp</v>
      </c>
      <c r="G128" s="238">
        <f>VLOOKUP(D128,'Danh mục hàng hóa'!$C$3:$K$613,5,0)</f>
        <v>4479</v>
      </c>
      <c r="H128" s="236">
        <v>10</v>
      </c>
      <c r="I128" s="235"/>
      <c r="J128" s="237">
        <f t="shared" si="3"/>
        <v>44790</v>
      </c>
      <c r="K128" s="237">
        <f t="shared" si="2"/>
        <v>0</v>
      </c>
      <c r="L128" s="235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</row>
    <row r="129" spans="1:30" ht="13.2">
      <c r="A129" s="232">
        <v>145</v>
      </c>
      <c r="B129" s="236" t="s">
        <v>336</v>
      </c>
      <c r="C129" s="234">
        <v>45283</v>
      </c>
      <c r="D129" s="235" t="s">
        <v>854</v>
      </c>
      <c r="E129" s="235" t="str">
        <f>VLOOKUP(D129,'Danh mục hàng hóa'!$C$3:$D$600,2,0)</f>
        <v>Hộp thuốc thỏ nâu</v>
      </c>
      <c r="F129" s="236" t="str">
        <f>VLOOKUP(D129,'Danh mục hàng hóa'!$C$3:$E$613,3,0)</f>
        <v>hộp</v>
      </c>
      <c r="G129" s="238">
        <f>VLOOKUP(D129,'Danh mục hàng hóa'!$C$3:$K$613,5,0)</f>
        <v>4479</v>
      </c>
      <c r="H129" s="236">
        <v>3</v>
      </c>
      <c r="I129" s="235"/>
      <c r="J129" s="237">
        <f t="shared" si="3"/>
        <v>13437</v>
      </c>
      <c r="K129" s="237">
        <f t="shared" si="2"/>
        <v>0</v>
      </c>
      <c r="L129" s="235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</row>
    <row r="130" spans="1:30" ht="13.2">
      <c r="A130" s="232">
        <v>146</v>
      </c>
      <c r="B130" s="236" t="s">
        <v>336</v>
      </c>
      <c r="C130" s="234">
        <v>45283</v>
      </c>
      <c r="D130" s="235" t="s">
        <v>856</v>
      </c>
      <c r="E130" s="235" t="str">
        <f>VLOOKUP(D130,'Danh mục hàng hóa'!$C$3:$D$600,2,0)</f>
        <v>Hộp thuốc nơ tím</v>
      </c>
      <c r="F130" s="236" t="str">
        <f>VLOOKUP(D130,'Danh mục hàng hóa'!$C$3:$E$613,3,0)</f>
        <v>hộp</v>
      </c>
      <c r="G130" s="238">
        <f>VLOOKUP(D130,'Danh mục hàng hóa'!$C$3:$K$613,5,0)</f>
        <v>4479</v>
      </c>
      <c r="H130" s="236">
        <v>7</v>
      </c>
      <c r="I130" s="235"/>
      <c r="J130" s="237">
        <f t="shared" si="3"/>
        <v>31353</v>
      </c>
      <c r="K130" s="237">
        <f t="shared" si="2"/>
        <v>0</v>
      </c>
      <c r="L130" s="235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</row>
    <row r="131" spans="1:30" ht="13.2">
      <c r="A131" s="232">
        <v>147</v>
      </c>
      <c r="B131" s="236" t="s">
        <v>336</v>
      </c>
      <c r="C131" s="234">
        <v>45283</v>
      </c>
      <c r="D131" s="235" t="s">
        <v>858</v>
      </c>
      <c r="E131" s="235" t="str">
        <f>VLOOKUP(D131,'Danh mục hàng hóa'!$C$3:$D$600,2,0)</f>
        <v>Hộp thuốc gấu vàng</v>
      </c>
      <c r="F131" s="236" t="str">
        <f>VLOOKUP(D131,'Danh mục hàng hóa'!$C$3:$E$613,3,0)</f>
        <v>hộp</v>
      </c>
      <c r="G131" s="238">
        <f>VLOOKUP(D131,'Danh mục hàng hóa'!$C$3:$K$613,5,0)</f>
        <v>4479</v>
      </c>
      <c r="H131" s="236">
        <v>3</v>
      </c>
      <c r="I131" s="235"/>
      <c r="J131" s="237">
        <f t="shared" si="3"/>
        <v>13437</v>
      </c>
      <c r="K131" s="237">
        <f t="shared" si="2"/>
        <v>0</v>
      </c>
      <c r="L131" s="235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</row>
    <row r="132" spans="1:30" ht="13.2">
      <c r="A132" s="232">
        <v>148</v>
      </c>
      <c r="B132" s="236" t="s">
        <v>336</v>
      </c>
      <c r="C132" s="234">
        <v>45283</v>
      </c>
      <c r="D132" s="235" t="s">
        <v>860</v>
      </c>
      <c r="E132" s="235" t="str">
        <f>VLOOKUP(D132,'Danh mục hàng hóa'!$C$3:$D$600,2,0)</f>
        <v>Thước dây trắng</v>
      </c>
      <c r="F132" s="236" t="str">
        <f>VLOOKUP(D132,'Danh mục hàng hóa'!$C$3:$E$613,3,0)</f>
        <v>cái</v>
      </c>
      <c r="G132" s="238">
        <f>VLOOKUP(D132,'Danh mục hàng hóa'!$C$3:$K$613,5,0)</f>
        <v>3840</v>
      </c>
      <c r="H132" s="236">
        <v>2</v>
      </c>
      <c r="I132" s="235"/>
      <c r="J132" s="237">
        <f t="shared" si="3"/>
        <v>7680</v>
      </c>
      <c r="K132" s="237">
        <f t="shared" si="2"/>
        <v>0</v>
      </c>
      <c r="L132" s="235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</row>
    <row r="133" spans="1:30" ht="13.2">
      <c r="A133" s="232">
        <v>149</v>
      </c>
      <c r="B133" s="236" t="s">
        <v>336</v>
      </c>
      <c r="C133" s="234">
        <v>45283</v>
      </c>
      <c r="D133" s="235" t="s">
        <v>862</v>
      </c>
      <c r="E133" s="235" t="str">
        <f>VLOOKUP(D133,'Danh mục hàng hóa'!$C$3:$D$600,2,0)</f>
        <v>Thước dây vàng</v>
      </c>
      <c r="F133" s="236" t="str">
        <f>VLOOKUP(D133,'Danh mục hàng hóa'!$C$3:$E$613,3,0)</f>
        <v>cái</v>
      </c>
      <c r="G133" s="238">
        <f>VLOOKUP(D133,'Danh mục hàng hóa'!$C$3:$K$613,5,0)</f>
        <v>3840</v>
      </c>
      <c r="H133" s="236">
        <v>2</v>
      </c>
      <c r="I133" s="235"/>
      <c r="J133" s="237">
        <f t="shared" si="3"/>
        <v>7680</v>
      </c>
      <c r="K133" s="237">
        <f t="shared" si="2"/>
        <v>0</v>
      </c>
      <c r="L133" s="235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</row>
    <row r="134" spans="1:30" ht="13.2">
      <c r="A134" s="232">
        <v>150</v>
      </c>
      <c r="B134" s="236" t="s">
        <v>336</v>
      </c>
      <c r="C134" s="234">
        <v>45283</v>
      </c>
      <c r="D134" s="235" t="s">
        <v>864</v>
      </c>
      <c r="E134" s="235" t="str">
        <f>VLOOKUP(D134,'Danh mục hàng hóa'!$C$3:$D$600,2,0)</f>
        <v>Thước dây hồng đất</v>
      </c>
      <c r="F134" s="236" t="str">
        <f>VLOOKUP(D134,'Danh mục hàng hóa'!$C$3:$E$613,3,0)</f>
        <v>cái</v>
      </c>
      <c r="G134" s="238">
        <f>VLOOKUP(D134,'Danh mục hàng hóa'!$C$3:$K$613,5,0)</f>
        <v>3840</v>
      </c>
      <c r="H134" s="236">
        <v>2</v>
      </c>
      <c r="I134" s="235"/>
      <c r="J134" s="237">
        <f t="shared" si="3"/>
        <v>7680</v>
      </c>
      <c r="K134" s="237">
        <f t="shared" si="2"/>
        <v>0</v>
      </c>
      <c r="L134" s="235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</row>
    <row r="135" spans="1:30" ht="13.2">
      <c r="A135" s="232">
        <v>151</v>
      </c>
      <c r="B135" s="236" t="s">
        <v>336</v>
      </c>
      <c r="C135" s="234">
        <v>45283</v>
      </c>
      <c r="D135" s="235" t="s">
        <v>866</v>
      </c>
      <c r="E135" s="235" t="str">
        <f>VLOOKUP(D135,'Danh mục hàng hóa'!$C$3:$D$600,2,0)</f>
        <v>Thước dây hồng phấn</v>
      </c>
      <c r="F135" s="236" t="str">
        <f>VLOOKUP(D135,'Danh mục hàng hóa'!$C$3:$E$613,3,0)</f>
        <v>cái</v>
      </c>
      <c r="G135" s="238">
        <f>VLOOKUP(D135,'Danh mục hàng hóa'!$C$3:$K$613,5,0)</f>
        <v>3840</v>
      </c>
      <c r="H135" s="236">
        <v>4</v>
      </c>
      <c r="I135" s="235"/>
      <c r="J135" s="237">
        <f t="shared" si="3"/>
        <v>15360</v>
      </c>
      <c r="K135" s="237">
        <f t="shared" si="2"/>
        <v>0</v>
      </c>
      <c r="L135" s="235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</row>
    <row r="136" spans="1:30" ht="13.2">
      <c r="A136" s="232">
        <v>152</v>
      </c>
      <c r="B136" s="236" t="s">
        <v>336</v>
      </c>
      <c r="C136" s="234">
        <v>45283</v>
      </c>
      <c r="D136" s="235" t="s">
        <v>868</v>
      </c>
      <c r="E136" s="235" t="str">
        <f>VLOOKUP(D136,'Danh mục hàng hóa'!$C$3:$D$600,2,0)</f>
        <v>Thước dây xám</v>
      </c>
      <c r="F136" s="236" t="str">
        <f>VLOOKUP(D136,'Danh mục hàng hóa'!$C$3:$E$613,3,0)</f>
        <v>cái</v>
      </c>
      <c r="G136" s="238">
        <f>VLOOKUP(D136,'Danh mục hàng hóa'!$C$3:$K$613,5,0)</f>
        <v>3840</v>
      </c>
      <c r="H136" s="236">
        <v>2</v>
      </c>
      <c r="I136" s="235"/>
      <c r="J136" s="237">
        <f t="shared" si="3"/>
        <v>7680</v>
      </c>
      <c r="K136" s="237">
        <f t="shared" si="2"/>
        <v>0</v>
      </c>
      <c r="L136" s="235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</row>
    <row r="137" spans="1:30" ht="13.2">
      <c r="A137" s="232">
        <v>153</v>
      </c>
      <c r="B137" s="236" t="s">
        <v>336</v>
      </c>
      <c r="C137" s="234">
        <v>45283</v>
      </c>
      <c r="D137" s="235" t="s">
        <v>870</v>
      </c>
      <c r="E137" s="235" t="str">
        <f>VLOOKUP(D137,'Danh mục hàng hóa'!$C$3:$D$600,2,0)</f>
        <v>Thước dây xanh</v>
      </c>
      <c r="F137" s="236" t="str">
        <f>VLOOKUP(D137,'Danh mục hàng hóa'!$C$3:$E$613,3,0)</f>
        <v>cái</v>
      </c>
      <c r="G137" s="238">
        <f>VLOOKUP(D137,'Danh mục hàng hóa'!$C$3:$K$613,5,0)</f>
        <v>3840</v>
      </c>
      <c r="H137" s="236">
        <v>2</v>
      </c>
      <c r="I137" s="235"/>
      <c r="J137" s="237">
        <f t="shared" si="3"/>
        <v>7680</v>
      </c>
      <c r="K137" s="237">
        <f t="shared" si="2"/>
        <v>0</v>
      </c>
      <c r="L137" s="235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</row>
    <row r="138" spans="1:30" ht="13.2">
      <c r="A138" s="232">
        <v>154</v>
      </c>
      <c r="B138" s="236" t="s">
        <v>336</v>
      </c>
      <c r="C138" s="234">
        <v>45283</v>
      </c>
      <c r="D138" s="235" t="s">
        <v>872</v>
      </c>
      <c r="E138" s="235" t="str">
        <f>VLOOKUP(D138,'Danh mục hàng hóa'!$C$3:$D$600,2,0)</f>
        <v>Dao rọc giấy cún vàng</v>
      </c>
      <c r="F138" s="236" t="str">
        <f>VLOOKUP(D138,'Danh mục hàng hóa'!$C$3:$E$613,3,0)</f>
        <v>cái</v>
      </c>
      <c r="G138" s="238">
        <f>VLOOKUP(D138,'Danh mục hàng hóa'!$C$3:$K$613,5,0)</f>
        <v>3840</v>
      </c>
      <c r="H138" s="236">
        <v>5</v>
      </c>
      <c r="I138" s="235"/>
      <c r="J138" s="237">
        <f t="shared" si="3"/>
        <v>19200</v>
      </c>
      <c r="K138" s="237">
        <f t="shared" si="2"/>
        <v>0</v>
      </c>
      <c r="L138" s="235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</row>
    <row r="139" spans="1:30" ht="13.2">
      <c r="A139" s="232">
        <v>155</v>
      </c>
      <c r="B139" s="236" t="s">
        <v>336</v>
      </c>
      <c r="C139" s="234">
        <v>45283</v>
      </c>
      <c r="D139" s="235" t="s">
        <v>874</v>
      </c>
      <c r="E139" s="235" t="str">
        <f>VLOOKUP(D139,'Danh mục hàng hóa'!$C$3:$D$600,2,0)</f>
        <v>Dao rọc giấy cún xanh</v>
      </c>
      <c r="F139" s="236" t="str">
        <f>VLOOKUP(D139,'Danh mục hàng hóa'!$C$3:$E$613,3,0)</f>
        <v>cái</v>
      </c>
      <c r="G139" s="238">
        <f>VLOOKUP(D139,'Danh mục hàng hóa'!$C$3:$K$613,5,0)</f>
        <v>3840</v>
      </c>
      <c r="H139" s="236">
        <v>5</v>
      </c>
      <c r="I139" s="235"/>
      <c r="J139" s="237">
        <f t="shared" si="3"/>
        <v>19200</v>
      </c>
      <c r="K139" s="237">
        <f t="shared" si="2"/>
        <v>0</v>
      </c>
      <c r="L139" s="235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</row>
    <row r="140" spans="1:30" ht="13.2">
      <c r="A140" s="232">
        <v>156</v>
      </c>
      <c r="B140" s="236" t="s">
        <v>336</v>
      </c>
      <c r="C140" s="234">
        <v>45283</v>
      </c>
      <c r="D140" s="235" t="s">
        <v>876</v>
      </c>
      <c r="E140" s="235" t="str">
        <f>VLOOKUP(D140,'Danh mục hàng hóa'!$C$3:$D$600,2,0)</f>
        <v>Dao rọc giấy cún trắng</v>
      </c>
      <c r="F140" s="236" t="str">
        <f>VLOOKUP(D140,'Danh mục hàng hóa'!$C$3:$E$613,3,0)</f>
        <v>cái</v>
      </c>
      <c r="G140" s="238">
        <f>VLOOKUP(D140,'Danh mục hàng hóa'!$C$3:$K$613,5,0)</f>
        <v>3840</v>
      </c>
      <c r="H140" s="236">
        <v>5</v>
      </c>
      <c r="I140" s="235"/>
      <c r="J140" s="237">
        <f t="shared" si="3"/>
        <v>19200</v>
      </c>
      <c r="K140" s="237">
        <f t="shared" si="2"/>
        <v>0</v>
      </c>
      <c r="L140" s="235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</row>
    <row r="141" spans="1:30" ht="13.2">
      <c r="A141" s="232">
        <v>157</v>
      </c>
      <c r="B141" s="236" t="s">
        <v>336</v>
      </c>
      <c r="C141" s="234">
        <v>45283</v>
      </c>
      <c r="D141" s="235" t="s">
        <v>878</v>
      </c>
      <c r="E141" s="235" t="str">
        <f>VLOOKUP(D141,'Danh mục hàng hóa'!$C$3:$D$600,2,0)</f>
        <v>Dao rọc giấy cún hồng</v>
      </c>
      <c r="F141" s="236" t="str">
        <f>VLOOKUP(D141,'Danh mục hàng hóa'!$C$3:$E$613,3,0)</f>
        <v>cái</v>
      </c>
      <c r="G141" s="238">
        <f>VLOOKUP(D141,'Danh mục hàng hóa'!$C$3:$K$613,5,0)</f>
        <v>3840</v>
      </c>
      <c r="H141" s="236">
        <v>5</v>
      </c>
      <c r="I141" s="235"/>
      <c r="J141" s="237">
        <f t="shared" si="3"/>
        <v>19200</v>
      </c>
      <c r="K141" s="237">
        <f t="shared" si="2"/>
        <v>0</v>
      </c>
      <c r="L141" s="235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</row>
    <row r="142" spans="1:30" ht="13.2">
      <c r="A142" s="232">
        <v>158</v>
      </c>
      <c r="B142" s="236" t="s">
        <v>336</v>
      </c>
      <c r="C142" s="234">
        <v>45283</v>
      </c>
      <c r="D142" s="235" t="s">
        <v>880</v>
      </c>
      <c r="E142" s="235" t="str">
        <f>VLOOKUP(D142,'Danh mục hàng hóa'!$C$3:$D$600,2,0)</f>
        <v>Dao rọc giấy mèo tím</v>
      </c>
      <c r="F142" s="236" t="str">
        <f>VLOOKUP(D142,'Danh mục hàng hóa'!$C$3:$E$613,3,0)</f>
        <v>cái</v>
      </c>
      <c r="G142" s="238">
        <f>VLOOKUP(D142,'Danh mục hàng hóa'!$C$3:$K$613,5,0)</f>
        <v>3840</v>
      </c>
      <c r="H142" s="236">
        <v>5</v>
      </c>
      <c r="I142" s="235"/>
      <c r="J142" s="237">
        <f t="shared" si="3"/>
        <v>19200</v>
      </c>
      <c r="K142" s="237">
        <f t="shared" si="2"/>
        <v>0</v>
      </c>
      <c r="L142" s="235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</row>
    <row r="143" spans="1:30" ht="13.2">
      <c r="A143" s="232">
        <v>159</v>
      </c>
      <c r="B143" s="236" t="s">
        <v>336</v>
      </c>
      <c r="C143" s="234">
        <v>45283</v>
      </c>
      <c r="D143" s="235" t="s">
        <v>882</v>
      </c>
      <c r="E143" s="235" t="str">
        <f>VLOOKUP(D143,'Danh mục hàng hóa'!$C$3:$D$600,2,0)</f>
        <v>Dao rọc giấy gấu nâu</v>
      </c>
      <c r="F143" s="236" t="str">
        <f>VLOOKUP(D143,'Danh mục hàng hóa'!$C$3:$E$613,3,0)</f>
        <v>cái</v>
      </c>
      <c r="G143" s="238">
        <f>VLOOKUP(D143,'Danh mục hàng hóa'!$C$3:$K$613,5,0)</f>
        <v>3840</v>
      </c>
      <c r="H143" s="236">
        <v>5</v>
      </c>
      <c r="I143" s="235"/>
      <c r="J143" s="237">
        <f t="shared" si="3"/>
        <v>19200</v>
      </c>
      <c r="K143" s="237">
        <f t="shared" si="2"/>
        <v>0</v>
      </c>
      <c r="L143" s="235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</row>
    <row r="144" spans="1:30" ht="13.2">
      <c r="A144" s="232">
        <v>160</v>
      </c>
      <c r="B144" s="236" t="s">
        <v>337</v>
      </c>
      <c r="C144" s="234">
        <v>45283</v>
      </c>
      <c r="D144" s="235" t="s">
        <v>409</v>
      </c>
      <c r="E144" s="235" t="str">
        <f>VLOOKUP(D144,'Danh mục hàng hóa'!$C$3:$D$600,2,0)</f>
        <v>Túi chườm bụng thỏ dứa 1000ml</v>
      </c>
      <c r="F144" s="236" t="s">
        <v>444</v>
      </c>
      <c r="G144" s="237">
        <v>90000</v>
      </c>
      <c r="H144" s="235"/>
      <c r="I144" s="236">
        <v>1</v>
      </c>
      <c r="J144" s="237">
        <f t="shared" si="3"/>
        <v>0</v>
      </c>
      <c r="K144" s="237">
        <f t="shared" si="2"/>
        <v>90000</v>
      </c>
      <c r="L144" s="235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</row>
    <row r="145" spans="1:30" ht="13.2">
      <c r="A145" s="232">
        <v>161</v>
      </c>
      <c r="B145" s="236" t="s">
        <v>337</v>
      </c>
      <c r="C145" s="234">
        <v>45283</v>
      </c>
      <c r="D145" s="235" t="s">
        <v>418</v>
      </c>
      <c r="E145" s="235" t="str">
        <f>VLOOKUP(D145,'Danh mục hàng hóa'!$C$3:$D$600,2,0)</f>
        <v>Túi chườm bụng dâu xanh nhạt 500ml</v>
      </c>
      <c r="F145" s="236" t="s">
        <v>444</v>
      </c>
      <c r="G145" s="237">
        <v>74574</v>
      </c>
      <c r="H145" s="235"/>
      <c r="I145" s="236">
        <v>1</v>
      </c>
      <c r="J145" s="237">
        <f t="shared" si="3"/>
        <v>0</v>
      </c>
      <c r="K145" s="237">
        <f t="shared" si="2"/>
        <v>74574</v>
      </c>
      <c r="L145" s="235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</row>
    <row r="146" spans="1:30" ht="13.2">
      <c r="A146" s="232">
        <v>171</v>
      </c>
      <c r="B146" s="236" t="s">
        <v>337</v>
      </c>
      <c r="C146" s="239">
        <v>45285</v>
      </c>
      <c r="D146" s="235" t="s">
        <v>414</v>
      </c>
      <c r="E146" s="235" t="str">
        <f>VLOOKUP(D146,'Danh mục hàng hóa'!$C$3:$D$600,2,0)</f>
        <v>Túi chườm bụng dâu tây 500ml</v>
      </c>
      <c r="F146" s="236" t="str">
        <f>VLOOKUP(D146,'Danh mục hàng hóa'!$C$3:$E$613,3,0)</f>
        <v>túi</v>
      </c>
      <c r="G146" s="237">
        <v>60000</v>
      </c>
      <c r="H146" s="235"/>
      <c r="I146" s="236">
        <v>1</v>
      </c>
      <c r="J146" s="237">
        <f t="shared" si="3"/>
        <v>0</v>
      </c>
      <c r="K146" s="237">
        <f t="shared" si="2"/>
        <v>60000</v>
      </c>
      <c r="L146" s="235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</row>
    <row r="147" spans="1:30" ht="13.2">
      <c r="A147" s="232">
        <v>173</v>
      </c>
      <c r="B147" s="236" t="s">
        <v>337</v>
      </c>
      <c r="C147" s="239">
        <v>45285</v>
      </c>
      <c r="D147" s="235" t="s">
        <v>588</v>
      </c>
      <c r="E147" s="235" t="str">
        <f>VLOOKUP(D147,'Danh mục hàng hóa'!$C$3:$D$600,2,0)</f>
        <v>Kẹp tóc nhựa be</v>
      </c>
      <c r="F147" s="236" t="str">
        <f>VLOOKUP(D147,'Danh mục hàng hóa'!$C$3:$E$613,3,0)</f>
        <v>cái</v>
      </c>
      <c r="G147" s="241">
        <f>VLOOKUP(D147,'Danh mục hàng hóa'!$C$3:$K$613,6,0)</f>
        <v>17000</v>
      </c>
      <c r="H147" s="235"/>
      <c r="I147" s="236">
        <v>1</v>
      </c>
      <c r="J147" s="237">
        <f t="shared" si="3"/>
        <v>0</v>
      </c>
      <c r="K147" s="237">
        <f t="shared" si="2"/>
        <v>17000</v>
      </c>
      <c r="L147" s="235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</row>
    <row r="148" spans="1:30" ht="13.2">
      <c r="A148" s="232">
        <v>175</v>
      </c>
      <c r="B148" s="236" t="s">
        <v>337</v>
      </c>
      <c r="C148" s="239">
        <v>45285</v>
      </c>
      <c r="D148" s="235" t="s">
        <v>401</v>
      </c>
      <c r="E148" s="235" t="str">
        <f>VLOOKUP(D148,'Danh mục hàng hóa'!$C$3:$D$600,2,0)</f>
        <v>Túi chườm bụng dứa xanh đậm  1000ml</v>
      </c>
      <c r="F148" s="236" t="str">
        <f>VLOOKUP(D148,'Danh mục hàng hóa'!$C$3:$E$613,3,0)</f>
        <v>túi</v>
      </c>
      <c r="G148" s="237">
        <v>99348</v>
      </c>
      <c r="H148" s="235"/>
      <c r="I148" s="236">
        <v>1</v>
      </c>
      <c r="J148" s="237">
        <f t="shared" si="3"/>
        <v>0</v>
      </c>
      <c r="K148" s="237">
        <f t="shared" si="2"/>
        <v>99348</v>
      </c>
      <c r="L148" s="235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</row>
    <row r="149" spans="1:30" ht="13.2">
      <c r="A149" s="232">
        <v>176</v>
      </c>
      <c r="B149" s="236" t="s">
        <v>337</v>
      </c>
      <c r="C149" s="239">
        <v>45286</v>
      </c>
      <c r="D149" s="235" t="s">
        <v>568</v>
      </c>
      <c r="E149" s="235" t="str">
        <f>VLOOKUP(D149,'Danh mục hàng hóa'!$C$3:$D$600,2,0)</f>
        <v>Ống 100 dây cột tóc đen</v>
      </c>
      <c r="F149" s="236" t="str">
        <f>VLOOKUP(D149,'Danh mục hàng hóa'!$C$3:$E$613,3,0)</f>
        <v>ống</v>
      </c>
      <c r="G149" s="237">
        <v>26000</v>
      </c>
      <c r="H149" s="235"/>
      <c r="I149" s="236">
        <v>1</v>
      </c>
      <c r="J149" s="237">
        <f t="shared" si="3"/>
        <v>0</v>
      </c>
      <c r="K149" s="237">
        <f t="shared" si="2"/>
        <v>26000</v>
      </c>
      <c r="L149" s="235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</row>
    <row r="150" spans="1:30" ht="13.2">
      <c r="A150" s="232">
        <v>177</v>
      </c>
      <c r="B150" s="236" t="s">
        <v>337</v>
      </c>
      <c r="C150" s="239">
        <v>45286</v>
      </c>
      <c r="D150" s="235" t="s">
        <v>709</v>
      </c>
      <c r="E150" s="235" t="str">
        <f>VLOOKUP(D150,'Danh mục hàng hóa'!$C$3:$D$600,2,0)</f>
        <v>Buộc tóc hồng lông nhỏ</v>
      </c>
      <c r="F150" s="236" t="str">
        <f>VLOOKUP(D150,'Danh mục hàng hóa'!$C$3:$E$613,3,0)</f>
        <v>cái</v>
      </c>
      <c r="G150" s="237">
        <v>12000</v>
      </c>
      <c r="H150" s="235"/>
      <c r="I150" s="237">
        <v>1</v>
      </c>
      <c r="J150" s="237">
        <f t="shared" si="3"/>
        <v>0</v>
      </c>
      <c r="K150" s="237">
        <f t="shared" si="2"/>
        <v>12000</v>
      </c>
      <c r="L150" s="235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</row>
    <row r="151" spans="1:30" ht="13.2">
      <c r="A151" s="232">
        <v>178</v>
      </c>
      <c r="B151" s="236" t="s">
        <v>337</v>
      </c>
      <c r="C151" s="239">
        <v>45286</v>
      </c>
      <c r="D151" s="235" t="s">
        <v>476</v>
      </c>
      <c r="E151" s="235" t="str">
        <f>VLOOKUP(D151,'Danh mục hàng hóa'!$C$3:$D$600,2,0)</f>
        <v>Trâm cài hoa trắng</v>
      </c>
      <c r="F151" s="236" t="str">
        <f>VLOOKUP(D151,'Danh mục hàng hóa'!$C$3:$E$613,3,0)</f>
        <v>cái</v>
      </c>
      <c r="G151" s="237">
        <v>16000</v>
      </c>
      <c r="H151" s="235"/>
      <c r="I151" s="237">
        <v>1</v>
      </c>
      <c r="J151" s="237">
        <f t="shared" si="3"/>
        <v>0</v>
      </c>
      <c r="K151" s="237">
        <f t="shared" si="2"/>
        <v>16000</v>
      </c>
      <c r="L151" s="235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</row>
    <row r="152" spans="1:30" ht="13.2">
      <c r="A152" s="232">
        <v>179</v>
      </c>
      <c r="B152" s="236" t="s">
        <v>337</v>
      </c>
      <c r="C152" s="239">
        <v>45286</v>
      </c>
      <c r="D152" s="235" t="s">
        <v>480</v>
      </c>
      <c r="E152" s="235" t="str">
        <f>VLOOKUP(D152,'Danh mục hàng hóa'!$C$3:$D$600,2,0)</f>
        <v>Trâm cài gỗ nâu có họa tiết</v>
      </c>
      <c r="F152" s="236" t="str">
        <f>VLOOKUP(D152,'Danh mục hàng hóa'!$C$3:$E$613,3,0)</f>
        <v>cái</v>
      </c>
      <c r="G152" s="238">
        <v>6016</v>
      </c>
      <c r="H152" s="235"/>
      <c r="I152" s="237">
        <v>1</v>
      </c>
      <c r="J152" s="237">
        <f t="shared" si="3"/>
        <v>0</v>
      </c>
      <c r="K152" s="237">
        <f t="shared" si="2"/>
        <v>6016</v>
      </c>
      <c r="L152" s="235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</row>
    <row r="153" spans="1:30" ht="13.2">
      <c r="A153" s="232">
        <v>190</v>
      </c>
      <c r="B153" s="236" t="s">
        <v>337</v>
      </c>
      <c r="C153" s="239">
        <v>45286</v>
      </c>
      <c r="D153" s="235" t="s">
        <v>629</v>
      </c>
      <c r="E153" s="235" t="str">
        <f>VLOOKUP(D153,'Danh mục hàng hóa'!$C$3:$D$600,2,0)</f>
        <v>Kẹp tóc lông nâu đậm</v>
      </c>
      <c r="F153" s="236" t="str">
        <f>VLOOKUP(D153,'Danh mục hàng hóa'!$C$3:$E$613,3,0)</f>
        <v>cái</v>
      </c>
      <c r="G153" s="237">
        <v>25000</v>
      </c>
      <c r="H153" s="235"/>
      <c r="I153" s="237">
        <v>1</v>
      </c>
      <c r="J153" s="237">
        <f t="shared" si="3"/>
        <v>0</v>
      </c>
      <c r="K153" s="237">
        <f t="shared" si="2"/>
        <v>25000</v>
      </c>
      <c r="L153" s="235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</row>
    <row r="154" spans="1:30" ht="13.2">
      <c r="A154" s="232">
        <v>191</v>
      </c>
      <c r="B154" s="236" t="s">
        <v>337</v>
      </c>
      <c r="C154" s="239">
        <v>45286</v>
      </c>
      <c r="D154" s="235" t="s">
        <v>568</v>
      </c>
      <c r="E154" s="235" t="str">
        <f>VLOOKUP(D154,'Danh mục hàng hóa'!$C$3:$D$600,2,0)</f>
        <v>Ống 100 dây cột tóc đen</v>
      </c>
      <c r="F154" s="236" t="str">
        <f>VLOOKUP(D154,'Danh mục hàng hóa'!$C$3:$E$613,3,0)</f>
        <v>ống</v>
      </c>
      <c r="G154" s="237">
        <v>15000</v>
      </c>
      <c r="H154" s="235"/>
      <c r="I154" s="237">
        <v>1</v>
      </c>
      <c r="J154" s="237">
        <f t="shared" si="3"/>
        <v>0</v>
      </c>
      <c r="K154" s="237">
        <f t="shared" si="2"/>
        <v>15000</v>
      </c>
      <c r="L154" s="235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</row>
    <row r="155" spans="1:30" ht="13.2">
      <c r="A155" s="232">
        <v>192</v>
      </c>
      <c r="B155" s="236" t="s">
        <v>336</v>
      </c>
      <c r="C155" s="239">
        <v>45287</v>
      </c>
      <c r="D155" s="235" t="s">
        <v>439</v>
      </c>
      <c r="E155" s="235" t="str">
        <f>VLOOKUP(D155,'Danh mục hàng hóa'!$C$3:$D$600,2,0)</f>
        <v>Bao lì xì vui vẻ</v>
      </c>
      <c r="F155" s="236" t="str">
        <f>VLOOKUP(D155,'Danh mục hàng hóa'!$C$3:$E$613,3,0)</f>
        <v>set 6 cái</v>
      </c>
      <c r="G155" s="237">
        <v>3640</v>
      </c>
      <c r="H155" s="237">
        <v>100</v>
      </c>
      <c r="I155" s="235"/>
      <c r="J155" s="237">
        <f t="shared" si="3"/>
        <v>364000</v>
      </c>
      <c r="K155" s="237">
        <f t="shared" si="2"/>
        <v>0</v>
      </c>
      <c r="L155" s="235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</row>
    <row r="156" spans="1:30" ht="13.2">
      <c r="A156" s="232">
        <v>193</v>
      </c>
      <c r="B156" s="236" t="s">
        <v>336</v>
      </c>
      <c r="C156" s="239">
        <v>45287</v>
      </c>
      <c r="D156" s="235" t="s">
        <v>440</v>
      </c>
      <c r="E156" s="235" t="str">
        <f>VLOOKUP(D156,'Danh mục hàng hóa'!$C$3:$D$600,2,0)</f>
        <v>Bao lì xì ngộ nghĩnh</v>
      </c>
      <c r="F156" s="236" t="str">
        <f>VLOOKUP(D156,'Danh mục hàng hóa'!$C$3:$E$613,3,0)</f>
        <v>set 6 cái</v>
      </c>
      <c r="G156" s="237">
        <v>3640</v>
      </c>
      <c r="H156" s="237">
        <v>100</v>
      </c>
      <c r="I156" s="235"/>
      <c r="J156" s="237">
        <f t="shared" si="3"/>
        <v>364000</v>
      </c>
      <c r="K156" s="237">
        <f t="shared" si="2"/>
        <v>0</v>
      </c>
      <c r="L156" s="235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</row>
    <row r="157" spans="1:30" ht="13.2">
      <c r="A157" s="232">
        <v>210</v>
      </c>
      <c r="B157" s="236" t="s">
        <v>337</v>
      </c>
      <c r="C157" s="242">
        <v>45288</v>
      </c>
      <c r="D157" s="235" t="s">
        <v>431</v>
      </c>
      <c r="E157" s="235" t="str">
        <f>VLOOKUP(D157,'Danh mục hàng hóa'!$C$3:$D$600,2,0)</f>
        <v>Bao lì xì rồng con</v>
      </c>
      <c r="F157" s="236" t="str">
        <f>VLOOKUP(D157,'Danh mục hàng hóa'!$C$3:$E$613,3,0)</f>
        <v>túi 4 cái</v>
      </c>
      <c r="G157" s="237">
        <v>14000</v>
      </c>
      <c r="H157" s="235"/>
      <c r="I157" s="237">
        <v>3</v>
      </c>
      <c r="J157" s="237">
        <f t="shared" si="3"/>
        <v>0</v>
      </c>
      <c r="K157" s="237">
        <f t="shared" si="2"/>
        <v>42000</v>
      </c>
      <c r="L157" s="235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</row>
    <row r="158" spans="1:30" ht="13.2">
      <c r="A158" s="232">
        <v>217</v>
      </c>
      <c r="B158" s="236" t="s">
        <v>336</v>
      </c>
      <c r="C158" s="242">
        <v>45288</v>
      </c>
      <c r="D158" s="235" t="s">
        <v>438</v>
      </c>
      <c r="E158" s="235" t="str">
        <f>VLOOKUP(D158,'Danh mục hàng hóa'!$C$3:$D$600,2,0)</f>
        <v>Bao lì xì Tết xanh</v>
      </c>
      <c r="F158" s="236" t="str">
        <f>VLOOKUP(D158,'Danh mục hàng hóa'!$C$3:$E$613,3,0)</f>
        <v>set 6 cái</v>
      </c>
      <c r="G158" s="237">
        <v>3600</v>
      </c>
      <c r="H158" s="237">
        <v>100</v>
      </c>
      <c r="I158" s="237">
        <v>0</v>
      </c>
      <c r="J158" s="237">
        <f t="shared" si="3"/>
        <v>360000</v>
      </c>
      <c r="K158" s="237">
        <f t="shared" si="2"/>
        <v>0</v>
      </c>
      <c r="L158" s="235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</row>
    <row r="159" spans="1:30" ht="13.2">
      <c r="A159" s="232">
        <v>220</v>
      </c>
      <c r="B159" s="236" t="s">
        <v>337</v>
      </c>
      <c r="C159" s="243">
        <v>45291</v>
      </c>
      <c r="D159" s="235" t="s">
        <v>709</v>
      </c>
      <c r="E159" s="235" t="str">
        <f>VLOOKUP(D159,'Danh mục hàng hóa'!$C$3:$D$600,2,0)</f>
        <v>Buộc tóc hồng lông nhỏ</v>
      </c>
      <c r="F159" s="236" t="str">
        <f>VLOOKUP(D159,'Danh mục hàng hóa'!$C$3:$E$613,3,0)</f>
        <v>cái</v>
      </c>
      <c r="G159" s="237">
        <v>8890</v>
      </c>
      <c r="H159" s="235"/>
      <c r="I159" s="237">
        <v>1</v>
      </c>
      <c r="J159" s="237">
        <f t="shared" si="3"/>
        <v>0</v>
      </c>
      <c r="K159" s="237">
        <f t="shared" si="2"/>
        <v>8890</v>
      </c>
      <c r="L159" s="235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</row>
    <row r="160" spans="1:30" ht="13.2">
      <c r="A160" s="232">
        <v>231</v>
      </c>
      <c r="B160" s="236" t="s">
        <v>337</v>
      </c>
      <c r="C160" s="243">
        <v>45292</v>
      </c>
      <c r="D160" s="235" t="s">
        <v>418</v>
      </c>
      <c r="E160" s="235" t="str">
        <f>VLOOKUP(D160,'Danh mục hàng hóa'!$C$3:$D$600,2,0)</f>
        <v>Túi chườm bụng dâu xanh nhạt 500ml</v>
      </c>
      <c r="F160" s="236" t="str">
        <f>VLOOKUP(D160,'Danh mục hàng hóa'!$C$3:$E$613,3,0)</f>
        <v>túi</v>
      </c>
      <c r="G160" s="237">
        <v>79150</v>
      </c>
      <c r="H160" s="235"/>
      <c r="I160" s="237">
        <v>1</v>
      </c>
      <c r="J160" s="237">
        <f t="shared" si="3"/>
        <v>0</v>
      </c>
      <c r="K160" s="237">
        <f t="shared" si="2"/>
        <v>79150</v>
      </c>
      <c r="L160" s="235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</row>
    <row r="161" spans="1:30" ht="13.2">
      <c r="A161" s="232">
        <v>232</v>
      </c>
      <c r="B161" s="236" t="s">
        <v>337</v>
      </c>
      <c r="C161" s="243">
        <v>45292</v>
      </c>
      <c r="D161" s="235" t="s">
        <v>438</v>
      </c>
      <c r="E161" s="235" t="str">
        <f>VLOOKUP(D161,'Danh mục hàng hóa'!$C$3:$D$600,2,0)</f>
        <v>Bao lì xì Tết xanh</v>
      </c>
      <c r="F161" s="236" t="str">
        <f>VLOOKUP(D161,'Danh mục hàng hóa'!$C$3:$E$613,3,0)</f>
        <v>set 6 cái</v>
      </c>
      <c r="G161" s="237">
        <v>7500</v>
      </c>
      <c r="H161" s="235"/>
      <c r="I161" s="237">
        <v>1</v>
      </c>
      <c r="J161" s="237">
        <f t="shared" si="3"/>
        <v>0</v>
      </c>
      <c r="K161" s="237">
        <f t="shared" si="2"/>
        <v>7500</v>
      </c>
      <c r="L161" s="235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</row>
    <row r="162" spans="1:30" ht="13.2">
      <c r="A162" s="232">
        <v>233</v>
      </c>
      <c r="B162" s="236" t="s">
        <v>337</v>
      </c>
      <c r="C162" s="243">
        <v>45292</v>
      </c>
      <c r="D162" s="235" t="s">
        <v>439</v>
      </c>
      <c r="E162" s="235" t="str">
        <f>VLOOKUP(D162,'Danh mục hàng hóa'!$C$3:$D$600,2,0)</f>
        <v>Bao lì xì vui vẻ</v>
      </c>
      <c r="F162" s="236" t="str">
        <f>VLOOKUP(D162,'Danh mục hàng hóa'!$C$3:$E$613,3,0)</f>
        <v>set 6 cái</v>
      </c>
      <c r="G162" s="237">
        <v>7500</v>
      </c>
      <c r="H162" s="235"/>
      <c r="I162" s="237">
        <v>2</v>
      </c>
      <c r="J162" s="237">
        <f t="shared" si="3"/>
        <v>0</v>
      </c>
      <c r="K162" s="237">
        <f t="shared" si="2"/>
        <v>15000</v>
      </c>
      <c r="L162" s="235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</row>
    <row r="163" spans="1:30" ht="13.2">
      <c r="A163" s="232">
        <v>234</v>
      </c>
      <c r="B163" s="236" t="s">
        <v>337</v>
      </c>
      <c r="C163" s="243">
        <v>45292</v>
      </c>
      <c r="D163" s="235" t="s">
        <v>440</v>
      </c>
      <c r="E163" s="235" t="str">
        <f>VLOOKUP(D163,'Danh mục hàng hóa'!$C$3:$D$600,2,0)</f>
        <v>Bao lì xì ngộ nghĩnh</v>
      </c>
      <c r="F163" s="236" t="str">
        <f>VLOOKUP(D163,'Danh mục hàng hóa'!$C$3:$E$613,3,0)</f>
        <v>set 6 cái</v>
      </c>
      <c r="G163" s="237">
        <v>7500</v>
      </c>
      <c r="H163" s="235"/>
      <c r="I163" s="237">
        <v>3</v>
      </c>
      <c r="J163" s="237">
        <f t="shared" si="3"/>
        <v>0</v>
      </c>
      <c r="K163" s="237">
        <f t="shared" si="2"/>
        <v>22500</v>
      </c>
      <c r="L163" s="235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</row>
    <row r="164" spans="1:30" ht="13.2">
      <c r="A164" s="232">
        <v>235</v>
      </c>
      <c r="B164" s="236" t="s">
        <v>337</v>
      </c>
      <c r="C164" s="243">
        <v>45292</v>
      </c>
      <c r="D164" s="235" t="s">
        <v>874</v>
      </c>
      <c r="E164" s="235" t="str">
        <f>VLOOKUP(D164,'Danh mục hàng hóa'!$C$3:$D$600,2,0)</f>
        <v>Dao rọc giấy cún xanh</v>
      </c>
      <c r="F164" s="236" t="str">
        <f>VLOOKUP(D164,'Danh mục hàng hóa'!$C$3:$E$613,3,0)</f>
        <v>cái</v>
      </c>
      <c r="G164" s="237">
        <v>7746</v>
      </c>
      <c r="H164" s="235"/>
      <c r="I164" s="237">
        <v>1</v>
      </c>
      <c r="J164" s="237">
        <f t="shared" si="3"/>
        <v>0</v>
      </c>
      <c r="K164" s="237">
        <f t="shared" si="2"/>
        <v>7746</v>
      </c>
      <c r="L164" s="235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</row>
    <row r="165" spans="1:30" ht="13.2">
      <c r="A165" s="232">
        <v>236</v>
      </c>
      <c r="B165" s="236" t="s">
        <v>337</v>
      </c>
      <c r="C165" s="243">
        <v>45292</v>
      </c>
      <c r="D165" s="235" t="s">
        <v>431</v>
      </c>
      <c r="E165" s="235" t="str">
        <f>VLOOKUP(D165,'Danh mục hàng hóa'!$C$3:$D$600,2,0)</f>
        <v>Bao lì xì rồng con</v>
      </c>
      <c r="F165" s="236" t="str">
        <f>VLOOKUP(D165,'Danh mục hàng hóa'!$C$3:$E$613,3,0)</f>
        <v>túi 4 cái</v>
      </c>
      <c r="G165" s="237">
        <v>14148.5</v>
      </c>
      <c r="H165" s="235"/>
      <c r="I165" s="237">
        <v>2</v>
      </c>
      <c r="J165" s="237">
        <f t="shared" si="3"/>
        <v>0</v>
      </c>
      <c r="K165" s="237">
        <f t="shared" si="2"/>
        <v>28297</v>
      </c>
      <c r="L165" s="235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</row>
    <row r="166" spans="1:30" ht="13.2">
      <c r="A166" s="232">
        <v>237</v>
      </c>
      <c r="B166" s="236" t="s">
        <v>337</v>
      </c>
      <c r="C166" s="243">
        <v>45292</v>
      </c>
      <c r="D166" s="235" t="s">
        <v>437</v>
      </c>
      <c r="E166" s="235" t="str">
        <f>VLOOKUP(D166,'Danh mục hàng hóa'!$C$3:$D$600,2,0)</f>
        <v>Bao lì xì Tết hoa</v>
      </c>
      <c r="F166" s="236" t="str">
        <f>VLOOKUP(D166,'Danh mục hàng hóa'!$C$3:$E$613,3,0)</f>
        <v>set 6 cái</v>
      </c>
      <c r="G166" s="237">
        <v>8900</v>
      </c>
      <c r="H166" s="235"/>
      <c r="I166" s="237">
        <v>1</v>
      </c>
      <c r="J166" s="237">
        <f t="shared" si="3"/>
        <v>0</v>
      </c>
      <c r="K166" s="237">
        <f t="shared" si="2"/>
        <v>8900</v>
      </c>
      <c r="L166" s="235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</row>
    <row r="167" spans="1:30" ht="13.2">
      <c r="A167" s="232">
        <v>238</v>
      </c>
      <c r="B167" s="236" t="s">
        <v>337</v>
      </c>
      <c r="C167" s="243">
        <v>45292</v>
      </c>
      <c r="D167" s="235" t="s">
        <v>440</v>
      </c>
      <c r="E167" s="235" t="str">
        <f>VLOOKUP(D167,'Danh mục hàng hóa'!$C$3:$D$600,2,0)</f>
        <v>Bao lì xì ngộ nghĩnh</v>
      </c>
      <c r="F167" s="236" t="str">
        <f>VLOOKUP(D167,'Danh mục hàng hóa'!$C$3:$E$613,3,0)</f>
        <v>set 6 cái</v>
      </c>
      <c r="G167" s="237">
        <v>8400</v>
      </c>
      <c r="H167" s="235"/>
      <c r="I167" s="237">
        <v>1</v>
      </c>
      <c r="J167" s="237">
        <f t="shared" si="3"/>
        <v>0</v>
      </c>
      <c r="K167" s="237">
        <f t="shared" si="2"/>
        <v>8400</v>
      </c>
      <c r="L167" s="235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</row>
    <row r="168" spans="1:30" ht="13.2">
      <c r="A168" s="232">
        <v>239</v>
      </c>
      <c r="B168" s="236" t="s">
        <v>337</v>
      </c>
      <c r="C168" s="243">
        <v>45292</v>
      </c>
      <c r="D168" s="235" t="s">
        <v>435</v>
      </c>
      <c r="E168" s="235" t="str">
        <f>VLOOKUP(D168,'Danh mục hàng hóa'!$C$3:$D$600,2,0)</f>
        <v>Bao lì xì Tết tài lộc</v>
      </c>
      <c r="F168" s="236" t="str">
        <f>VLOOKUP(D168,'Danh mục hàng hóa'!$C$3:$E$613,3,0)</f>
        <v>set 6 cái</v>
      </c>
      <c r="G168" s="237">
        <f t="shared" ref="G168:G172" si="4">28420/5</f>
        <v>5684</v>
      </c>
      <c r="H168" s="235"/>
      <c r="I168" s="237">
        <v>1</v>
      </c>
      <c r="J168" s="237">
        <f t="shared" si="3"/>
        <v>0</v>
      </c>
      <c r="K168" s="237">
        <f t="shared" si="2"/>
        <v>5684</v>
      </c>
      <c r="L168" s="235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</row>
    <row r="169" spans="1:30" ht="13.2">
      <c r="A169" s="232">
        <v>240</v>
      </c>
      <c r="B169" s="236" t="s">
        <v>337</v>
      </c>
      <c r="C169" s="243">
        <v>45292</v>
      </c>
      <c r="D169" s="235" t="s">
        <v>437</v>
      </c>
      <c r="E169" s="235" t="str">
        <f>VLOOKUP(D169,'Danh mục hàng hóa'!$C$3:$D$600,2,0)</f>
        <v>Bao lì xì Tết hoa</v>
      </c>
      <c r="F169" s="236" t="str">
        <f>VLOOKUP(D169,'Danh mục hàng hóa'!$C$3:$E$613,3,0)</f>
        <v>set 6 cái</v>
      </c>
      <c r="G169" s="237">
        <f t="shared" si="4"/>
        <v>5684</v>
      </c>
      <c r="H169" s="235"/>
      <c r="I169" s="237">
        <v>1</v>
      </c>
      <c r="J169" s="237">
        <f t="shared" si="3"/>
        <v>0</v>
      </c>
      <c r="K169" s="237">
        <f t="shared" si="2"/>
        <v>5684</v>
      </c>
      <c r="L169" s="235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</row>
    <row r="170" spans="1:30" ht="13.2">
      <c r="A170" s="232">
        <v>241</v>
      </c>
      <c r="B170" s="236" t="s">
        <v>337</v>
      </c>
      <c r="C170" s="243">
        <v>45292</v>
      </c>
      <c r="D170" s="235" t="s">
        <v>438</v>
      </c>
      <c r="E170" s="235" t="str">
        <f>VLOOKUP(D170,'Danh mục hàng hóa'!$C$3:$D$600,2,0)</f>
        <v>Bao lì xì Tết xanh</v>
      </c>
      <c r="F170" s="236" t="str">
        <f>VLOOKUP(D170,'Danh mục hàng hóa'!$C$3:$E$613,3,0)</f>
        <v>set 6 cái</v>
      </c>
      <c r="G170" s="237">
        <f t="shared" si="4"/>
        <v>5684</v>
      </c>
      <c r="H170" s="235"/>
      <c r="I170" s="237">
        <v>1</v>
      </c>
      <c r="J170" s="237">
        <f t="shared" si="3"/>
        <v>0</v>
      </c>
      <c r="K170" s="237">
        <f t="shared" si="2"/>
        <v>5684</v>
      </c>
      <c r="L170" s="235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</row>
    <row r="171" spans="1:30" ht="13.2">
      <c r="A171" s="232">
        <v>242</v>
      </c>
      <c r="B171" s="236" t="s">
        <v>337</v>
      </c>
      <c r="C171" s="243">
        <v>45292</v>
      </c>
      <c r="D171" s="235" t="s">
        <v>439</v>
      </c>
      <c r="E171" s="235" t="str">
        <f>VLOOKUP(D171,'Danh mục hàng hóa'!$C$3:$D$600,2,0)</f>
        <v>Bao lì xì vui vẻ</v>
      </c>
      <c r="F171" s="236" t="str">
        <f>VLOOKUP(D171,'Danh mục hàng hóa'!$C$3:$E$613,3,0)</f>
        <v>set 6 cái</v>
      </c>
      <c r="G171" s="237">
        <f t="shared" si="4"/>
        <v>5684</v>
      </c>
      <c r="H171" s="235"/>
      <c r="I171" s="237">
        <v>1</v>
      </c>
      <c r="J171" s="237">
        <f t="shared" si="3"/>
        <v>0</v>
      </c>
      <c r="K171" s="237">
        <f t="shared" si="2"/>
        <v>5684</v>
      </c>
      <c r="L171" s="235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</row>
    <row r="172" spans="1:30" ht="13.2">
      <c r="A172" s="232">
        <v>243</v>
      </c>
      <c r="B172" s="236" t="s">
        <v>337</v>
      </c>
      <c r="C172" s="243">
        <v>45292</v>
      </c>
      <c r="D172" s="235" t="s">
        <v>440</v>
      </c>
      <c r="E172" s="235" t="str">
        <f>VLOOKUP(D172,'Danh mục hàng hóa'!$C$3:$D$600,2,0)</f>
        <v>Bao lì xì ngộ nghĩnh</v>
      </c>
      <c r="F172" s="236" t="str">
        <f>VLOOKUP(D172,'Danh mục hàng hóa'!$C$3:$E$613,3,0)</f>
        <v>set 6 cái</v>
      </c>
      <c r="G172" s="237">
        <f t="shared" si="4"/>
        <v>5684</v>
      </c>
      <c r="H172" s="235"/>
      <c r="I172" s="237">
        <v>1</v>
      </c>
      <c r="J172" s="237">
        <f t="shared" si="3"/>
        <v>0</v>
      </c>
      <c r="K172" s="237">
        <f t="shared" si="2"/>
        <v>5684</v>
      </c>
      <c r="L172" s="235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</row>
    <row r="173" spans="1:30" ht="13.2">
      <c r="A173" s="232">
        <v>244</v>
      </c>
      <c r="B173" s="236" t="s">
        <v>337</v>
      </c>
      <c r="C173" s="243">
        <v>45292</v>
      </c>
      <c r="D173" s="235" t="s">
        <v>435</v>
      </c>
      <c r="E173" s="235" t="str">
        <f>VLOOKUP(D173,'Danh mục hàng hóa'!$C$3:$D$600,2,0)</f>
        <v>Bao lì xì Tết tài lộc</v>
      </c>
      <c r="F173" s="236" t="str">
        <f>VLOOKUP(D173,'Danh mục hàng hóa'!$C$3:$E$613,3,0)</f>
        <v>set 6 cái</v>
      </c>
      <c r="G173" s="237">
        <v>6000</v>
      </c>
      <c r="H173" s="235"/>
      <c r="I173" s="237">
        <v>1</v>
      </c>
      <c r="J173" s="237">
        <f t="shared" si="3"/>
        <v>0</v>
      </c>
      <c r="K173" s="237">
        <f t="shared" si="2"/>
        <v>6000</v>
      </c>
      <c r="L173" s="235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</row>
    <row r="174" spans="1:30" ht="13.2">
      <c r="A174" s="232">
        <v>245</v>
      </c>
      <c r="B174" s="236" t="s">
        <v>337</v>
      </c>
      <c r="C174" s="243">
        <v>45292</v>
      </c>
      <c r="D174" s="235" t="s">
        <v>437</v>
      </c>
      <c r="E174" s="235" t="str">
        <f>VLOOKUP(D174,'Danh mục hàng hóa'!$C$3:$D$600,2,0)</f>
        <v>Bao lì xì Tết hoa</v>
      </c>
      <c r="F174" s="236" t="str">
        <f>VLOOKUP(D174,'Danh mục hàng hóa'!$C$3:$E$613,3,0)</f>
        <v>set 6 cái</v>
      </c>
      <c r="G174" s="237">
        <v>6000</v>
      </c>
      <c r="H174" s="235"/>
      <c r="I174" s="237">
        <v>1</v>
      </c>
      <c r="J174" s="237">
        <f t="shared" si="3"/>
        <v>0</v>
      </c>
      <c r="K174" s="237">
        <f t="shared" si="2"/>
        <v>6000</v>
      </c>
      <c r="L174" s="235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</row>
    <row r="175" spans="1:30" ht="13.2">
      <c r="A175" s="232">
        <v>246</v>
      </c>
      <c r="B175" s="236" t="s">
        <v>337</v>
      </c>
      <c r="C175" s="243">
        <v>45292</v>
      </c>
      <c r="D175" s="235" t="s">
        <v>438</v>
      </c>
      <c r="E175" s="235" t="str">
        <f>VLOOKUP(D175,'Danh mục hàng hóa'!$C$3:$D$600,2,0)</f>
        <v>Bao lì xì Tết xanh</v>
      </c>
      <c r="F175" s="236" t="str">
        <f>VLOOKUP(D175,'Danh mục hàng hóa'!$C$3:$E$613,3,0)</f>
        <v>set 6 cái</v>
      </c>
      <c r="G175" s="237">
        <v>6000</v>
      </c>
      <c r="H175" s="235"/>
      <c r="I175" s="237">
        <v>1</v>
      </c>
      <c r="J175" s="237">
        <f t="shared" si="3"/>
        <v>0</v>
      </c>
      <c r="K175" s="237">
        <f t="shared" si="2"/>
        <v>6000</v>
      </c>
      <c r="L175" s="235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</row>
    <row r="176" spans="1:30" ht="13.2">
      <c r="A176" s="232">
        <v>247</v>
      </c>
      <c r="B176" s="236" t="s">
        <v>337</v>
      </c>
      <c r="C176" s="243">
        <v>45292</v>
      </c>
      <c r="D176" s="235" t="s">
        <v>439</v>
      </c>
      <c r="E176" s="235" t="str">
        <f>VLOOKUP(D176,'Danh mục hàng hóa'!$C$3:$D$600,2,0)</f>
        <v>Bao lì xì vui vẻ</v>
      </c>
      <c r="F176" s="236" t="str">
        <f>VLOOKUP(D176,'Danh mục hàng hóa'!$C$3:$E$613,3,0)</f>
        <v>set 6 cái</v>
      </c>
      <c r="G176" s="237">
        <v>6000</v>
      </c>
      <c r="H176" s="235"/>
      <c r="I176" s="237">
        <v>1</v>
      </c>
      <c r="J176" s="237">
        <f t="shared" si="3"/>
        <v>0</v>
      </c>
      <c r="K176" s="237">
        <f t="shared" si="2"/>
        <v>6000</v>
      </c>
      <c r="L176" s="235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</row>
    <row r="177" spans="1:30" ht="13.2">
      <c r="A177" s="232">
        <v>248</v>
      </c>
      <c r="B177" s="236" t="s">
        <v>337</v>
      </c>
      <c r="C177" s="243">
        <v>45292</v>
      </c>
      <c r="D177" s="235" t="s">
        <v>440</v>
      </c>
      <c r="E177" s="235" t="str">
        <f>VLOOKUP(D177,'Danh mục hàng hóa'!$C$3:$D$600,2,0)</f>
        <v>Bao lì xì ngộ nghĩnh</v>
      </c>
      <c r="F177" s="236" t="str">
        <f>VLOOKUP(D177,'Danh mục hàng hóa'!$C$3:$E$613,3,0)</f>
        <v>set 6 cái</v>
      </c>
      <c r="G177" s="237">
        <v>6000</v>
      </c>
      <c r="H177" s="235"/>
      <c r="I177" s="237">
        <v>1</v>
      </c>
      <c r="J177" s="237">
        <f t="shared" si="3"/>
        <v>0</v>
      </c>
      <c r="K177" s="237">
        <f t="shared" si="2"/>
        <v>6000</v>
      </c>
      <c r="L177" s="235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</row>
    <row r="178" spans="1:30" ht="13.2">
      <c r="A178" s="232">
        <v>249</v>
      </c>
      <c r="B178" s="236" t="s">
        <v>337</v>
      </c>
      <c r="C178" s="243">
        <v>45292</v>
      </c>
      <c r="D178" s="235" t="s">
        <v>435</v>
      </c>
      <c r="E178" s="235" t="str">
        <f>VLOOKUP(D178,'Danh mục hàng hóa'!$C$3:$D$600,2,0)</f>
        <v>Bao lì xì Tết tài lộc</v>
      </c>
      <c r="F178" s="236" t="str">
        <f>VLOOKUP(D178,'Danh mục hàng hóa'!$C$3:$E$613,3,0)</f>
        <v>set 6 cái</v>
      </c>
      <c r="G178" s="237">
        <f t="shared" ref="G178:G182" si="5">877.1*6</f>
        <v>5262.6</v>
      </c>
      <c r="H178" s="235"/>
      <c r="I178" s="237">
        <f t="shared" ref="I178:I182" si="6">2/6</f>
        <v>0.33333333333333331</v>
      </c>
      <c r="J178" s="237">
        <f t="shared" si="3"/>
        <v>0</v>
      </c>
      <c r="K178" s="237">
        <f t="shared" si="2"/>
        <v>1754.2</v>
      </c>
      <c r="L178" s="235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</row>
    <row r="179" spans="1:30" ht="13.2">
      <c r="A179" s="232">
        <v>250</v>
      </c>
      <c r="B179" s="236" t="s">
        <v>337</v>
      </c>
      <c r="C179" s="243">
        <v>45292</v>
      </c>
      <c r="D179" s="235" t="s">
        <v>437</v>
      </c>
      <c r="E179" s="235" t="str">
        <f>VLOOKUP(D179,'Danh mục hàng hóa'!$C$3:$D$600,2,0)</f>
        <v>Bao lì xì Tết hoa</v>
      </c>
      <c r="F179" s="236" t="str">
        <f>VLOOKUP(D179,'Danh mục hàng hóa'!$C$3:$E$613,3,0)</f>
        <v>set 6 cái</v>
      </c>
      <c r="G179" s="237">
        <f t="shared" si="5"/>
        <v>5262.6</v>
      </c>
      <c r="H179" s="235"/>
      <c r="I179" s="237">
        <f t="shared" si="6"/>
        <v>0.33333333333333331</v>
      </c>
      <c r="J179" s="237">
        <f t="shared" si="3"/>
        <v>0</v>
      </c>
      <c r="K179" s="237">
        <f t="shared" si="2"/>
        <v>1754.2</v>
      </c>
      <c r="L179" s="235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</row>
    <row r="180" spans="1:30" ht="13.2">
      <c r="A180" s="232">
        <v>251</v>
      </c>
      <c r="B180" s="236" t="s">
        <v>337</v>
      </c>
      <c r="C180" s="243">
        <v>45292</v>
      </c>
      <c r="D180" s="235" t="s">
        <v>438</v>
      </c>
      <c r="E180" s="235" t="str">
        <f>VLOOKUP(D180,'Danh mục hàng hóa'!$C$3:$D$600,2,0)</f>
        <v>Bao lì xì Tết xanh</v>
      </c>
      <c r="F180" s="236" t="str">
        <f>VLOOKUP(D180,'Danh mục hàng hóa'!$C$3:$E$613,3,0)</f>
        <v>set 6 cái</v>
      </c>
      <c r="G180" s="237">
        <f t="shared" si="5"/>
        <v>5262.6</v>
      </c>
      <c r="H180" s="235"/>
      <c r="I180" s="237">
        <f t="shared" si="6"/>
        <v>0.33333333333333331</v>
      </c>
      <c r="J180" s="237">
        <f t="shared" si="3"/>
        <v>0</v>
      </c>
      <c r="K180" s="237">
        <f t="shared" si="2"/>
        <v>1754.2</v>
      </c>
      <c r="L180" s="235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</row>
    <row r="181" spans="1:30" ht="13.2">
      <c r="A181" s="232">
        <v>252</v>
      </c>
      <c r="B181" s="236" t="s">
        <v>337</v>
      </c>
      <c r="C181" s="243">
        <v>45292</v>
      </c>
      <c r="D181" s="235" t="s">
        <v>439</v>
      </c>
      <c r="E181" s="235" t="str">
        <f>VLOOKUP(D181,'Danh mục hàng hóa'!$C$3:$D$600,2,0)</f>
        <v>Bao lì xì vui vẻ</v>
      </c>
      <c r="F181" s="236" t="str">
        <f>VLOOKUP(D181,'Danh mục hàng hóa'!$C$3:$E$613,3,0)</f>
        <v>set 6 cái</v>
      </c>
      <c r="G181" s="237">
        <f t="shared" si="5"/>
        <v>5262.6</v>
      </c>
      <c r="H181" s="235"/>
      <c r="I181" s="237">
        <f t="shared" si="6"/>
        <v>0.33333333333333331</v>
      </c>
      <c r="J181" s="237">
        <f t="shared" si="3"/>
        <v>0</v>
      </c>
      <c r="K181" s="237">
        <f t="shared" si="2"/>
        <v>1754.2</v>
      </c>
      <c r="L181" s="235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</row>
    <row r="182" spans="1:30" ht="13.2">
      <c r="A182" s="232">
        <v>253</v>
      </c>
      <c r="B182" s="236" t="s">
        <v>337</v>
      </c>
      <c r="C182" s="243">
        <v>45292</v>
      </c>
      <c r="D182" s="235" t="s">
        <v>440</v>
      </c>
      <c r="E182" s="235" t="str">
        <f>VLOOKUP(D182,'Danh mục hàng hóa'!$C$3:$D$600,2,0)</f>
        <v>Bao lì xì ngộ nghĩnh</v>
      </c>
      <c r="F182" s="236" t="str">
        <f>VLOOKUP(D182,'Danh mục hàng hóa'!$C$3:$E$613,3,0)</f>
        <v>set 6 cái</v>
      </c>
      <c r="G182" s="237">
        <f t="shared" si="5"/>
        <v>5262.6</v>
      </c>
      <c r="H182" s="235"/>
      <c r="I182" s="237">
        <f t="shared" si="6"/>
        <v>0.33333333333333331</v>
      </c>
      <c r="J182" s="237">
        <f t="shared" si="3"/>
        <v>0</v>
      </c>
      <c r="K182" s="237">
        <f t="shared" si="2"/>
        <v>1754.2</v>
      </c>
      <c r="L182" s="235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</row>
    <row r="183" spans="1:30" ht="13.2">
      <c r="A183" s="232">
        <v>254</v>
      </c>
      <c r="B183" s="236" t="s">
        <v>337</v>
      </c>
      <c r="C183" s="243">
        <v>45292</v>
      </c>
      <c r="D183" s="235" t="s">
        <v>435</v>
      </c>
      <c r="E183" s="235" t="str">
        <f>VLOOKUP(D183,'Danh mục hàng hóa'!$C$3:$D$600,2,0)</f>
        <v>Bao lì xì Tết tài lộc</v>
      </c>
      <c r="F183" s="236" t="str">
        <f>VLOOKUP(D183,'Danh mục hàng hóa'!$C$3:$E$613,3,0)</f>
        <v>set 6 cái</v>
      </c>
      <c r="G183" s="237">
        <v>6000</v>
      </c>
      <c r="H183" s="235"/>
      <c r="I183" s="237">
        <v>2</v>
      </c>
      <c r="J183" s="237">
        <f t="shared" si="3"/>
        <v>0</v>
      </c>
      <c r="K183" s="237">
        <f t="shared" si="2"/>
        <v>12000</v>
      </c>
      <c r="L183" s="235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</row>
    <row r="184" spans="1:30" ht="13.2">
      <c r="A184" s="232">
        <v>255</v>
      </c>
      <c r="B184" s="236" t="s">
        <v>337</v>
      </c>
      <c r="C184" s="243">
        <v>45292</v>
      </c>
      <c r="D184" s="235" t="s">
        <v>437</v>
      </c>
      <c r="E184" s="235" t="str">
        <f>VLOOKUP(D184,'Danh mục hàng hóa'!$C$3:$D$600,2,0)</f>
        <v>Bao lì xì Tết hoa</v>
      </c>
      <c r="F184" s="236" t="str">
        <f>VLOOKUP(D184,'Danh mục hàng hóa'!$C$3:$E$613,3,0)</f>
        <v>set 6 cái</v>
      </c>
      <c r="G184" s="237">
        <v>6000</v>
      </c>
      <c r="H184" s="235"/>
      <c r="I184" s="237">
        <v>2</v>
      </c>
      <c r="J184" s="237">
        <f t="shared" si="3"/>
        <v>0</v>
      </c>
      <c r="K184" s="237">
        <f t="shared" si="2"/>
        <v>12000</v>
      </c>
      <c r="L184" s="235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</row>
    <row r="185" spans="1:30" ht="13.2">
      <c r="A185" s="232">
        <v>256</v>
      </c>
      <c r="B185" s="236" t="s">
        <v>337</v>
      </c>
      <c r="C185" s="243">
        <v>45292</v>
      </c>
      <c r="D185" s="235" t="s">
        <v>438</v>
      </c>
      <c r="E185" s="235" t="str">
        <f>VLOOKUP(D185,'Danh mục hàng hóa'!$C$3:$D$600,2,0)</f>
        <v>Bao lì xì Tết xanh</v>
      </c>
      <c r="F185" s="236" t="str">
        <f>VLOOKUP(D185,'Danh mục hàng hóa'!$C$3:$E$613,3,0)</f>
        <v>set 6 cái</v>
      </c>
      <c r="G185" s="237">
        <v>6000</v>
      </c>
      <c r="H185" s="235"/>
      <c r="I185" s="237">
        <v>2</v>
      </c>
      <c r="J185" s="237">
        <f t="shared" si="3"/>
        <v>0</v>
      </c>
      <c r="K185" s="237">
        <f t="shared" si="2"/>
        <v>12000</v>
      </c>
      <c r="L185" s="235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</row>
    <row r="186" spans="1:30" ht="13.2">
      <c r="A186" s="232">
        <v>257</v>
      </c>
      <c r="B186" s="236" t="s">
        <v>337</v>
      </c>
      <c r="C186" s="243">
        <v>45292</v>
      </c>
      <c r="D186" s="235" t="s">
        <v>439</v>
      </c>
      <c r="E186" s="235" t="str">
        <f>VLOOKUP(D186,'Danh mục hàng hóa'!$C$3:$D$600,2,0)</f>
        <v>Bao lì xì vui vẻ</v>
      </c>
      <c r="F186" s="236" t="str">
        <f>VLOOKUP(D186,'Danh mục hàng hóa'!$C$3:$E$613,3,0)</f>
        <v>set 6 cái</v>
      </c>
      <c r="G186" s="237">
        <v>6000</v>
      </c>
      <c r="H186" s="235"/>
      <c r="I186" s="237">
        <v>2</v>
      </c>
      <c r="J186" s="237">
        <f t="shared" si="3"/>
        <v>0</v>
      </c>
      <c r="K186" s="237">
        <f t="shared" si="2"/>
        <v>12000</v>
      </c>
      <c r="L186" s="235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</row>
    <row r="187" spans="1:30" ht="13.2">
      <c r="A187" s="232">
        <v>258</v>
      </c>
      <c r="B187" s="236" t="s">
        <v>337</v>
      </c>
      <c r="C187" s="243">
        <v>45292</v>
      </c>
      <c r="D187" s="235" t="s">
        <v>440</v>
      </c>
      <c r="E187" s="235" t="str">
        <f>VLOOKUP(D187,'Danh mục hàng hóa'!$C$3:$D$600,2,0)</f>
        <v>Bao lì xì ngộ nghĩnh</v>
      </c>
      <c r="F187" s="236" t="str">
        <f>VLOOKUP(D187,'Danh mục hàng hóa'!$C$3:$E$613,3,0)</f>
        <v>set 6 cái</v>
      </c>
      <c r="G187" s="237">
        <v>6000</v>
      </c>
      <c r="H187" s="235"/>
      <c r="I187" s="237">
        <v>2</v>
      </c>
      <c r="J187" s="237">
        <f t="shared" si="3"/>
        <v>0</v>
      </c>
      <c r="K187" s="237">
        <f t="shared" si="2"/>
        <v>12000</v>
      </c>
      <c r="L187" s="235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</row>
    <row r="188" spans="1:30" ht="13.2">
      <c r="A188" s="232">
        <v>259</v>
      </c>
      <c r="B188" s="236" t="s">
        <v>337</v>
      </c>
      <c r="C188" s="243">
        <v>45292</v>
      </c>
      <c r="D188" s="235" t="s">
        <v>431</v>
      </c>
      <c r="E188" s="235" t="str">
        <f>VLOOKUP(D188,'Danh mục hàng hóa'!$C$3:$D$600,2,0)</f>
        <v>Bao lì xì rồng con</v>
      </c>
      <c r="F188" s="236" t="str">
        <f>VLOOKUP(D188,'Danh mục hàng hóa'!$C$3:$E$613,3,0)</f>
        <v>túi 4 cái</v>
      </c>
      <c r="G188" s="237">
        <v>10278</v>
      </c>
      <c r="H188" s="235"/>
      <c r="I188" s="237">
        <v>1</v>
      </c>
      <c r="J188" s="237">
        <f t="shared" si="3"/>
        <v>0</v>
      </c>
      <c r="K188" s="237">
        <f t="shared" si="2"/>
        <v>10278</v>
      </c>
      <c r="L188" s="235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</row>
    <row r="189" spans="1:30" ht="13.2">
      <c r="A189" s="232">
        <v>260</v>
      </c>
      <c r="B189" s="236" t="s">
        <v>337</v>
      </c>
      <c r="C189" s="243">
        <v>45292</v>
      </c>
      <c r="D189" s="235" t="s">
        <v>435</v>
      </c>
      <c r="E189" s="235" t="str">
        <f>VLOOKUP(D189,'Danh mục hàng hóa'!$C$3:$D$600,2,0)</f>
        <v>Bao lì xì Tết tài lộc</v>
      </c>
      <c r="F189" s="236" t="str">
        <f>VLOOKUP(D189,'Danh mục hàng hóa'!$C$3:$E$613,3,0)</f>
        <v>set 6 cái</v>
      </c>
      <c r="G189" s="237">
        <v>5000</v>
      </c>
      <c r="H189" s="235"/>
      <c r="I189" s="237">
        <v>1</v>
      </c>
      <c r="J189" s="237">
        <f t="shared" si="3"/>
        <v>0</v>
      </c>
      <c r="K189" s="237">
        <f t="shared" si="2"/>
        <v>5000</v>
      </c>
      <c r="L189" s="235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</row>
    <row r="190" spans="1:30" ht="13.2">
      <c r="A190" s="232">
        <v>261</v>
      </c>
      <c r="B190" s="236" t="s">
        <v>337</v>
      </c>
      <c r="C190" s="243">
        <v>45292</v>
      </c>
      <c r="D190" s="235" t="s">
        <v>438</v>
      </c>
      <c r="E190" s="235" t="str">
        <f>VLOOKUP(D190,'Danh mục hàng hóa'!$C$3:$D$600,2,0)</f>
        <v>Bao lì xì Tết xanh</v>
      </c>
      <c r="F190" s="236" t="str">
        <f>VLOOKUP(D190,'Danh mục hàng hóa'!$C$3:$E$613,3,0)</f>
        <v>set 6 cái</v>
      </c>
      <c r="G190" s="237">
        <v>5000</v>
      </c>
      <c r="H190" s="235"/>
      <c r="I190" s="237">
        <v>1</v>
      </c>
      <c r="J190" s="237">
        <f t="shared" si="3"/>
        <v>0</v>
      </c>
      <c r="K190" s="237">
        <f t="shared" si="2"/>
        <v>5000</v>
      </c>
      <c r="L190" s="235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</row>
    <row r="191" spans="1:30" ht="13.2">
      <c r="A191" s="232">
        <v>262</v>
      </c>
      <c r="B191" s="236" t="s">
        <v>337</v>
      </c>
      <c r="C191" s="243">
        <v>45292</v>
      </c>
      <c r="D191" s="235" t="s">
        <v>440</v>
      </c>
      <c r="E191" s="235" t="str">
        <f>VLOOKUP(D191,'Danh mục hàng hóa'!$C$3:$D$600,2,0)</f>
        <v>Bao lì xì ngộ nghĩnh</v>
      </c>
      <c r="F191" s="236" t="str">
        <f>VLOOKUP(D191,'Danh mục hàng hóa'!$C$3:$E$613,3,0)</f>
        <v>set 6 cái</v>
      </c>
      <c r="G191" s="237">
        <v>5000</v>
      </c>
      <c r="H191" s="235"/>
      <c r="I191" s="237">
        <v>1</v>
      </c>
      <c r="J191" s="237">
        <f t="shared" si="3"/>
        <v>0</v>
      </c>
      <c r="K191" s="237">
        <f t="shared" si="2"/>
        <v>5000</v>
      </c>
      <c r="L191" s="235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</row>
    <row r="192" spans="1:30" ht="13.2">
      <c r="A192" s="232">
        <v>263</v>
      </c>
      <c r="B192" s="236" t="s">
        <v>337</v>
      </c>
      <c r="C192" s="243">
        <v>45292</v>
      </c>
      <c r="D192" s="235" t="s">
        <v>438</v>
      </c>
      <c r="E192" s="235" t="str">
        <f>VLOOKUP(D192,'Danh mục hàng hóa'!$C$3:$D$600,2,0)</f>
        <v>Bao lì xì Tết xanh</v>
      </c>
      <c r="F192" s="236" t="str">
        <f>VLOOKUP(D192,'Danh mục hàng hóa'!$C$3:$E$613,3,0)</f>
        <v>set 6 cái</v>
      </c>
      <c r="G192" s="237">
        <f>22368/3</f>
        <v>7456</v>
      </c>
      <c r="H192" s="235"/>
      <c r="I192" s="237">
        <v>3</v>
      </c>
      <c r="J192" s="237">
        <f t="shared" si="3"/>
        <v>0</v>
      </c>
      <c r="K192" s="237">
        <f t="shared" si="2"/>
        <v>22368</v>
      </c>
      <c r="L192" s="235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</row>
    <row r="193" spans="1:30" ht="13.2">
      <c r="A193" s="232">
        <v>264</v>
      </c>
      <c r="B193" s="236" t="s">
        <v>337</v>
      </c>
      <c r="C193" s="243">
        <v>45292</v>
      </c>
      <c r="D193" s="235" t="s">
        <v>439</v>
      </c>
      <c r="E193" s="235" t="str">
        <f>VLOOKUP(D193,'Danh mục hàng hóa'!$C$3:$D$600,2,0)</f>
        <v>Bao lì xì vui vẻ</v>
      </c>
      <c r="F193" s="236" t="str">
        <f>VLOOKUP(D193,'Danh mục hàng hóa'!$C$3:$E$613,3,0)</f>
        <v>set 6 cái</v>
      </c>
      <c r="G193" s="237">
        <f t="shared" ref="G193:G194" si="7">38458/5</f>
        <v>7691.6</v>
      </c>
      <c r="H193" s="235"/>
      <c r="I193" s="237">
        <v>2</v>
      </c>
      <c r="J193" s="237">
        <f t="shared" si="3"/>
        <v>0</v>
      </c>
      <c r="K193" s="237">
        <f t="shared" si="2"/>
        <v>15383.2</v>
      </c>
      <c r="L193" s="235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</row>
    <row r="194" spans="1:30" ht="13.2">
      <c r="A194" s="232">
        <v>265</v>
      </c>
      <c r="B194" s="236" t="s">
        <v>337</v>
      </c>
      <c r="C194" s="243">
        <v>45292</v>
      </c>
      <c r="D194" s="235" t="s">
        <v>440</v>
      </c>
      <c r="E194" s="235" t="str">
        <f>VLOOKUP(D194,'Danh mục hàng hóa'!$C$3:$D$600,2,0)</f>
        <v>Bao lì xì ngộ nghĩnh</v>
      </c>
      <c r="F194" s="236" t="str">
        <f>VLOOKUP(D194,'Danh mục hàng hóa'!$C$3:$E$613,3,0)</f>
        <v>set 6 cái</v>
      </c>
      <c r="G194" s="237">
        <f t="shared" si="7"/>
        <v>7691.6</v>
      </c>
      <c r="H194" s="235"/>
      <c r="I194" s="237">
        <v>3</v>
      </c>
      <c r="J194" s="237">
        <f t="shared" si="3"/>
        <v>0</v>
      </c>
      <c r="K194" s="237">
        <f t="shared" si="2"/>
        <v>23074.800000000003</v>
      </c>
      <c r="L194" s="235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</row>
    <row r="195" spans="1:30" ht="13.2">
      <c r="A195" s="232">
        <v>266</v>
      </c>
      <c r="B195" s="236" t="s">
        <v>337</v>
      </c>
      <c r="C195" s="243">
        <v>45293</v>
      </c>
      <c r="D195" s="235" t="s">
        <v>435</v>
      </c>
      <c r="E195" s="235" t="str">
        <f>VLOOKUP(D195,'Danh mục hàng hóa'!$C$3:$D$600,2,0)</f>
        <v>Bao lì xì Tết tài lộc</v>
      </c>
      <c r="F195" s="236" t="str">
        <f>VLOOKUP(D195,'Danh mục hàng hóa'!$C$3:$E$613,3,0)</f>
        <v>set 6 cái</v>
      </c>
      <c r="G195" s="237">
        <v>6000</v>
      </c>
      <c r="H195" s="235"/>
      <c r="I195" s="237">
        <v>1</v>
      </c>
      <c r="J195" s="237">
        <f t="shared" si="3"/>
        <v>0</v>
      </c>
      <c r="K195" s="237">
        <f t="shared" si="2"/>
        <v>6000</v>
      </c>
      <c r="L195" s="235" t="s">
        <v>2138</v>
      </c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</row>
    <row r="196" spans="1:30" ht="13.2">
      <c r="A196" s="232">
        <v>267</v>
      </c>
      <c r="B196" s="236" t="s">
        <v>337</v>
      </c>
      <c r="C196" s="243">
        <v>45293</v>
      </c>
      <c r="D196" s="235" t="s">
        <v>437</v>
      </c>
      <c r="E196" s="235" t="str">
        <f>VLOOKUP(D196,'Danh mục hàng hóa'!$C$3:$D$600,2,0)</f>
        <v>Bao lì xì Tết hoa</v>
      </c>
      <c r="F196" s="236" t="str">
        <f>VLOOKUP(D196,'Danh mục hàng hóa'!$C$3:$E$613,3,0)</f>
        <v>set 6 cái</v>
      </c>
      <c r="G196" s="237">
        <v>6000</v>
      </c>
      <c r="H196" s="235"/>
      <c r="I196" s="237">
        <v>1</v>
      </c>
      <c r="J196" s="237">
        <f t="shared" si="3"/>
        <v>0</v>
      </c>
      <c r="K196" s="237">
        <f t="shared" si="2"/>
        <v>6000</v>
      </c>
      <c r="L196" s="235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</row>
    <row r="197" spans="1:30" ht="13.2">
      <c r="A197" s="232">
        <v>268</v>
      </c>
      <c r="B197" s="236" t="s">
        <v>337</v>
      </c>
      <c r="C197" s="243">
        <v>45293</v>
      </c>
      <c r="D197" s="235" t="s">
        <v>438</v>
      </c>
      <c r="E197" s="235" t="str">
        <f>VLOOKUP(D197,'Danh mục hàng hóa'!$C$3:$D$600,2,0)</f>
        <v>Bao lì xì Tết xanh</v>
      </c>
      <c r="F197" s="236" t="str">
        <f>VLOOKUP(D197,'Danh mục hàng hóa'!$C$3:$E$613,3,0)</f>
        <v>set 6 cái</v>
      </c>
      <c r="G197" s="237">
        <v>6000</v>
      </c>
      <c r="H197" s="235"/>
      <c r="I197" s="237">
        <v>1</v>
      </c>
      <c r="J197" s="237">
        <f t="shared" si="3"/>
        <v>0</v>
      </c>
      <c r="K197" s="237">
        <f t="shared" si="2"/>
        <v>6000</v>
      </c>
      <c r="L197" s="235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</row>
    <row r="198" spans="1:30" ht="13.2">
      <c r="A198" s="232">
        <v>269</v>
      </c>
      <c r="B198" s="236" t="s">
        <v>337</v>
      </c>
      <c r="C198" s="243">
        <v>45293</v>
      </c>
      <c r="D198" s="235" t="s">
        <v>439</v>
      </c>
      <c r="E198" s="235" t="str">
        <f>VLOOKUP(D198,'Danh mục hàng hóa'!$C$3:$D$600,2,0)</f>
        <v>Bao lì xì vui vẻ</v>
      </c>
      <c r="F198" s="236" t="str">
        <f>VLOOKUP(D198,'Danh mục hàng hóa'!$C$3:$E$613,3,0)</f>
        <v>set 6 cái</v>
      </c>
      <c r="G198" s="237">
        <v>6000</v>
      </c>
      <c r="H198" s="235"/>
      <c r="I198" s="237">
        <v>1</v>
      </c>
      <c r="J198" s="237">
        <f t="shared" si="3"/>
        <v>0</v>
      </c>
      <c r="K198" s="237">
        <f t="shared" si="2"/>
        <v>6000</v>
      </c>
      <c r="L198" s="235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</row>
    <row r="199" spans="1:30" ht="13.2">
      <c r="A199" s="232">
        <v>270</v>
      </c>
      <c r="B199" s="236" t="s">
        <v>337</v>
      </c>
      <c r="C199" s="243">
        <v>45293</v>
      </c>
      <c r="D199" s="235" t="s">
        <v>440</v>
      </c>
      <c r="E199" s="235" t="str">
        <f>VLOOKUP(D199,'Danh mục hàng hóa'!$C$3:$D$600,2,0)</f>
        <v>Bao lì xì ngộ nghĩnh</v>
      </c>
      <c r="F199" s="236" t="str">
        <f>VLOOKUP(D199,'Danh mục hàng hóa'!$C$3:$E$613,3,0)</f>
        <v>set 6 cái</v>
      </c>
      <c r="G199" s="237">
        <v>6000</v>
      </c>
      <c r="H199" s="235"/>
      <c r="I199" s="237">
        <v>1</v>
      </c>
      <c r="J199" s="237">
        <f t="shared" si="3"/>
        <v>0</v>
      </c>
      <c r="K199" s="237">
        <f t="shared" si="2"/>
        <v>6000</v>
      </c>
      <c r="L199" s="235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</row>
    <row r="200" spans="1:30" ht="13.2">
      <c r="A200" s="232">
        <v>271</v>
      </c>
      <c r="B200" s="236" t="s">
        <v>337</v>
      </c>
      <c r="C200" s="243">
        <v>45293</v>
      </c>
      <c r="D200" s="235" t="s">
        <v>437</v>
      </c>
      <c r="E200" s="235" t="str">
        <f>VLOOKUP(D200,'Danh mục hàng hóa'!$C$3:$D$600,2,0)</f>
        <v>Bao lì xì Tết hoa</v>
      </c>
      <c r="F200" s="236" t="str">
        <f>VLOOKUP(D200,'Danh mục hàng hóa'!$C$3:$E$613,3,0)</f>
        <v>set 6 cái</v>
      </c>
      <c r="G200" s="237">
        <f t="shared" ref="G200:G203" si="8">64452/8</f>
        <v>8056.5</v>
      </c>
      <c r="H200" s="235"/>
      <c r="I200" s="237">
        <v>2</v>
      </c>
      <c r="J200" s="237">
        <f t="shared" si="3"/>
        <v>0</v>
      </c>
      <c r="K200" s="237">
        <f t="shared" si="2"/>
        <v>16113</v>
      </c>
      <c r="L200" s="235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</row>
    <row r="201" spans="1:30" ht="13.2">
      <c r="A201" s="232">
        <v>272</v>
      </c>
      <c r="B201" s="236" t="s">
        <v>337</v>
      </c>
      <c r="C201" s="243">
        <v>45293</v>
      </c>
      <c r="D201" s="235" t="s">
        <v>438</v>
      </c>
      <c r="E201" s="235" t="str">
        <f>VLOOKUP(D201,'Danh mục hàng hóa'!$C$3:$D$600,2,0)</f>
        <v>Bao lì xì Tết xanh</v>
      </c>
      <c r="F201" s="236" t="str">
        <f>VLOOKUP(D201,'Danh mục hàng hóa'!$C$3:$E$613,3,0)</f>
        <v>set 6 cái</v>
      </c>
      <c r="G201" s="237">
        <f t="shared" si="8"/>
        <v>8056.5</v>
      </c>
      <c r="H201" s="235"/>
      <c r="I201" s="237">
        <v>2</v>
      </c>
      <c r="J201" s="237">
        <f t="shared" si="3"/>
        <v>0</v>
      </c>
      <c r="K201" s="237">
        <f t="shared" si="2"/>
        <v>16113</v>
      </c>
      <c r="L201" s="235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</row>
    <row r="202" spans="1:30" ht="13.2">
      <c r="A202" s="232">
        <v>273</v>
      </c>
      <c r="B202" s="236" t="s">
        <v>337</v>
      </c>
      <c r="C202" s="243">
        <v>45293</v>
      </c>
      <c r="D202" s="235" t="s">
        <v>439</v>
      </c>
      <c r="E202" s="235" t="str">
        <f>VLOOKUP(D202,'Danh mục hàng hóa'!$C$3:$D$600,2,0)</f>
        <v>Bao lì xì vui vẻ</v>
      </c>
      <c r="F202" s="236" t="str">
        <f>VLOOKUP(D202,'Danh mục hàng hóa'!$C$3:$E$613,3,0)</f>
        <v>set 6 cái</v>
      </c>
      <c r="G202" s="237">
        <f t="shared" si="8"/>
        <v>8056.5</v>
      </c>
      <c r="H202" s="235"/>
      <c r="I202" s="237">
        <v>2</v>
      </c>
      <c r="J202" s="237">
        <f t="shared" si="3"/>
        <v>0</v>
      </c>
      <c r="K202" s="237">
        <f t="shared" si="2"/>
        <v>16113</v>
      </c>
      <c r="L202" s="235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</row>
    <row r="203" spans="1:30" ht="13.2">
      <c r="A203" s="232">
        <v>274</v>
      </c>
      <c r="B203" s="236" t="s">
        <v>337</v>
      </c>
      <c r="C203" s="243">
        <v>45293</v>
      </c>
      <c r="D203" s="235" t="s">
        <v>440</v>
      </c>
      <c r="E203" s="235" t="str">
        <f>VLOOKUP(D203,'Danh mục hàng hóa'!$C$3:$D$600,2,0)</f>
        <v>Bao lì xì ngộ nghĩnh</v>
      </c>
      <c r="F203" s="236" t="str">
        <f>VLOOKUP(D203,'Danh mục hàng hóa'!$C$3:$E$613,3,0)</f>
        <v>set 6 cái</v>
      </c>
      <c r="G203" s="237">
        <f t="shared" si="8"/>
        <v>8056.5</v>
      </c>
      <c r="H203" s="235"/>
      <c r="I203" s="237">
        <v>2</v>
      </c>
      <c r="J203" s="237">
        <f t="shared" si="3"/>
        <v>0</v>
      </c>
      <c r="K203" s="237">
        <f t="shared" si="2"/>
        <v>16113</v>
      </c>
      <c r="L203" s="235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</row>
    <row r="204" spans="1:30" ht="13.2">
      <c r="A204" s="232">
        <v>275</v>
      </c>
      <c r="B204" s="236" t="s">
        <v>337</v>
      </c>
      <c r="C204" s="243">
        <v>45293</v>
      </c>
      <c r="D204" s="235" t="s">
        <v>431</v>
      </c>
      <c r="E204" s="235" t="str">
        <f>VLOOKUP(D204,'Danh mục hàng hóa'!$C$3:$D$600,2,0)</f>
        <v>Bao lì xì rồng con</v>
      </c>
      <c r="F204" s="236" t="str">
        <f>VLOOKUP(D204,'Danh mục hàng hóa'!$C$3:$E$613,3,0)</f>
        <v>túi 4 cái</v>
      </c>
      <c r="G204" s="237">
        <f t="shared" ref="G204:G205" si="9">100000/7</f>
        <v>14285.714285714286</v>
      </c>
      <c r="H204" s="235"/>
      <c r="I204" s="237">
        <v>2</v>
      </c>
      <c r="J204" s="237">
        <f t="shared" si="3"/>
        <v>0</v>
      </c>
      <c r="K204" s="237">
        <f t="shared" si="2"/>
        <v>28571.428571428572</v>
      </c>
      <c r="L204" s="235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</row>
    <row r="205" spans="1:30" ht="13.2">
      <c r="A205" s="232">
        <v>276</v>
      </c>
      <c r="B205" s="236" t="s">
        <v>337</v>
      </c>
      <c r="C205" s="243">
        <v>45293</v>
      </c>
      <c r="D205" s="235" t="s">
        <v>433</v>
      </c>
      <c r="E205" s="235" t="str">
        <f>VLOOKUP(D205,'Danh mục hàng hóa'!$C$3:$D$600,2,0)</f>
        <v>Bao lì xì rồng lân</v>
      </c>
      <c r="F205" s="236" t="str">
        <f>VLOOKUP(D205,'Danh mục hàng hóa'!$C$3:$E$613,3,0)</f>
        <v>túi 4 cái</v>
      </c>
      <c r="G205" s="237">
        <f t="shared" si="9"/>
        <v>14285.714285714286</v>
      </c>
      <c r="H205" s="235"/>
      <c r="I205" s="237">
        <v>5</v>
      </c>
      <c r="J205" s="237">
        <f t="shared" si="3"/>
        <v>0</v>
      </c>
      <c r="K205" s="237">
        <f t="shared" si="2"/>
        <v>71428.571428571435</v>
      </c>
      <c r="L205" s="235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</row>
    <row r="206" spans="1:30" ht="13.2">
      <c r="A206" s="232">
        <v>277</v>
      </c>
      <c r="B206" s="236" t="s">
        <v>336</v>
      </c>
      <c r="C206" s="243">
        <v>45294</v>
      </c>
      <c r="D206" s="235" t="s">
        <v>885</v>
      </c>
      <c r="E206" s="235" t="str">
        <f>VLOOKUP(D206,'Danh mục hàng hóa'!$C$3:$D$600,2,0)</f>
        <v>Gấu chong chóng</v>
      </c>
      <c r="F206" s="236" t="str">
        <f>VLOOKUP(D206,'Danh mục hàng hóa'!$C$3:$E$613,3,0)</f>
        <v>cái</v>
      </c>
      <c r="G206" s="244">
        <v>33045</v>
      </c>
      <c r="H206" s="237">
        <v>7</v>
      </c>
      <c r="I206" s="235"/>
      <c r="J206" s="237">
        <f t="shared" si="3"/>
        <v>231315</v>
      </c>
      <c r="K206" s="237">
        <f t="shared" si="2"/>
        <v>0</v>
      </c>
      <c r="L206" s="235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</row>
    <row r="207" spans="1:30" ht="13.2">
      <c r="A207" s="232">
        <v>278</v>
      </c>
      <c r="B207" s="236" t="s">
        <v>336</v>
      </c>
      <c r="C207" s="243">
        <v>45294</v>
      </c>
      <c r="D207" s="235" t="s">
        <v>887</v>
      </c>
      <c r="E207" s="235" t="str">
        <f>VLOOKUP(D207,'Danh mục hàng hóa'!$C$3:$D$600,2,0)</f>
        <v>Mèo chong chóng</v>
      </c>
      <c r="F207" s="236" t="str">
        <f>VLOOKUP(D207,'Danh mục hàng hóa'!$C$3:$E$613,3,0)</f>
        <v>cái</v>
      </c>
      <c r="G207" s="244">
        <v>33045</v>
      </c>
      <c r="H207" s="237">
        <v>7</v>
      </c>
      <c r="I207" s="235"/>
      <c r="J207" s="237">
        <f t="shared" si="3"/>
        <v>231315</v>
      </c>
      <c r="K207" s="237">
        <f t="shared" si="2"/>
        <v>0</v>
      </c>
      <c r="L207" s="235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</row>
    <row r="208" spans="1:30" ht="13.2">
      <c r="A208" s="232">
        <v>279</v>
      </c>
      <c r="B208" s="236" t="s">
        <v>336</v>
      </c>
      <c r="C208" s="243">
        <v>45294</v>
      </c>
      <c r="D208" s="235" t="s">
        <v>891</v>
      </c>
      <c r="E208" s="235" t="str">
        <f>VLOOKUP(D208,'Danh mục hàng hóa'!$C$3:$D$600,2,0)</f>
        <v>Heo ú</v>
      </c>
      <c r="F208" s="236" t="str">
        <f>VLOOKUP(D208,'Danh mục hàng hóa'!$C$3:$E$613,3,0)</f>
        <v>cái</v>
      </c>
      <c r="G208" s="244">
        <v>33045</v>
      </c>
      <c r="H208" s="237">
        <v>7</v>
      </c>
      <c r="I208" s="235"/>
      <c r="J208" s="237">
        <f t="shared" si="3"/>
        <v>231315</v>
      </c>
      <c r="K208" s="237">
        <f t="shared" si="2"/>
        <v>0</v>
      </c>
      <c r="L208" s="235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</row>
    <row r="209" spans="1:30" ht="13.2">
      <c r="A209" s="232">
        <v>280</v>
      </c>
      <c r="B209" s="236" t="s">
        <v>336</v>
      </c>
      <c r="C209" s="243">
        <v>45294</v>
      </c>
      <c r="D209" s="235" t="s">
        <v>895</v>
      </c>
      <c r="E209" s="235" t="str">
        <f>VLOOKUP(D209,'Danh mục hàng hóa'!$C$3:$D$600,2,0)</f>
        <v>Thỏ chong chóng</v>
      </c>
      <c r="F209" s="236" t="str">
        <f>VLOOKUP(D209,'Danh mục hàng hóa'!$C$3:$E$613,3,0)</f>
        <v>cái</v>
      </c>
      <c r="G209" s="244">
        <v>33045</v>
      </c>
      <c r="H209" s="237">
        <v>7</v>
      </c>
      <c r="I209" s="235"/>
      <c r="J209" s="237">
        <f t="shared" si="3"/>
        <v>231315</v>
      </c>
      <c r="K209" s="237">
        <f t="shared" si="2"/>
        <v>0</v>
      </c>
      <c r="L209" s="235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</row>
    <row r="210" spans="1:30" ht="13.2">
      <c r="A210" s="240"/>
      <c r="B210" s="236" t="s">
        <v>336</v>
      </c>
      <c r="C210" s="245"/>
      <c r="D210" s="235" t="s">
        <v>392</v>
      </c>
      <c r="E210" s="235" t="str">
        <f>VLOOKUP(D210,'Danh mục hàng hóa'!$C$3:$D$600,2,0)</f>
        <v>Túi chườm bụng trái bơ 1000ml</v>
      </c>
      <c r="F210" s="236" t="str">
        <f>VLOOKUP(D210,'Danh mục hàng hóa'!$C$3:$E$613,3,0)</f>
        <v>túi</v>
      </c>
      <c r="G210" s="235"/>
      <c r="H210" s="237">
        <v>2</v>
      </c>
      <c r="I210" s="235"/>
      <c r="J210" s="237">
        <f t="shared" si="3"/>
        <v>0</v>
      </c>
      <c r="K210" s="235"/>
      <c r="L210" s="235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</row>
    <row r="211" spans="1:30" ht="13.2">
      <c r="A211" s="240"/>
      <c r="B211" s="236" t="s">
        <v>336</v>
      </c>
      <c r="C211" s="245"/>
      <c r="D211" s="235" t="s">
        <v>397</v>
      </c>
      <c r="E211" s="235" t="str">
        <f>VLOOKUP(D211,'Danh mục hàng hóa'!$C$3:$D$600,2,0)</f>
        <v>Túi chườm bụng dâu (xanh) 1000ml</v>
      </c>
      <c r="F211" s="236" t="str">
        <f>VLOOKUP(D211,'Danh mục hàng hóa'!$C$3:$E$613,3,0)</f>
        <v>túi</v>
      </c>
      <c r="G211" s="235"/>
      <c r="H211" s="237">
        <v>2</v>
      </c>
      <c r="I211" s="235"/>
      <c r="J211" s="237">
        <f t="shared" si="3"/>
        <v>0</v>
      </c>
      <c r="K211" s="235"/>
      <c r="L211" s="235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</row>
    <row r="212" spans="1:30" ht="13.2">
      <c r="A212" s="240"/>
      <c r="B212" s="236" t="s">
        <v>336</v>
      </c>
      <c r="C212" s="245"/>
      <c r="D212" s="235" t="s">
        <v>401</v>
      </c>
      <c r="E212" s="235" t="str">
        <f>VLOOKUP(D212,'Danh mục hàng hóa'!$C$3:$D$600,2,0)</f>
        <v>Túi chườm bụng dứa xanh đậm  1000ml</v>
      </c>
      <c r="F212" s="236" t="str">
        <f>VLOOKUP(D212,'Danh mục hàng hóa'!$C$3:$E$613,3,0)</f>
        <v>túi</v>
      </c>
      <c r="G212" s="235"/>
      <c r="H212" s="237">
        <v>2</v>
      </c>
      <c r="I212" s="235"/>
      <c r="J212" s="237">
        <f t="shared" si="3"/>
        <v>0</v>
      </c>
      <c r="K212" s="235"/>
      <c r="L212" s="235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</row>
    <row r="213" spans="1:30" ht="13.2">
      <c r="A213" s="240"/>
      <c r="B213" s="236" t="s">
        <v>336</v>
      </c>
      <c r="C213" s="245"/>
      <c r="D213" s="235" t="s">
        <v>405</v>
      </c>
      <c r="E213" s="235" t="str">
        <f>VLOOKUP(D213,'Danh mục hàng hóa'!$C$3:$D$600,2,0)</f>
        <v>Túi chườm bụng dâu xanh nhạt 1000ml</v>
      </c>
      <c r="F213" s="236" t="str">
        <f>VLOOKUP(D213,'Danh mục hàng hóa'!$C$3:$E$613,3,0)</f>
        <v>túi</v>
      </c>
      <c r="G213" s="235"/>
      <c r="H213" s="237">
        <v>1</v>
      </c>
      <c r="I213" s="235"/>
      <c r="J213" s="237">
        <f t="shared" si="3"/>
        <v>0</v>
      </c>
      <c r="K213" s="235"/>
      <c r="L213" s="235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</row>
    <row r="214" spans="1:30" ht="13.2">
      <c r="A214" s="240"/>
      <c r="B214" s="236" t="s">
        <v>336</v>
      </c>
      <c r="C214" s="245"/>
      <c r="D214" s="235" t="s">
        <v>409</v>
      </c>
      <c r="E214" s="235" t="str">
        <f>VLOOKUP(D214,'Danh mục hàng hóa'!$C$3:$D$600,2,0)</f>
        <v>Túi chườm bụng thỏ dứa 1000ml</v>
      </c>
      <c r="F214" s="236" t="str">
        <f>VLOOKUP(D214,'Danh mục hàng hóa'!$C$3:$E$613,3,0)</f>
        <v>túi</v>
      </c>
      <c r="G214" s="235"/>
      <c r="H214" s="237">
        <v>2</v>
      </c>
      <c r="I214" s="235"/>
      <c r="J214" s="237">
        <f t="shared" si="3"/>
        <v>0</v>
      </c>
      <c r="K214" s="235"/>
      <c r="L214" s="235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</row>
    <row r="215" spans="1:30" ht="13.2">
      <c r="A215" s="240"/>
      <c r="B215" s="236" t="s">
        <v>336</v>
      </c>
      <c r="C215" s="245"/>
      <c r="D215" s="235" t="s">
        <v>413</v>
      </c>
      <c r="E215" s="235" t="str">
        <f>VLOOKUP(D215,'Danh mục hàng hóa'!$C$3:$D$600,2,0)</f>
        <v>Túi chườm bụng trái bơ 500ml</v>
      </c>
      <c r="F215" s="236" t="str">
        <f>VLOOKUP(D215,'Danh mục hàng hóa'!$C$3:$E$613,3,0)</f>
        <v>túi</v>
      </c>
      <c r="G215" s="235"/>
      <c r="H215" s="237">
        <v>0</v>
      </c>
      <c r="I215" s="235"/>
      <c r="J215" s="237">
        <f t="shared" si="3"/>
        <v>0</v>
      </c>
      <c r="K215" s="235"/>
      <c r="L215" s="235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</row>
    <row r="216" spans="1:30" ht="13.2">
      <c r="A216" s="240"/>
      <c r="B216" s="236" t="s">
        <v>336</v>
      </c>
      <c r="C216" s="245"/>
      <c r="D216" s="235" t="s">
        <v>414</v>
      </c>
      <c r="E216" s="235" t="str">
        <f>VLOOKUP(D216,'Danh mục hàng hóa'!$C$3:$D$600,2,0)</f>
        <v>Túi chườm bụng dâu tây 500ml</v>
      </c>
      <c r="F216" s="236" t="str">
        <f>VLOOKUP(D216,'Danh mục hàng hóa'!$C$3:$E$613,3,0)</f>
        <v>túi</v>
      </c>
      <c r="G216" s="235"/>
      <c r="H216" s="237">
        <v>2</v>
      </c>
      <c r="I216" s="235"/>
      <c r="J216" s="237">
        <f t="shared" si="3"/>
        <v>0</v>
      </c>
      <c r="K216" s="235"/>
      <c r="L216" s="235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</row>
    <row r="217" spans="1:30" ht="13.2">
      <c r="A217" s="240"/>
      <c r="B217" s="236" t="s">
        <v>336</v>
      </c>
      <c r="C217" s="245"/>
      <c r="D217" s="235" t="s">
        <v>416</v>
      </c>
      <c r="E217" s="235" t="str">
        <f>VLOOKUP(D217,'Danh mục hàng hóa'!$C$3:$D$600,2,0)</f>
        <v>Túi chườm bụng dứa xanh đậm  500ml</v>
      </c>
      <c r="F217" s="236" t="str">
        <f>VLOOKUP(D217,'Danh mục hàng hóa'!$C$3:$E$613,3,0)</f>
        <v>túi</v>
      </c>
      <c r="G217" s="235"/>
      <c r="H217" s="237">
        <v>2</v>
      </c>
      <c r="I217" s="235"/>
      <c r="J217" s="237">
        <f t="shared" si="3"/>
        <v>0</v>
      </c>
      <c r="K217" s="235"/>
      <c r="L217" s="235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</row>
    <row r="218" spans="1:30" ht="13.2">
      <c r="A218" s="240"/>
      <c r="B218" s="236" t="s">
        <v>336</v>
      </c>
      <c r="C218" s="245"/>
      <c r="D218" s="235" t="s">
        <v>418</v>
      </c>
      <c r="E218" s="235" t="str">
        <f>VLOOKUP(D218,'Danh mục hàng hóa'!$C$3:$D$600,2,0)</f>
        <v>Túi chườm bụng dâu xanh nhạt 500ml</v>
      </c>
      <c r="F218" s="236" t="str">
        <f>VLOOKUP(D218,'Danh mục hàng hóa'!$C$3:$E$613,3,0)</f>
        <v>túi</v>
      </c>
      <c r="G218" s="235"/>
      <c r="H218" s="237">
        <v>1</v>
      </c>
      <c r="I218" s="235"/>
      <c r="J218" s="237">
        <f t="shared" si="3"/>
        <v>0</v>
      </c>
      <c r="K218" s="235"/>
      <c r="L218" s="235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</row>
    <row r="219" spans="1:30" ht="13.2">
      <c r="A219" s="240"/>
      <c r="B219" s="236" t="s">
        <v>336</v>
      </c>
      <c r="C219" s="245"/>
      <c r="D219" s="235" t="s">
        <v>420</v>
      </c>
      <c r="E219" s="235" t="str">
        <f>VLOOKUP(D219,'Danh mục hàng hóa'!$C$3:$D$600,2,0)</f>
        <v>Túi chườm bụng thỏ dứa 500ml</v>
      </c>
      <c r="F219" s="236" t="str">
        <f>VLOOKUP(D219,'Danh mục hàng hóa'!$C$3:$E$613,3,0)</f>
        <v>túi</v>
      </c>
      <c r="G219" s="235"/>
      <c r="H219" s="237">
        <v>2</v>
      </c>
      <c r="I219" s="235"/>
      <c r="J219" s="237">
        <f t="shared" si="3"/>
        <v>0</v>
      </c>
      <c r="K219" s="235"/>
      <c r="L219" s="235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</row>
    <row r="220" spans="1:30" ht="13.2">
      <c r="A220" s="232">
        <v>281</v>
      </c>
      <c r="B220" s="236" t="s">
        <v>337</v>
      </c>
      <c r="C220" s="243">
        <v>45294</v>
      </c>
      <c r="D220" s="235" t="s">
        <v>891</v>
      </c>
      <c r="E220" s="235" t="str">
        <f>VLOOKUP(D220,'Danh mục hàng hóa'!$C$3:$D$600,2,0)</f>
        <v>Heo ú</v>
      </c>
      <c r="F220" s="236" t="str">
        <f>VLOOKUP(D220,'Danh mục hàng hóa'!$C$3:$E$613,3,0)</f>
        <v>cái</v>
      </c>
      <c r="G220" s="237">
        <v>42000</v>
      </c>
      <c r="H220" s="235"/>
      <c r="I220" s="237">
        <v>2</v>
      </c>
      <c r="J220" s="237">
        <f t="shared" si="3"/>
        <v>0</v>
      </c>
      <c r="K220" s="237">
        <f t="shared" ref="K220:K474" si="10">G220*I220</f>
        <v>84000</v>
      </c>
      <c r="L220" s="235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</row>
    <row r="221" spans="1:30" ht="13.2">
      <c r="A221" s="232">
        <v>282</v>
      </c>
      <c r="B221" s="236" t="s">
        <v>337</v>
      </c>
      <c r="C221" s="243">
        <v>45294</v>
      </c>
      <c r="D221" s="235" t="s">
        <v>895</v>
      </c>
      <c r="E221" s="235" t="str">
        <f>VLOOKUP(D221,'Danh mục hàng hóa'!$C$3:$D$600,2,0)</f>
        <v>Thỏ chong chóng</v>
      </c>
      <c r="F221" s="236" t="str">
        <f>VLOOKUP(D221,'Danh mục hàng hóa'!$C$3:$E$613,3,0)</f>
        <v>cái</v>
      </c>
      <c r="G221" s="237">
        <v>42000</v>
      </c>
      <c r="H221" s="235"/>
      <c r="I221" s="237">
        <v>1</v>
      </c>
      <c r="J221" s="237">
        <f t="shared" si="3"/>
        <v>0</v>
      </c>
      <c r="K221" s="237">
        <f t="shared" si="10"/>
        <v>42000</v>
      </c>
      <c r="L221" s="235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</row>
    <row r="222" spans="1:30" ht="13.2">
      <c r="A222" s="232">
        <v>283</v>
      </c>
      <c r="B222" s="236" t="s">
        <v>337</v>
      </c>
      <c r="C222" s="243">
        <v>45294</v>
      </c>
      <c r="D222" s="235" t="s">
        <v>431</v>
      </c>
      <c r="E222" s="235" t="str">
        <f>VLOOKUP(D222,'Danh mục hàng hóa'!$C$3:$D$600,2,0)</f>
        <v>Bao lì xì rồng con</v>
      </c>
      <c r="F222" s="236" t="str">
        <f>VLOOKUP(D222,'Danh mục hàng hóa'!$C$3:$E$613,3,0)</f>
        <v>túi 4 cái</v>
      </c>
      <c r="G222" s="237">
        <v>25000</v>
      </c>
      <c r="H222" s="235"/>
      <c r="I222" s="237">
        <v>1</v>
      </c>
      <c r="J222" s="237">
        <f t="shared" si="3"/>
        <v>0</v>
      </c>
      <c r="K222" s="237">
        <f t="shared" si="10"/>
        <v>25000</v>
      </c>
      <c r="L222" s="235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</row>
    <row r="223" spans="1:30" ht="13.2">
      <c r="A223" s="232">
        <v>284</v>
      </c>
      <c r="B223" s="236" t="s">
        <v>337</v>
      </c>
      <c r="C223" s="243">
        <v>45294</v>
      </c>
      <c r="D223" s="235" t="s">
        <v>433</v>
      </c>
      <c r="E223" s="235" t="str">
        <f>VLOOKUP(D223,'Danh mục hàng hóa'!$C$3:$D$600,2,0)</f>
        <v>Bao lì xì rồng lân</v>
      </c>
      <c r="F223" s="236" t="str">
        <f>VLOOKUP(D223,'Danh mục hàng hóa'!$C$3:$E$613,3,0)</f>
        <v>túi 4 cái</v>
      </c>
      <c r="G223" s="237">
        <v>25000</v>
      </c>
      <c r="H223" s="235"/>
      <c r="I223" s="237">
        <v>1</v>
      </c>
      <c r="J223" s="237">
        <f t="shared" si="3"/>
        <v>0</v>
      </c>
      <c r="K223" s="237">
        <f t="shared" si="10"/>
        <v>25000</v>
      </c>
      <c r="L223" s="235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</row>
    <row r="224" spans="1:30" ht="13.2">
      <c r="A224" s="232">
        <v>285</v>
      </c>
      <c r="B224" s="236" t="s">
        <v>337</v>
      </c>
      <c r="C224" s="243">
        <v>45294</v>
      </c>
      <c r="D224" s="235" t="s">
        <v>435</v>
      </c>
      <c r="E224" s="235" t="str">
        <f>VLOOKUP(D224,'Danh mục hàng hóa'!$C$3:$D$600,2,0)</f>
        <v>Bao lì xì Tết tài lộc</v>
      </c>
      <c r="F224" s="236" t="str">
        <f>VLOOKUP(D224,'Danh mục hàng hóa'!$C$3:$E$613,3,0)</f>
        <v>set 6 cái</v>
      </c>
      <c r="G224" s="237">
        <v>10000</v>
      </c>
      <c r="H224" s="235"/>
      <c r="I224" s="237">
        <v>1</v>
      </c>
      <c r="J224" s="237">
        <f t="shared" si="3"/>
        <v>0</v>
      </c>
      <c r="K224" s="237">
        <f t="shared" si="10"/>
        <v>10000</v>
      </c>
      <c r="L224" s="235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</row>
    <row r="225" spans="1:30" ht="13.2">
      <c r="A225" s="232">
        <v>286</v>
      </c>
      <c r="B225" s="236" t="s">
        <v>337</v>
      </c>
      <c r="C225" s="243">
        <v>45294</v>
      </c>
      <c r="D225" s="235" t="s">
        <v>437</v>
      </c>
      <c r="E225" s="235" t="str">
        <f>VLOOKUP(D225,'Danh mục hàng hóa'!$C$3:$D$600,2,0)</f>
        <v>Bao lì xì Tết hoa</v>
      </c>
      <c r="F225" s="236" t="str">
        <f>VLOOKUP(D225,'Danh mục hàng hóa'!$C$3:$E$613,3,0)</f>
        <v>set 6 cái</v>
      </c>
      <c r="G225" s="237">
        <v>10000</v>
      </c>
      <c r="H225" s="235"/>
      <c r="I225" s="237">
        <v>1</v>
      </c>
      <c r="J225" s="237">
        <f t="shared" si="3"/>
        <v>0</v>
      </c>
      <c r="K225" s="237">
        <f t="shared" si="10"/>
        <v>10000</v>
      </c>
      <c r="L225" s="235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</row>
    <row r="226" spans="1:30" ht="13.2">
      <c r="A226" s="232">
        <v>287</v>
      </c>
      <c r="B226" s="236" t="s">
        <v>337</v>
      </c>
      <c r="C226" s="243">
        <v>45294</v>
      </c>
      <c r="D226" s="235" t="s">
        <v>438</v>
      </c>
      <c r="E226" s="235" t="str">
        <f>VLOOKUP(D226,'Danh mục hàng hóa'!$C$3:$D$600,2,0)</f>
        <v>Bao lì xì Tết xanh</v>
      </c>
      <c r="F226" s="236" t="str">
        <f>VLOOKUP(D226,'Danh mục hàng hóa'!$C$3:$E$613,3,0)</f>
        <v>set 6 cái</v>
      </c>
      <c r="G226" s="237">
        <v>10000</v>
      </c>
      <c r="H226" s="235"/>
      <c r="I226" s="237">
        <v>1</v>
      </c>
      <c r="J226" s="237">
        <f t="shared" si="3"/>
        <v>0</v>
      </c>
      <c r="K226" s="237">
        <f t="shared" si="10"/>
        <v>10000</v>
      </c>
      <c r="L226" s="235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</row>
    <row r="227" spans="1:30" ht="13.2">
      <c r="A227" s="232">
        <v>288</v>
      </c>
      <c r="B227" s="236" t="s">
        <v>337</v>
      </c>
      <c r="C227" s="243">
        <v>45294</v>
      </c>
      <c r="D227" s="235" t="s">
        <v>439</v>
      </c>
      <c r="E227" s="235" t="str">
        <f>VLOOKUP(D227,'Danh mục hàng hóa'!$C$3:$D$600,2,0)</f>
        <v>Bao lì xì vui vẻ</v>
      </c>
      <c r="F227" s="236" t="str">
        <f>VLOOKUP(D227,'Danh mục hàng hóa'!$C$3:$E$613,3,0)</f>
        <v>set 6 cái</v>
      </c>
      <c r="G227" s="237">
        <v>10000</v>
      </c>
      <c r="H227" s="235"/>
      <c r="I227" s="237">
        <v>1</v>
      </c>
      <c r="J227" s="237">
        <f t="shared" si="3"/>
        <v>0</v>
      </c>
      <c r="K227" s="237">
        <f t="shared" si="10"/>
        <v>10000</v>
      </c>
      <c r="L227" s="235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</row>
    <row r="228" spans="1:30" ht="13.2">
      <c r="A228" s="232">
        <v>289</v>
      </c>
      <c r="B228" s="236" t="s">
        <v>337</v>
      </c>
      <c r="C228" s="243">
        <v>45294</v>
      </c>
      <c r="D228" s="235" t="s">
        <v>440</v>
      </c>
      <c r="E228" s="235" t="str">
        <f>VLOOKUP(D228,'Danh mục hàng hóa'!$C$3:$D$600,2,0)</f>
        <v>Bao lì xì ngộ nghĩnh</v>
      </c>
      <c r="F228" s="236" t="str">
        <f>VLOOKUP(D228,'Danh mục hàng hóa'!$C$3:$E$613,3,0)</f>
        <v>set 6 cái</v>
      </c>
      <c r="G228" s="237">
        <v>10000</v>
      </c>
      <c r="H228" s="235"/>
      <c r="I228" s="237">
        <v>1</v>
      </c>
      <c r="J228" s="237">
        <f t="shared" si="3"/>
        <v>0</v>
      </c>
      <c r="K228" s="237">
        <f t="shared" si="10"/>
        <v>10000</v>
      </c>
      <c r="L228" s="235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</row>
    <row r="229" spans="1:30" ht="13.2">
      <c r="A229" s="232">
        <v>290</v>
      </c>
      <c r="B229" s="236" t="s">
        <v>337</v>
      </c>
      <c r="C229" s="243">
        <v>45294</v>
      </c>
      <c r="D229" s="235" t="s">
        <v>438</v>
      </c>
      <c r="E229" s="235" t="str">
        <f>VLOOKUP(D229,'Danh mục hàng hóa'!$C$3:$D$600,2,0)</f>
        <v>Bao lì xì Tết xanh</v>
      </c>
      <c r="F229" s="236" t="str">
        <f>VLOOKUP(D229,'Danh mục hàng hóa'!$C$3:$E$613,3,0)</f>
        <v>set 6 cái</v>
      </c>
      <c r="G229" s="237">
        <v>6000</v>
      </c>
      <c r="H229" s="235"/>
      <c r="I229" s="237">
        <v>3</v>
      </c>
      <c r="J229" s="237">
        <f t="shared" si="3"/>
        <v>0</v>
      </c>
      <c r="K229" s="237">
        <f t="shared" si="10"/>
        <v>18000</v>
      </c>
      <c r="L229" s="235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</row>
    <row r="230" spans="1:30" ht="13.2">
      <c r="A230" s="232">
        <v>291</v>
      </c>
      <c r="B230" s="236" t="s">
        <v>337</v>
      </c>
      <c r="C230" s="243">
        <v>45294</v>
      </c>
      <c r="D230" s="235" t="s">
        <v>439</v>
      </c>
      <c r="E230" s="235" t="str">
        <f>VLOOKUP(D230,'Danh mục hàng hóa'!$C$3:$D$600,2,0)</f>
        <v>Bao lì xì vui vẻ</v>
      </c>
      <c r="F230" s="236" t="str">
        <f>VLOOKUP(D230,'Danh mục hàng hóa'!$C$3:$E$613,3,0)</f>
        <v>set 6 cái</v>
      </c>
      <c r="G230" s="237">
        <v>6000</v>
      </c>
      <c r="H230" s="235"/>
      <c r="I230" s="237">
        <v>1</v>
      </c>
      <c r="J230" s="237">
        <f t="shared" si="3"/>
        <v>0</v>
      </c>
      <c r="K230" s="237">
        <f t="shared" si="10"/>
        <v>6000</v>
      </c>
      <c r="L230" s="235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</row>
    <row r="231" spans="1:30" ht="13.2">
      <c r="A231" s="232">
        <v>292</v>
      </c>
      <c r="B231" s="236" t="s">
        <v>337</v>
      </c>
      <c r="C231" s="243">
        <v>45294</v>
      </c>
      <c r="D231" s="235" t="s">
        <v>437</v>
      </c>
      <c r="E231" s="235" t="str">
        <f>VLOOKUP(D231,'Danh mục hàng hóa'!$C$3:$D$600,2,0)</f>
        <v>Bao lì xì Tết hoa</v>
      </c>
      <c r="F231" s="236" t="str">
        <f>VLOOKUP(D231,'Danh mục hàng hóa'!$C$3:$E$613,3,0)</f>
        <v>set 6 cái</v>
      </c>
      <c r="G231" s="237">
        <v>6000</v>
      </c>
      <c r="H231" s="235"/>
      <c r="I231" s="237">
        <v>1</v>
      </c>
      <c r="J231" s="237">
        <f t="shared" si="3"/>
        <v>0</v>
      </c>
      <c r="K231" s="237">
        <f t="shared" si="10"/>
        <v>6000</v>
      </c>
      <c r="L231" s="235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</row>
    <row r="232" spans="1:30" ht="13.2">
      <c r="A232" s="232">
        <v>293</v>
      </c>
      <c r="B232" s="236" t="s">
        <v>337</v>
      </c>
      <c r="C232" s="243">
        <v>45294</v>
      </c>
      <c r="D232" s="235" t="s">
        <v>433</v>
      </c>
      <c r="E232" s="235" t="str">
        <f>VLOOKUP(D232,'Danh mục hàng hóa'!$C$3:$D$600,2,0)</f>
        <v>Bao lì xì rồng lân</v>
      </c>
      <c r="F232" s="236" t="str">
        <f>VLOOKUP(D232,'Danh mục hàng hóa'!$C$3:$E$613,3,0)</f>
        <v>túi 4 cái</v>
      </c>
      <c r="G232" s="237">
        <v>10000</v>
      </c>
      <c r="H232" s="235"/>
      <c r="I232" s="237">
        <v>6</v>
      </c>
      <c r="J232" s="237">
        <f t="shared" si="3"/>
        <v>0</v>
      </c>
      <c r="K232" s="237">
        <f t="shared" si="10"/>
        <v>60000</v>
      </c>
      <c r="L232" s="235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</row>
    <row r="233" spans="1:30" ht="13.2">
      <c r="A233" s="232">
        <v>294</v>
      </c>
      <c r="B233" s="236" t="s">
        <v>337</v>
      </c>
      <c r="C233" s="243">
        <v>45294</v>
      </c>
      <c r="D233" s="235" t="s">
        <v>431</v>
      </c>
      <c r="E233" s="235" t="str">
        <f>VLOOKUP(D233,'Danh mục hàng hóa'!$C$3:$D$600,2,0)</f>
        <v>Bao lì xì rồng con</v>
      </c>
      <c r="F233" s="236" t="str">
        <f>VLOOKUP(D233,'Danh mục hàng hóa'!$C$3:$E$613,3,0)</f>
        <v>túi 4 cái</v>
      </c>
      <c r="G233" s="237">
        <v>10000</v>
      </c>
      <c r="H233" s="235"/>
      <c r="I233" s="237">
        <v>1</v>
      </c>
      <c r="J233" s="237">
        <f t="shared" si="3"/>
        <v>0</v>
      </c>
      <c r="K233" s="237">
        <f t="shared" si="10"/>
        <v>10000</v>
      </c>
      <c r="L233" s="235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</row>
    <row r="234" spans="1:30" ht="13.2">
      <c r="A234" s="232">
        <v>295</v>
      </c>
      <c r="B234" s="236" t="s">
        <v>337</v>
      </c>
      <c r="C234" s="243">
        <v>45294</v>
      </c>
      <c r="D234" s="235" t="s">
        <v>435</v>
      </c>
      <c r="E234" s="235" t="str">
        <f>VLOOKUP(D234,'Danh mục hàng hóa'!$C$3:$D$600,2,0)</f>
        <v>Bao lì xì Tết tài lộc</v>
      </c>
      <c r="F234" s="236" t="str">
        <f>VLOOKUP(D234,'Danh mục hàng hóa'!$C$3:$E$613,3,0)</f>
        <v>set 6 cái</v>
      </c>
      <c r="G234" s="237">
        <v>6000</v>
      </c>
      <c r="H234" s="235"/>
      <c r="I234" s="237">
        <v>2</v>
      </c>
      <c r="J234" s="237">
        <f t="shared" si="3"/>
        <v>0</v>
      </c>
      <c r="K234" s="237">
        <f t="shared" si="10"/>
        <v>12000</v>
      </c>
      <c r="L234" s="235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</row>
    <row r="235" spans="1:30" ht="13.2">
      <c r="A235" s="232">
        <v>296</v>
      </c>
      <c r="B235" s="236" t="s">
        <v>337</v>
      </c>
      <c r="C235" s="243">
        <v>45294</v>
      </c>
      <c r="D235" s="235" t="s">
        <v>437</v>
      </c>
      <c r="E235" s="235" t="str">
        <f>VLOOKUP(D235,'Danh mục hàng hóa'!$C$3:$D$600,2,0)</f>
        <v>Bao lì xì Tết hoa</v>
      </c>
      <c r="F235" s="236" t="str">
        <f>VLOOKUP(D235,'Danh mục hàng hóa'!$C$3:$E$613,3,0)</f>
        <v>set 6 cái</v>
      </c>
      <c r="G235" s="237">
        <v>6000</v>
      </c>
      <c r="H235" s="235"/>
      <c r="I235" s="237">
        <v>2</v>
      </c>
      <c r="J235" s="237">
        <f t="shared" si="3"/>
        <v>0</v>
      </c>
      <c r="K235" s="237">
        <f t="shared" si="10"/>
        <v>12000</v>
      </c>
      <c r="L235" s="235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</row>
    <row r="236" spans="1:30" ht="13.2">
      <c r="A236" s="232">
        <v>297</v>
      </c>
      <c r="B236" s="236" t="s">
        <v>337</v>
      </c>
      <c r="C236" s="243">
        <v>45294</v>
      </c>
      <c r="D236" s="235" t="s">
        <v>438</v>
      </c>
      <c r="E236" s="235" t="str">
        <f>VLOOKUP(D236,'Danh mục hàng hóa'!$C$3:$D$600,2,0)</f>
        <v>Bao lì xì Tết xanh</v>
      </c>
      <c r="F236" s="236" t="str">
        <f>VLOOKUP(D236,'Danh mục hàng hóa'!$C$3:$E$613,3,0)</f>
        <v>set 6 cái</v>
      </c>
      <c r="G236" s="237">
        <v>6000</v>
      </c>
      <c r="H236" s="235"/>
      <c r="I236" s="237">
        <v>1</v>
      </c>
      <c r="J236" s="237">
        <f t="shared" si="3"/>
        <v>0</v>
      </c>
      <c r="K236" s="237">
        <f t="shared" si="10"/>
        <v>6000</v>
      </c>
      <c r="L236" s="235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</row>
    <row r="237" spans="1:30" ht="13.2">
      <c r="A237" s="232">
        <v>298</v>
      </c>
      <c r="B237" s="236" t="s">
        <v>337</v>
      </c>
      <c r="C237" s="243">
        <v>45294</v>
      </c>
      <c r="D237" s="235" t="s">
        <v>439</v>
      </c>
      <c r="E237" s="235" t="str">
        <f>VLOOKUP(D237,'Danh mục hàng hóa'!$C$3:$D$600,2,0)</f>
        <v>Bao lì xì vui vẻ</v>
      </c>
      <c r="F237" s="236" t="str">
        <f>VLOOKUP(D237,'Danh mục hàng hóa'!$C$3:$E$613,3,0)</f>
        <v>set 6 cái</v>
      </c>
      <c r="G237" s="237">
        <v>6000</v>
      </c>
      <c r="H237" s="235"/>
      <c r="I237" s="237">
        <v>1</v>
      </c>
      <c r="J237" s="237">
        <f t="shared" si="3"/>
        <v>0</v>
      </c>
      <c r="K237" s="237">
        <f t="shared" si="10"/>
        <v>6000</v>
      </c>
      <c r="L237" s="235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</row>
    <row r="238" spans="1:30" ht="13.2">
      <c r="A238" s="232">
        <v>299</v>
      </c>
      <c r="B238" s="236" t="s">
        <v>337</v>
      </c>
      <c r="C238" s="243">
        <v>45294</v>
      </c>
      <c r="D238" s="235" t="s">
        <v>440</v>
      </c>
      <c r="E238" s="235" t="str">
        <f>VLOOKUP(D238,'Danh mục hàng hóa'!$C$3:$D$600,2,0)</f>
        <v>Bao lì xì ngộ nghĩnh</v>
      </c>
      <c r="F238" s="236" t="str">
        <f>VLOOKUP(D238,'Danh mục hàng hóa'!$C$3:$E$613,3,0)</f>
        <v>set 6 cái</v>
      </c>
      <c r="G238" s="237">
        <v>6000</v>
      </c>
      <c r="H238" s="235"/>
      <c r="I238" s="237">
        <v>1</v>
      </c>
      <c r="J238" s="237">
        <f t="shared" si="3"/>
        <v>0</v>
      </c>
      <c r="K238" s="237">
        <f t="shared" si="10"/>
        <v>6000</v>
      </c>
      <c r="L238" s="235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</row>
    <row r="239" spans="1:30" ht="13.2">
      <c r="A239" s="232">
        <v>300</v>
      </c>
      <c r="B239" s="236" t="s">
        <v>337</v>
      </c>
      <c r="C239" s="243">
        <v>45294</v>
      </c>
      <c r="D239" s="235" t="s">
        <v>438</v>
      </c>
      <c r="E239" s="235" t="str">
        <f>VLOOKUP(D239,'Danh mục hàng hóa'!$C$3:$D$600,2,0)</f>
        <v>Bao lì xì Tết xanh</v>
      </c>
      <c r="F239" s="236" t="str">
        <f>VLOOKUP(D239,'Danh mục hàng hóa'!$C$3:$E$613,3,0)</f>
        <v>set 6 cái</v>
      </c>
      <c r="G239" s="237">
        <f>118212/16</f>
        <v>7388.25</v>
      </c>
      <c r="H239" s="235"/>
      <c r="I239" s="237">
        <v>16</v>
      </c>
      <c r="J239" s="237">
        <f t="shared" si="3"/>
        <v>0</v>
      </c>
      <c r="K239" s="237">
        <f t="shared" si="10"/>
        <v>118212</v>
      </c>
      <c r="L239" s="235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</row>
    <row r="240" spans="1:30" ht="13.2">
      <c r="A240" s="232">
        <v>301</v>
      </c>
      <c r="B240" s="236" t="s">
        <v>337</v>
      </c>
      <c r="C240" s="243">
        <v>45294</v>
      </c>
      <c r="D240" s="235" t="s">
        <v>435</v>
      </c>
      <c r="E240" s="235" t="str">
        <f>VLOOKUP(D240,'Danh mục hàng hóa'!$C$3:$D$600,2,0)</f>
        <v>Bao lì xì Tết tài lộc</v>
      </c>
      <c r="F240" s="236" t="str">
        <f>VLOOKUP(D240,'Danh mục hàng hóa'!$C$3:$E$613,3,0)</f>
        <v>set 6 cái</v>
      </c>
      <c r="G240" s="237">
        <f>139920/20</f>
        <v>6996</v>
      </c>
      <c r="H240" s="235"/>
      <c r="I240" s="237">
        <v>20</v>
      </c>
      <c r="J240" s="237">
        <f t="shared" si="3"/>
        <v>0</v>
      </c>
      <c r="K240" s="237">
        <f t="shared" si="10"/>
        <v>139920</v>
      </c>
      <c r="L240" s="235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</row>
    <row r="241" spans="1:30" ht="13.2">
      <c r="A241" s="232">
        <v>302</v>
      </c>
      <c r="B241" s="236" t="s">
        <v>337</v>
      </c>
      <c r="C241" s="243">
        <v>45294</v>
      </c>
      <c r="D241" s="235" t="s">
        <v>431</v>
      </c>
      <c r="E241" s="235" t="str">
        <f>VLOOKUP(D241,'Danh mục hàng hóa'!$C$3:$D$600,2,0)</f>
        <v>Bao lì xì rồng con</v>
      </c>
      <c r="F241" s="236" t="str">
        <f>VLOOKUP(D241,'Danh mục hàng hóa'!$C$3:$E$613,3,0)</f>
        <v>túi 4 cái</v>
      </c>
      <c r="G241" s="237">
        <f>29860/2</f>
        <v>14930</v>
      </c>
      <c r="H241" s="235"/>
      <c r="I241" s="237">
        <v>2</v>
      </c>
      <c r="J241" s="237">
        <f t="shared" si="3"/>
        <v>0</v>
      </c>
      <c r="K241" s="237">
        <f t="shared" si="10"/>
        <v>29860</v>
      </c>
      <c r="L241" s="235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</row>
    <row r="242" spans="1:30" ht="13.2">
      <c r="A242" s="232">
        <v>303</v>
      </c>
      <c r="B242" s="236" t="s">
        <v>337</v>
      </c>
      <c r="C242" s="243">
        <v>45294</v>
      </c>
      <c r="D242" s="235" t="s">
        <v>659</v>
      </c>
      <c r="E242" s="235" t="str">
        <f>VLOOKUP(D242,'Danh mục hàng hóa'!$C$3:$D$600,2,0)</f>
        <v>Buộc tóc ngọc trai trắng</v>
      </c>
      <c r="F242" s="236" t="str">
        <f>VLOOKUP(D242,'Danh mục hàng hóa'!$C$3:$E$613,3,0)</f>
        <v>cái</v>
      </c>
      <c r="G242" s="237">
        <v>18000</v>
      </c>
      <c r="H242" s="235"/>
      <c r="I242" s="237">
        <v>1</v>
      </c>
      <c r="J242" s="237">
        <f t="shared" si="3"/>
        <v>0</v>
      </c>
      <c r="K242" s="237">
        <f t="shared" si="10"/>
        <v>18000</v>
      </c>
      <c r="L242" s="235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</row>
    <row r="243" spans="1:30" ht="13.2">
      <c r="A243" s="232">
        <v>304</v>
      </c>
      <c r="B243" s="236" t="s">
        <v>337</v>
      </c>
      <c r="C243" s="243">
        <v>45294</v>
      </c>
      <c r="D243" s="235" t="s">
        <v>661</v>
      </c>
      <c r="E243" s="235" t="str">
        <f>VLOOKUP(D243,'Danh mục hàng hóa'!$C$3:$D$600,2,0)</f>
        <v>Buộc tóc ngọc trai đen</v>
      </c>
      <c r="F243" s="236" t="str">
        <f>VLOOKUP(D243,'Danh mục hàng hóa'!$C$3:$E$613,3,0)</f>
        <v>cái</v>
      </c>
      <c r="G243" s="237">
        <v>18000</v>
      </c>
      <c r="H243" s="235"/>
      <c r="I243" s="237">
        <v>1</v>
      </c>
      <c r="J243" s="237">
        <f t="shared" si="3"/>
        <v>0</v>
      </c>
      <c r="K243" s="237">
        <f t="shared" si="10"/>
        <v>18000</v>
      </c>
      <c r="L243" s="235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</row>
    <row r="244" spans="1:30" ht="13.2">
      <c r="A244" s="232">
        <v>305</v>
      </c>
      <c r="B244" s="236" t="s">
        <v>337</v>
      </c>
      <c r="C244" s="243">
        <v>45294</v>
      </c>
      <c r="D244" s="235" t="s">
        <v>685</v>
      </c>
      <c r="E244" s="235" t="str">
        <f>VLOOKUP(D244,'Danh mục hàng hóa'!$C$3:$D$600,2,0)</f>
        <v>Buộc tóc voan xanh lớn</v>
      </c>
      <c r="F244" s="236" t="str">
        <f>VLOOKUP(D244,'Danh mục hàng hóa'!$C$3:$E$613,3,0)</f>
        <v>cái</v>
      </c>
      <c r="G244" s="237">
        <v>12000</v>
      </c>
      <c r="H244" s="235"/>
      <c r="I244" s="237">
        <v>1</v>
      </c>
      <c r="J244" s="237">
        <f t="shared" si="3"/>
        <v>0</v>
      </c>
      <c r="K244" s="237">
        <f t="shared" si="10"/>
        <v>12000</v>
      </c>
      <c r="L244" s="235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</row>
    <row r="245" spans="1:30" ht="13.2">
      <c r="A245" s="232">
        <v>306</v>
      </c>
      <c r="B245" s="236" t="s">
        <v>337</v>
      </c>
      <c r="C245" s="243">
        <v>45294</v>
      </c>
      <c r="D245" s="235" t="s">
        <v>695</v>
      </c>
      <c r="E245" s="235" t="str">
        <f>VLOOKUP(D245,'Danh mục hàng hóa'!$C$3:$D$600,2,0)</f>
        <v>Buộc tóc lụa hoa đen</v>
      </c>
      <c r="F245" s="236" t="str">
        <f>VLOOKUP(D245,'Danh mục hàng hóa'!$C$3:$E$613,3,0)</f>
        <v>cái</v>
      </c>
      <c r="G245" s="237">
        <v>12000</v>
      </c>
      <c r="H245" s="235"/>
      <c r="I245" s="237">
        <v>1</v>
      </c>
      <c r="J245" s="237">
        <f t="shared" si="3"/>
        <v>0</v>
      </c>
      <c r="K245" s="237">
        <f t="shared" si="10"/>
        <v>12000</v>
      </c>
      <c r="L245" s="235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</row>
    <row r="246" spans="1:30" ht="13.2">
      <c r="A246" s="232">
        <v>307</v>
      </c>
      <c r="B246" s="236" t="s">
        <v>337</v>
      </c>
      <c r="C246" s="243">
        <v>45294</v>
      </c>
      <c r="D246" s="235" t="s">
        <v>637</v>
      </c>
      <c r="E246" s="235" t="str">
        <f>VLOOKUP(D246,'Danh mục hàng hóa'!$C$3:$D$600,2,0)</f>
        <v>Kẹp tóc len hoa trắng</v>
      </c>
      <c r="F246" s="236" t="str">
        <f>VLOOKUP(D246,'Danh mục hàng hóa'!$C$3:$E$613,3,0)</f>
        <v>cái</v>
      </c>
      <c r="G246" s="237">
        <v>25000</v>
      </c>
      <c r="H246" s="235"/>
      <c r="I246" s="237">
        <v>1</v>
      </c>
      <c r="J246" s="237">
        <f t="shared" si="3"/>
        <v>0</v>
      </c>
      <c r="K246" s="237">
        <f t="shared" si="10"/>
        <v>25000</v>
      </c>
      <c r="L246" s="235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</row>
    <row r="247" spans="1:30" ht="13.2">
      <c r="A247" s="232">
        <v>308</v>
      </c>
      <c r="B247" s="236" t="s">
        <v>337</v>
      </c>
      <c r="C247" s="243">
        <v>45294</v>
      </c>
      <c r="D247" s="235" t="s">
        <v>629</v>
      </c>
      <c r="E247" s="235" t="str">
        <f>VLOOKUP(D247,'Danh mục hàng hóa'!$C$3:$D$600,2,0)</f>
        <v>Kẹp tóc lông nâu đậm</v>
      </c>
      <c r="F247" s="236" t="str">
        <f>VLOOKUP(D247,'Danh mục hàng hóa'!$C$3:$E$613,3,0)</f>
        <v>cái</v>
      </c>
      <c r="G247" s="237">
        <v>15000</v>
      </c>
      <c r="H247" s="235"/>
      <c r="I247" s="237">
        <v>1</v>
      </c>
      <c r="J247" s="237">
        <f t="shared" si="3"/>
        <v>0</v>
      </c>
      <c r="K247" s="237">
        <f t="shared" si="10"/>
        <v>15000</v>
      </c>
      <c r="L247" s="235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</row>
    <row r="248" spans="1:30" ht="13.2">
      <c r="A248" s="232">
        <v>309</v>
      </c>
      <c r="B248" s="236" t="s">
        <v>337</v>
      </c>
      <c r="C248" s="243">
        <v>45294</v>
      </c>
      <c r="D248" s="235" t="s">
        <v>438</v>
      </c>
      <c r="E248" s="235" t="str">
        <f>VLOOKUP(D248,'Danh mục hàng hóa'!$C$3:$D$600,2,0)</f>
        <v>Bao lì xì Tết xanh</v>
      </c>
      <c r="F248" s="236" t="str">
        <f>VLOOKUP(D248,'Danh mục hàng hóa'!$C$3:$E$613,3,0)</f>
        <v>set 6 cái</v>
      </c>
      <c r="G248" s="237">
        <f t="shared" ref="G248:G250" si="11">44512/8</f>
        <v>5564</v>
      </c>
      <c r="H248" s="235"/>
      <c r="I248" s="237">
        <v>3</v>
      </c>
      <c r="J248" s="237">
        <f t="shared" si="3"/>
        <v>0</v>
      </c>
      <c r="K248" s="237">
        <f t="shared" si="10"/>
        <v>16692</v>
      </c>
      <c r="L248" s="235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</row>
    <row r="249" spans="1:30" ht="13.2">
      <c r="A249" s="232">
        <v>310</v>
      </c>
      <c r="B249" s="236" t="s">
        <v>2139</v>
      </c>
      <c r="C249" s="243">
        <v>45294</v>
      </c>
      <c r="D249" s="235" t="s">
        <v>439</v>
      </c>
      <c r="E249" s="235" t="str">
        <f>VLOOKUP(D249,'Danh mục hàng hóa'!$C$3:$D$600,2,0)</f>
        <v>Bao lì xì vui vẻ</v>
      </c>
      <c r="F249" s="236" t="str">
        <f>VLOOKUP(D249,'Danh mục hàng hóa'!$C$3:$E$613,3,0)</f>
        <v>set 6 cái</v>
      </c>
      <c r="G249" s="237">
        <f t="shared" si="11"/>
        <v>5564</v>
      </c>
      <c r="H249" s="235"/>
      <c r="I249" s="237">
        <v>3</v>
      </c>
      <c r="J249" s="237">
        <f t="shared" si="3"/>
        <v>0</v>
      </c>
      <c r="K249" s="237">
        <f t="shared" si="10"/>
        <v>16692</v>
      </c>
      <c r="L249" s="235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</row>
    <row r="250" spans="1:30" ht="13.2">
      <c r="A250" s="232">
        <v>311</v>
      </c>
      <c r="B250" s="236" t="s">
        <v>337</v>
      </c>
      <c r="C250" s="243">
        <v>45294</v>
      </c>
      <c r="D250" s="235" t="s">
        <v>440</v>
      </c>
      <c r="E250" s="235" t="str">
        <f>VLOOKUP(D250,'Danh mục hàng hóa'!$C$3:$D$600,2,0)</f>
        <v>Bao lì xì ngộ nghĩnh</v>
      </c>
      <c r="F250" s="236" t="str">
        <f>VLOOKUP(D250,'Danh mục hàng hóa'!$C$3:$E$613,3,0)</f>
        <v>set 6 cái</v>
      </c>
      <c r="G250" s="237">
        <f t="shared" si="11"/>
        <v>5564</v>
      </c>
      <c r="H250" s="235"/>
      <c r="I250" s="237">
        <v>2</v>
      </c>
      <c r="J250" s="237">
        <f t="shared" si="3"/>
        <v>0</v>
      </c>
      <c r="K250" s="237">
        <f t="shared" si="10"/>
        <v>11128</v>
      </c>
      <c r="L250" s="235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</row>
    <row r="251" spans="1:30" ht="13.2">
      <c r="A251" s="232">
        <v>312</v>
      </c>
      <c r="B251" s="236" t="s">
        <v>337</v>
      </c>
      <c r="C251" s="243">
        <v>45295</v>
      </c>
      <c r="D251" s="235" t="s">
        <v>876</v>
      </c>
      <c r="E251" s="235" t="str">
        <f>VLOOKUP(D251,'Danh mục hàng hóa'!$C$3:$D$600,2,0)</f>
        <v>Dao rọc giấy cún trắng</v>
      </c>
      <c r="F251" s="236" t="str">
        <f>VLOOKUP(D251,'Danh mục hàng hóa'!$C$3:$E$613,3,0)</f>
        <v>cái</v>
      </c>
      <c r="G251" s="237">
        <v>0</v>
      </c>
      <c r="H251" s="235"/>
      <c r="I251" s="237">
        <v>1</v>
      </c>
      <c r="J251" s="237">
        <f t="shared" si="3"/>
        <v>0</v>
      </c>
      <c r="K251" s="237">
        <f t="shared" si="10"/>
        <v>0</v>
      </c>
      <c r="L251" s="235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</row>
    <row r="252" spans="1:30" ht="13.2">
      <c r="A252" s="232">
        <v>313</v>
      </c>
      <c r="B252" s="236" t="s">
        <v>337</v>
      </c>
      <c r="C252" s="243">
        <v>45295</v>
      </c>
      <c r="D252" s="235" t="s">
        <v>677</v>
      </c>
      <c r="E252" s="235" t="str">
        <f>VLOOKUP(D252,'Danh mục hàng hóa'!$C$3:$D$600,2,0)</f>
        <v>Buộc tóc voan hồng nhỏ</v>
      </c>
      <c r="F252" s="236" t="str">
        <f>VLOOKUP(D252,'Danh mục hàng hóa'!$C$3:$E$613,3,0)</f>
        <v>cái</v>
      </c>
      <c r="G252" s="237">
        <v>10000</v>
      </c>
      <c r="H252" s="235"/>
      <c r="I252" s="237">
        <v>1</v>
      </c>
      <c r="J252" s="237">
        <f t="shared" si="3"/>
        <v>0</v>
      </c>
      <c r="K252" s="237">
        <f t="shared" si="10"/>
        <v>10000</v>
      </c>
      <c r="L252" s="235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</row>
    <row r="253" spans="1:30" ht="13.2">
      <c r="A253" s="232">
        <v>314</v>
      </c>
      <c r="B253" s="236" t="s">
        <v>337</v>
      </c>
      <c r="C253" s="243">
        <v>45295</v>
      </c>
      <c r="D253" s="235" t="s">
        <v>681</v>
      </c>
      <c r="E253" s="235" t="str">
        <f>VLOOKUP(D253,'Danh mục hàng hóa'!$C$3:$D$600,2,0)</f>
        <v>Buộc tóc voan kem nhỏ</v>
      </c>
      <c r="F253" s="236" t="str">
        <f>VLOOKUP(D253,'Danh mục hàng hóa'!$C$3:$E$613,3,0)</f>
        <v>cái</v>
      </c>
      <c r="G253" s="237">
        <v>10000</v>
      </c>
      <c r="H253" s="235"/>
      <c r="I253" s="237">
        <v>1</v>
      </c>
      <c r="J253" s="237">
        <f t="shared" si="3"/>
        <v>0</v>
      </c>
      <c r="K253" s="237">
        <f t="shared" si="10"/>
        <v>10000</v>
      </c>
      <c r="L253" s="235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</row>
    <row r="254" spans="1:30" ht="13.2">
      <c r="A254" s="232">
        <v>315</v>
      </c>
      <c r="B254" s="236" t="s">
        <v>337</v>
      </c>
      <c r="C254" s="243">
        <v>45295</v>
      </c>
      <c r="D254" s="235" t="s">
        <v>685</v>
      </c>
      <c r="E254" s="235" t="str">
        <f>VLOOKUP(D254,'Danh mục hàng hóa'!$C$3:$D$600,2,0)</f>
        <v>Buộc tóc voan xanh lớn</v>
      </c>
      <c r="F254" s="236" t="str">
        <f>VLOOKUP(D254,'Danh mục hàng hóa'!$C$3:$E$613,3,0)</f>
        <v>cái</v>
      </c>
      <c r="G254" s="237">
        <v>10000</v>
      </c>
      <c r="H254" s="235"/>
      <c r="I254" s="237">
        <v>1</v>
      </c>
      <c r="J254" s="237">
        <f t="shared" si="3"/>
        <v>0</v>
      </c>
      <c r="K254" s="237">
        <f t="shared" si="10"/>
        <v>10000</v>
      </c>
      <c r="L254" s="235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</row>
    <row r="255" spans="1:30" ht="13.2">
      <c r="A255" s="232">
        <v>316</v>
      </c>
      <c r="B255" s="236" t="s">
        <v>337</v>
      </c>
      <c r="C255" s="243">
        <v>45295</v>
      </c>
      <c r="D255" s="235" t="s">
        <v>435</v>
      </c>
      <c r="E255" s="235" t="str">
        <f>VLOOKUP(D255,'Danh mục hàng hóa'!$C$3:$D$600,2,0)</f>
        <v>Bao lì xì Tết tài lộc</v>
      </c>
      <c r="F255" s="236" t="str">
        <f>VLOOKUP(D255,'Danh mục hàng hóa'!$C$3:$E$613,3,0)</f>
        <v>set 6 cái</v>
      </c>
      <c r="G255" s="237">
        <f t="shared" ref="G255:G259" si="12">26460/5</f>
        <v>5292</v>
      </c>
      <c r="H255" s="235"/>
      <c r="I255" s="237">
        <v>1</v>
      </c>
      <c r="J255" s="237">
        <f t="shared" si="3"/>
        <v>0</v>
      </c>
      <c r="K255" s="237">
        <f t="shared" si="10"/>
        <v>5292</v>
      </c>
      <c r="L255" s="235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</row>
    <row r="256" spans="1:30" ht="13.2">
      <c r="A256" s="232">
        <v>317</v>
      </c>
      <c r="B256" s="236" t="s">
        <v>337</v>
      </c>
      <c r="C256" s="243">
        <v>45295</v>
      </c>
      <c r="D256" s="235" t="s">
        <v>437</v>
      </c>
      <c r="E256" s="235" t="str">
        <f>VLOOKUP(D256,'Danh mục hàng hóa'!$C$3:$D$600,2,0)</f>
        <v>Bao lì xì Tết hoa</v>
      </c>
      <c r="F256" s="236" t="str">
        <f>VLOOKUP(D256,'Danh mục hàng hóa'!$C$3:$E$613,3,0)</f>
        <v>set 6 cái</v>
      </c>
      <c r="G256" s="237">
        <f t="shared" si="12"/>
        <v>5292</v>
      </c>
      <c r="H256" s="235"/>
      <c r="I256" s="237">
        <v>1</v>
      </c>
      <c r="J256" s="237">
        <f t="shared" si="3"/>
        <v>0</v>
      </c>
      <c r="K256" s="237">
        <f t="shared" si="10"/>
        <v>5292</v>
      </c>
      <c r="L256" s="235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</row>
    <row r="257" spans="1:30" ht="13.2">
      <c r="A257" s="232">
        <v>318</v>
      </c>
      <c r="B257" s="236" t="s">
        <v>337</v>
      </c>
      <c r="C257" s="243">
        <v>45295</v>
      </c>
      <c r="D257" s="235" t="s">
        <v>438</v>
      </c>
      <c r="E257" s="235" t="str">
        <f>VLOOKUP(D257,'Danh mục hàng hóa'!$C$3:$D$600,2,0)</f>
        <v>Bao lì xì Tết xanh</v>
      </c>
      <c r="F257" s="236" t="str">
        <f>VLOOKUP(D257,'Danh mục hàng hóa'!$C$3:$E$613,3,0)</f>
        <v>set 6 cái</v>
      </c>
      <c r="G257" s="237">
        <f t="shared" si="12"/>
        <v>5292</v>
      </c>
      <c r="H257" s="235"/>
      <c r="I257" s="237">
        <v>1</v>
      </c>
      <c r="J257" s="237">
        <f t="shared" si="3"/>
        <v>0</v>
      </c>
      <c r="K257" s="237">
        <f t="shared" si="10"/>
        <v>5292</v>
      </c>
      <c r="L257" s="235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</row>
    <row r="258" spans="1:30" ht="13.2">
      <c r="A258" s="232">
        <v>319</v>
      </c>
      <c r="B258" s="236" t="s">
        <v>337</v>
      </c>
      <c r="C258" s="243">
        <v>45295</v>
      </c>
      <c r="D258" s="235" t="s">
        <v>439</v>
      </c>
      <c r="E258" s="235" t="str">
        <f>VLOOKUP(D258,'Danh mục hàng hóa'!$C$3:$D$600,2,0)</f>
        <v>Bao lì xì vui vẻ</v>
      </c>
      <c r="F258" s="236" t="str">
        <f>VLOOKUP(D258,'Danh mục hàng hóa'!$C$3:$E$613,3,0)</f>
        <v>set 6 cái</v>
      </c>
      <c r="G258" s="237">
        <f t="shared" si="12"/>
        <v>5292</v>
      </c>
      <c r="H258" s="235"/>
      <c r="I258" s="237">
        <v>1</v>
      </c>
      <c r="J258" s="237">
        <f t="shared" si="3"/>
        <v>0</v>
      </c>
      <c r="K258" s="237">
        <f t="shared" si="10"/>
        <v>5292</v>
      </c>
      <c r="L258" s="235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</row>
    <row r="259" spans="1:30" ht="13.2">
      <c r="A259" s="232">
        <v>320</v>
      </c>
      <c r="B259" s="236" t="s">
        <v>337</v>
      </c>
      <c r="C259" s="243">
        <v>45295</v>
      </c>
      <c r="D259" s="235" t="s">
        <v>440</v>
      </c>
      <c r="E259" s="235" t="str">
        <f>VLOOKUP(D259,'Danh mục hàng hóa'!$C$3:$D$600,2,0)</f>
        <v>Bao lì xì ngộ nghĩnh</v>
      </c>
      <c r="F259" s="236" t="str">
        <f>VLOOKUP(D259,'Danh mục hàng hóa'!$C$3:$E$613,3,0)</f>
        <v>set 6 cái</v>
      </c>
      <c r="G259" s="237">
        <f t="shared" si="12"/>
        <v>5292</v>
      </c>
      <c r="H259" s="235"/>
      <c r="I259" s="237">
        <v>1</v>
      </c>
      <c r="J259" s="237">
        <f t="shared" si="3"/>
        <v>0</v>
      </c>
      <c r="K259" s="237">
        <f t="shared" si="10"/>
        <v>5292</v>
      </c>
      <c r="L259" s="235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</row>
    <row r="260" spans="1:30" ht="13.2">
      <c r="A260" s="232">
        <v>321</v>
      </c>
      <c r="B260" s="236" t="s">
        <v>337</v>
      </c>
      <c r="C260" s="243">
        <v>45296</v>
      </c>
      <c r="D260" s="235" t="s">
        <v>645</v>
      </c>
      <c r="E260" s="235" t="str">
        <f>VLOOKUP(D260,'Danh mục hàng hóa'!$C$3:$D$600,2,0)</f>
        <v>Cài tóc be</v>
      </c>
      <c r="F260" s="236" t="str">
        <f>VLOOKUP(D260,'Danh mục hàng hóa'!$C$3:$E$613,3,0)</f>
        <v>cái</v>
      </c>
      <c r="G260" s="237">
        <v>15000</v>
      </c>
      <c r="H260" s="235"/>
      <c r="I260" s="237">
        <v>1</v>
      </c>
      <c r="J260" s="237">
        <f t="shared" si="3"/>
        <v>0</v>
      </c>
      <c r="K260" s="237">
        <f t="shared" si="10"/>
        <v>15000</v>
      </c>
      <c r="L260" s="235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</row>
    <row r="261" spans="1:30" ht="13.2">
      <c r="A261" s="232">
        <v>322</v>
      </c>
      <c r="B261" s="236" t="s">
        <v>337</v>
      </c>
      <c r="C261" s="243">
        <v>45296</v>
      </c>
      <c r="D261" s="235" t="s">
        <v>647</v>
      </c>
      <c r="E261" s="235" t="str">
        <f>VLOOKUP(D261,'Danh mục hàng hóa'!$C$3:$D$600,2,0)</f>
        <v>Cài tóc kem</v>
      </c>
      <c r="F261" s="236" t="str">
        <f>VLOOKUP(D261,'Danh mục hàng hóa'!$C$3:$E$613,3,0)</f>
        <v>cái</v>
      </c>
      <c r="G261" s="237">
        <v>15000</v>
      </c>
      <c r="H261" s="235"/>
      <c r="I261" s="237">
        <v>1</v>
      </c>
      <c r="J261" s="237">
        <f t="shared" si="3"/>
        <v>0</v>
      </c>
      <c r="K261" s="237">
        <f t="shared" si="10"/>
        <v>15000</v>
      </c>
      <c r="L261" s="235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</row>
    <row r="262" spans="1:30" ht="13.2">
      <c r="A262" s="232">
        <v>323</v>
      </c>
      <c r="B262" s="236" t="s">
        <v>337</v>
      </c>
      <c r="C262" s="243">
        <v>45296</v>
      </c>
      <c r="D262" s="235" t="s">
        <v>556</v>
      </c>
      <c r="E262" s="235" t="str">
        <f>VLOOKUP(D262,'Danh mục hàng hóa'!$C$3:$D$600,2,0)</f>
        <v>Ống 50 dây cột tóc đen be nâu</v>
      </c>
      <c r="F262" s="236" t="str">
        <f>VLOOKUP(D262,'Danh mục hàng hóa'!$C$3:$E$613,3,0)</f>
        <v>ống</v>
      </c>
      <c r="G262" s="237">
        <v>18000</v>
      </c>
      <c r="H262" s="235"/>
      <c r="I262" s="237">
        <v>1</v>
      </c>
      <c r="J262" s="237">
        <f t="shared" si="3"/>
        <v>0</v>
      </c>
      <c r="K262" s="237">
        <f t="shared" si="10"/>
        <v>18000</v>
      </c>
      <c r="L262" s="235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</row>
    <row r="263" spans="1:30" ht="13.2">
      <c r="A263" s="232">
        <v>324</v>
      </c>
      <c r="B263" s="236" t="s">
        <v>337</v>
      </c>
      <c r="C263" s="243">
        <v>45296</v>
      </c>
      <c r="D263" s="235" t="s">
        <v>435</v>
      </c>
      <c r="E263" s="235" t="str">
        <f>VLOOKUP(D263,'Danh mục hàng hóa'!$C$3:$D$600,2,0)</f>
        <v>Bao lì xì Tết tài lộc</v>
      </c>
      <c r="F263" s="236" t="str">
        <f>VLOOKUP(D263,'Danh mục hàng hóa'!$C$3:$E$613,3,0)</f>
        <v>set 6 cái</v>
      </c>
      <c r="G263" s="237">
        <f t="shared" ref="G263:G266" si="13">44292/6</f>
        <v>7382</v>
      </c>
      <c r="H263" s="235"/>
      <c r="I263" s="237">
        <v>1</v>
      </c>
      <c r="J263" s="237">
        <f t="shared" si="3"/>
        <v>0</v>
      </c>
      <c r="K263" s="237">
        <f t="shared" si="10"/>
        <v>7382</v>
      </c>
      <c r="L263" s="235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</row>
    <row r="264" spans="1:30" ht="13.2">
      <c r="A264" s="232">
        <v>325</v>
      </c>
      <c r="B264" s="236" t="s">
        <v>337</v>
      </c>
      <c r="C264" s="243">
        <v>45296</v>
      </c>
      <c r="D264" s="235" t="s">
        <v>437</v>
      </c>
      <c r="E264" s="235" t="str">
        <f>VLOOKUP(D264,'Danh mục hàng hóa'!$C$3:$D$600,2,0)</f>
        <v>Bao lì xì Tết hoa</v>
      </c>
      <c r="F264" s="236" t="str">
        <f>VLOOKUP(D264,'Danh mục hàng hóa'!$C$3:$E$613,3,0)</f>
        <v>set 6 cái</v>
      </c>
      <c r="G264" s="237">
        <f t="shared" si="13"/>
        <v>7382</v>
      </c>
      <c r="H264" s="235"/>
      <c r="I264" s="237">
        <v>1</v>
      </c>
      <c r="J264" s="237">
        <f t="shared" si="3"/>
        <v>0</v>
      </c>
      <c r="K264" s="237">
        <f t="shared" si="10"/>
        <v>7382</v>
      </c>
      <c r="L264" s="235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</row>
    <row r="265" spans="1:30" ht="13.2">
      <c r="A265" s="232">
        <v>326</v>
      </c>
      <c r="B265" s="236" t="s">
        <v>337</v>
      </c>
      <c r="C265" s="243">
        <v>45296</v>
      </c>
      <c r="D265" s="235" t="s">
        <v>439</v>
      </c>
      <c r="E265" s="235" t="str">
        <f>VLOOKUP(D265,'Danh mục hàng hóa'!$C$3:$D$600,2,0)</f>
        <v>Bao lì xì vui vẻ</v>
      </c>
      <c r="F265" s="236" t="str">
        <f>VLOOKUP(D265,'Danh mục hàng hóa'!$C$3:$E$613,3,0)</f>
        <v>set 6 cái</v>
      </c>
      <c r="G265" s="237">
        <f t="shared" si="13"/>
        <v>7382</v>
      </c>
      <c r="H265" s="235"/>
      <c r="I265" s="237">
        <v>2</v>
      </c>
      <c r="J265" s="237">
        <f t="shared" si="3"/>
        <v>0</v>
      </c>
      <c r="K265" s="237">
        <f t="shared" si="10"/>
        <v>14764</v>
      </c>
      <c r="L265" s="235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</row>
    <row r="266" spans="1:30" ht="13.2">
      <c r="A266" s="232">
        <v>327</v>
      </c>
      <c r="B266" s="236" t="s">
        <v>337</v>
      </c>
      <c r="C266" s="243">
        <v>45296</v>
      </c>
      <c r="D266" s="235" t="s">
        <v>440</v>
      </c>
      <c r="E266" s="235" t="str">
        <f>VLOOKUP(D266,'Danh mục hàng hóa'!$C$3:$D$600,2,0)</f>
        <v>Bao lì xì ngộ nghĩnh</v>
      </c>
      <c r="F266" s="236" t="str">
        <f>VLOOKUP(D266,'Danh mục hàng hóa'!$C$3:$E$613,3,0)</f>
        <v>set 6 cái</v>
      </c>
      <c r="G266" s="237">
        <f t="shared" si="13"/>
        <v>7382</v>
      </c>
      <c r="H266" s="235"/>
      <c r="I266" s="237">
        <v>2</v>
      </c>
      <c r="J266" s="237">
        <f t="shared" si="3"/>
        <v>0</v>
      </c>
      <c r="K266" s="237">
        <f t="shared" si="10"/>
        <v>14764</v>
      </c>
      <c r="L266" s="235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</row>
    <row r="267" spans="1:30" ht="13.2">
      <c r="A267" s="232">
        <v>328</v>
      </c>
      <c r="B267" s="236" t="s">
        <v>337</v>
      </c>
      <c r="C267" s="243">
        <v>45299</v>
      </c>
      <c r="D267" s="235" t="s">
        <v>420</v>
      </c>
      <c r="E267" s="235" t="str">
        <f>VLOOKUP(D267,'Danh mục hàng hóa'!$C$3:$D$600,2,0)</f>
        <v>Túi chườm bụng thỏ dứa 500ml</v>
      </c>
      <c r="F267" s="236" t="str">
        <f>VLOOKUP(D267,'Danh mục hàng hóa'!$C$3:$E$613,3,0)</f>
        <v>túi</v>
      </c>
      <c r="G267" s="237">
        <v>80000</v>
      </c>
      <c r="H267" s="235"/>
      <c r="I267" s="237">
        <v>1</v>
      </c>
      <c r="J267" s="237">
        <f t="shared" si="3"/>
        <v>0</v>
      </c>
      <c r="K267" s="237">
        <f t="shared" si="10"/>
        <v>80000</v>
      </c>
      <c r="L267" s="235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</row>
    <row r="268" spans="1:30" ht="13.2">
      <c r="A268" s="232">
        <v>329</v>
      </c>
      <c r="B268" s="236" t="s">
        <v>337</v>
      </c>
      <c r="C268" s="243">
        <v>45299</v>
      </c>
      <c r="D268" s="235" t="s">
        <v>435</v>
      </c>
      <c r="E268" s="235" t="str">
        <f>VLOOKUP(D268,'Danh mục hàng hóa'!$C$3:$D$600,2,0)</f>
        <v>Bao lì xì Tết tài lộc</v>
      </c>
      <c r="F268" s="236" t="str">
        <f>VLOOKUP(D268,'Danh mục hàng hóa'!$C$3:$E$613,3,0)</f>
        <v>set 6 cái</v>
      </c>
      <c r="G268" s="237">
        <v>6032</v>
      </c>
      <c r="H268" s="235"/>
      <c r="I268" s="237">
        <v>2</v>
      </c>
      <c r="J268" s="237">
        <f t="shared" si="3"/>
        <v>0</v>
      </c>
      <c r="K268" s="237">
        <f t="shared" si="10"/>
        <v>12064</v>
      </c>
      <c r="L268" s="235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</row>
    <row r="269" spans="1:30" ht="13.2">
      <c r="A269" s="232">
        <v>330</v>
      </c>
      <c r="B269" s="236" t="s">
        <v>337</v>
      </c>
      <c r="C269" s="243">
        <v>45299</v>
      </c>
      <c r="D269" s="235" t="s">
        <v>437</v>
      </c>
      <c r="E269" s="235" t="str">
        <f>VLOOKUP(D269,'Danh mục hàng hóa'!$C$3:$D$600,2,0)</f>
        <v>Bao lì xì Tết hoa</v>
      </c>
      <c r="F269" s="236" t="str">
        <f>VLOOKUP(D269,'Danh mục hàng hóa'!$C$3:$E$613,3,0)</f>
        <v>set 6 cái</v>
      </c>
      <c r="G269" s="237">
        <v>6032</v>
      </c>
      <c r="H269" s="235"/>
      <c r="I269" s="237">
        <v>2</v>
      </c>
      <c r="J269" s="237">
        <f t="shared" si="3"/>
        <v>0</v>
      </c>
      <c r="K269" s="237">
        <f t="shared" si="10"/>
        <v>12064</v>
      </c>
      <c r="L269" s="235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</row>
    <row r="270" spans="1:30" ht="13.2">
      <c r="A270" s="232">
        <v>331</v>
      </c>
      <c r="B270" s="236" t="s">
        <v>337</v>
      </c>
      <c r="C270" s="243">
        <v>45299</v>
      </c>
      <c r="D270" s="235" t="s">
        <v>438</v>
      </c>
      <c r="E270" s="235" t="str">
        <f>VLOOKUP(D270,'Danh mục hàng hóa'!$C$3:$D$600,2,0)</f>
        <v>Bao lì xì Tết xanh</v>
      </c>
      <c r="F270" s="236" t="str">
        <f>VLOOKUP(D270,'Danh mục hàng hóa'!$C$3:$E$613,3,0)</f>
        <v>set 6 cái</v>
      </c>
      <c r="G270" s="237">
        <v>6032</v>
      </c>
      <c r="H270" s="235"/>
      <c r="I270" s="237">
        <v>2</v>
      </c>
      <c r="J270" s="237">
        <f t="shared" si="3"/>
        <v>0</v>
      </c>
      <c r="K270" s="237">
        <f t="shared" si="10"/>
        <v>12064</v>
      </c>
      <c r="L270" s="235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</row>
    <row r="271" spans="1:30" ht="13.2">
      <c r="A271" s="232">
        <v>332</v>
      </c>
      <c r="B271" s="236" t="s">
        <v>337</v>
      </c>
      <c r="C271" s="243">
        <v>45299</v>
      </c>
      <c r="D271" s="235" t="s">
        <v>439</v>
      </c>
      <c r="E271" s="235" t="str">
        <f>VLOOKUP(D271,'Danh mục hàng hóa'!$C$3:$D$600,2,0)</f>
        <v>Bao lì xì vui vẻ</v>
      </c>
      <c r="F271" s="236" t="str">
        <f>VLOOKUP(D271,'Danh mục hàng hóa'!$C$3:$E$613,3,0)</f>
        <v>set 6 cái</v>
      </c>
      <c r="G271" s="237">
        <v>6032</v>
      </c>
      <c r="H271" s="235"/>
      <c r="I271" s="237">
        <v>2</v>
      </c>
      <c r="J271" s="237">
        <f t="shared" si="3"/>
        <v>0</v>
      </c>
      <c r="K271" s="237">
        <f t="shared" si="10"/>
        <v>12064</v>
      </c>
      <c r="L271" s="235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</row>
    <row r="272" spans="1:30" ht="13.2">
      <c r="A272" s="232">
        <v>333</v>
      </c>
      <c r="B272" s="236" t="s">
        <v>337</v>
      </c>
      <c r="C272" s="243">
        <v>45299</v>
      </c>
      <c r="D272" s="235" t="s">
        <v>440</v>
      </c>
      <c r="E272" s="235" t="str">
        <f>VLOOKUP(D272,'Danh mục hàng hóa'!$C$3:$D$600,2,0)</f>
        <v>Bao lì xì ngộ nghĩnh</v>
      </c>
      <c r="F272" s="236" t="str">
        <f>VLOOKUP(D272,'Danh mục hàng hóa'!$C$3:$E$613,3,0)</f>
        <v>set 6 cái</v>
      </c>
      <c r="G272" s="237">
        <v>6032</v>
      </c>
      <c r="H272" s="235"/>
      <c r="I272" s="237">
        <v>2</v>
      </c>
      <c r="J272" s="237">
        <f t="shared" si="3"/>
        <v>0</v>
      </c>
      <c r="K272" s="237">
        <f t="shared" si="10"/>
        <v>12064</v>
      </c>
      <c r="L272" s="235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</row>
    <row r="273" spans="1:30" ht="13.2">
      <c r="A273" s="232">
        <v>334</v>
      </c>
      <c r="B273" s="236" t="s">
        <v>337</v>
      </c>
      <c r="C273" s="243">
        <v>45299</v>
      </c>
      <c r="D273" s="235" t="s">
        <v>435</v>
      </c>
      <c r="E273" s="235" t="str">
        <f>VLOOKUP(D273,'Danh mục hàng hóa'!$C$3:$D$600,2,0)</f>
        <v>Bao lì xì Tết tài lộc</v>
      </c>
      <c r="F273" s="236" t="str">
        <f>VLOOKUP(D273,'Danh mục hàng hóa'!$C$3:$E$613,3,0)</f>
        <v>set 6 cái</v>
      </c>
      <c r="G273" s="237">
        <f t="shared" ref="G273:G277" si="14">23000/5</f>
        <v>4600</v>
      </c>
      <c r="H273" s="235"/>
      <c r="I273" s="237">
        <v>1</v>
      </c>
      <c r="J273" s="237">
        <f t="shared" si="3"/>
        <v>0</v>
      </c>
      <c r="K273" s="237">
        <f t="shared" si="10"/>
        <v>4600</v>
      </c>
      <c r="L273" s="235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</row>
    <row r="274" spans="1:30" ht="13.2">
      <c r="A274" s="232">
        <v>335</v>
      </c>
      <c r="B274" s="236" t="s">
        <v>337</v>
      </c>
      <c r="C274" s="243">
        <v>45299</v>
      </c>
      <c r="D274" s="235" t="s">
        <v>437</v>
      </c>
      <c r="E274" s="235" t="str">
        <f>VLOOKUP(D274,'Danh mục hàng hóa'!$C$3:$D$600,2,0)</f>
        <v>Bao lì xì Tết hoa</v>
      </c>
      <c r="F274" s="236" t="str">
        <f>VLOOKUP(D274,'Danh mục hàng hóa'!$C$3:$E$613,3,0)</f>
        <v>set 6 cái</v>
      </c>
      <c r="G274" s="237">
        <f t="shared" si="14"/>
        <v>4600</v>
      </c>
      <c r="H274" s="235"/>
      <c r="I274" s="237">
        <v>1</v>
      </c>
      <c r="J274" s="237">
        <f t="shared" si="3"/>
        <v>0</v>
      </c>
      <c r="K274" s="237">
        <f t="shared" si="10"/>
        <v>4600</v>
      </c>
      <c r="L274" s="235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</row>
    <row r="275" spans="1:30" ht="13.2">
      <c r="A275" s="232">
        <v>336</v>
      </c>
      <c r="B275" s="236" t="s">
        <v>337</v>
      </c>
      <c r="C275" s="243">
        <v>45299</v>
      </c>
      <c r="D275" s="235" t="s">
        <v>438</v>
      </c>
      <c r="E275" s="235" t="str">
        <f>VLOOKUP(D275,'Danh mục hàng hóa'!$C$3:$D$600,2,0)</f>
        <v>Bao lì xì Tết xanh</v>
      </c>
      <c r="F275" s="236" t="str">
        <f>VLOOKUP(D275,'Danh mục hàng hóa'!$C$3:$E$613,3,0)</f>
        <v>set 6 cái</v>
      </c>
      <c r="G275" s="237">
        <f t="shared" si="14"/>
        <v>4600</v>
      </c>
      <c r="H275" s="235"/>
      <c r="I275" s="237">
        <v>1</v>
      </c>
      <c r="J275" s="237">
        <f t="shared" si="3"/>
        <v>0</v>
      </c>
      <c r="K275" s="237">
        <f t="shared" si="10"/>
        <v>4600</v>
      </c>
      <c r="L275" s="235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</row>
    <row r="276" spans="1:30" ht="13.2">
      <c r="A276" s="232">
        <v>337</v>
      </c>
      <c r="B276" s="236" t="s">
        <v>337</v>
      </c>
      <c r="C276" s="243">
        <v>45299</v>
      </c>
      <c r="D276" s="235" t="s">
        <v>439</v>
      </c>
      <c r="E276" s="235" t="str">
        <f>VLOOKUP(D276,'Danh mục hàng hóa'!$C$3:$D$600,2,0)</f>
        <v>Bao lì xì vui vẻ</v>
      </c>
      <c r="F276" s="236" t="str">
        <f>VLOOKUP(D276,'Danh mục hàng hóa'!$C$3:$E$613,3,0)</f>
        <v>set 6 cái</v>
      </c>
      <c r="G276" s="237">
        <f t="shared" si="14"/>
        <v>4600</v>
      </c>
      <c r="H276" s="235"/>
      <c r="I276" s="237">
        <v>1</v>
      </c>
      <c r="J276" s="237">
        <f t="shared" si="3"/>
        <v>0</v>
      </c>
      <c r="K276" s="237">
        <f t="shared" si="10"/>
        <v>4600</v>
      </c>
      <c r="L276" s="235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</row>
    <row r="277" spans="1:30" ht="13.2">
      <c r="A277" s="232">
        <v>338</v>
      </c>
      <c r="B277" s="236" t="s">
        <v>337</v>
      </c>
      <c r="C277" s="243">
        <v>45299</v>
      </c>
      <c r="D277" s="235" t="s">
        <v>440</v>
      </c>
      <c r="E277" s="235" t="str">
        <f>VLOOKUP(D277,'Danh mục hàng hóa'!$C$3:$D$600,2,0)</f>
        <v>Bao lì xì ngộ nghĩnh</v>
      </c>
      <c r="F277" s="236" t="str">
        <f>VLOOKUP(D277,'Danh mục hàng hóa'!$C$3:$E$613,3,0)</f>
        <v>set 6 cái</v>
      </c>
      <c r="G277" s="237">
        <f t="shared" si="14"/>
        <v>4600</v>
      </c>
      <c r="H277" s="235"/>
      <c r="I277" s="237">
        <v>1</v>
      </c>
      <c r="J277" s="237">
        <f t="shared" si="3"/>
        <v>0</v>
      </c>
      <c r="K277" s="237">
        <f t="shared" si="10"/>
        <v>4600</v>
      </c>
      <c r="L277" s="235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</row>
    <row r="278" spans="1:30" ht="13.2">
      <c r="A278" s="232">
        <v>339</v>
      </c>
      <c r="B278" s="236" t="s">
        <v>337</v>
      </c>
      <c r="C278" s="243">
        <v>45300</v>
      </c>
      <c r="D278" s="235" t="s">
        <v>435</v>
      </c>
      <c r="E278" s="235" t="str">
        <f>VLOOKUP(D278,'Danh mục hàng hóa'!$C$3:$D$600,2,0)</f>
        <v>Bao lì xì Tết tài lộc</v>
      </c>
      <c r="F278" s="236" t="str">
        <f>VLOOKUP(D278,'Danh mục hàng hóa'!$C$3:$E$613,3,0)</f>
        <v>set 6 cái</v>
      </c>
      <c r="G278" s="237">
        <f t="shared" ref="G278:G282" si="15">27500/5</f>
        <v>5500</v>
      </c>
      <c r="H278" s="235"/>
      <c r="I278" s="237">
        <v>1</v>
      </c>
      <c r="J278" s="237">
        <f t="shared" si="3"/>
        <v>0</v>
      </c>
      <c r="K278" s="237">
        <f t="shared" si="10"/>
        <v>5500</v>
      </c>
      <c r="L278" s="235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</row>
    <row r="279" spans="1:30" ht="13.2">
      <c r="A279" s="232">
        <v>340</v>
      </c>
      <c r="B279" s="236" t="s">
        <v>337</v>
      </c>
      <c r="C279" s="243">
        <v>45300</v>
      </c>
      <c r="D279" s="235" t="s">
        <v>437</v>
      </c>
      <c r="E279" s="235" t="str">
        <f>VLOOKUP(D279,'Danh mục hàng hóa'!$C$3:$D$600,2,0)</f>
        <v>Bao lì xì Tết hoa</v>
      </c>
      <c r="F279" s="236" t="str">
        <f>VLOOKUP(D279,'Danh mục hàng hóa'!$C$3:$E$613,3,0)</f>
        <v>set 6 cái</v>
      </c>
      <c r="G279" s="237">
        <f t="shared" si="15"/>
        <v>5500</v>
      </c>
      <c r="H279" s="235"/>
      <c r="I279" s="237">
        <v>1</v>
      </c>
      <c r="J279" s="237">
        <f t="shared" si="3"/>
        <v>0</v>
      </c>
      <c r="K279" s="237">
        <f t="shared" si="10"/>
        <v>5500</v>
      </c>
      <c r="L279" s="235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</row>
    <row r="280" spans="1:30" ht="13.2">
      <c r="A280" s="232">
        <v>341</v>
      </c>
      <c r="B280" s="236" t="s">
        <v>337</v>
      </c>
      <c r="C280" s="243">
        <v>45300</v>
      </c>
      <c r="D280" s="235" t="s">
        <v>438</v>
      </c>
      <c r="E280" s="235" t="str">
        <f>VLOOKUP(D280,'Danh mục hàng hóa'!$C$3:$D$600,2,0)</f>
        <v>Bao lì xì Tết xanh</v>
      </c>
      <c r="F280" s="236" t="str">
        <f>VLOOKUP(D280,'Danh mục hàng hóa'!$C$3:$E$613,3,0)</f>
        <v>set 6 cái</v>
      </c>
      <c r="G280" s="237">
        <f t="shared" si="15"/>
        <v>5500</v>
      </c>
      <c r="H280" s="235"/>
      <c r="I280" s="237">
        <v>1</v>
      </c>
      <c r="J280" s="237">
        <f t="shared" si="3"/>
        <v>0</v>
      </c>
      <c r="K280" s="237">
        <f t="shared" si="10"/>
        <v>5500</v>
      </c>
      <c r="L280" s="235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</row>
    <row r="281" spans="1:30" ht="13.2">
      <c r="A281" s="232">
        <v>342</v>
      </c>
      <c r="B281" s="236" t="s">
        <v>337</v>
      </c>
      <c r="C281" s="243">
        <v>45300</v>
      </c>
      <c r="D281" s="235" t="s">
        <v>439</v>
      </c>
      <c r="E281" s="235" t="str">
        <f>VLOOKUP(D281,'Danh mục hàng hóa'!$C$3:$D$600,2,0)</f>
        <v>Bao lì xì vui vẻ</v>
      </c>
      <c r="F281" s="236" t="str">
        <f>VLOOKUP(D281,'Danh mục hàng hóa'!$C$3:$E$613,3,0)</f>
        <v>set 6 cái</v>
      </c>
      <c r="G281" s="237">
        <f t="shared" si="15"/>
        <v>5500</v>
      </c>
      <c r="H281" s="235"/>
      <c r="I281" s="237">
        <v>1</v>
      </c>
      <c r="J281" s="237">
        <f t="shared" si="3"/>
        <v>0</v>
      </c>
      <c r="K281" s="237">
        <f t="shared" si="10"/>
        <v>5500</v>
      </c>
      <c r="L281" s="235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</row>
    <row r="282" spans="1:30" ht="13.2">
      <c r="A282" s="232">
        <v>343</v>
      </c>
      <c r="B282" s="236" t="s">
        <v>337</v>
      </c>
      <c r="C282" s="243">
        <v>45300</v>
      </c>
      <c r="D282" s="235" t="s">
        <v>440</v>
      </c>
      <c r="E282" s="235" t="str">
        <f>VLOOKUP(D282,'Danh mục hàng hóa'!$C$3:$D$600,2,0)</f>
        <v>Bao lì xì ngộ nghĩnh</v>
      </c>
      <c r="F282" s="236" t="str">
        <f>VLOOKUP(D282,'Danh mục hàng hóa'!$C$3:$E$613,3,0)</f>
        <v>set 6 cái</v>
      </c>
      <c r="G282" s="237">
        <f t="shared" si="15"/>
        <v>5500</v>
      </c>
      <c r="H282" s="235"/>
      <c r="I282" s="237">
        <v>1</v>
      </c>
      <c r="J282" s="237">
        <f t="shared" ref="J282:J536" si="16">H282*G282</f>
        <v>0</v>
      </c>
      <c r="K282" s="237">
        <f t="shared" si="10"/>
        <v>5500</v>
      </c>
      <c r="L282" s="235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</row>
    <row r="283" spans="1:30" ht="13.2">
      <c r="A283" s="232">
        <v>344</v>
      </c>
      <c r="B283" s="236" t="s">
        <v>337</v>
      </c>
      <c r="C283" s="243">
        <v>45300</v>
      </c>
      <c r="D283" s="235" t="s">
        <v>437</v>
      </c>
      <c r="E283" s="235" t="str">
        <f>VLOOKUP(D283,'Danh mục hàng hóa'!$C$3:$D$600,2,0)</f>
        <v>Bao lì xì Tết hoa</v>
      </c>
      <c r="F283" s="236" t="str">
        <f>VLOOKUP(D283,'Danh mục hàng hóa'!$C$3:$E$613,3,0)</f>
        <v>set 6 cái</v>
      </c>
      <c r="G283" s="237">
        <f t="shared" ref="G283:G286" si="17">166764/24</f>
        <v>6948.5</v>
      </c>
      <c r="H283" s="235"/>
      <c r="I283" s="237">
        <v>1</v>
      </c>
      <c r="J283" s="237">
        <f t="shared" si="16"/>
        <v>0</v>
      </c>
      <c r="K283" s="237">
        <f t="shared" si="10"/>
        <v>6948.5</v>
      </c>
      <c r="L283" s="235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</row>
    <row r="284" spans="1:30" ht="13.2">
      <c r="A284" s="232">
        <v>345</v>
      </c>
      <c r="B284" s="236" t="s">
        <v>337</v>
      </c>
      <c r="C284" s="243">
        <v>45300</v>
      </c>
      <c r="D284" s="235" t="s">
        <v>438</v>
      </c>
      <c r="E284" s="235" t="str">
        <f>VLOOKUP(D284,'Danh mục hàng hóa'!$C$3:$D$600,2,0)</f>
        <v>Bao lì xì Tết xanh</v>
      </c>
      <c r="F284" s="236" t="str">
        <f>VLOOKUP(D284,'Danh mục hàng hóa'!$C$3:$E$613,3,0)</f>
        <v>set 6 cái</v>
      </c>
      <c r="G284" s="237">
        <f t="shared" si="17"/>
        <v>6948.5</v>
      </c>
      <c r="H284" s="235"/>
      <c r="I284" s="237">
        <v>3</v>
      </c>
      <c r="J284" s="237">
        <f t="shared" si="16"/>
        <v>0</v>
      </c>
      <c r="K284" s="237">
        <f t="shared" si="10"/>
        <v>20845.5</v>
      </c>
      <c r="L284" s="235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</row>
    <row r="285" spans="1:30" ht="13.2">
      <c r="A285" s="232">
        <v>346</v>
      </c>
      <c r="B285" s="236" t="s">
        <v>337</v>
      </c>
      <c r="C285" s="243">
        <v>45300</v>
      </c>
      <c r="D285" s="235" t="s">
        <v>439</v>
      </c>
      <c r="E285" s="235" t="str">
        <f>VLOOKUP(D285,'Danh mục hàng hóa'!$C$3:$D$600,2,0)</f>
        <v>Bao lì xì vui vẻ</v>
      </c>
      <c r="F285" s="236" t="str">
        <f>VLOOKUP(D285,'Danh mục hàng hóa'!$C$3:$E$613,3,0)</f>
        <v>set 6 cái</v>
      </c>
      <c r="G285" s="237">
        <f t="shared" si="17"/>
        <v>6948.5</v>
      </c>
      <c r="H285" s="235"/>
      <c r="I285" s="237">
        <v>10</v>
      </c>
      <c r="J285" s="237">
        <f t="shared" si="16"/>
        <v>0</v>
      </c>
      <c r="K285" s="237">
        <f t="shared" si="10"/>
        <v>69485</v>
      </c>
      <c r="L285" s="235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</row>
    <row r="286" spans="1:30" ht="13.2">
      <c r="A286" s="232">
        <v>347</v>
      </c>
      <c r="B286" s="236" t="s">
        <v>337</v>
      </c>
      <c r="C286" s="243">
        <v>45300</v>
      </c>
      <c r="D286" s="235" t="s">
        <v>440</v>
      </c>
      <c r="E286" s="235" t="str">
        <f>VLOOKUP(D286,'Danh mục hàng hóa'!$C$3:$D$600,2,0)</f>
        <v>Bao lì xì ngộ nghĩnh</v>
      </c>
      <c r="F286" s="236" t="str">
        <f>VLOOKUP(D286,'Danh mục hàng hóa'!$C$3:$E$613,3,0)</f>
        <v>set 6 cái</v>
      </c>
      <c r="G286" s="237">
        <f t="shared" si="17"/>
        <v>6948.5</v>
      </c>
      <c r="H286" s="235"/>
      <c r="I286" s="237">
        <v>10</v>
      </c>
      <c r="J286" s="237">
        <f t="shared" si="16"/>
        <v>0</v>
      </c>
      <c r="K286" s="237">
        <f t="shared" si="10"/>
        <v>69485</v>
      </c>
      <c r="L286" s="235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</row>
    <row r="287" spans="1:30" ht="13.2">
      <c r="A287" s="232">
        <v>348</v>
      </c>
      <c r="B287" s="236" t="s">
        <v>337</v>
      </c>
      <c r="C287" s="243">
        <v>45300</v>
      </c>
      <c r="D287" s="235" t="s">
        <v>435</v>
      </c>
      <c r="E287" s="235" t="str">
        <f>VLOOKUP(D287,'Danh mục hàng hóa'!$C$3:$D$600,2,0)</f>
        <v>Bao lì xì Tết tài lộc</v>
      </c>
      <c r="F287" s="236" t="str">
        <f>VLOOKUP(D287,'Danh mục hàng hóa'!$C$3:$E$613,3,0)</f>
        <v>set 6 cái</v>
      </c>
      <c r="G287" s="237">
        <f>49396/SUM(I287:I291)</f>
        <v>5699.5384615384619</v>
      </c>
      <c r="H287" s="235"/>
      <c r="I287" s="237">
        <f t="shared" ref="I287:I288" si="18">2+1/3</f>
        <v>2.3333333333333335</v>
      </c>
      <c r="J287" s="237">
        <f t="shared" si="16"/>
        <v>0</v>
      </c>
      <c r="K287" s="237">
        <f t="shared" si="10"/>
        <v>13298.923076923078</v>
      </c>
      <c r="L287" s="235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</row>
    <row r="288" spans="1:30" ht="13.2">
      <c r="A288" s="232">
        <v>349</v>
      </c>
      <c r="B288" s="236" t="s">
        <v>337</v>
      </c>
      <c r="C288" s="243">
        <v>45300</v>
      </c>
      <c r="D288" s="235" t="s">
        <v>437</v>
      </c>
      <c r="E288" s="235" t="str">
        <f>VLOOKUP(D288,'Danh mục hàng hóa'!$C$3:$D$600,2,0)</f>
        <v>Bao lì xì Tết hoa</v>
      </c>
      <c r="F288" s="236" t="str">
        <f>VLOOKUP(D288,'Danh mục hàng hóa'!$C$3:$E$613,3,0)</f>
        <v>set 6 cái</v>
      </c>
      <c r="G288" s="237">
        <v>5699.5384615384619</v>
      </c>
      <c r="H288" s="235"/>
      <c r="I288" s="237">
        <f t="shared" si="18"/>
        <v>2.3333333333333335</v>
      </c>
      <c r="J288" s="237">
        <f t="shared" si="16"/>
        <v>0</v>
      </c>
      <c r="K288" s="237">
        <f t="shared" si="10"/>
        <v>13298.923076923078</v>
      </c>
      <c r="L288" s="235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</row>
    <row r="289" spans="1:30" ht="13.2">
      <c r="A289" s="232">
        <v>350</v>
      </c>
      <c r="B289" s="236" t="s">
        <v>337</v>
      </c>
      <c r="C289" s="243">
        <v>45300</v>
      </c>
      <c r="D289" s="235" t="s">
        <v>438</v>
      </c>
      <c r="E289" s="235" t="str">
        <f>VLOOKUP(D289,'Danh mục hàng hóa'!$C$3:$D$600,2,0)</f>
        <v>Bao lì xì Tết xanh</v>
      </c>
      <c r="F289" s="236" t="str">
        <f>VLOOKUP(D289,'Danh mục hàng hóa'!$C$3:$E$613,3,0)</f>
        <v>set 6 cái</v>
      </c>
      <c r="G289" s="237">
        <v>5699.5384615384619</v>
      </c>
      <c r="H289" s="235"/>
      <c r="I289" s="237">
        <f t="shared" ref="I289:I291" si="19">1+1/3</f>
        <v>1.3333333333333333</v>
      </c>
      <c r="J289" s="237">
        <f t="shared" si="16"/>
        <v>0</v>
      </c>
      <c r="K289" s="237">
        <f t="shared" si="10"/>
        <v>7599.3846153846152</v>
      </c>
      <c r="L289" s="235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</row>
    <row r="290" spans="1:30" ht="13.2">
      <c r="A290" s="232">
        <v>351</v>
      </c>
      <c r="B290" s="236" t="s">
        <v>337</v>
      </c>
      <c r="C290" s="243">
        <v>45300</v>
      </c>
      <c r="D290" s="235" t="s">
        <v>439</v>
      </c>
      <c r="E290" s="235" t="str">
        <f>VLOOKUP(D290,'Danh mục hàng hóa'!$C$3:$D$600,2,0)</f>
        <v>Bao lì xì vui vẻ</v>
      </c>
      <c r="F290" s="236" t="str">
        <f>VLOOKUP(D290,'Danh mục hàng hóa'!$C$3:$E$613,3,0)</f>
        <v>set 6 cái</v>
      </c>
      <c r="G290" s="237">
        <v>5699.5384615384619</v>
      </c>
      <c r="H290" s="235"/>
      <c r="I290" s="237">
        <f t="shared" si="19"/>
        <v>1.3333333333333333</v>
      </c>
      <c r="J290" s="237">
        <f t="shared" si="16"/>
        <v>0</v>
      </c>
      <c r="K290" s="237">
        <f t="shared" si="10"/>
        <v>7599.3846153846152</v>
      </c>
      <c r="L290" s="235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</row>
    <row r="291" spans="1:30" ht="13.2">
      <c r="A291" s="232">
        <v>352</v>
      </c>
      <c r="B291" s="236" t="s">
        <v>337</v>
      </c>
      <c r="C291" s="243">
        <v>45300</v>
      </c>
      <c r="D291" s="235" t="s">
        <v>440</v>
      </c>
      <c r="E291" s="235" t="str">
        <f>VLOOKUP(D291,'Danh mục hàng hóa'!$C$3:$D$600,2,0)</f>
        <v>Bao lì xì ngộ nghĩnh</v>
      </c>
      <c r="F291" s="236" t="str">
        <f>VLOOKUP(D291,'Danh mục hàng hóa'!$C$3:$E$613,3,0)</f>
        <v>set 6 cái</v>
      </c>
      <c r="G291" s="237">
        <v>5699.5384615384619</v>
      </c>
      <c r="H291" s="235"/>
      <c r="I291" s="237">
        <f t="shared" si="19"/>
        <v>1.3333333333333333</v>
      </c>
      <c r="J291" s="237">
        <f t="shared" si="16"/>
        <v>0</v>
      </c>
      <c r="K291" s="237">
        <f t="shared" si="10"/>
        <v>7599.3846153846152</v>
      </c>
      <c r="L291" s="235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</row>
    <row r="292" spans="1:30" ht="13.2">
      <c r="A292" s="232">
        <v>353</v>
      </c>
      <c r="B292" s="236" t="s">
        <v>337</v>
      </c>
      <c r="C292" s="243">
        <v>45300</v>
      </c>
      <c r="D292" s="235" t="s">
        <v>435</v>
      </c>
      <c r="E292" s="235" t="str">
        <f>VLOOKUP(D292,'Danh mục hàng hóa'!$C$3:$D$600,2,0)</f>
        <v>Bao lì xì Tết tài lộc</v>
      </c>
      <c r="F292" s="236" t="str">
        <f>VLOOKUP(D292,'Danh mục hàng hóa'!$C$3:$E$613,3,0)</f>
        <v>set 6 cái</v>
      </c>
      <c r="G292" s="237">
        <f t="shared" ref="G292:G294" si="20">21916/3</f>
        <v>7305.333333333333</v>
      </c>
      <c r="H292" s="235"/>
      <c r="I292" s="237">
        <v>1</v>
      </c>
      <c r="J292" s="237">
        <f t="shared" si="16"/>
        <v>0</v>
      </c>
      <c r="K292" s="237">
        <f t="shared" si="10"/>
        <v>7305.333333333333</v>
      </c>
      <c r="L292" s="235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</row>
    <row r="293" spans="1:30" ht="13.2">
      <c r="A293" s="232">
        <v>354</v>
      </c>
      <c r="B293" s="236" t="s">
        <v>337</v>
      </c>
      <c r="C293" s="243">
        <v>45300</v>
      </c>
      <c r="D293" s="235" t="s">
        <v>439</v>
      </c>
      <c r="E293" s="235" t="str">
        <f>VLOOKUP(D293,'Danh mục hàng hóa'!$C$3:$D$600,2,0)</f>
        <v>Bao lì xì vui vẻ</v>
      </c>
      <c r="F293" s="236" t="str">
        <f>VLOOKUP(D293,'Danh mục hàng hóa'!$C$3:$E$613,3,0)</f>
        <v>set 6 cái</v>
      </c>
      <c r="G293" s="237">
        <f t="shared" si="20"/>
        <v>7305.333333333333</v>
      </c>
      <c r="H293" s="235"/>
      <c r="I293" s="237">
        <v>1</v>
      </c>
      <c r="J293" s="237">
        <f t="shared" si="16"/>
        <v>0</v>
      </c>
      <c r="K293" s="237">
        <f t="shared" si="10"/>
        <v>7305.333333333333</v>
      </c>
      <c r="L293" s="235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</row>
    <row r="294" spans="1:30" ht="13.2">
      <c r="A294" s="232">
        <v>355</v>
      </c>
      <c r="B294" s="236" t="s">
        <v>337</v>
      </c>
      <c r="C294" s="243">
        <v>45300</v>
      </c>
      <c r="D294" s="235" t="s">
        <v>440</v>
      </c>
      <c r="E294" s="235" t="str">
        <f>VLOOKUP(D294,'Danh mục hàng hóa'!$C$3:$D$600,2,0)</f>
        <v>Bao lì xì ngộ nghĩnh</v>
      </c>
      <c r="F294" s="236" t="str">
        <f>VLOOKUP(D294,'Danh mục hàng hóa'!$C$3:$E$613,3,0)</f>
        <v>set 6 cái</v>
      </c>
      <c r="G294" s="237">
        <f t="shared" si="20"/>
        <v>7305.333333333333</v>
      </c>
      <c r="H294" s="235"/>
      <c r="I294" s="237">
        <v>1</v>
      </c>
      <c r="J294" s="237">
        <f t="shared" si="16"/>
        <v>0</v>
      </c>
      <c r="K294" s="237">
        <f t="shared" si="10"/>
        <v>7305.333333333333</v>
      </c>
      <c r="L294" s="235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</row>
    <row r="295" spans="1:30" ht="13.2">
      <c r="A295" s="232">
        <v>356</v>
      </c>
      <c r="B295" s="236" t="s">
        <v>337</v>
      </c>
      <c r="C295" s="243">
        <v>45300</v>
      </c>
      <c r="D295" s="235" t="s">
        <v>435</v>
      </c>
      <c r="E295" s="235" t="str">
        <f>VLOOKUP(D295,'Danh mục hàng hóa'!$C$3:$D$600,2,0)</f>
        <v>Bao lì xì Tết tài lộc</v>
      </c>
      <c r="F295" s="236" t="str">
        <f>VLOOKUP(D295,'Danh mục hàng hóa'!$C$3:$E$613,3,0)</f>
        <v>set 6 cái</v>
      </c>
      <c r="G295" s="237">
        <f t="shared" ref="G295:G299" si="21">50036/8</f>
        <v>6254.5</v>
      </c>
      <c r="H295" s="235"/>
      <c r="I295" s="237">
        <v>2</v>
      </c>
      <c r="J295" s="237">
        <f t="shared" si="16"/>
        <v>0</v>
      </c>
      <c r="K295" s="237">
        <f t="shared" si="10"/>
        <v>12509</v>
      </c>
      <c r="L295" s="235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</row>
    <row r="296" spans="1:30" ht="13.2">
      <c r="A296" s="232">
        <v>357</v>
      </c>
      <c r="B296" s="236" t="s">
        <v>337</v>
      </c>
      <c r="C296" s="243">
        <v>45300</v>
      </c>
      <c r="D296" s="235" t="s">
        <v>437</v>
      </c>
      <c r="E296" s="235" t="str">
        <f>VLOOKUP(D296,'Danh mục hàng hóa'!$C$3:$D$600,2,0)</f>
        <v>Bao lì xì Tết hoa</v>
      </c>
      <c r="F296" s="236" t="str">
        <f>VLOOKUP(D296,'Danh mục hàng hóa'!$C$3:$E$613,3,0)</f>
        <v>set 6 cái</v>
      </c>
      <c r="G296" s="237">
        <f t="shared" si="21"/>
        <v>6254.5</v>
      </c>
      <c r="H296" s="235"/>
      <c r="I296" s="237">
        <v>2</v>
      </c>
      <c r="J296" s="237">
        <f t="shared" si="16"/>
        <v>0</v>
      </c>
      <c r="K296" s="237">
        <f t="shared" si="10"/>
        <v>12509</v>
      </c>
      <c r="L296" s="235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</row>
    <row r="297" spans="1:30" ht="13.2">
      <c r="A297" s="232">
        <v>358</v>
      </c>
      <c r="B297" s="236" t="s">
        <v>337</v>
      </c>
      <c r="C297" s="243">
        <v>45300</v>
      </c>
      <c r="D297" s="235" t="s">
        <v>438</v>
      </c>
      <c r="E297" s="235" t="str">
        <f>VLOOKUP(D297,'Danh mục hàng hóa'!$C$3:$D$600,2,0)</f>
        <v>Bao lì xì Tết xanh</v>
      </c>
      <c r="F297" s="236" t="str">
        <f>VLOOKUP(D297,'Danh mục hàng hóa'!$C$3:$E$613,3,0)</f>
        <v>set 6 cái</v>
      </c>
      <c r="G297" s="237">
        <f t="shared" si="21"/>
        <v>6254.5</v>
      </c>
      <c r="H297" s="235"/>
      <c r="I297" s="237">
        <v>2</v>
      </c>
      <c r="J297" s="237">
        <f t="shared" si="16"/>
        <v>0</v>
      </c>
      <c r="K297" s="237">
        <f t="shared" si="10"/>
        <v>12509</v>
      </c>
      <c r="L297" s="235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</row>
    <row r="298" spans="1:30" ht="13.2">
      <c r="A298" s="232">
        <v>359</v>
      </c>
      <c r="B298" s="236" t="s">
        <v>337</v>
      </c>
      <c r="C298" s="243">
        <v>45300</v>
      </c>
      <c r="D298" s="235" t="s">
        <v>439</v>
      </c>
      <c r="E298" s="235" t="str">
        <f>VLOOKUP(D298,'Danh mục hàng hóa'!$C$3:$D$600,2,0)</f>
        <v>Bao lì xì vui vẻ</v>
      </c>
      <c r="F298" s="236" t="str">
        <f>VLOOKUP(D298,'Danh mục hàng hóa'!$C$3:$E$613,3,0)</f>
        <v>set 6 cái</v>
      </c>
      <c r="G298" s="237">
        <f t="shared" si="21"/>
        <v>6254.5</v>
      </c>
      <c r="H298" s="235"/>
      <c r="I298" s="237">
        <v>1</v>
      </c>
      <c r="J298" s="237">
        <f t="shared" si="16"/>
        <v>0</v>
      </c>
      <c r="K298" s="237">
        <f t="shared" si="10"/>
        <v>6254.5</v>
      </c>
      <c r="L298" s="235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</row>
    <row r="299" spans="1:30" ht="13.2">
      <c r="A299" s="232">
        <v>360</v>
      </c>
      <c r="B299" s="236" t="s">
        <v>337</v>
      </c>
      <c r="C299" s="243">
        <v>45300</v>
      </c>
      <c r="D299" s="235" t="s">
        <v>440</v>
      </c>
      <c r="E299" s="235" t="str">
        <f>VLOOKUP(D299,'Danh mục hàng hóa'!$C$3:$D$600,2,0)</f>
        <v>Bao lì xì ngộ nghĩnh</v>
      </c>
      <c r="F299" s="236" t="str">
        <f>VLOOKUP(D299,'Danh mục hàng hóa'!$C$3:$E$613,3,0)</f>
        <v>set 6 cái</v>
      </c>
      <c r="G299" s="237">
        <f t="shared" si="21"/>
        <v>6254.5</v>
      </c>
      <c r="H299" s="235"/>
      <c r="I299" s="237">
        <v>1</v>
      </c>
      <c r="J299" s="237">
        <f t="shared" si="16"/>
        <v>0</v>
      </c>
      <c r="K299" s="237">
        <f t="shared" si="10"/>
        <v>6254.5</v>
      </c>
      <c r="L299" s="235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</row>
    <row r="300" spans="1:30" ht="13.2">
      <c r="A300" s="232">
        <v>361</v>
      </c>
      <c r="B300" s="236" t="s">
        <v>337</v>
      </c>
      <c r="C300" s="243">
        <v>45300</v>
      </c>
      <c r="D300" s="235" t="s">
        <v>478</v>
      </c>
      <c r="E300" s="235" t="str">
        <f>VLOOKUP(D300,'Danh mục hàng hóa'!$C$3:$D$600,2,0)</f>
        <v>Trâm cài hoa hồng</v>
      </c>
      <c r="F300" s="236" t="str">
        <f>VLOOKUP(D300,'Danh mục hàng hóa'!$C$3:$E$613,3,0)</f>
        <v>cái</v>
      </c>
      <c r="G300" s="237">
        <f t="shared" ref="G300:G301" si="22">27500/2</f>
        <v>13750</v>
      </c>
      <c r="H300" s="235"/>
      <c r="I300" s="237">
        <v>1</v>
      </c>
      <c r="J300" s="237">
        <f t="shared" si="16"/>
        <v>0</v>
      </c>
      <c r="K300" s="237">
        <f t="shared" si="10"/>
        <v>13750</v>
      </c>
      <c r="L300" s="235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</row>
    <row r="301" spans="1:30" ht="13.2">
      <c r="A301" s="232">
        <v>362</v>
      </c>
      <c r="B301" s="236" t="s">
        <v>337</v>
      </c>
      <c r="C301" s="243">
        <v>45300</v>
      </c>
      <c r="D301" s="235" t="s">
        <v>474</v>
      </c>
      <c r="E301" s="235" t="str">
        <f>VLOOKUP(D301,'Danh mục hàng hóa'!$C$3:$D$600,2,0)</f>
        <v>Trâm cài hoa xanh</v>
      </c>
      <c r="F301" s="236" t="str">
        <f>VLOOKUP(D301,'Danh mục hàng hóa'!$C$3:$E$613,3,0)</f>
        <v>cái</v>
      </c>
      <c r="G301" s="237">
        <f t="shared" si="22"/>
        <v>13750</v>
      </c>
      <c r="H301" s="235"/>
      <c r="I301" s="237">
        <v>1</v>
      </c>
      <c r="J301" s="237">
        <f t="shared" si="16"/>
        <v>0</v>
      </c>
      <c r="K301" s="237">
        <f t="shared" si="10"/>
        <v>13750</v>
      </c>
      <c r="L301" s="235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</row>
    <row r="302" spans="1:30" ht="13.2">
      <c r="A302" s="232">
        <v>363</v>
      </c>
      <c r="B302" s="236" t="s">
        <v>337</v>
      </c>
      <c r="C302" s="243">
        <v>45300</v>
      </c>
      <c r="D302" s="235" t="s">
        <v>431</v>
      </c>
      <c r="E302" s="235" t="str">
        <f>VLOOKUP(D302,'Danh mục hàng hóa'!$C$3:$D$600,2,0)</f>
        <v>Bao lì xì rồng con</v>
      </c>
      <c r="F302" s="236" t="str">
        <f>VLOOKUP(D302,'Danh mục hàng hóa'!$C$3:$E$613,3,0)</f>
        <v>túi 4 cái</v>
      </c>
      <c r="G302" s="237">
        <v>14000</v>
      </c>
      <c r="H302" s="235"/>
      <c r="I302" s="237">
        <v>4</v>
      </c>
      <c r="J302" s="237">
        <f t="shared" si="16"/>
        <v>0</v>
      </c>
      <c r="K302" s="237">
        <f t="shared" si="10"/>
        <v>56000</v>
      </c>
      <c r="L302" s="235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</row>
    <row r="303" spans="1:30" ht="13.2">
      <c r="A303" s="232">
        <v>364</v>
      </c>
      <c r="B303" s="236" t="s">
        <v>337</v>
      </c>
      <c r="C303" s="243">
        <v>45300</v>
      </c>
      <c r="D303" s="235" t="s">
        <v>438</v>
      </c>
      <c r="E303" s="235" t="str">
        <f>VLOOKUP(D303,'Danh mục hàng hóa'!$C$3:$D$600,2,0)</f>
        <v>Bao lì xì Tết xanh</v>
      </c>
      <c r="F303" s="236" t="str">
        <f>VLOOKUP(D303,'Danh mục hàng hóa'!$C$3:$E$613,3,0)</f>
        <v>set 6 cái</v>
      </c>
      <c r="G303" s="237">
        <v>6000</v>
      </c>
      <c r="H303" s="235"/>
      <c r="I303" s="237">
        <v>5</v>
      </c>
      <c r="J303" s="237">
        <f t="shared" si="16"/>
        <v>0</v>
      </c>
      <c r="K303" s="237">
        <f t="shared" si="10"/>
        <v>30000</v>
      </c>
      <c r="L303" s="235" t="s">
        <v>2140</v>
      </c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</row>
    <row r="304" spans="1:30" ht="13.2">
      <c r="A304" s="232">
        <v>365</v>
      </c>
      <c r="B304" s="236" t="s">
        <v>337</v>
      </c>
      <c r="C304" s="243">
        <v>45300</v>
      </c>
      <c r="D304" s="235" t="s">
        <v>438</v>
      </c>
      <c r="E304" s="235" t="str">
        <f>VLOOKUP(D304,'Danh mục hàng hóa'!$C$3:$D$600,2,0)</f>
        <v>Bao lì xì Tết xanh</v>
      </c>
      <c r="F304" s="236" t="str">
        <f>VLOOKUP(D304,'Danh mục hàng hóa'!$C$3:$E$613,3,0)</f>
        <v>set 6 cái</v>
      </c>
      <c r="G304" s="237">
        <v>6000</v>
      </c>
      <c r="H304" s="235"/>
      <c r="I304" s="237">
        <v>1</v>
      </c>
      <c r="J304" s="237">
        <f t="shared" si="16"/>
        <v>0</v>
      </c>
      <c r="K304" s="237">
        <f t="shared" si="10"/>
        <v>6000</v>
      </c>
      <c r="L304" s="235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</row>
    <row r="305" spans="1:30" ht="13.2">
      <c r="A305" s="232">
        <v>366</v>
      </c>
      <c r="B305" s="236" t="s">
        <v>337</v>
      </c>
      <c r="C305" s="243">
        <v>45300</v>
      </c>
      <c r="D305" s="235" t="s">
        <v>439</v>
      </c>
      <c r="E305" s="235" t="str">
        <f>VLOOKUP(D305,'Danh mục hàng hóa'!$C$3:$D$600,2,0)</f>
        <v>Bao lì xì vui vẻ</v>
      </c>
      <c r="F305" s="236" t="str">
        <f>VLOOKUP(D305,'Danh mục hàng hóa'!$C$3:$E$613,3,0)</f>
        <v>set 6 cái</v>
      </c>
      <c r="G305" s="237">
        <v>6000</v>
      </c>
      <c r="H305" s="235"/>
      <c r="I305" s="237">
        <v>1</v>
      </c>
      <c r="J305" s="237">
        <f t="shared" si="16"/>
        <v>0</v>
      </c>
      <c r="K305" s="237">
        <f t="shared" si="10"/>
        <v>6000</v>
      </c>
      <c r="L305" s="235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</row>
    <row r="306" spans="1:30" ht="13.2">
      <c r="A306" s="232">
        <v>367</v>
      </c>
      <c r="B306" s="236" t="s">
        <v>337</v>
      </c>
      <c r="C306" s="243">
        <v>45300</v>
      </c>
      <c r="D306" s="235" t="s">
        <v>435</v>
      </c>
      <c r="E306" s="235" t="str">
        <f>VLOOKUP(D306,'Danh mục hàng hóa'!$C$3:$D$600,2,0)</f>
        <v>Bao lì xì Tết tài lộc</v>
      </c>
      <c r="F306" s="236" t="str">
        <f>VLOOKUP(D306,'Danh mục hàng hóa'!$C$3:$E$613,3,0)</f>
        <v>set 6 cái</v>
      </c>
      <c r="G306" s="237">
        <v>6000</v>
      </c>
      <c r="H306" s="235"/>
      <c r="I306" s="237">
        <v>2</v>
      </c>
      <c r="J306" s="237">
        <f t="shared" si="16"/>
        <v>0</v>
      </c>
      <c r="K306" s="237">
        <f t="shared" si="10"/>
        <v>12000</v>
      </c>
      <c r="L306" s="235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</row>
    <row r="307" spans="1:30" ht="13.2">
      <c r="A307" s="232">
        <v>368</v>
      </c>
      <c r="B307" s="236" t="s">
        <v>337</v>
      </c>
      <c r="C307" s="243">
        <v>45300</v>
      </c>
      <c r="D307" s="235" t="s">
        <v>437</v>
      </c>
      <c r="E307" s="235" t="str">
        <f>VLOOKUP(D307,'Danh mục hàng hóa'!$C$3:$D$600,2,0)</f>
        <v>Bao lì xì Tết hoa</v>
      </c>
      <c r="F307" s="236" t="str">
        <f>VLOOKUP(D307,'Danh mục hàng hóa'!$C$3:$E$613,3,0)</f>
        <v>set 6 cái</v>
      </c>
      <c r="G307" s="237">
        <v>6000</v>
      </c>
      <c r="H307" s="235"/>
      <c r="I307" s="237">
        <v>1</v>
      </c>
      <c r="J307" s="237">
        <f t="shared" si="16"/>
        <v>0</v>
      </c>
      <c r="K307" s="237">
        <f t="shared" si="10"/>
        <v>6000</v>
      </c>
      <c r="L307" s="235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</row>
    <row r="308" spans="1:30" ht="13.2">
      <c r="A308" s="232">
        <v>369</v>
      </c>
      <c r="B308" s="236" t="s">
        <v>337</v>
      </c>
      <c r="C308" s="243">
        <v>45300</v>
      </c>
      <c r="D308" s="235" t="s">
        <v>438</v>
      </c>
      <c r="E308" s="235" t="str">
        <f>VLOOKUP(D308,'Danh mục hàng hóa'!$C$3:$D$600,2,0)</f>
        <v>Bao lì xì Tết xanh</v>
      </c>
      <c r="F308" s="236" t="str">
        <f>VLOOKUP(D308,'Danh mục hàng hóa'!$C$3:$E$613,3,0)</f>
        <v>set 6 cái</v>
      </c>
      <c r="G308" s="237">
        <v>6000</v>
      </c>
      <c r="H308" s="235"/>
      <c r="I308" s="237">
        <v>1</v>
      </c>
      <c r="J308" s="237">
        <f t="shared" si="16"/>
        <v>0</v>
      </c>
      <c r="K308" s="237">
        <f t="shared" si="10"/>
        <v>6000</v>
      </c>
      <c r="L308" s="235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</row>
    <row r="309" spans="1:30" ht="13.2">
      <c r="A309" s="232">
        <v>370</v>
      </c>
      <c r="B309" s="236" t="s">
        <v>337</v>
      </c>
      <c r="C309" s="243">
        <v>45300</v>
      </c>
      <c r="D309" s="235" t="s">
        <v>439</v>
      </c>
      <c r="E309" s="235" t="str">
        <f>VLOOKUP(D309,'Danh mục hàng hóa'!$C$3:$D$600,2,0)</f>
        <v>Bao lì xì vui vẻ</v>
      </c>
      <c r="F309" s="236" t="str">
        <f>VLOOKUP(D309,'Danh mục hàng hóa'!$C$3:$E$613,3,0)</f>
        <v>set 6 cái</v>
      </c>
      <c r="G309" s="237">
        <v>6000</v>
      </c>
      <c r="H309" s="235"/>
      <c r="I309" s="237">
        <v>2</v>
      </c>
      <c r="J309" s="237">
        <f t="shared" si="16"/>
        <v>0</v>
      </c>
      <c r="K309" s="237">
        <f t="shared" si="10"/>
        <v>12000</v>
      </c>
      <c r="L309" s="235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</row>
    <row r="310" spans="1:30" ht="13.2">
      <c r="A310" s="232">
        <v>371</v>
      </c>
      <c r="B310" s="236" t="s">
        <v>337</v>
      </c>
      <c r="C310" s="243">
        <v>45300</v>
      </c>
      <c r="D310" s="235" t="s">
        <v>431</v>
      </c>
      <c r="E310" s="235" t="str">
        <f>VLOOKUP(D310,'Danh mục hàng hóa'!$C$3:$D$600,2,0)</f>
        <v>Bao lì xì rồng con</v>
      </c>
      <c r="F310" s="236" t="str">
        <f>VLOOKUP(D310,'Danh mục hàng hóa'!$C$3:$E$613,3,0)</f>
        <v>túi 4 cái</v>
      </c>
      <c r="G310" s="237">
        <v>14000</v>
      </c>
      <c r="H310" s="235"/>
      <c r="I310" s="237">
        <v>4</v>
      </c>
      <c r="J310" s="237">
        <f t="shared" si="16"/>
        <v>0</v>
      </c>
      <c r="K310" s="237">
        <f t="shared" si="10"/>
        <v>56000</v>
      </c>
      <c r="L310" s="235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</row>
    <row r="311" spans="1:30" ht="13.2">
      <c r="A311" s="232">
        <v>372</v>
      </c>
      <c r="B311" s="236" t="s">
        <v>337</v>
      </c>
      <c r="C311" s="243">
        <v>45332</v>
      </c>
      <c r="D311" s="235" t="s">
        <v>431</v>
      </c>
      <c r="E311" s="235" t="str">
        <f>VLOOKUP(D311,'Danh mục hàng hóa'!$C$3:$D$600,2,0)</f>
        <v>Bao lì xì rồng con</v>
      </c>
      <c r="F311" s="236" t="str">
        <f>VLOOKUP(D311,'Danh mục hàng hóa'!$C$3:$E$613,3,0)</f>
        <v>túi 4 cái</v>
      </c>
      <c r="G311" s="237">
        <v>14000</v>
      </c>
      <c r="H311" s="235"/>
      <c r="I311" s="237">
        <v>5</v>
      </c>
      <c r="J311" s="237">
        <f t="shared" si="16"/>
        <v>0</v>
      </c>
      <c r="K311" s="237">
        <f t="shared" si="10"/>
        <v>70000</v>
      </c>
      <c r="L311" s="235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</row>
    <row r="312" spans="1:30" ht="13.2">
      <c r="A312" s="232">
        <v>373</v>
      </c>
      <c r="B312" s="236" t="s">
        <v>337</v>
      </c>
      <c r="C312" s="243">
        <v>45332</v>
      </c>
      <c r="D312" s="235" t="s">
        <v>435</v>
      </c>
      <c r="E312" s="235" t="str">
        <f>VLOOKUP(D312,'Danh mục hàng hóa'!$C$3:$D$600,2,0)</f>
        <v>Bao lì xì Tết tài lộc</v>
      </c>
      <c r="F312" s="236" t="str">
        <f>VLOOKUP(D312,'Danh mục hàng hóa'!$C$3:$E$613,3,0)</f>
        <v>set 6 cái</v>
      </c>
      <c r="G312" s="237">
        <v>6000</v>
      </c>
      <c r="H312" s="235"/>
      <c r="I312" s="237">
        <v>12</v>
      </c>
      <c r="J312" s="237">
        <f t="shared" si="16"/>
        <v>0</v>
      </c>
      <c r="K312" s="237">
        <f t="shared" si="10"/>
        <v>72000</v>
      </c>
      <c r="L312" s="235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</row>
    <row r="313" spans="1:30" ht="13.2">
      <c r="A313" s="232">
        <v>374</v>
      </c>
      <c r="B313" s="236" t="s">
        <v>337</v>
      </c>
      <c r="C313" s="243">
        <v>45332</v>
      </c>
      <c r="D313" s="235" t="s">
        <v>437</v>
      </c>
      <c r="E313" s="235" t="str">
        <f>VLOOKUP(D313,'Danh mục hàng hóa'!$C$3:$D$600,2,0)</f>
        <v>Bao lì xì Tết hoa</v>
      </c>
      <c r="F313" s="236" t="str">
        <f>VLOOKUP(D313,'Danh mục hàng hóa'!$C$3:$E$613,3,0)</f>
        <v>set 6 cái</v>
      </c>
      <c r="G313" s="237">
        <v>6000</v>
      </c>
      <c r="H313" s="235"/>
      <c r="I313" s="237">
        <v>11</v>
      </c>
      <c r="J313" s="237">
        <f t="shared" si="16"/>
        <v>0</v>
      </c>
      <c r="K313" s="237">
        <f t="shared" si="10"/>
        <v>66000</v>
      </c>
      <c r="L313" s="235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</row>
    <row r="314" spans="1:30" ht="13.2">
      <c r="A314" s="232">
        <v>375</v>
      </c>
      <c r="B314" s="236" t="s">
        <v>337</v>
      </c>
      <c r="C314" s="243">
        <v>45332</v>
      </c>
      <c r="D314" s="235" t="s">
        <v>438</v>
      </c>
      <c r="E314" s="235" t="str">
        <f>VLOOKUP(D314,'Danh mục hàng hóa'!$C$3:$D$600,2,0)</f>
        <v>Bao lì xì Tết xanh</v>
      </c>
      <c r="F314" s="236" t="str">
        <f>VLOOKUP(D314,'Danh mục hàng hóa'!$C$3:$E$613,3,0)</f>
        <v>set 6 cái</v>
      </c>
      <c r="G314" s="237">
        <v>6000</v>
      </c>
      <c r="H314" s="235"/>
      <c r="I314" s="237">
        <v>12</v>
      </c>
      <c r="J314" s="237">
        <f t="shared" si="16"/>
        <v>0</v>
      </c>
      <c r="K314" s="237">
        <f t="shared" si="10"/>
        <v>72000</v>
      </c>
      <c r="L314" s="235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</row>
    <row r="315" spans="1:30" ht="13.2">
      <c r="A315" s="232">
        <v>376</v>
      </c>
      <c r="B315" s="236" t="s">
        <v>337</v>
      </c>
      <c r="C315" s="243">
        <v>45332</v>
      </c>
      <c r="D315" s="235" t="s">
        <v>439</v>
      </c>
      <c r="E315" s="235" t="str">
        <f>VLOOKUP(D315,'Danh mục hàng hóa'!$C$3:$D$600,2,0)</f>
        <v>Bao lì xì vui vẻ</v>
      </c>
      <c r="F315" s="236" t="str">
        <f>VLOOKUP(D315,'Danh mục hàng hóa'!$C$3:$E$613,3,0)</f>
        <v>set 6 cái</v>
      </c>
      <c r="G315" s="237">
        <v>6000</v>
      </c>
      <c r="H315" s="235"/>
      <c r="I315" s="237">
        <v>11</v>
      </c>
      <c r="J315" s="237">
        <f t="shared" si="16"/>
        <v>0</v>
      </c>
      <c r="K315" s="237">
        <f t="shared" si="10"/>
        <v>66000</v>
      </c>
      <c r="L315" s="235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</row>
    <row r="316" spans="1:30" ht="13.2">
      <c r="A316" s="232">
        <v>377</v>
      </c>
      <c r="B316" s="236" t="s">
        <v>337</v>
      </c>
      <c r="C316" s="243">
        <v>45332</v>
      </c>
      <c r="D316" s="235" t="s">
        <v>440</v>
      </c>
      <c r="E316" s="235" t="str">
        <f>VLOOKUP(D316,'Danh mục hàng hóa'!$C$3:$D$600,2,0)</f>
        <v>Bao lì xì ngộ nghĩnh</v>
      </c>
      <c r="F316" s="236" t="str">
        <f>VLOOKUP(D316,'Danh mục hàng hóa'!$C$3:$E$613,3,0)</f>
        <v>set 6 cái</v>
      </c>
      <c r="G316" s="237">
        <v>6000</v>
      </c>
      <c r="H316" s="235"/>
      <c r="I316" s="237">
        <v>10</v>
      </c>
      <c r="J316" s="237">
        <f t="shared" si="16"/>
        <v>0</v>
      </c>
      <c r="K316" s="237">
        <f t="shared" si="10"/>
        <v>60000</v>
      </c>
      <c r="L316" s="235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</row>
    <row r="317" spans="1:30" ht="13.2">
      <c r="A317" s="232">
        <v>378</v>
      </c>
      <c r="B317" s="236" t="s">
        <v>337</v>
      </c>
      <c r="C317" s="243">
        <v>45332</v>
      </c>
      <c r="D317" s="235" t="s">
        <v>866</v>
      </c>
      <c r="E317" s="235" t="str">
        <f>VLOOKUP(D317,'Danh mục hàng hóa'!$C$3:$D$600,2,0)</f>
        <v>Thước dây hồng phấn</v>
      </c>
      <c r="F317" s="236" t="str">
        <f>VLOOKUP(D317,'Danh mục hàng hóa'!$C$3:$E$613,3,0)</f>
        <v>cái</v>
      </c>
      <c r="G317" s="237">
        <v>8000</v>
      </c>
      <c r="H317" s="235"/>
      <c r="I317" s="237">
        <v>1</v>
      </c>
      <c r="J317" s="237">
        <f t="shared" si="16"/>
        <v>0</v>
      </c>
      <c r="K317" s="237">
        <f t="shared" si="10"/>
        <v>8000</v>
      </c>
      <c r="L317" s="235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</row>
    <row r="318" spans="1:30" ht="13.2">
      <c r="A318" s="232">
        <v>379</v>
      </c>
      <c r="B318" s="236" t="s">
        <v>337</v>
      </c>
      <c r="C318" s="243">
        <v>45332</v>
      </c>
      <c r="D318" s="235" t="s">
        <v>874</v>
      </c>
      <c r="E318" s="235" t="str">
        <f>VLOOKUP(D318,'Danh mục hàng hóa'!$C$3:$D$600,2,0)</f>
        <v>Dao rọc giấy cún xanh</v>
      </c>
      <c r="F318" s="236" t="str">
        <f>VLOOKUP(D318,'Danh mục hàng hóa'!$C$3:$E$613,3,0)</f>
        <v>cái</v>
      </c>
      <c r="G318" s="237">
        <v>8000</v>
      </c>
      <c r="H318" s="235"/>
      <c r="I318" s="237">
        <v>1</v>
      </c>
      <c r="J318" s="237">
        <f t="shared" si="16"/>
        <v>0</v>
      </c>
      <c r="K318" s="237">
        <f t="shared" si="10"/>
        <v>8000</v>
      </c>
      <c r="L318" s="235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</row>
    <row r="319" spans="1:30" ht="13.2">
      <c r="A319" s="232">
        <v>380</v>
      </c>
      <c r="B319" s="236" t="s">
        <v>337</v>
      </c>
      <c r="C319" s="243">
        <v>45332</v>
      </c>
      <c r="D319" s="235" t="s">
        <v>878</v>
      </c>
      <c r="E319" s="235" t="str">
        <f>VLOOKUP(D319,'Danh mục hàng hóa'!$C$3:$D$600,2,0)</f>
        <v>Dao rọc giấy cún hồng</v>
      </c>
      <c r="F319" s="236" t="str">
        <f>VLOOKUP(D319,'Danh mục hàng hóa'!$C$3:$E$613,3,0)</f>
        <v>cái</v>
      </c>
      <c r="G319" s="237">
        <v>9000</v>
      </c>
      <c r="H319" s="235"/>
      <c r="I319" s="237">
        <v>1</v>
      </c>
      <c r="J319" s="237">
        <f t="shared" si="16"/>
        <v>0</v>
      </c>
      <c r="K319" s="237">
        <f t="shared" si="10"/>
        <v>9000</v>
      </c>
      <c r="L319" s="235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</row>
    <row r="320" spans="1:30" ht="13.2">
      <c r="A320" s="232">
        <v>381</v>
      </c>
      <c r="B320" s="236" t="s">
        <v>337</v>
      </c>
      <c r="C320" s="243">
        <v>45332</v>
      </c>
      <c r="D320" s="235" t="s">
        <v>438</v>
      </c>
      <c r="E320" s="235" t="str">
        <f>VLOOKUP(D320,'Danh mục hàng hóa'!$C$3:$D$600,2,0)</f>
        <v>Bao lì xì Tết xanh</v>
      </c>
      <c r="F320" s="236" t="str">
        <f>VLOOKUP(D320,'Danh mục hàng hóa'!$C$3:$E$613,3,0)</f>
        <v>set 6 cái</v>
      </c>
      <c r="G320" s="237">
        <f>31092-G317-G318-G319</f>
        <v>6092</v>
      </c>
      <c r="H320" s="235"/>
      <c r="I320" s="237">
        <v>1</v>
      </c>
      <c r="J320" s="237">
        <f t="shared" si="16"/>
        <v>0</v>
      </c>
      <c r="K320" s="237">
        <f t="shared" si="10"/>
        <v>6092</v>
      </c>
      <c r="L320" s="235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</row>
    <row r="321" spans="1:30" ht="13.2">
      <c r="A321" s="232">
        <v>382</v>
      </c>
      <c r="B321" s="236" t="s">
        <v>337</v>
      </c>
      <c r="C321" s="243">
        <v>45333</v>
      </c>
      <c r="D321" s="235" t="s">
        <v>431</v>
      </c>
      <c r="E321" s="235" t="str">
        <f>VLOOKUP(D321,'Danh mục hàng hóa'!$C$3:$D$600,2,0)</f>
        <v>Bao lì xì rồng con</v>
      </c>
      <c r="F321" s="236" t="str">
        <f>VLOOKUP(D321,'Danh mục hàng hóa'!$C$3:$E$613,3,0)</f>
        <v>túi 4 cái</v>
      </c>
      <c r="G321" s="237">
        <v>14000</v>
      </c>
      <c r="H321" s="235"/>
      <c r="I321" s="237">
        <v>1</v>
      </c>
      <c r="J321" s="237">
        <f t="shared" si="16"/>
        <v>0</v>
      </c>
      <c r="K321" s="237">
        <f t="shared" si="10"/>
        <v>14000</v>
      </c>
      <c r="L321" s="235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</row>
    <row r="322" spans="1:30" ht="13.2">
      <c r="A322" s="232">
        <v>383</v>
      </c>
      <c r="B322" s="236" t="s">
        <v>337</v>
      </c>
      <c r="C322" s="243">
        <v>45333</v>
      </c>
      <c r="D322" s="235" t="s">
        <v>435</v>
      </c>
      <c r="E322" s="235" t="str">
        <f>VLOOKUP(D322,'Danh mục hàng hóa'!$C$3:$D$600,2,0)</f>
        <v>Bao lì xì Tết tài lộc</v>
      </c>
      <c r="F322" s="236" t="str">
        <f>VLOOKUP(D322,'Danh mục hàng hóa'!$C$3:$E$613,3,0)</f>
        <v>set 6 cái</v>
      </c>
      <c r="G322" s="237">
        <v>6000</v>
      </c>
      <c r="H322" s="235"/>
      <c r="I322" s="237">
        <v>2</v>
      </c>
      <c r="J322" s="237">
        <f t="shared" si="16"/>
        <v>0</v>
      </c>
      <c r="K322" s="237">
        <f t="shared" si="10"/>
        <v>12000</v>
      </c>
      <c r="L322" s="235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</row>
    <row r="323" spans="1:30" ht="13.2">
      <c r="A323" s="232">
        <v>384</v>
      </c>
      <c r="B323" s="236" t="s">
        <v>337</v>
      </c>
      <c r="C323" s="243">
        <v>45333</v>
      </c>
      <c r="D323" s="235" t="s">
        <v>437</v>
      </c>
      <c r="E323" s="235" t="str">
        <f>VLOOKUP(D323,'Danh mục hàng hóa'!$C$3:$D$600,2,0)</f>
        <v>Bao lì xì Tết hoa</v>
      </c>
      <c r="F323" s="236" t="str">
        <f>VLOOKUP(D323,'Danh mục hàng hóa'!$C$3:$E$613,3,0)</f>
        <v>set 6 cái</v>
      </c>
      <c r="G323" s="237">
        <v>6000</v>
      </c>
      <c r="H323" s="235"/>
      <c r="I323" s="237">
        <v>1</v>
      </c>
      <c r="J323" s="237">
        <f t="shared" si="16"/>
        <v>0</v>
      </c>
      <c r="K323" s="237">
        <f t="shared" si="10"/>
        <v>6000</v>
      </c>
      <c r="L323" s="235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</row>
    <row r="324" spans="1:30" ht="13.2">
      <c r="A324" s="232">
        <v>385</v>
      </c>
      <c r="B324" s="236" t="s">
        <v>337</v>
      </c>
      <c r="C324" s="243">
        <v>45333</v>
      </c>
      <c r="D324" s="235" t="s">
        <v>438</v>
      </c>
      <c r="E324" s="235" t="str">
        <f>VLOOKUP(D324,'Danh mục hàng hóa'!$C$3:$D$600,2,0)</f>
        <v>Bao lì xì Tết xanh</v>
      </c>
      <c r="F324" s="236" t="str">
        <f>VLOOKUP(D324,'Danh mục hàng hóa'!$C$3:$E$613,3,0)</f>
        <v>set 6 cái</v>
      </c>
      <c r="G324" s="237">
        <v>6000</v>
      </c>
      <c r="H324" s="235"/>
      <c r="I324" s="237">
        <v>2</v>
      </c>
      <c r="J324" s="237">
        <f t="shared" si="16"/>
        <v>0</v>
      </c>
      <c r="K324" s="237">
        <f t="shared" si="10"/>
        <v>12000</v>
      </c>
      <c r="L324" s="235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</row>
    <row r="325" spans="1:30" ht="13.2">
      <c r="A325" s="232">
        <v>386</v>
      </c>
      <c r="B325" s="236" t="s">
        <v>337</v>
      </c>
      <c r="C325" s="243">
        <v>45333</v>
      </c>
      <c r="D325" s="235" t="s">
        <v>439</v>
      </c>
      <c r="E325" s="235" t="str">
        <f>VLOOKUP(D325,'Danh mục hàng hóa'!$C$3:$D$600,2,0)</f>
        <v>Bao lì xì vui vẻ</v>
      </c>
      <c r="F325" s="236" t="str">
        <f>VLOOKUP(D325,'Danh mục hàng hóa'!$C$3:$E$613,3,0)</f>
        <v>set 6 cái</v>
      </c>
      <c r="G325" s="237">
        <v>6000</v>
      </c>
      <c r="H325" s="235"/>
      <c r="I325" s="237">
        <v>1</v>
      </c>
      <c r="J325" s="237">
        <f t="shared" si="16"/>
        <v>0</v>
      </c>
      <c r="K325" s="237">
        <f t="shared" si="10"/>
        <v>6000</v>
      </c>
      <c r="L325" s="235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</row>
    <row r="326" spans="1:30" ht="13.2">
      <c r="A326" s="232">
        <v>387</v>
      </c>
      <c r="B326" s="236" t="s">
        <v>337</v>
      </c>
      <c r="C326" s="243">
        <v>45333</v>
      </c>
      <c r="D326" s="235" t="s">
        <v>440</v>
      </c>
      <c r="E326" s="235" t="str">
        <f>VLOOKUP(D326,'Danh mục hàng hóa'!$C$3:$D$600,2,0)</f>
        <v>Bao lì xì ngộ nghĩnh</v>
      </c>
      <c r="F326" s="236" t="str">
        <f>VLOOKUP(D326,'Danh mục hàng hóa'!$C$3:$E$613,3,0)</f>
        <v>set 6 cái</v>
      </c>
      <c r="G326" s="237">
        <v>6000</v>
      </c>
      <c r="H326" s="235"/>
      <c r="I326" s="237">
        <v>1</v>
      </c>
      <c r="J326" s="237">
        <f t="shared" si="16"/>
        <v>0</v>
      </c>
      <c r="K326" s="237">
        <f t="shared" si="10"/>
        <v>6000</v>
      </c>
      <c r="L326" s="235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</row>
    <row r="327" spans="1:30" ht="13.2">
      <c r="A327" s="232">
        <v>388</v>
      </c>
      <c r="B327" s="236" t="s">
        <v>337</v>
      </c>
      <c r="C327" s="243">
        <v>45333</v>
      </c>
      <c r="D327" s="235" t="s">
        <v>878</v>
      </c>
      <c r="E327" s="235" t="str">
        <f>VLOOKUP(D327,'Danh mục hàng hóa'!$C$3:$D$600,2,0)</f>
        <v>Dao rọc giấy cún hồng</v>
      </c>
      <c r="F327" s="236" t="str">
        <f>VLOOKUP(D327,'Danh mục hàng hóa'!$C$3:$E$613,3,0)</f>
        <v>cái</v>
      </c>
      <c r="G327" s="237">
        <v>5000</v>
      </c>
      <c r="H327" s="235"/>
      <c r="I327" s="237">
        <v>1</v>
      </c>
      <c r="J327" s="237">
        <f t="shared" si="16"/>
        <v>0</v>
      </c>
      <c r="K327" s="237">
        <f t="shared" si="10"/>
        <v>5000</v>
      </c>
      <c r="L327" s="235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</row>
    <row r="328" spans="1:30" ht="13.2">
      <c r="A328" s="232">
        <v>389</v>
      </c>
      <c r="B328" s="236" t="s">
        <v>337</v>
      </c>
      <c r="C328" s="243">
        <v>45333</v>
      </c>
      <c r="D328" s="235" t="s">
        <v>2141</v>
      </c>
      <c r="E328" s="235" t="str">
        <f>VLOOKUP(D328,'Danh mục hàng hóa'!$C$3:$D$600,2,0)</f>
        <v>Dao rọc giấy mèo tím</v>
      </c>
      <c r="F328" s="236" t="str">
        <f>VLOOKUP(D328,'Danh mục hàng hóa'!$C$3:$E$613,3,0)</f>
        <v>cái</v>
      </c>
      <c r="G328" s="237">
        <v>5000</v>
      </c>
      <c r="H328" s="235"/>
      <c r="I328" s="237">
        <v>1</v>
      </c>
      <c r="J328" s="237">
        <f t="shared" si="16"/>
        <v>0</v>
      </c>
      <c r="K328" s="237">
        <f t="shared" si="10"/>
        <v>5000</v>
      </c>
      <c r="L328" s="235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</row>
    <row r="329" spans="1:30" ht="13.2">
      <c r="A329" s="232">
        <v>390</v>
      </c>
      <c r="B329" s="236" t="s">
        <v>337</v>
      </c>
      <c r="C329" s="243">
        <v>45333</v>
      </c>
      <c r="D329" s="235" t="s">
        <v>2141</v>
      </c>
      <c r="E329" s="235" t="str">
        <f>VLOOKUP(D329,'Danh mục hàng hóa'!$C$3:$D$600,2,0)</f>
        <v>Dao rọc giấy mèo tím</v>
      </c>
      <c r="F329" s="236" t="str">
        <f>VLOOKUP(D329,'Danh mục hàng hóa'!$C$3:$E$613,3,0)</f>
        <v>cái</v>
      </c>
      <c r="G329" s="237">
        <v>0</v>
      </c>
      <c r="H329" s="235"/>
      <c r="I329" s="237">
        <v>1</v>
      </c>
      <c r="J329" s="237">
        <f t="shared" si="16"/>
        <v>0</v>
      </c>
      <c r="K329" s="237">
        <f t="shared" si="10"/>
        <v>0</v>
      </c>
      <c r="L329" s="235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</row>
    <row r="330" spans="1:30" ht="13.2">
      <c r="A330" s="232">
        <v>391</v>
      </c>
      <c r="B330" s="236" t="s">
        <v>337</v>
      </c>
      <c r="C330" s="243">
        <v>45333</v>
      </c>
      <c r="D330" s="235" t="s">
        <v>438</v>
      </c>
      <c r="E330" s="235" t="str">
        <f>VLOOKUP(D330,'Danh mục hàng hóa'!$C$3:$D$600,2,0)</f>
        <v>Bao lì xì Tết xanh</v>
      </c>
      <c r="F330" s="236" t="str">
        <f>VLOOKUP(D330,'Danh mục hàng hóa'!$C$3:$E$613,3,0)</f>
        <v>set 6 cái</v>
      </c>
      <c r="G330" s="237">
        <f>51684/7</f>
        <v>7383.4285714285716</v>
      </c>
      <c r="H330" s="235"/>
      <c r="I330" s="237">
        <v>7</v>
      </c>
      <c r="J330" s="237">
        <f t="shared" si="16"/>
        <v>0</v>
      </c>
      <c r="K330" s="237">
        <f t="shared" si="10"/>
        <v>51684</v>
      </c>
      <c r="L330" s="235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</row>
    <row r="331" spans="1:30" ht="13.2">
      <c r="A331" s="232">
        <v>392</v>
      </c>
      <c r="B331" s="236" t="s">
        <v>337</v>
      </c>
      <c r="C331" s="243">
        <v>45333</v>
      </c>
      <c r="D331" s="235" t="s">
        <v>438</v>
      </c>
      <c r="E331" s="235" t="str">
        <f>VLOOKUP(D331,'Danh mục hàng hóa'!$C$3:$D$600,2,0)</f>
        <v>Bao lì xì Tết xanh</v>
      </c>
      <c r="F331" s="236" t="str">
        <f>VLOOKUP(D331,'Danh mục hàng hóa'!$C$3:$E$613,3,0)</f>
        <v>set 6 cái</v>
      </c>
      <c r="G331" s="237">
        <f>45920/5</f>
        <v>9184</v>
      </c>
      <c r="H331" s="235"/>
      <c r="I331" s="237">
        <v>5</v>
      </c>
      <c r="J331" s="237">
        <f t="shared" si="16"/>
        <v>0</v>
      </c>
      <c r="K331" s="237">
        <f t="shared" si="10"/>
        <v>45920</v>
      </c>
      <c r="L331" s="235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</row>
    <row r="332" spans="1:30" ht="13.2">
      <c r="A332" s="232">
        <v>393</v>
      </c>
      <c r="B332" s="236" t="s">
        <v>337</v>
      </c>
      <c r="C332" s="243">
        <v>45333</v>
      </c>
      <c r="D332" s="235" t="s">
        <v>435</v>
      </c>
      <c r="E332" s="235" t="str">
        <f>VLOOKUP(D332,'Danh mục hàng hóa'!$C$3:$D$600,2,0)</f>
        <v>Bao lì xì Tết tài lộc</v>
      </c>
      <c r="F332" s="236" t="str">
        <f>VLOOKUP(D332,'Danh mục hàng hóa'!$C$3:$E$613,3,0)</f>
        <v>set 6 cái</v>
      </c>
      <c r="G332" s="237">
        <v>0</v>
      </c>
      <c r="H332" s="235"/>
      <c r="I332" s="237">
        <f>33-18</f>
        <v>15</v>
      </c>
      <c r="J332" s="237">
        <f t="shared" si="16"/>
        <v>0</v>
      </c>
      <c r="K332" s="237">
        <f t="shared" si="10"/>
        <v>0</v>
      </c>
      <c r="L332" s="235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</row>
    <row r="333" spans="1:30" ht="13.2">
      <c r="A333" s="232">
        <v>394</v>
      </c>
      <c r="B333" s="236" t="s">
        <v>337</v>
      </c>
      <c r="C333" s="243">
        <v>45333</v>
      </c>
      <c r="D333" s="235" t="s">
        <v>437</v>
      </c>
      <c r="E333" s="235" t="str">
        <f>VLOOKUP(D333,'Danh mục hàng hóa'!$C$3:$D$600,2,0)</f>
        <v>Bao lì xì Tết hoa</v>
      </c>
      <c r="F333" s="236" t="str">
        <f>VLOOKUP(D333,'Danh mục hàng hóa'!$C$3:$E$613,3,0)</f>
        <v>set 6 cái</v>
      </c>
      <c r="G333" s="237">
        <v>0</v>
      </c>
      <c r="H333" s="235"/>
      <c r="I333" s="237">
        <v>11</v>
      </c>
      <c r="J333" s="237">
        <f t="shared" si="16"/>
        <v>0</v>
      </c>
      <c r="K333" s="237">
        <f t="shared" si="10"/>
        <v>0</v>
      </c>
      <c r="L333" s="235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</row>
    <row r="334" spans="1:30" ht="13.2">
      <c r="A334" s="232">
        <v>395</v>
      </c>
      <c r="B334" s="236" t="s">
        <v>337</v>
      </c>
      <c r="C334" s="243">
        <v>45333</v>
      </c>
      <c r="D334" s="235" t="s">
        <v>438</v>
      </c>
      <c r="E334" s="235" t="str">
        <f>VLOOKUP(D334,'Danh mục hàng hóa'!$C$3:$D$600,2,0)</f>
        <v>Bao lì xì Tết xanh</v>
      </c>
      <c r="F334" s="236" t="str">
        <f>VLOOKUP(D334,'Danh mục hàng hóa'!$C$3:$E$613,3,0)</f>
        <v>set 6 cái</v>
      </c>
      <c r="G334" s="237">
        <v>0</v>
      </c>
      <c r="H334" s="235"/>
      <c r="I334" s="237">
        <v>0</v>
      </c>
      <c r="J334" s="237">
        <f t="shared" si="16"/>
        <v>0</v>
      </c>
      <c r="K334" s="237">
        <f t="shared" si="10"/>
        <v>0</v>
      </c>
      <c r="L334" s="235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</row>
    <row r="335" spans="1:30" ht="13.2">
      <c r="A335" s="232">
        <v>396</v>
      </c>
      <c r="B335" s="236" t="s">
        <v>337</v>
      </c>
      <c r="C335" s="243">
        <v>45333</v>
      </c>
      <c r="D335" s="235" t="s">
        <v>439</v>
      </c>
      <c r="E335" s="235" t="str">
        <f>VLOOKUP(D335,'Danh mục hàng hóa'!$C$3:$D$600,2,0)</f>
        <v>Bao lì xì vui vẻ</v>
      </c>
      <c r="F335" s="236" t="str">
        <f>VLOOKUP(D335,'Danh mục hàng hóa'!$C$3:$E$613,3,0)</f>
        <v>set 6 cái</v>
      </c>
      <c r="G335" s="237">
        <v>0</v>
      </c>
      <c r="H335" s="235"/>
      <c r="I335" s="237">
        <v>0</v>
      </c>
      <c r="J335" s="237">
        <f t="shared" si="16"/>
        <v>0</v>
      </c>
      <c r="K335" s="237">
        <f t="shared" si="10"/>
        <v>0</v>
      </c>
      <c r="L335" s="235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</row>
    <row r="336" spans="1:30" ht="13.2">
      <c r="A336" s="232">
        <v>397</v>
      </c>
      <c r="B336" s="236" t="s">
        <v>337</v>
      </c>
      <c r="C336" s="243">
        <v>45333</v>
      </c>
      <c r="D336" s="235" t="s">
        <v>440</v>
      </c>
      <c r="E336" s="235" t="str">
        <f>VLOOKUP(D336,'Danh mục hàng hóa'!$C$3:$D$600,2,0)</f>
        <v>Bao lì xì ngộ nghĩnh</v>
      </c>
      <c r="F336" s="236" t="str">
        <f>VLOOKUP(D336,'Danh mục hàng hóa'!$C$3:$E$613,3,0)</f>
        <v>set 6 cái</v>
      </c>
      <c r="G336" s="237">
        <v>0</v>
      </c>
      <c r="H336" s="235"/>
      <c r="I336" s="237">
        <v>4</v>
      </c>
      <c r="J336" s="237">
        <f t="shared" si="16"/>
        <v>0</v>
      </c>
      <c r="K336" s="237">
        <f t="shared" si="10"/>
        <v>0</v>
      </c>
      <c r="L336" s="235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</row>
    <row r="337" spans="1:30" ht="13.2">
      <c r="A337" s="232">
        <v>398</v>
      </c>
      <c r="B337" s="236" t="s">
        <v>337</v>
      </c>
      <c r="C337" s="243">
        <v>45333</v>
      </c>
      <c r="D337" s="235" t="s">
        <v>431</v>
      </c>
      <c r="E337" s="235" t="str">
        <f>VLOOKUP(D337,'Danh mục hàng hóa'!$C$3:$D$600,2,0)</f>
        <v>Bao lì xì rồng con</v>
      </c>
      <c r="F337" s="236" t="str">
        <f>VLOOKUP(D337,'Danh mục hàng hóa'!$C$3:$E$613,3,0)</f>
        <v>túi 4 cái</v>
      </c>
      <c r="G337" s="237">
        <v>14000</v>
      </c>
      <c r="H337" s="235"/>
      <c r="I337" s="237">
        <v>2</v>
      </c>
      <c r="J337" s="237">
        <f t="shared" si="16"/>
        <v>0</v>
      </c>
      <c r="K337" s="237">
        <f t="shared" si="10"/>
        <v>28000</v>
      </c>
      <c r="L337" s="416" t="s">
        <v>2142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</row>
    <row r="338" spans="1:30" ht="13.2">
      <c r="A338" s="232">
        <v>399</v>
      </c>
      <c r="B338" s="236" t="s">
        <v>337</v>
      </c>
      <c r="C338" s="243">
        <v>45333</v>
      </c>
      <c r="D338" s="235" t="s">
        <v>435</v>
      </c>
      <c r="E338" s="235" t="str">
        <f>VLOOKUP(D338,'Danh mục hàng hóa'!$C$3:$D$600,2,0)</f>
        <v>Bao lì xì Tết tài lộc</v>
      </c>
      <c r="F338" s="236" t="str">
        <f>VLOOKUP(D338,'Danh mục hàng hóa'!$C$3:$E$613,3,0)</f>
        <v>set 6 cái</v>
      </c>
      <c r="G338" s="237">
        <v>6000</v>
      </c>
      <c r="H338" s="235"/>
      <c r="I338" s="237">
        <v>1</v>
      </c>
      <c r="J338" s="237">
        <f t="shared" si="16"/>
        <v>0</v>
      </c>
      <c r="K338" s="237">
        <f t="shared" si="10"/>
        <v>6000</v>
      </c>
      <c r="L338" s="414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</row>
    <row r="339" spans="1:30" ht="13.2">
      <c r="A339" s="232">
        <v>400</v>
      </c>
      <c r="B339" s="236" t="s">
        <v>337</v>
      </c>
      <c r="C339" s="243">
        <v>45333</v>
      </c>
      <c r="D339" s="235" t="s">
        <v>437</v>
      </c>
      <c r="E339" s="235" t="str">
        <f>VLOOKUP(D339,'Danh mục hàng hóa'!$C$3:$D$600,2,0)</f>
        <v>Bao lì xì Tết hoa</v>
      </c>
      <c r="F339" s="236" t="str">
        <f>VLOOKUP(D339,'Danh mục hàng hóa'!$C$3:$E$613,3,0)</f>
        <v>set 6 cái</v>
      </c>
      <c r="G339" s="237">
        <v>6000</v>
      </c>
      <c r="H339" s="235"/>
      <c r="I339" s="237">
        <v>1</v>
      </c>
      <c r="J339" s="237">
        <f t="shared" si="16"/>
        <v>0</v>
      </c>
      <c r="K339" s="237">
        <f t="shared" si="10"/>
        <v>6000</v>
      </c>
      <c r="L339" s="415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</row>
    <row r="340" spans="1:30" ht="13.2">
      <c r="A340" s="232">
        <v>401</v>
      </c>
      <c r="B340" s="236" t="s">
        <v>337</v>
      </c>
      <c r="C340" s="243">
        <v>45333</v>
      </c>
      <c r="D340" s="235" t="s">
        <v>438</v>
      </c>
      <c r="E340" s="235"/>
      <c r="F340" s="235"/>
      <c r="G340" s="237">
        <f>40000/5</f>
        <v>8000</v>
      </c>
      <c r="H340" s="235"/>
      <c r="I340" s="237">
        <v>5</v>
      </c>
      <c r="J340" s="237">
        <f t="shared" si="16"/>
        <v>0</v>
      </c>
      <c r="K340" s="237">
        <f t="shared" si="10"/>
        <v>40000</v>
      </c>
      <c r="L340" s="235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</row>
    <row r="341" spans="1:30" ht="13.2">
      <c r="A341" s="232">
        <v>402</v>
      </c>
      <c r="B341" s="236" t="s">
        <v>337</v>
      </c>
      <c r="C341" s="243">
        <v>45333</v>
      </c>
      <c r="D341" s="235" t="s">
        <v>842</v>
      </c>
      <c r="E341" s="235" t="str">
        <f>VLOOKUP(D341,'Danh mục hàng hóa'!$C$3:$D$600,2,0)</f>
        <v>Hộp thuốc dấu chân cún</v>
      </c>
      <c r="F341" s="235"/>
      <c r="G341" s="237">
        <v>5920</v>
      </c>
      <c r="H341" s="235"/>
      <c r="I341" s="237">
        <v>1</v>
      </c>
      <c r="J341" s="237">
        <f t="shared" si="16"/>
        <v>0</v>
      </c>
      <c r="K341" s="237">
        <f t="shared" si="10"/>
        <v>5920</v>
      </c>
      <c r="L341" s="235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</row>
    <row r="342" spans="1:30" ht="13.2">
      <c r="A342" s="232">
        <v>403</v>
      </c>
      <c r="B342" s="236" t="s">
        <v>337</v>
      </c>
      <c r="C342" s="243">
        <v>45333</v>
      </c>
      <c r="D342" s="235" t="s">
        <v>431</v>
      </c>
      <c r="E342" s="235" t="str">
        <f>VLOOKUP(D342,'Danh mục hàng hóa'!$C$3:$D$600,2,0)</f>
        <v>Bao lì xì rồng con</v>
      </c>
      <c r="F342" s="236" t="str">
        <f>VLOOKUP(D342,'Danh mục hàng hóa'!$C$3:$E$613,3,0)</f>
        <v>túi 4 cái</v>
      </c>
      <c r="G342" s="237">
        <v>14000</v>
      </c>
      <c r="H342" s="235"/>
      <c r="I342" s="237">
        <v>2</v>
      </c>
      <c r="J342" s="237">
        <f t="shared" si="16"/>
        <v>0</v>
      </c>
      <c r="K342" s="237">
        <f t="shared" si="10"/>
        <v>28000</v>
      </c>
      <c r="L342" s="247" t="s">
        <v>2143</v>
      </c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</row>
    <row r="343" spans="1:30" ht="13.2">
      <c r="A343" s="232">
        <v>404</v>
      </c>
      <c r="B343" s="236" t="s">
        <v>337</v>
      </c>
      <c r="C343" s="243">
        <v>45333</v>
      </c>
      <c r="D343" s="235" t="s">
        <v>431</v>
      </c>
      <c r="E343" s="235" t="str">
        <f>VLOOKUP(D343,'Danh mục hàng hóa'!$C$3:$D$600,2,0)</f>
        <v>Bao lì xì rồng con</v>
      </c>
      <c r="F343" s="236" t="str">
        <f>VLOOKUP(D343,'Danh mục hàng hóa'!$C$3:$E$613,3,0)</f>
        <v>túi 4 cái</v>
      </c>
      <c r="G343" s="237">
        <v>14000</v>
      </c>
      <c r="H343" s="235"/>
      <c r="I343" s="237">
        <v>2</v>
      </c>
      <c r="J343" s="237">
        <f t="shared" si="16"/>
        <v>0</v>
      </c>
      <c r="K343" s="237">
        <f t="shared" si="10"/>
        <v>28000</v>
      </c>
      <c r="L343" s="235" t="s">
        <v>2144</v>
      </c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</row>
    <row r="344" spans="1:30" ht="13.2">
      <c r="A344" s="232">
        <v>405</v>
      </c>
      <c r="B344" s="236" t="s">
        <v>337</v>
      </c>
      <c r="C344" s="243">
        <v>45333</v>
      </c>
      <c r="D344" s="235" t="s">
        <v>433</v>
      </c>
      <c r="E344" s="235" t="str">
        <f>VLOOKUP(D344,'Danh mục hàng hóa'!$C$3:$D$600,2,0)</f>
        <v>Bao lì xì rồng lân</v>
      </c>
      <c r="F344" s="236" t="str">
        <f>VLOOKUP(D344,'Danh mục hàng hóa'!$C$3:$E$613,3,0)</f>
        <v>túi 4 cái</v>
      </c>
      <c r="G344" s="237">
        <v>14000</v>
      </c>
      <c r="H344" s="235"/>
      <c r="I344" s="237">
        <v>2</v>
      </c>
      <c r="J344" s="237">
        <f t="shared" si="16"/>
        <v>0</v>
      </c>
      <c r="K344" s="237">
        <f t="shared" si="10"/>
        <v>28000</v>
      </c>
      <c r="L344" s="235" t="s">
        <v>2144</v>
      </c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</row>
    <row r="345" spans="1:30" ht="13.2">
      <c r="A345" s="232">
        <v>406</v>
      </c>
      <c r="B345" s="236" t="s">
        <v>337</v>
      </c>
      <c r="C345" s="243">
        <v>45303</v>
      </c>
      <c r="D345" s="235" t="s">
        <v>438</v>
      </c>
      <c r="E345" s="235" t="str">
        <f>VLOOKUP(D345,'Danh mục hàng hóa'!$C$3:$D$600,2,0)</f>
        <v>Bao lì xì Tết xanh</v>
      </c>
      <c r="F345" s="236" t="str">
        <f>VLOOKUP(D345,'Danh mục hàng hóa'!$C$3:$E$613,3,0)</f>
        <v>set 6 cái</v>
      </c>
      <c r="G345" s="237">
        <v>6852</v>
      </c>
      <c r="H345" s="235"/>
      <c r="I345" s="237">
        <v>1</v>
      </c>
      <c r="J345" s="237">
        <f t="shared" si="16"/>
        <v>0</v>
      </c>
      <c r="K345" s="237">
        <f t="shared" si="10"/>
        <v>6852</v>
      </c>
      <c r="L345" s="235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</row>
    <row r="346" spans="1:30" ht="13.2">
      <c r="A346" s="232">
        <v>407</v>
      </c>
      <c r="B346" s="236" t="s">
        <v>337</v>
      </c>
      <c r="C346" s="243">
        <v>45303</v>
      </c>
      <c r="D346" s="235" t="s">
        <v>438</v>
      </c>
      <c r="E346" s="235" t="str">
        <f>VLOOKUP(D346,'Danh mục hàng hóa'!$C$3:$D$600,2,0)</f>
        <v>Bao lì xì Tết xanh</v>
      </c>
      <c r="F346" s="236" t="str">
        <f>VLOOKUP(D346,'Danh mục hàng hóa'!$C$3:$E$613,3,0)</f>
        <v>set 6 cái</v>
      </c>
      <c r="G346" s="237">
        <f>51680/7</f>
        <v>7382.8571428571431</v>
      </c>
      <c r="H346" s="235"/>
      <c r="I346" s="237">
        <v>7</v>
      </c>
      <c r="J346" s="237">
        <f t="shared" si="16"/>
        <v>0</v>
      </c>
      <c r="K346" s="237">
        <f t="shared" si="10"/>
        <v>51680</v>
      </c>
      <c r="L346" s="235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</row>
    <row r="347" spans="1:30" ht="13.2">
      <c r="A347" s="232">
        <v>408</v>
      </c>
      <c r="B347" s="236" t="s">
        <v>337</v>
      </c>
      <c r="C347" s="243">
        <v>45303</v>
      </c>
      <c r="D347" s="235" t="s">
        <v>586</v>
      </c>
      <c r="E347" s="235" t="str">
        <f>VLOOKUP(D347,'Danh mục hàng hóa'!$C$3:$D$600,2,0)</f>
        <v>Kẹp tóc nhựa nâu nhạt</v>
      </c>
      <c r="F347" s="236" t="str">
        <f>VLOOKUP(D347,'Danh mục hàng hóa'!$C$3:$E$613,3,0)</f>
        <v>cái</v>
      </c>
      <c r="G347" s="237">
        <v>13860</v>
      </c>
      <c r="H347" s="235"/>
      <c r="I347" s="237">
        <v>1</v>
      </c>
      <c r="J347" s="237">
        <f t="shared" si="16"/>
        <v>0</v>
      </c>
      <c r="K347" s="237">
        <f t="shared" si="10"/>
        <v>13860</v>
      </c>
      <c r="L347" s="235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</row>
    <row r="348" spans="1:30" ht="13.2">
      <c r="A348" s="232">
        <v>409</v>
      </c>
      <c r="B348" s="236" t="s">
        <v>337</v>
      </c>
      <c r="C348" s="243">
        <v>45303</v>
      </c>
      <c r="D348" s="235" t="s">
        <v>878</v>
      </c>
      <c r="E348" s="235" t="str">
        <f>VLOOKUP(D348,'Danh mục hàng hóa'!$C$3:$D$600,2,0)</f>
        <v>Dao rọc giấy cún hồng</v>
      </c>
      <c r="F348" s="236" t="str">
        <f>VLOOKUP(D348,'Danh mục hàng hóa'!$C$3:$E$613,3,0)</f>
        <v>cái</v>
      </c>
      <c r="G348" s="237">
        <v>8000</v>
      </c>
      <c r="H348" s="235"/>
      <c r="I348" s="237">
        <v>1</v>
      </c>
      <c r="J348" s="237">
        <f t="shared" si="16"/>
        <v>0</v>
      </c>
      <c r="K348" s="237">
        <f t="shared" si="10"/>
        <v>8000</v>
      </c>
      <c r="L348" s="235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</row>
    <row r="349" spans="1:30" ht="13.2">
      <c r="A349" s="232">
        <v>410</v>
      </c>
      <c r="B349" s="236" t="s">
        <v>337</v>
      </c>
      <c r="C349" s="243">
        <v>45303</v>
      </c>
      <c r="D349" s="235" t="s">
        <v>440</v>
      </c>
      <c r="E349" s="235" t="str">
        <f>VLOOKUP(D349,'Danh mục hàng hóa'!$C$3:$D$600,2,0)</f>
        <v>Bao lì xì ngộ nghĩnh</v>
      </c>
      <c r="F349" s="236" t="str">
        <f>VLOOKUP(D349,'Danh mục hàng hóa'!$C$3:$E$613,3,0)</f>
        <v>set 6 cái</v>
      </c>
      <c r="G349" s="237">
        <v>8000</v>
      </c>
      <c r="H349" s="235"/>
      <c r="I349" s="237">
        <v>1</v>
      </c>
      <c r="J349" s="237">
        <f t="shared" si="16"/>
        <v>0</v>
      </c>
      <c r="K349" s="237">
        <f t="shared" si="10"/>
        <v>8000</v>
      </c>
      <c r="L349" s="235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</row>
    <row r="350" spans="1:30" ht="13.2">
      <c r="A350" s="232">
        <v>411</v>
      </c>
      <c r="B350" s="236" t="s">
        <v>337</v>
      </c>
      <c r="C350" s="243">
        <v>45303</v>
      </c>
      <c r="D350" s="235" t="s">
        <v>895</v>
      </c>
      <c r="E350" s="235" t="str">
        <f>VLOOKUP(D350,'Danh mục hàng hóa'!$C$3:$D$600,2,0)</f>
        <v>Thỏ chong chóng</v>
      </c>
      <c r="F350" s="236" t="str">
        <f>VLOOKUP(D350,'Danh mục hàng hóa'!$C$3:$E$613,3,0)</f>
        <v>cái</v>
      </c>
      <c r="G350" s="237">
        <f t="shared" ref="G350:G351" si="23">(110292-16000)/2</f>
        <v>47146</v>
      </c>
      <c r="H350" s="235"/>
      <c r="I350" s="237">
        <v>1</v>
      </c>
      <c r="J350" s="237">
        <f t="shared" si="16"/>
        <v>0</v>
      </c>
      <c r="K350" s="237">
        <f t="shared" si="10"/>
        <v>47146</v>
      </c>
      <c r="L350" s="235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</row>
    <row r="351" spans="1:30" ht="13.2">
      <c r="A351" s="232">
        <v>412</v>
      </c>
      <c r="B351" s="236" t="s">
        <v>337</v>
      </c>
      <c r="C351" s="243">
        <v>45303</v>
      </c>
      <c r="D351" s="235" t="s">
        <v>885</v>
      </c>
      <c r="E351" s="235" t="str">
        <f>VLOOKUP(D351,'Danh mục hàng hóa'!$C$3:$D$600,2,0)</f>
        <v>Gấu chong chóng</v>
      </c>
      <c r="F351" s="236" t="str">
        <f>VLOOKUP(D351,'Danh mục hàng hóa'!$C$3:$E$613,3,0)</f>
        <v>cái</v>
      </c>
      <c r="G351" s="237">
        <f t="shared" si="23"/>
        <v>47146</v>
      </c>
      <c r="H351" s="235"/>
      <c r="I351" s="237">
        <v>1</v>
      </c>
      <c r="J351" s="237">
        <f t="shared" si="16"/>
        <v>0</v>
      </c>
      <c r="K351" s="237">
        <f t="shared" si="10"/>
        <v>47146</v>
      </c>
      <c r="L351" s="235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</row>
    <row r="352" spans="1:30" ht="13.2">
      <c r="A352" s="232">
        <v>413</v>
      </c>
      <c r="B352" s="236" t="s">
        <v>337</v>
      </c>
      <c r="C352" s="243">
        <v>45303</v>
      </c>
      <c r="D352" s="235" t="s">
        <v>392</v>
      </c>
      <c r="E352" s="235" t="str">
        <f>VLOOKUP(D352,'Danh mục hàng hóa'!$C$3:$D$600,2,0)</f>
        <v>Túi chườm bụng trái bơ 1000ml</v>
      </c>
      <c r="F352" s="236" t="str">
        <f>VLOOKUP(D352,'Danh mục hàng hóa'!$C$3:$E$613,3,0)</f>
        <v>túi</v>
      </c>
      <c r="G352" s="237">
        <v>95920</v>
      </c>
      <c r="H352" s="235"/>
      <c r="I352" s="237">
        <v>1</v>
      </c>
      <c r="J352" s="237">
        <f t="shared" si="16"/>
        <v>0</v>
      </c>
      <c r="K352" s="237">
        <f t="shared" si="10"/>
        <v>95920</v>
      </c>
      <c r="L352" s="235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</row>
    <row r="353" spans="1:30" ht="13.2">
      <c r="A353" s="232">
        <v>414</v>
      </c>
      <c r="B353" s="236" t="s">
        <v>337</v>
      </c>
      <c r="C353" s="243">
        <v>45304</v>
      </c>
      <c r="D353" s="235" t="s">
        <v>413</v>
      </c>
      <c r="E353" s="235" t="str">
        <f>VLOOKUP(D353,'Danh mục hàng hóa'!$C$3:$D$600,2,0)</f>
        <v>Túi chườm bụng trái bơ 500ml</v>
      </c>
      <c r="F353" s="236" t="str">
        <f>VLOOKUP(D353,'Danh mục hàng hóa'!$C$3:$E$613,3,0)</f>
        <v>túi</v>
      </c>
      <c r="G353" s="237">
        <v>78000</v>
      </c>
      <c r="H353" s="235"/>
      <c r="I353" s="237">
        <v>1</v>
      </c>
      <c r="J353" s="237">
        <f t="shared" si="16"/>
        <v>0</v>
      </c>
      <c r="K353" s="237">
        <f t="shared" si="10"/>
        <v>78000</v>
      </c>
      <c r="L353" s="235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</row>
    <row r="354" spans="1:30" ht="13.2">
      <c r="A354" s="232">
        <v>415</v>
      </c>
      <c r="B354" s="236" t="s">
        <v>337</v>
      </c>
      <c r="C354" s="243">
        <v>45304</v>
      </c>
      <c r="D354" s="235" t="s">
        <v>435</v>
      </c>
      <c r="E354" s="235" t="str">
        <f>VLOOKUP(D354,'Danh mục hàng hóa'!$C$3:$D$600,2,0)</f>
        <v>Bao lì xì Tết tài lộc</v>
      </c>
      <c r="F354" s="236" t="str">
        <f>VLOOKUP(D354,'Danh mục hàng hóa'!$C$3:$E$613,3,0)</f>
        <v>set 6 cái</v>
      </c>
      <c r="G354" s="237">
        <v>6154</v>
      </c>
      <c r="H354" s="235"/>
      <c r="I354" s="237">
        <v>2</v>
      </c>
      <c r="J354" s="237">
        <f t="shared" si="16"/>
        <v>0</v>
      </c>
      <c r="K354" s="237">
        <f t="shared" si="10"/>
        <v>12308</v>
      </c>
      <c r="L354" s="235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</row>
    <row r="355" spans="1:30" ht="13.2">
      <c r="A355" s="232">
        <v>416</v>
      </c>
      <c r="B355" s="236" t="s">
        <v>337</v>
      </c>
      <c r="C355" s="243">
        <v>45304</v>
      </c>
      <c r="D355" s="235" t="s">
        <v>437</v>
      </c>
      <c r="E355" s="235" t="str">
        <f>VLOOKUP(D355,'Danh mục hàng hóa'!$C$3:$D$600,2,0)</f>
        <v>Bao lì xì Tết hoa</v>
      </c>
      <c r="F355" s="236" t="str">
        <f>VLOOKUP(D355,'Danh mục hàng hóa'!$C$3:$E$613,3,0)</f>
        <v>set 6 cái</v>
      </c>
      <c r="G355" s="237">
        <v>6154</v>
      </c>
      <c r="H355" s="235"/>
      <c r="I355" s="237">
        <v>2</v>
      </c>
      <c r="J355" s="237">
        <f t="shared" si="16"/>
        <v>0</v>
      </c>
      <c r="K355" s="237">
        <f t="shared" si="10"/>
        <v>12308</v>
      </c>
      <c r="L355" s="235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</row>
    <row r="356" spans="1:30" ht="13.2">
      <c r="A356" s="232">
        <v>417</v>
      </c>
      <c r="B356" s="236" t="s">
        <v>337</v>
      </c>
      <c r="C356" s="243">
        <v>45304</v>
      </c>
      <c r="D356" s="235" t="s">
        <v>438</v>
      </c>
      <c r="E356" s="235" t="str">
        <f>VLOOKUP(D356,'Danh mục hàng hóa'!$C$3:$D$600,2,0)</f>
        <v>Bao lì xì Tết xanh</v>
      </c>
      <c r="F356" s="236" t="str">
        <f>VLOOKUP(D356,'Danh mục hàng hóa'!$C$3:$E$613,3,0)</f>
        <v>set 6 cái</v>
      </c>
      <c r="G356" s="237">
        <v>6154</v>
      </c>
      <c r="H356" s="235"/>
      <c r="I356" s="237">
        <v>2</v>
      </c>
      <c r="J356" s="237">
        <f t="shared" si="16"/>
        <v>0</v>
      </c>
      <c r="K356" s="237">
        <f t="shared" si="10"/>
        <v>12308</v>
      </c>
      <c r="L356" s="235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</row>
    <row r="357" spans="1:30" ht="13.2">
      <c r="A357" s="232">
        <v>418</v>
      </c>
      <c r="B357" s="236" t="s">
        <v>337</v>
      </c>
      <c r="C357" s="243">
        <v>45304</v>
      </c>
      <c r="D357" s="235" t="s">
        <v>2145</v>
      </c>
      <c r="E357" s="235" t="str">
        <f>VLOOKUP(D357,'Danh mục hàng hóa'!$C$3:$D$600,2,0)</f>
        <v>Bao lì xì vui vẻ</v>
      </c>
      <c r="F357" s="236" t="str">
        <f>VLOOKUP(D357,'Danh mục hàng hóa'!$C$3:$E$613,3,0)</f>
        <v>set 6 cái</v>
      </c>
      <c r="G357" s="237">
        <v>6154</v>
      </c>
      <c r="H357" s="235"/>
      <c r="I357" s="237">
        <v>2</v>
      </c>
      <c r="J357" s="237">
        <f t="shared" si="16"/>
        <v>0</v>
      </c>
      <c r="K357" s="237">
        <f t="shared" si="10"/>
        <v>12308</v>
      </c>
      <c r="L357" s="235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</row>
    <row r="358" spans="1:30" ht="13.2">
      <c r="A358" s="232">
        <v>419</v>
      </c>
      <c r="B358" s="236" t="s">
        <v>337</v>
      </c>
      <c r="C358" s="243">
        <v>45304</v>
      </c>
      <c r="D358" s="235" t="s">
        <v>1712</v>
      </c>
      <c r="E358" s="235" t="str">
        <f>VLOOKUP(D358,'Danh mục hàng hóa'!$C$3:$D$600,2,0)</f>
        <v>Bao lì xì ngộ nghĩnh</v>
      </c>
      <c r="F358" s="236" t="str">
        <f>VLOOKUP(D358,'Danh mục hàng hóa'!$C$3:$E$613,3,0)</f>
        <v>set 6 cái</v>
      </c>
      <c r="G358" s="237">
        <v>6154</v>
      </c>
      <c r="H358" s="235"/>
      <c r="I358" s="237">
        <v>2</v>
      </c>
      <c r="J358" s="237">
        <f t="shared" si="16"/>
        <v>0</v>
      </c>
      <c r="K358" s="237">
        <f t="shared" si="10"/>
        <v>12308</v>
      </c>
      <c r="L358" s="235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</row>
    <row r="359" spans="1:30" ht="13.2">
      <c r="A359" s="232">
        <v>420</v>
      </c>
      <c r="B359" s="236" t="s">
        <v>337</v>
      </c>
      <c r="C359" s="243">
        <v>45304</v>
      </c>
      <c r="D359" s="235" t="s">
        <v>435</v>
      </c>
      <c r="E359" s="235" t="str">
        <f>VLOOKUP(D359,'Danh mục hàng hóa'!$C$3:$D$600,2,0)</f>
        <v>Bao lì xì Tết tài lộc</v>
      </c>
      <c r="F359" s="236" t="str">
        <f>VLOOKUP(D359,'Danh mục hàng hóa'!$C$3:$E$613,3,0)</f>
        <v>set 6 cái</v>
      </c>
      <c r="G359" s="237">
        <f t="shared" ref="G359:G360" si="24">39892/6</f>
        <v>6648.666666666667</v>
      </c>
      <c r="H359" s="235"/>
      <c r="I359" s="237">
        <v>3</v>
      </c>
      <c r="J359" s="237">
        <f t="shared" si="16"/>
        <v>0</v>
      </c>
      <c r="K359" s="237">
        <f t="shared" si="10"/>
        <v>19946</v>
      </c>
      <c r="L359" s="235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</row>
    <row r="360" spans="1:30" ht="13.2">
      <c r="A360" s="232">
        <v>421</v>
      </c>
      <c r="B360" s="236" t="s">
        <v>337</v>
      </c>
      <c r="C360" s="243">
        <v>45304</v>
      </c>
      <c r="D360" s="235" t="s">
        <v>440</v>
      </c>
      <c r="E360" s="235" t="str">
        <f>VLOOKUP(D360,'Danh mục hàng hóa'!$C$3:$D$600,2,0)</f>
        <v>Bao lì xì ngộ nghĩnh</v>
      </c>
      <c r="F360" s="236" t="str">
        <f>VLOOKUP(D360,'Danh mục hàng hóa'!$C$3:$E$613,3,0)</f>
        <v>set 6 cái</v>
      </c>
      <c r="G360" s="237">
        <f t="shared" si="24"/>
        <v>6648.666666666667</v>
      </c>
      <c r="H360" s="235"/>
      <c r="I360" s="237">
        <v>3</v>
      </c>
      <c r="J360" s="237">
        <f t="shared" si="16"/>
        <v>0</v>
      </c>
      <c r="K360" s="237">
        <f t="shared" si="10"/>
        <v>19946</v>
      </c>
      <c r="L360" s="235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</row>
    <row r="361" spans="1:30" ht="13.2">
      <c r="A361" s="232">
        <v>422</v>
      </c>
      <c r="B361" s="235" t="s">
        <v>337</v>
      </c>
      <c r="C361" s="243">
        <v>45304</v>
      </c>
      <c r="D361" s="235" t="s">
        <v>435</v>
      </c>
      <c r="E361" s="235" t="str">
        <f>VLOOKUP(D361,'Danh mục hàng hóa'!$C$3:$D$600,2,0)</f>
        <v>Bao lì xì Tết tài lộc</v>
      </c>
      <c r="F361" s="236" t="str">
        <f>VLOOKUP(D361,'Danh mục hàng hóa'!$C$3:$E$613,3,0)</f>
        <v>set 6 cái</v>
      </c>
      <c r="G361" s="237">
        <f t="shared" ref="G361:G364" si="25">30800/5</f>
        <v>6160</v>
      </c>
      <c r="H361" s="235"/>
      <c r="I361" s="237">
        <v>1</v>
      </c>
      <c r="J361" s="237">
        <f t="shared" si="16"/>
        <v>0</v>
      </c>
      <c r="K361" s="237">
        <f t="shared" si="10"/>
        <v>6160</v>
      </c>
      <c r="L361" s="235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</row>
    <row r="362" spans="1:30" ht="13.2">
      <c r="A362" s="232">
        <v>423</v>
      </c>
      <c r="B362" s="235" t="s">
        <v>337</v>
      </c>
      <c r="C362" s="243">
        <v>45304</v>
      </c>
      <c r="D362" s="235" t="s">
        <v>437</v>
      </c>
      <c r="E362" s="235" t="str">
        <f>VLOOKUP(D362,'Danh mục hàng hóa'!$C$3:$D$600,2,0)</f>
        <v>Bao lì xì Tết hoa</v>
      </c>
      <c r="F362" s="236" t="str">
        <f>VLOOKUP(D362,'Danh mục hàng hóa'!$C$3:$E$613,3,0)</f>
        <v>set 6 cái</v>
      </c>
      <c r="G362" s="237">
        <f t="shared" si="25"/>
        <v>6160</v>
      </c>
      <c r="H362" s="235"/>
      <c r="I362" s="237">
        <v>1</v>
      </c>
      <c r="J362" s="237">
        <f t="shared" si="16"/>
        <v>0</v>
      </c>
      <c r="K362" s="237">
        <f t="shared" si="10"/>
        <v>6160</v>
      </c>
      <c r="L362" s="235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</row>
    <row r="363" spans="1:30" ht="13.2">
      <c r="A363" s="232">
        <v>424</v>
      </c>
      <c r="B363" s="235" t="s">
        <v>337</v>
      </c>
      <c r="C363" s="243">
        <v>45304</v>
      </c>
      <c r="D363" s="235" t="s">
        <v>438</v>
      </c>
      <c r="E363" s="235" t="str">
        <f>VLOOKUP(D363,'Danh mục hàng hóa'!$C$3:$D$600,2,0)</f>
        <v>Bao lì xì Tết xanh</v>
      </c>
      <c r="F363" s="236" t="str">
        <f>VLOOKUP(D363,'Danh mục hàng hóa'!$C$3:$E$613,3,0)</f>
        <v>set 6 cái</v>
      </c>
      <c r="G363" s="237">
        <f t="shared" si="25"/>
        <v>6160</v>
      </c>
      <c r="H363" s="235"/>
      <c r="I363" s="237">
        <v>1</v>
      </c>
      <c r="J363" s="237">
        <f t="shared" si="16"/>
        <v>0</v>
      </c>
      <c r="K363" s="237">
        <f t="shared" si="10"/>
        <v>6160</v>
      </c>
      <c r="L363" s="235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</row>
    <row r="364" spans="1:30" ht="13.2">
      <c r="A364" s="232">
        <v>425</v>
      </c>
      <c r="B364" s="235" t="s">
        <v>337</v>
      </c>
      <c r="C364" s="243">
        <v>45304</v>
      </c>
      <c r="D364" s="235" t="s">
        <v>2145</v>
      </c>
      <c r="E364" s="235" t="str">
        <f>VLOOKUP(D364,'Danh mục hàng hóa'!$C$3:$D$600,2,0)</f>
        <v>Bao lì xì vui vẻ</v>
      </c>
      <c r="F364" s="236" t="str">
        <f>VLOOKUP(D364,'Danh mục hàng hóa'!$C$3:$E$613,3,0)</f>
        <v>set 6 cái</v>
      </c>
      <c r="G364" s="237">
        <f t="shared" si="25"/>
        <v>6160</v>
      </c>
      <c r="H364" s="235"/>
      <c r="I364" s="237">
        <v>1</v>
      </c>
      <c r="J364" s="237">
        <f t="shared" si="16"/>
        <v>0</v>
      </c>
      <c r="K364" s="237">
        <f t="shared" si="10"/>
        <v>6160</v>
      </c>
      <c r="L364" s="235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</row>
    <row r="365" spans="1:30" ht="13.2">
      <c r="A365" s="232">
        <v>426</v>
      </c>
      <c r="B365" s="235" t="s">
        <v>337</v>
      </c>
      <c r="C365" s="243">
        <v>45304</v>
      </c>
      <c r="D365" s="235" t="s">
        <v>435</v>
      </c>
      <c r="E365" s="235" t="str">
        <f>VLOOKUP(D365,'Danh mục hàng hóa'!$C$3:$D$600,2,0)</f>
        <v>Bao lì xì Tết tài lộc</v>
      </c>
      <c r="F365" s="236" t="str">
        <f>VLOOKUP(D365,'Danh mục hàng hóa'!$C$3:$E$613,3,0)</f>
        <v>set 6 cái</v>
      </c>
      <c r="G365" s="237">
        <f t="shared" ref="G365:G369" si="26">61540/10</f>
        <v>6154</v>
      </c>
      <c r="H365" s="235"/>
      <c r="I365" s="237">
        <v>2</v>
      </c>
      <c r="J365" s="237">
        <f t="shared" si="16"/>
        <v>0</v>
      </c>
      <c r="K365" s="237">
        <f t="shared" si="10"/>
        <v>12308</v>
      </c>
      <c r="L365" s="235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</row>
    <row r="366" spans="1:30" ht="13.2">
      <c r="A366" s="232">
        <v>427</v>
      </c>
      <c r="B366" s="235" t="s">
        <v>337</v>
      </c>
      <c r="C366" s="243">
        <v>45304</v>
      </c>
      <c r="D366" s="235" t="s">
        <v>437</v>
      </c>
      <c r="E366" s="235" t="str">
        <f>VLOOKUP(D366,'Danh mục hàng hóa'!$C$3:$D$600,2,0)</f>
        <v>Bao lì xì Tết hoa</v>
      </c>
      <c r="F366" s="236" t="str">
        <f>VLOOKUP(D366,'Danh mục hàng hóa'!$C$3:$E$613,3,0)</f>
        <v>set 6 cái</v>
      </c>
      <c r="G366" s="237">
        <f t="shared" si="26"/>
        <v>6154</v>
      </c>
      <c r="H366" s="235"/>
      <c r="I366" s="237">
        <v>2</v>
      </c>
      <c r="J366" s="237">
        <f t="shared" si="16"/>
        <v>0</v>
      </c>
      <c r="K366" s="237">
        <f t="shared" si="10"/>
        <v>12308</v>
      </c>
      <c r="L366" s="235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</row>
    <row r="367" spans="1:30" ht="13.2">
      <c r="A367" s="232">
        <v>428</v>
      </c>
      <c r="B367" s="235" t="s">
        <v>337</v>
      </c>
      <c r="C367" s="243">
        <v>45304</v>
      </c>
      <c r="D367" s="235" t="s">
        <v>438</v>
      </c>
      <c r="E367" s="235" t="str">
        <f>VLOOKUP(D367,'Danh mục hàng hóa'!$C$3:$D$600,2,0)</f>
        <v>Bao lì xì Tết xanh</v>
      </c>
      <c r="F367" s="236" t="str">
        <f>VLOOKUP(D367,'Danh mục hàng hóa'!$C$3:$E$613,3,0)</f>
        <v>set 6 cái</v>
      </c>
      <c r="G367" s="237">
        <f t="shared" si="26"/>
        <v>6154</v>
      </c>
      <c r="H367" s="235"/>
      <c r="I367" s="237">
        <v>2</v>
      </c>
      <c r="J367" s="237">
        <f t="shared" si="16"/>
        <v>0</v>
      </c>
      <c r="K367" s="237">
        <f t="shared" si="10"/>
        <v>12308</v>
      </c>
      <c r="L367" s="235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</row>
    <row r="368" spans="1:30" ht="13.2">
      <c r="A368" s="232">
        <v>429</v>
      </c>
      <c r="B368" s="235" t="s">
        <v>337</v>
      </c>
      <c r="C368" s="243">
        <v>45304</v>
      </c>
      <c r="D368" s="235" t="s">
        <v>2145</v>
      </c>
      <c r="E368" s="235" t="str">
        <f>VLOOKUP(D368,'Danh mục hàng hóa'!$C$3:$D$600,2,0)</f>
        <v>Bao lì xì vui vẻ</v>
      </c>
      <c r="F368" s="236" t="str">
        <f>VLOOKUP(D368,'Danh mục hàng hóa'!$C$3:$E$613,3,0)</f>
        <v>set 6 cái</v>
      </c>
      <c r="G368" s="237">
        <f t="shared" si="26"/>
        <v>6154</v>
      </c>
      <c r="H368" s="235"/>
      <c r="I368" s="237">
        <v>2</v>
      </c>
      <c r="J368" s="237">
        <f t="shared" si="16"/>
        <v>0</v>
      </c>
      <c r="K368" s="237">
        <f t="shared" si="10"/>
        <v>12308</v>
      </c>
      <c r="L368" s="235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</row>
    <row r="369" spans="1:30" ht="13.2">
      <c r="A369" s="232">
        <v>430</v>
      </c>
      <c r="B369" s="235" t="s">
        <v>337</v>
      </c>
      <c r="C369" s="243">
        <v>45304</v>
      </c>
      <c r="D369" s="235" t="s">
        <v>2146</v>
      </c>
      <c r="E369" s="235" t="str">
        <f>VLOOKUP(D369,'Danh mục hàng hóa'!$C$3:$D$600,2,0)</f>
        <v>Bao lì xì ngộ nghĩnh</v>
      </c>
      <c r="F369" s="236" t="str">
        <f>VLOOKUP(D369,'Danh mục hàng hóa'!$C$3:$E$613,3,0)</f>
        <v>set 6 cái</v>
      </c>
      <c r="G369" s="237">
        <f t="shared" si="26"/>
        <v>6154</v>
      </c>
      <c r="H369" s="235"/>
      <c r="I369" s="237">
        <v>2</v>
      </c>
      <c r="J369" s="237">
        <f t="shared" si="16"/>
        <v>0</v>
      </c>
      <c r="K369" s="237">
        <f t="shared" si="10"/>
        <v>12308</v>
      </c>
      <c r="L369" s="235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</row>
    <row r="370" spans="1:30" ht="13.2">
      <c r="A370" s="232">
        <v>431</v>
      </c>
      <c r="B370" s="235" t="s">
        <v>337</v>
      </c>
      <c r="C370" s="243">
        <v>45305</v>
      </c>
      <c r="D370" s="235" t="s">
        <v>435</v>
      </c>
      <c r="E370" s="235" t="str">
        <f>VLOOKUP(D370,'Danh mục hàng hóa'!$C$3:$D$600,2,0)</f>
        <v>Bao lì xì Tết tài lộc</v>
      </c>
      <c r="F370" s="236" t="str">
        <f>VLOOKUP(D370,'Danh mục hàng hóa'!$C$3:$E$613,3,0)</f>
        <v>set 6 cái</v>
      </c>
      <c r="G370" s="237">
        <f t="shared" ref="G370:G374" si="27">30660/5</f>
        <v>6132</v>
      </c>
      <c r="H370" s="235"/>
      <c r="I370" s="237">
        <v>1</v>
      </c>
      <c r="J370" s="237">
        <f t="shared" si="16"/>
        <v>0</v>
      </c>
      <c r="K370" s="237">
        <f t="shared" si="10"/>
        <v>6132</v>
      </c>
      <c r="L370" s="235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</row>
    <row r="371" spans="1:30" ht="13.2">
      <c r="A371" s="232">
        <v>432</v>
      </c>
      <c r="B371" s="235" t="s">
        <v>337</v>
      </c>
      <c r="C371" s="243">
        <v>45305</v>
      </c>
      <c r="D371" s="235" t="s">
        <v>437</v>
      </c>
      <c r="E371" s="235" t="str">
        <f>VLOOKUP(D371,'Danh mục hàng hóa'!$C$3:$D$600,2,0)</f>
        <v>Bao lì xì Tết hoa</v>
      </c>
      <c r="F371" s="236" t="str">
        <f>VLOOKUP(D371,'Danh mục hàng hóa'!$C$3:$E$613,3,0)</f>
        <v>set 6 cái</v>
      </c>
      <c r="G371" s="237">
        <f t="shared" si="27"/>
        <v>6132</v>
      </c>
      <c r="H371" s="235"/>
      <c r="I371" s="237">
        <v>1</v>
      </c>
      <c r="J371" s="237">
        <f t="shared" si="16"/>
        <v>0</v>
      </c>
      <c r="K371" s="237">
        <f t="shared" si="10"/>
        <v>6132</v>
      </c>
      <c r="L371" s="235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</row>
    <row r="372" spans="1:30" ht="13.2">
      <c r="A372" s="232">
        <v>433</v>
      </c>
      <c r="B372" s="235" t="s">
        <v>337</v>
      </c>
      <c r="C372" s="243">
        <v>45305</v>
      </c>
      <c r="D372" s="235" t="s">
        <v>438</v>
      </c>
      <c r="E372" s="235" t="str">
        <f>VLOOKUP(D372,'Danh mục hàng hóa'!$C$3:$D$600,2,0)</f>
        <v>Bao lì xì Tết xanh</v>
      </c>
      <c r="F372" s="236" t="str">
        <f>VLOOKUP(D372,'Danh mục hàng hóa'!$C$3:$E$613,3,0)</f>
        <v>set 6 cái</v>
      </c>
      <c r="G372" s="237">
        <f t="shared" si="27"/>
        <v>6132</v>
      </c>
      <c r="H372" s="235"/>
      <c r="I372" s="237">
        <v>1</v>
      </c>
      <c r="J372" s="237">
        <f t="shared" si="16"/>
        <v>0</v>
      </c>
      <c r="K372" s="237">
        <f t="shared" si="10"/>
        <v>6132</v>
      </c>
      <c r="L372" s="235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</row>
    <row r="373" spans="1:30" ht="13.2">
      <c r="A373" s="232">
        <v>434</v>
      </c>
      <c r="B373" s="235" t="s">
        <v>337</v>
      </c>
      <c r="C373" s="243">
        <v>45305</v>
      </c>
      <c r="D373" s="235" t="s">
        <v>2145</v>
      </c>
      <c r="E373" s="235" t="str">
        <f>VLOOKUP(D373,'Danh mục hàng hóa'!$C$3:$D$600,2,0)</f>
        <v>Bao lì xì vui vẻ</v>
      </c>
      <c r="F373" s="236" t="str">
        <f>VLOOKUP(D373,'Danh mục hàng hóa'!$C$3:$E$613,3,0)</f>
        <v>set 6 cái</v>
      </c>
      <c r="G373" s="237">
        <f t="shared" si="27"/>
        <v>6132</v>
      </c>
      <c r="H373" s="235"/>
      <c r="I373" s="237">
        <v>1</v>
      </c>
      <c r="J373" s="237">
        <f t="shared" si="16"/>
        <v>0</v>
      </c>
      <c r="K373" s="237">
        <f t="shared" si="10"/>
        <v>6132</v>
      </c>
      <c r="L373" s="235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</row>
    <row r="374" spans="1:30" ht="13.2">
      <c r="A374" s="232">
        <v>435</v>
      </c>
      <c r="B374" s="235" t="s">
        <v>337</v>
      </c>
      <c r="C374" s="243">
        <v>45305</v>
      </c>
      <c r="D374" s="235" t="s">
        <v>2146</v>
      </c>
      <c r="E374" s="235" t="str">
        <f>VLOOKUP(D374,'Danh mục hàng hóa'!$C$3:$D$600,2,0)</f>
        <v>Bao lì xì ngộ nghĩnh</v>
      </c>
      <c r="F374" s="236" t="str">
        <f>VLOOKUP(D374,'Danh mục hàng hóa'!$C$3:$E$613,3,0)</f>
        <v>set 6 cái</v>
      </c>
      <c r="G374" s="237">
        <f t="shared" si="27"/>
        <v>6132</v>
      </c>
      <c r="H374" s="235"/>
      <c r="I374" s="237">
        <v>1</v>
      </c>
      <c r="J374" s="237">
        <f t="shared" si="16"/>
        <v>0</v>
      </c>
      <c r="K374" s="237">
        <f t="shared" si="10"/>
        <v>6132</v>
      </c>
      <c r="L374" s="235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</row>
    <row r="375" spans="1:30" ht="13.2">
      <c r="A375" s="232">
        <v>436</v>
      </c>
      <c r="B375" s="235" t="s">
        <v>337</v>
      </c>
      <c r="C375" s="243">
        <v>45305</v>
      </c>
      <c r="D375" s="235" t="s">
        <v>435</v>
      </c>
      <c r="E375" s="235" t="str">
        <f>VLOOKUP(D375,'Danh mục hàng hóa'!$C$3:$D$600,2,0)</f>
        <v>Bao lì xì Tết tài lộc</v>
      </c>
      <c r="F375" s="236" t="str">
        <f>VLOOKUP(D375,'Danh mục hàng hóa'!$C$3:$E$613,3,0)</f>
        <v>set 6 cái</v>
      </c>
      <c r="G375" s="237">
        <f t="shared" ref="G375:G379" si="28">30800/5</f>
        <v>6160</v>
      </c>
      <c r="H375" s="235"/>
      <c r="I375" s="237">
        <v>1</v>
      </c>
      <c r="J375" s="237">
        <f t="shared" si="16"/>
        <v>0</v>
      </c>
      <c r="K375" s="237">
        <f t="shared" si="10"/>
        <v>6160</v>
      </c>
      <c r="L375" s="235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</row>
    <row r="376" spans="1:30" ht="13.2">
      <c r="A376" s="232">
        <v>437</v>
      </c>
      <c r="B376" s="235" t="s">
        <v>337</v>
      </c>
      <c r="C376" s="243">
        <v>45305</v>
      </c>
      <c r="D376" s="235" t="s">
        <v>437</v>
      </c>
      <c r="E376" s="235" t="str">
        <f>VLOOKUP(D376,'Danh mục hàng hóa'!$C$3:$D$600,2,0)</f>
        <v>Bao lì xì Tết hoa</v>
      </c>
      <c r="F376" s="236" t="str">
        <f>VLOOKUP(D376,'Danh mục hàng hóa'!$C$3:$E$613,3,0)</f>
        <v>set 6 cái</v>
      </c>
      <c r="G376" s="237">
        <f t="shared" si="28"/>
        <v>6160</v>
      </c>
      <c r="H376" s="235"/>
      <c r="I376" s="237">
        <v>1</v>
      </c>
      <c r="J376" s="237">
        <f t="shared" si="16"/>
        <v>0</v>
      </c>
      <c r="K376" s="237">
        <f t="shared" si="10"/>
        <v>6160</v>
      </c>
      <c r="L376" s="235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</row>
    <row r="377" spans="1:30" ht="13.2">
      <c r="A377" s="232">
        <v>438</v>
      </c>
      <c r="B377" s="235" t="s">
        <v>337</v>
      </c>
      <c r="C377" s="243">
        <v>45305</v>
      </c>
      <c r="D377" s="235" t="s">
        <v>438</v>
      </c>
      <c r="E377" s="235" t="str">
        <f>VLOOKUP(D377,'Danh mục hàng hóa'!$C$3:$D$600,2,0)</f>
        <v>Bao lì xì Tết xanh</v>
      </c>
      <c r="F377" s="236" t="str">
        <f>VLOOKUP(D377,'Danh mục hàng hóa'!$C$3:$E$613,3,0)</f>
        <v>set 6 cái</v>
      </c>
      <c r="G377" s="237">
        <f t="shared" si="28"/>
        <v>6160</v>
      </c>
      <c r="H377" s="235"/>
      <c r="I377" s="237">
        <v>1</v>
      </c>
      <c r="J377" s="237">
        <f t="shared" si="16"/>
        <v>0</v>
      </c>
      <c r="K377" s="237">
        <f t="shared" si="10"/>
        <v>6160</v>
      </c>
      <c r="L377" s="235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</row>
    <row r="378" spans="1:30" ht="13.2">
      <c r="A378" s="232">
        <v>439</v>
      </c>
      <c r="B378" s="235" t="s">
        <v>337</v>
      </c>
      <c r="C378" s="243">
        <v>45305</v>
      </c>
      <c r="D378" s="235" t="s">
        <v>2145</v>
      </c>
      <c r="E378" s="235" t="str">
        <f>VLOOKUP(D378,'Danh mục hàng hóa'!$C$3:$D$600,2,0)</f>
        <v>Bao lì xì vui vẻ</v>
      </c>
      <c r="F378" s="236" t="str">
        <f>VLOOKUP(D378,'Danh mục hàng hóa'!$C$3:$E$613,3,0)</f>
        <v>set 6 cái</v>
      </c>
      <c r="G378" s="237">
        <f t="shared" si="28"/>
        <v>6160</v>
      </c>
      <c r="H378" s="235"/>
      <c r="I378" s="237">
        <v>1</v>
      </c>
      <c r="J378" s="237">
        <f t="shared" si="16"/>
        <v>0</v>
      </c>
      <c r="K378" s="237">
        <f t="shared" si="10"/>
        <v>6160</v>
      </c>
      <c r="L378" s="235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</row>
    <row r="379" spans="1:30" ht="13.2">
      <c r="A379" s="232">
        <v>440</v>
      </c>
      <c r="B379" s="235" t="s">
        <v>337</v>
      </c>
      <c r="C379" s="243">
        <v>45305</v>
      </c>
      <c r="D379" s="235" t="s">
        <v>2146</v>
      </c>
      <c r="E379" s="235" t="str">
        <f>VLOOKUP(D379,'Danh mục hàng hóa'!$C$3:$D$600,2,0)</f>
        <v>Bao lì xì ngộ nghĩnh</v>
      </c>
      <c r="F379" s="236" t="str">
        <f>VLOOKUP(D379,'Danh mục hàng hóa'!$C$3:$E$613,3,0)</f>
        <v>set 6 cái</v>
      </c>
      <c r="G379" s="237">
        <f t="shared" si="28"/>
        <v>6160</v>
      </c>
      <c r="H379" s="235"/>
      <c r="I379" s="237">
        <v>1</v>
      </c>
      <c r="J379" s="237">
        <f t="shared" si="16"/>
        <v>0</v>
      </c>
      <c r="K379" s="237">
        <f t="shared" si="10"/>
        <v>6160</v>
      </c>
      <c r="L379" s="235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</row>
    <row r="380" spans="1:30" ht="13.2">
      <c r="A380" s="232">
        <v>441</v>
      </c>
      <c r="B380" s="235" t="s">
        <v>337</v>
      </c>
      <c r="C380" s="243">
        <v>45305</v>
      </c>
      <c r="D380" s="235" t="s">
        <v>2146</v>
      </c>
      <c r="E380" s="235" t="str">
        <f>VLOOKUP(D380,'Danh mục hàng hóa'!$C$3:$D$600,2,0)</f>
        <v>Bao lì xì ngộ nghĩnh</v>
      </c>
      <c r="F380" s="236" t="str">
        <f>VLOOKUP(D380,'Danh mục hàng hóa'!$C$3:$E$613,3,0)</f>
        <v>set 6 cái</v>
      </c>
      <c r="G380" s="237">
        <f>29580/4</f>
        <v>7395</v>
      </c>
      <c r="H380" s="235"/>
      <c r="I380" s="237">
        <v>4</v>
      </c>
      <c r="J380" s="237">
        <f t="shared" si="16"/>
        <v>0</v>
      </c>
      <c r="K380" s="237">
        <f t="shared" si="10"/>
        <v>29580</v>
      </c>
      <c r="L380" s="235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</row>
    <row r="381" spans="1:30" ht="13.2">
      <c r="A381" s="232">
        <v>442</v>
      </c>
      <c r="B381" s="235" t="s">
        <v>337</v>
      </c>
      <c r="C381" s="243">
        <v>45305</v>
      </c>
      <c r="D381" s="235" t="s">
        <v>405</v>
      </c>
      <c r="E381" s="235" t="str">
        <f>VLOOKUP(D381,'Danh mục hàng hóa'!$C$3:$D$600,2,0)</f>
        <v>Túi chườm bụng dâu xanh nhạt 1000ml</v>
      </c>
      <c r="F381" s="236" t="str">
        <f>VLOOKUP(D381,'Danh mục hàng hóa'!$C$3:$E$613,3,0)</f>
        <v>túi</v>
      </c>
      <c r="G381" s="237">
        <v>81868</v>
      </c>
      <c r="H381" s="235"/>
      <c r="I381" s="237">
        <v>1</v>
      </c>
      <c r="J381" s="237">
        <f t="shared" si="16"/>
        <v>0</v>
      </c>
      <c r="K381" s="237">
        <f t="shared" si="10"/>
        <v>81868</v>
      </c>
      <c r="L381" s="235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</row>
    <row r="382" spans="1:30" ht="13.2">
      <c r="A382" s="232">
        <v>443</v>
      </c>
      <c r="B382" s="235" t="s">
        <v>337</v>
      </c>
      <c r="C382" s="243">
        <v>45306</v>
      </c>
      <c r="D382" s="235" t="s">
        <v>431</v>
      </c>
      <c r="E382" s="235" t="str">
        <f>VLOOKUP(D382,'Danh mục hàng hóa'!$C$3:$D$600,2,0)</f>
        <v>Bao lì xì rồng con</v>
      </c>
      <c r="F382" s="236" t="str">
        <f>VLOOKUP(D382,'Danh mục hàng hóa'!$C$3:$E$613,3,0)</f>
        <v>túi 4 cái</v>
      </c>
      <c r="G382" s="237">
        <v>7000</v>
      </c>
      <c r="H382" s="235"/>
      <c r="I382" s="237">
        <v>1</v>
      </c>
      <c r="J382" s="237">
        <f t="shared" si="16"/>
        <v>0</v>
      </c>
      <c r="K382" s="237">
        <f t="shared" si="10"/>
        <v>7000</v>
      </c>
      <c r="L382" s="235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</row>
    <row r="383" spans="1:30" ht="13.2">
      <c r="A383" s="232">
        <v>444</v>
      </c>
      <c r="B383" s="235" t="s">
        <v>337</v>
      </c>
      <c r="C383" s="243">
        <v>45306</v>
      </c>
      <c r="D383" s="235" t="s">
        <v>438</v>
      </c>
      <c r="E383" s="235" t="str">
        <f>VLOOKUP(D383,'Danh mục hàng hóa'!$C$3:$D$600,2,0)</f>
        <v>Bao lì xì Tết xanh</v>
      </c>
      <c r="F383" s="236" t="str">
        <f>VLOOKUP(D383,'Danh mục hàng hóa'!$C$3:$E$613,3,0)</f>
        <v>set 6 cái</v>
      </c>
      <c r="G383" s="237">
        <v>7000</v>
      </c>
      <c r="H383" s="235"/>
      <c r="I383" s="237">
        <v>2</v>
      </c>
      <c r="J383" s="237">
        <f t="shared" si="16"/>
        <v>0</v>
      </c>
      <c r="K383" s="237">
        <f t="shared" si="10"/>
        <v>14000</v>
      </c>
      <c r="L383" s="235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</row>
    <row r="384" spans="1:30" ht="13.2">
      <c r="A384" s="232">
        <v>445</v>
      </c>
      <c r="B384" s="235" t="s">
        <v>337</v>
      </c>
      <c r="C384" s="243">
        <v>45306</v>
      </c>
      <c r="D384" s="235" t="s">
        <v>439</v>
      </c>
      <c r="E384" s="235" t="str">
        <f>VLOOKUP(D384,'Danh mục hàng hóa'!$C$3:$D$600,2,0)</f>
        <v>Bao lì xì vui vẻ</v>
      </c>
      <c r="F384" s="236" t="str">
        <f>VLOOKUP(D384,'Danh mục hàng hóa'!$C$3:$E$613,3,0)</f>
        <v>set 6 cái</v>
      </c>
      <c r="G384" s="237">
        <v>7000</v>
      </c>
      <c r="H384" s="235"/>
      <c r="I384" s="237">
        <v>2</v>
      </c>
      <c r="J384" s="237">
        <f t="shared" si="16"/>
        <v>0</v>
      </c>
      <c r="K384" s="237">
        <f t="shared" si="10"/>
        <v>14000</v>
      </c>
      <c r="L384" s="235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</row>
    <row r="385" spans="1:30" ht="13.2">
      <c r="A385" s="232">
        <v>446</v>
      </c>
      <c r="B385" s="235" t="s">
        <v>337</v>
      </c>
      <c r="C385" s="243">
        <v>45306</v>
      </c>
      <c r="D385" s="235" t="s">
        <v>560</v>
      </c>
      <c r="E385" s="235" t="str">
        <f>VLOOKUP(D385,'Danh mục hàng hóa'!$C$3:$D$600,2,0)</f>
        <v>Ống 50 dây cột tóc nhiều màu</v>
      </c>
      <c r="F385" s="236" t="str">
        <f>VLOOKUP(D385,'Danh mục hàng hóa'!$C$3:$E$613,3,0)</f>
        <v>ống</v>
      </c>
      <c r="G385" s="237">
        <f>53680-35000</f>
        <v>18680</v>
      </c>
      <c r="H385" s="235"/>
      <c r="I385" s="237">
        <v>1</v>
      </c>
      <c r="J385" s="237">
        <f t="shared" si="16"/>
        <v>0</v>
      </c>
      <c r="K385" s="237">
        <f t="shared" si="10"/>
        <v>18680</v>
      </c>
      <c r="L385" s="235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</row>
    <row r="386" spans="1:30" ht="13.2">
      <c r="A386" s="232">
        <v>447</v>
      </c>
      <c r="B386" s="235" t="s">
        <v>337</v>
      </c>
      <c r="C386" s="243">
        <v>45306</v>
      </c>
      <c r="D386" s="235" t="s">
        <v>435</v>
      </c>
      <c r="E386" s="235" t="str">
        <f>VLOOKUP(D386,'Danh mục hàng hóa'!$C$3:$D$600,2,0)</f>
        <v>Bao lì xì Tết tài lộc</v>
      </c>
      <c r="F386" s="236" t="str">
        <f>VLOOKUP(D386,'Danh mục hàng hóa'!$C$3:$E$613,3,0)</f>
        <v>set 6 cái</v>
      </c>
      <c r="G386" s="237">
        <v>6154</v>
      </c>
      <c r="H386" s="235"/>
      <c r="I386" s="237">
        <v>2</v>
      </c>
      <c r="J386" s="237">
        <f t="shared" si="16"/>
        <v>0</v>
      </c>
      <c r="K386" s="237">
        <f t="shared" si="10"/>
        <v>12308</v>
      </c>
      <c r="L386" s="235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</row>
    <row r="387" spans="1:30" ht="13.2">
      <c r="A387" s="232">
        <v>448</v>
      </c>
      <c r="B387" s="235" t="s">
        <v>337</v>
      </c>
      <c r="C387" s="243">
        <v>45306</v>
      </c>
      <c r="D387" s="235" t="s">
        <v>437</v>
      </c>
      <c r="E387" s="235" t="str">
        <f>VLOOKUP(D387,'Danh mục hàng hóa'!$C$3:$D$600,2,0)</f>
        <v>Bao lì xì Tết hoa</v>
      </c>
      <c r="F387" s="236" t="str">
        <f>VLOOKUP(D387,'Danh mục hàng hóa'!$C$3:$E$613,3,0)</f>
        <v>set 6 cái</v>
      </c>
      <c r="G387" s="237">
        <v>6154</v>
      </c>
      <c r="H387" s="235"/>
      <c r="I387" s="237">
        <v>2</v>
      </c>
      <c r="J387" s="237">
        <f t="shared" si="16"/>
        <v>0</v>
      </c>
      <c r="K387" s="237">
        <f t="shared" si="10"/>
        <v>12308</v>
      </c>
      <c r="L387" s="235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</row>
    <row r="388" spans="1:30" ht="13.2">
      <c r="A388" s="232">
        <v>449</v>
      </c>
      <c r="B388" s="235" t="s">
        <v>337</v>
      </c>
      <c r="C388" s="243">
        <v>45306</v>
      </c>
      <c r="D388" s="235" t="s">
        <v>438</v>
      </c>
      <c r="E388" s="235" t="str">
        <f>VLOOKUP(D388,'Danh mục hàng hóa'!$C$3:$D$600,2,0)</f>
        <v>Bao lì xì Tết xanh</v>
      </c>
      <c r="F388" s="236" t="str">
        <f>VLOOKUP(D388,'Danh mục hàng hóa'!$C$3:$E$613,3,0)</f>
        <v>set 6 cái</v>
      </c>
      <c r="G388" s="237">
        <v>6154</v>
      </c>
      <c r="H388" s="235"/>
      <c r="I388" s="237">
        <v>2</v>
      </c>
      <c r="J388" s="237">
        <f t="shared" si="16"/>
        <v>0</v>
      </c>
      <c r="K388" s="237">
        <f t="shared" si="10"/>
        <v>12308</v>
      </c>
      <c r="L388" s="235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</row>
    <row r="389" spans="1:30" ht="13.2">
      <c r="A389" s="232">
        <v>450</v>
      </c>
      <c r="B389" s="235" t="s">
        <v>337</v>
      </c>
      <c r="C389" s="243">
        <v>45306</v>
      </c>
      <c r="D389" s="235" t="s">
        <v>2145</v>
      </c>
      <c r="E389" s="235" t="str">
        <f>VLOOKUP(D389,'Danh mục hàng hóa'!$C$3:$D$600,2,0)</f>
        <v>Bao lì xì vui vẻ</v>
      </c>
      <c r="F389" s="236" t="str">
        <f>VLOOKUP(D389,'Danh mục hàng hóa'!$C$3:$E$613,3,0)</f>
        <v>set 6 cái</v>
      </c>
      <c r="G389" s="237">
        <v>6154</v>
      </c>
      <c r="H389" s="235"/>
      <c r="I389" s="237">
        <v>2</v>
      </c>
      <c r="J389" s="237">
        <f t="shared" si="16"/>
        <v>0</v>
      </c>
      <c r="K389" s="237">
        <f t="shared" si="10"/>
        <v>12308</v>
      </c>
      <c r="L389" s="235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</row>
    <row r="390" spans="1:30" ht="13.2">
      <c r="A390" s="232">
        <v>451</v>
      </c>
      <c r="B390" s="235" t="s">
        <v>337</v>
      </c>
      <c r="C390" s="243">
        <v>45306</v>
      </c>
      <c r="D390" s="235" t="s">
        <v>2146</v>
      </c>
      <c r="E390" s="235" t="str">
        <f>VLOOKUP(D390,'Danh mục hàng hóa'!$C$3:$D$600,2,0)</f>
        <v>Bao lì xì ngộ nghĩnh</v>
      </c>
      <c r="F390" s="236" t="str">
        <f>VLOOKUP(D390,'Danh mục hàng hóa'!$C$3:$E$613,3,0)</f>
        <v>set 6 cái</v>
      </c>
      <c r="G390" s="237">
        <v>6154</v>
      </c>
      <c r="H390" s="235"/>
      <c r="I390" s="237">
        <v>2</v>
      </c>
      <c r="J390" s="237">
        <f t="shared" si="16"/>
        <v>0</v>
      </c>
      <c r="K390" s="237">
        <f t="shared" si="10"/>
        <v>12308</v>
      </c>
      <c r="L390" s="235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</row>
    <row r="391" spans="1:30" ht="13.2">
      <c r="A391" s="232">
        <v>452</v>
      </c>
      <c r="B391" s="235" t="s">
        <v>337</v>
      </c>
      <c r="C391" s="243">
        <v>45306</v>
      </c>
      <c r="D391" s="235" t="s">
        <v>435</v>
      </c>
      <c r="E391" s="235" t="str">
        <f>VLOOKUP(D391,'Danh mục hàng hóa'!$C$3:$D$600,2,0)</f>
        <v>Bao lì xì Tết tài lộc</v>
      </c>
      <c r="F391" s="236" t="str">
        <f>VLOOKUP(D391,'Danh mục hàng hóa'!$C$3:$E$613,3,0)</f>
        <v>set 6 cái</v>
      </c>
      <c r="G391" s="237">
        <f t="shared" ref="G391:G395" si="29">30740/5</f>
        <v>6148</v>
      </c>
      <c r="H391" s="235"/>
      <c r="I391" s="237">
        <v>1</v>
      </c>
      <c r="J391" s="237">
        <f t="shared" si="16"/>
        <v>0</v>
      </c>
      <c r="K391" s="237">
        <f t="shared" si="10"/>
        <v>6148</v>
      </c>
      <c r="L391" s="235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</row>
    <row r="392" spans="1:30" ht="13.2">
      <c r="A392" s="232">
        <v>453</v>
      </c>
      <c r="B392" s="235" t="s">
        <v>337</v>
      </c>
      <c r="C392" s="243">
        <v>45306</v>
      </c>
      <c r="D392" s="235" t="s">
        <v>437</v>
      </c>
      <c r="E392" s="235" t="str">
        <f>VLOOKUP(D392,'Danh mục hàng hóa'!$C$3:$D$600,2,0)</f>
        <v>Bao lì xì Tết hoa</v>
      </c>
      <c r="F392" s="236" t="str">
        <f>VLOOKUP(D392,'Danh mục hàng hóa'!$C$3:$E$613,3,0)</f>
        <v>set 6 cái</v>
      </c>
      <c r="G392" s="237">
        <f t="shared" si="29"/>
        <v>6148</v>
      </c>
      <c r="H392" s="235"/>
      <c r="I392" s="237">
        <v>1</v>
      </c>
      <c r="J392" s="237">
        <f t="shared" si="16"/>
        <v>0</v>
      </c>
      <c r="K392" s="237">
        <f t="shared" si="10"/>
        <v>6148</v>
      </c>
      <c r="L392" s="235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</row>
    <row r="393" spans="1:30" ht="13.2">
      <c r="A393" s="232">
        <v>454</v>
      </c>
      <c r="B393" s="235" t="s">
        <v>337</v>
      </c>
      <c r="C393" s="243">
        <v>45306</v>
      </c>
      <c r="D393" s="235" t="s">
        <v>438</v>
      </c>
      <c r="E393" s="235" t="str">
        <f>VLOOKUP(D393,'Danh mục hàng hóa'!$C$3:$D$600,2,0)</f>
        <v>Bao lì xì Tết xanh</v>
      </c>
      <c r="F393" s="236" t="str">
        <f>VLOOKUP(D393,'Danh mục hàng hóa'!$C$3:$E$613,3,0)</f>
        <v>set 6 cái</v>
      </c>
      <c r="G393" s="237">
        <f t="shared" si="29"/>
        <v>6148</v>
      </c>
      <c r="H393" s="235"/>
      <c r="I393" s="237">
        <v>1</v>
      </c>
      <c r="J393" s="237">
        <f t="shared" si="16"/>
        <v>0</v>
      </c>
      <c r="K393" s="237">
        <f t="shared" si="10"/>
        <v>6148</v>
      </c>
      <c r="L393" s="235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</row>
    <row r="394" spans="1:30" ht="13.2">
      <c r="A394" s="232">
        <v>455</v>
      </c>
      <c r="B394" s="235" t="s">
        <v>337</v>
      </c>
      <c r="C394" s="243">
        <v>45306</v>
      </c>
      <c r="D394" s="235" t="s">
        <v>2145</v>
      </c>
      <c r="E394" s="235" t="str">
        <f>VLOOKUP(D394,'Danh mục hàng hóa'!$C$3:$D$600,2,0)</f>
        <v>Bao lì xì vui vẻ</v>
      </c>
      <c r="F394" s="236" t="str">
        <f>VLOOKUP(D394,'Danh mục hàng hóa'!$C$3:$E$613,3,0)</f>
        <v>set 6 cái</v>
      </c>
      <c r="G394" s="237">
        <f t="shared" si="29"/>
        <v>6148</v>
      </c>
      <c r="H394" s="235"/>
      <c r="I394" s="237">
        <v>1</v>
      </c>
      <c r="J394" s="237">
        <f t="shared" si="16"/>
        <v>0</v>
      </c>
      <c r="K394" s="237">
        <f t="shared" si="10"/>
        <v>6148</v>
      </c>
      <c r="L394" s="235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</row>
    <row r="395" spans="1:30" ht="13.2">
      <c r="A395" s="232">
        <v>456</v>
      </c>
      <c r="B395" s="235" t="s">
        <v>337</v>
      </c>
      <c r="C395" s="243">
        <v>45306</v>
      </c>
      <c r="D395" s="235" t="s">
        <v>2146</v>
      </c>
      <c r="E395" s="235" t="str">
        <f>VLOOKUP(D395,'Danh mục hàng hóa'!$C$3:$D$600,2,0)</f>
        <v>Bao lì xì ngộ nghĩnh</v>
      </c>
      <c r="F395" s="236" t="str">
        <f>VLOOKUP(D395,'Danh mục hàng hóa'!$C$3:$E$613,3,0)</f>
        <v>set 6 cái</v>
      </c>
      <c r="G395" s="237">
        <f t="shared" si="29"/>
        <v>6148</v>
      </c>
      <c r="H395" s="235"/>
      <c r="I395" s="237">
        <v>1</v>
      </c>
      <c r="J395" s="237">
        <f t="shared" si="16"/>
        <v>0</v>
      </c>
      <c r="K395" s="237">
        <f t="shared" si="10"/>
        <v>6148</v>
      </c>
      <c r="L395" s="235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</row>
    <row r="396" spans="1:30" ht="13.2">
      <c r="A396" s="232">
        <v>457</v>
      </c>
      <c r="B396" s="235" t="s">
        <v>337</v>
      </c>
      <c r="C396" s="243">
        <v>45306</v>
      </c>
      <c r="D396" s="235" t="s">
        <v>435</v>
      </c>
      <c r="E396" s="235" t="str">
        <f>VLOOKUP(D396,'Danh mục hàng hóa'!$C$3:$D$600,2,0)</f>
        <v>Bao lì xì Tết tài lộc</v>
      </c>
      <c r="F396" s="236" t="str">
        <f>VLOOKUP(D396,'Danh mục hàng hóa'!$C$3:$E$613,3,0)</f>
        <v>set 6 cái</v>
      </c>
      <c r="G396" s="237">
        <f t="shared" ref="G396:G400" si="30">36884/6</f>
        <v>6147.333333333333</v>
      </c>
      <c r="H396" s="235"/>
      <c r="I396" s="237">
        <v>1</v>
      </c>
      <c r="J396" s="237">
        <f t="shared" si="16"/>
        <v>0</v>
      </c>
      <c r="K396" s="237">
        <f t="shared" si="10"/>
        <v>6147.333333333333</v>
      </c>
      <c r="L396" s="235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</row>
    <row r="397" spans="1:30" ht="13.2">
      <c r="A397" s="232">
        <v>458</v>
      </c>
      <c r="B397" s="235" t="s">
        <v>337</v>
      </c>
      <c r="C397" s="243">
        <v>45306</v>
      </c>
      <c r="D397" s="235" t="s">
        <v>437</v>
      </c>
      <c r="E397" s="235" t="str">
        <f>VLOOKUP(D397,'Danh mục hàng hóa'!$C$3:$D$600,2,0)</f>
        <v>Bao lì xì Tết hoa</v>
      </c>
      <c r="F397" s="236" t="str">
        <f>VLOOKUP(D397,'Danh mục hàng hóa'!$C$3:$E$613,3,0)</f>
        <v>set 6 cái</v>
      </c>
      <c r="G397" s="237">
        <f t="shared" si="30"/>
        <v>6147.333333333333</v>
      </c>
      <c r="H397" s="235"/>
      <c r="I397" s="237">
        <v>1</v>
      </c>
      <c r="J397" s="237">
        <f t="shared" si="16"/>
        <v>0</v>
      </c>
      <c r="K397" s="237">
        <f t="shared" si="10"/>
        <v>6147.333333333333</v>
      </c>
      <c r="L397" s="235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</row>
    <row r="398" spans="1:30" ht="13.2">
      <c r="A398" s="232">
        <v>459</v>
      </c>
      <c r="B398" s="235" t="s">
        <v>337</v>
      </c>
      <c r="C398" s="243">
        <v>45306</v>
      </c>
      <c r="D398" s="235" t="s">
        <v>438</v>
      </c>
      <c r="E398" s="235" t="str">
        <f>VLOOKUP(D398,'Danh mục hàng hóa'!$C$3:$D$600,2,0)</f>
        <v>Bao lì xì Tết xanh</v>
      </c>
      <c r="F398" s="236" t="str">
        <f>VLOOKUP(D398,'Danh mục hàng hóa'!$C$3:$E$613,3,0)</f>
        <v>set 6 cái</v>
      </c>
      <c r="G398" s="237">
        <f t="shared" si="30"/>
        <v>6147.333333333333</v>
      </c>
      <c r="H398" s="235"/>
      <c r="I398" s="237">
        <v>1</v>
      </c>
      <c r="J398" s="237">
        <f t="shared" si="16"/>
        <v>0</v>
      </c>
      <c r="K398" s="237">
        <f t="shared" si="10"/>
        <v>6147.333333333333</v>
      </c>
      <c r="L398" s="235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</row>
    <row r="399" spans="1:30" ht="13.2">
      <c r="A399" s="232">
        <v>460</v>
      </c>
      <c r="B399" s="235" t="s">
        <v>337</v>
      </c>
      <c r="C399" s="243">
        <v>45306</v>
      </c>
      <c r="D399" s="235" t="s">
        <v>2145</v>
      </c>
      <c r="E399" s="235" t="str">
        <f>VLOOKUP(D399,'Danh mục hàng hóa'!$C$3:$D$600,2,0)</f>
        <v>Bao lì xì vui vẻ</v>
      </c>
      <c r="F399" s="236" t="str">
        <f>VLOOKUP(D399,'Danh mục hàng hóa'!$C$3:$E$613,3,0)</f>
        <v>set 6 cái</v>
      </c>
      <c r="G399" s="237">
        <f t="shared" si="30"/>
        <v>6147.333333333333</v>
      </c>
      <c r="H399" s="235"/>
      <c r="I399" s="237">
        <v>2</v>
      </c>
      <c r="J399" s="237">
        <f t="shared" si="16"/>
        <v>0</v>
      </c>
      <c r="K399" s="237">
        <f t="shared" si="10"/>
        <v>12294.666666666666</v>
      </c>
      <c r="L399" s="235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</row>
    <row r="400" spans="1:30" ht="13.2">
      <c r="A400" s="232">
        <v>461</v>
      </c>
      <c r="B400" s="235" t="s">
        <v>337</v>
      </c>
      <c r="C400" s="243">
        <v>45306</v>
      </c>
      <c r="D400" s="235" t="s">
        <v>2146</v>
      </c>
      <c r="E400" s="235" t="str">
        <f>VLOOKUP(D400,'Danh mục hàng hóa'!$C$3:$D$600,2,0)</f>
        <v>Bao lì xì ngộ nghĩnh</v>
      </c>
      <c r="F400" s="236" t="str">
        <f>VLOOKUP(D400,'Danh mục hàng hóa'!$C$3:$E$613,3,0)</f>
        <v>set 6 cái</v>
      </c>
      <c r="G400" s="237">
        <f t="shared" si="30"/>
        <v>6147.333333333333</v>
      </c>
      <c r="H400" s="235"/>
      <c r="I400" s="237">
        <v>1</v>
      </c>
      <c r="J400" s="237">
        <f t="shared" si="16"/>
        <v>0</v>
      </c>
      <c r="K400" s="237">
        <f t="shared" si="10"/>
        <v>6147.333333333333</v>
      </c>
      <c r="L400" s="235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</row>
    <row r="401" spans="1:30" ht="13.2">
      <c r="A401" s="232">
        <v>462</v>
      </c>
      <c r="B401" s="235" t="s">
        <v>337</v>
      </c>
      <c r="C401" s="243">
        <v>45306</v>
      </c>
      <c r="D401" s="235" t="s">
        <v>435</v>
      </c>
      <c r="E401" s="235" t="str">
        <f>VLOOKUP(D401,'Danh mục hàng hóa'!$C$3:$D$600,2,0)</f>
        <v>Bao lì xì Tết tài lộc</v>
      </c>
      <c r="F401" s="236" t="str">
        <f>VLOOKUP(D401,'Danh mục hàng hóa'!$C$3:$E$613,3,0)</f>
        <v>set 6 cái</v>
      </c>
      <c r="G401" s="237">
        <f t="shared" ref="G401:G404" si="31">57552/8</f>
        <v>7194</v>
      </c>
      <c r="H401" s="235"/>
      <c r="I401" s="237">
        <v>2</v>
      </c>
      <c r="J401" s="237">
        <f t="shared" si="16"/>
        <v>0</v>
      </c>
      <c r="K401" s="237">
        <f t="shared" si="10"/>
        <v>14388</v>
      </c>
      <c r="L401" s="235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</row>
    <row r="402" spans="1:30" ht="13.2">
      <c r="A402" s="232">
        <v>463</v>
      </c>
      <c r="B402" s="235" t="s">
        <v>337</v>
      </c>
      <c r="C402" s="243">
        <v>45306</v>
      </c>
      <c r="D402" s="235" t="s">
        <v>437</v>
      </c>
      <c r="E402" s="235" t="str">
        <f>VLOOKUP(D402,'Danh mục hàng hóa'!$C$3:$D$600,2,0)</f>
        <v>Bao lì xì Tết hoa</v>
      </c>
      <c r="F402" s="236" t="str">
        <f>VLOOKUP(D402,'Danh mục hàng hóa'!$C$3:$E$613,3,0)</f>
        <v>set 6 cái</v>
      </c>
      <c r="G402" s="237">
        <f t="shared" si="31"/>
        <v>7194</v>
      </c>
      <c r="H402" s="235"/>
      <c r="I402" s="237">
        <v>1</v>
      </c>
      <c r="J402" s="237">
        <f t="shared" si="16"/>
        <v>0</v>
      </c>
      <c r="K402" s="237">
        <f t="shared" si="10"/>
        <v>7194</v>
      </c>
      <c r="L402" s="235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</row>
    <row r="403" spans="1:30" ht="13.2">
      <c r="A403" s="232">
        <v>464</v>
      </c>
      <c r="B403" s="235" t="s">
        <v>337</v>
      </c>
      <c r="C403" s="243">
        <v>45306</v>
      </c>
      <c r="D403" s="235" t="s">
        <v>2145</v>
      </c>
      <c r="E403" s="235" t="str">
        <f>VLOOKUP(D403,'Danh mục hàng hóa'!$C$3:$D$600,2,0)</f>
        <v>Bao lì xì vui vẻ</v>
      </c>
      <c r="F403" s="236" t="str">
        <f>VLOOKUP(D403,'Danh mục hàng hóa'!$C$3:$E$613,3,0)</f>
        <v>set 6 cái</v>
      </c>
      <c r="G403" s="237">
        <f t="shared" si="31"/>
        <v>7194</v>
      </c>
      <c r="H403" s="235"/>
      <c r="I403" s="237">
        <v>3</v>
      </c>
      <c r="J403" s="237">
        <f t="shared" si="16"/>
        <v>0</v>
      </c>
      <c r="K403" s="237">
        <f t="shared" si="10"/>
        <v>21582</v>
      </c>
      <c r="L403" s="235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</row>
    <row r="404" spans="1:30" ht="13.2">
      <c r="A404" s="232">
        <v>465</v>
      </c>
      <c r="B404" s="235" t="s">
        <v>337</v>
      </c>
      <c r="C404" s="243">
        <v>45306</v>
      </c>
      <c r="D404" s="235" t="s">
        <v>2146</v>
      </c>
      <c r="E404" s="235" t="str">
        <f>VLOOKUP(D404,'Danh mục hàng hóa'!$C$3:$D$600,2,0)</f>
        <v>Bao lì xì ngộ nghĩnh</v>
      </c>
      <c r="F404" s="236" t="str">
        <f>VLOOKUP(D404,'Danh mục hàng hóa'!$C$3:$E$613,3,0)</f>
        <v>set 6 cái</v>
      </c>
      <c r="G404" s="237">
        <f t="shared" si="31"/>
        <v>7194</v>
      </c>
      <c r="H404" s="235"/>
      <c r="I404" s="237">
        <v>2</v>
      </c>
      <c r="J404" s="237">
        <f t="shared" si="16"/>
        <v>0</v>
      </c>
      <c r="K404" s="237">
        <f t="shared" si="10"/>
        <v>14388</v>
      </c>
      <c r="L404" s="235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</row>
    <row r="405" spans="1:30" ht="13.2">
      <c r="A405" s="232">
        <v>466</v>
      </c>
      <c r="B405" s="235" t="s">
        <v>336</v>
      </c>
      <c r="C405" s="243">
        <v>45306</v>
      </c>
      <c r="D405" s="235" t="s">
        <v>907</v>
      </c>
      <c r="E405" s="235" t="str">
        <f>VLOOKUP(D405,'Danh mục hàng hóa'!$C$3:$D$600,2,0)</f>
        <v>Cáo gắn xe</v>
      </c>
      <c r="F405" s="236" t="str">
        <f>VLOOKUP(D405,'Danh mục hàng hóa'!$C$3:$E$613,3,0)</f>
        <v>cái</v>
      </c>
      <c r="G405" s="237">
        <v>20605</v>
      </c>
      <c r="H405" s="237">
        <v>4</v>
      </c>
      <c r="I405" s="235"/>
      <c r="J405" s="237">
        <f t="shared" si="16"/>
        <v>82420</v>
      </c>
      <c r="K405" s="237">
        <f t="shared" si="10"/>
        <v>0</v>
      </c>
      <c r="L405" s="235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</row>
    <row r="406" spans="1:30" ht="13.2">
      <c r="A406" s="232">
        <v>467</v>
      </c>
      <c r="B406" s="235" t="s">
        <v>336</v>
      </c>
      <c r="C406" s="243">
        <v>45306</v>
      </c>
      <c r="D406" s="235" t="s">
        <v>909</v>
      </c>
      <c r="E406" s="235" t="str">
        <f>VLOOKUP(D406,'Danh mục hàng hóa'!$C$3:$D$600,2,0)</f>
        <v>Gấu trúc gắn xe</v>
      </c>
      <c r="F406" s="236" t="str">
        <f>VLOOKUP(D406,'Danh mục hàng hóa'!$C$3:$E$613,3,0)</f>
        <v>cái</v>
      </c>
      <c r="G406" s="237">
        <v>20605</v>
      </c>
      <c r="H406" s="237">
        <v>4</v>
      </c>
      <c r="I406" s="235"/>
      <c r="J406" s="237">
        <f t="shared" si="16"/>
        <v>82420</v>
      </c>
      <c r="K406" s="237">
        <f t="shared" si="10"/>
        <v>0</v>
      </c>
      <c r="L406" s="235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</row>
    <row r="407" spans="1:30" ht="13.2">
      <c r="A407" s="232">
        <v>468</v>
      </c>
      <c r="B407" s="235" t="s">
        <v>336</v>
      </c>
      <c r="C407" s="243">
        <v>45306</v>
      </c>
      <c r="D407" s="235" t="s">
        <v>911</v>
      </c>
      <c r="E407" s="235" t="str">
        <f>VLOOKUP(D407,'Danh mục hàng hóa'!$C$3:$D$600,2,0)</f>
        <v>Gấu nâu gắn xe</v>
      </c>
      <c r="F407" s="236" t="str">
        <f>VLOOKUP(D407,'Danh mục hàng hóa'!$C$3:$E$613,3,0)</f>
        <v>cái</v>
      </c>
      <c r="G407" s="237">
        <v>20605</v>
      </c>
      <c r="H407" s="237">
        <v>4</v>
      </c>
      <c r="I407" s="235"/>
      <c r="J407" s="237">
        <f t="shared" si="16"/>
        <v>82420</v>
      </c>
      <c r="K407" s="237">
        <f t="shared" si="10"/>
        <v>0</v>
      </c>
      <c r="L407" s="235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</row>
    <row r="408" spans="1:30" ht="13.2">
      <c r="A408" s="232">
        <v>469</v>
      </c>
      <c r="B408" s="235" t="s">
        <v>336</v>
      </c>
      <c r="C408" s="243">
        <v>45306</v>
      </c>
      <c r="D408" s="235" t="s">
        <v>2147</v>
      </c>
      <c r="E408" s="235" t="e">
        <f>VLOOKUP(D408,'Danh mục hàng hóa'!$C$3:$D$600,2,0)</f>
        <v>#N/A</v>
      </c>
      <c r="F408" s="236" t="e">
        <f>VLOOKUP(D408,'Danh mục hàng hóa'!$C$3:$E$613,3,0)</f>
        <v>#N/A</v>
      </c>
      <c r="G408" s="237">
        <v>20605</v>
      </c>
      <c r="H408" s="237">
        <v>3</v>
      </c>
      <c r="I408" s="235"/>
      <c r="J408" s="237">
        <f t="shared" si="16"/>
        <v>61815</v>
      </c>
      <c r="K408" s="237">
        <f t="shared" si="10"/>
        <v>0</v>
      </c>
      <c r="L408" s="235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</row>
    <row r="409" spans="1:30" ht="13.2">
      <c r="A409" s="232">
        <v>470</v>
      </c>
      <c r="B409" s="235" t="s">
        <v>336</v>
      </c>
      <c r="C409" s="243">
        <v>45306</v>
      </c>
      <c r="D409" s="235" t="s">
        <v>913</v>
      </c>
      <c r="E409" s="235" t="str">
        <f>VLOOKUP(D409,'Danh mục hàng hóa'!$C$3:$D$600,2,0)</f>
        <v>Thỏ máy bay gắn xe</v>
      </c>
      <c r="F409" s="236" t="str">
        <f>VLOOKUP(D409,'Danh mục hàng hóa'!$C$3:$E$613,3,0)</f>
        <v>cái</v>
      </c>
      <c r="G409" s="237">
        <v>20605</v>
      </c>
      <c r="H409" s="237">
        <v>4</v>
      </c>
      <c r="I409" s="235"/>
      <c r="J409" s="237">
        <f t="shared" si="16"/>
        <v>82420</v>
      </c>
      <c r="K409" s="237">
        <f t="shared" si="10"/>
        <v>0</v>
      </c>
      <c r="L409" s="235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</row>
    <row r="410" spans="1:30" ht="13.2">
      <c r="A410" s="232">
        <v>471</v>
      </c>
      <c r="B410" s="235" t="s">
        <v>336</v>
      </c>
      <c r="C410" s="243">
        <v>45306</v>
      </c>
      <c r="D410" s="235" t="s">
        <v>915</v>
      </c>
      <c r="E410" s="235" t="str">
        <f>VLOOKUP(D410,'Danh mục hàng hóa'!$C$3:$D$600,2,0)</f>
        <v>Thỏ chạy xe gắn xe</v>
      </c>
      <c r="F410" s="236" t="str">
        <f>VLOOKUP(D410,'Danh mục hàng hóa'!$C$3:$E$613,3,0)</f>
        <v>cái</v>
      </c>
      <c r="G410" s="237">
        <v>20605</v>
      </c>
      <c r="H410" s="237">
        <v>4</v>
      </c>
      <c r="I410" s="235"/>
      <c r="J410" s="237">
        <f t="shared" si="16"/>
        <v>82420</v>
      </c>
      <c r="K410" s="237">
        <f t="shared" si="10"/>
        <v>0</v>
      </c>
      <c r="L410" s="235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</row>
    <row r="411" spans="1:30" ht="13.2">
      <c r="A411" s="232">
        <v>472</v>
      </c>
      <c r="B411" s="235" t="s">
        <v>336</v>
      </c>
      <c r="C411" s="243">
        <v>45306</v>
      </c>
      <c r="D411" s="235" t="s">
        <v>917</v>
      </c>
      <c r="E411" s="235" t="str">
        <f>VLOOKUP(D411,'Danh mục hàng hóa'!$C$3:$D$600,2,0)</f>
        <v>Thỏ đi vịt gắn xe</v>
      </c>
      <c r="F411" s="236" t="str">
        <f>VLOOKUP(D411,'Danh mục hàng hóa'!$C$3:$E$613,3,0)</f>
        <v>cái</v>
      </c>
      <c r="G411" s="237">
        <v>20605</v>
      </c>
      <c r="H411" s="237">
        <v>4</v>
      </c>
      <c r="I411" s="235"/>
      <c r="J411" s="237">
        <f t="shared" si="16"/>
        <v>82420</v>
      </c>
      <c r="K411" s="237">
        <f t="shared" si="10"/>
        <v>0</v>
      </c>
      <c r="L411" s="235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</row>
    <row r="412" spans="1:30" ht="13.2">
      <c r="A412" s="232">
        <v>473</v>
      </c>
      <c r="B412" s="235" t="s">
        <v>336</v>
      </c>
      <c r="C412" s="243">
        <v>45306</v>
      </c>
      <c r="D412" s="235" t="s">
        <v>977</v>
      </c>
      <c r="E412" s="235" t="str">
        <f>VLOOKUP(D412,'Danh mục hàng hóa'!$C$3:$D$600,2,0)</f>
        <v>Móc khóa đôi heo</v>
      </c>
      <c r="F412" s="236" t="str">
        <f>VLOOKUP(D412,'Danh mục hàng hóa'!$C$3:$E$613,3,0)</f>
        <v>cái</v>
      </c>
      <c r="G412" s="237">
        <v>25168</v>
      </c>
      <c r="H412" s="237">
        <v>8</v>
      </c>
      <c r="I412" s="235"/>
      <c r="J412" s="237">
        <f t="shared" si="16"/>
        <v>201344</v>
      </c>
      <c r="K412" s="237">
        <f t="shared" si="10"/>
        <v>0</v>
      </c>
      <c r="L412" s="235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</row>
    <row r="413" spans="1:30" ht="13.2">
      <c r="A413" s="232">
        <v>474</v>
      </c>
      <c r="B413" s="235" t="s">
        <v>336</v>
      </c>
      <c r="C413" s="243">
        <v>45306</v>
      </c>
      <c r="D413" s="235" t="s">
        <v>979</v>
      </c>
      <c r="E413" s="235" t="str">
        <f>VLOOKUP(D413,'Danh mục hàng hóa'!$C$3:$D$600,2,0)</f>
        <v>Móc khóa đôi thỏ cà rốt</v>
      </c>
      <c r="F413" s="236" t="str">
        <f>VLOOKUP(D413,'Danh mục hàng hóa'!$C$3:$E$613,3,0)</f>
        <v>cái</v>
      </c>
      <c r="G413" s="237">
        <v>21658</v>
      </c>
      <c r="H413" s="237">
        <v>3</v>
      </c>
      <c r="I413" s="235"/>
      <c r="J413" s="237">
        <f t="shared" si="16"/>
        <v>64974</v>
      </c>
      <c r="K413" s="237">
        <f t="shared" si="10"/>
        <v>0</v>
      </c>
      <c r="L413" s="235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</row>
    <row r="414" spans="1:30" ht="13.2">
      <c r="A414" s="232">
        <v>475</v>
      </c>
      <c r="B414" s="235" t="s">
        <v>336</v>
      </c>
      <c r="C414" s="243">
        <v>45306</v>
      </c>
      <c r="D414" s="235" t="s">
        <v>981</v>
      </c>
      <c r="E414" s="235" t="str">
        <f>VLOOKUP(D414,'Danh mục hàng hóa'!$C$3:$D$600,2,0)</f>
        <v>Móc khóa đôi corgy</v>
      </c>
      <c r="F414" s="236" t="str">
        <f>VLOOKUP(D414,'Danh mục hàng hóa'!$C$3:$E$613,3,0)</f>
        <v>cái</v>
      </c>
      <c r="G414" s="237">
        <v>25168</v>
      </c>
      <c r="H414" s="237">
        <v>3</v>
      </c>
      <c r="I414" s="235"/>
      <c r="J414" s="237">
        <f t="shared" si="16"/>
        <v>75504</v>
      </c>
      <c r="K414" s="237">
        <f t="shared" si="10"/>
        <v>0</v>
      </c>
      <c r="L414" s="235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</row>
    <row r="415" spans="1:30" ht="13.2">
      <c r="A415" s="232">
        <v>476</v>
      </c>
      <c r="B415" s="235" t="s">
        <v>337</v>
      </c>
      <c r="C415" s="243">
        <v>45306</v>
      </c>
      <c r="D415" s="235" t="s">
        <v>977</v>
      </c>
      <c r="E415" s="235" t="str">
        <f>VLOOKUP(D415,'Danh mục hàng hóa'!$C$3:$D$600,2,0)</f>
        <v>Móc khóa đôi heo</v>
      </c>
      <c r="F415" s="236" t="str">
        <f>VLOOKUP(D415,'Danh mục hàng hóa'!$C$3:$E$613,3,0)</f>
        <v>cái</v>
      </c>
      <c r="G415" s="237">
        <v>45000</v>
      </c>
      <c r="H415" s="235"/>
      <c r="I415" s="237">
        <v>1</v>
      </c>
      <c r="J415" s="237">
        <f t="shared" si="16"/>
        <v>0</v>
      </c>
      <c r="K415" s="237">
        <f t="shared" si="10"/>
        <v>45000</v>
      </c>
      <c r="L415" s="235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</row>
    <row r="416" spans="1:30" ht="13.2">
      <c r="A416" s="232">
        <v>477</v>
      </c>
      <c r="B416" s="235" t="s">
        <v>336</v>
      </c>
      <c r="C416" s="243">
        <v>45307</v>
      </c>
      <c r="D416" s="235" t="s">
        <v>1035</v>
      </c>
      <c r="E416" s="235" t="str">
        <f>VLOOKUP(D416,'Danh mục hàng hóa'!$C$3:$D$600,2,0)</f>
        <v>Vớ cổ ngắn trắng thêu họa tiết mẫu 1</v>
      </c>
      <c r="F416" s="236" t="str">
        <f>VLOOKUP(D416,'Danh mục hàng hóa'!$C$3:$E$613,3,0)</f>
        <v>đôi</v>
      </c>
      <c r="G416" s="238">
        <v>4123.8999999999996</v>
      </c>
      <c r="H416" s="237">
        <v>5</v>
      </c>
      <c r="I416" s="235"/>
      <c r="J416" s="237">
        <f t="shared" si="16"/>
        <v>20619.5</v>
      </c>
      <c r="K416" s="237">
        <f t="shared" si="10"/>
        <v>0</v>
      </c>
      <c r="L416" s="235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</row>
    <row r="417" spans="1:30" ht="13.2">
      <c r="A417" s="232">
        <v>478</v>
      </c>
      <c r="B417" s="235" t="s">
        <v>336</v>
      </c>
      <c r="C417" s="243">
        <v>45307</v>
      </c>
      <c r="D417" s="235" t="s">
        <v>1038</v>
      </c>
      <c r="E417" s="235" t="str">
        <f>VLOOKUP(D417,'Danh mục hàng hóa'!$C$3:$D$600,2,0)</f>
        <v>Vớ cổ ngắn trắng thêu họa tiết mẫu 2</v>
      </c>
      <c r="F417" s="236" t="str">
        <f>VLOOKUP(D417,'Danh mục hàng hóa'!$C$3:$E$613,3,0)</f>
        <v>đôi</v>
      </c>
      <c r="G417" s="238">
        <v>4123.8999999999996</v>
      </c>
      <c r="H417" s="237">
        <v>5</v>
      </c>
      <c r="I417" s="235"/>
      <c r="J417" s="237">
        <f t="shared" si="16"/>
        <v>20619.5</v>
      </c>
      <c r="K417" s="237">
        <f t="shared" si="10"/>
        <v>0</v>
      </c>
      <c r="L417" s="235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</row>
    <row r="418" spans="1:30" ht="13.2">
      <c r="A418" s="232">
        <v>479</v>
      </c>
      <c r="B418" s="235" t="s">
        <v>336</v>
      </c>
      <c r="C418" s="243">
        <v>45307</v>
      </c>
      <c r="D418" s="235" t="s">
        <v>1040</v>
      </c>
      <c r="E418" s="235" t="str">
        <f>VLOOKUP(D418,'Danh mục hàng hóa'!$C$3:$D$600,2,0)</f>
        <v>Vớ cổ ngắn trắng thêu họa tiết mẫu 3</v>
      </c>
      <c r="F418" s="236" t="str">
        <f>VLOOKUP(D418,'Danh mục hàng hóa'!$C$3:$E$613,3,0)</f>
        <v>đôi</v>
      </c>
      <c r="G418" s="238">
        <v>4123.8999999999996</v>
      </c>
      <c r="H418" s="237">
        <v>5</v>
      </c>
      <c r="I418" s="235"/>
      <c r="J418" s="237">
        <f t="shared" si="16"/>
        <v>20619.5</v>
      </c>
      <c r="K418" s="237">
        <f t="shared" si="10"/>
        <v>0</v>
      </c>
      <c r="L418" s="235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</row>
    <row r="419" spans="1:30" ht="13.2">
      <c r="A419" s="232">
        <v>480</v>
      </c>
      <c r="B419" s="235" t="s">
        <v>336</v>
      </c>
      <c r="C419" s="243">
        <v>45307</v>
      </c>
      <c r="D419" s="235" t="s">
        <v>1042</v>
      </c>
      <c r="E419" s="235" t="str">
        <f>VLOOKUP(D419,'Danh mục hàng hóa'!$C$3:$D$600,2,0)</f>
        <v>Vớ cổ ngắn trắng thêu họa tiết mẫu 4</v>
      </c>
      <c r="F419" s="236" t="str">
        <f>VLOOKUP(D419,'Danh mục hàng hóa'!$C$3:$E$613,3,0)</f>
        <v>đôi</v>
      </c>
      <c r="G419" s="238">
        <v>4123.8999999999996</v>
      </c>
      <c r="H419" s="237">
        <v>5</v>
      </c>
      <c r="I419" s="235"/>
      <c r="J419" s="237">
        <f t="shared" si="16"/>
        <v>20619.5</v>
      </c>
      <c r="K419" s="237">
        <f t="shared" si="10"/>
        <v>0</v>
      </c>
      <c r="L419" s="235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</row>
    <row r="420" spans="1:30" ht="13.2">
      <c r="A420" s="232">
        <v>481</v>
      </c>
      <c r="B420" s="235" t="s">
        <v>336</v>
      </c>
      <c r="C420" s="243">
        <v>45307</v>
      </c>
      <c r="D420" s="235" t="s">
        <v>1044</v>
      </c>
      <c r="E420" s="235" t="str">
        <f>VLOOKUP(D420,'Danh mục hàng hóa'!$C$3:$D$600,2,0)</f>
        <v>Vớ cổ ngắn trắng thêu họa tiết mẫu 5</v>
      </c>
      <c r="F420" s="236" t="str">
        <f>VLOOKUP(D420,'Danh mục hàng hóa'!$C$3:$E$613,3,0)</f>
        <v>đôi</v>
      </c>
      <c r="G420" s="238">
        <v>4123.8999999999996</v>
      </c>
      <c r="H420" s="237">
        <v>5</v>
      </c>
      <c r="I420" s="235"/>
      <c r="J420" s="237">
        <f t="shared" si="16"/>
        <v>20619.5</v>
      </c>
      <c r="K420" s="237">
        <f t="shared" si="10"/>
        <v>0</v>
      </c>
      <c r="L420" s="235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</row>
    <row r="421" spans="1:30" ht="13.2">
      <c r="A421" s="232">
        <v>482</v>
      </c>
      <c r="B421" s="235" t="s">
        <v>336</v>
      </c>
      <c r="C421" s="243">
        <v>45307</v>
      </c>
      <c r="D421" s="235" t="s">
        <v>1046</v>
      </c>
      <c r="E421" s="235" t="str">
        <f>VLOOKUP(D421,'Danh mục hàng hóa'!$C$3:$D$600,2,0)</f>
        <v>Vớ cổ ngắn set xanh bơ 1</v>
      </c>
      <c r="F421" s="236" t="str">
        <f>VLOOKUP(D421,'Danh mục hàng hóa'!$C$3:$E$613,3,0)</f>
        <v>đôi</v>
      </c>
      <c r="G421" s="238">
        <v>3808</v>
      </c>
      <c r="H421" s="237">
        <v>3</v>
      </c>
      <c r="I421" s="235"/>
      <c r="J421" s="237">
        <f t="shared" si="16"/>
        <v>11424</v>
      </c>
      <c r="K421" s="237">
        <f t="shared" si="10"/>
        <v>0</v>
      </c>
      <c r="L421" s="235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</row>
    <row r="422" spans="1:30" ht="13.2">
      <c r="A422" s="232">
        <v>483</v>
      </c>
      <c r="B422" s="235" t="s">
        <v>336</v>
      </c>
      <c r="C422" s="243">
        <v>45307</v>
      </c>
      <c r="D422" s="235" t="s">
        <v>1048</v>
      </c>
      <c r="E422" s="235" t="str">
        <f>VLOOKUP(D422,'Danh mục hàng hóa'!$C$3:$D$600,2,0)</f>
        <v>Vớ cổ ngắn set xanh bơ 2</v>
      </c>
      <c r="F422" s="236" t="str">
        <f>VLOOKUP(D422,'Danh mục hàng hóa'!$C$3:$E$613,3,0)</f>
        <v>đôi</v>
      </c>
      <c r="G422" s="238">
        <v>3808</v>
      </c>
      <c r="H422" s="237">
        <v>3</v>
      </c>
      <c r="I422" s="235"/>
      <c r="J422" s="237">
        <f t="shared" si="16"/>
        <v>11424</v>
      </c>
      <c r="K422" s="237">
        <f t="shared" si="10"/>
        <v>0</v>
      </c>
      <c r="L422" s="235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</row>
    <row r="423" spans="1:30" ht="13.2">
      <c r="A423" s="232">
        <v>484</v>
      </c>
      <c r="B423" s="235" t="s">
        <v>336</v>
      </c>
      <c r="C423" s="243">
        <v>45307</v>
      </c>
      <c r="D423" s="235" t="s">
        <v>1050</v>
      </c>
      <c r="E423" s="235" t="str">
        <f>VLOOKUP(D423,'Danh mục hàng hóa'!$C$3:$D$600,2,0)</f>
        <v>Vớ cổ ngắn set xanh bơ 3</v>
      </c>
      <c r="F423" s="236" t="str">
        <f>VLOOKUP(D423,'Danh mục hàng hóa'!$C$3:$E$613,3,0)</f>
        <v>đôi</v>
      </c>
      <c r="G423" s="238">
        <v>3808</v>
      </c>
      <c r="H423" s="237">
        <v>3</v>
      </c>
      <c r="I423" s="235"/>
      <c r="J423" s="237">
        <f t="shared" si="16"/>
        <v>11424</v>
      </c>
      <c r="K423" s="237">
        <f t="shared" si="10"/>
        <v>0</v>
      </c>
      <c r="L423" s="235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</row>
    <row r="424" spans="1:30" ht="13.2">
      <c r="A424" s="232">
        <v>485</v>
      </c>
      <c r="B424" s="235" t="s">
        <v>336</v>
      </c>
      <c r="C424" s="243">
        <v>45307</v>
      </c>
      <c r="D424" s="235" t="s">
        <v>1052</v>
      </c>
      <c r="E424" s="235" t="str">
        <f>VLOOKUP(D424,'Danh mục hàng hóa'!$C$3:$D$600,2,0)</f>
        <v>Vớ cổ ngắn set xanh bơ 4</v>
      </c>
      <c r="F424" s="236" t="str">
        <f>VLOOKUP(D424,'Danh mục hàng hóa'!$C$3:$E$613,3,0)</f>
        <v>đôi</v>
      </c>
      <c r="G424" s="238">
        <v>3808</v>
      </c>
      <c r="H424" s="237">
        <v>3</v>
      </c>
      <c r="I424" s="235"/>
      <c r="J424" s="237">
        <f t="shared" si="16"/>
        <v>11424</v>
      </c>
      <c r="K424" s="237">
        <f t="shared" si="10"/>
        <v>0</v>
      </c>
      <c r="L424" s="235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</row>
    <row r="425" spans="1:30" ht="13.2">
      <c r="A425" s="232">
        <v>486</v>
      </c>
      <c r="B425" s="235" t="s">
        <v>336</v>
      </c>
      <c r="C425" s="243">
        <v>45307</v>
      </c>
      <c r="D425" s="235" t="s">
        <v>1054</v>
      </c>
      <c r="E425" s="235" t="str">
        <f>VLOOKUP(D425,'Danh mục hàng hóa'!$C$3:$D$600,2,0)</f>
        <v>Vớ cổ ngắn set xanh bơ 5</v>
      </c>
      <c r="F425" s="236" t="str">
        <f>VLOOKUP(D425,'Danh mục hàng hóa'!$C$3:$E$613,3,0)</f>
        <v>đôi</v>
      </c>
      <c r="G425" s="238">
        <v>3808</v>
      </c>
      <c r="H425" s="237">
        <v>3</v>
      </c>
      <c r="I425" s="235"/>
      <c r="J425" s="237">
        <f t="shared" si="16"/>
        <v>11424</v>
      </c>
      <c r="K425" s="237">
        <f t="shared" si="10"/>
        <v>0</v>
      </c>
      <c r="L425" s="235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</row>
    <row r="426" spans="1:30" ht="13.2">
      <c r="A426" s="232">
        <v>487</v>
      </c>
      <c r="B426" s="235" t="s">
        <v>336</v>
      </c>
      <c r="C426" s="243">
        <v>45307</v>
      </c>
      <c r="D426" s="235" t="s">
        <v>1056</v>
      </c>
      <c r="E426" s="235" t="str">
        <f>VLOOKUP(D426,'Danh mục hàng hóa'!$C$3:$D$600,2,0)</f>
        <v>Vớ cổ ngắn họa tiết hoa thỏ be</v>
      </c>
      <c r="F426" s="236" t="str">
        <f>VLOOKUP(D426,'Danh mục hàng hóa'!$C$3:$E$613,3,0)</f>
        <v>đôi</v>
      </c>
      <c r="G426" s="238">
        <v>3983.5</v>
      </c>
      <c r="H426" s="237">
        <v>5</v>
      </c>
      <c r="I426" s="235"/>
      <c r="J426" s="237">
        <f t="shared" si="16"/>
        <v>19917.5</v>
      </c>
      <c r="K426" s="237">
        <f t="shared" si="10"/>
        <v>0</v>
      </c>
      <c r="L426" s="235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</row>
    <row r="427" spans="1:30" ht="13.2">
      <c r="A427" s="232">
        <v>488</v>
      </c>
      <c r="B427" s="235" t="s">
        <v>336</v>
      </c>
      <c r="C427" s="243">
        <v>45307</v>
      </c>
      <c r="D427" s="235" t="s">
        <v>1058</v>
      </c>
      <c r="E427" s="235" t="str">
        <f>VLOOKUP(D427,'Danh mục hàng hóa'!$C$3:$D$600,2,0)</f>
        <v>Vớ cổ ngắn họa tiết hoa thỏ hồng</v>
      </c>
      <c r="F427" s="236" t="str">
        <f>VLOOKUP(D427,'Danh mục hàng hóa'!$C$3:$E$613,3,0)</f>
        <v>đôi</v>
      </c>
      <c r="G427" s="238">
        <v>3983.5</v>
      </c>
      <c r="H427" s="237">
        <v>3</v>
      </c>
      <c r="I427" s="235"/>
      <c r="J427" s="237">
        <f t="shared" si="16"/>
        <v>11950.5</v>
      </c>
      <c r="K427" s="237">
        <f t="shared" si="10"/>
        <v>0</v>
      </c>
      <c r="L427" s="235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</row>
    <row r="428" spans="1:30" ht="13.2">
      <c r="A428" s="232">
        <v>489</v>
      </c>
      <c r="B428" s="235" t="s">
        <v>336</v>
      </c>
      <c r="C428" s="243">
        <v>45307</v>
      </c>
      <c r="D428" s="235" t="s">
        <v>1060</v>
      </c>
      <c r="E428" s="235" t="str">
        <f>VLOOKUP(D428,'Danh mục hàng hóa'!$C$3:$D$600,2,0)</f>
        <v>Vớ cổ ngắn họa tiết hoa thỏ kem</v>
      </c>
      <c r="F428" s="236" t="str">
        <f>VLOOKUP(D428,'Danh mục hàng hóa'!$C$3:$E$613,3,0)</f>
        <v>đôi</v>
      </c>
      <c r="G428" s="238">
        <v>3983.5</v>
      </c>
      <c r="H428" s="237">
        <v>5</v>
      </c>
      <c r="I428" s="235"/>
      <c r="J428" s="237">
        <f t="shared" si="16"/>
        <v>19917.5</v>
      </c>
      <c r="K428" s="237">
        <f t="shared" si="10"/>
        <v>0</v>
      </c>
      <c r="L428" s="235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</row>
    <row r="429" spans="1:30" ht="13.2">
      <c r="A429" s="232">
        <v>490</v>
      </c>
      <c r="B429" s="235" t="s">
        <v>336</v>
      </c>
      <c r="C429" s="243">
        <v>45307</v>
      </c>
      <c r="D429" s="235" t="s">
        <v>1062</v>
      </c>
      <c r="E429" s="235" t="str">
        <f>VLOOKUP(D429,'Danh mục hàng hóa'!$C$3:$D$600,2,0)</f>
        <v>Vớ cổ ngắn họa tiết hoa thỏ đen</v>
      </c>
      <c r="F429" s="236" t="str">
        <f>VLOOKUP(D429,'Danh mục hàng hóa'!$C$3:$E$613,3,0)</f>
        <v>đôi</v>
      </c>
      <c r="G429" s="238">
        <v>3983.5</v>
      </c>
      <c r="H429" s="237">
        <v>5</v>
      </c>
      <c r="I429" s="235"/>
      <c r="J429" s="237">
        <f t="shared" si="16"/>
        <v>19917.5</v>
      </c>
      <c r="K429" s="237">
        <f t="shared" si="10"/>
        <v>0</v>
      </c>
      <c r="L429" s="235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</row>
    <row r="430" spans="1:30" ht="13.2">
      <c r="A430" s="232">
        <v>491</v>
      </c>
      <c r="B430" s="235" t="s">
        <v>336</v>
      </c>
      <c r="C430" s="243">
        <v>45307</v>
      </c>
      <c r="D430" s="235" t="s">
        <v>1064</v>
      </c>
      <c r="E430" s="235" t="str">
        <f>VLOOKUP(D430,'Danh mục hàng hóa'!$C$3:$D$600,2,0)</f>
        <v>Vớ trắng mỏng nhiều gấu</v>
      </c>
      <c r="F430" s="236" t="str">
        <f>VLOOKUP(D430,'Danh mục hàng hóa'!$C$3:$E$613,3,0)</f>
        <v>đôi</v>
      </c>
      <c r="G430" s="238">
        <v>3983.5</v>
      </c>
      <c r="H430" s="237">
        <v>6</v>
      </c>
      <c r="I430" s="235"/>
      <c r="J430" s="237">
        <f t="shared" si="16"/>
        <v>23901</v>
      </c>
      <c r="K430" s="237">
        <f t="shared" si="10"/>
        <v>0</v>
      </c>
      <c r="L430" s="235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</row>
    <row r="431" spans="1:30" ht="13.2">
      <c r="A431" s="232">
        <v>492</v>
      </c>
      <c r="B431" s="235" t="s">
        <v>336</v>
      </c>
      <c r="C431" s="243">
        <v>45307</v>
      </c>
      <c r="D431" s="235" t="s">
        <v>1066</v>
      </c>
      <c r="E431" s="235" t="str">
        <f>VLOOKUP(D431,'Danh mục hàng hóa'!$C$3:$D$600,2,0)</f>
        <v>Vớ trắng mỏng nhiều hoa</v>
      </c>
      <c r="F431" s="236" t="str">
        <f>VLOOKUP(D431,'Danh mục hàng hóa'!$C$3:$E$613,3,0)</f>
        <v>đôi</v>
      </c>
      <c r="G431" s="238">
        <v>4685.5</v>
      </c>
      <c r="H431" s="237">
        <v>6</v>
      </c>
      <c r="I431" s="235"/>
      <c r="J431" s="237">
        <f t="shared" si="16"/>
        <v>28113</v>
      </c>
      <c r="K431" s="237">
        <f t="shared" si="10"/>
        <v>0</v>
      </c>
      <c r="L431" s="235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</row>
    <row r="432" spans="1:30" ht="13.2">
      <c r="A432" s="232">
        <v>493</v>
      </c>
      <c r="B432" s="235" t="s">
        <v>336</v>
      </c>
      <c r="C432" s="243">
        <v>45307</v>
      </c>
      <c r="D432" s="235" t="s">
        <v>1068</v>
      </c>
      <c r="E432" s="235" t="str">
        <f>VLOOKUP(D432,'Danh mục hàng hóa'!$C$3:$D$600,2,0)</f>
        <v>Vớ trắng mỏng hoa vàng</v>
      </c>
      <c r="F432" s="236" t="str">
        <f>VLOOKUP(D432,'Danh mục hàng hóa'!$C$3:$E$613,3,0)</f>
        <v>đôi</v>
      </c>
      <c r="G432" s="238">
        <v>4685.5</v>
      </c>
      <c r="H432" s="237">
        <v>6</v>
      </c>
      <c r="I432" s="235"/>
      <c r="J432" s="237">
        <f t="shared" si="16"/>
        <v>28113</v>
      </c>
      <c r="K432" s="237">
        <f t="shared" si="10"/>
        <v>0</v>
      </c>
      <c r="L432" s="235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</row>
    <row r="433" spans="1:30" ht="13.2">
      <c r="A433" s="232">
        <v>494</v>
      </c>
      <c r="B433" s="235" t="s">
        <v>336</v>
      </c>
      <c r="C433" s="243">
        <v>45307</v>
      </c>
      <c r="D433" s="235" t="s">
        <v>1070</v>
      </c>
      <c r="E433" s="235" t="str">
        <f>VLOOKUP(D433,'Danh mục hàng hóa'!$C$3:$D$600,2,0)</f>
        <v>Vớ trắng mỏng gấu</v>
      </c>
      <c r="F433" s="236" t="str">
        <f>VLOOKUP(D433,'Danh mục hàng hóa'!$C$3:$E$613,3,0)</f>
        <v>đôi</v>
      </c>
      <c r="G433" s="238">
        <v>4685.5</v>
      </c>
      <c r="H433" s="237">
        <v>6</v>
      </c>
      <c r="I433" s="235"/>
      <c r="J433" s="237">
        <f t="shared" si="16"/>
        <v>28113</v>
      </c>
      <c r="K433" s="237">
        <f t="shared" si="10"/>
        <v>0</v>
      </c>
      <c r="L433" s="235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</row>
    <row r="434" spans="1:30" ht="13.2">
      <c r="A434" s="232">
        <v>495</v>
      </c>
      <c r="B434" s="235" t="s">
        <v>336</v>
      </c>
      <c r="C434" s="243">
        <v>45307</v>
      </c>
      <c r="D434" s="235" t="s">
        <v>1072</v>
      </c>
      <c r="E434" s="235" t="str">
        <f>VLOOKUP(D434,'Danh mục hàng hóa'!$C$3:$D$600,2,0)</f>
        <v>Vớ trắng mỏng tulip hồng</v>
      </c>
      <c r="F434" s="236" t="str">
        <f>VLOOKUP(D434,'Danh mục hàng hóa'!$C$3:$E$613,3,0)</f>
        <v>đôi</v>
      </c>
      <c r="G434" s="238">
        <v>4685.5</v>
      </c>
      <c r="H434" s="237">
        <v>6</v>
      </c>
      <c r="I434" s="235"/>
      <c r="J434" s="237">
        <f t="shared" si="16"/>
        <v>28113</v>
      </c>
      <c r="K434" s="237">
        <f t="shared" si="10"/>
        <v>0</v>
      </c>
      <c r="L434" s="235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</row>
    <row r="435" spans="1:30" ht="13.2">
      <c r="A435" s="232">
        <v>496</v>
      </c>
      <c r="B435" s="235" t="s">
        <v>336</v>
      </c>
      <c r="C435" s="243">
        <v>45307</v>
      </c>
      <c r="D435" s="235" t="s">
        <v>1074</v>
      </c>
      <c r="E435" s="235" t="str">
        <f>VLOOKUP(D435,'Danh mục hàng hóa'!$C$3:$D$600,2,0)</f>
        <v>Vớ trắng icon be 1</v>
      </c>
      <c r="F435" s="236" t="str">
        <f>VLOOKUP(D435,'Danh mục hàng hóa'!$C$3:$E$613,3,0)</f>
        <v>đôi</v>
      </c>
      <c r="G435" s="238">
        <v>4685.5</v>
      </c>
      <c r="H435" s="237">
        <v>4</v>
      </c>
      <c r="I435" s="235"/>
      <c r="J435" s="237">
        <f t="shared" si="16"/>
        <v>18742</v>
      </c>
      <c r="K435" s="237">
        <f t="shared" si="10"/>
        <v>0</v>
      </c>
      <c r="L435" s="235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</row>
    <row r="436" spans="1:30" ht="13.2">
      <c r="A436" s="232">
        <v>497</v>
      </c>
      <c r="B436" s="235" t="s">
        <v>336</v>
      </c>
      <c r="C436" s="243">
        <v>45307</v>
      </c>
      <c r="D436" s="235" t="s">
        <v>1076</v>
      </c>
      <c r="E436" s="235" t="str">
        <f>VLOOKUP(D436,'Danh mục hàng hóa'!$C$3:$D$600,2,0)</f>
        <v>Vớ trắng icon be 2</v>
      </c>
      <c r="F436" s="236" t="str">
        <f>VLOOKUP(D436,'Danh mục hàng hóa'!$C$3:$E$613,3,0)</f>
        <v>đôi</v>
      </c>
      <c r="G436" s="238">
        <v>4510</v>
      </c>
      <c r="H436" s="237">
        <v>4</v>
      </c>
      <c r="I436" s="235"/>
      <c r="J436" s="237">
        <f t="shared" si="16"/>
        <v>18040</v>
      </c>
      <c r="K436" s="237">
        <f t="shared" si="10"/>
        <v>0</v>
      </c>
      <c r="L436" s="235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</row>
    <row r="437" spans="1:30" ht="13.2">
      <c r="A437" s="232">
        <v>498</v>
      </c>
      <c r="B437" s="235" t="s">
        <v>336</v>
      </c>
      <c r="C437" s="243">
        <v>45307</v>
      </c>
      <c r="D437" s="235" t="s">
        <v>1078</v>
      </c>
      <c r="E437" s="235" t="str">
        <f>VLOOKUP(D437,'Danh mục hàng hóa'!$C$3:$D$600,2,0)</f>
        <v>Vớ trắng icon be 3</v>
      </c>
      <c r="F437" s="236" t="str">
        <f>VLOOKUP(D437,'Danh mục hàng hóa'!$C$3:$E$613,3,0)</f>
        <v>đôi</v>
      </c>
      <c r="G437" s="238">
        <v>4510</v>
      </c>
      <c r="H437" s="237">
        <v>4</v>
      </c>
      <c r="I437" s="235"/>
      <c r="J437" s="237">
        <f t="shared" si="16"/>
        <v>18040</v>
      </c>
      <c r="K437" s="237">
        <f t="shared" si="10"/>
        <v>0</v>
      </c>
      <c r="L437" s="235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</row>
    <row r="438" spans="1:30" ht="13.2">
      <c r="A438" s="232">
        <v>499</v>
      </c>
      <c r="B438" s="235" t="s">
        <v>336</v>
      </c>
      <c r="C438" s="243">
        <v>45307</v>
      </c>
      <c r="D438" s="235" t="s">
        <v>1080</v>
      </c>
      <c r="E438" s="235" t="str">
        <f>VLOOKUP(D438,'Danh mục hàng hóa'!$C$3:$D$600,2,0)</f>
        <v>Vớ trắng icon be 4</v>
      </c>
      <c r="F438" s="236" t="str">
        <f>VLOOKUP(D438,'Danh mục hàng hóa'!$C$3:$E$613,3,0)</f>
        <v>đôi</v>
      </c>
      <c r="G438" s="238">
        <v>4510</v>
      </c>
      <c r="H438" s="237">
        <v>4</v>
      </c>
      <c r="I438" s="235"/>
      <c r="J438" s="237">
        <f t="shared" si="16"/>
        <v>18040</v>
      </c>
      <c r="K438" s="237">
        <f t="shared" si="10"/>
        <v>0</v>
      </c>
      <c r="L438" s="235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</row>
    <row r="439" spans="1:30" ht="13.2">
      <c r="A439" s="232">
        <v>500</v>
      </c>
      <c r="B439" s="235" t="s">
        <v>336</v>
      </c>
      <c r="C439" s="243">
        <v>45307</v>
      </c>
      <c r="D439" s="235" t="s">
        <v>1082</v>
      </c>
      <c r="E439" s="235" t="str">
        <f>VLOOKUP(D439,'Danh mục hàng hóa'!$C$3:$D$600,2,0)</f>
        <v>Vớ trắng icon be 5</v>
      </c>
      <c r="F439" s="236" t="str">
        <f>VLOOKUP(D439,'Danh mục hàng hóa'!$C$3:$E$613,3,0)</f>
        <v>đôi</v>
      </c>
      <c r="G439" s="238">
        <v>4510</v>
      </c>
      <c r="H439" s="237">
        <v>4</v>
      </c>
      <c r="I439" s="235"/>
      <c r="J439" s="237">
        <f t="shared" si="16"/>
        <v>18040</v>
      </c>
      <c r="K439" s="237">
        <f t="shared" si="10"/>
        <v>0</v>
      </c>
      <c r="L439" s="235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</row>
    <row r="440" spans="1:30" ht="13.2">
      <c r="A440" s="232">
        <v>501</v>
      </c>
      <c r="B440" s="235" t="s">
        <v>336</v>
      </c>
      <c r="C440" s="243">
        <v>45307</v>
      </c>
      <c r="D440" s="235" t="s">
        <v>1084</v>
      </c>
      <c r="E440" s="235" t="str">
        <f>VLOOKUP(D440,'Danh mục hàng hóa'!$C$3:$D$600,2,0)</f>
        <v>Vớ trắng đen mẫu 1</v>
      </c>
      <c r="F440" s="236" t="str">
        <f>VLOOKUP(D440,'Danh mục hàng hóa'!$C$3:$E$613,3,0)</f>
        <v>đôi</v>
      </c>
      <c r="G440" s="238">
        <v>7669</v>
      </c>
      <c r="H440" s="237">
        <v>4</v>
      </c>
      <c r="I440" s="235"/>
      <c r="J440" s="237">
        <f t="shared" si="16"/>
        <v>30676</v>
      </c>
      <c r="K440" s="237">
        <f t="shared" si="10"/>
        <v>0</v>
      </c>
      <c r="L440" s="235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</row>
    <row r="441" spans="1:30" ht="13.2">
      <c r="A441" s="232">
        <v>502</v>
      </c>
      <c r="B441" s="235" t="s">
        <v>336</v>
      </c>
      <c r="C441" s="243">
        <v>45307</v>
      </c>
      <c r="D441" s="235" t="s">
        <v>1086</v>
      </c>
      <c r="E441" s="235" t="str">
        <f>VLOOKUP(D441,'Danh mục hàng hóa'!$C$3:$D$600,2,0)</f>
        <v>Vớ trắng đen mẫu 2</v>
      </c>
      <c r="F441" s="236" t="str">
        <f>VLOOKUP(D441,'Danh mục hàng hóa'!$C$3:$E$613,3,0)</f>
        <v>đôi</v>
      </c>
      <c r="G441" s="238">
        <v>7669</v>
      </c>
      <c r="H441" s="237">
        <v>4</v>
      </c>
      <c r="I441" s="235"/>
      <c r="J441" s="237">
        <f t="shared" si="16"/>
        <v>30676</v>
      </c>
      <c r="K441" s="237">
        <f t="shared" si="10"/>
        <v>0</v>
      </c>
      <c r="L441" s="235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</row>
    <row r="442" spans="1:30" ht="13.2">
      <c r="A442" s="232">
        <v>503</v>
      </c>
      <c r="B442" s="235" t="s">
        <v>336</v>
      </c>
      <c r="C442" s="243">
        <v>45307</v>
      </c>
      <c r="D442" s="235" t="s">
        <v>1088</v>
      </c>
      <c r="E442" s="235" t="str">
        <f>VLOOKUP(D442,'Danh mục hàng hóa'!$C$3:$D$600,2,0)</f>
        <v>Vớ trắng đen mẫu 3</v>
      </c>
      <c r="F442" s="236" t="str">
        <f>VLOOKUP(D442,'Danh mục hàng hóa'!$C$3:$E$613,3,0)</f>
        <v>đôi</v>
      </c>
      <c r="G442" s="238">
        <v>7669</v>
      </c>
      <c r="H442" s="237">
        <v>4</v>
      </c>
      <c r="I442" s="235"/>
      <c r="J442" s="237">
        <f t="shared" si="16"/>
        <v>30676</v>
      </c>
      <c r="K442" s="237">
        <f t="shared" si="10"/>
        <v>0</v>
      </c>
      <c r="L442" s="235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</row>
    <row r="443" spans="1:30" ht="13.2">
      <c r="A443" s="232">
        <v>504</v>
      </c>
      <c r="B443" s="235" t="s">
        <v>336</v>
      </c>
      <c r="C443" s="243">
        <v>45307</v>
      </c>
      <c r="D443" s="235" t="s">
        <v>1090</v>
      </c>
      <c r="E443" s="235" t="str">
        <f>VLOOKUP(D443,'Danh mục hàng hóa'!$C$3:$D$600,2,0)</f>
        <v>Vớ trắng đen mẫu 4</v>
      </c>
      <c r="F443" s="236" t="str">
        <f>VLOOKUP(D443,'Danh mục hàng hóa'!$C$3:$E$613,3,0)</f>
        <v>đôi</v>
      </c>
      <c r="G443" s="238">
        <v>7669</v>
      </c>
      <c r="H443" s="237">
        <v>4</v>
      </c>
      <c r="I443" s="235"/>
      <c r="J443" s="237">
        <f t="shared" si="16"/>
        <v>30676</v>
      </c>
      <c r="K443" s="237">
        <f t="shared" si="10"/>
        <v>0</v>
      </c>
      <c r="L443" s="235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</row>
    <row r="444" spans="1:30" ht="13.2">
      <c r="A444" s="232">
        <v>505</v>
      </c>
      <c r="B444" s="235" t="s">
        <v>336</v>
      </c>
      <c r="C444" s="243">
        <v>45307</v>
      </c>
      <c r="D444" s="235" t="s">
        <v>1092</v>
      </c>
      <c r="E444" s="235" t="str">
        <f>VLOOKUP(D444,'Danh mục hàng hóa'!$C$3:$D$600,2,0)</f>
        <v>Vớ trắng đen mẫu 5</v>
      </c>
      <c r="F444" s="236" t="str">
        <f>VLOOKUP(D444,'Danh mục hàng hóa'!$C$3:$E$613,3,0)</f>
        <v>đôi</v>
      </c>
      <c r="G444" s="238">
        <v>9704.7999999999993</v>
      </c>
      <c r="H444" s="237">
        <v>4</v>
      </c>
      <c r="I444" s="235"/>
      <c r="J444" s="237">
        <f t="shared" si="16"/>
        <v>38819.199999999997</v>
      </c>
      <c r="K444" s="237">
        <f t="shared" si="10"/>
        <v>0</v>
      </c>
      <c r="L444" s="235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</row>
    <row r="445" spans="1:30" ht="13.2">
      <c r="A445" s="232">
        <v>506</v>
      </c>
      <c r="B445" s="235" t="s">
        <v>336</v>
      </c>
      <c r="C445" s="243">
        <v>45307</v>
      </c>
      <c r="D445" s="235" t="s">
        <v>1094</v>
      </c>
      <c r="E445" s="235" t="str">
        <f>VLOOKUP(D445,'Danh mục hàng hóa'!$C$3:$D$600,2,0)</f>
        <v>Vớ cổ cao full hồng</v>
      </c>
      <c r="F445" s="236" t="str">
        <f>VLOOKUP(D445,'Danh mục hàng hóa'!$C$3:$E$613,3,0)</f>
        <v>đôi</v>
      </c>
      <c r="G445" s="238">
        <v>9704.7999999999993</v>
      </c>
      <c r="H445" s="237">
        <v>3</v>
      </c>
      <c r="I445" s="235"/>
      <c r="J445" s="237">
        <f t="shared" si="16"/>
        <v>29114.399999999998</v>
      </c>
      <c r="K445" s="237">
        <f t="shared" si="10"/>
        <v>0</v>
      </c>
      <c r="L445" s="235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</row>
    <row r="446" spans="1:30" ht="13.2">
      <c r="A446" s="232">
        <v>507</v>
      </c>
      <c r="B446" s="235" t="s">
        <v>336</v>
      </c>
      <c r="C446" s="243">
        <v>45307</v>
      </c>
      <c r="D446" s="235" t="s">
        <v>1096</v>
      </c>
      <c r="E446" s="235" t="str">
        <f>VLOOKUP(D446,'Danh mục hàng hóa'!$C$3:$D$600,2,0)</f>
        <v>Vớ cổ cao hồng be</v>
      </c>
      <c r="F446" s="236" t="str">
        <f>VLOOKUP(D446,'Danh mục hàng hóa'!$C$3:$E$613,3,0)</f>
        <v>đôi</v>
      </c>
      <c r="G446" s="238">
        <v>9704.7999999999993</v>
      </c>
      <c r="H446" s="237">
        <v>3</v>
      </c>
      <c r="I446" s="235"/>
      <c r="J446" s="237">
        <f t="shared" si="16"/>
        <v>29114.399999999998</v>
      </c>
      <c r="K446" s="237">
        <f t="shared" si="10"/>
        <v>0</v>
      </c>
      <c r="L446" s="235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</row>
    <row r="447" spans="1:30" ht="13.2">
      <c r="A447" s="232">
        <v>508</v>
      </c>
      <c r="B447" s="235" t="s">
        <v>336</v>
      </c>
      <c r="C447" s="243">
        <v>45307</v>
      </c>
      <c r="D447" s="235" t="s">
        <v>1098</v>
      </c>
      <c r="E447" s="235" t="str">
        <f>VLOOKUP(D447,'Danh mục hàng hóa'!$C$3:$D$600,2,0)</f>
        <v>Vớ cổ cao trắng hoa hồng</v>
      </c>
      <c r="F447" s="236" t="str">
        <f>VLOOKUP(D447,'Danh mục hàng hóa'!$C$3:$E$613,3,0)</f>
        <v>đôi</v>
      </c>
      <c r="G447" s="238">
        <v>9704.7999999999993</v>
      </c>
      <c r="H447" s="237">
        <v>3</v>
      </c>
      <c r="I447" s="235"/>
      <c r="J447" s="237">
        <f t="shared" si="16"/>
        <v>29114.399999999998</v>
      </c>
      <c r="K447" s="237">
        <f t="shared" si="10"/>
        <v>0</v>
      </c>
      <c r="L447" s="235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</row>
    <row r="448" spans="1:30" ht="13.2">
      <c r="A448" s="232">
        <v>509</v>
      </c>
      <c r="B448" s="235" t="s">
        <v>336</v>
      </c>
      <c r="C448" s="243">
        <v>45307</v>
      </c>
      <c r="D448" s="235" t="s">
        <v>1100</v>
      </c>
      <c r="E448" s="235" t="str">
        <f>VLOOKUP(D448,'Danh mục hàng hóa'!$C$3:$D$600,2,0)</f>
        <v>Vớ cổ cao sọc hồng</v>
      </c>
      <c r="F448" s="236" t="str">
        <f>VLOOKUP(D448,'Danh mục hàng hóa'!$C$3:$E$613,3,0)</f>
        <v>đôi</v>
      </c>
      <c r="G448" s="238">
        <v>9704.7999999999993</v>
      </c>
      <c r="H448" s="237">
        <v>3</v>
      </c>
      <c r="I448" s="235"/>
      <c r="J448" s="237">
        <f t="shared" si="16"/>
        <v>29114.399999999998</v>
      </c>
      <c r="K448" s="237">
        <f t="shared" si="10"/>
        <v>0</v>
      </c>
      <c r="L448" s="235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</row>
    <row r="449" spans="1:30" ht="13.2">
      <c r="A449" s="232">
        <v>510</v>
      </c>
      <c r="B449" s="235" t="s">
        <v>336</v>
      </c>
      <c r="C449" s="243">
        <v>45307</v>
      </c>
      <c r="D449" s="235" t="s">
        <v>1102</v>
      </c>
      <c r="E449" s="235" t="str">
        <f>VLOOKUP(D449,'Danh mục hàng hóa'!$C$3:$D$600,2,0)</f>
        <v>Vớ cổ cao trắng hoa vàng</v>
      </c>
      <c r="F449" s="236" t="str">
        <f>VLOOKUP(D449,'Danh mục hàng hóa'!$C$3:$E$613,3,0)</f>
        <v>đôi</v>
      </c>
      <c r="G449" s="238">
        <v>9704.7999999999993</v>
      </c>
      <c r="H449" s="237">
        <v>5</v>
      </c>
      <c r="I449" s="235"/>
      <c r="J449" s="237">
        <f t="shared" si="16"/>
        <v>48524</v>
      </c>
      <c r="K449" s="237">
        <f t="shared" si="10"/>
        <v>0</v>
      </c>
      <c r="L449" s="235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</row>
    <row r="450" spans="1:30" ht="13.2">
      <c r="A450" s="232">
        <v>511</v>
      </c>
      <c r="B450" s="235" t="s">
        <v>336</v>
      </c>
      <c r="C450" s="243">
        <v>45307</v>
      </c>
      <c r="D450" s="235" t="s">
        <v>1104</v>
      </c>
      <c r="E450" s="235" t="str">
        <f>VLOOKUP(D450,'Danh mục hàng hóa'!$C$3:$D$600,2,0)</f>
        <v>Vớ cổ cao trắng cỏ ba lá xanh</v>
      </c>
      <c r="F450" s="236" t="str">
        <f>VLOOKUP(D450,'Danh mục hàng hóa'!$C$3:$E$613,3,0)</f>
        <v>đôi</v>
      </c>
      <c r="G450" s="238">
        <v>9704.7999999999993</v>
      </c>
      <c r="H450" s="237">
        <v>5</v>
      </c>
      <c r="I450" s="235"/>
      <c r="J450" s="237">
        <f t="shared" si="16"/>
        <v>48524</v>
      </c>
      <c r="K450" s="237">
        <f t="shared" si="10"/>
        <v>0</v>
      </c>
      <c r="L450" s="235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</row>
    <row r="451" spans="1:30" ht="13.2">
      <c r="A451" s="232">
        <v>512</v>
      </c>
      <c r="B451" s="235" t="s">
        <v>336</v>
      </c>
      <c r="C451" s="243">
        <v>45307</v>
      </c>
      <c r="D451" s="235" t="s">
        <v>1106</v>
      </c>
      <c r="E451" s="235" t="str">
        <f>VLOOKUP(D451,'Danh mục hàng hóa'!$C$3:$D$600,2,0)</f>
        <v>Vớ cổ cao trắng hoa đen</v>
      </c>
      <c r="F451" s="236" t="str">
        <f>VLOOKUP(D451,'Danh mục hàng hóa'!$C$3:$E$613,3,0)</f>
        <v>đôi</v>
      </c>
      <c r="G451" s="238">
        <v>9704.7999999999993</v>
      </c>
      <c r="H451" s="237">
        <v>5</v>
      </c>
      <c r="I451" s="235"/>
      <c r="J451" s="237">
        <f t="shared" si="16"/>
        <v>48524</v>
      </c>
      <c r="K451" s="237">
        <f t="shared" si="10"/>
        <v>0</v>
      </c>
      <c r="L451" s="235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</row>
    <row r="452" spans="1:30" ht="13.2">
      <c r="A452" s="232">
        <v>513</v>
      </c>
      <c r="B452" s="235" t="s">
        <v>336</v>
      </c>
      <c r="C452" s="243">
        <v>45307</v>
      </c>
      <c r="D452" s="235" t="s">
        <v>1108</v>
      </c>
      <c r="E452" s="235" t="str">
        <f>VLOOKUP(D452,'Danh mục hàng hóa'!$C$3:$D$600,2,0)</f>
        <v>Vớ cổ cao trắng hoa hồng</v>
      </c>
      <c r="F452" s="236" t="str">
        <f>VLOOKUP(D452,'Danh mục hàng hóa'!$C$3:$E$613,3,0)</f>
        <v>đôi</v>
      </c>
      <c r="G452" s="238">
        <v>9704.7999999999993</v>
      </c>
      <c r="H452" s="237">
        <v>5</v>
      </c>
      <c r="I452" s="235"/>
      <c r="J452" s="237">
        <f t="shared" si="16"/>
        <v>48524</v>
      </c>
      <c r="K452" s="237">
        <f t="shared" si="10"/>
        <v>0</v>
      </c>
      <c r="L452" s="235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</row>
    <row r="453" spans="1:30" ht="13.2">
      <c r="A453" s="232">
        <v>514</v>
      </c>
      <c r="B453" s="235" t="s">
        <v>336</v>
      </c>
      <c r="C453" s="243">
        <v>45307</v>
      </c>
      <c r="D453" s="235" t="s">
        <v>2148</v>
      </c>
      <c r="E453" s="235" t="e">
        <f>VLOOKUP(D453,'Danh mục hàng hóa'!$C$3:$D$600,2,0)</f>
        <v>#N/A</v>
      </c>
      <c r="F453" s="236" t="e">
        <f>VLOOKUP(D453,'Danh mục hàng hóa'!$C$3:$E$613,3,0)</f>
        <v>#N/A</v>
      </c>
      <c r="G453" s="238">
        <v>9704.7999999999993</v>
      </c>
      <c r="H453" s="237">
        <v>5</v>
      </c>
      <c r="I453" s="235"/>
      <c r="J453" s="237">
        <f t="shared" si="16"/>
        <v>48524</v>
      </c>
      <c r="K453" s="237">
        <f t="shared" si="10"/>
        <v>0</v>
      </c>
      <c r="L453" s="235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</row>
    <row r="454" spans="1:30" ht="13.2">
      <c r="A454" s="232">
        <v>515</v>
      </c>
      <c r="B454" s="235" t="s">
        <v>337</v>
      </c>
      <c r="C454" s="243">
        <v>45307</v>
      </c>
      <c r="D454" s="235" t="s">
        <v>435</v>
      </c>
      <c r="E454" s="235" t="str">
        <f>VLOOKUP(D454,'Danh mục hàng hóa'!$C$3:$D$600,2,0)</f>
        <v>Bao lì xì Tết tài lộc</v>
      </c>
      <c r="F454" s="236" t="str">
        <f>VLOOKUP(D454,'Danh mục hàng hóa'!$C$3:$E$613,3,0)</f>
        <v>set 6 cái</v>
      </c>
      <c r="G454" s="237">
        <v>6706</v>
      </c>
      <c r="H454" s="235"/>
      <c r="I454" s="237">
        <v>1</v>
      </c>
      <c r="J454" s="237">
        <f t="shared" si="16"/>
        <v>0</v>
      </c>
      <c r="K454" s="237">
        <f t="shared" si="10"/>
        <v>6706</v>
      </c>
      <c r="L454" s="235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</row>
    <row r="455" spans="1:30" ht="13.2">
      <c r="A455" s="232">
        <v>516</v>
      </c>
      <c r="B455" s="235" t="s">
        <v>337</v>
      </c>
      <c r="C455" s="243">
        <v>45307</v>
      </c>
      <c r="D455" s="235" t="s">
        <v>437</v>
      </c>
      <c r="E455" s="235" t="str">
        <f>VLOOKUP(D455,'Danh mục hàng hóa'!$C$3:$D$600,2,0)</f>
        <v>Bao lì xì Tết hoa</v>
      </c>
      <c r="F455" s="236" t="str">
        <f>VLOOKUP(D455,'Danh mục hàng hóa'!$C$3:$E$613,3,0)</f>
        <v>set 6 cái</v>
      </c>
      <c r="G455" s="237">
        <v>6706</v>
      </c>
      <c r="H455" s="235"/>
      <c r="I455" s="237">
        <v>6</v>
      </c>
      <c r="J455" s="237">
        <f t="shared" si="16"/>
        <v>0</v>
      </c>
      <c r="K455" s="237">
        <f t="shared" si="10"/>
        <v>40236</v>
      </c>
      <c r="L455" s="235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</row>
    <row r="456" spans="1:30" ht="13.2">
      <c r="A456" s="232">
        <v>517</v>
      </c>
      <c r="B456" s="235" t="s">
        <v>337</v>
      </c>
      <c r="C456" s="243">
        <v>45307</v>
      </c>
      <c r="D456" s="235" t="s">
        <v>438</v>
      </c>
      <c r="E456" s="235" t="str">
        <f>VLOOKUP(D456,'Danh mục hàng hóa'!$C$3:$D$600,2,0)</f>
        <v>Bao lì xì Tết xanh</v>
      </c>
      <c r="F456" s="236" t="str">
        <f>VLOOKUP(D456,'Danh mục hàng hóa'!$C$3:$E$613,3,0)</f>
        <v>set 6 cái</v>
      </c>
      <c r="G456" s="237">
        <v>6706</v>
      </c>
      <c r="H456" s="235"/>
      <c r="I456" s="237">
        <v>1</v>
      </c>
      <c r="J456" s="237">
        <f t="shared" si="16"/>
        <v>0</v>
      </c>
      <c r="K456" s="237">
        <f t="shared" si="10"/>
        <v>6706</v>
      </c>
      <c r="L456" s="235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</row>
    <row r="457" spans="1:30" ht="13.2">
      <c r="A457" s="232">
        <v>518</v>
      </c>
      <c r="B457" s="235" t="s">
        <v>337</v>
      </c>
      <c r="C457" s="243">
        <v>45307</v>
      </c>
      <c r="D457" s="235" t="s">
        <v>439</v>
      </c>
      <c r="E457" s="235" t="str">
        <f>VLOOKUP(D457,'Danh mục hàng hóa'!$C$3:$D$600,2,0)</f>
        <v>Bao lì xì vui vẻ</v>
      </c>
      <c r="F457" s="236" t="str">
        <f>VLOOKUP(D457,'Danh mục hàng hóa'!$C$3:$E$613,3,0)</f>
        <v>set 6 cái</v>
      </c>
      <c r="G457" s="237">
        <v>6706</v>
      </c>
      <c r="H457" s="235"/>
      <c r="I457" s="237">
        <v>1</v>
      </c>
      <c r="J457" s="237">
        <f t="shared" si="16"/>
        <v>0</v>
      </c>
      <c r="K457" s="237">
        <f t="shared" si="10"/>
        <v>6706</v>
      </c>
      <c r="L457" s="235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</row>
    <row r="458" spans="1:30" ht="13.2">
      <c r="A458" s="232">
        <v>519</v>
      </c>
      <c r="B458" s="235" t="s">
        <v>337</v>
      </c>
      <c r="C458" s="243">
        <v>45307</v>
      </c>
      <c r="D458" s="235" t="s">
        <v>440</v>
      </c>
      <c r="E458" s="235" t="str">
        <f>VLOOKUP(D458,'Danh mục hàng hóa'!$C$3:$D$600,2,0)</f>
        <v>Bao lì xì ngộ nghĩnh</v>
      </c>
      <c r="F458" s="236" t="str">
        <f>VLOOKUP(D458,'Danh mục hàng hóa'!$C$3:$E$613,3,0)</f>
        <v>set 6 cái</v>
      </c>
      <c r="G458" s="237">
        <v>6706</v>
      </c>
      <c r="H458" s="235"/>
      <c r="I458" s="237">
        <v>1</v>
      </c>
      <c r="J458" s="237">
        <f t="shared" si="16"/>
        <v>0</v>
      </c>
      <c r="K458" s="237">
        <f t="shared" si="10"/>
        <v>6706</v>
      </c>
      <c r="L458" s="235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</row>
    <row r="459" spans="1:30" ht="13.2">
      <c r="A459" s="232">
        <v>520</v>
      </c>
      <c r="B459" s="235" t="s">
        <v>337</v>
      </c>
      <c r="C459" s="243">
        <v>45307</v>
      </c>
      <c r="D459" s="235" t="s">
        <v>588</v>
      </c>
      <c r="E459" s="235" t="str">
        <f>VLOOKUP(D459,'Danh mục hàng hóa'!$C$3:$D$600,2,0)</f>
        <v>Kẹp tóc nhựa be</v>
      </c>
      <c r="F459" s="236" t="str">
        <f>VLOOKUP(D459,'Danh mục hàng hóa'!$C$3:$E$613,3,0)</f>
        <v>cái</v>
      </c>
      <c r="G459" s="237">
        <v>14900</v>
      </c>
      <c r="H459" s="235"/>
      <c r="I459" s="237">
        <v>1</v>
      </c>
      <c r="J459" s="237">
        <f t="shared" si="16"/>
        <v>0</v>
      </c>
      <c r="K459" s="237">
        <f t="shared" si="10"/>
        <v>14900</v>
      </c>
      <c r="L459" s="235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</row>
    <row r="460" spans="1:30" ht="13.2">
      <c r="A460" s="232">
        <v>521</v>
      </c>
      <c r="B460" s="235" t="s">
        <v>337</v>
      </c>
      <c r="C460" s="243">
        <v>45307</v>
      </c>
      <c r="D460" s="235" t="s">
        <v>437</v>
      </c>
      <c r="E460" s="235" t="str">
        <f>VLOOKUP(D460,'Danh mục hàng hóa'!$C$3:$D$600,2,0)</f>
        <v>Bao lì xì Tết hoa</v>
      </c>
      <c r="F460" s="236" t="str">
        <f>VLOOKUP(D460,'Danh mục hàng hóa'!$C$3:$E$613,3,0)</f>
        <v>set 6 cái</v>
      </c>
      <c r="G460" s="237">
        <f t="shared" ref="G460:G462" si="32">45744/6</f>
        <v>7624</v>
      </c>
      <c r="H460" s="235"/>
      <c r="I460" s="237">
        <v>2</v>
      </c>
      <c r="J460" s="237">
        <f t="shared" si="16"/>
        <v>0</v>
      </c>
      <c r="K460" s="237">
        <f t="shared" si="10"/>
        <v>15248</v>
      </c>
      <c r="L460" s="235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</row>
    <row r="461" spans="1:30" ht="13.2">
      <c r="A461" s="232">
        <v>522</v>
      </c>
      <c r="B461" s="235" t="s">
        <v>337</v>
      </c>
      <c r="C461" s="243">
        <v>45307</v>
      </c>
      <c r="D461" s="235" t="s">
        <v>439</v>
      </c>
      <c r="E461" s="235" t="str">
        <f>VLOOKUP(D461,'Danh mục hàng hóa'!$C$3:$D$600,2,0)</f>
        <v>Bao lì xì vui vẻ</v>
      </c>
      <c r="F461" s="236" t="str">
        <f>VLOOKUP(D461,'Danh mục hàng hóa'!$C$3:$E$613,3,0)</f>
        <v>set 6 cái</v>
      </c>
      <c r="G461" s="237">
        <f t="shared" si="32"/>
        <v>7624</v>
      </c>
      <c r="H461" s="235"/>
      <c r="I461" s="237">
        <v>2</v>
      </c>
      <c r="J461" s="237">
        <f t="shared" si="16"/>
        <v>0</v>
      </c>
      <c r="K461" s="237">
        <f t="shared" si="10"/>
        <v>15248</v>
      </c>
      <c r="L461" s="235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</row>
    <row r="462" spans="1:30" ht="13.2">
      <c r="A462" s="232">
        <v>523</v>
      </c>
      <c r="B462" s="235" t="s">
        <v>337</v>
      </c>
      <c r="C462" s="243">
        <v>45307</v>
      </c>
      <c r="D462" s="235" t="s">
        <v>440</v>
      </c>
      <c r="E462" s="235" t="str">
        <f>VLOOKUP(D462,'Danh mục hàng hóa'!$C$3:$D$600,2,0)</f>
        <v>Bao lì xì ngộ nghĩnh</v>
      </c>
      <c r="F462" s="236" t="str">
        <f>VLOOKUP(D462,'Danh mục hàng hóa'!$C$3:$E$613,3,0)</f>
        <v>set 6 cái</v>
      </c>
      <c r="G462" s="237">
        <f t="shared" si="32"/>
        <v>7624</v>
      </c>
      <c r="H462" s="235"/>
      <c r="I462" s="237">
        <v>2</v>
      </c>
      <c r="J462" s="237">
        <f t="shared" si="16"/>
        <v>0</v>
      </c>
      <c r="K462" s="237">
        <f t="shared" si="10"/>
        <v>15248</v>
      </c>
      <c r="L462" s="235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</row>
    <row r="463" spans="1:30" ht="13.2">
      <c r="A463" s="232">
        <v>524</v>
      </c>
      <c r="B463" s="235" t="s">
        <v>337</v>
      </c>
      <c r="C463" s="243">
        <v>45307</v>
      </c>
      <c r="D463" s="235" t="s">
        <v>414</v>
      </c>
      <c r="E463" s="235" t="str">
        <f>VLOOKUP(D463,'Danh mục hàng hóa'!$C$3:$D$600,2,0)</f>
        <v>Túi chườm bụng dâu tây 500ml</v>
      </c>
      <c r="F463" s="236" t="str">
        <f>VLOOKUP(D463,'Danh mục hàng hóa'!$C$3:$E$613,3,0)</f>
        <v>túi</v>
      </c>
      <c r="G463" s="237">
        <v>78320</v>
      </c>
      <c r="H463" s="235"/>
      <c r="I463" s="237">
        <v>1</v>
      </c>
      <c r="J463" s="237">
        <f t="shared" si="16"/>
        <v>0</v>
      </c>
      <c r="K463" s="237">
        <f t="shared" si="10"/>
        <v>78320</v>
      </c>
      <c r="L463" s="235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</row>
    <row r="464" spans="1:30" ht="13.2">
      <c r="A464" s="232">
        <v>525</v>
      </c>
      <c r="B464" s="235" t="s">
        <v>337</v>
      </c>
      <c r="C464" s="243">
        <v>45307</v>
      </c>
      <c r="D464" s="235" t="s">
        <v>437</v>
      </c>
      <c r="E464" s="235" t="str">
        <f>VLOOKUP(D464,'Danh mục hàng hóa'!$C$3:$D$600,2,0)</f>
        <v>Bao lì xì Tết hoa</v>
      </c>
      <c r="F464" s="236" t="str">
        <f>VLOOKUP(D464,'Danh mục hàng hóa'!$C$3:$E$613,3,0)</f>
        <v>set 6 cái</v>
      </c>
      <c r="G464" s="237">
        <f t="shared" ref="G464:G465" si="33">15448/2</f>
        <v>7724</v>
      </c>
      <c r="H464" s="235"/>
      <c r="I464" s="237">
        <v>1</v>
      </c>
      <c r="J464" s="237">
        <f t="shared" si="16"/>
        <v>0</v>
      </c>
      <c r="K464" s="237">
        <f t="shared" si="10"/>
        <v>7724</v>
      </c>
      <c r="L464" s="235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</row>
    <row r="465" spans="1:30" ht="13.2">
      <c r="A465" s="232">
        <v>526</v>
      </c>
      <c r="B465" s="235" t="s">
        <v>337</v>
      </c>
      <c r="C465" s="243">
        <v>45307</v>
      </c>
      <c r="D465" s="235" t="s">
        <v>440</v>
      </c>
      <c r="E465" s="235" t="str">
        <f>VLOOKUP(D465,'Danh mục hàng hóa'!$C$3:$D$600,2,0)</f>
        <v>Bao lì xì ngộ nghĩnh</v>
      </c>
      <c r="F465" s="236" t="str">
        <f>VLOOKUP(D465,'Danh mục hàng hóa'!$C$3:$E$613,3,0)</f>
        <v>set 6 cái</v>
      </c>
      <c r="G465" s="237">
        <f t="shared" si="33"/>
        <v>7724</v>
      </c>
      <c r="H465" s="235"/>
      <c r="I465" s="237">
        <v>1</v>
      </c>
      <c r="J465" s="237">
        <f t="shared" si="16"/>
        <v>0</v>
      </c>
      <c r="K465" s="237">
        <f t="shared" si="10"/>
        <v>7724</v>
      </c>
      <c r="L465" s="235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</row>
    <row r="466" spans="1:30" ht="13.2">
      <c r="A466" s="232">
        <v>527</v>
      </c>
      <c r="B466" s="235" t="s">
        <v>337</v>
      </c>
      <c r="C466" s="243">
        <v>45308</v>
      </c>
      <c r="D466" s="235" t="s">
        <v>440</v>
      </c>
      <c r="E466" s="235" t="str">
        <f>VLOOKUP(D466,'Danh mục hàng hóa'!$C$3:$D$600,2,0)</f>
        <v>Bao lì xì ngộ nghĩnh</v>
      </c>
      <c r="F466" s="236" t="str">
        <f>VLOOKUP(D466,'Danh mục hàng hóa'!$C$3:$E$613,3,0)</f>
        <v>set 6 cái</v>
      </c>
      <c r="G466" s="237">
        <f>61052/8</f>
        <v>7631.5</v>
      </c>
      <c r="H466" s="235"/>
      <c r="I466" s="237">
        <v>8</v>
      </c>
      <c r="J466" s="237">
        <f t="shared" si="16"/>
        <v>0</v>
      </c>
      <c r="K466" s="237">
        <f t="shared" si="10"/>
        <v>61052</v>
      </c>
      <c r="L466" s="235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</row>
    <row r="467" spans="1:30" ht="13.2">
      <c r="A467" s="232">
        <v>528</v>
      </c>
      <c r="B467" s="235" t="s">
        <v>337</v>
      </c>
      <c r="C467" s="243">
        <v>45308</v>
      </c>
      <c r="D467" s="235" t="s">
        <v>440</v>
      </c>
      <c r="E467" s="235" t="str">
        <f>VLOOKUP(D467,'Danh mục hàng hóa'!$C$3:$D$600,2,0)</f>
        <v>Bao lì xì ngộ nghĩnh</v>
      </c>
      <c r="F467" s="236" t="str">
        <f>VLOOKUP(D467,'Danh mục hàng hóa'!$C$3:$E$613,3,0)</f>
        <v>set 6 cái</v>
      </c>
      <c r="G467" s="237">
        <f t="shared" ref="G467:G468" si="34">15428/2</f>
        <v>7714</v>
      </c>
      <c r="H467" s="235"/>
      <c r="I467" s="237">
        <v>1</v>
      </c>
      <c r="J467" s="237">
        <f t="shared" si="16"/>
        <v>0</v>
      </c>
      <c r="K467" s="237">
        <f t="shared" si="10"/>
        <v>7714</v>
      </c>
      <c r="L467" s="235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</row>
    <row r="468" spans="1:30" ht="13.2">
      <c r="A468" s="240"/>
      <c r="B468" s="235" t="s">
        <v>337</v>
      </c>
      <c r="C468" s="243">
        <v>45308</v>
      </c>
      <c r="D468" s="235" t="s">
        <v>439</v>
      </c>
      <c r="E468" s="235" t="str">
        <f>VLOOKUP(D468,'Danh mục hàng hóa'!$C$3:$D$600,2,0)</f>
        <v>Bao lì xì vui vẻ</v>
      </c>
      <c r="F468" s="236" t="str">
        <f>VLOOKUP(D468,'Danh mục hàng hóa'!$C$3:$E$613,3,0)</f>
        <v>set 6 cái</v>
      </c>
      <c r="G468" s="237">
        <f t="shared" si="34"/>
        <v>7714</v>
      </c>
      <c r="H468" s="235"/>
      <c r="I468" s="237">
        <v>1</v>
      </c>
      <c r="J468" s="237">
        <f t="shared" si="16"/>
        <v>0</v>
      </c>
      <c r="K468" s="237">
        <f t="shared" si="10"/>
        <v>7714</v>
      </c>
      <c r="L468" s="235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</row>
    <row r="469" spans="1:30" ht="13.2">
      <c r="A469" s="232">
        <v>530</v>
      </c>
      <c r="B469" s="235" t="s">
        <v>337</v>
      </c>
      <c r="C469" s="243">
        <v>45309</v>
      </c>
      <c r="D469" s="235" t="s">
        <v>439</v>
      </c>
      <c r="E469" s="235" t="str">
        <f>VLOOKUP(D469,'Danh mục hàng hóa'!$C$3:$D$600,2,0)</f>
        <v>Bao lì xì vui vẻ</v>
      </c>
      <c r="F469" s="236" t="str">
        <f>VLOOKUP(D469,'Danh mục hàng hóa'!$C$3:$E$613,3,0)</f>
        <v>set 6 cái</v>
      </c>
      <c r="G469" s="237">
        <f>76920/10</f>
        <v>7692</v>
      </c>
      <c r="H469" s="235"/>
      <c r="I469" s="237">
        <v>10</v>
      </c>
      <c r="J469" s="237">
        <f t="shared" si="16"/>
        <v>0</v>
      </c>
      <c r="K469" s="237">
        <f t="shared" si="10"/>
        <v>76920</v>
      </c>
      <c r="L469" s="235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</row>
    <row r="470" spans="1:30" ht="13.2">
      <c r="A470" s="232">
        <v>531</v>
      </c>
      <c r="B470" s="235" t="s">
        <v>337</v>
      </c>
      <c r="C470" s="243">
        <v>45309</v>
      </c>
      <c r="D470" s="235" t="s">
        <v>1108</v>
      </c>
      <c r="E470" s="235" t="str">
        <f>VLOOKUP(D470,'Danh mục hàng hóa'!$C$3:$D$600,2,0)</f>
        <v>Vớ cổ cao trắng hoa hồng</v>
      </c>
      <c r="F470" s="236" t="str">
        <f>VLOOKUP(D470,'Danh mục hàng hóa'!$C$3:$E$613,3,0)</f>
        <v>đôi</v>
      </c>
      <c r="G470" s="237">
        <v>18000</v>
      </c>
      <c r="H470" s="235"/>
      <c r="I470" s="237">
        <v>1</v>
      </c>
      <c r="J470" s="237">
        <f t="shared" si="16"/>
        <v>0</v>
      </c>
      <c r="K470" s="237">
        <f t="shared" si="10"/>
        <v>18000</v>
      </c>
      <c r="L470" s="235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</row>
    <row r="471" spans="1:30" ht="13.2">
      <c r="A471" s="232">
        <v>532</v>
      </c>
      <c r="B471" s="235" t="s">
        <v>337</v>
      </c>
      <c r="C471" s="243">
        <v>45309</v>
      </c>
      <c r="D471" s="235" t="s">
        <v>1062</v>
      </c>
      <c r="E471" s="235" t="str">
        <f>VLOOKUP(D471,'Danh mục hàng hóa'!$C$3:$D$600,2,0)</f>
        <v>Vớ cổ ngắn họa tiết hoa thỏ đen</v>
      </c>
      <c r="F471" s="236" t="str">
        <f>VLOOKUP(D471,'Danh mục hàng hóa'!$C$3:$E$613,3,0)</f>
        <v>đôi</v>
      </c>
      <c r="G471" s="237">
        <v>8000</v>
      </c>
      <c r="H471" s="235"/>
      <c r="I471" s="237">
        <v>5</v>
      </c>
      <c r="J471" s="237">
        <f t="shared" si="16"/>
        <v>0</v>
      </c>
      <c r="K471" s="237">
        <f t="shared" si="10"/>
        <v>40000</v>
      </c>
      <c r="L471" s="235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</row>
    <row r="472" spans="1:30" ht="13.2">
      <c r="A472" s="232">
        <v>533</v>
      </c>
      <c r="B472" s="235" t="s">
        <v>337</v>
      </c>
      <c r="C472" s="243">
        <v>45309</v>
      </c>
      <c r="D472" s="235" t="s">
        <v>1048</v>
      </c>
      <c r="E472" s="235" t="str">
        <f>VLOOKUP(D472,'Danh mục hàng hóa'!$C$3:$D$600,2,0)</f>
        <v>Vớ cổ ngắn set xanh bơ 2</v>
      </c>
      <c r="F472" s="236" t="str">
        <f>VLOOKUP(D472,'Danh mục hàng hóa'!$C$3:$E$613,3,0)</f>
        <v>đôi</v>
      </c>
      <c r="G472" s="237">
        <v>9000</v>
      </c>
      <c r="H472" s="235"/>
      <c r="I472" s="237">
        <v>2</v>
      </c>
      <c r="J472" s="237">
        <f t="shared" si="16"/>
        <v>0</v>
      </c>
      <c r="K472" s="237">
        <f t="shared" si="10"/>
        <v>18000</v>
      </c>
      <c r="L472" s="235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</row>
    <row r="473" spans="1:30" ht="13.2">
      <c r="A473" s="232">
        <v>534</v>
      </c>
      <c r="B473" s="235" t="s">
        <v>337</v>
      </c>
      <c r="C473" s="243">
        <v>45309</v>
      </c>
      <c r="D473" s="235" t="s">
        <v>1054</v>
      </c>
      <c r="E473" s="235" t="str">
        <f>VLOOKUP(D473,'Danh mục hàng hóa'!$C$3:$D$600,2,0)</f>
        <v>Vớ cổ ngắn set xanh bơ 5</v>
      </c>
      <c r="F473" s="236" t="str">
        <f>VLOOKUP(D473,'Danh mục hàng hóa'!$C$3:$E$613,3,0)</f>
        <v>đôi</v>
      </c>
      <c r="G473" s="237">
        <v>9000</v>
      </c>
      <c r="H473" s="235"/>
      <c r="I473" s="237">
        <v>1</v>
      </c>
      <c r="J473" s="237">
        <f t="shared" si="16"/>
        <v>0</v>
      </c>
      <c r="K473" s="237">
        <f t="shared" si="10"/>
        <v>9000</v>
      </c>
      <c r="L473" s="235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</row>
    <row r="474" spans="1:30" ht="13.2">
      <c r="A474" s="232">
        <v>535</v>
      </c>
      <c r="B474" s="235" t="s">
        <v>337</v>
      </c>
      <c r="C474" s="243">
        <v>45309</v>
      </c>
      <c r="D474" s="235" t="s">
        <v>1035</v>
      </c>
      <c r="E474" s="235" t="str">
        <f>VLOOKUP(D474,'Danh mục hàng hóa'!$C$3:$D$600,2,0)</f>
        <v>Vớ cổ ngắn trắng thêu họa tiết mẫu 1</v>
      </c>
      <c r="F474" s="236" t="str">
        <f>VLOOKUP(D474,'Danh mục hàng hóa'!$C$3:$E$613,3,0)</f>
        <v>đôi</v>
      </c>
      <c r="G474" s="237">
        <v>11000</v>
      </c>
      <c r="H474" s="235"/>
      <c r="I474" s="237">
        <v>1</v>
      </c>
      <c r="J474" s="237">
        <f t="shared" si="16"/>
        <v>0</v>
      </c>
      <c r="K474" s="237">
        <f t="shared" si="10"/>
        <v>11000</v>
      </c>
      <c r="L474" s="235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</row>
    <row r="475" spans="1:30" ht="13.2">
      <c r="A475" s="232">
        <v>536</v>
      </c>
      <c r="B475" s="235" t="s">
        <v>337</v>
      </c>
      <c r="C475" s="243">
        <v>45309</v>
      </c>
      <c r="D475" s="235" t="s">
        <v>1040</v>
      </c>
      <c r="E475" s="235" t="str">
        <f>VLOOKUP(D475,'Danh mục hàng hóa'!$C$3:$D$600,2,0)</f>
        <v>Vớ cổ ngắn trắng thêu họa tiết mẫu 3</v>
      </c>
      <c r="F475" s="236" t="str">
        <f>VLOOKUP(D475,'Danh mục hàng hóa'!$C$3:$E$613,3,0)</f>
        <v>đôi</v>
      </c>
      <c r="G475" s="237">
        <v>11000</v>
      </c>
      <c r="H475" s="235"/>
      <c r="I475" s="237">
        <v>2</v>
      </c>
      <c r="J475" s="237">
        <f t="shared" si="16"/>
        <v>0</v>
      </c>
      <c r="K475" s="237">
        <f t="shared" ref="K475:K661" si="35">G475*I475</f>
        <v>22000</v>
      </c>
      <c r="L475" s="235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</row>
    <row r="476" spans="1:30" ht="13.2">
      <c r="A476" s="232">
        <v>537</v>
      </c>
      <c r="B476" s="235" t="s">
        <v>337</v>
      </c>
      <c r="C476" s="243">
        <v>45309</v>
      </c>
      <c r="D476" s="235" t="s">
        <v>1044</v>
      </c>
      <c r="E476" s="235" t="str">
        <f>VLOOKUP(D476,'Danh mục hàng hóa'!$C$3:$D$600,2,0)</f>
        <v>Vớ cổ ngắn trắng thêu họa tiết mẫu 5</v>
      </c>
      <c r="F476" s="236" t="str">
        <f>VLOOKUP(D476,'Danh mục hàng hóa'!$C$3:$E$613,3,0)</f>
        <v>đôi</v>
      </c>
      <c r="G476" s="237">
        <v>11000</v>
      </c>
      <c r="H476" s="235"/>
      <c r="I476" s="237">
        <v>1</v>
      </c>
      <c r="J476" s="237">
        <f t="shared" si="16"/>
        <v>0</v>
      </c>
      <c r="K476" s="237">
        <f t="shared" si="35"/>
        <v>11000</v>
      </c>
      <c r="L476" s="235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</row>
    <row r="477" spans="1:30" ht="13.2">
      <c r="A477" s="240"/>
      <c r="B477" s="235" t="s">
        <v>337</v>
      </c>
      <c r="C477" s="243">
        <v>45309</v>
      </c>
      <c r="D477" s="235" t="s">
        <v>438</v>
      </c>
      <c r="E477" s="235" t="str">
        <f>VLOOKUP(D477,'Danh mục hàng hóa'!$C$3:$D$600,2,0)</f>
        <v>Bao lì xì Tết xanh</v>
      </c>
      <c r="F477" s="236" t="str">
        <f>VLOOKUP(D477,'Danh mục hàng hóa'!$C$3:$E$613,3,0)</f>
        <v>set 6 cái</v>
      </c>
      <c r="G477" s="237">
        <v>14000</v>
      </c>
      <c r="H477" s="235"/>
      <c r="I477" s="237">
        <v>2</v>
      </c>
      <c r="J477" s="237">
        <f t="shared" si="16"/>
        <v>0</v>
      </c>
      <c r="K477" s="237">
        <f t="shared" si="35"/>
        <v>28000</v>
      </c>
      <c r="L477" s="235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</row>
    <row r="478" spans="1:30" ht="13.2">
      <c r="A478" s="240"/>
      <c r="B478" s="235" t="s">
        <v>337</v>
      </c>
      <c r="C478" s="243">
        <v>45310</v>
      </c>
      <c r="D478" s="235" t="s">
        <v>915</v>
      </c>
      <c r="E478" s="235" t="str">
        <f>VLOOKUP(D478,'Danh mục hàng hóa'!$C$3:$D$600,2,0)</f>
        <v>Thỏ chạy xe gắn xe</v>
      </c>
      <c r="F478" s="236" t="str">
        <f>VLOOKUP(D478,'Danh mục hàng hóa'!$C$3:$E$613,3,0)</f>
        <v>cái</v>
      </c>
      <c r="G478" s="237">
        <v>28222</v>
      </c>
      <c r="H478" s="235"/>
      <c r="I478" s="237">
        <v>1</v>
      </c>
      <c r="J478" s="237">
        <f t="shared" si="16"/>
        <v>0</v>
      </c>
      <c r="K478" s="237">
        <f t="shared" si="35"/>
        <v>28222</v>
      </c>
      <c r="L478" s="235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</row>
    <row r="479" spans="1:30" ht="13.2">
      <c r="A479" s="240"/>
      <c r="B479" s="235" t="s">
        <v>337</v>
      </c>
      <c r="C479" s="243">
        <v>45310</v>
      </c>
      <c r="D479" s="235" t="s">
        <v>566</v>
      </c>
      <c r="E479" s="235" t="str">
        <f>VLOOKUP(D479,'Danh mục hàng hóa'!$C$3:$D$600,2,0)</f>
        <v>Ống 8 dây cột tóc đen nâu be</v>
      </c>
      <c r="F479" s="236" t="str">
        <f>VLOOKUP(D479,'Danh mục hàng hóa'!$C$3:$E$613,3,0)</f>
        <v>ống</v>
      </c>
      <c r="G479" s="237">
        <f>49220/2</f>
        <v>24610</v>
      </c>
      <c r="H479" s="235"/>
      <c r="I479" s="237">
        <v>2</v>
      </c>
      <c r="J479" s="237">
        <f t="shared" si="16"/>
        <v>0</v>
      </c>
      <c r="K479" s="237">
        <f t="shared" si="35"/>
        <v>49220</v>
      </c>
      <c r="L479" s="235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</row>
    <row r="480" spans="1:30" ht="13.2">
      <c r="A480" s="240"/>
      <c r="B480" s="235" t="s">
        <v>337</v>
      </c>
      <c r="C480" s="243">
        <v>45311</v>
      </c>
      <c r="D480" s="235" t="s">
        <v>435</v>
      </c>
      <c r="E480" s="235" t="str">
        <f>VLOOKUP(D480,'Danh mục hàng hóa'!$C$3:$D$600,2,0)</f>
        <v>Bao lì xì Tết tài lộc</v>
      </c>
      <c r="F480" s="236" t="str">
        <f>VLOOKUP(D480,'Danh mục hàng hóa'!$C$3:$E$613,3,0)</f>
        <v>set 6 cái</v>
      </c>
      <c r="G480" s="237">
        <f t="shared" ref="G480:G483" si="36">77648/9</f>
        <v>8627.5555555555547</v>
      </c>
      <c r="H480" s="235"/>
      <c r="I480" s="237">
        <v>2</v>
      </c>
      <c r="J480" s="237">
        <f t="shared" si="16"/>
        <v>0</v>
      </c>
      <c r="K480" s="237">
        <f t="shared" si="35"/>
        <v>17255.111111111109</v>
      </c>
      <c r="L480" s="235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</row>
    <row r="481" spans="1:30" ht="13.2">
      <c r="A481" s="240"/>
      <c r="B481" s="235" t="s">
        <v>337</v>
      </c>
      <c r="C481" s="243">
        <v>45311</v>
      </c>
      <c r="D481" s="235" t="s">
        <v>437</v>
      </c>
      <c r="E481" s="235" t="str">
        <f>VLOOKUP(D481,'Danh mục hàng hóa'!$C$3:$D$600,2,0)</f>
        <v>Bao lì xì Tết hoa</v>
      </c>
      <c r="F481" s="236" t="str">
        <f>VLOOKUP(D481,'Danh mục hàng hóa'!$C$3:$E$613,3,0)</f>
        <v>set 6 cái</v>
      </c>
      <c r="G481" s="237">
        <f t="shared" si="36"/>
        <v>8627.5555555555547</v>
      </c>
      <c r="H481" s="235"/>
      <c r="I481" s="237">
        <v>3</v>
      </c>
      <c r="J481" s="237">
        <f t="shared" si="16"/>
        <v>0</v>
      </c>
      <c r="K481" s="237">
        <f t="shared" si="35"/>
        <v>25882.666666666664</v>
      </c>
      <c r="L481" s="235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</row>
    <row r="482" spans="1:30" ht="13.2">
      <c r="A482" s="240"/>
      <c r="B482" s="235" t="s">
        <v>337</v>
      </c>
      <c r="C482" s="243">
        <v>45311</v>
      </c>
      <c r="D482" s="235" t="s">
        <v>438</v>
      </c>
      <c r="E482" s="235" t="str">
        <f>VLOOKUP(D482,'Danh mục hàng hóa'!$C$3:$D$600,2,0)</f>
        <v>Bao lì xì Tết xanh</v>
      </c>
      <c r="F482" s="236" t="str">
        <f>VLOOKUP(D482,'Danh mục hàng hóa'!$C$3:$E$613,3,0)</f>
        <v>set 6 cái</v>
      </c>
      <c r="G482" s="237">
        <f t="shared" si="36"/>
        <v>8627.5555555555547</v>
      </c>
      <c r="H482" s="235"/>
      <c r="I482" s="237">
        <v>2</v>
      </c>
      <c r="J482" s="237">
        <f t="shared" si="16"/>
        <v>0</v>
      </c>
      <c r="K482" s="237">
        <f t="shared" si="35"/>
        <v>17255.111111111109</v>
      </c>
      <c r="L482" s="235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</row>
    <row r="483" spans="1:30" ht="13.2">
      <c r="A483" s="240"/>
      <c r="B483" s="235" t="s">
        <v>337</v>
      </c>
      <c r="C483" s="243">
        <v>45311</v>
      </c>
      <c r="D483" s="235" t="s">
        <v>439</v>
      </c>
      <c r="E483" s="235" t="str">
        <f>VLOOKUP(D483,'Danh mục hàng hóa'!$C$3:$D$600,2,0)</f>
        <v>Bao lì xì vui vẻ</v>
      </c>
      <c r="F483" s="236" t="str">
        <f>VLOOKUP(D483,'Danh mục hàng hóa'!$C$3:$E$613,3,0)</f>
        <v>set 6 cái</v>
      </c>
      <c r="G483" s="237">
        <f t="shared" si="36"/>
        <v>8627.5555555555547</v>
      </c>
      <c r="H483" s="235"/>
      <c r="I483" s="237">
        <v>2</v>
      </c>
      <c r="J483" s="237">
        <f t="shared" si="16"/>
        <v>0</v>
      </c>
      <c r="K483" s="237">
        <f t="shared" si="35"/>
        <v>17255.111111111109</v>
      </c>
      <c r="L483" s="235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</row>
    <row r="484" spans="1:30" ht="13.2">
      <c r="A484" s="240"/>
      <c r="B484" s="235" t="s">
        <v>336</v>
      </c>
      <c r="C484" s="245"/>
      <c r="D484" s="235" t="s">
        <v>482</v>
      </c>
      <c r="E484" s="235" t="str">
        <f>VLOOKUP(D484,'Danh mục hàng hóa'!$C$3:$D$600,2,0)</f>
        <v>Trâm cài 01</v>
      </c>
      <c r="F484" s="236" t="str">
        <f>VLOOKUP(D484,'Danh mục hàng hóa'!$C$3:$E$613,3,0)</f>
        <v>cây</v>
      </c>
      <c r="G484" s="238">
        <v>16610.900000000001</v>
      </c>
      <c r="H484" s="237">
        <v>3</v>
      </c>
      <c r="I484" s="235"/>
      <c r="J484" s="237">
        <f t="shared" si="16"/>
        <v>49832.700000000004</v>
      </c>
      <c r="K484" s="237">
        <f t="shared" si="35"/>
        <v>0</v>
      </c>
      <c r="L484" s="235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</row>
    <row r="485" spans="1:30" ht="13.2">
      <c r="A485" s="240"/>
      <c r="B485" s="235" t="s">
        <v>336</v>
      </c>
      <c r="C485" s="245"/>
      <c r="D485" s="235" t="s">
        <v>485</v>
      </c>
      <c r="E485" s="235" t="str">
        <f>VLOOKUP(D485,'Danh mục hàng hóa'!$C$3:$D$600,2,0)</f>
        <v>Trâm cài 02</v>
      </c>
      <c r="F485" s="236" t="str">
        <f>VLOOKUP(D485,'Danh mục hàng hóa'!$C$3:$E$613,3,0)</f>
        <v>cây</v>
      </c>
      <c r="G485" s="238">
        <v>16014.199999999999</v>
      </c>
      <c r="H485" s="237">
        <v>10</v>
      </c>
      <c r="I485" s="235"/>
      <c r="J485" s="237">
        <f t="shared" si="16"/>
        <v>160142</v>
      </c>
      <c r="K485" s="237">
        <f t="shared" si="35"/>
        <v>0</v>
      </c>
      <c r="L485" s="235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</row>
    <row r="486" spans="1:30" ht="13.2">
      <c r="A486" s="240"/>
      <c r="B486" s="235" t="s">
        <v>336</v>
      </c>
      <c r="C486" s="245"/>
      <c r="D486" s="235" t="s">
        <v>487</v>
      </c>
      <c r="E486" s="235" t="str">
        <f>VLOOKUP(D486,'Danh mục hàng hóa'!$C$3:$D$600,2,0)</f>
        <v>Trâm cài 03</v>
      </c>
      <c r="F486" s="236" t="str">
        <f>VLOOKUP(D486,'Danh mục hàng hóa'!$C$3:$E$613,3,0)</f>
        <v>cây</v>
      </c>
      <c r="G486" s="238">
        <v>17488.399999999998</v>
      </c>
      <c r="H486" s="237">
        <v>10</v>
      </c>
      <c r="I486" s="235"/>
      <c r="J486" s="237">
        <f t="shared" si="16"/>
        <v>174883.99999999997</v>
      </c>
      <c r="K486" s="237">
        <f t="shared" si="35"/>
        <v>0</v>
      </c>
      <c r="L486" s="235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</row>
    <row r="487" spans="1:30" ht="13.2">
      <c r="A487" s="240"/>
      <c r="B487" s="235" t="s">
        <v>336</v>
      </c>
      <c r="C487" s="245"/>
      <c r="D487" s="235" t="s">
        <v>489</v>
      </c>
      <c r="E487" s="235" t="str">
        <f>VLOOKUP(D487,'Danh mục hàng hóa'!$C$3:$D$600,2,0)</f>
        <v>Trâm cài 04</v>
      </c>
      <c r="F487" s="236" t="str">
        <f>VLOOKUP(D487,'Danh mục hàng hóa'!$C$3:$E$613,3,0)</f>
        <v>cây</v>
      </c>
      <c r="G487" s="238">
        <v>4361</v>
      </c>
      <c r="H487" s="237">
        <v>10</v>
      </c>
      <c r="I487" s="235"/>
      <c r="J487" s="237">
        <f t="shared" si="16"/>
        <v>43610</v>
      </c>
      <c r="K487" s="237">
        <f t="shared" si="35"/>
        <v>0</v>
      </c>
      <c r="L487" s="235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</row>
    <row r="488" spans="1:30" ht="13.2">
      <c r="A488" s="240"/>
      <c r="B488" s="235" t="s">
        <v>336</v>
      </c>
      <c r="C488" s="245"/>
      <c r="D488" s="235" t="s">
        <v>491</v>
      </c>
      <c r="E488" s="235" t="str">
        <f>VLOOKUP(D488,'Danh mục hàng hóa'!$C$3:$D$600,2,0)</f>
        <v>Trâm cài 05</v>
      </c>
      <c r="F488" s="236" t="str">
        <f>VLOOKUP(D488,'Danh mục hàng hóa'!$C$3:$E$613,3,0)</f>
        <v>cây</v>
      </c>
      <c r="G488" s="238">
        <v>10643.9</v>
      </c>
      <c r="H488" s="237">
        <v>3</v>
      </c>
      <c r="I488" s="235"/>
      <c r="J488" s="237">
        <f t="shared" si="16"/>
        <v>31931.699999999997</v>
      </c>
      <c r="K488" s="237">
        <f t="shared" si="35"/>
        <v>0</v>
      </c>
      <c r="L488" s="235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</row>
    <row r="489" spans="1:30" ht="13.2">
      <c r="A489" s="240"/>
      <c r="B489" s="235" t="s">
        <v>336</v>
      </c>
      <c r="C489" s="245"/>
      <c r="D489" s="235" t="s">
        <v>493</v>
      </c>
      <c r="E489" s="235" t="str">
        <f>VLOOKUP(D489,'Danh mục hàng hóa'!$C$3:$D$600,2,0)</f>
        <v>Trâm cài 06</v>
      </c>
      <c r="F489" s="236" t="str">
        <f>VLOOKUP(D489,'Danh mục hàng hóa'!$C$3:$E$613,3,0)</f>
        <v>cây</v>
      </c>
      <c r="G489" s="238">
        <v>6221.2999999999993</v>
      </c>
      <c r="H489" s="237">
        <v>15</v>
      </c>
      <c r="I489" s="235"/>
      <c r="J489" s="237">
        <f t="shared" si="16"/>
        <v>93319.499999999985</v>
      </c>
      <c r="K489" s="237">
        <f t="shared" si="35"/>
        <v>0</v>
      </c>
      <c r="L489" s="235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</row>
    <row r="490" spans="1:30" ht="13.2">
      <c r="A490" s="240"/>
      <c r="B490" s="235" t="s">
        <v>336</v>
      </c>
      <c r="C490" s="245"/>
      <c r="D490" s="235" t="s">
        <v>495</v>
      </c>
      <c r="E490" s="235" t="str">
        <f>VLOOKUP(D490,'Danh mục hàng hóa'!$C$3:$D$600,2,0)</f>
        <v>Trâm cài 07</v>
      </c>
      <c r="F490" s="236" t="str">
        <f>VLOOKUP(D490,'Danh mục hàng hóa'!$C$3:$E$613,3,0)</f>
        <v>cây</v>
      </c>
      <c r="G490" s="238">
        <v>11837.3</v>
      </c>
      <c r="H490" s="237">
        <v>15</v>
      </c>
      <c r="I490" s="235"/>
      <c r="J490" s="237">
        <f t="shared" si="16"/>
        <v>177559.5</v>
      </c>
      <c r="K490" s="237">
        <f t="shared" si="35"/>
        <v>0</v>
      </c>
      <c r="L490" s="235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</row>
    <row r="491" spans="1:30" ht="13.2">
      <c r="A491" s="240"/>
      <c r="B491" s="235" t="s">
        <v>336</v>
      </c>
      <c r="C491" s="245"/>
      <c r="D491" s="235" t="s">
        <v>497</v>
      </c>
      <c r="E491" s="235" t="str">
        <f>VLOOKUP(D491,'Danh mục hàng hóa'!$C$3:$D$600,2,0)</f>
        <v>Trâm cài 08</v>
      </c>
      <c r="F491" s="236" t="str">
        <f>VLOOKUP(D491,'Danh mục hàng hóa'!$C$3:$E$613,3,0)</f>
        <v>cây</v>
      </c>
      <c r="G491" s="238">
        <v>29141.600000000002</v>
      </c>
      <c r="H491" s="237">
        <v>7</v>
      </c>
      <c r="I491" s="235"/>
      <c r="J491" s="237">
        <f t="shared" si="16"/>
        <v>203991.2</v>
      </c>
      <c r="K491" s="237">
        <f t="shared" si="35"/>
        <v>0</v>
      </c>
      <c r="L491" s="235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</row>
    <row r="492" spans="1:30" ht="13.2">
      <c r="A492" s="240"/>
      <c r="B492" s="235" t="s">
        <v>336</v>
      </c>
      <c r="C492" s="245"/>
      <c r="D492" s="235" t="s">
        <v>499</v>
      </c>
      <c r="E492" s="235" t="str">
        <f>VLOOKUP(D492,'Danh mục hàng hóa'!$C$3:$D$600,2,0)</f>
        <v>Trâm cài 09</v>
      </c>
      <c r="F492" s="236" t="str">
        <f>VLOOKUP(D492,'Danh mục hàng hóa'!$C$3:$E$613,3,0)</f>
        <v>cây</v>
      </c>
      <c r="G492" s="238">
        <v>15417.5</v>
      </c>
      <c r="H492" s="237">
        <v>15</v>
      </c>
      <c r="I492" s="235"/>
      <c r="J492" s="237">
        <f t="shared" si="16"/>
        <v>231262.5</v>
      </c>
      <c r="K492" s="237">
        <f t="shared" si="35"/>
        <v>0</v>
      </c>
      <c r="L492" s="235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</row>
    <row r="493" spans="1:30" ht="13.2">
      <c r="A493" s="240"/>
      <c r="B493" s="235" t="s">
        <v>336</v>
      </c>
      <c r="C493" s="245"/>
      <c r="D493" s="235" t="s">
        <v>501</v>
      </c>
      <c r="E493" s="235" t="str">
        <f>VLOOKUP(D493,'Danh mục hàng hóa'!$C$3:$D$600,2,0)</f>
        <v>Trâm cài 10</v>
      </c>
      <c r="F493" s="236" t="str">
        <f>VLOOKUP(D493,'Danh mục hàng hóa'!$C$3:$E$613,3,0)</f>
        <v>cây</v>
      </c>
      <c r="G493" s="238">
        <v>4361</v>
      </c>
      <c r="H493" s="237">
        <v>15</v>
      </c>
      <c r="I493" s="235"/>
      <c r="J493" s="237">
        <f t="shared" si="16"/>
        <v>65415</v>
      </c>
      <c r="K493" s="237">
        <f t="shared" si="35"/>
        <v>0</v>
      </c>
      <c r="L493" s="235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</row>
    <row r="494" spans="1:30" ht="13.2">
      <c r="A494" s="240"/>
      <c r="B494" s="235" t="s">
        <v>336</v>
      </c>
      <c r="C494" s="245"/>
      <c r="D494" s="235" t="s">
        <v>503</v>
      </c>
      <c r="E494" s="235" t="str">
        <f>VLOOKUP(D494,'Danh mục hàng hóa'!$C$3:$D$600,2,0)</f>
        <v>Trâm cài 11</v>
      </c>
      <c r="F494" s="236" t="str">
        <f>VLOOKUP(D494,'Danh mục hàng hóa'!$C$3:$E$613,3,0)</f>
        <v>cây</v>
      </c>
      <c r="G494" s="238">
        <v>17207.599999999999</v>
      </c>
      <c r="H494" s="237">
        <v>10</v>
      </c>
      <c r="I494" s="235"/>
      <c r="J494" s="237">
        <f t="shared" si="16"/>
        <v>172076</v>
      </c>
      <c r="K494" s="237">
        <f t="shared" si="35"/>
        <v>0</v>
      </c>
      <c r="L494" s="235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</row>
    <row r="495" spans="1:30" ht="13.2">
      <c r="A495" s="240"/>
      <c r="B495" s="235" t="s">
        <v>336</v>
      </c>
      <c r="C495" s="245"/>
      <c r="D495" s="235" t="s">
        <v>505</v>
      </c>
      <c r="E495" s="235" t="str">
        <f>VLOOKUP(D495,'Danh mục hàng hóa'!$C$3:$D$600,2,0)</f>
        <v>Trâm cài 12</v>
      </c>
      <c r="F495" s="236" t="str">
        <f>VLOOKUP(D495,'Danh mục hàng hóa'!$C$3:$E$613,3,0)</f>
        <v>cây</v>
      </c>
      <c r="G495" s="238">
        <v>19278.5</v>
      </c>
      <c r="H495" s="237">
        <v>10</v>
      </c>
      <c r="I495" s="235"/>
      <c r="J495" s="237">
        <f t="shared" si="16"/>
        <v>192785</v>
      </c>
      <c r="K495" s="237">
        <f t="shared" si="35"/>
        <v>0</v>
      </c>
      <c r="L495" s="235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</row>
    <row r="496" spans="1:30" ht="13.2">
      <c r="A496" s="240"/>
      <c r="B496" s="235" t="s">
        <v>336</v>
      </c>
      <c r="C496" s="245"/>
      <c r="D496" s="235" t="s">
        <v>507</v>
      </c>
      <c r="E496" s="235" t="str">
        <f>VLOOKUP(D496,'Danh mục hàng hóa'!$C$3:$D$600,2,0)</f>
        <v>Trâm cài 13</v>
      </c>
      <c r="F496" s="236" t="str">
        <f>VLOOKUP(D496,'Danh mục hàng hóa'!$C$3:$E$613,3,0)</f>
        <v>cây</v>
      </c>
      <c r="G496" s="238">
        <v>21981.200000000001</v>
      </c>
      <c r="H496" s="237">
        <v>3</v>
      </c>
      <c r="I496" s="235"/>
      <c r="J496" s="237">
        <f t="shared" si="16"/>
        <v>65943.600000000006</v>
      </c>
      <c r="K496" s="237">
        <f t="shared" si="35"/>
        <v>0</v>
      </c>
      <c r="L496" s="235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</row>
    <row r="497" spans="1:30" ht="13.2">
      <c r="A497" s="240"/>
      <c r="B497" s="235" t="s">
        <v>336</v>
      </c>
      <c r="C497" s="245"/>
      <c r="D497" s="235" t="s">
        <v>509</v>
      </c>
      <c r="E497" s="235" t="str">
        <f>VLOOKUP(D497,'Danh mục hàng hóa'!$C$3:$D$600,2,0)</f>
        <v>Trâm cài 14</v>
      </c>
      <c r="F497" s="236" t="str">
        <f>VLOOKUP(D497,'Danh mục hàng hóa'!$C$3:$E$613,3,0)</f>
        <v>cây</v>
      </c>
      <c r="G497" s="238">
        <v>25561.399999999998</v>
      </c>
      <c r="H497" s="237">
        <v>2</v>
      </c>
      <c r="I497" s="235"/>
      <c r="J497" s="237">
        <f t="shared" si="16"/>
        <v>51122.799999999996</v>
      </c>
      <c r="K497" s="237">
        <f t="shared" si="35"/>
        <v>0</v>
      </c>
      <c r="L497" s="235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</row>
    <row r="498" spans="1:30" ht="13.2">
      <c r="A498" s="240"/>
      <c r="B498" s="235" t="s">
        <v>336</v>
      </c>
      <c r="C498" s="245"/>
      <c r="D498" s="235" t="s">
        <v>511</v>
      </c>
      <c r="E498" s="235" t="str">
        <f>VLOOKUP(D498,'Danh mục hàng hóa'!$C$3:$D$600,2,0)</f>
        <v>Trâm cài 15</v>
      </c>
      <c r="F498" s="236" t="str">
        <f>VLOOKUP(D498,'Danh mục hàng hóa'!$C$3:$E$613,3,0)</f>
        <v>cây</v>
      </c>
      <c r="G498" s="238">
        <v>14820.800000000001</v>
      </c>
      <c r="H498" s="237">
        <v>3</v>
      </c>
      <c r="I498" s="235"/>
      <c r="J498" s="237">
        <f t="shared" si="16"/>
        <v>44462.400000000001</v>
      </c>
      <c r="K498" s="237">
        <f t="shared" si="35"/>
        <v>0</v>
      </c>
      <c r="L498" s="235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</row>
    <row r="499" spans="1:30" ht="13.2">
      <c r="A499" s="240"/>
      <c r="B499" s="235" t="s">
        <v>336</v>
      </c>
      <c r="C499" s="245"/>
      <c r="D499" s="235" t="s">
        <v>513</v>
      </c>
      <c r="E499" s="235" t="str">
        <f>VLOOKUP(D499,'Danh mục hàng hóa'!$C$3:$D$600,2,0)</f>
        <v>Trâm cài 16</v>
      </c>
      <c r="F499" s="236" t="str">
        <f>VLOOKUP(D499,'Danh mục hàng hóa'!$C$3:$E$613,3,0)</f>
        <v>cây</v>
      </c>
      <c r="G499" s="238">
        <v>14504.900000000001</v>
      </c>
      <c r="H499" s="237">
        <v>5</v>
      </c>
      <c r="I499" s="235"/>
      <c r="J499" s="237">
        <f t="shared" si="16"/>
        <v>72524.5</v>
      </c>
      <c r="K499" s="237">
        <f t="shared" si="35"/>
        <v>0</v>
      </c>
      <c r="L499" s="235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</row>
    <row r="500" spans="1:30" ht="13.2">
      <c r="A500" s="240"/>
      <c r="B500" s="235" t="s">
        <v>336</v>
      </c>
      <c r="C500" s="245"/>
      <c r="D500" s="235" t="s">
        <v>515</v>
      </c>
      <c r="E500" s="235" t="str">
        <f>VLOOKUP(D500,'Danh mục hàng hóa'!$C$3:$D$600,2,0)</f>
        <v>Trâm cài 17</v>
      </c>
      <c r="F500" s="236" t="str">
        <f>VLOOKUP(D500,'Danh mục hàng hóa'!$C$3:$E$613,3,0)</f>
        <v>cây</v>
      </c>
      <c r="G500" s="238">
        <v>14504.900000000001</v>
      </c>
      <c r="H500" s="237">
        <v>5</v>
      </c>
      <c r="I500" s="235"/>
      <c r="J500" s="237">
        <f t="shared" si="16"/>
        <v>72524.5</v>
      </c>
      <c r="K500" s="237">
        <f t="shared" si="35"/>
        <v>0</v>
      </c>
      <c r="L500" s="235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</row>
    <row r="501" spans="1:30" ht="13.2">
      <c r="A501" s="240"/>
      <c r="B501" s="235" t="s">
        <v>336</v>
      </c>
      <c r="C501" s="245"/>
      <c r="D501" s="235" t="s">
        <v>517</v>
      </c>
      <c r="E501" s="235" t="str">
        <f>VLOOKUP(D501,'Danh mục hàng hóa'!$C$3:$D$600,2,0)</f>
        <v>Trâm cài 18</v>
      </c>
      <c r="F501" s="236" t="str">
        <f>VLOOKUP(D501,'Danh mục hàng hóa'!$C$3:$E$613,3,0)</f>
        <v>cây</v>
      </c>
      <c r="G501" s="238">
        <v>14504.900000000001</v>
      </c>
      <c r="H501" s="237">
        <v>5</v>
      </c>
      <c r="I501" s="235"/>
      <c r="J501" s="237">
        <f t="shared" si="16"/>
        <v>72524.5</v>
      </c>
      <c r="K501" s="237">
        <f t="shared" si="35"/>
        <v>0</v>
      </c>
      <c r="L501" s="235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</row>
    <row r="502" spans="1:30" ht="13.2">
      <c r="A502" s="240"/>
      <c r="B502" s="235" t="s">
        <v>336</v>
      </c>
      <c r="C502" s="245"/>
      <c r="D502" s="235" t="s">
        <v>519</v>
      </c>
      <c r="E502" s="235" t="str">
        <f>VLOOKUP(D502,'Danh mục hàng hóa'!$C$3:$D$600,2,0)</f>
        <v>Trâm cài 19</v>
      </c>
      <c r="F502" s="236" t="str">
        <f>VLOOKUP(D502,'Danh mục hàng hóa'!$C$3:$E$613,3,0)</f>
        <v>cây</v>
      </c>
      <c r="G502" s="238">
        <v>20436.8</v>
      </c>
      <c r="H502" s="237">
        <v>5</v>
      </c>
      <c r="I502" s="235"/>
      <c r="J502" s="237">
        <f t="shared" si="16"/>
        <v>102184</v>
      </c>
      <c r="K502" s="237">
        <f t="shared" si="35"/>
        <v>0</v>
      </c>
      <c r="L502" s="235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</row>
    <row r="503" spans="1:30" ht="13.2">
      <c r="A503" s="240"/>
      <c r="B503" s="235" t="s">
        <v>336</v>
      </c>
      <c r="C503" s="245"/>
      <c r="D503" s="235" t="s">
        <v>521</v>
      </c>
      <c r="E503" s="235" t="str">
        <f>VLOOKUP(D503,'Danh mục hàng hóa'!$C$3:$D$600,2,0)</f>
        <v>Trâm cài 20</v>
      </c>
      <c r="F503" s="236" t="str">
        <f>VLOOKUP(D503,'Danh mục hàng hóa'!$C$3:$E$613,3,0)</f>
        <v>cây</v>
      </c>
      <c r="G503" s="238">
        <v>14504.900000000001</v>
      </c>
      <c r="H503" s="237">
        <v>5</v>
      </c>
      <c r="I503" s="235"/>
      <c r="J503" s="237">
        <f t="shared" si="16"/>
        <v>72524.5</v>
      </c>
      <c r="K503" s="237">
        <f t="shared" si="35"/>
        <v>0</v>
      </c>
      <c r="L503" s="235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</row>
    <row r="504" spans="1:30" ht="13.2">
      <c r="A504" s="240"/>
      <c r="B504" s="235" t="s">
        <v>336</v>
      </c>
      <c r="C504" s="245"/>
      <c r="D504" s="235" t="s">
        <v>523</v>
      </c>
      <c r="E504" s="235" t="str">
        <f>VLOOKUP(D504,'Danh mục hàng hóa'!$C$3:$D$600,2,0)</f>
        <v>Trâm cài 21</v>
      </c>
      <c r="F504" s="236" t="str">
        <f>VLOOKUP(D504,'Danh mục hàng hóa'!$C$3:$E$613,3,0)</f>
        <v>cây</v>
      </c>
      <c r="G504" s="238">
        <v>14504.900000000001</v>
      </c>
      <c r="H504" s="237">
        <v>5</v>
      </c>
      <c r="I504" s="235"/>
      <c r="J504" s="237">
        <f t="shared" si="16"/>
        <v>72524.5</v>
      </c>
      <c r="K504" s="237">
        <f t="shared" si="35"/>
        <v>0</v>
      </c>
      <c r="L504" s="235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</row>
    <row r="505" spans="1:30" ht="13.2">
      <c r="A505" s="240"/>
      <c r="B505" s="235" t="s">
        <v>336</v>
      </c>
      <c r="C505" s="245"/>
      <c r="D505" s="235" t="s">
        <v>543</v>
      </c>
      <c r="E505" s="235" t="str">
        <f>VLOOKUP(D505,'Danh mục hàng hóa'!$C$3:$D$600,2,0)</f>
        <v>Kẹp tóc kim loại bông hoa</v>
      </c>
      <c r="F505" s="236" t="str">
        <f>VLOOKUP(D505,'Danh mục hàng hóa'!$C$3:$E$613,3,0)</f>
        <v>cái</v>
      </c>
      <c r="G505" s="237">
        <v>7064</v>
      </c>
      <c r="H505" s="237">
        <v>9</v>
      </c>
      <c r="I505" s="235"/>
      <c r="J505" s="237">
        <f t="shared" si="16"/>
        <v>63576</v>
      </c>
      <c r="K505" s="237">
        <f t="shared" si="35"/>
        <v>0</v>
      </c>
      <c r="L505" s="235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</row>
    <row r="506" spans="1:30" ht="13.2">
      <c r="A506" s="240"/>
      <c r="B506" s="235" t="s">
        <v>336</v>
      </c>
      <c r="C506" s="245"/>
      <c r="D506" s="235" t="s">
        <v>545</v>
      </c>
      <c r="E506" s="235" t="str">
        <f>VLOOKUP(D506,'Danh mục hàng hóa'!$C$3:$D$600,2,0)</f>
        <v>Kẹp tóc kim loại ngôi sao</v>
      </c>
      <c r="F506" s="236" t="str">
        <f>VLOOKUP(D506,'Danh mục hàng hóa'!$C$3:$E$613,3,0)</f>
        <v>cái</v>
      </c>
      <c r="G506" s="237">
        <v>7064</v>
      </c>
      <c r="H506" s="237">
        <v>10</v>
      </c>
      <c r="I506" s="235"/>
      <c r="J506" s="237">
        <f t="shared" si="16"/>
        <v>70640</v>
      </c>
      <c r="K506" s="237">
        <f t="shared" si="35"/>
        <v>0</v>
      </c>
      <c r="L506" s="235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</row>
    <row r="507" spans="1:30" ht="13.2">
      <c r="A507" s="240"/>
      <c r="B507" s="235" t="s">
        <v>336</v>
      </c>
      <c r="C507" s="245"/>
      <c r="D507" s="235" t="s">
        <v>547</v>
      </c>
      <c r="E507" s="235" t="str">
        <f>VLOOKUP(D507,'Danh mục hàng hóa'!$C$3:$D$600,2,0)</f>
        <v>Kẹp tóc kim loại vỏ sò</v>
      </c>
      <c r="F507" s="236" t="str">
        <f>VLOOKUP(D507,'Danh mục hàng hóa'!$C$3:$E$613,3,0)</f>
        <v>cái</v>
      </c>
      <c r="G507" s="237">
        <v>7064</v>
      </c>
      <c r="H507" s="237">
        <v>10</v>
      </c>
      <c r="I507" s="235"/>
      <c r="J507" s="237">
        <f t="shared" si="16"/>
        <v>70640</v>
      </c>
      <c r="K507" s="237">
        <f t="shared" si="35"/>
        <v>0</v>
      </c>
      <c r="L507" s="235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</row>
    <row r="508" spans="1:30" ht="13.2">
      <c r="A508" s="240"/>
      <c r="B508" s="235" t="s">
        <v>337</v>
      </c>
      <c r="C508" s="243">
        <v>45312</v>
      </c>
      <c r="D508" s="235" t="s">
        <v>505</v>
      </c>
      <c r="E508" s="235" t="str">
        <f>VLOOKUP(D508,'Danh mục hàng hóa'!$C$3:$D$600,2,0)</f>
        <v>Trâm cài 12</v>
      </c>
      <c r="F508" s="236" t="str">
        <f>VLOOKUP(D508,'Danh mục hàng hóa'!$C$3:$E$613,3,0)</f>
        <v>cây</v>
      </c>
      <c r="G508" s="237">
        <v>35572</v>
      </c>
      <c r="H508" s="235"/>
      <c r="I508" s="237">
        <v>1</v>
      </c>
      <c r="J508" s="237">
        <f t="shared" si="16"/>
        <v>0</v>
      </c>
      <c r="K508" s="237">
        <f t="shared" si="35"/>
        <v>35572</v>
      </c>
      <c r="L508" s="235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</row>
    <row r="509" spans="1:30" ht="13.2">
      <c r="A509" s="240"/>
      <c r="B509" s="235" t="s">
        <v>337</v>
      </c>
      <c r="C509" s="243">
        <v>45312</v>
      </c>
      <c r="D509" s="235" t="s">
        <v>517</v>
      </c>
      <c r="E509" s="235" t="str">
        <f>VLOOKUP(D509,'Danh mục hàng hóa'!$C$3:$D$600,2,0)</f>
        <v>Trâm cài 18</v>
      </c>
      <c r="F509" s="236" t="str">
        <f>VLOOKUP(D509,'Danh mục hàng hóa'!$C$3:$E$613,3,0)</f>
        <v>cây</v>
      </c>
      <c r="G509" s="237">
        <v>25000</v>
      </c>
      <c r="H509" s="235"/>
      <c r="I509" s="237">
        <v>1</v>
      </c>
      <c r="J509" s="237">
        <f t="shared" si="16"/>
        <v>0</v>
      </c>
      <c r="K509" s="237">
        <f t="shared" si="35"/>
        <v>25000</v>
      </c>
      <c r="L509" s="235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</row>
    <row r="510" spans="1:30" ht="13.2">
      <c r="A510" s="240"/>
      <c r="B510" s="235" t="s">
        <v>337</v>
      </c>
      <c r="C510" s="243">
        <v>45312</v>
      </c>
      <c r="D510" s="235" t="s">
        <v>505</v>
      </c>
      <c r="E510" s="235" t="str">
        <f>VLOOKUP(D510,'Danh mục hàng hóa'!$C$3:$D$600,2,0)</f>
        <v>Trâm cài 12</v>
      </c>
      <c r="F510" s="236" t="str">
        <f>VLOOKUP(D510,'Danh mục hàng hóa'!$C$3:$E$613,3,0)</f>
        <v>cây</v>
      </c>
      <c r="G510" s="237">
        <v>34260</v>
      </c>
      <c r="H510" s="235"/>
      <c r="I510" s="237">
        <v>1</v>
      </c>
      <c r="J510" s="237">
        <f t="shared" si="16"/>
        <v>0</v>
      </c>
      <c r="K510" s="237">
        <f t="shared" si="35"/>
        <v>34260</v>
      </c>
      <c r="L510" s="235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</row>
    <row r="511" spans="1:30" ht="13.2">
      <c r="A511" s="240"/>
      <c r="B511" s="235" t="s">
        <v>337</v>
      </c>
      <c r="C511" s="243">
        <v>45313</v>
      </c>
      <c r="D511" s="235" t="s">
        <v>437</v>
      </c>
      <c r="E511" s="235" t="str">
        <f>VLOOKUP(D511,'Danh mục hàng hóa'!$C$3:$D$600,2,0)</f>
        <v>Bao lì xì Tết hoa</v>
      </c>
      <c r="F511" s="236" t="str">
        <f>VLOOKUP(D511,'Danh mục hàng hóa'!$C$3:$E$613,3,0)</f>
        <v>set 6 cái</v>
      </c>
      <c r="G511" s="237">
        <f t="shared" ref="G511:G513" si="37">43508/4</f>
        <v>10877</v>
      </c>
      <c r="H511" s="235"/>
      <c r="I511" s="237">
        <v>1</v>
      </c>
      <c r="J511" s="237">
        <f t="shared" si="16"/>
        <v>0</v>
      </c>
      <c r="K511" s="237">
        <f t="shared" si="35"/>
        <v>10877</v>
      </c>
      <c r="L511" s="235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</row>
    <row r="512" spans="1:30" ht="13.2">
      <c r="A512" s="240"/>
      <c r="B512" s="235" t="s">
        <v>337</v>
      </c>
      <c r="C512" s="243">
        <v>45313</v>
      </c>
      <c r="D512" s="235" t="s">
        <v>438</v>
      </c>
      <c r="E512" s="235" t="str">
        <f>VLOOKUP(D512,'Danh mục hàng hóa'!$C$3:$D$600,2,0)</f>
        <v>Bao lì xì Tết xanh</v>
      </c>
      <c r="F512" s="236" t="str">
        <f>VLOOKUP(D512,'Danh mục hàng hóa'!$C$3:$E$613,3,0)</f>
        <v>set 6 cái</v>
      </c>
      <c r="G512" s="237">
        <f t="shared" si="37"/>
        <v>10877</v>
      </c>
      <c r="H512" s="235"/>
      <c r="I512" s="237">
        <v>2</v>
      </c>
      <c r="J512" s="237">
        <f t="shared" si="16"/>
        <v>0</v>
      </c>
      <c r="K512" s="237">
        <f t="shared" si="35"/>
        <v>21754</v>
      </c>
      <c r="L512" s="235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</row>
    <row r="513" spans="1:30" ht="13.2">
      <c r="A513" s="240"/>
      <c r="B513" s="235" t="s">
        <v>337</v>
      </c>
      <c r="C513" s="243">
        <v>45313</v>
      </c>
      <c r="D513" s="235" t="s">
        <v>439</v>
      </c>
      <c r="E513" s="235" t="str">
        <f>VLOOKUP(D513,'Danh mục hàng hóa'!$C$3:$D$600,2,0)</f>
        <v>Bao lì xì vui vẻ</v>
      </c>
      <c r="F513" s="236" t="str">
        <f>VLOOKUP(D513,'Danh mục hàng hóa'!$C$3:$E$613,3,0)</f>
        <v>set 6 cái</v>
      </c>
      <c r="G513" s="237">
        <f t="shared" si="37"/>
        <v>10877</v>
      </c>
      <c r="H513" s="235"/>
      <c r="I513" s="237">
        <v>1</v>
      </c>
      <c r="J513" s="237">
        <f t="shared" si="16"/>
        <v>0</v>
      </c>
      <c r="K513" s="237">
        <f t="shared" si="35"/>
        <v>10877</v>
      </c>
      <c r="L513" s="235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</row>
    <row r="514" spans="1:30" ht="13.2">
      <c r="A514" s="240"/>
      <c r="B514" s="235" t="s">
        <v>337</v>
      </c>
      <c r="C514" s="243">
        <v>45313</v>
      </c>
      <c r="D514" s="235" t="s">
        <v>977</v>
      </c>
      <c r="E514" s="235" t="str">
        <f>VLOOKUP(D514,'Danh mục hàng hóa'!$C$3:$D$600,2,0)</f>
        <v>Móc khóa đôi heo</v>
      </c>
      <c r="F514" s="236" t="str">
        <f>VLOOKUP(D514,'Danh mục hàng hóa'!$C$3:$E$613,3,0)</f>
        <v>cái</v>
      </c>
      <c r="G514" s="237">
        <v>45000</v>
      </c>
      <c r="H514" s="235"/>
      <c r="I514" s="237">
        <v>1</v>
      </c>
      <c r="J514" s="237">
        <f t="shared" si="16"/>
        <v>0</v>
      </c>
      <c r="K514" s="237">
        <f t="shared" si="35"/>
        <v>45000</v>
      </c>
      <c r="L514" s="235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</row>
    <row r="515" spans="1:30" ht="13.2">
      <c r="A515" s="240"/>
      <c r="B515" s="235" t="s">
        <v>337</v>
      </c>
      <c r="C515" s="243">
        <v>45313</v>
      </c>
      <c r="D515" s="235" t="s">
        <v>679</v>
      </c>
      <c r="E515" s="235" t="str">
        <f>VLOOKUP(D515,'Danh mục hàng hóa'!$C$3:$D$600,2,0)</f>
        <v>Buộc tóc voan hồng lớn</v>
      </c>
      <c r="F515" s="236" t="str">
        <f>VLOOKUP(D515,'Danh mục hàng hóa'!$C$3:$E$613,3,0)</f>
        <v>cái</v>
      </c>
      <c r="G515" s="237">
        <v>11000</v>
      </c>
      <c r="H515" s="235"/>
      <c r="I515" s="237">
        <v>1</v>
      </c>
      <c r="J515" s="237">
        <f t="shared" si="16"/>
        <v>0</v>
      </c>
      <c r="K515" s="237">
        <f t="shared" si="35"/>
        <v>11000</v>
      </c>
      <c r="L515" s="235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</row>
    <row r="516" spans="1:30" ht="13.2">
      <c r="A516" s="240"/>
      <c r="B516" s="235" t="s">
        <v>337</v>
      </c>
      <c r="C516" s="243">
        <v>45313</v>
      </c>
      <c r="D516" s="235" t="s">
        <v>683</v>
      </c>
      <c r="E516" s="235" t="str">
        <f>VLOOKUP(D516,'Danh mục hàng hóa'!$C$3:$D$600,2,0)</f>
        <v>Buộc tóc voan kem lớn</v>
      </c>
      <c r="F516" s="236" t="str">
        <f>VLOOKUP(D516,'Danh mục hàng hóa'!$C$3:$E$613,3,0)</f>
        <v>cái</v>
      </c>
      <c r="G516" s="237">
        <v>11000</v>
      </c>
      <c r="H516" s="235"/>
      <c r="I516" s="237">
        <v>1</v>
      </c>
      <c r="J516" s="237">
        <f t="shared" si="16"/>
        <v>0</v>
      </c>
      <c r="K516" s="237">
        <f t="shared" si="35"/>
        <v>11000</v>
      </c>
      <c r="L516" s="235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</row>
    <row r="517" spans="1:30" ht="13.2">
      <c r="A517" s="240"/>
      <c r="B517" s="235" t="s">
        <v>337</v>
      </c>
      <c r="C517" s="243">
        <v>45314</v>
      </c>
      <c r="D517" s="235" t="s">
        <v>880</v>
      </c>
      <c r="E517" s="235" t="str">
        <f>VLOOKUP(D517,'Danh mục hàng hóa'!$C$3:$D$600,2,0)</f>
        <v>Dao rọc giấy mèo tím</v>
      </c>
      <c r="F517" s="236" t="str">
        <f>VLOOKUP(D517,'Danh mục hàng hóa'!$C$3:$E$613,3,0)</f>
        <v>cái</v>
      </c>
      <c r="G517" s="237">
        <v>8000</v>
      </c>
      <c r="H517" s="235"/>
      <c r="I517" s="237">
        <v>1</v>
      </c>
      <c r="J517" s="237">
        <f t="shared" si="16"/>
        <v>0</v>
      </c>
      <c r="K517" s="237">
        <f t="shared" si="35"/>
        <v>8000</v>
      </c>
      <c r="L517" s="235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</row>
    <row r="518" spans="1:30" ht="13.2">
      <c r="A518" s="240"/>
      <c r="B518" s="235" t="s">
        <v>337</v>
      </c>
      <c r="C518" s="243">
        <v>45314</v>
      </c>
      <c r="D518" s="235" t="s">
        <v>437</v>
      </c>
      <c r="E518" s="235" t="str">
        <f>VLOOKUP(D518,'Danh mục hàng hóa'!$C$3:$D$600,2,0)</f>
        <v>Bao lì xì Tết hoa</v>
      </c>
      <c r="F518" s="236" t="str">
        <f>VLOOKUP(D518,'Danh mục hàng hóa'!$C$3:$E$613,3,0)</f>
        <v>set 6 cái</v>
      </c>
      <c r="G518" s="237">
        <v>9308</v>
      </c>
      <c r="H518" s="235"/>
      <c r="I518" s="237">
        <v>1</v>
      </c>
      <c r="J518" s="237">
        <f t="shared" si="16"/>
        <v>0</v>
      </c>
      <c r="K518" s="237">
        <f t="shared" si="35"/>
        <v>9308</v>
      </c>
      <c r="L518" s="235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</row>
    <row r="519" spans="1:30" ht="13.2">
      <c r="A519" s="240"/>
      <c r="B519" s="235" t="s">
        <v>337</v>
      </c>
      <c r="C519" s="243">
        <v>45314</v>
      </c>
      <c r="D519" s="235" t="s">
        <v>438</v>
      </c>
      <c r="E519" s="235" t="str">
        <f>VLOOKUP(D519,'Danh mục hàng hóa'!$C$3:$D$600,2,0)</f>
        <v>Bao lì xì Tết xanh</v>
      </c>
      <c r="F519" s="236" t="str">
        <f>VLOOKUP(D519,'Danh mục hàng hóa'!$C$3:$E$613,3,0)</f>
        <v>set 6 cái</v>
      </c>
      <c r="G519" s="237">
        <v>9308</v>
      </c>
      <c r="H519" s="235"/>
      <c r="I519" s="237">
        <v>1</v>
      </c>
      <c r="J519" s="237">
        <f t="shared" si="16"/>
        <v>0</v>
      </c>
      <c r="K519" s="237">
        <f t="shared" si="35"/>
        <v>9308</v>
      </c>
      <c r="L519" s="235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</row>
    <row r="520" spans="1:30" ht="13.2">
      <c r="A520" s="240"/>
      <c r="B520" s="235" t="s">
        <v>337</v>
      </c>
      <c r="C520" s="243">
        <v>45314</v>
      </c>
      <c r="D520" s="235" t="s">
        <v>439</v>
      </c>
      <c r="E520" s="235" t="str">
        <f>VLOOKUP(D520,'Danh mục hàng hóa'!$C$3:$D$600,2,0)</f>
        <v>Bao lì xì vui vẻ</v>
      </c>
      <c r="F520" s="236" t="str">
        <f>VLOOKUP(D520,'Danh mục hàng hóa'!$C$3:$E$613,3,0)</f>
        <v>set 6 cái</v>
      </c>
      <c r="G520" s="237">
        <v>9308</v>
      </c>
      <c r="H520" s="235"/>
      <c r="I520" s="237">
        <v>2</v>
      </c>
      <c r="J520" s="237">
        <f t="shared" si="16"/>
        <v>0</v>
      </c>
      <c r="K520" s="237">
        <f t="shared" si="35"/>
        <v>18616</v>
      </c>
      <c r="L520" s="235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</row>
    <row r="521" spans="1:30" ht="13.2">
      <c r="A521" s="240"/>
      <c r="B521" s="235" t="s">
        <v>337</v>
      </c>
      <c r="C521" s="243">
        <v>45315</v>
      </c>
      <c r="D521" s="235" t="s">
        <v>519</v>
      </c>
      <c r="E521" s="235" t="str">
        <f>VLOOKUP(D521,'Danh mục hàng hóa'!$C$3:$D$600,2,0)</f>
        <v>Trâm cài 19</v>
      </c>
      <c r="F521" s="236" t="str">
        <f>VLOOKUP(D521,'Danh mục hàng hóa'!$C$3:$E$613,3,0)</f>
        <v>cây</v>
      </c>
      <c r="G521" s="237">
        <v>25000</v>
      </c>
      <c r="H521" s="235"/>
      <c r="I521" s="237">
        <v>1</v>
      </c>
      <c r="J521" s="237">
        <f t="shared" si="16"/>
        <v>0</v>
      </c>
      <c r="K521" s="237">
        <f t="shared" si="35"/>
        <v>25000</v>
      </c>
      <c r="L521" s="235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</row>
    <row r="522" spans="1:30" ht="13.2">
      <c r="A522" s="240"/>
      <c r="B522" s="235" t="s">
        <v>337</v>
      </c>
      <c r="C522" s="243">
        <v>45315</v>
      </c>
      <c r="D522" s="235" t="s">
        <v>511</v>
      </c>
      <c r="E522" s="235" t="str">
        <f>VLOOKUP(D522,'Danh mục hàng hóa'!$C$3:$D$600,2,0)</f>
        <v>Trâm cài 15</v>
      </c>
      <c r="F522" s="236" t="str">
        <f>VLOOKUP(D522,'Danh mục hàng hóa'!$C$3:$E$613,3,0)</f>
        <v>cây</v>
      </c>
      <c r="G522" s="237">
        <v>25000</v>
      </c>
      <c r="H522" s="235"/>
      <c r="I522" s="237">
        <v>1</v>
      </c>
      <c r="J522" s="237">
        <f t="shared" si="16"/>
        <v>0</v>
      </c>
      <c r="K522" s="237">
        <f t="shared" si="35"/>
        <v>25000</v>
      </c>
      <c r="L522" s="235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</row>
    <row r="523" spans="1:30" ht="13.2">
      <c r="A523" s="240"/>
      <c r="B523" s="235" t="s">
        <v>337</v>
      </c>
      <c r="C523" s="243">
        <v>45315</v>
      </c>
      <c r="D523" s="235" t="s">
        <v>495</v>
      </c>
      <c r="E523" s="235" t="str">
        <f>VLOOKUP(D523,'Danh mục hàng hóa'!$C$3:$D$600,2,0)</f>
        <v>Trâm cài 07</v>
      </c>
      <c r="F523" s="236" t="str">
        <f>VLOOKUP(D523,'Danh mục hàng hóa'!$C$3:$E$613,3,0)</f>
        <v>cây</v>
      </c>
      <c r="G523" s="237">
        <v>25000</v>
      </c>
      <c r="H523" s="235"/>
      <c r="I523" s="237">
        <v>1</v>
      </c>
      <c r="J523" s="237">
        <f t="shared" si="16"/>
        <v>0</v>
      </c>
      <c r="K523" s="237">
        <f t="shared" si="35"/>
        <v>25000</v>
      </c>
      <c r="L523" s="235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</row>
    <row r="524" spans="1:30" ht="13.2">
      <c r="A524" s="240"/>
      <c r="B524" s="235" t="s">
        <v>337</v>
      </c>
      <c r="C524" s="243">
        <v>45316</v>
      </c>
      <c r="D524" s="235" t="s">
        <v>977</v>
      </c>
      <c r="E524" s="235" t="str">
        <f>VLOOKUP(D524,'Danh mục hàng hóa'!$C$3:$D$600,2,0)</f>
        <v>Móc khóa đôi heo</v>
      </c>
      <c r="F524" s="236" t="str">
        <f>VLOOKUP(D524,'Danh mục hàng hóa'!$C$3:$E$613,3,0)</f>
        <v>cái</v>
      </c>
      <c r="G524" s="237">
        <v>41520</v>
      </c>
      <c r="H524" s="235"/>
      <c r="I524" s="237">
        <v>1</v>
      </c>
      <c r="J524" s="237">
        <f t="shared" si="16"/>
        <v>0</v>
      </c>
      <c r="K524" s="237">
        <f t="shared" si="35"/>
        <v>41520</v>
      </c>
      <c r="L524" s="235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</row>
    <row r="525" spans="1:30" ht="13.2">
      <c r="A525" s="240"/>
      <c r="B525" s="235" t="s">
        <v>337</v>
      </c>
      <c r="C525" s="243">
        <v>45317</v>
      </c>
      <c r="D525" s="235" t="s">
        <v>493</v>
      </c>
      <c r="E525" s="235" t="str">
        <f>VLOOKUP(D525,'Danh mục hàng hóa'!$C$3:$D$600,2,0)</f>
        <v>Trâm cài 06</v>
      </c>
      <c r="F525" s="236" t="str">
        <f>VLOOKUP(D525,'Danh mục hàng hóa'!$C$3:$E$613,3,0)</f>
        <v>cây</v>
      </c>
      <c r="G525" s="237">
        <v>12260</v>
      </c>
      <c r="H525" s="235"/>
      <c r="I525" s="237">
        <v>1</v>
      </c>
      <c r="J525" s="237">
        <f t="shared" si="16"/>
        <v>0</v>
      </c>
      <c r="K525" s="237">
        <f t="shared" si="35"/>
        <v>12260</v>
      </c>
      <c r="L525" s="235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</row>
    <row r="526" spans="1:30" ht="13.2">
      <c r="A526" s="240"/>
      <c r="B526" s="235" t="s">
        <v>337</v>
      </c>
      <c r="C526" s="243">
        <v>45317</v>
      </c>
      <c r="D526" s="235" t="s">
        <v>435</v>
      </c>
      <c r="E526" s="235" t="str">
        <f>VLOOKUP(D526,'Danh mục hàng hóa'!$C$3:$D$600,2,0)</f>
        <v>Bao lì xì Tết tài lộc</v>
      </c>
      <c r="F526" s="236" t="str">
        <f>VLOOKUP(D526,'Danh mục hàng hóa'!$C$3:$E$613,3,0)</f>
        <v>set 6 cái</v>
      </c>
      <c r="G526" s="237">
        <f t="shared" ref="G526:G527" si="38">23072/3</f>
        <v>7690.666666666667</v>
      </c>
      <c r="H526" s="235"/>
      <c r="I526" s="237">
        <v>1</v>
      </c>
      <c r="J526" s="237">
        <f t="shared" si="16"/>
        <v>0</v>
      </c>
      <c r="K526" s="237">
        <f t="shared" si="35"/>
        <v>7690.666666666667</v>
      </c>
      <c r="L526" s="235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</row>
    <row r="527" spans="1:30" ht="13.2">
      <c r="A527" s="240"/>
      <c r="B527" s="235" t="s">
        <v>337</v>
      </c>
      <c r="C527" s="243">
        <v>45317</v>
      </c>
      <c r="D527" s="235" t="s">
        <v>437</v>
      </c>
      <c r="E527" s="235" t="str">
        <f>VLOOKUP(D527,'Danh mục hàng hóa'!$C$3:$D$600,2,0)</f>
        <v>Bao lì xì Tết hoa</v>
      </c>
      <c r="F527" s="236" t="str">
        <f>VLOOKUP(D527,'Danh mục hàng hóa'!$C$3:$E$613,3,0)</f>
        <v>set 6 cái</v>
      </c>
      <c r="G527" s="237">
        <f t="shared" si="38"/>
        <v>7690.666666666667</v>
      </c>
      <c r="H527" s="235"/>
      <c r="I527" s="237">
        <v>2</v>
      </c>
      <c r="J527" s="237">
        <f t="shared" si="16"/>
        <v>0</v>
      </c>
      <c r="K527" s="237">
        <f t="shared" si="35"/>
        <v>15381.333333333334</v>
      </c>
      <c r="L527" s="235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</row>
    <row r="528" spans="1:30" ht="13.2">
      <c r="A528" s="240"/>
      <c r="B528" s="235" t="s">
        <v>337</v>
      </c>
      <c r="C528" s="243">
        <v>45317</v>
      </c>
      <c r="D528" s="235" t="s">
        <v>981</v>
      </c>
      <c r="E528" s="235" t="str">
        <f>VLOOKUP(D528,'Danh mục hàng hóa'!$C$3:$D$600,2,0)</f>
        <v>Móc khóa đôi corgy</v>
      </c>
      <c r="F528" s="236" t="str">
        <f>VLOOKUP(D528,'Danh mục hàng hóa'!$C$3:$E$613,3,0)</f>
        <v>cái</v>
      </c>
      <c r="G528" s="237">
        <v>41260</v>
      </c>
      <c r="H528" s="235"/>
      <c r="I528" s="237">
        <v>1</v>
      </c>
      <c r="J528" s="237">
        <f t="shared" si="16"/>
        <v>0</v>
      </c>
      <c r="K528" s="237">
        <f t="shared" si="35"/>
        <v>41260</v>
      </c>
      <c r="L528" s="235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</row>
    <row r="529" spans="1:30" ht="13.2">
      <c r="A529" s="240"/>
      <c r="B529" s="235" t="s">
        <v>337</v>
      </c>
      <c r="C529" s="243">
        <v>45317</v>
      </c>
      <c r="D529" s="235" t="s">
        <v>552</v>
      </c>
      <c r="E529" s="235" t="str">
        <f>VLOOKUP(D529,'Danh mục hàng hóa'!$C$3:$D$600,2,0)</f>
        <v>Ống 20 dây cột tóc kem be nâu</v>
      </c>
      <c r="F529" s="236" t="str">
        <f>VLOOKUP(D529,'Danh mục hàng hóa'!$C$3:$E$613,3,0)</f>
        <v>ống</v>
      </c>
      <c r="G529" s="237">
        <v>14640</v>
      </c>
      <c r="H529" s="235"/>
      <c r="I529" s="237">
        <v>1</v>
      </c>
      <c r="J529" s="237">
        <f t="shared" si="16"/>
        <v>0</v>
      </c>
      <c r="K529" s="237">
        <f t="shared" si="35"/>
        <v>14640</v>
      </c>
      <c r="L529" s="235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</row>
    <row r="530" spans="1:30" ht="13.2">
      <c r="A530" s="240"/>
      <c r="B530" s="235" t="s">
        <v>337</v>
      </c>
      <c r="C530" s="243">
        <v>45317</v>
      </c>
      <c r="D530" s="235" t="s">
        <v>895</v>
      </c>
      <c r="E530" s="235" t="str">
        <f>VLOOKUP(D530,'Danh mục hàng hóa'!$C$3:$D$600,2,0)</f>
        <v>Thỏ chong chóng</v>
      </c>
      <c r="F530" s="236" t="str">
        <f>VLOOKUP(D530,'Danh mục hàng hóa'!$C$3:$E$613,3,0)</f>
        <v>cái</v>
      </c>
      <c r="G530" s="237">
        <v>46400</v>
      </c>
      <c r="H530" s="235"/>
      <c r="I530" s="237">
        <v>2</v>
      </c>
      <c r="J530" s="237">
        <f t="shared" si="16"/>
        <v>0</v>
      </c>
      <c r="K530" s="237">
        <f t="shared" si="35"/>
        <v>92800</v>
      </c>
      <c r="L530" s="235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</row>
    <row r="531" spans="1:30" ht="13.2">
      <c r="A531" s="240"/>
      <c r="B531" s="235" t="s">
        <v>337</v>
      </c>
      <c r="C531" s="243">
        <v>45317</v>
      </c>
      <c r="D531" s="235" t="s">
        <v>891</v>
      </c>
      <c r="E531" s="235" t="str">
        <f>VLOOKUP(D531,'Danh mục hàng hóa'!$C$3:$D$600,2,0)</f>
        <v>Heo ú</v>
      </c>
      <c r="F531" s="236" t="str">
        <f>VLOOKUP(D531,'Danh mục hàng hóa'!$C$3:$E$613,3,0)</f>
        <v>cái</v>
      </c>
      <c r="G531" s="237">
        <v>46400</v>
      </c>
      <c r="H531" s="235"/>
      <c r="I531" s="237">
        <v>2</v>
      </c>
      <c r="J531" s="237">
        <f t="shared" si="16"/>
        <v>0</v>
      </c>
      <c r="K531" s="237">
        <f t="shared" si="35"/>
        <v>92800</v>
      </c>
      <c r="L531" s="235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</row>
    <row r="532" spans="1:30" ht="13.2">
      <c r="A532" s="240"/>
      <c r="B532" s="235" t="s">
        <v>337</v>
      </c>
      <c r="C532" s="243">
        <v>45317</v>
      </c>
      <c r="D532" s="235" t="s">
        <v>887</v>
      </c>
      <c r="E532" s="235" t="str">
        <f>VLOOKUP(D532,'Danh mục hàng hóa'!$C$3:$D$600,2,0)</f>
        <v>Mèo chong chóng</v>
      </c>
      <c r="F532" s="236" t="str">
        <f>VLOOKUP(D532,'Danh mục hàng hóa'!$C$3:$E$613,3,0)</f>
        <v>cái</v>
      </c>
      <c r="G532" s="237">
        <v>46400</v>
      </c>
      <c r="H532" s="235"/>
      <c r="I532" s="237">
        <v>1</v>
      </c>
      <c r="J532" s="237">
        <f t="shared" si="16"/>
        <v>0</v>
      </c>
      <c r="K532" s="237">
        <f t="shared" si="35"/>
        <v>46400</v>
      </c>
      <c r="L532" s="235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</row>
    <row r="533" spans="1:30" ht="13.2">
      <c r="A533" s="240"/>
      <c r="B533" s="235" t="s">
        <v>337</v>
      </c>
      <c r="C533" s="243">
        <v>45317</v>
      </c>
      <c r="D533" s="235" t="s">
        <v>915</v>
      </c>
      <c r="E533" s="235" t="str">
        <f>VLOOKUP(D533,'Danh mục hàng hóa'!$C$3:$D$600,2,0)</f>
        <v>Thỏ chạy xe gắn xe</v>
      </c>
      <c r="F533" s="236" t="str">
        <f>VLOOKUP(D533,'Danh mục hàng hóa'!$C$3:$E$613,3,0)</f>
        <v>cái</v>
      </c>
      <c r="G533" s="237">
        <v>33000</v>
      </c>
      <c r="H533" s="235"/>
      <c r="I533" s="237">
        <v>1</v>
      </c>
      <c r="J533" s="237">
        <f t="shared" si="16"/>
        <v>0</v>
      </c>
      <c r="K533" s="237">
        <f t="shared" si="35"/>
        <v>33000</v>
      </c>
      <c r="L533" s="235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</row>
    <row r="534" spans="1:30" ht="13.2">
      <c r="A534" s="240"/>
      <c r="B534" s="235" t="s">
        <v>337</v>
      </c>
      <c r="C534" s="243">
        <v>45317</v>
      </c>
      <c r="D534" s="235" t="s">
        <v>907</v>
      </c>
      <c r="E534" s="235" t="str">
        <f>VLOOKUP(D534,'Danh mục hàng hóa'!$C$3:$D$600,2,0)</f>
        <v>Cáo gắn xe</v>
      </c>
      <c r="F534" s="236" t="str">
        <f>VLOOKUP(D534,'Danh mục hàng hóa'!$C$3:$E$613,3,0)</f>
        <v>cái</v>
      </c>
      <c r="G534" s="237">
        <v>33000</v>
      </c>
      <c r="H534" s="235"/>
      <c r="I534" s="237">
        <v>1</v>
      </c>
      <c r="J534" s="237">
        <f t="shared" si="16"/>
        <v>0</v>
      </c>
      <c r="K534" s="237">
        <f t="shared" si="35"/>
        <v>33000</v>
      </c>
      <c r="L534" s="235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</row>
    <row r="535" spans="1:30" ht="13.2">
      <c r="A535" s="240"/>
      <c r="B535" s="235" t="s">
        <v>337</v>
      </c>
      <c r="C535" s="243">
        <v>45317</v>
      </c>
      <c r="D535" s="235" t="s">
        <v>482</v>
      </c>
      <c r="E535" s="235" t="str">
        <f>VLOOKUP(D535,'Danh mục hàng hóa'!$C$3:$D$600,2,0)</f>
        <v>Trâm cài 01</v>
      </c>
      <c r="F535" s="236" t="str">
        <f>VLOOKUP(D535,'Danh mục hàng hóa'!$C$3:$E$613,3,0)</f>
        <v>cây</v>
      </c>
      <c r="G535" s="237">
        <v>28000</v>
      </c>
      <c r="H535" s="235"/>
      <c r="I535" s="237">
        <v>1</v>
      </c>
      <c r="J535" s="237">
        <f t="shared" si="16"/>
        <v>0</v>
      </c>
      <c r="K535" s="237">
        <f t="shared" si="35"/>
        <v>28000</v>
      </c>
      <c r="L535" s="41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</row>
    <row r="536" spans="1:30" ht="13.2">
      <c r="A536" s="240"/>
      <c r="B536" s="235" t="s">
        <v>337</v>
      </c>
      <c r="C536" s="243">
        <v>45317</v>
      </c>
      <c r="D536" s="235" t="s">
        <v>495</v>
      </c>
      <c r="E536" s="235" t="str">
        <f>VLOOKUP(D536,'Danh mục hàng hóa'!$C$3:$D$600,2,0)</f>
        <v>Trâm cài 07</v>
      </c>
      <c r="F536" s="236" t="str">
        <f>VLOOKUP(D536,'Danh mục hàng hóa'!$C$3:$E$613,3,0)</f>
        <v>cây</v>
      </c>
      <c r="G536" s="237">
        <v>20000</v>
      </c>
      <c r="H536" s="235"/>
      <c r="I536" s="237">
        <v>1</v>
      </c>
      <c r="J536" s="237">
        <f t="shared" si="16"/>
        <v>0</v>
      </c>
      <c r="K536" s="237">
        <f t="shared" si="35"/>
        <v>20000</v>
      </c>
      <c r="L536" s="414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</row>
    <row r="537" spans="1:30" ht="13.2">
      <c r="A537" s="240"/>
      <c r="B537" s="235" t="s">
        <v>337</v>
      </c>
      <c r="C537" s="243">
        <v>45317</v>
      </c>
      <c r="D537" s="235" t="s">
        <v>507</v>
      </c>
      <c r="E537" s="235" t="str">
        <f>VLOOKUP(D537,'Danh mục hàng hóa'!$C$3:$D$600,2,0)</f>
        <v>Trâm cài 13</v>
      </c>
      <c r="F537" s="236" t="str">
        <f>VLOOKUP(D537,'Danh mục hàng hóa'!$C$3:$E$613,3,0)</f>
        <v>cây</v>
      </c>
      <c r="G537" s="237">
        <v>36000</v>
      </c>
      <c r="H537" s="235"/>
      <c r="I537" s="237">
        <v>1</v>
      </c>
      <c r="J537" s="237">
        <f t="shared" ref="J537:J562" si="39">H537*G537</f>
        <v>0</v>
      </c>
      <c r="K537" s="237">
        <f t="shared" si="35"/>
        <v>36000</v>
      </c>
      <c r="L537" s="414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</row>
    <row r="538" spans="1:30" ht="13.2">
      <c r="A538" s="240"/>
      <c r="B538" s="235" t="s">
        <v>337</v>
      </c>
      <c r="C538" s="243">
        <v>45317</v>
      </c>
      <c r="D538" s="235" t="s">
        <v>521</v>
      </c>
      <c r="E538" s="235" t="str">
        <f>VLOOKUP(D538,'Danh mục hàng hóa'!$C$3:$D$600,2,0)</f>
        <v>Trâm cài 20</v>
      </c>
      <c r="F538" s="236" t="str">
        <f>VLOOKUP(D538,'Danh mục hàng hóa'!$C$3:$E$613,3,0)</f>
        <v>cây</v>
      </c>
      <c r="G538" s="237">
        <v>24000</v>
      </c>
      <c r="H538" s="235"/>
      <c r="I538" s="237">
        <v>1</v>
      </c>
      <c r="J538" s="237">
        <f t="shared" si="39"/>
        <v>0</v>
      </c>
      <c r="K538" s="237">
        <f t="shared" si="35"/>
        <v>24000</v>
      </c>
      <c r="L538" s="415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</row>
    <row r="539" spans="1:30" ht="13.2">
      <c r="A539" s="240"/>
      <c r="B539" s="235" t="s">
        <v>337</v>
      </c>
      <c r="C539" s="243">
        <v>45318</v>
      </c>
      <c r="D539" s="235" t="s">
        <v>493</v>
      </c>
      <c r="E539" s="235" t="str">
        <f>VLOOKUP(D539,'Danh mục hàng hóa'!$C$3:$D$600,2,0)</f>
        <v>Trâm cài 06</v>
      </c>
      <c r="F539" s="236" t="str">
        <f>VLOOKUP(D539,'Danh mục hàng hóa'!$C$3:$E$613,3,0)</f>
        <v>cây</v>
      </c>
      <c r="G539" s="237">
        <v>12260</v>
      </c>
      <c r="H539" s="235"/>
      <c r="I539" s="237">
        <v>1</v>
      </c>
      <c r="J539" s="237">
        <f t="shared" si="39"/>
        <v>0</v>
      </c>
      <c r="K539" s="237">
        <f t="shared" si="35"/>
        <v>12260</v>
      </c>
      <c r="L539" s="235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</row>
    <row r="540" spans="1:30" ht="13.2">
      <c r="A540" s="240"/>
      <c r="B540" s="235" t="s">
        <v>337</v>
      </c>
      <c r="C540" s="243">
        <v>45318</v>
      </c>
      <c r="D540" s="235" t="s">
        <v>907</v>
      </c>
      <c r="E540" s="235" t="str">
        <f>VLOOKUP(D540,'Danh mục hàng hóa'!$C$3:$D$600,2,0)</f>
        <v>Cáo gắn xe</v>
      </c>
      <c r="F540" s="236" t="str">
        <f>VLOOKUP(D540,'Danh mục hàng hóa'!$C$3:$E$613,3,0)</f>
        <v>cái</v>
      </c>
      <c r="G540" s="237">
        <v>32962</v>
      </c>
      <c r="H540" s="235"/>
      <c r="I540" s="237">
        <v>1</v>
      </c>
      <c r="J540" s="237">
        <f t="shared" si="39"/>
        <v>0</v>
      </c>
      <c r="K540" s="237">
        <f t="shared" si="35"/>
        <v>32962</v>
      </c>
      <c r="L540" s="235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</row>
    <row r="541" spans="1:30" ht="13.2">
      <c r="A541" s="240"/>
      <c r="B541" s="235" t="s">
        <v>337</v>
      </c>
      <c r="C541" s="243">
        <v>45319</v>
      </c>
      <c r="D541" s="235" t="s">
        <v>505</v>
      </c>
      <c r="E541" s="235" t="str">
        <f>VLOOKUP(D541,'Danh mục hàng hóa'!$C$3:$D$600,2,0)</f>
        <v>Trâm cài 12</v>
      </c>
      <c r="F541" s="236" t="str">
        <f>VLOOKUP(D541,'Danh mục hàng hóa'!$C$3:$E$613,3,0)</f>
        <v>cây</v>
      </c>
      <c r="G541" s="237">
        <v>34000</v>
      </c>
      <c r="H541" s="235"/>
      <c r="I541" s="237">
        <v>1</v>
      </c>
      <c r="J541" s="237">
        <f t="shared" si="39"/>
        <v>0</v>
      </c>
      <c r="K541" s="237">
        <f t="shared" si="35"/>
        <v>34000</v>
      </c>
      <c r="L541" s="235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</row>
    <row r="542" spans="1:30" ht="13.2">
      <c r="A542" s="240"/>
      <c r="B542" s="235" t="s">
        <v>337</v>
      </c>
      <c r="C542" s="243">
        <v>45319</v>
      </c>
      <c r="D542" s="235" t="s">
        <v>455</v>
      </c>
      <c r="E542" s="235" t="str">
        <f>VLOOKUP(D542,'Danh mục hàng hóa'!$C$3:$D$600,2,0)</f>
        <v>Cài áo tulip</v>
      </c>
      <c r="F542" s="236" t="str">
        <f>VLOOKUP(D542,'Danh mục hàng hóa'!$C$3:$E$613,3,0)</f>
        <v>cái</v>
      </c>
      <c r="G542" s="237">
        <v>38000</v>
      </c>
      <c r="H542" s="235"/>
      <c r="I542" s="237">
        <v>1</v>
      </c>
      <c r="J542" s="237">
        <f t="shared" si="39"/>
        <v>0</v>
      </c>
      <c r="K542" s="237">
        <f t="shared" si="35"/>
        <v>38000</v>
      </c>
      <c r="L542" s="235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</row>
    <row r="543" spans="1:30" ht="13.2">
      <c r="A543" s="240"/>
      <c r="B543" s="235" t="s">
        <v>337</v>
      </c>
      <c r="C543" s="243">
        <v>45319</v>
      </c>
      <c r="D543" s="235" t="s">
        <v>543</v>
      </c>
      <c r="E543" s="235" t="str">
        <f>VLOOKUP(D543,'Danh mục hàng hóa'!$C$3:$D$600,2,0)</f>
        <v>Kẹp tóc kim loại bông hoa</v>
      </c>
      <c r="F543" s="236" t="str">
        <f>VLOOKUP(D543,'Danh mục hàng hóa'!$C$3:$E$613,3,0)</f>
        <v>cái</v>
      </c>
      <c r="G543" s="237">
        <f>81740-G542-G541</f>
        <v>9740</v>
      </c>
      <c r="H543" s="235"/>
      <c r="I543" s="237">
        <v>1</v>
      </c>
      <c r="J543" s="237">
        <f t="shared" si="39"/>
        <v>0</v>
      </c>
      <c r="K543" s="237">
        <f t="shared" si="35"/>
        <v>9740</v>
      </c>
      <c r="L543" s="235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</row>
    <row r="544" spans="1:30" ht="13.2">
      <c r="A544" s="240"/>
      <c r="B544" s="235" t="s">
        <v>337</v>
      </c>
      <c r="C544" s="243">
        <v>45319</v>
      </c>
      <c r="D544" s="235" t="s">
        <v>485</v>
      </c>
      <c r="E544" s="235" t="str">
        <f>VLOOKUP(D544,'Danh mục hàng hóa'!$C$3:$D$600,2,0)</f>
        <v>Trâm cài 02</v>
      </c>
      <c r="F544" s="236" t="str">
        <f>VLOOKUP(D544,'Danh mục hàng hóa'!$C$3:$E$613,3,0)</f>
        <v>cây</v>
      </c>
      <c r="G544" s="237">
        <v>28000</v>
      </c>
      <c r="H544" s="235"/>
      <c r="I544" s="237">
        <v>1</v>
      </c>
      <c r="J544" s="237">
        <f t="shared" si="39"/>
        <v>0</v>
      </c>
      <c r="K544" s="237">
        <f t="shared" si="35"/>
        <v>28000</v>
      </c>
      <c r="L544" s="235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</row>
    <row r="545" spans="1:30" ht="13.2">
      <c r="A545" s="240"/>
      <c r="B545" s="235" t="s">
        <v>337</v>
      </c>
      <c r="C545" s="243">
        <v>45319</v>
      </c>
      <c r="D545" s="235" t="s">
        <v>487</v>
      </c>
      <c r="E545" s="235" t="str">
        <f>VLOOKUP(D545,'Danh mục hàng hóa'!$C$3:$D$600,2,0)</f>
        <v>Trâm cài 03</v>
      </c>
      <c r="F545" s="236" t="str">
        <f>VLOOKUP(D545,'Danh mục hàng hóa'!$C$3:$E$613,3,0)</f>
        <v>cây</v>
      </c>
      <c r="G545" s="237">
        <v>30000</v>
      </c>
      <c r="H545" s="235"/>
      <c r="I545" s="237">
        <v>1</v>
      </c>
      <c r="J545" s="237">
        <f t="shared" si="39"/>
        <v>0</v>
      </c>
      <c r="K545" s="237">
        <f t="shared" si="35"/>
        <v>30000</v>
      </c>
      <c r="L545" s="235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</row>
    <row r="546" spans="1:30" ht="13.2">
      <c r="A546" s="240"/>
      <c r="B546" s="235" t="s">
        <v>337</v>
      </c>
      <c r="C546" s="243">
        <v>45319</v>
      </c>
      <c r="D546" s="235" t="s">
        <v>489</v>
      </c>
      <c r="E546" s="235" t="str">
        <f>VLOOKUP(D546,'Danh mục hàng hóa'!$C$3:$D$600,2,0)</f>
        <v>Trâm cài 04</v>
      </c>
      <c r="F546" s="236" t="str">
        <f>VLOOKUP(D546,'Danh mục hàng hóa'!$C$3:$E$613,3,0)</f>
        <v>cây</v>
      </c>
      <c r="G546" s="237">
        <f>70240-G544-G545</f>
        <v>12240</v>
      </c>
      <c r="H546" s="235"/>
      <c r="I546" s="237">
        <v>1</v>
      </c>
      <c r="J546" s="237">
        <f t="shared" si="39"/>
        <v>0</v>
      </c>
      <c r="K546" s="237">
        <f t="shared" si="35"/>
        <v>12240</v>
      </c>
      <c r="L546" s="235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</row>
    <row r="547" spans="1:30" ht="13.2">
      <c r="A547" s="240"/>
      <c r="B547" s="235" t="s">
        <v>337</v>
      </c>
      <c r="C547" s="243">
        <v>45319</v>
      </c>
      <c r="D547" s="235" t="s">
        <v>437</v>
      </c>
      <c r="E547" s="235" t="str">
        <f>VLOOKUP(D547,'Danh mục hàng hóa'!$C$3:$D$600,2,0)</f>
        <v>Bao lì xì Tết hoa</v>
      </c>
      <c r="F547" s="236" t="str">
        <f>VLOOKUP(D547,'Danh mục hàng hóa'!$C$3:$E$613,3,0)</f>
        <v>set 6 cái</v>
      </c>
      <c r="G547" s="237">
        <f>45764/6</f>
        <v>7627.333333333333</v>
      </c>
      <c r="H547" s="235"/>
      <c r="I547" s="237">
        <v>6</v>
      </c>
      <c r="J547" s="237">
        <f t="shared" si="39"/>
        <v>0</v>
      </c>
      <c r="K547" s="237">
        <f t="shared" si="35"/>
        <v>45764</v>
      </c>
      <c r="L547" s="235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</row>
    <row r="548" spans="1:30" ht="13.2">
      <c r="A548" s="240"/>
      <c r="B548" s="235" t="s">
        <v>337</v>
      </c>
      <c r="C548" s="243">
        <v>45319</v>
      </c>
      <c r="D548" s="235" t="s">
        <v>511</v>
      </c>
      <c r="E548" s="235" t="str">
        <f>VLOOKUP(D548,'Danh mục hàng hóa'!$C$3:$D$600,2,0)</f>
        <v>Trâm cài 15</v>
      </c>
      <c r="F548" s="236" t="str">
        <f>VLOOKUP(D548,'Danh mục hàng hóa'!$C$3:$E$613,3,0)</f>
        <v>cây</v>
      </c>
      <c r="G548" s="237">
        <v>26252</v>
      </c>
      <c r="H548" s="235"/>
      <c r="I548" s="237">
        <v>1</v>
      </c>
      <c r="J548" s="237">
        <f t="shared" si="39"/>
        <v>0</v>
      </c>
      <c r="K548" s="237">
        <f t="shared" si="35"/>
        <v>26252</v>
      </c>
      <c r="L548" s="235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</row>
    <row r="549" spans="1:30" ht="13.2">
      <c r="A549" s="240"/>
      <c r="B549" s="235" t="s">
        <v>337</v>
      </c>
      <c r="C549" s="243">
        <v>45319</v>
      </c>
      <c r="D549" s="235" t="s">
        <v>409</v>
      </c>
      <c r="E549" s="235" t="str">
        <f>VLOOKUP(D549,'Danh mục hàng hóa'!$C$3:$D$600,2,0)</f>
        <v>Túi chườm bụng thỏ dứa 1000ml</v>
      </c>
      <c r="F549" s="236" t="str">
        <f>VLOOKUP(D549,'Danh mục hàng hóa'!$C$3:$E$613,3,0)</f>
        <v>túi</v>
      </c>
      <c r="G549" s="237">
        <v>95920</v>
      </c>
      <c r="H549" s="235"/>
      <c r="I549" s="237">
        <v>1</v>
      </c>
      <c r="J549" s="237">
        <f t="shared" si="39"/>
        <v>0</v>
      </c>
      <c r="K549" s="237">
        <f t="shared" si="35"/>
        <v>95920</v>
      </c>
      <c r="L549" s="235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</row>
    <row r="550" spans="1:30" ht="13.2">
      <c r="A550" s="240"/>
      <c r="B550" s="235" t="s">
        <v>337</v>
      </c>
      <c r="C550" s="243">
        <v>45319</v>
      </c>
      <c r="D550" s="235" t="s">
        <v>497</v>
      </c>
      <c r="E550" s="235" t="str">
        <f>VLOOKUP(D550,'Danh mục hàng hóa'!$C$3:$D$600,2,0)</f>
        <v>Trâm cài 08</v>
      </c>
      <c r="F550" s="236" t="str">
        <f>VLOOKUP(D550,'Danh mục hàng hóa'!$C$3:$E$613,3,0)</f>
        <v>cây</v>
      </c>
      <c r="G550" s="237">
        <v>48000</v>
      </c>
      <c r="H550" s="235"/>
      <c r="I550" s="237">
        <v>1</v>
      </c>
      <c r="J550" s="237">
        <f t="shared" si="39"/>
        <v>0</v>
      </c>
      <c r="K550" s="237">
        <f t="shared" si="35"/>
        <v>48000</v>
      </c>
      <c r="L550" s="235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</row>
    <row r="551" spans="1:30" ht="13.2">
      <c r="A551" s="240"/>
      <c r="B551" s="235" t="s">
        <v>337</v>
      </c>
      <c r="C551" s="243">
        <v>45319</v>
      </c>
      <c r="D551" s="235" t="s">
        <v>503</v>
      </c>
      <c r="E551" s="235" t="str">
        <f>VLOOKUP(D551,'Danh mục hàng hóa'!$C$3:$D$600,2,0)</f>
        <v>Trâm cài 11</v>
      </c>
      <c r="F551" s="236" t="str">
        <f>VLOOKUP(D551,'Danh mục hàng hóa'!$C$3:$E$613,3,0)</f>
        <v>cây</v>
      </c>
      <c r="G551" s="237">
        <v>30000</v>
      </c>
      <c r="H551" s="235"/>
      <c r="I551" s="237">
        <v>1</v>
      </c>
      <c r="J551" s="237">
        <f t="shared" si="39"/>
        <v>0</v>
      </c>
      <c r="K551" s="237">
        <f t="shared" si="35"/>
        <v>30000</v>
      </c>
      <c r="L551" s="235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</row>
    <row r="552" spans="1:30" ht="13.2">
      <c r="A552" s="240"/>
      <c r="B552" s="235" t="s">
        <v>337</v>
      </c>
      <c r="C552" s="243">
        <v>45319</v>
      </c>
      <c r="D552" s="235" t="s">
        <v>505</v>
      </c>
      <c r="E552" s="235" t="str">
        <f>VLOOKUP(D552,'Danh mục hàng hóa'!$C$3:$D$600,2,0)</f>
        <v>Trâm cài 12</v>
      </c>
      <c r="F552" s="236" t="str">
        <f>VLOOKUP(D552,'Danh mục hàng hóa'!$C$3:$E$613,3,0)</f>
        <v>cây</v>
      </c>
      <c r="G552" s="237">
        <v>33000</v>
      </c>
      <c r="H552" s="235"/>
      <c r="I552" s="237">
        <v>1</v>
      </c>
      <c r="J552" s="237">
        <f t="shared" si="39"/>
        <v>0</v>
      </c>
      <c r="K552" s="237">
        <f t="shared" si="35"/>
        <v>33000</v>
      </c>
      <c r="L552" s="235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</row>
    <row r="553" spans="1:30" ht="13.2">
      <c r="A553" s="240"/>
      <c r="B553" s="235" t="s">
        <v>337</v>
      </c>
      <c r="C553" s="243">
        <v>45319</v>
      </c>
      <c r="D553" s="235" t="s">
        <v>513</v>
      </c>
      <c r="E553" s="235" t="str">
        <f>VLOOKUP(D553,'Danh mục hàng hóa'!$C$3:$D$600,2,0)</f>
        <v>Trâm cài 16</v>
      </c>
      <c r="F553" s="236" t="str">
        <f>VLOOKUP(D553,'Danh mục hàng hóa'!$C$3:$E$613,3,0)</f>
        <v>cây</v>
      </c>
      <c r="G553" s="237">
        <v>25000</v>
      </c>
      <c r="H553" s="235"/>
      <c r="I553" s="237">
        <v>1</v>
      </c>
      <c r="J553" s="237">
        <f t="shared" si="39"/>
        <v>0</v>
      </c>
      <c r="K553" s="237">
        <f t="shared" si="35"/>
        <v>25000</v>
      </c>
      <c r="L553" s="235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</row>
    <row r="554" spans="1:30" ht="13.2">
      <c r="A554" s="240"/>
      <c r="B554" s="235" t="s">
        <v>337</v>
      </c>
      <c r="C554" s="243">
        <v>45319</v>
      </c>
      <c r="D554" s="235" t="s">
        <v>523</v>
      </c>
      <c r="E554" s="235" t="str">
        <f>VLOOKUP(D554,'Danh mục hàng hóa'!$C$3:$D$600,2,0)</f>
        <v>Trâm cài 21</v>
      </c>
      <c r="F554" s="236" t="str">
        <f>VLOOKUP(D554,'Danh mục hàng hóa'!$C$3:$E$613,3,0)</f>
        <v>cây</v>
      </c>
      <c r="G554" s="237">
        <v>25000</v>
      </c>
      <c r="H554" s="235"/>
      <c r="I554" s="237">
        <v>1</v>
      </c>
      <c r="J554" s="237">
        <f t="shared" si="39"/>
        <v>0</v>
      </c>
      <c r="K554" s="237">
        <f t="shared" si="35"/>
        <v>25000</v>
      </c>
      <c r="L554" s="235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</row>
    <row r="555" spans="1:30" ht="13.2">
      <c r="A555" s="240"/>
      <c r="B555" s="235" t="s">
        <v>337</v>
      </c>
      <c r="C555" s="243">
        <v>45320</v>
      </c>
      <c r="D555" s="235" t="s">
        <v>523</v>
      </c>
      <c r="E555" s="235" t="str">
        <f>VLOOKUP(D555,'Danh mục hàng hóa'!$C$3:$D$600,2,0)</f>
        <v>Trâm cài 21</v>
      </c>
      <c r="F555" s="236" t="str">
        <f>VLOOKUP(D555,'Danh mục hàng hóa'!$C$3:$E$613,3,0)</f>
        <v>cây</v>
      </c>
      <c r="G555" s="237">
        <v>26000</v>
      </c>
      <c r="H555" s="235"/>
      <c r="I555" s="237">
        <v>1</v>
      </c>
      <c r="J555" s="237">
        <f t="shared" si="39"/>
        <v>0</v>
      </c>
      <c r="K555" s="237">
        <f t="shared" si="35"/>
        <v>26000</v>
      </c>
      <c r="L555" s="235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</row>
    <row r="556" spans="1:30" ht="13.2">
      <c r="A556" s="240"/>
      <c r="B556" s="235" t="s">
        <v>337</v>
      </c>
      <c r="C556" s="243">
        <v>45320</v>
      </c>
      <c r="D556" s="235" t="s">
        <v>874</v>
      </c>
      <c r="E556" s="235" t="str">
        <f>VLOOKUP(D556,'Danh mục hàng hóa'!$C$3:$D$600,2,0)</f>
        <v>Dao rọc giấy cún xanh</v>
      </c>
      <c r="F556" s="236" t="str">
        <f>VLOOKUP(D556,'Danh mục hàng hóa'!$C$3:$E$613,3,0)</f>
        <v>cái</v>
      </c>
      <c r="G556" s="237">
        <f>33824-G555</f>
        <v>7824</v>
      </c>
      <c r="H556" s="235"/>
      <c r="I556" s="237">
        <v>1</v>
      </c>
      <c r="J556" s="237">
        <f t="shared" si="39"/>
        <v>0</v>
      </c>
      <c r="K556" s="237">
        <f t="shared" si="35"/>
        <v>7824</v>
      </c>
      <c r="L556" s="235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</row>
    <row r="557" spans="1:30" ht="13.2">
      <c r="A557" s="240"/>
      <c r="B557" s="235" t="s">
        <v>336</v>
      </c>
      <c r="C557" s="243">
        <v>45321</v>
      </c>
      <c r="D557" s="235" t="s">
        <v>977</v>
      </c>
      <c r="E557" s="235" t="str">
        <f>VLOOKUP(D557,'Danh mục hàng hóa'!$C$3:$D$600,2,0)</f>
        <v>Móc khóa đôi heo</v>
      </c>
      <c r="F557" s="236" t="str">
        <f>VLOOKUP(D557,'Danh mục hàng hóa'!$C$3:$E$613,3,0)</f>
        <v>cái</v>
      </c>
      <c r="G557" s="238">
        <f>5.68*3510</f>
        <v>19936.8</v>
      </c>
      <c r="H557" s="237">
        <v>14</v>
      </c>
      <c r="I557" s="237">
        <v>0</v>
      </c>
      <c r="J557" s="237">
        <f t="shared" si="39"/>
        <v>279115.2</v>
      </c>
      <c r="K557" s="237">
        <f t="shared" si="35"/>
        <v>0</v>
      </c>
      <c r="L557" s="235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</row>
    <row r="558" spans="1:30" ht="13.2">
      <c r="A558" s="240"/>
      <c r="B558" s="235" t="s">
        <v>336</v>
      </c>
      <c r="C558" s="243">
        <v>45321</v>
      </c>
      <c r="D558" s="235" t="s">
        <v>979</v>
      </c>
      <c r="E558" s="235" t="str">
        <f>VLOOKUP(D558,'Danh mục hàng hóa'!$C$3:$D$600,2,0)</f>
        <v>Móc khóa đôi thỏ cà rốt</v>
      </c>
      <c r="F558" s="236" t="str">
        <f>VLOOKUP(D558,'Danh mục hàng hóa'!$C$3:$E$613,3,0)</f>
        <v>cái</v>
      </c>
      <c r="G558" s="238">
        <f>4.84*3510</f>
        <v>16988.399999999998</v>
      </c>
      <c r="H558" s="237">
        <v>10</v>
      </c>
      <c r="I558" s="237">
        <v>0</v>
      </c>
      <c r="J558" s="237">
        <f t="shared" si="39"/>
        <v>169883.99999999997</v>
      </c>
      <c r="K558" s="237">
        <f t="shared" si="35"/>
        <v>0</v>
      </c>
      <c r="L558" s="235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</row>
    <row r="559" spans="1:30" ht="13.2">
      <c r="A559" s="240"/>
      <c r="B559" s="235" t="s">
        <v>336</v>
      </c>
      <c r="C559" s="243">
        <v>45321</v>
      </c>
      <c r="D559" s="235" t="s">
        <v>981</v>
      </c>
      <c r="E559" s="235" t="str">
        <f>VLOOKUP(D559,'Danh mục hàng hóa'!$C$3:$D$600,2,0)</f>
        <v>Móc khóa đôi corgy</v>
      </c>
      <c r="F559" s="236" t="str">
        <f>VLOOKUP(D559,'Danh mục hàng hóa'!$C$3:$E$613,3,0)</f>
        <v>cái</v>
      </c>
      <c r="G559" s="238">
        <f t="shared" ref="G559:G560" si="40">5.68*3510</f>
        <v>19936.8</v>
      </c>
      <c r="H559" s="237">
        <v>6</v>
      </c>
      <c r="I559" s="237">
        <v>0</v>
      </c>
      <c r="J559" s="237">
        <f t="shared" si="39"/>
        <v>119620.79999999999</v>
      </c>
      <c r="K559" s="237">
        <f t="shared" si="35"/>
        <v>0</v>
      </c>
      <c r="L559" s="235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</row>
    <row r="560" spans="1:30" ht="13.2">
      <c r="A560" s="240"/>
      <c r="B560" s="235" t="s">
        <v>336</v>
      </c>
      <c r="C560" s="243">
        <v>45321</v>
      </c>
      <c r="D560" s="235" t="s">
        <v>983</v>
      </c>
      <c r="E560" s="235" t="str">
        <f>VLOOKUP(D560,'Danh mục hàng hóa'!$C$3:$D$600,2,0)</f>
        <v>Móc khoá đôi thỏ</v>
      </c>
      <c r="F560" s="236" t="str">
        <f>VLOOKUP(D560,'Danh mục hàng hóa'!$C$3:$E$613,3,0)</f>
        <v>cái</v>
      </c>
      <c r="G560" s="238">
        <f t="shared" si="40"/>
        <v>19936.8</v>
      </c>
      <c r="H560" s="237">
        <v>9</v>
      </c>
      <c r="I560" s="237">
        <v>0</v>
      </c>
      <c r="J560" s="237">
        <f t="shared" si="39"/>
        <v>179431.19999999998</v>
      </c>
      <c r="K560" s="237">
        <f t="shared" si="35"/>
        <v>0</v>
      </c>
      <c r="L560" s="235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</row>
    <row r="561" spans="1:30" ht="13.2">
      <c r="A561" s="240"/>
      <c r="B561" s="235" t="s">
        <v>337</v>
      </c>
      <c r="C561" s="243">
        <v>45321</v>
      </c>
      <c r="D561" s="235" t="s">
        <v>433</v>
      </c>
      <c r="E561" s="235" t="str">
        <f>VLOOKUP(D561,'Danh mục hàng hóa'!$C$3:$D$600,2,0)</f>
        <v>Bao lì xì rồng lân</v>
      </c>
      <c r="F561" s="236" t="str">
        <f>VLOOKUP(D561,'Danh mục hàng hóa'!$C$3:$E$613,3,0)</f>
        <v>túi 4 cái</v>
      </c>
      <c r="G561" s="238">
        <v>10000</v>
      </c>
      <c r="H561" s="235"/>
      <c r="I561" s="237">
        <v>1</v>
      </c>
      <c r="J561" s="237">
        <f t="shared" si="39"/>
        <v>0</v>
      </c>
      <c r="K561" s="237">
        <f t="shared" si="35"/>
        <v>10000</v>
      </c>
      <c r="L561" s="235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</row>
    <row r="562" spans="1:30" ht="13.2">
      <c r="A562" s="240"/>
      <c r="B562" s="235" t="s">
        <v>337</v>
      </c>
      <c r="C562" s="243">
        <v>45321</v>
      </c>
      <c r="D562" s="235" t="s">
        <v>435</v>
      </c>
      <c r="E562" s="235" t="str">
        <f>VLOOKUP(D562,'Danh mục hàng hóa'!$C$3:$D$600,2,0)</f>
        <v>Bao lì xì Tết tài lộc</v>
      </c>
      <c r="F562" s="236" t="str">
        <f>VLOOKUP(D562,'Danh mục hàng hóa'!$C$3:$E$613,3,0)</f>
        <v>set 6 cái</v>
      </c>
      <c r="G562" s="238">
        <v>6000</v>
      </c>
      <c r="H562" s="235"/>
      <c r="I562" s="237">
        <v>3</v>
      </c>
      <c r="J562" s="237">
        <f t="shared" si="39"/>
        <v>0</v>
      </c>
      <c r="K562" s="237">
        <f t="shared" si="35"/>
        <v>18000</v>
      </c>
      <c r="L562" s="235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</row>
    <row r="563" spans="1:30" ht="13.2">
      <c r="A563" s="240"/>
      <c r="B563" s="235" t="s">
        <v>337</v>
      </c>
      <c r="C563" s="243">
        <v>45322</v>
      </c>
      <c r="D563" s="235" t="s">
        <v>511</v>
      </c>
      <c r="E563" s="235" t="str">
        <f>VLOOKUP(D563,'Danh mục hàng hóa'!$C$3:$D$600,2,0)</f>
        <v>Trâm cài 15</v>
      </c>
      <c r="F563" s="236" t="str">
        <f>VLOOKUP(D563,'Danh mục hàng hóa'!$C$3:$E$613,3,0)</f>
        <v>cây</v>
      </c>
      <c r="G563" s="237">
        <v>26252</v>
      </c>
      <c r="H563" s="235"/>
      <c r="I563" s="237">
        <v>1</v>
      </c>
      <c r="J563" s="237">
        <v>0</v>
      </c>
      <c r="K563" s="237">
        <f t="shared" si="35"/>
        <v>26252</v>
      </c>
      <c r="L563" s="235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</row>
    <row r="564" spans="1:30" ht="13.2">
      <c r="A564" s="240"/>
      <c r="B564" s="235" t="s">
        <v>337</v>
      </c>
      <c r="C564" s="243">
        <v>45322</v>
      </c>
      <c r="D564" s="235" t="s">
        <v>915</v>
      </c>
      <c r="E564" s="235" t="str">
        <f>VLOOKUP(D564,'Danh mục hàng hóa'!$C$3:$D$600,2,0)</f>
        <v>Thỏ chạy xe gắn xe</v>
      </c>
      <c r="F564" s="236" t="str">
        <f>VLOOKUP(D564,'Danh mục hàng hóa'!$C$3:$E$613,3,0)</f>
        <v>cái</v>
      </c>
      <c r="G564" s="237">
        <v>32702</v>
      </c>
      <c r="H564" s="235"/>
      <c r="I564" s="237">
        <v>1</v>
      </c>
      <c r="J564" s="237">
        <f t="shared" ref="J564:J602" si="41">H564*G564</f>
        <v>0</v>
      </c>
      <c r="K564" s="237">
        <f t="shared" si="35"/>
        <v>32702</v>
      </c>
      <c r="L564" s="235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</row>
    <row r="565" spans="1:30" ht="13.2">
      <c r="A565" s="240"/>
      <c r="B565" s="235" t="s">
        <v>337</v>
      </c>
      <c r="C565" s="243">
        <v>45322</v>
      </c>
      <c r="D565" s="235" t="s">
        <v>917</v>
      </c>
      <c r="E565" s="235" t="str">
        <f>VLOOKUP(D565,'Danh mục hàng hóa'!$C$3:$D$600,2,0)</f>
        <v>Thỏ đi vịt gắn xe</v>
      </c>
      <c r="F565" s="236" t="str">
        <f>VLOOKUP(D565,'Danh mục hàng hóa'!$C$3:$E$613,3,0)</f>
        <v>cái</v>
      </c>
      <c r="G565" s="237">
        <v>34882</v>
      </c>
      <c r="H565" s="235"/>
      <c r="I565" s="237">
        <v>1</v>
      </c>
      <c r="J565" s="237">
        <f t="shared" si="41"/>
        <v>0</v>
      </c>
      <c r="K565" s="237">
        <f t="shared" si="35"/>
        <v>34882</v>
      </c>
      <c r="L565" s="235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</row>
    <row r="566" spans="1:30" ht="13.2">
      <c r="A566" s="240"/>
      <c r="B566" s="235" t="s">
        <v>337</v>
      </c>
      <c r="C566" s="243">
        <v>45322</v>
      </c>
      <c r="D566" s="235" t="s">
        <v>878</v>
      </c>
      <c r="E566" s="235" t="str">
        <f>VLOOKUP(D566,'Danh mục hàng hóa'!$C$3:$D$600,2,0)</f>
        <v>Dao rọc giấy cún hồng</v>
      </c>
      <c r="F566" s="236" t="str">
        <f>VLOOKUP(D566,'Danh mục hàng hóa'!$C$3:$E$613,3,0)</f>
        <v>cái</v>
      </c>
      <c r="G566" s="237">
        <v>6000</v>
      </c>
      <c r="H566" s="235"/>
      <c r="I566" s="237">
        <v>1</v>
      </c>
      <c r="J566" s="237">
        <f t="shared" si="41"/>
        <v>0</v>
      </c>
      <c r="K566" s="237">
        <f t="shared" si="35"/>
        <v>6000</v>
      </c>
      <c r="L566" s="235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</row>
    <row r="567" spans="1:30" ht="13.2">
      <c r="A567" s="240"/>
      <c r="B567" s="235" t="s">
        <v>337</v>
      </c>
      <c r="C567" s="243">
        <v>45322</v>
      </c>
      <c r="D567" s="235" t="s">
        <v>491</v>
      </c>
      <c r="E567" s="235" t="str">
        <f>VLOOKUP(D567,'Danh mục hàng hóa'!$C$3:$D$600,2,0)</f>
        <v>Trâm cài 05</v>
      </c>
      <c r="F567" s="236" t="str">
        <f>VLOOKUP(D567,'Danh mục hàng hóa'!$C$3:$E$613,3,0)</f>
        <v>cây</v>
      </c>
      <c r="G567" s="237">
        <v>12000</v>
      </c>
      <c r="H567" s="235"/>
      <c r="I567" s="237">
        <v>1</v>
      </c>
      <c r="J567" s="237">
        <f t="shared" si="41"/>
        <v>0</v>
      </c>
      <c r="K567" s="237">
        <f t="shared" si="35"/>
        <v>12000</v>
      </c>
      <c r="L567" s="235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</row>
    <row r="568" spans="1:30" ht="13.2">
      <c r="A568" s="240"/>
      <c r="B568" s="235" t="s">
        <v>337</v>
      </c>
      <c r="C568" s="243">
        <v>45322</v>
      </c>
      <c r="D568" s="235" t="s">
        <v>499</v>
      </c>
      <c r="E568" s="235" t="str">
        <f>VLOOKUP(D568,'Danh mục hàng hóa'!$C$3:$D$600,2,0)</f>
        <v>Trâm cài 09</v>
      </c>
      <c r="F568" s="236" t="str">
        <f>VLOOKUP(D568,'Danh mục hàng hóa'!$C$3:$E$613,3,0)</f>
        <v>cây</v>
      </c>
      <c r="G568" s="237">
        <v>28000</v>
      </c>
      <c r="H568" s="235"/>
      <c r="I568" s="237">
        <v>1</v>
      </c>
      <c r="J568" s="237">
        <f t="shared" si="41"/>
        <v>0</v>
      </c>
      <c r="K568" s="237">
        <f t="shared" si="35"/>
        <v>28000</v>
      </c>
      <c r="L568" s="235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</row>
    <row r="569" spans="1:30" ht="13.2">
      <c r="A569" s="240"/>
      <c r="B569" s="235" t="s">
        <v>337</v>
      </c>
      <c r="C569" s="243">
        <v>45322</v>
      </c>
      <c r="D569" s="235" t="s">
        <v>977</v>
      </c>
      <c r="E569" s="235" t="str">
        <f>VLOOKUP(D569,'Danh mục hàng hóa'!$C$3:$D$600,2,0)</f>
        <v>Móc khóa đôi heo</v>
      </c>
      <c r="F569" s="236" t="str">
        <f>VLOOKUP(D569,'Danh mục hàng hóa'!$C$3:$E$613,3,0)</f>
        <v>cái</v>
      </c>
      <c r="G569" s="237">
        <v>43400</v>
      </c>
      <c r="H569" s="235"/>
      <c r="I569" s="237">
        <v>1</v>
      </c>
      <c r="J569" s="237">
        <f t="shared" si="41"/>
        <v>0</v>
      </c>
      <c r="K569" s="237">
        <f t="shared" si="35"/>
        <v>43400</v>
      </c>
      <c r="L569" s="235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</row>
    <row r="570" spans="1:30" ht="13.2">
      <c r="A570" s="240"/>
      <c r="B570" s="235" t="s">
        <v>337</v>
      </c>
      <c r="C570" s="243">
        <v>45322</v>
      </c>
      <c r="D570" s="235" t="s">
        <v>519</v>
      </c>
      <c r="E570" s="235" t="str">
        <f>VLOOKUP(D570,'Danh mục hàng hóa'!$C$3:$D$600,2,0)</f>
        <v>Trâm cài 19</v>
      </c>
      <c r="F570" s="236" t="str">
        <f>VLOOKUP(D570,'Danh mục hàng hóa'!$C$3:$E$613,3,0)</f>
        <v>cây</v>
      </c>
      <c r="G570" s="237">
        <v>36984</v>
      </c>
      <c r="H570" s="235"/>
      <c r="I570" s="237">
        <v>1</v>
      </c>
      <c r="J570" s="237">
        <f t="shared" si="41"/>
        <v>0</v>
      </c>
      <c r="K570" s="237">
        <f t="shared" si="35"/>
        <v>36984</v>
      </c>
      <c r="L570" s="235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</row>
    <row r="571" spans="1:30" ht="13.2">
      <c r="A571" s="240"/>
      <c r="B571" s="235" t="s">
        <v>337</v>
      </c>
      <c r="C571" s="243">
        <v>45322</v>
      </c>
      <c r="D571" s="235" t="s">
        <v>515</v>
      </c>
      <c r="E571" s="235" t="str">
        <f>VLOOKUP(D571,'Danh mục hàng hóa'!$C$3:$D$600,2,0)</f>
        <v>Trâm cài 17</v>
      </c>
      <c r="F571" s="236" t="str">
        <f>VLOOKUP(D571,'Danh mục hàng hóa'!$C$3:$E$613,3,0)</f>
        <v>cây</v>
      </c>
      <c r="G571" s="237">
        <f>61984-G570</f>
        <v>25000</v>
      </c>
      <c r="H571" s="235"/>
      <c r="I571" s="237">
        <v>1</v>
      </c>
      <c r="J571" s="237">
        <f t="shared" si="41"/>
        <v>0</v>
      </c>
      <c r="K571" s="237">
        <f t="shared" si="35"/>
        <v>25000</v>
      </c>
      <c r="L571" s="235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</row>
    <row r="572" spans="1:30" ht="13.2">
      <c r="A572" s="240"/>
      <c r="B572" s="235" t="s">
        <v>337</v>
      </c>
      <c r="C572" s="243">
        <v>45323</v>
      </c>
      <c r="D572" s="235" t="s">
        <v>519</v>
      </c>
      <c r="E572" s="235" t="str">
        <f>VLOOKUP(D572,'Danh mục hàng hóa'!$C$3:$D$600,2,0)</f>
        <v>Trâm cài 19</v>
      </c>
      <c r="F572" s="236" t="str">
        <f>VLOOKUP(D572,'Danh mục hàng hóa'!$C$3:$E$613,3,0)</f>
        <v>cây</v>
      </c>
      <c r="G572" s="237">
        <v>36000</v>
      </c>
      <c r="H572" s="235"/>
      <c r="I572" s="237">
        <v>1</v>
      </c>
      <c r="J572" s="237">
        <f t="shared" si="41"/>
        <v>0</v>
      </c>
      <c r="K572" s="237">
        <f t="shared" si="35"/>
        <v>36000</v>
      </c>
      <c r="L572" s="235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</row>
    <row r="573" spans="1:30" ht="13.2">
      <c r="A573" s="240"/>
      <c r="B573" s="235" t="s">
        <v>337</v>
      </c>
      <c r="C573" s="243">
        <v>45323</v>
      </c>
      <c r="D573" s="235" t="s">
        <v>507</v>
      </c>
      <c r="E573" s="235" t="str">
        <f>VLOOKUP(D573,'Danh mục hàng hóa'!$C$3:$D$600,2,0)</f>
        <v>Trâm cài 13</v>
      </c>
      <c r="F573" s="236" t="str">
        <f>VLOOKUP(D573,'Danh mục hàng hóa'!$C$3:$E$613,3,0)</f>
        <v>cây</v>
      </c>
      <c r="G573" s="237">
        <v>40000</v>
      </c>
      <c r="H573" s="235"/>
      <c r="I573" s="237">
        <v>1</v>
      </c>
      <c r="J573" s="237">
        <f t="shared" si="41"/>
        <v>0</v>
      </c>
      <c r="K573" s="237">
        <f t="shared" si="35"/>
        <v>40000</v>
      </c>
      <c r="L573" s="235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</row>
    <row r="574" spans="1:30" ht="13.2">
      <c r="A574" s="240"/>
      <c r="B574" s="235" t="s">
        <v>337</v>
      </c>
      <c r="C574" s="243">
        <v>45323</v>
      </c>
      <c r="D574" s="235" t="s">
        <v>576</v>
      </c>
      <c r="E574" s="235" t="str">
        <f>VLOOKUP(D574,'Danh mục hàng hóa'!$C$3:$D$600,2,0)</f>
        <v>Ống 6 dây cột tóc đen</v>
      </c>
      <c r="F574" s="236" t="str">
        <f>VLOOKUP(D574,'Danh mục hàng hóa'!$C$3:$E$613,3,0)</f>
        <v>ống</v>
      </c>
      <c r="G574" s="237">
        <f>53800/3</f>
        <v>17933.333333333332</v>
      </c>
      <c r="H574" s="235"/>
      <c r="I574" s="237">
        <v>3</v>
      </c>
      <c r="J574" s="237">
        <f t="shared" si="41"/>
        <v>0</v>
      </c>
      <c r="K574" s="237">
        <f t="shared" si="35"/>
        <v>53800</v>
      </c>
      <c r="L574" s="235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</row>
    <row r="575" spans="1:30" ht="13.2">
      <c r="A575" s="240"/>
      <c r="B575" s="235" t="s">
        <v>337</v>
      </c>
      <c r="C575" s="243">
        <v>45323</v>
      </c>
      <c r="D575" s="235" t="s">
        <v>485</v>
      </c>
      <c r="E575" s="235" t="str">
        <f>VLOOKUP(D575,'Danh mục hàng hóa'!$C$3:$D$600,2,0)</f>
        <v>Trâm cài 02</v>
      </c>
      <c r="F575" s="236" t="str">
        <f>VLOOKUP(D575,'Danh mục hàng hóa'!$C$3:$E$613,3,0)</f>
        <v>cây</v>
      </c>
      <c r="G575" s="237">
        <f>103692-G572-G573</f>
        <v>27692</v>
      </c>
      <c r="H575" s="235"/>
      <c r="I575" s="237">
        <v>1</v>
      </c>
      <c r="J575" s="237">
        <f t="shared" si="41"/>
        <v>0</v>
      </c>
      <c r="K575" s="237">
        <f t="shared" si="35"/>
        <v>27692</v>
      </c>
      <c r="L575" s="235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</row>
    <row r="576" spans="1:30" ht="13.2">
      <c r="A576" s="240"/>
      <c r="B576" s="235" t="s">
        <v>337</v>
      </c>
      <c r="C576" s="243">
        <v>45323</v>
      </c>
      <c r="D576" s="235" t="s">
        <v>915</v>
      </c>
      <c r="E576" s="235" t="str">
        <f>VLOOKUP(D576,'Danh mục hàng hóa'!$C$3:$D$600,2,0)</f>
        <v>Thỏ chạy xe gắn xe</v>
      </c>
      <c r="F576" s="236" t="str">
        <f>VLOOKUP(D576,'Danh mục hàng hóa'!$C$3:$E$613,3,0)</f>
        <v>cái</v>
      </c>
      <c r="G576" s="237">
        <v>32362</v>
      </c>
      <c r="H576" s="235"/>
      <c r="I576" s="237">
        <v>1</v>
      </c>
      <c r="J576" s="237">
        <f t="shared" si="41"/>
        <v>0</v>
      </c>
      <c r="K576" s="237">
        <f t="shared" si="35"/>
        <v>32362</v>
      </c>
      <c r="L576" s="235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</row>
    <row r="577" spans="1:30" ht="13.2">
      <c r="A577" s="240"/>
      <c r="B577" s="235" t="s">
        <v>337</v>
      </c>
      <c r="C577" s="243">
        <v>44959</v>
      </c>
      <c r="D577" s="235" t="s">
        <v>917</v>
      </c>
      <c r="E577" s="235" t="str">
        <f>VLOOKUP(D577,'Danh mục hàng hóa'!$C$3:$D$600,2,0)</f>
        <v>Thỏ đi vịt gắn xe</v>
      </c>
      <c r="F577" s="236" t="str">
        <f>VLOOKUP(D577,'Danh mục hàng hóa'!$C$3:$E$613,3,0)</f>
        <v>cái</v>
      </c>
      <c r="G577" s="237">
        <v>32862</v>
      </c>
      <c r="H577" s="235"/>
      <c r="I577" s="237">
        <v>1</v>
      </c>
      <c r="J577" s="237">
        <f t="shared" si="41"/>
        <v>0</v>
      </c>
      <c r="K577" s="237">
        <f t="shared" si="35"/>
        <v>32862</v>
      </c>
      <c r="L577" s="235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</row>
    <row r="578" spans="1:30" ht="13.2">
      <c r="A578" s="240"/>
      <c r="B578" s="235" t="s">
        <v>337</v>
      </c>
      <c r="C578" s="243">
        <v>44959</v>
      </c>
      <c r="D578" s="235" t="s">
        <v>983</v>
      </c>
      <c r="E578" s="235" t="str">
        <f>VLOOKUP(D578,'Danh mục hàng hóa'!$C$3:$D$600,2,0)</f>
        <v>Móc khoá đôi thỏ</v>
      </c>
      <c r="F578" s="236" t="str">
        <f>VLOOKUP(D578,'Danh mục hàng hóa'!$C$3:$E$613,3,0)</f>
        <v>cái</v>
      </c>
      <c r="G578" s="237">
        <v>50000</v>
      </c>
      <c r="H578" s="235"/>
      <c r="I578" s="237">
        <v>1</v>
      </c>
      <c r="J578" s="237">
        <f t="shared" si="41"/>
        <v>0</v>
      </c>
      <c r="K578" s="237">
        <f t="shared" si="35"/>
        <v>50000</v>
      </c>
      <c r="L578" s="235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</row>
    <row r="579" spans="1:30" ht="13.2">
      <c r="A579" s="240"/>
      <c r="B579" s="235" t="s">
        <v>337</v>
      </c>
      <c r="C579" s="243">
        <v>44959</v>
      </c>
      <c r="D579" s="235" t="s">
        <v>420</v>
      </c>
      <c r="E579" s="235" t="str">
        <f>VLOOKUP(D579,'Danh mục hàng hóa'!$C$3:$D$600,2,0)</f>
        <v>Túi chườm bụng thỏ dứa 500ml</v>
      </c>
      <c r="F579" s="236" t="str">
        <f>VLOOKUP(D579,'Danh mục hàng hóa'!$C$3:$E$613,3,0)</f>
        <v>túi</v>
      </c>
      <c r="G579" s="237">
        <v>79000</v>
      </c>
      <c r="H579" s="235"/>
      <c r="I579" s="237">
        <v>1</v>
      </c>
      <c r="J579" s="237">
        <f t="shared" si="41"/>
        <v>0</v>
      </c>
      <c r="K579" s="237">
        <f t="shared" si="35"/>
        <v>79000</v>
      </c>
      <c r="L579" s="235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</row>
    <row r="580" spans="1:30" ht="13.2">
      <c r="A580" s="240"/>
      <c r="B580" s="235" t="s">
        <v>337</v>
      </c>
      <c r="C580" s="243">
        <v>44959</v>
      </c>
      <c r="D580" s="235" t="s">
        <v>1038</v>
      </c>
      <c r="E580" s="235" t="str">
        <f>VLOOKUP(D580,'Danh mục hàng hóa'!$C$3:$D$600,2,0)</f>
        <v>Vớ cổ ngắn trắng thêu họa tiết mẫu 2</v>
      </c>
      <c r="F580" s="236" t="str">
        <f>VLOOKUP(D580,'Danh mục hàng hóa'!$C$3:$E$613,3,0)</f>
        <v>đôi</v>
      </c>
      <c r="G580" s="237">
        <v>12000</v>
      </c>
      <c r="H580" s="235"/>
      <c r="I580" s="237">
        <v>1</v>
      </c>
      <c r="J580" s="237">
        <f t="shared" si="41"/>
        <v>0</v>
      </c>
      <c r="K580" s="237">
        <f t="shared" si="35"/>
        <v>12000</v>
      </c>
      <c r="L580" s="235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</row>
    <row r="581" spans="1:30" ht="13.2">
      <c r="A581" s="240"/>
      <c r="B581" s="235" t="s">
        <v>337</v>
      </c>
      <c r="C581" s="243">
        <v>44959</v>
      </c>
      <c r="D581" s="235" t="s">
        <v>1078</v>
      </c>
      <c r="E581" s="235" t="str">
        <f>VLOOKUP(D581,'Danh mục hàng hóa'!$C$3:$D$600,2,0)</f>
        <v>Vớ trắng icon be 3</v>
      </c>
      <c r="F581" s="236" t="str">
        <f>VLOOKUP(D581,'Danh mục hàng hóa'!$C$3:$E$613,3,0)</f>
        <v>đôi</v>
      </c>
      <c r="G581" s="237">
        <f>143264-50000-79000-12000</f>
        <v>2264</v>
      </c>
      <c r="H581" s="235"/>
      <c r="I581" s="237">
        <v>1</v>
      </c>
      <c r="J581" s="237">
        <f t="shared" si="41"/>
        <v>0</v>
      </c>
      <c r="K581" s="237">
        <f t="shared" si="35"/>
        <v>2264</v>
      </c>
      <c r="L581" s="235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</row>
    <row r="582" spans="1:30" ht="13.2">
      <c r="A582" s="240"/>
      <c r="B582" s="235" t="s">
        <v>337</v>
      </c>
      <c r="C582" s="243">
        <v>44959</v>
      </c>
      <c r="D582" s="235" t="s">
        <v>917</v>
      </c>
      <c r="E582" s="235" t="str">
        <f>VLOOKUP(D582,'Danh mục hàng hóa'!$C$3:$D$600,2,0)</f>
        <v>Thỏ đi vịt gắn xe</v>
      </c>
      <c r="F582" s="236" t="str">
        <f>VLOOKUP(D582,'Danh mục hàng hóa'!$C$3:$E$613,3,0)</f>
        <v>cái</v>
      </c>
      <c r="G582" s="237">
        <v>39025</v>
      </c>
      <c r="H582" s="235"/>
      <c r="I582" s="237">
        <v>1</v>
      </c>
      <c r="J582" s="237">
        <f t="shared" si="41"/>
        <v>0</v>
      </c>
      <c r="K582" s="237">
        <f t="shared" si="35"/>
        <v>39025</v>
      </c>
      <c r="L582" s="235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</row>
    <row r="583" spans="1:30" ht="13.2">
      <c r="A583" s="240"/>
      <c r="B583" s="235" t="s">
        <v>337</v>
      </c>
      <c r="C583" s="243">
        <v>44959</v>
      </c>
      <c r="D583" s="235" t="s">
        <v>505</v>
      </c>
      <c r="E583" s="235" t="str">
        <f>VLOOKUP(D583,'Danh mục hàng hóa'!$C$3:$D$600,2,0)</f>
        <v>Trâm cài 12</v>
      </c>
      <c r="F583" s="236" t="str">
        <f>VLOOKUP(D583,'Danh mục hàng hóa'!$C$3:$E$613,3,0)</f>
        <v>cây</v>
      </c>
      <c r="G583" s="237">
        <v>34260</v>
      </c>
      <c r="H583" s="235"/>
      <c r="I583" s="237">
        <v>1</v>
      </c>
      <c r="J583" s="237">
        <f t="shared" si="41"/>
        <v>0</v>
      </c>
      <c r="K583" s="237">
        <f t="shared" si="35"/>
        <v>34260</v>
      </c>
      <c r="L583" s="235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</row>
    <row r="584" spans="1:30" ht="13.2">
      <c r="A584" s="240"/>
      <c r="B584" s="235" t="s">
        <v>337</v>
      </c>
      <c r="C584" s="243">
        <v>44959</v>
      </c>
      <c r="D584" s="235" t="s">
        <v>977</v>
      </c>
      <c r="E584" s="235" t="str">
        <f>VLOOKUP(D584,'Danh mục hàng hóa'!$C$3:$D$600,2,0)</f>
        <v>Móc khóa đôi heo</v>
      </c>
      <c r="F584" s="236" t="str">
        <f>VLOOKUP(D584,'Danh mục hàng hóa'!$C$3:$E$613,3,0)</f>
        <v>cái</v>
      </c>
      <c r="G584" s="237">
        <v>43400</v>
      </c>
      <c r="H584" s="235"/>
      <c r="I584" s="237">
        <v>1</v>
      </c>
      <c r="J584" s="237">
        <f t="shared" si="41"/>
        <v>0</v>
      </c>
      <c r="K584" s="237">
        <f t="shared" si="35"/>
        <v>43400</v>
      </c>
      <c r="L584" s="235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</row>
    <row r="585" spans="1:30" ht="13.2">
      <c r="A585" s="240"/>
      <c r="B585" s="235" t="s">
        <v>337</v>
      </c>
      <c r="C585" s="243">
        <v>44959</v>
      </c>
      <c r="D585" s="235" t="s">
        <v>519</v>
      </c>
      <c r="E585" s="235" t="str">
        <f>VLOOKUP(D585,'Danh mục hàng hóa'!$C$3:$D$600,2,0)</f>
        <v>Trâm cài 19</v>
      </c>
      <c r="F585" s="236" t="str">
        <f>VLOOKUP(D585,'Danh mục hàng hóa'!$C$3:$E$613,3,0)</f>
        <v>cây</v>
      </c>
      <c r="G585" s="237">
        <v>35992</v>
      </c>
      <c r="H585" s="235"/>
      <c r="I585" s="237">
        <v>1</v>
      </c>
      <c r="J585" s="237">
        <f t="shared" si="41"/>
        <v>0</v>
      </c>
      <c r="K585" s="237">
        <f t="shared" si="35"/>
        <v>35992</v>
      </c>
      <c r="L585" s="235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</row>
    <row r="586" spans="1:30" ht="13.2">
      <c r="A586" s="240"/>
      <c r="B586" s="235" t="s">
        <v>337</v>
      </c>
      <c r="C586" s="243">
        <v>44959</v>
      </c>
      <c r="D586" s="235" t="s">
        <v>505</v>
      </c>
      <c r="E586" s="235" t="str">
        <f>VLOOKUP(D586,'Danh mục hàng hóa'!$C$3:$D$600,2,0)</f>
        <v>Trâm cài 12</v>
      </c>
      <c r="F586" s="236" t="str">
        <f>VLOOKUP(D586,'Danh mục hàng hóa'!$C$3:$E$613,3,0)</f>
        <v>cây</v>
      </c>
      <c r="G586" s="237">
        <v>34000</v>
      </c>
      <c r="H586" s="235"/>
      <c r="I586" s="237">
        <v>1</v>
      </c>
      <c r="J586" s="237">
        <f t="shared" si="41"/>
        <v>0</v>
      </c>
      <c r="K586" s="237">
        <f t="shared" si="35"/>
        <v>34000</v>
      </c>
      <c r="L586" s="235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</row>
    <row r="587" spans="1:30" ht="13.2">
      <c r="A587" s="240"/>
      <c r="B587" s="235" t="s">
        <v>337</v>
      </c>
      <c r="C587" s="243">
        <v>45325</v>
      </c>
      <c r="D587" s="235" t="s">
        <v>501</v>
      </c>
      <c r="E587" s="235" t="str">
        <f>VLOOKUP(D587,'Danh mục hàng hóa'!$C$3:$D$600,2,0)</f>
        <v>Trâm cài 10</v>
      </c>
      <c r="F587" s="236" t="str">
        <f>VLOOKUP(D587,'Danh mục hàng hóa'!$C$3:$E$613,3,0)</f>
        <v>cây</v>
      </c>
      <c r="G587" s="237">
        <v>10660</v>
      </c>
      <c r="H587" s="235"/>
      <c r="I587" s="237">
        <v>1</v>
      </c>
      <c r="J587" s="237">
        <f t="shared" si="41"/>
        <v>0</v>
      </c>
      <c r="K587" s="237">
        <f t="shared" si="35"/>
        <v>10660</v>
      </c>
      <c r="L587" s="235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</row>
    <row r="588" spans="1:30" ht="13.2">
      <c r="A588" s="240"/>
      <c r="B588" s="235" t="s">
        <v>337</v>
      </c>
      <c r="C588" s="243">
        <v>45325</v>
      </c>
      <c r="D588" s="235" t="s">
        <v>497</v>
      </c>
      <c r="E588" s="235" t="str">
        <f>VLOOKUP(D588,'Danh mục hàng hóa'!$C$3:$D$600,2,0)</f>
        <v>Trâm cài 08</v>
      </c>
      <c r="F588" s="236" t="str">
        <f>VLOOKUP(D588,'Danh mục hàng hóa'!$C$3:$E$613,3,0)</f>
        <v>cây</v>
      </c>
      <c r="G588" s="237">
        <v>50000</v>
      </c>
      <c r="H588" s="235"/>
      <c r="I588" s="237">
        <v>1</v>
      </c>
      <c r="J588" s="237">
        <f t="shared" si="41"/>
        <v>0</v>
      </c>
      <c r="K588" s="237">
        <f t="shared" si="35"/>
        <v>50000</v>
      </c>
      <c r="L588" s="235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</row>
    <row r="589" spans="1:30" ht="13.2">
      <c r="A589" s="240"/>
      <c r="B589" s="235" t="s">
        <v>337</v>
      </c>
      <c r="C589" s="243">
        <v>45339</v>
      </c>
      <c r="D589" s="235" t="s">
        <v>503</v>
      </c>
      <c r="E589" s="235" t="str">
        <f>VLOOKUP(D589,'Danh mục hàng hóa'!$C$3:$D$600,2,0)</f>
        <v>Trâm cài 11</v>
      </c>
      <c r="F589" s="236" t="str">
        <f>VLOOKUP(D589,'Danh mục hàng hóa'!$C$3:$E$613,3,0)</f>
        <v>cây</v>
      </c>
      <c r="G589" s="237">
        <v>35060</v>
      </c>
      <c r="H589" s="235"/>
      <c r="I589" s="237">
        <v>1</v>
      </c>
      <c r="J589" s="237">
        <f t="shared" si="41"/>
        <v>0</v>
      </c>
      <c r="K589" s="237">
        <f t="shared" si="35"/>
        <v>35060</v>
      </c>
      <c r="L589" s="235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</row>
    <row r="590" spans="1:30" ht="13.2">
      <c r="A590" s="240"/>
      <c r="B590" s="235" t="s">
        <v>337</v>
      </c>
      <c r="C590" s="243">
        <v>45339</v>
      </c>
      <c r="D590" s="235" t="s">
        <v>505</v>
      </c>
      <c r="E590" s="235" t="str">
        <f>VLOOKUP(D590,'Danh mục hàng hóa'!$C$3:$D$600,2,0)</f>
        <v>Trâm cài 12</v>
      </c>
      <c r="F590" s="236" t="str">
        <f>VLOOKUP(D590,'Danh mục hàng hóa'!$C$3:$E$613,3,0)</f>
        <v>cây</v>
      </c>
      <c r="G590" s="237">
        <v>30000</v>
      </c>
      <c r="H590" s="235"/>
      <c r="I590" s="237">
        <v>1</v>
      </c>
      <c r="J590" s="237">
        <f t="shared" si="41"/>
        <v>0</v>
      </c>
      <c r="K590" s="237">
        <f t="shared" si="35"/>
        <v>30000</v>
      </c>
      <c r="L590" s="235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</row>
    <row r="591" spans="1:30" ht="13.2">
      <c r="A591" s="240"/>
      <c r="B591" s="235" t="s">
        <v>337</v>
      </c>
      <c r="C591" s="243">
        <v>45340</v>
      </c>
      <c r="D591" s="235" t="s">
        <v>895</v>
      </c>
      <c r="E591" s="235" t="str">
        <f>VLOOKUP(D591,'Danh mục hàng hóa'!$C$3:$D$600,2,0)</f>
        <v>Thỏ chong chóng</v>
      </c>
      <c r="F591" s="236" t="str">
        <f>VLOOKUP(D591,'Danh mục hàng hóa'!$C$3:$E$613,3,0)</f>
        <v>cái</v>
      </c>
      <c r="G591" s="237">
        <v>47520</v>
      </c>
      <c r="H591" s="235"/>
      <c r="I591" s="237">
        <v>1</v>
      </c>
      <c r="J591" s="237">
        <f t="shared" si="41"/>
        <v>0</v>
      </c>
      <c r="K591" s="237">
        <f t="shared" si="35"/>
        <v>47520</v>
      </c>
      <c r="L591" s="235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</row>
    <row r="592" spans="1:30" ht="13.2">
      <c r="A592" s="240"/>
      <c r="B592" s="235" t="s">
        <v>337</v>
      </c>
      <c r="C592" s="243">
        <v>45341</v>
      </c>
      <c r="D592" s="235" t="s">
        <v>420</v>
      </c>
      <c r="E592" s="235" t="str">
        <f>VLOOKUP(D592,'Danh mục hàng hóa'!$C$3:$D$600,2,0)</f>
        <v>Túi chườm bụng thỏ dứa 500ml</v>
      </c>
      <c r="F592" s="236" t="str">
        <f>VLOOKUP(D592,'Danh mục hàng hóa'!$C$3:$E$613,3,0)</f>
        <v>túi</v>
      </c>
      <c r="G592" s="237">
        <v>72564</v>
      </c>
      <c r="H592" s="235"/>
      <c r="I592" s="237">
        <v>1</v>
      </c>
      <c r="J592" s="237">
        <f t="shared" si="41"/>
        <v>0</v>
      </c>
      <c r="K592" s="237">
        <f t="shared" si="35"/>
        <v>72564</v>
      </c>
      <c r="L592" s="235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</row>
    <row r="593" spans="1:30" ht="13.2">
      <c r="A593" s="240"/>
      <c r="B593" s="235" t="s">
        <v>337</v>
      </c>
      <c r="C593" s="243">
        <v>45341</v>
      </c>
      <c r="D593" s="235" t="s">
        <v>519</v>
      </c>
      <c r="E593" s="235" t="str">
        <f>VLOOKUP(D593,'Danh mục hàng hóa'!$C$3:$D$600,2,0)</f>
        <v>Trâm cài 19</v>
      </c>
      <c r="F593" s="236" t="str">
        <f>VLOOKUP(D593,'Danh mục hàng hóa'!$C$3:$E$613,3,0)</f>
        <v>cây</v>
      </c>
      <c r="G593" s="237">
        <v>35932</v>
      </c>
      <c r="H593" s="235"/>
      <c r="I593" s="237">
        <v>1</v>
      </c>
      <c r="J593" s="237">
        <f t="shared" si="41"/>
        <v>0</v>
      </c>
      <c r="K593" s="237">
        <f t="shared" si="35"/>
        <v>35932</v>
      </c>
      <c r="L593" s="235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</row>
    <row r="594" spans="1:30" ht="13.2">
      <c r="A594" s="240"/>
      <c r="B594" s="235" t="s">
        <v>337</v>
      </c>
      <c r="C594" s="243">
        <v>45342</v>
      </c>
      <c r="D594" s="235" t="s">
        <v>891</v>
      </c>
      <c r="E594" s="235" t="str">
        <f>VLOOKUP(D594,'Danh mục hàng hóa'!$C$3:$D$600,2,0)</f>
        <v>Heo ú</v>
      </c>
      <c r="F594" s="236" t="str">
        <f>VLOOKUP(D594,'Danh mục hàng hóa'!$C$3:$E$613,3,0)</f>
        <v>cái</v>
      </c>
      <c r="G594" s="237">
        <v>46860</v>
      </c>
      <c r="H594" s="235"/>
      <c r="I594" s="237">
        <v>1</v>
      </c>
      <c r="J594" s="237">
        <f t="shared" si="41"/>
        <v>0</v>
      </c>
      <c r="K594" s="237">
        <f t="shared" si="35"/>
        <v>46860</v>
      </c>
      <c r="L594" s="235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</row>
    <row r="595" spans="1:30" ht="13.2">
      <c r="A595" s="240"/>
      <c r="B595" s="235" t="s">
        <v>337</v>
      </c>
      <c r="C595" s="243">
        <v>45342</v>
      </c>
      <c r="D595" s="235" t="s">
        <v>977</v>
      </c>
      <c r="E595" s="235" t="str">
        <f>VLOOKUP(D595,'Danh mục hàng hóa'!$C$3:$D$600,2,0)</f>
        <v>Móc khóa đôi heo</v>
      </c>
      <c r="F595" s="236" t="str">
        <f>VLOOKUP(D595,'Danh mục hàng hóa'!$C$3:$E$613,3,0)</f>
        <v>cái</v>
      </c>
      <c r="G595" s="237">
        <v>45800</v>
      </c>
      <c r="H595" s="235"/>
      <c r="I595" s="237">
        <v>1</v>
      </c>
      <c r="J595" s="237">
        <f t="shared" si="41"/>
        <v>0</v>
      </c>
      <c r="K595" s="237">
        <f t="shared" si="35"/>
        <v>45800</v>
      </c>
      <c r="L595" s="235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</row>
    <row r="596" spans="1:30" ht="13.2">
      <c r="A596" s="240"/>
      <c r="B596" s="235" t="s">
        <v>337</v>
      </c>
      <c r="C596" s="243">
        <v>45343</v>
      </c>
      <c r="D596" s="235" t="s">
        <v>977</v>
      </c>
      <c r="E596" s="235" t="str">
        <f>VLOOKUP(D596,'Danh mục hàng hóa'!$C$3:$D$600,2,0)</f>
        <v>Móc khóa đôi heo</v>
      </c>
      <c r="F596" s="236" t="str">
        <f>VLOOKUP(D596,'Danh mục hàng hóa'!$C$3:$E$613,3,0)</f>
        <v>cái</v>
      </c>
      <c r="G596" s="237">
        <v>45260</v>
      </c>
      <c r="H596" s="235"/>
      <c r="I596" s="237">
        <v>1</v>
      </c>
      <c r="J596" s="237">
        <f t="shared" si="41"/>
        <v>0</v>
      </c>
      <c r="K596" s="237">
        <f t="shared" si="35"/>
        <v>45260</v>
      </c>
      <c r="L596" s="235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</row>
    <row r="597" spans="1:30" ht="13.2">
      <c r="A597" s="240"/>
      <c r="B597" s="235" t="s">
        <v>337</v>
      </c>
      <c r="C597" s="243">
        <v>45343</v>
      </c>
      <c r="D597" s="235" t="s">
        <v>891</v>
      </c>
      <c r="E597" s="235" t="str">
        <f>VLOOKUP(D597,'Danh mục hàng hóa'!$C$3:$D$600,2,0)</f>
        <v>Heo ú</v>
      </c>
      <c r="F597" s="236" t="str">
        <f>VLOOKUP(D597,'Danh mục hàng hóa'!$C$3:$E$613,3,0)</f>
        <v>cái</v>
      </c>
      <c r="G597" s="237">
        <v>42000</v>
      </c>
      <c r="H597" s="235"/>
      <c r="I597" s="237">
        <v>1</v>
      </c>
      <c r="J597" s="237">
        <f t="shared" si="41"/>
        <v>0</v>
      </c>
      <c r="K597" s="237">
        <f t="shared" si="35"/>
        <v>42000</v>
      </c>
      <c r="L597" s="235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</row>
    <row r="598" spans="1:30" ht="13.2">
      <c r="A598" s="240"/>
      <c r="B598" s="235" t="s">
        <v>337</v>
      </c>
      <c r="C598" s="243">
        <v>45343</v>
      </c>
      <c r="D598" s="235" t="s">
        <v>977</v>
      </c>
      <c r="E598" s="235" t="str">
        <f>VLOOKUP(D598,'Danh mục hàng hóa'!$C$3:$D$600,2,0)</f>
        <v>Móc khóa đôi heo</v>
      </c>
      <c r="F598" s="236" t="str">
        <f>VLOOKUP(D598,'Danh mục hàng hóa'!$C$3:$E$613,3,0)</f>
        <v>cái</v>
      </c>
      <c r="G598" s="237">
        <v>43000</v>
      </c>
      <c r="H598" s="235"/>
      <c r="I598" s="237">
        <v>1</v>
      </c>
      <c r="J598" s="237">
        <f t="shared" si="41"/>
        <v>0</v>
      </c>
      <c r="K598" s="237">
        <f t="shared" si="35"/>
        <v>43000</v>
      </c>
      <c r="L598" s="235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</row>
    <row r="599" spans="1:30" ht="13.2">
      <c r="A599" s="240"/>
      <c r="B599" s="235" t="s">
        <v>337</v>
      </c>
      <c r="C599" s="243">
        <v>45343</v>
      </c>
      <c r="D599" s="235" t="s">
        <v>517</v>
      </c>
      <c r="E599" s="235" t="str">
        <f>VLOOKUP(D599,'Danh mục hàng hóa'!$C$3:$D$600,2,0)</f>
        <v>Trâm cài 18</v>
      </c>
      <c r="F599" s="236" t="str">
        <f>VLOOKUP(D599,'Danh mục hàng hóa'!$C$3:$E$613,3,0)</f>
        <v>cây</v>
      </c>
      <c r="G599" s="237">
        <v>28000</v>
      </c>
      <c r="H599" s="235"/>
      <c r="I599" s="237">
        <v>1</v>
      </c>
      <c r="J599" s="237">
        <f t="shared" si="41"/>
        <v>0</v>
      </c>
      <c r="K599" s="237">
        <f t="shared" si="35"/>
        <v>28000</v>
      </c>
      <c r="L599" s="235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</row>
    <row r="600" spans="1:30" ht="13.2">
      <c r="A600" s="240"/>
      <c r="B600" s="235" t="s">
        <v>337</v>
      </c>
      <c r="C600" s="243">
        <v>45343</v>
      </c>
      <c r="D600" s="235" t="s">
        <v>505</v>
      </c>
      <c r="E600" s="235" t="str">
        <f>VLOOKUP(D600,'Danh mục hàng hóa'!$C$3:$D$600,2,0)</f>
        <v>Trâm cài 12</v>
      </c>
      <c r="F600" s="236" t="str">
        <f>VLOOKUP(D600,'Danh mục hàng hóa'!$C$3:$E$613,3,0)</f>
        <v>cây</v>
      </c>
      <c r="G600" s="237">
        <f>138644-SUM(G597:G599)</f>
        <v>25644</v>
      </c>
      <c r="H600" s="235"/>
      <c r="I600" s="237">
        <v>1</v>
      </c>
      <c r="J600" s="237">
        <f t="shared" si="41"/>
        <v>0</v>
      </c>
      <c r="K600" s="237">
        <f t="shared" si="35"/>
        <v>25644</v>
      </c>
      <c r="L600" s="235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</row>
    <row r="601" spans="1:30" ht="13.2">
      <c r="A601" s="240"/>
      <c r="B601" s="235" t="s">
        <v>337</v>
      </c>
      <c r="C601" s="243">
        <v>45343</v>
      </c>
      <c r="D601" s="235" t="s">
        <v>392</v>
      </c>
      <c r="E601" s="235" t="str">
        <f>VLOOKUP(D601,'Danh mục hàng hóa'!$C$3:$D$600,2,0)</f>
        <v>Túi chườm bụng trái bơ 1000ml</v>
      </c>
      <c r="F601" s="236" t="str">
        <f>VLOOKUP(D601,'Danh mục hàng hóa'!$C$3:$E$613,3,0)</f>
        <v>túi</v>
      </c>
      <c r="G601" s="237">
        <v>85812</v>
      </c>
      <c r="H601" s="235"/>
      <c r="I601" s="237">
        <v>1</v>
      </c>
      <c r="J601" s="237">
        <f t="shared" si="41"/>
        <v>0</v>
      </c>
      <c r="K601" s="237">
        <f t="shared" si="35"/>
        <v>85812</v>
      </c>
      <c r="L601" s="235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</row>
    <row r="602" spans="1:30" ht="13.2">
      <c r="A602" s="240"/>
      <c r="B602" s="235" t="s">
        <v>337</v>
      </c>
      <c r="C602" s="243">
        <v>45345</v>
      </c>
      <c r="D602" s="235" t="s">
        <v>917</v>
      </c>
      <c r="E602" s="235" t="str">
        <f>VLOOKUP(D602,'Danh mục hàng hóa'!$C$3:$D$600,2,0)</f>
        <v>Thỏ đi vịt gắn xe</v>
      </c>
      <c r="F602" s="236" t="str">
        <f>VLOOKUP(D602,'Danh mục hàng hóa'!$C$3:$E$613,3,0)</f>
        <v>cái</v>
      </c>
      <c r="G602" s="237">
        <v>32682</v>
      </c>
      <c r="H602" s="235"/>
      <c r="I602" s="237">
        <v>1</v>
      </c>
      <c r="J602" s="237">
        <f t="shared" si="41"/>
        <v>0</v>
      </c>
      <c r="K602" s="237">
        <f t="shared" si="35"/>
        <v>32682</v>
      </c>
      <c r="L602" s="235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</row>
    <row r="603" spans="1:30" ht="13.2">
      <c r="A603" s="240"/>
      <c r="B603" s="235" t="s">
        <v>337</v>
      </c>
      <c r="C603" s="243">
        <v>45346</v>
      </c>
      <c r="D603" s="235" t="s">
        <v>493</v>
      </c>
      <c r="E603" s="235" t="str">
        <f>VLOOKUP(D603,'Danh mục hàng hóa'!$C$3:$D$600,2,0)</f>
        <v>Trâm cài 06</v>
      </c>
      <c r="F603" s="236" t="str">
        <f>VLOOKUP(D603,'Danh mục hàng hóa'!$C$3:$E$613,3,0)</f>
        <v>cây</v>
      </c>
      <c r="G603" s="237">
        <v>13120</v>
      </c>
      <c r="H603" s="235"/>
      <c r="I603" s="237">
        <v>1</v>
      </c>
      <c r="J603" s="235"/>
      <c r="K603" s="237">
        <f t="shared" si="35"/>
        <v>13120</v>
      </c>
      <c r="L603" s="235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</row>
    <row r="604" spans="1:30" ht="13.2">
      <c r="A604" s="240"/>
      <c r="B604" s="235" t="s">
        <v>337</v>
      </c>
      <c r="C604" s="243">
        <v>45346</v>
      </c>
      <c r="D604" s="235" t="s">
        <v>495</v>
      </c>
      <c r="E604" s="235" t="str">
        <f>VLOOKUP(D604,'Danh mục hàng hóa'!$C$3:$D$600,2,0)</f>
        <v>Trâm cài 07</v>
      </c>
      <c r="F604" s="236" t="str">
        <f>VLOOKUP(D604,'Danh mục hàng hóa'!$C$3:$E$613,3,0)</f>
        <v>cây</v>
      </c>
      <c r="G604" s="237">
        <v>20000</v>
      </c>
      <c r="H604" s="235"/>
      <c r="I604" s="237">
        <v>1</v>
      </c>
      <c r="J604" s="235"/>
      <c r="K604" s="237">
        <f t="shared" si="35"/>
        <v>20000</v>
      </c>
      <c r="L604" s="235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</row>
    <row r="605" spans="1:30" ht="13.2">
      <c r="A605" s="240"/>
      <c r="B605" s="235" t="s">
        <v>337</v>
      </c>
      <c r="C605" s="243">
        <v>45347</v>
      </c>
      <c r="D605" s="235" t="s">
        <v>887</v>
      </c>
      <c r="E605" s="235" t="str">
        <f>VLOOKUP(D605,'Danh mục hàng hóa'!$C$3:$D$600,2,0)</f>
        <v>Mèo chong chóng</v>
      </c>
      <c r="F605" s="236" t="str">
        <f>VLOOKUP(D605,'Danh mục hàng hóa'!$C$3:$E$613,3,0)</f>
        <v>cái</v>
      </c>
      <c r="G605" s="237">
        <v>47460</v>
      </c>
      <c r="H605" s="235"/>
      <c r="I605" s="237">
        <v>1</v>
      </c>
      <c r="J605" s="235"/>
      <c r="K605" s="237">
        <f t="shared" si="35"/>
        <v>47460</v>
      </c>
      <c r="L605" s="235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</row>
    <row r="606" spans="1:30" ht="13.2">
      <c r="A606" s="240"/>
      <c r="B606" s="235" t="s">
        <v>337</v>
      </c>
      <c r="C606" s="243">
        <v>45347</v>
      </c>
      <c r="D606" s="235" t="s">
        <v>509</v>
      </c>
      <c r="E606" s="235" t="str">
        <f>VLOOKUP(D606,'Danh mục hàng hóa'!$C$3:$D$600,2,0)</f>
        <v>Trâm cài 14</v>
      </c>
      <c r="F606" s="236" t="str">
        <f>VLOOKUP(D606,'Danh mục hàng hóa'!$C$3:$E$613,3,0)</f>
        <v>cây</v>
      </c>
      <c r="G606" s="237">
        <v>30000</v>
      </c>
      <c r="H606" s="235"/>
      <c r="I606" s="237">
        <v>1</v>
      </c>
      <c r="J606" s="235"/>
      <c r="K606" s="237">
        <f t="shared" si="35"/>
        <v>30000</v>
      </c>
      <c r="L606" s="235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</row>
    <row r="607" spans="1:30" ht="13.2">
      <c r="A607" s="240"/>
      <c r="B607" s="235" t="s">
        <v>337</v>
      </c>
      <c r="C607" s="243">
        <v>45347</v>
      </c>
      <c r="D607" s="235" t="s">
        <v>515</v>
      </c>
      <c r="E607" s="235" t="str">
        <f>VLOOKUP(D607,'Danh mục hàng hóa'!$C$3:$D$600,2,0)</f>
        <v>Trâm cài 17</v>
      </c>
      <c r="F607" s="236" t="str">
        <f>VLOOKUP(D607,'Danh mục hàng hóa'!$C$3:$E$613,3,0)</f>
        <v>cây</v>
      </c>
      <c r="G607" s="237">
        <v>42012</v>
      </c>
      <c r="H607" s="235"/>
      <c r="I607" s="237">
        <v>1</v>
      </c>
      <c r="J607" s="235"/>
      <c r="K607" s="237">
        <f t="shared" si="35"/>
        <v>42012</v>
      </c>
      <c r="L607" s="235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</row>
    <row r="608" spans="1:30" ht="13.2">
      <c r="A608" s="240"/>
      <c r="B608" s="235" t="s">
        <v>337</v>
      </c>
      <c r="C608" s="243">
        <v>45347</v>
      </c>
      <c r="D608" s="235" t="s">
        <v>2147</v>
      </c>
      <c r="E608" s="235" t="e">
        <f>VLOOKUP(D608,'Danh mục hàng hóa'!$C$3:$D$600,2,0)</f>
        <v>#N/A</v>
      </c>
      <c r="F608" s="236" t="e">
        <f>VLOOKUP(D608,'Danh mục hàng hóa'!$C$3:$E$613,3,0)</f>
        <v>#N/A</v>
      </c>
      <c r="G608" s="237">
        <v>30000</v>
      </c>
      <c r="H608" s="235"/>
      <c r="I608" s="237">
        <v>1</v>
      </c>
      <c r="J608" s="235"/>
      <c r="K608" s="237">
        <f t="shared" si="35"/>
        <v>30000</v>
      </c>
      <c r="L608" s="235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</row>
    <row r="609" spans="1:30" ht="13.2">
      <c r="A609" s="240"/>
      <c r="B609" s="235" t="s">
        <v>337</v>
      </c>
      <c r="C609" s="243">
        <v>45347</v>
      </c>
      <c r="D609" s="235" t="s">
        <v>977</v>
      </c>
      <c r="E609" s="235" t="str">
        <f>VLOOKUP(D609,'Danh mục hàng hóa'!$C$3:$D$600,2,0)</f>
        <v>Móc khóa đôi heo</v>
      </c>
      <c r="F609" s="236" t="str">
        <f>VLOOKUP(D609,'Danh mục hàng hóa'!$C$3:$E$613,3,0)</f>
        <v>cái</v>
      </c>
      <c r="G609" s="237">
        <v>45000</v>
      </c>
      <c r="H609" s="235"/>
      <c r="I609" s="237">
        <v>1</v>
      </c>
      <c r="J609" s="235"/>
      <c r="K609" s="237">
        <f t="shared" si="35"/>
        <v>45000</v>
      </c>
      <c r="L609" s="235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</row>
    <row r="610" spans="1:30" ht="13.2">
      <c r="A610" s="240"/>
      <c r="B610" s="235" t="s">
        <v>337</v>
      </c>
      <c r="C610" s="243">
        <v>45347</v>
      </c>
      <c r="D610" s="235" t="s">
        <v>1056</v>
      </c>
      <c r="E610" s="235" t="str">
        <f>VLOOKUP(D610,'Danh mục hàng hóa'!$C$3:$D$600,2,0)</f>
        <v>Vớ cổ ngắn họa tiết hoa thỏ be</v>
      </c>
      <c r="F610" s="236" t="str">
        <f>VLOOKUP(D610,'Danh mục hàng hóa'!$C$3:$E$613,3,0)</f>
        <v>đôi</v>
      </c>
      <c r="G610" s="237">
        <v>8000</v>
      </c>
      <c r="H610" s="235"/>
      <c r="I610" s="237">
        <v>1</v>
      </c>
      <c r="J610" s="235"/>
      <c r="K610" s="237">
        <f t="shared" si="35"/>
        <v>8000</v>
      </c>
      <c r="L610" s="235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</row>
    <row r="611" spans="1:30" ht="13.2">
      <c r="A611" s="240"/>
      <c r="B611" s="235" t="s">
        <v>337</v>
      </c>
      <c r="C611" s="243">
        <v>45347</v>
      </c>
      <c r="D611" s="235" t="s">
        <v>1060</v>
      </c>
      <c r="E611" s="235" t="str">
        <f>VLOOKUP(D611,'Danh mục hàng hóa'!$C$3:$D$600,2,0)</f>
        <v>Vớ cổ ngắn họa tiết hoa thỏ kem</v>
      </c>
      <c r="F611" s="236" t="str">
        <f>VLOOKUP(D611,'Danh mục hàng hóa'!$C$3:$E$613,3,0)</f>
        <v>đôi</v>
      </c>
      <c r="G611" s="237">
        <v>8000</v>
      </c>
      <c r="H611" s="235"/>
      <c r="I611" s="237">
        <v>1</v>
      </c>
      <c r="J611" s="235"/>
      <c r="K611" s="237">
        <f t="shared" si="35"/>
        <v>8000</v>
      </c>
      <c r="L611" s="235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</row>
    <row r="612" spans="1:30" ht="13.2">
      <c r="A612" s="240"/>
      <c r="B612" s="235" t="s">
        <v>337</v>
      </c>
      <c r="C612" s="243">
        <v>45347</v>
      </c>
      <c r="D612" s="235" t="s">
        <v>1052</v>
      </c>
      <c r="E612" s="235" t="str">
        <f>VLOOKUP(D612,'Danh mục hàng hóa'!$C$3:$D$600,2,0)</f>
        <v>Vớ cổ ngắn set xanh bơ 4</v>
      </c>
      <c r="F612" s="236" t="str">
        <f>VLOOKUP(D612,'Danh mục hàng hóa'!$C$3:$E$613,3,0)</f>
        <v>đôi</v>
      </c>
      <c r="G612" s="237">
        <f>97707-30000-45000-16000</f>
        <v>6707</v>
      </c>
      <c r="H612" s="235"/>
      <c r="I612" s="237">
        <v>1</v>
      </c>
      <c r="J612" s="235"/>
      <c r="K612" s="237">
        <f t="shared" si="35"/>
        <v>6707</v>
      </c>
      <c r="L612" s="235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</row>
    <row r="613" spans="1:30" ht="13.2">
      <c r="A613" s="240"/>
      <c r="B613" s="235" t="s">
        <v>337</v>
      </c>
      <c r="C613" s="243">
        <v>45347</v>
      </c>
      <c r="D613" s="235" t="s">
        <v>1054</v>
      </c>
      <c r="E613" s="235" t="str">
        <f>VLOOKUP(D613,'Danh mục hàng hóa'!$C$3:$D$600,2,0)</f>
        <v>Vớ cổ ngắn set xanh bơ 5</v>
      </c>
      <c r="F613" s="236" t="str">
        <f>VLOOKUP(D613,'Danh mục hàng hóa'!$C$3:$E$613,3,0)</f>
        <v>đôi</v>
      </c>
      <c r="G613" s="237">
        <v>0</v>
      </c>
      <c r="H613" s="235"/>
      <c r="I613" s="237">
        <v>1</v>
      </c>
      <c r="J613" s="235"/>
      <c r="K613" s="237">
        <f t="shared" si="35"/>
        <v>0</v>
      </c>
      <c r="L613" s="235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</row>
    <row r="614" spans="1:30" ht="13.2">
      <c r="A614" s="240"/>
      <c r="B614" s="235" t="s">
        <v>337</v>
      </c>
      <c r="C614" s="243">
        <v>45348</v>
      </c>
      <c r="D614" s="235" t="s">
        <v>891</v>
      </c>
      <c r="E614" s="235" t="str">
        <f>VLOOKUP(D614,'Danh mục hàng hóa'!$C$3:$D$600,2,0)</f>
        <v>Heo ú</v>
      </c>
      <c r="F614" s="236" t="str">
        <f>VLOOKUP(D614,'Danh mục hàng hóa'!$C$3:$E$613,3,0)</f>
        <v>cái</v>
      </c>
      <c r="G614" s="237">
        <v>47360</v>
      </c>
      <c r="H614" s="235"/>
      <c r="I614" s="237">
        <v>1</v>
      </c>
      <c r="J614" s="235"/>
      <c r="K614" s="237">
        <f t="shared" si="35"/>
        <v>47360</v>
      </c>
      <c r="L614" s="235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</row>
    <row r="615" spans="1:30" ht="13.2">
      <c r="A615" s="240"/>
      <c r="B615" s="235" t="s">
        <v>337</v>
      </c>
      <c r="C615" s="243">
        <v>45348</v>
      </c>
      <c r="D615" s="235" t="s">
        <v>907</v>
      </c>
      <c r="E615" s="235" t="str">
        <f>VLOOKUP(D615,'Danh mục hàng hóa'!$C$3:$D$600,2,0)</f>
        <v>Cáo gắn xe</v>
      </c>
      <c r="F615" s="236" t="str">
        <f>VLOOKUP(D615,'Danh mục hàng hóa'!$C$3:$E$613,3,0)</f>
        <v>cái</v>
      </c>
      <c r="G615" s="237">
        <v>32902</v>
      </c>
      <c r="H615" s="235"/>
      <c r="I615" s="237">
        <v>1</v>
      </c>
      <c r="J615" s="235"/>
      <c r="K615" s="237">
        <f t="shared" si="35"/>
        <v>32902</v>
      </c>
      <c r="L615" s="235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</row>
    <row r="616" spans="1:30" ht="13.2">
      <c r="A616" s="240"/>
      <c r="B616" s="235" t="s">
        <v>337</v>
      </c>
      <c r="C616" s="243">
        <v>45348</v>
      </c>
      <c r="D616" s="235" t="s">
        <v>977</v>
      </c>
      <c r="E616" s="235" t="str">
        <f>VLOOKUP(D616,'Danh mục hàng hóa'!$C$3:$D$600,2,0)</f>
        <v>Móc khóa đôi heo</v>
      </c>
      <c r="F616" s="236" t="str">
        <f>VLOOKUP(D616,'Danh mục hàng hóa'!$C$3:$E$613,3,0)</f>
        <v>cái</v>
      </c>
      <c r="G616" s="237">
        <v>41020</v>
      </c>
      <c r="H616" s="235"/>
      <c r="I616" s="237">
        <v>1</v>
      </c>
      <c r="J616" s="235"/>
      <c r="K616" s="237">
        <f t="shared" si="35"/>
        <v>41020</v>
      </c>
      <c r="L616" s="235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</row>
    <row r="617" spans="1:30" ht="13.2">
      <c r="A617" s="240"/>
      <c r="B617" s="235" t="s">
        <v>337</v>
      </c>
      <c r="C617" s="243">
        <v>45349</v>
      </c>
      <c r="D617" s="235" t="s">
        <v>977</v>
      </c>
      <c r="E617" s="235" t="str">
        <f>VLOOKUP(D617,'Danh mục hàng hóa'!$C$3:$D$600,2,0)</f>
        <v>Móc khóa đôi heo</v>
      </c>
      <c r="F617" s="236" t="str">
        <f>VLOOKUP(D617,'Danh mục hàng hóa'!$C$3:$E$613,3,0)</f>
        <v>cái</v>
      </c>
      <c r="G617" s="237">
        <v>45000</v>
      </c>
      <c r="H617" s="235"/>
      <c r="I617" s="237">
        <v>1</v>
      </c>
      <c r="J617" s="235"/>
      <c r="K617" s="237">
        <f t="shared" si="35"/>
        <v>45000</v>
      </c>
      <c r="L617" s="235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</row>
    <row r="618" spans="1:30" ht="13.2">
      <c r="A618" s="240"/>
      <c r="B618" s="235" t="s">
        <v>337</v>
      </c>
      <c r="C618" s="243">
        <v>45349</v>
      </c>
      <c r="D618" s="235" t="s">
        <v>545</v>
      </c>
      <c r="E618" s="235" t="str">
        <f>VLOOKUP(D618,'Danh mục hàng hóa'!$C$3:$D$600,2,0)</f>
        <v>Kẹp tóc kim loại ngôi sao</v>
      </c>
      <c r="F618" s="236" t="str">
        <f>VLOOKUP(D618,'Danh mục hàng hóa'!$C$3:$E$613,3,0)</f>
        <v>cái</v>
      </c>
      <c r="G618" s="237">
        <v>8380</v>
      </c>
      <c r="H618" s="235"/>
      <c r="I618" s="237">
        <v>1</v>
      </c>
      <c r="J618" s="235"/>
      <c r="K618" s="237">
        <f t="shared" si="35"/>
        <v>8380</v>
      </c>
      <c r="L618" s="235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</row>
    <row r="619" spans="1:30" ht="13.2">
      <c r="A619" s="240"/>
      <c r="B619" s="235" t="s">
        <v>337</v>
      </c>
      <c r="C619" s="243">
        <v>45349</v>
      </c>
      <c r="D619" s="235" t="s">
        <v>493</v>
      </c>
      <c r="E619" s="235" t="str">
        <f>VLOOKUP(D619,'Danh mục hàng hóa'!$C$3:$D$600,2,0)</f>
        <v>Trâm cài 06</v>
      </c>
      <c r="F619" s="236" t="str">
        <f>VLOOKUP(D619,'Danh mục hàng hóa'!$C$3:$E$613,3,0)</f>
        <v>cây</v>
      </c>
      <c r="G619" s="237">
        <v>20000</v>
      </c>
      <c r="H619" s="235"/>
      <c r="I619" s="237">
        <v>1</v>
      </c>
      <c r="J619" s="235"/>
      <c r="K619" s="237">
        <f t="shared" si="35"/>
        <v>20000</v>
      </c>
      <c r="L619" s="235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</row>
    <row r="620" spans="1:30" ht="13.2">
      <c r="A620" s="240"/>
      <c r="B620" s="235" t="s">
        <v>337</v>
      </c>
      <c r="C620" s="243">
        <v>45349</v>
      </c>
      <c r="D620" s="235" t="s">
        <v>517</v>
      </c>
      <c r="E620" s="235" t="str">
        <f>VLOOKUP(D620,'Danh mục hàng hóa'!$C$3:$D$600,2,0)</f>
        <v>Trâm cài 18</v>
      </c>
      <c r="F620" s="236" t="str">
        <f>VLOOKUP(D620,'Danh mục hàng hóa'!$C$3:$E$613,3,0)</f>
        <v>cây</v>
      </c>
      <c r="G620" s="237">
        <v>26212</v>
      </c>
      <c r="H620" s="235"/>
      <c r="I620" s="237">
        <v>1</v>
      </c>
      <c r="J620" s="235"/>
      <c r="K620" s="237">
        <f t="shared" si="35"/>
        <v>26212</v>
      </c>
      <c r="L620" s="235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</row>
    <row r="621" spans="1:30" ht="13.2">
      <c r="A621" s="240"/>
      <c r="B621" s="235" t="s">
        <v>337</v>
      </c>
      <c r="C621" s="243">
        <v>45349</v>
      </c>
      <c r="D621" s="235" t="s">
        <v>907</v>
      </c>
      <c r="E621" s="235" t="str">
        <f>VLOOKUP(D621,'Danh mục hàng hóa'!$C$3:$D$600,2,0)</f>
        <v>Cáo gắn xe</v>
      </c>
      <c r="F621" s="236" t="str">
        <f>VLOOKUP(D621,'Danh mục hàng hóa'!$C$3:$E$613,3,0)</f>
        <v>cái</v>
      </c>
      <c r="G621" s="237">
        <f t="shared" ref="G621:G625" si="42">157765/5</f>
        <v>31553</v>
      </c>
      <c r="H621" s="235"/>
      <c r="I621" s="237">
        <v>1</v>
      </c>
      <c r="J621" s="235"/>
      <c r="K621" s="237">
        <f t="shared" si="35"/>
        <v>31553</v>
      </c>
      <c r="L621" s="235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</row>
    <row r="622" spans="1:30" ht="13.2">
      <c r="A622" s="240"/>
      <c r="B622" s="235" t="s">
        <v>337</v>
      </c>
      <c r="C622" s="243">
        <v>45349</v>
      </c>
      <c r="D622" s="235" t="s">
        <v>909</v>
      </c>
      <c r="E622" s="235" t="str">
        <f>VLOOKUP(D622,'Danh mục hàng hóa'!$C$3:$D$600,2,0)</f>
        <v>Gấu trúc gắn xe</v>
      </c>
      <c r="F622" s="236" t="str">
        <f>VLOOKUP(D622,'Danh mục hàng hóa'!$C$3:$E$613,3,0)</f>
        <v>cái</v>
      </c>
      <c r="G622" s="237">
        <f t="shared" si="42"/>
        <v>31553</v>
      </c>
      <c r="H622" s="235"/>
      <c r="I622" s="237">
        <v>1</v>
      </c>
      <c r="J622" s="235"/>
      <c r="K622" s="237">
        <f t="shared" si="35"/>
        <v>31553</v>
      </c>
      <c r="L622" s="235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</row>
    <row r="623" spans="1:30" ht="13.2">
      <c r="A623" s="240"/>
      <c r="B623" s="235" t="s">
        <v>337</v>
      </c>
      <c r="C623" s="243">
        <v>45349</v>
      </c>
      <c r="D623" s="235" t="s">
        <v>911</v>
      </c>
      <c r="E623" s="235" t="str">
        <f>VLOOKUP(D623,'Danh mục hàng hóa'!$C$3:$D$600,2,0)</f>
        <v>Gấu nâu gắn xe</v>
      </c>
      <c r="F623" s="236" t="str">
        <f>VLOOKUP(D623,'Danh mục hàng hóa'!$C$3:$E$613,3,0)</f>
        <v>cái</v>
      </c>
      <c r="G623" s="237">
        <f t="shared" si="42"/>
        <v>31553</v>
      </c>
      <c r="H623" s="235"/>
      <c r="I623" s="237">
        <v>1</v>
      </c>
      <c r="J623" s="235"/>
      <c r="K623" s="237">
        <f t="shared" si="35"/>
        <v>31553</v>
      </c>
      <c r="L623" s="235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</row>
    <row r="624" spans="1:30" ht="13.2">
      <c r="A624" s="240"/>
      <c r="B624" s="235" t="s">
        <v>337</v>
      </c>
      <c r="C624" s="243">
        <v>45349</v>
      </c>
      <c r="D624" s="235" t="s">
        <v>2147</v>
      </c>
      <c r="E624" s="235" t="e">
        <f>VLOOKUP(D624,'Danh mục hàng hóa'!$C$3:$D$600,2,0)</f>
        <v>#N/A</v>
      </c>
      <c r="F624" s="236" t="e">
        <f>VLOOKUP(D624,'Danh mục hàng hóa'!$C$3:$E$613,3,0)</f>
        <v>#N/A</v>
      </c>
      <c r="G624" s="237">
        <f t="shared" si="42"/>
        <v>31553</v>
      </c>
      <c r="H624" s="235"/>
      <c r="I624" s="237">
        <v>1</v>
      </c>
      <c r="J624" s="235"/>
      <c r="K624" s="237">
        <f t="shared" si="35"/>
        <v>31553</v>
      </c>
      <c r="L624" s="235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</row>
    <row r="625" spans="1:30" ht="13.2">
      <c r="A625" s="240"/>
      <c r="B625" s="235" t="s">
        <v>337</v>
      </c>
      <c r="C625" s="243">
        <v>45349</v>
      </c>
      <c r="D625" s="235" t="s">
        <v>913</v>
      </c>
      <c r="E625" s="235" t="str">
        <f>VLOOKUP(D625,'Danh mục hàng hóa'!$C$3:$D$600,2,0)</f>
        <v>Thỏ máy bay gắn xe</v>
      </c>
      <c r="F625" s="236" t="str">
        <f>VLOOKUP(D625,'Danh mục hàng hóa'!$C$3:$E$613,3,0)</f>
        <v>cái</v>
      </c>
      <c r="G625" s="237">
        <f t="shared" si="42"/>
        <v>31553</v>
      </c>
      <c r="H625" s="235"/>
      <c r="I625" s="237">
        <v>1</v>
      </c>
      <c r="J625" s="235"/>
      <c r="K625" s="237">
        <f t="shared" si="35"/>
        <v>31553</v>
      </c>
      <c r="L625" s="235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</row>
    <row r="626" spans="1:30" ht="13.2">
      <c r="A626" s="240"/>
      <c r="B626" s="235" t="s">
        <v>337</v>
      </c>
      <c r="C626" s="243">
        <v>45349</v>
      </c>
      <c r="D626" s="235" t="s">
        <v>703</v>
      </c>
      <c r="E626" s="235" t="str">
        <f>VLOOKUP(D626,'Danh mục hàng hóa'!$C$3:$D$600,2,0)</f>
        <v>Buộc tóc hồng vải xù</v>
      </c>
      <c r="F626" s="236" t="str">
        <f>VLOOKUP(D626,'Danh mục hàng hóa'!$C$3:$E$613,3,0)</f>
        <v>cái</v>
      </c>
      <c r="G626" s="237">
        <v>10600</v>
      </c>
      <c r="H626" s="235"/>
      <c r="I626" s="237">
        <v>1</v>
      </c>
      <c r="J626" s="235"/>
      <c r="K626" s="237">
        <f t="shared" si="35"/>
        <v>10600</v>
      </c>
      <c r="L626" s="235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</row>
    <row r="627" spans="1:30" ht="13.2">
      <c r="A627" s="240"/>
      <c r="B627" s="235" t="s">
        <v>337</v>
      </c>
      <c r="C627" s="243">
        <v>45350</v>
      </c>
      <c r="D627" s="235" t="s">
        <v>977</v>
      </c>
      <c r="E627" s="235" t="str">
        <f>VLOOKUP(D627,'Danh mục hàng hóa'!$C$3:$D$600,2,0)</f>
        <v>Móc khóa đôi heo</v>
      </c>
      <c r="F627" s="236" t="str">
        <f>VLOOKUP(D627,'Danh mục hàng hóa'!$C$3:$E$613,3,0)</f>
        <v>cái</v>
      </c>
      <c r="G627" s="237">
        <v>45260</v>
      </c>
      <c r="H627" s="235"/>
      <c r="I627" s="237">
        <v>1</v>
      </c>
      <c r="J627" s="235"/>
      <c r="K627" s="237">
        <f t="shared" si="35"/>
        <v>45260</v>
      </c>
      <c r="L627" s="235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</row>
    <row r="628" spans="1:30" ht="13.2">
      <c r="A628" s="240"/>
      <c r="B628" s="235" t="s">
        <v>337</v>
      </c>
      <c r="C628" s="243">
        <v>45350</v>
      </c>
      <c r="D628" s="235" t="s">
        <v>895</v>
      </c>
      <c r="E628" s="235" t="str">
        <f>VLOOKUP(D628,'Danh mục hàng hóa'!$C$3:$D$600,2,0)</f>
        <v>Thỏ chong chóng</v>
      </c>
      <c r="F628" s="236" t="str">
        <f>VLOOKUP(D628,'Danh mục hàng hóa'!$C$3:$E$613,3,0)</f>
        <v>cái</v>
      </c>
      <c r="G628" s="237">
        <v>47460</v>
      </c>
      <c r="H628" s="235"/>
      <c r="I628" s="237">
        <v>1</v>
      </c>
      <c r="J628" s="235"/>
      <c r="K628" s="237">
        <f t="shared" si="35"/>
        <v>47460</v>
      </c>
      <c r="L628" s="235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</row>
    <row r="629" spans="1:30" ht="13.2">
      <c r="A629" s="240"/>
      <c r="B629" s="235" t="s">
        <v>337</v>
      </c>
      <c r="C629" s="243">
        <v>45350</v>
      </c>
      <c r="D629" s="235" t="s">
        <v>983</v>
      </c>
      <c r="E629" s="235" t="str">
        <f>VLOOKUP(D629,'Danh mục hàng hóa'!$C$3:$D$600,2,0)</f>
        <v>Móc khoá đôi thỏ</v>
      </c>
      <c r="F629" s="236" t="str">
        <f>VLOOKUP(D629,'Danh mục hàng hóa'!$C$3:$E$613,3,0)</f>
        <v>cái</v>
      </c>
      <c r="G629" s="237">
        <v>45000</v>
      </c>
      <c r="H629" s="235"/>
      <c r="I629" s="237">
        <v>1</v>
      </c>
      <c r="J629" s="235"/>
      <c r="K629" s="237">
        <f t="shared" si="35"/>
        <v>45000</v>
      </c>
      <c r="L629" s="235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</row>
    <row r="630" spans="1:30" ht="13.2">
      <c r="A630" s="240"/>
      <c r="B630" s="235" t="s">
        <v>337</v>
      </c>
      <c r="C630" s="243">
        <v>45350</v>
      </c>
      <c r="D630" s="235" t="s">
        <v>885</v>
      </c>
      <c r="E630" s="235" t="str">
        <f>VLOOKUP(D630,'Danh mục hàng hóa'!$C$3:$D$600,2,0)</f>
        <v>Gấu chong chóng</v>
      </c>
      <c r="F630" s="236" t="str">
        <f>VLOOKUP(D630,'Danh mục hàng hóa'!$C$3:$E$613,3,0)</f>
        <v>cái</v>
      </c>
      <c r="G630" s="237">
        <f>93280-45000</f>
        <v>48280</v>
      </c>
      <c r="H630" s="235"/>
      <c r="I630" s="237">
        <v>1</v>
      </c>
      <c r="J630" s="235"/>
      <c r="K630" s="237">
        <f t="shared" si="35"/>
        <v>48280</v>
      </c>
      <c r="L630" s="235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</row>
    <row r="631" spans="1:30" ht="13.2">
      <c r="A631" s="240"/>
      <c r="B631" s="235" t="s">
        <v>337</v>
      </c>
      <c r="C631" s="243">
        <v>45350</v>
      </c>
      <c r="D631" s="235" t="s">
        <v>887</v>
      </c>
      <c r="E631" s="235" t="str">
        <f>VLOOKUP(D631,'Danh mục hàng hóa'!$C$3:$D$600,2,0)</f>
        <v>Mèo chong chóng</v>
      </c>
      <c r="F631" s="236" t="str">
        <f>VLOOKUP(D631,'Danh mục hàng hóa'!$C$3:$E$613,3,0)</f>
        <v>cái</v>
      </c>
      <c r="G631" s="237">
        <v>45000</v>
      </c>
      <c r="H631" s="235"/>
      <c r="I631" s="237">
        <v>1</v>
      </c>
      <c r="J631" s="235"/>
      <c r="K631" s="237">
        <f t="shared" si="35"/>
        <v>45000</v>
      </c>
      <c r="L631" s="235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</row>
    <row r="632" spans="1:30" ht="13.2">
      <c r="A632" s="240"/>
      <c r="B632" s="235" t="s">
        <v>337</v>
      </c>
      <c r="C632" s="243">
        <v>45350</v>
      </c>
      <c r="D632" s="235" t="s">
        <v>895</v>
      </c>
      <c r="E632" s="235" t="str">
        <f>VLOOKUP(D632,'Danh mục hàng hóa'!$C$3:$D$600,2,0)</f>
        <v>Thỏ chong chóng</v>
      </c>
      <c r="F632" s="236" t="str">
        <f>VLOOKUP(D632,'Danh mục hàng hóa'!$C$3:$E$613,3,0)</f>
        <v>cái</v>
      </c>
      <c r="G632" s="237">
        <v>45000</v>
      </c>
      <c r="H632" s="235"/>
      <c r="I632" s="237">
        <v>1</v>
      </c>
      <c r="J632" s="235"/>
      <c r="K632" s="237">
        <f t="shared" si="35"/>
        <v>45000</v>
      </c>
      <c r="L632" s="235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</row>
    <row r="633" spans="1:30" ht="13.2">
      <c r="A633" s="240"/>
      <c r="B633" s="235" t="s">
        <v>337</v>
      </c>
      <c r="C633" s="243">
        <v>45350</v>
      </c>
      <c r="D633" s="235" t="s">
        <v>913</v>
      </c>
      <c r="E633" s="235" t="str">
        <f>VLOOKUP(D633,'Danh mục hàng hóa'!$C$3:$D$600,2,0)</f>
        <v>Thỏ máy bay gắn xe</v>
      </c>
      <c r="F633" s="236" t="str">
        <f>VLOOKUP(D633,'Danh mục hàng hóa'!$C$3:$E$613,3,0)</f>
        <v>cái</v>
      </c>
      <c r="G633" s="237">
        <v>35422</v>
      </c>
      <c r="H633" s="235"/>
      <c r="I633" s="237">
        <v>1</v>
      </c>
      <c r="J633" s="235"/>
      <c r="K633" s="237">
        <f t="shared" si="35"/>
        <v>35422</v>
      </c>
      <c r="L633" s="235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</row>
    <row r="634" spans="1:30" ht="13.2">
      <c r="A634" s="240"/>
      <c r="B634" s="235" t="s">
        <v>337</v>
      </c>
      <c r="C634" s="243">
        <v>45350</v>
      </c>
      <c r="D634" s="235" t="s">
        <v>977</v>
      </c>
      <c r="E634" s="235" t="str">
        <f>VLOOKUP(D634,'Danh mục hàng hóa'!$C$3:$D$600,2,0)</f>
        <v>Móc khóa đôi heo</v>
      </c>
      <c r="F634" s="236" t="str">
        <f>VLOOKUP(D634,'Danh mục hàng hóa'!$C$3:$E$613,3,0)</f>
        <v>cái</v>
      </c>
      <c r="G634" s="237">
        <v>45920</v>
      </c>
      <c r="H634" s="235"/>
      <c r="I634" s="237">
        <v>1</v>
      </c>
      <c r="J634" s="235"/>
      <c r="K634" s="237">
        <f t="shared" si="35"/>
        <v>45920</v>
      </c>
      <c r="L634" s="235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</row>
    <row r="635" spans="1:30" ht="13.2">
      <c r="A635" s="240"/>
      <c r="B635" s="235" t="s">
        <v>337</v>
      </c>
      <c r="C635" s="243">
        <v>45350</v>
      </c>
      <c r="D635" s="235" t="s">
        <v>977</v>
      </c>
      <c r="E635" s="235" t="str">
        <f>VLOOKUP(D635,'Danh mục hàng hóa'!$C$3:$D$600,2,0)</f>
        <v>Móc khóa đôi heo</v>
      </c>
      <c r="F635" s="236" t="str">
        <f>VLOOKUP(D635,'Danh mục hàng hóa'!$C$3:$E$613,3,0)</f>
        <v>cái</v>
      </c>
      <c r="G635" s="237">
        <v>45660</v>
      </c>
      <c r="H635" s="235"/>
      <c r="I635" s="237">
        <v>1</v>
      </c>
      <c r="J635" s="235"/>
      <c r="K635" s="237">
        <f t="shared" si="35"/>
        <v>45660</v>
      </c>
      <c r="L635" s="235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</row>
    <row r="636" spans="1:30" ht="13.2">
      <c r="A636" s="240"/>
      <c r="B636" s="235" t="s">
        <v>337</v>
      </c>
      <c r="C636" s="243">
        <v>45350</v>
      </c>
      <c r="D636" s="235" t="s">
        <v>977</v>
      </c>
      <c r="E636" s="235" t="str">
        <f>VLOOKUP(D636,'Danh mục hàng hóa'!$C$3:$D$600,2,0)</f>
        <v>Móc khóa đôi heo</v>
      </c>
      <c r="F636" s="236" t="str">
        <f>VLOOKUP(D636,'Danh mục hàng hóa'!$C$3:$E$613,3,0)</f>
        <v>cái</v>
      </c>
      <c r="G636" s="237">
        <v>44477</v>
      </c>
      <c r="H636" s="235"/>
      <c r="I636" s="237">
        <v>1</v>
      </c>
      <c r="J636" s="235"/>
      <c r="K636" s="237">
        <f t="shared" si="35"/>
        <v>44477</v>
      </c>
      <c r="L636" s="235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</row>
    <row r="637" spans="1:30" ht="13.2">
      <c r="A637" s="240"/>
      <c r="B637" s="235" t="s">
        <v>337</v>
      </c>
      <c r="C637" s="243">
        <v>45350</v>
      </c>
      <c r="D637" s="235" t="s">
        <v>977</v>
      </c>
      <c r="E637" s="235" t="str">
        <f>VLOOKUP(D637,'Danh mục hàng hóa'!$C$3:$D$600,2,0)</f>
        <v>Móc khóa đôi heo</v>
      </c>
      <c r="F637" s="236" t="str">
        <f>VLOOKUP(D637,'Danh mục hàng hóa'!$C$3:$E$613,3,0)</f>
        <v>cái</v>
      </c>
      <c r="G637" s="237">
        <v>45980</v>
      </c>
      <c r="H637" s="235"/>
      <c r="I637" s="237">
        <v>1</v>
      </c>
      <c r="J637" s="235"/>
      <c r="K637" s="237">
        <f t="shared" si="35"/>
        <v>45980</v>
      </c>
      <c r="L637" s="235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</row>
    <row r="638" spans="1:30" ht="13.2">
      <c r="A638" s="240"/>
      <c r="B638" s="235" t="s">
        <v>337</v>
      </c>
      <c r="C638" s="243">
        <v>45350</v>
      </c>
      <c r="D638" s="235" t="s">
        <v>895</v>
      </c>
      <c r="E638" s="235" t="str">
        <f>VLOOKUP(D638,'Danh mục hàng hóa'!$C$3:$D$600,2,0)</f>
        <v>Thỏ chong chóng</v>
      </c>
      <c r="F638" s="236" t="str">
        <f>VLOOKUP(D638,'Danh mục hàng hóa'!$C$3:$E$613,3,0)</f>
        <v>cái</v>
      </c>
      <c r="G638" s="237">
        <v>40000</v>
      </c>
      <c r="H638" s="235"/>
      <c r="I638" s="237">
        <v>1</v>
      </c>
      <c r="J638" s="235"/>
      <c r="K638" s="237">
        <f t="shared" si="35"/>
        <v>40000</v>
      </c>
      <c r="L638" s="235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</row>
    <row r="639" spans="1:30" ht="13.2">
      <c r="A639" s="240"/>
      <c r="B639" s="235" t="s">
        <v>337</v>
      </c>
      <c r="C639" s="243">
        <v>45350</v>
      </c>
      <c r="D639" s="235" t="s">
        <v>913</v>
      </c>
      <c r="E639" s="235" t="str">
        <f>VLOOKUP(D639,'Danh mục hàng hóa'!$C$3:$D$600,2,0)</f>
        <v>Thỏ máy bay gắn xe</v>
      </c>
      <c r="F639" s="236" t="str">
        <f>VLOOKUP(D639,'Danh mục hàng hóa'!$C$3:$E$613,3,0)</f>
        <v>cái</v>
      </c>
      <c r="G639" s="237">
        <v>37182</v>
      </c>
      <c r="H639" s="235"/>
      <c r="I639" s="237">
        <v>1</v>
      </c>
      <c r="J639" s="235"/>
      <c r="K639" s="237">
        <f t="shared" si="35"/>
        <v>37182</v>
      </c>
      <c r="L639" s="235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</row>
    <row r="640" spans="1:30" ht="13.2">
      <c r="A640" s="240"/>
      <c r="B640" s="235" t="s">
        <v>337</v>
      </c>
      <c r="C640" s="243">
        <v>45350</v>
      </c>
      <c r="D640" s="235" t="s">
        <v>983</v>
      </c>
      <c r="E640" s="235" t="str">
        <f>VLOOKUP(D640,'Danh mục hàng hóa'!$C$3:$D$600,2,0)</f>
        <v>Móc khoá đôi thỏ</v>
      </c>
      <c r="F640" s="236" t="str">
        <f>VLOOKUP(D640,'Danh mục hàng hóa'!$C$3:$E$613,3,0)</f>
        <v>cái</v>
      </c>
      <c r="G640" s="237">
        <v>43420</v>
      </c>
      <c r="H640" s="235"/>
      <c r="I640" s="237">
        <v>1</v>
      </c>
      <c r="J640" s="235"/>
      <c r="K640" s="237">
        <f t="shared" si="35"/>
        <v>43420</v>
      </c>
      <c r="L640" s="235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</row>
    <row r="641" spans="1:30" ht="13.2">
      <c r="A641" s="240"/>
      <c r="B641" s="235" t="s">
        <v>337</v>
      </c>
      <c r="C641" s="243">
        <v>45350</v>
      </c>
      <c r="D641" s="235" t="s">
        <v>977</v>
      </c>
      <c r="E641" s="235" t="str">
        <f>VLOOKUP(D641,'Danh mục hàng hóa'!$C$3:$D$600,2,0)</f>
        <v>Móc khóa đôi heo</v>
      </c>
      <c r="F641" s="236" t="str">
        <f>VLOOKUP(D641,'Danh mục hàng hóa'!$C$3:$E$613,3,0)</f>
        <v>cái</v>
      </c>
      <c r="G641" s="237">
        <v>41520</v>
      </c>
      <c r="H641" s="235"/>
      <c r="I641" s="237">
        <v>1</v>
      </c>
      <c r="J641" s="235"/>
      <c r="K641" s="237">
        <f t="shared" si="35"/>
        <v>41520</v>
      </c>
      <c r="L641" s="235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</row>
    <row r="642" spans="1:30" ht="13.2">
      <c r="A642" s="240"/>
      <c r="B642" s="235" t="s">
        <v>337</v>
      </c>
      <c r="C642" s="243">
        <v>45350</v>
      </c>
      <c r="D642" s="235" t="s">
        <v>885</v>
      </c>
      <c r="E642" s="235" t="str">
        <f>VLOOKUP(D642,'Danh mục hàng hóa'!$C$3:$D$600,2,0)</f>
        <v>Gấu chong chóng</v>
      </c>
      <c r="F642" s="236" t="str">
        <f>VLOOKUP(D642,'Danh mục hàng hóa'!$C$3:$E$613,3,0)</f>
        <v>cái</v>
      </c>
      <c r="G642" s="237">
        <v>46200</v>
      </c>
      <c r="H642" s="235"/>
      <c r="I642" s="237">
        <v>2</v>
      </c>
      <c r="J642" s="235"/>
      <c r="K642" s="237">
        <f t="shared" si="35"/>
        <v>92400</v>
      </c>
      <c r="L642" s="235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</row>
    <row r="643" spans="1:30" ht="13.2">
      <c r="A643" s="240"/>
      <c r="B643" s="235" t="s">
        <v>337</v>
      </c>
      <c r="C643" s="243">
        <v>45350</v>
      </c>
      <c r="D643" s="235" t="s">
        <v>885</v>
      </c>
      <c r="E643" s="235" t="str">
        <f>VLOOKUP(D643,'Danh mục hàng hóa'!$C$3:$D$600,2,0)</f>
        <v>Gấu chong chóng</v>
      </c>
      <c r="F643" s="236" t="str">
        <f>VLOOKUP(D643,'Danh mục hàng hóa'!$C$3:$E$613,3,0)</f>
        <v>cái</v>
      </c>
      <c r="G643" s="237">
        <v>0</v>
      </c>
      <c r="H643" s="235"/>
      <c r="I643" s="237">
        <v>1</v>
      </c>
      <c r="J643" s="235"/>
      <c r="K643" s="237">
        <f t="shared" si="35"/>
        <v>0</v>
      </c>
      <c r="L643" s="235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</row>
    <row r="644" spans="1:30" ht="13.2">
      <c r="A644" s="240"/>
      <c r="B644" s="235" t="s">
        <v>337</v>
      </c>
      <c r="C644" s="243">
        <v>45351</v>
      </c>
      <c r="D644" s="235" t="s">
        <v>983</v>
      </c>
      <c r="E644" s="235" t="str">
        <f>VLOOKUP(D644,'Danh mục hàng hóa'!$C$3:$D$600,2,0)</f>
        <v>Móc khoá đôi thỏ</v>
      </c>
      <c r="F644" s="236" t="str">
        <f>VLOOKUP(D644,'Danh mục hàng hóa'!$C$3:$E$613,3,0)</f>
        <v>cái</v>
      </c>
      <c r="G644" s="237">
        <v>43720</v>
      </c>
      <c r="H644" s="235"/>
      <c r="I644" s="237">
        <v>1</v>
      </c>
      <c r="J644" s="235"/>
      <c r="K644" s="237">
        <f t="shared" si="35"/>
        <v>43720</v>
      </c>
      <c r="L644" s="235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</row>
    <row r="645" spans="1:30" ht="13.2">
      <c r="A645" s="240"/>
      <c r="B645" s="235" t="s">
        <v>337</v>
      </c>
      <c r="C645" s="243">
        <v>45351</v>
      </c>
      <c r="D645" s="235" t="s">
        <v>513</v>
      </c>
      <c r="E645" s="235" t="str">
        <f>VLOOKUP(D645,'Danh mục hàng hóa'!$C$3:$D$600,2,0)</f>
        <v>Trâm cài 16</v>
      </c>
      <c r="F645" s="236" t="str">
        <f>VLOOKUP(D645,'Danh mục hàng hóa'!$C$3:$E$613,3,0)</f>
        <v>cây</v>
      </c>
      <c r="G645" s="237">
        <v>25476</v>
      </c>
      <c r="H645" s="235"/>
      <c r="I645" s="237">
        <v>1</v>
      </c>
      <c r="J645" s="235"/>
      <c r="K645" s="237">
        <f t="shared" si="35"/>
        <v>25476</v>
      </c>
      <c r="L645" s="235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</row>
    <row r="646" spans="1:30" ht="13.2">
      <c r="A646" s="240"/>
      <c r="B646" s="235" t="s">
        <v>337</v>
      </c>
      <c r="C646" s="243">
        <v>45351</v>
      </c>
      <c r="D646" s="235" t="s">
        <v>523</v>
      </c>
      <c r="E646" s="235" t="str">
        <f>VLOOKUP(D646,'Danh mục hàng hóa'!$C$3:$D$600,2,0)</f>
        <v>Trâm cài 21</v>
      </c>
      <c r="F646" s="236" t="str">
        <f>VLOOKUP(D646,'Danh mục hàng hóa'!$C$3:$E$613,3,0)</f>
        <v>cây</v>
      </c>
      <c r="G646" s="237">
        <v>27000</v>
      </c>
      <c r="H646" s="235"/>
      <c r="I646" s="237">
        <v>1</v>
      </c>
      <c r="J646" s="235"/>
      <c r="K646" s="237">
        <f t="shared" si="35"/>
        <v>27000</v>
      </c>
      <c r="L646" s="235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</row>
    <row r="647" spans="1:30" ht="13.2">
      <c r="A647" s="240"/>
      <c r="B647" s="235" t="s">
        <v>337</v>
      </c>
      <c r="C647" s="243">
        <v>45351</v>
      </c>
      <c r="D647" s="235" t="s">
        <v>977</v>
      </c>
      <c r="E647" s="235" t="str">
        <f>VLOOKUP(D647,'Danh mục hàng hóa'!$C$3:$D$600,2,0)</f>
        <v>Móc khóa đôi heo</v>
      </c>
      <c r="F647" s="236" t="str">
        <f>VLOOKUP(D647,'Danh mục hàng hóa'!$C$3:$E$613,3,0)</f>
        <v>cái</v>
      </c>
      <c r="G647" s="237">
        <v>45920</v>
      </c>
      <c r="H647" s="235"/>
      <c r="I647" s="237">
        <v>1</v>
      </c>
      <c r="J647" s="235"/>
      <c r="K647" s="237">
        <f t="shared" si="35"/>
        <v>45920</v>
      </c>
      <c r="L647" s="235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</row>
    <row r="648" spans="1:30" ht="13.2">
      <c r="A648" s="240"/>
      <c r="B648" s="235" t="s">
        <v>337</v>
      </c>
      <c r="C648" s="243">
        <v>45352</v>
      </c>
      <c r="D648" s="235" t="s">
        <v>977</v>
      </c>
      <c r="E648" s="235" t="str">
        <f>VLOOKUP(D648,'Danh mục hàng hóa'!$C$3:$D$600,2,0)</f>
        <v>Móc khóa đôi heo</v>
      </c>
      <c r="F648" s="236" t="str">
        <f>VLOOKUP(D648,'Danh mục hàng hóa'!$C$3:$E$613,3,0)</f>
        <v>cái</v>
      </c>
      <c r="G648" s="237">
        <v>40862</v>
      </c>
      <c r="H648" s="235"/>
      <c r="I648" s="237">
        <v>1</v>
      </c>
      <c r="J648" s="235"/>
      <c r="K648" s="237">
        <f t="shared" si="35"/>
        <v>40862</v>
      </c>
      <c r="L648" s="235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</row>
    <row r="649" spans="1:30" ht="13.2">
      <c r="A649" s="240"/>
      <c r="B649" s="235" t="s">
        <v>337</v>
      </c>
      <c r="C649" s="243">
        <v>45352</v>
      </c>
      <c r="D649" s="235" t="s">
        <v>983</v>
      </c>
      <c r="E649" s="235" t="str">
        <f>VLOOKUP(D649,'Danh mục hàng hóa'!$C$3:$D$600,2,0)</f>
        <v>Móc khoá đôi thỏ</v>
      </c>
      <c r="F649" s="236" t="str">
        <f>VLOOKUP(D649,'Danh mục hàng hóa'!$C$3:$E$613,3,0)</f>
        <v>cái</v>
      </c>
      <c r="G649" s="237">
        <v>43260</v>
      </c>
      <c r="H649" s="235"/>
      <c r="I649" s="237">
        <v>1</v>
      </c>
      <c r="J649" s="235"/>
      <c r="K649" s="237">
        <f t="shared" si="35"/>
        <v>43260</v>
      </c>
      <c r="L649" s="235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</row>
    <row r="650" spans="1:30" ht="13.2">
      <c r="A650" s="240"/>
      <c r="B650" s="235" t="s">
        <v>337</v>
      </c>
      <c r="C650" s="243">
        <v>45352</v>
      </c>
      <c r="D650" s="235" t="s">
        <v>977</v>
      </c>
      <c r="E650" s="235" t="str">
        <f>VLOOKUP(D650,'Danh mục hàng hóa'!$C$3:$D$600,2,0)</f>
        <v>Móc khóa đôi heo</v>
      </c>
      <c r="F650" s="236" t="str">
        <f>VLOOKUP(D650,'Danh mục hàng hóa'!$C$3:$E$613,3,0)</f>
        <v>cái</v>
      </c>
      <c r="G650" s="237">
        <v>41222</v>
      </c>
      <c r="H650" s="235"/>
      <c r="I650" s="237">
        <v>1</v>
      </c>
      <c r="J650" s="235"/>
      <c r="K650" s="237">
        <f t="shared" si="35"/>
        <v>41222</v>
      </c>
      <c r="L650" s="235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</row>
    <row r="651" spans="1:30" ht="13.2">
      <c r="A651" s="240"/>
      <c r="B651" s="235" t="s">
        <v>337</v>
      </c>
      <c r="C651" s="243">
        <v>45352</v>
      </c>
      <c r="D651" s="235" t="s">
        <v>913</v>
      </c>
      <c r="E651" s="235" t="str">
        <f>VLOOKUP(D651,'Danh mục hàng hóa'!$C$3:$D$600,2,0)</f>
        <v>Thỏ máy bay gắn xe</v>
      </c>
      <c r="F651" s="236" t="str">
        <f>VLOOKUP(D651,'Danh mục hàng hóa'!$C$3:$E$613,3,0)</f>
        <v>cái</v>
      </c>
      <c r="G651" s="237">
        <v>32702</v>
      </c>
      <c r="H651" s="235"/>
      <c r="I651" s="237">
        <v>1</v>
      </c>
      <c r="J651" s="235"/>
      <c r="K651" s="237">
        <f t="shared" si="35"/>
        <v>32702</v>
      </c>
      <c r="L651" s="235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</row>
    <row r="652" spans="1:30" ht="13.2">
      <c r="A652" s="240"/>
      <c r="B652" s="235" t="s">
        <v>337</v>
      </c>
      <c r="C652" s="243">
        <v>45352</v>
      </c>
      <c r="D652" s="235" t="s">
        <v>474</v>
      </c>
      <c r="E652" s="235" t="str">
        <f>VLOOKUP(D652,'Danh mục hàng hóa'!$C$3:$D$600,2,0)</f>
        <v>Trâm cài hoa xanh</v>
      </c>
      <c r="F652" s="236" t="str">
        <f>VLOOKUP(D652,'Danh mục hàng hóa'!$C$3:$E$613,3,0)</f>
        <v>cái</v>
      </c>
      <c r="G652" s="237">
        <v>18000</v>
      </c>
      <c r="H652" s="235"/>
      <c r="I652" s="237">
        <v>1</v>
      </c>
      <c r="J652" s="235"/>
      <c r="K652" s="237">
        <f t="shared" si="35"/>
        <v>18000</v>
      </c>
      <c r="L652" s="235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</row>
    <row r="653" spans="1:30" ht="13.2">
      <c r="A653" s="240"/>
      <c r="B653" s="235" t="s">
        <v>337</v>
      </c>
      <c r="C653" s="243">
        <v>45352</v>
      </c>
      <c r="D653" s="235" t="s">
        <v>499</v>
      </c>
      <c r="E653" s="235" t="str">
        <f>VLOOKUP(D653,'Danh mục hàng hóa'!$C$3:$D$600,2,0)</f>
        <v>Trâm cài 09</v>
      </c>
      <c r="F653" s="236" t="str">
        <f>VLOOKUP(D653,'Danh mục hàng hóa'!$C$3:$E$613,3,0)</f>
        <v>cây</v>
      </c>
      <c r="G653" s="237">
        <v>26444</v>
      </c>
      <c r="H653" s="235"/>
      <c r="I653" s="237">
        <v>1</v>
      </c>
      <c r="J653" s="235"/>
      <c r="K653" s="237">
        <f t="shared" si="35"/>
        <v>26444</v>
      </c>
      <c r="L653" s="235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</row>
    <row r="654" spans="1:30" ht="13.2">
      <c r="A654" s="240"/>
      <c r="B654" s="235" t="s">
        <v>337</v>
      </c>
      <c r="C654" s="243">
        <v>45352</v>
      </c>
      <c r="D654" s="235" t="s">
        <v>874</v>
      </c>
      <c r="E654" s="235" t="str">
        <f>VLOOKUP(D654,'Danh mục hàng hóa'!$C$3:$D$600,2,0)</f>
        <v>Dao rọc giấy cún xanh</v>
      </c>
      <c r="F654" s="236" t="str">
        <f>VLOOKUP(D654,'Danh mục hàng hóa'!$C$3:$E$613,3,0)</f>
        <v>cái</v>
      </c>
      <c r="G654" s="237">
        <v>6000</v>
      </c>
      <c r="H654" s="235"/>
      <c r="I654" s="237">
        <v>1</v>
      </c>
      <c r="J654" s="235"/>
      <c r="K654" s="237">
        <f t="shared" si="35"/>
        <v>6000</v>
      </c>
      <c r="L654" s="235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</row>
    <row r="655" spans="1:30" ht="13.2">
      <c r="A655" s="240"/>
      <c r="B655" s="235" t="s">
        <v>337</v>
      </c>
      <c r="C655" s="243">
        <v>45352</v>
      </c>
      <c r="D655" s="235" t="s">
        <v>1048</v>
      </c>
      <c r="E655" s="235" t="str">
        <f>VLOOKUP(D655,'Danh mục hàng hóa'!$C$3:$D$600,2,0)</f>
        <v>Vớ cổ ngắn set xanh bơ 2</v>
      </c>
      <c r="F655" s="236" t="str">
        <f>VLOOKUP(D655,'Danh mục hàng hóa'!$C$3:$E$613,3,0)</f>
        <v>đôi</v>
      </c>
      <c r="G655" s="237">
        <v>6000</v>
      </c>
      <c r="H655" s="235"/>
      <c r="I655" s="237">
        <v>1</v>
      </c>
      <c r="J655" s="235"/>
      <c r="K655" s="237">
        <f t="shared" si="35"/>
        <v>6000</v>
      </c>
      <c r="L655" s="235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</row>
    <row r="656" spans="1:30" ht="13.2">
      <c r="A656" s="240"/>
      <c r="B656" s="235" t="s">
        <v>337</v>
      </c>
      <c r="C656" s="243">
        <v>45352</v>
      </c>
      <c r="D656" s="235" t="s">
        <v>1050</v>
      </c>
      <c r="E656" s="235" t="str">
        <f>VLOOKUP(D656,'Danh mục hàng hóa'!$C$3:$D$600,2,0)</f>
        <v>Vớ cổ ngắn set xanh bơ 3</v>
      </c>
      <c r="F656" s="236" t="str">
        <f>VLOOKUP(D656,'Danh mục hàng hóa'!$C$3:$E$613,3,0)</f>
        <v>đôi</v>
      </c>
      <c r="G656" s="237">
        <v>6000</v>
      </c>
      <c r="H656" s="235"/>
      <c r="I656" s="237">
        <v>1</v>
      </c>
      <c r="J656" s="235"/>
      <c r="K656" s="237">
        <f t="shared" si="35"/>
        <v>6000</v>
      </c>
      <c r="L656" s="235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</row>
    <row r="657" spans="1:30" ht="13.2">
      <c r="A657" s="240"/>
      <c r="B657" s="235" t="s">
        <v>337</v>
      </c>
      <c r="C657" s="243">
        <v>45352</v>
      </c>
      <c r="D657" s="235" t="s">
        <v>977</v>
      </c>
      <c r="E657" s="235" t="str">
        <f>VLOOKUP(D657,'Danh mục hàng hóa'!$C$3:$D$600,2,0)</f>
        <v>Móc khóa đôi heo</v>
      </c>
      <c r="F657" s="236" t="str">
        <f>VLOOKUP(D657,'Danh mục hàng hóa'!$C$3:$E$613,3,0)</f>
        <v>cái</v>
      </c>
      <c r="G657" s="237">
        <v>45000</v>
      </c>
      <c r="H657" s="235"/>
      <c r="I657" s="237">
        <v>1</v>
      </c>
      <c r="J657" s="235"/>
      <c r="K657" s="237">
        <f t="shared" si="35"/>
        <v>45000</v>
      </c>
      <c r="L657" s="235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</row>
    <row r="658" spans="1:30" ht="13.2">
      <c r="A658" s="240"/>
      <c r="B658" s="235" t="s">
        <v>337</v>
      </c>
      <c r="C658" s="243">
        <v>45352</v>
      </c>
      <c r="D658" s="235" t="s">
        <v>675</v>
      </c>
      <c r="E658" s="235" t="str">
        <f>VLOOKUP(D658,'Danh mục hàng hóa'!$C$3:$D$600,2,0)</f>
        <v>Buộc tóc vải xốp trắng</v>
      </c>
      <c r="F658" s="236" t="str">
        <f>VLOOKUP(D658,'Danh mục hàng hóa'!$C$3:$E$613,3,0)</f>
        <v>cái</v>
      </c>
      <c r="G658" s="237">
        <v>13000</v>
      </c>
      <c r="H658" s="235"/>
      <c r="I658" s="237">
        <v>1</v>
      </c>
      <c r="J658" s="235"/>
      <c r="K658" s="237">
        <f t="shared" si="35"/>
        <v>13000</v>
      </c>
      <c r="L658" s="235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</row>
    <row r="659" spans="1:30" ht="13.2">
      <c r="A659" s="240"/>
      <c r="B659" s="235" t="s">
        <v>337</v>
      </c>
      <c r="C659" s="243">
        <v>45352</v>
      </c>
      <c r="D659" s="235" t="s">
        <v>580</v>
      </c>
      <c r="E659" s="235" t="str">
        <f>VLOOKUP(D659,'Danh mục hàng hóa'!$C$3:$D$600,2,0)</f>
        <v>Ống 6 dây cột tóc be nâu</v>
      </c>
      <c r="F659" s="236" t="str">
        <f>VLOOKUP(D659,'Danh mục hàng hóa'!$C$3:$E$613,3,0)</f>
        <v>ống</v>
      </c>
      <c r="G659" s="237">
        <f>67750-58000</f>
        <v>9750</v>
      </c>
      <c r="H659" s="235"/>
      <c r="I659" s="237">
        <v>1</v>
      </c>
      <c r="J659" s="235"/>
      <c r="K659" s="237">
        <f t="shared" si="35"/>
        <v>9750</v>
      </c>
      <c r="L659" s="235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</row>
    <row r="660" spans="1:30" ht="13.2">
      <c r="A660" s="246"/>
      <c r="B660" s="235" t="s">
        <v>337</v>
      </c>
      <c r="C660" s="243">
        <v>45352</v>
      </c>
      <c r="D660" s="246" t="s">
        <v>977</v>
      </c>
      <c r="E660" s="235" t="str">
        <f>VLOOKUP(D660,'Danh mục hàng hóa'!$C$3:$D$600,2,0)</f>
        <v>Móc khóa đôi heo</v>
      </c>
      <c r="F660" s="236" t="str">
        <f>VLOOKUP(D660,'Danh mục hàng hóa'!$C$3:$E$613,3,0)</f>
        <v>cái</v>
      </c>
      <c r="G660" s="248">
        <f t="shared" ref="G660:G661" si="43">83160/2</f>
        <v>41580</v>
      </c>
      <c r="H660" s="126"/>
      <c r="I660" s="248">
        <v>1</v>
      </c>
      <c r="J660" s="246"/>
      <c r="K660" s="237">
        <f t="shared" si="35"/>
        <v>41580</v>
      </c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</row>
    <row r="661" spans="1:30" ht="13.2">
      <c r="A661" s="246"/>
      <c r="B661" s="235" t="s">
        <v>337</v>
      </c>
      <c r="C661" s="243">
        <v>45352</v>
      </c>
      <c r="D661" s="235" t="s">
        <v>981</v>
      </c>
      <c r="E661" s="235" t="str">
        <f>VLOOKUP(D661,'Danh mục hàng hóa'!$C$3:$D$600,2,0)</f>
        <v>Móc khóa đôi corgy</v>
      </c>
      <c r="F661" s="236" t="str">
        <f>VLOOKUP(D661,'Danh mục hàng hóa'!$C$3:$E$613,3,0)</f>
        <v>cái</v>
      </c>
      <c r="G661" s="248">
        <f t="shared" si="43"/>
        <v>41580</v>
      </c>
      <c r="H661" s="126"/>
      <c r="I661" s="248">
        <v>1</v>
      </c>
      <c r="J661" s="246"/>
      <c r="K661" s="237">
        <f t="shared" si="35"/>
        <v>41580</v>
      </c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</row>
    <row r="662" spans="1:30" ht="13.2">
      <c r="A662" s="246"/>
      <c r="B662" s="235" t="s">
        <v>336</v>
      </c>
      <c r="C662" s="243">
        <v>45352</v>
      </c>
      <c r="D662" s="235" t="s">
        <v>923</v>
      </c>
      <c r="E662" s="235" t="str">
        <f>VLOOKUP(D662,'Danh mục hàng hóa'!$C$3:$D$600,2,0)</f>
        <v>Kẹp khuếch tán tinh dầu vịt vàng</v>
      </c>
      <c r="F662" s="236" t="str">
        <f>VLOOKUP(D662,'Danh mục hàng hóa'!$C$3:$E$613,3,0)</f>
        <v>cái</v>
      </c>
      <c r="G662" s="126"/>
      <c r="H662" s="248">
        <v>4</v>
      </c>
      <c r="I662" s="126"/>
      <c r="J662" s="246"/>
      <c r="K662" s="237">
        <f t="shared" ref="K662:K672" si="44">G662*H662</f>
        <v>0</v>
      </c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</row>
    <row r="663" spans="1:30" ht="13.2">
      <c r="A663" s="246"/>
      <c r="B663" s="235" t="s">
        <v>336</v>
      </c>
      <c r="C663" s="243">
        <v>45352</v>
      </c>
      <c r="D663" s="235" t="s">
        <v>925</v>
      </c>
      <c r="E663" s="235" t="str">
        <f>VLOOKUP(D663,'Danh mục hàng hóa'!$C$3:$D$600,2,0)</f>
        <v>Kẹp khuếch tán tinh dầu vịt đen</v>
      </c>
      <c r="F663" s="236" t="str">
        <f>VLOOKUP(D663,'Danh mục hàng hóa'!$C$3:$E$613,3,0)</f>
        <v>cái</v>
      </c>
      <c r="G663" s="126"/>
      <c r="H663" s="248">
        <v>4</v>
      </c>
      <c r="I663" s="126"/>
      <c r="J663" s="246"/>
      <c r="K663" s="237">
        <f t="shared" si="44"/>
        <v>0</v>
      </c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</row>
    <row r="664" spans="1:30" ht="13.2">
      <c r="A664" s="246"/>
      <c r="B664" s="235" t="s">
        <v>2149</v>
      </c>
      <c r="C664" s="243">
        <v>45352</v>
      </c>
      <c r="D664" s="235" t="s">
        <v>927</v>
      </c>
      <c r="E664" s="235" t="str">
        <f>VLOOKUP(D664,'Danh mục hàng hóa'!$C$3:$D$600,2,0)</f>
        <v>Kẹp khuếch tán tinh dầu vịt be</v>
      </c>
      <c r="F664" s="236" t="str">
        <f>VLOOKUP(D664,'Danh mục hàng hóa'!$C$3:$E$613,3,0)</f>
        <v>cái</v>
      </c>
      <c r="G664" s="126"/>
      <c r="H664" s="248">
        <v>4</v>
      </c>
      <c r="I664" s="126"/>
      <c r="J664" s="246"/>
      <c r="K664" s="237">
        <f t="shared" si="44"/>
        <v>0</v>
      </c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</row>
    <row r="665" spans="1:30" ht="13.2">
      <c r="A665" s="246"/>
      <c r="B665" s="235" t="s">
        <v>2149</v>
      </c>
      <c r="C665" s="243">
        <v>45352</v>
      </c>
      <c r="D665" s="235" t="s">
        <v>929</v>
      </c>
      <c r="E665" s="235" t="str">
        <f>VLOOKUP(D665,'Danh mục hàng hóa'!$C$3:$D$600,2,0)</f>
        <v>Kẹp khuếch tán tinh dầu thỏ trắng</v>
      </c>
      <c r="F665" s="236" t="str">
        <f>VLOOKUP(D665,'Danh mục hàng hóa'!$C$3:$E$613,3,0)</f>
        <v>cái</v>
      </c>
      <c r="G665" s="126"/>
      <c r="H665" s="248">
        <v>4</v>
      </c>
      <c r="I665" s="126"/>
      <c r="J665" s="246"/>
      <c r="K665" s="237">
        <f t="shared" si="44"/>
        <v>0</v>
      </c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</row>
    <row r="666" spans="1:30" ht="13.2">
      <c r="A666" s="246"/>
      <c r="B666" s="235" t="s">
        <v>336</v>
      </c>
      <c r="C666" s="243">
        <v>45352</v>
      </c>
      <c r="D666" s="235" t="s">
        <v>931</v>
      </c>
      <c r="E666" s="235" t="str">
        <f>VLOOKUP(D666,'Danh mục hàng hóa'!$C$3:$D$600,2,0)</f>
        <v>Kẹp khuếch tán tinh dầu thỏ hồng</v>
      </c>
      <c r="F666" s="236" t="str">
        <f>VLOOKUP(D666,'Danh mục hàng hóa'!$C$3:$E$613,3,0)</f>
        <v>cái</v>
      </c>
      <c r="G666" s="126"/>
      <c r="H666" s="248">
        <v>4</v>
      </c>
      <c r="I666" s="126"/>
      <c r="J666" s="246"/>
      <c r="K666" s="237">
        <f t="shared" si="44"/>
        <v>0</v>
      </c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</row>
    <row r="667" spans="1:30" ht="13.2">
      <c r="A667" s="246"/>
      <c r="B667" s="235" t="s">
        <v>336</v>
      </c>
      <c r="C667" s="243">
        <v>45352</v>
      </c>
      <c r="D667" s="235" t="s">
        <v>933</v>
      </c>
      <c r="E667" s="235" t="str">
        <f>VLOOKUP(D667,'Danh mục hàng hóa'!$C$3:$D$600,2,0)</f>
        <v>Kẹp khuếch tán tinh dầu gấu dâu</v>
      </c>
      <c r="F667" s="236" t="str">
        <f>VLOOKUP(D667,'Danh mục hàng hóa'!$C$3:$E$613,3,0)</f>
        <v>cái</v>
      </c>
      <c r="G667" s="126"/>
      <c r="H667" s="248">
        <v>3</v>
      </c>
      <c r="I667" s="126"/>
      <c r="J667" s="246"/>
      <c r="K667" s="237">
        <f t="shared" si="44"/>
        <v>0</v>
      </c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</row>
    <row r="668" spans="1:30" ht="13.2">
      <c r="A668" s="246"/>
      <c r="B668" s="235" t="s">
        <v>336</v>
      </c>
      <c r="C668" s="243">
        <v>45352</v>
      </c>
      <c r="D668" s="235" t="s">
        <v>935</v>
      </c>
      <c r="E668" s="235" t="str">
        <f>VLOOKUP(D668,'Danh mục hàng hóa'!$C$3:$D$600,2,0)</f>
        <v>Kẹp khuếch tán tinh dầu batman</v>
      </c>
      <c r="F668" s="236" t="str">
        <f>VLOOKUP(D668,'Danh mục hàng hóa'!$C$3:$E$613,3,0)</f>
        <v>cái</v>
      </c>
      <c r="G668" s="126"/>
      <c r="H668" s="248">
        <v>3</v>
      </c>
      <c r="I668" s="126"/>
      <c r="J668" s="246"/>
      <c r="K668" s="237">
        <f t="shared" si="44"/>
        <v>0</v>
      </c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</row>
    <row r="669" spans="1:30" ht="13.2">
      <c r="A669" s="246"/>
      <c r="B669" s="235" t="s">
        <v>336</v>
      </c>
      <c r="C669" s="243">
        <v>45352</v>
      </c>
      <c r="D669" s="235" t="s">
        <v>937</v>
      </c>
      <c r="E669" s="235" t="str">
        <f>VLOOKUP(D669,'Danh mục hàng hóa'!$C$3:$D$600,2,0)</f>
        <v>Kẹp khuếch tán tinh dầu spider man</v>
      </c>
      <c r="F669" s="236" t="str">
        <f>VLOOKUP(D669,'Danh mục hàng hóa'!$C$3:$E$613,3,0)</f>
        <v>cái</v>
      </c>
      <c r="G669" s="126"/>
      <c r="H669" s="248">
        <v>3</v>
      </c>
      <c r="I669" s="126"/>
      <c r="J669" s="246"/>
      <c r="K669" s="237">
        <f t="shared" si="44"/>
        <v>0</v>
      </c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</row>
    <row r="670" spans="1:30" ht="13.2">
      <c r="A670" s="246"/>
      <c r="B670" s="235" t="s">
        <v>336</v>
      </c>
      <c r="C670" s="243">
        <v>45352</v>
      </c>
      <c r="D670" s="249" t="s">
        <v>422</v>
      </c>
      <c r="E670" s="235" t="str">
        <f>VLOOKUP(D670,'Danh mục hàng hóa'!$C$3:$D$600,2,0)</f>
        <v>Túi chườm bụng gấu nâu 500ml</v>
      </c>
      <c r="F670" s="236" t="str">
        <f>VLOOKUP(D670,'Danh mục hàng hóa'!$C$3:$E$613,3,0)</f>
        <v>túi</v>
      </c>
      <c r="G670" s="126"/>
      <c r="H670" s="248">
        <v>10</v>
      </c>
      <c r="I670" s="126"/>
      <c r="J670" s="246"/>
      <c r="K670" s="237">
        <f t="shared" si="44"/>
        <v>0</v>
      </c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</row>
    <row r="671" spans="1:30" ht="13.2">
      <c r="A671" s="246"/>
      <c r="B671" s="235" t="s">
        <v>336</v>
      </c>
      <c r="C671" s="243">
        <v>45352</v>
      </c>
      <c r="D671" s="249" t="s">
        <v>424</v>
      </c>
      <c r="E671" s="235" t="str">
        <f>VLOOKUP(D671,'Danh mục hàng hóa'!$C$3:$D$600,2,0)</f>
        <v>Túi chườm bụng vịt vàng 500ml</v>
      </c>
      <c r="F671" s="236" t="str">
        <f>VLOOKUP(D671,'Danh mục hàng hóa'!$C$3:$E$613,3,0)</f>
        <v>túi</v>
      </c>
      <c r="G671" s="126"/>
      <c r="H671" s="248">
        <v>10</v>
      </c>
      <c r="I671" s="126"/>
      <c r="J671" s="246"/>
      <c r="K671" s="237">
        <f t="shared" si="44"/>
        <v>0</v>
      </c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</row>
    <row r="672" spans="1:30" ht="13.2">
      <c r="A672" s="246"/>
      <c r="B672" s="235" t="s">
        <v>336</v>
      </c>
      <c r="C672" s="243">
        <v>45352</v>
      </c>
      <c r="D672" s="249" t="s">
        <v>426</v>
      </c>
      <c r="E672" s="235" t="str">
        <f>VLOOKUP(D672,'Danh mục hàng hóa'!$C$3:$D$600,2,0)</f>
        <v>Túi chườm bụng thỏ hồng 500ml</v>
      </c>
      <c r="F672" s="236" t="str">
        <f>VLOOKUP(D672,'Danh mục hàng hóa'!$C$3:$E$613,3,0)</f>
        <v>túi</v>
      </c>
      <c r="G672" s="126"/>
      <c r="H672" s="248">
        <v>10</v>
      </c>
      <c r="I672" s="126"/>
      <c r="J672" s="246"/>
      <c r="K672" s="237">
        <f t="shared" si="44"/>
        <v>0</v>
      </c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</row>
    <row r="673" spans="1:30" ht="13.2">
      <c r="A673" s="246"/>
      <c r="B673" s="235" t="s">
        <v>336</v>
      </c>
      <c r="C673" s="243">
        <v>45353</v>
      </c>
      <c r="D673" s="235" t="s">
        <v>895</v>
      </c>
      <c r="E673" s="235" t="str">
        <f>VLOOKUP(D673,'Danh mục hàng hóa'!$C$3:$D$600,2,0)</f>
        <v>Thỏ chong chóng</v>
      </c>
      <c r="F673" s="236" t="str">
        <f>VLOOKUP(D673,'Danh mục hàng hóa'!$C$3:$E$613,3,0)</f>
        <v>cái</v>
      </c>
      <c r="G673" s="126"/>
      <c r="H673" s="248">
        <v>12</v>
      </c>
      <c r="I673" s="126"/>
      <c r="J673" s="246"/>
      <c r="K673" s="237">
        <f t="shared" ref="K673:K676" si="45">G673*I673</f>
        <v>0</v>
      </c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</row>
    <row r="674" spans="1:30" ht="13.2">
      <c r="A674" s="246"/>
      <c r="B674" s="235" t="s">
        <v>336</v>
      </c>
      <c r="C674" s="243">
        <v>45353</v>
      </c>
      <c r="D674" s="235" t="s">
        <v>887</v>
      </c>
      <c r="E674" s="235" t="str">
        <f>VLOOKUP(D674,'Danh mục hàng hóa'!$C$3:$D$600,2,0)</f>
        <v>Mèo chong chóng</v>
      </c>
      <c r="F674" s="236" t="str">
        <f>VLOOKUP(D674,'Danh mục hàng hóa'!$C$3:$E$613,3,0)</f>
        <v>cái</v>
      </c>
      <c r="G674" s="126"/>
      <c r="H674" s="248">
        <v>7</v>
      </c>
      <c r="I674" s="126"/>
      <c r="J674" s="246"/>
      <c r="K674" s="237">
        <f t="shared" si="45"/>
        <v>0</v>
      </c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</row>
    <row r="675" spans="1:30" ht="13.2">
      <c r="A675" s="246"/>
      <c r="B675" s="235" t="s">
        <v>336</v>
      </c>
      <c r="C675" s="243">
        <v>45353</v>
      </c>
      <c r="D675" s="235" t="s">
        <v>891</v>
      </c>
      <c r="E675" s="235" t="str">
        <f>VLOOKUP(D675,'Danh mục hàng hóa'!$C$3:$D$600,2,0)</f>
        <v>Heo ú</v>
      </c>
      <c r="F675" s="236" t="str">
        <f>VLOOKUP(D675,'Danh mục hàng hóa'!$C$3:$E$613,3,0)</f>
        <v>cái</v>
      </c>
      <c r="G675" s="126"/>
      <c r="H675" s="248">
        <v>14</v>
      </c>
      <c r="I675" s="126"/>
      <c r="J675" s="246"/>
      <c r="K675" s="237">
        <f t="shared" si="45"/>
        <v>0</v>
      </c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</row>
    <row r="676" spans="1:30" ht="13.2">
      <c r="A676" s="246"/>
      <c r="B676" s="235" t="s">
        <v>336</v>
      </c>
      <c r="C676" s="243">
        <v>45353</v>
      </c>
      <c r="D676" s="235" t="s">
        <v>885</v>
      </c>
      <c r="E676" s="235" t="str">
        <f>VLOOKUP(D676,'Danh mục hàng hóa'!$C$3:$D$600,2,0)</f>
        <v>Gấu chong chóng</v>
      </c>
      <c r="F676" s="236" t="str">
        <f>VLOOKUP(D676,'Danh mục hàng hóa'!$C$3:$E$613,3,0)</f>
        <v>cái</v>
      </c>
      <c r="G676" s="126"/>
      <c r="H676" s="248">
        <v>7</v>
      </c>
      <c r="I676" s="126"/>
      <c r="J676" s="246"/>
      <c r="K676" s="237">
        <f t="shared" si="45"/>
        <v>0</v>
      </c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</row>
    <row r="677" spans="1:30" ht="13.2">
      <c r="A677" s="246"/>
      <c r="B677" s="235"/>
      <c r="C677" s="243">
        <v>45353</v>
      </c>
      <c r="D677" s="235" t="s">
        <v>995</v>
      </c>
      <c r="E677" s="235" t="str">
        <f>VLOOKUP(D677,'Danh mục hàng hóa'!$C$3:$D$600,2,0)</f>
        <v>Mô hình cún 01</v>
      </c>
      <c r="F677" s="236" t="str">
        <f>VLOOKUP(D677,'Danh mục hàng hóa'!$C$3:$E$613,3,0)</f>
        <v>cái</v>
      </c>
      <c r="G677" s="126"/>
      <c r="H677" s="248">
        <v>8</v>
      </c>
      <c r="I677" s="126"/>
      <c r="J677" s="246"/>
      <c r="K677" s="235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</row>
    <row r="678" spans="1:30" ht="13.2">
      <c r="A678" s="246"/>
      <c r="B678" s="235"/>
      <c r="C678" s="243">
        <v>45353</v>
      </c>
      <c r="D678" s="235" t="s">
        <v>997</v>
      </c>
      <c r="E678" s="235" t="str">
        <f>VLOOKUP(D678,'Danh mục hàng hóa'!$C$3:$D$600,2,0)</f>
        <v>Mô hình cún 02</v>
      </c>
      <c r="F678" s="236" t="str">
        <f>VLOOKUP(D678,'Danh mục hàng hóa'!$C$3:$E$613,3,0)</f>
        <v>cái</v>
      </c>
      <c r="G678" s="126"/>
      <c r="H678" s="248">
        <v>8</v>
      </c>
      <c r="I678" s="126"/>
      <c r="J678" s="246"/>
      <c r="K678" s="235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</row>
    <row r="679" spans="1:30" ht="13.2">
      <c r="A679" s="246"/>
      <c r="B679" s="235"/>
      <c r="C679" s="243">
        <v>45353</v>
      </c>
      <c r="D679" s="235" t="s">
        <v>999</v>
      </c>
      <c r="E679" s="235" t="str">
        <f>VLOOKUP(D679,'Danh mục hàng hóa'!$C$3:$D$600,2,0)</f>
        <v>Mô hình cún 03</v>
      </c>
      <c r="F679" s="236" t="str">
        <f>VLOOKUP(D679,'Danh mục hàng hóa'!$C$3:$E$613,3,0)</f>
        <v>cái</v>
      </c>
      <c r="G679" s="126"/>
      <c r="H679" s="248">
        <v>8</v>
      </c>
      <c r="I679" s="126"/>
      <c r="J679" s="246"/>
      <c r="K679" s="235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</row>
    <row r="680" spans="1:30" ht="13.2">
      <c r="A680" s="246"/>
      <c r="B680" s="235"/>
      <c r="C680" s="243">
        <v>45353</v>
      </c>
      <c r="D680" s="235" t="s">
        <v>1001</v>
      </c>
      <c r="E680" s="235" t="str">
        <f>VLOOKUP(D680,'Danh mục hàng hóa'!$C$3:$D$600,2,0)</f>
        <v>Mô hình cún 04</v>
      </c>
      <c r="F680" s="236" t="str">
        <f>VLOOKUP(D680,'Danh mục hàng hóa'!$C$3:$E$613,3,0)</f>
        <v>cái</v>
      </c>
      <c r="G680" s="126"/>
      <c r="H680" s="248">
        <v>8</v>
      </c>
      <c r="I680" s="126"/>
      <c r="J680" s="246"/>
      <c r="K680" s="235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</row>
    <row r="681" spans="1:30" ht="13.2">
      <c r="A681" s="246"/>
      <c r="B681" s="235"/>
      <c r="C681" s="243">
        <v>45353</v>
      </c>
      <c r="D681" s="235" t="s">
        <v>1005</v>
      </c>
      <c r="E681" s="235" t="str">
        <f>VLOOKUP(D681,'Danh mục hàng hóa'!$C$3:$D$600,2,0)</f>
        <v>Mô hình trái cây 06</v>
      </c>
      <c r="F681" s="236" t="str">
        <f>VLOOKUP(D681,'Danh mục hàng hóa'!$C$3:$E$613,3,0)</f>
        <v>cái</v>
      </c>
      <c r="G681" s="126"/>
      <c r="H681" s="248">
        <v>7</v>
      </c>
      <c r="I681" s="126"/>
      <c r="J681" s="246"/>
      <c r="K681" s="235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</row>
    <row r="682" spans="1:30" ht="13.2">
      <c r="A682" s="246"/>
      <c r="B682" s="235"/>
      <c r="C682" s="243">
        <v>45353</v>
      </c>
      <c r="D682" s="235" t="s">
        <v>1007</v>
      </c>
      <c r="E682" s="235" t="str">
        <f>VLOOKUP(D682,'Danh mục hàng hóa'!$C$3:$D$600,2,0)</f>
        <v>Mô hình trái cây 07</v>
      </c>
      <c r="F682" s="236" t="str">
        <f>VLOOKUP(D682,'Danh mục hàng hóa'!$C$3:$E$613,3,0)</f>
        <v>cái</v>
      </c>
      <c r="G682" s="126"/>
      <c r="H682" s="248">
        <v>7</v>
      </c>
      <c r="I682" s="126"/>
      <c r="J682" s="246"/>
      <c r="K682" s="235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</row>
    <row r="683" spans="1:30" ht="13.2">
      <c r="A683" s="246"/>
      <c r="B683" s="235"/>
      <c r="C683" s="243">
        <v>45353</v>
      </c>
      <c r="D683" s="235" t="s">
        <v>1009</v>
      </c>
      <c r="E683" s="235" t="str">
        <f>VLOOKUP(D683,'Danh mục hàng hóa'!$C$3:$D$600,2,0)</f>
        <v>Mô hình trái cây 08</v>
      </c>
      <c r="F683" s="236" t="str">
        <f>VLOOKUP(D683,'Danh mục hàng hóa'!$C$3:$E$613,3,0)</f>
        <v>cái</v>
      </c>
      <c r="G683" s="126"/>
      <c r="H683" s="248">
        <v>7</v>
      </c>
      <c r="I683" s="126"/>
      <c r="J683" s="246"/>
      <c r="K683" s="235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</row>
    <row r="684" spans="1:30" ht="13.2">
      <c r="A684" s="246"/>
      <c r="B684" s="235"/>
      <c r="C684" s="243">
        <v>45353</v>
      </c>
      <c r="D684" s="235" t="s">
        <v>1011</v>
      </c>
      <c r="E684" s="235" t="str">
        <f>VLOOKUP(D684,'Danh mục hàng hóa'!$C$3:$D$600,2,0)</f>
        <v>Mô hình trái cây 09</v>
      </c>
      <c r="F684" s="236" t="str">
        <f>VLOOKUP(D684,'Danh mục hàng hóa'!$C$3:$E$613,3,0)</f>
        <v>cái</v>
      </c>
      <c r="G684" s="126"/>
      <c r="H684" s="248">
        <v>7</v>
      </c>
      <c r="I684" s="126"/>
      <c r="J684" s="246"/>
      <c r="K684" s="235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</row>
    <row r="685" spans="1:30" ht="13.2">
      <c r="A685" s="246"/>
      <c r="B685" s="235"/>
      <c r="C685" s="243">
        <v>45353</v>
      </c>
      <c r="D685" s="235" t="s">
        <v>1013</v>
      </c>
      <c r="E685" s="235" t="str">
        <f>VLOOKUP(D685,'Danh mục hàng hóa'!$C$3:$D$600,2,0)</f>
        <v>Mô hình trái cây 10</v>
      </c>
      <c r="F685" s="236" t="str">
        <f>VLOOKUP(D685,'Danh mục hàng hóa'!$C$3:$E$613,3,0)</f>
        <v>cái</v>
      </c>
      <c r="G685" s="126"/>
      <c r="H685" s="248">
        <v>7</v>
      </c>
      <c r="I685" s="126"/>
      <c r="J685" s="246"/>
      <c r="K685" s="235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</row>
    <row r="686" spans="1:30" ht="13.2">
      <c r="A686" s="246"/>
      <c r="B686" s="235"/>
      <c r="C686" s="243">
        <v>45353</v>
      </c>
      <c r="D686" s="235" t="s">
        <v>1015</v>
      </c>
      <c r="E686" s="235" t="str">
        <f>VLOOKUP(D686,'Danh mục hàng hóa'!$C$3:$D$600,2,0)</f>
        <v>Mô hình trái cây 11</v>
      </c>
      <c r="F686" s="236" t="str">
        <f>VLOOKUP(D686,'Danh mục hàng hóa'!$C$3:$E$613,3,0)</f>
        <v>cái</v>
      </c>
      <c r="G686" s="126"/>
      <c r="H686" s="248">
        <v>6</v>
      </c>
      <c r="I686" s="126"/>
      <c r="J686" s="246"/>
      <c r="K686" s="235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</row>
    <row r="687" spans="1:30" ht="13.2">
      <c r="A687" s="246"/>
      <c r="B687" s="235"/>
      <c r="C687" s="243">
        <v>45353</v>
      </c>
      <c r="D687" s="235" t="s">
        <v>1017</v>
      </c>
      <c r="E687" s="235" t="str">
        <f>VLOOKUP(D687,'Danh mục hàng hóa'!$C$3:$D$600,2,0)</f>
        <v>Mô hình trái cây 12</v>
      </c>
      <c r="F687" s="236" t="str">
        <f>VLOOKUP(D687,'Danh mục hàng hóa'!$C$3:$E$613,3,0)</f>
        <v>cái</v>
      </c>
      <c r="G687" s="126"/>
      <c r="H687" s="248">
        <v>6</v>
      </c>
      <c r="I687" s="126"/>
      <c r="J687" s="246"/>
      <c r="K687" s="235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</row>
    <row r="688" spans="1:30" ht="13.2">
      <c r="A688" s="246"/>
      <c r="B688" s="235"/>
      <c r="C688" s="243">
        <v>45353</v>
      </c>
      <c r="D688" s="235" t="s">
        <v>1019</v>
      </c>
      <c r="E688" s="235" t="str">
        <f>VLOOKUP(D688,'Danh mục hàng hóa'!$C$3:$D$600,2,0)</f>
        <v>Mô hình trái cây 13</v>
      </c>
      <c r="F688" s="236" t="str">
        <f>VLOOKUP(D688,'Danh mục hàng hóa'!$C$3:$E$613,3,0)</f>
        <v>cái</v>
      </c>
      <c r="G688" s="126"/>
      <c r="H688" s="248">
        <v>6</v>
      </c>
      <c r="I688" s="126"/>
      <c r="J688" s="246"/>
      <c r="K688" s="235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</row>
    <row r="689" spans="1:30" ht="13.2">
      <c r="A689" s="246"/>
      <c r="B689" s="235" t="s">
        <v>336</v>
      </c>
      <c r="C689" s="243">
        <v>45353</v>
      </c>
      <c r="D689" s="235" t="s">
        <v>1021</v>
      </c>
      <c r="E689" s="235" t="str">
        <f>VLOOKUP(D689,'Danh mục hàng hóa'!$C$3:$D$600,2,0)</f>
        <v>Mô hình trái cây 14</v>
      </c>
      <c r="F689" s="236" t="str">
        <f>VLOOKUP(D689,'Danh mục hàng hóa'!$C$3:$E$613,3,0)</f>
        <v>cái</v>
      </c>
      <c r="G689" s="126"/>
      <c r="H689" s="248">
        <v>6</v>
      </c>
      <c r="I689" s="126"/>
      <c r="J689" s="246"/>
      <c r="K689" s="237">
        <f t="shared" ref="K689:K690" si="46">G689*I689</f>
        <v>0</v>
      </c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</row>
    <row r="690" spans="1:30" ht="13.2">
      <c r="A690" s="246"/>
      <c r="B690" s="235" t="s">
        <v>336</v>
      </c>
      <c r="C690" s="243">
        <v>45353</v>
      </c>
      <c r="D690" s="235" t="s">
        <v>1023</v>
      </c>
      <c r="E690" s="235" t="str">
        <f>VLOOKUP(D690,'Danh mục hàng hóa'!$C$3:$D$600,2,0)</f>
        <v>Mô hình trái cây 15</v>
      </c>
      <c r="F690" s="236" t="str">
        <f>VLOOKUP(D690,'Danh mục hàng hóa'!$C$3:$E$613,3,0)</f>
        <v>cái</v>
      </c>
      <c r="G690" s="126"/>
      <c r="H690" s="248">
        <v>6</v>
      </c>
      <c r="I690" s="126"/>
      <c r="J690" s="246"/>
      <c r="K690" s="237">
        <f t="shared" si="46"/>
        <v>0</v>
      </c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</row>
    <row r="691" spans="1:30" ht="13.2">
      <c r="A691" s="246"/>
      <c r="B691" s="235"/>
      <c r="C691" s="245"/>
      <c r="D691" s="235" t="s">
        <v>907</v>
      </c>
      <c r="E691" s="235" t="str">
        <f>VLOOKUP(D691,'Danh mục hàng hóa'!$C$3:$D$600,2,0)</f>
        <v>Cáo gắn xe</v>
      </c>
      <c r="F691" s="236" t="str">
        <f>VLOOKUP(D691,'Danh mục hàng hóa'!$C$3:$E$613,3,0)</f>
        <v>cái</v>
      </c>
      <c r="G691" s="126"/>
      <c r="H691" s="248">
        <v>3</v>
      </c>
      <c r="I691" s="126"/>
      <c r="J691" s="246"/>
      <c r="K691" s="235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</row>
    <row r="692" spans="1:30" ht="13.2">
      <c r="A692" s="246"/>
      <c r="B692" s="235"/>
      <c r="C692" s="245"/>
      <c r="D692" s="235" t="s">
        <v>913</v>
      </c>
      <c r="E692" s="235" t="str">
        <f>VLOOKUP(D692,'Danh mục hàng hóa'!$C$3:$D$600,2,0)</f>
        <v>Thỏ máy bay gắn xe</v>
      </c>
      <c r="F692" s="236" t="str">
        <f>VLOOKUP(D692,'Danh mục hàng hóa'!$C$3:$E$613,3,0)</f>
        <v>cái</v>
      </c>
      <c r="G692" s="126"/>
      <c r="H692" s="248">
        <v>3</v>
      </c>
      <c r="I692" s="126"/>
      <c r="J692" s="246"/>
      <c r="K692" s="235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</row>
    <row r="693" spans="1:30" ht="13.2">
      <c r="A693" s="246"/>
      <c r="B693" s="235"/>
      <c r="C693" s="245"/>
      <c r="D693" s="235" t="s">
        <v>915</v>
      </c>
      <c r="E693" s="235" t="str">
        <f>VLOOKUP(D693,'Danh mục hàng hóa'!$C$3:$D$600,2,0)</f>
        <v>Thỏ chạy xe gắn xe</v>
      </c>
      <c r="F693" s="236" t="str">
        <f>VLOOKUP(D693,'Danh mục hàng hóa'!$C$3:$E$613,3,0)</f>
        <v>cái</v>
      </c>
      <c r="G693" s="126"/>
      <c r="H693" s="248">
        <v>7</v>
      </c>
      <c r="I693" s="126"/>
      <c r="J693" s="246"/>
      <c r="K693" s="235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</row>
    <row r="694" spans="1:30" ht="13.2">
      <c r="A694" s="246"/>
      <c r="B694" s="235"/>
      <c r="C694" s="245"/>
      <c r="D694" s="235" t="s">
        <v>917</v>
      </c>
      <c r="E694" s="235" t="str">
        <f>VLOOKUP(D694,'Danh mục hàng hóa'!$C$3:$D$600,2,0)</f>
        <v>Thỏ đi vịt gắn xe</v>
      </c>
      <c r="F694" s="236" t="str">
        <f>VLOOKUP(D694,'Danh mục hàng hóa'!$C$3:$E$613,3,0)</f>
        <v>cái</v>
      </c>
      <c r="G694" s="126"/>
      <c r="H694" s="248">
        <v>3</v>
      </c>
      <c r="I694" s="126"/>
      <c r="J694" s="246"/>
      <c r="K694" s="235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</row>
    <row r="695" spans="1:30" ht="13.2">
      <c r="A695" s="246"/>
      <c r="B695" s="235"/>
      <c r="C695" s="245"/>
      <c r="D695" s="235" t="s">
        <v>919</v>
      </c>
      <c r="E695" s="235" t="str">
        <f>VLOOKUP(D695,'Danh mục hàng hóa'!$C$3:$D$600,2,0)</f>
        <v>Thỏ mặt trăng gắn xe</v>
      </c>
      <c r="F695" s="236" t="str">
        <f>VLOOKUP(D695,'Danh mục hàng hóa'!$C$3:$E$613,3,0)</f>
        <v>cái</v>
      </c>
      <c r="G695" s="126"/>
      <c r="H695" s="248">
        <v>3</v>
      </c>
      <c r="I695" s="126"/>
      <c r="J695" s="246"/>
      <c r="K695" s="235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</row>
    <row r="696" spans="1:30" ht="13.2">
      <c r="A696" s="246"/>
      <c r="B696" s="235"/>
      <c r="C696" s="245"/>
      <c r="D696" s="235"/>
      <c r="E696" s="235"/>
      <c r="F696" s="235"/>
      <c r="G696" s="126"/>
      <c r="H696" s="126"/>
      <c r="I696" s="126"/>
      <c r="J696" s="246"/>
      <c r="K696" s="235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</row>
    <row r="697" spans="1:30" ht="13.2">
      <c r="A697" s="246"/>
      <c r="B697" s="235" t="s">
        <v>337</v>
      </c>
      <c r="C697" s="243">
        <v>45353</v>
      </c>
      <c r="D697" s="235" t="s">
        <v>909</v>
      </c>
      <c r="E697" s="235" t="str">
        <f>VLOOKUP(D697,'Danh mục hàng hóa'!$C$3:$D$600,2,0)</f>
        <v>Gấu trúc gắn xe</v>
      </c>
      <c r="F697" s="236" t="str">
        <f>VLOOKUP(D697,'Danh mục hàng hóa'!$C$3:$E$613,3,0)</f>
        <v>cái</v>
      </c>
      <c r="G697" s="248">
        <v>30000</v>
      </c>
      <c r="H697" s="126"/>
      <c r="I697" s="248">
        <v>1</v>
      </c>
      <c r="J697" s="246"/>
      <c r="K697" s="237">
        <f t="shared" ref="K697:K778" si="47">G697*I697</f>
        <v>30000</v>
      </c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</row>
    <row r="698" spans="1:30" ht="13.2">
      <c r="A698" s="246"/>
      <c r="B698" s="235" t="s">
        <v>337</v>
      </c>
      <c r="C698" s="243">
        <v>45353</v>
      </c>
      <c r="D698" s="235" t="s">
        <v>2147</v>
      </c>
      <c r="E698" s="235" t="e">
        <f>VLOOKUP(D698,'Danh mục hàng hóa'!$C$3:$D$600,2,0)</f>
        <v>#N/A</v>
      </c>
      <c r="F698" s="236" t="e">
        <f>VLOOKUP(D698,'Danh mục hàng hóa'!$C$3:$E$613,3,0)</f>
        <v>#N/A</v>
      </c>
      <c r="G698" s="248">
        <v>25938</v>
      </c>
      <c r="H698" s="126"/>
      <c r="I698" s="248">
        <v>1</v>
      </c>
      <c r="J698" s="246"/>
      <c r="K698" s="237">
        <f t="shared" si="47"/>
        <v>25938</v>
      </c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</row>
    <row r="699" spans="1:30" ht="13.2">
      <c r="A699" s="246"/>
      <c r="B699" s="235" t="s">
        <v>337</v>
      </c>
      <c r="C699" s="243">
        <v>45353</v>
      </c>
      <c r="D699" s="235" t="s">
        <v>981</v>
      </c>
      <c r="E699" s="235" t="str">
        <f>VLOOKUP(D699,'Danh mục hàng hóa'!$C$3:$D$600,2,0)</f>
        <v>Móc khóa đôi corgy</v>
      </c>
      <c r="F699" s="236" t="str">
        <f>VLOOKUP(D699,'Danh mục hàng hóa'!$C$3:$E$613,3,0)</f>
        <v>cái</v>
      </c>
      <c r="G699" s="248">
        <v>41322</v>
      </c>
      <c r="H699" s="126"/>
      <c r="I699" s="248">
        <v>1</v>
      </c>
      <c r="J699" s="246"/>
      <c r="K699" s="237">
        <f t="shared" si="47"/>
        <v>41322</v>
      </c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</row>
    <row r="700" spans="1:30" ht="13.2">
      <c r="A700" s="246"/>
      <c r="B700" s="235" t="s">
        <v>337</v>
      </c>
      <c r="C700" s="243">
        <v>45353</v>
      </c>
      <c r="D700" s="235" t="s">
        <v>885</v>
      </c>
      <c r="E700" s="235" t="str">
        <f>VLOOKUP(D700,'Danh mục hàng hóa'!$C$3:$D$600,2,0)</f>
        <v>Gấu chong chóng</v>
      </c>
      <c r="F700" s="236" t="str">
        <f>VLOOKUP(D700,'Danh mục hàng hóa'!$C$3:$E$613,3,0)</f>
        <v>cái</v>
      </c>
      <c r="G700" s="248">
        <f t="shared" ref="G700:G701" si="48">86160/2</f>
        <v>43080</v>
      </c>
      <c r="H700" s="126"/>
      <c r="I700" s="248">
        <v>1</v>
      </c>
      <c r="J700" s="246"/>
      <c r="K700" s="237">
        <f t="shared" si="47"/>
        <v>43080</v>
      </c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</row>
    <row r="701" spans="1:30" ht="13.2">
      <c r="A701" s="246"/>
      <c r="B701" s="235" t="s">
        <v>337</v>
      </c>
      <c r="C701" s="243">
        <v>45353</v>
      </c>
      <c r="D701" s="235" t="s">
        <v>887</v>
      </c>
      <c r="E701" s="235" t="str">
        <f>VLOOKUP(D701,'Danh mục hàng hóa'!$C$3:$D$600,2,0)</f>
        <v>Mèo chong chóng</v>
      </c>
      <c r="F701" s="236" t="str">
        <f>VLOOKUP(D701,'Danh mục hàng hóa'!$C$3:$E$613,3,0)</f>
        <v>cái</v>
      </c>
      <c r="G701" s="248">
        <f t="shared" si="48"/>
        <v>43080</v>
      </c>
      <c r="H701" s="126"/>
      <c r="I701" s="248">
        <v>1</v>
      </c>
      <c r="J701" s="246"/>
      <c r="K701" s="237">
        <f t="shared" si="47"/>
        <v>43080</v>
      </c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</row>
    <row r="702" spans="1:30" ht="13.2">
      <c r="A702" s="246"/>
      <c r="B702" s="235" t="s">
        <v>337</v>
      </c>
      <c r="C702" s="243">
        <v>45353</v>
      </c>
      <c r="D702" s="235" t="s">
        <v>981</v>
      </c>
      <c r="E702" s="235" t="str">
        <f>VLOOKUP(D702,'Danh mục hàng hóa'!$C$3:$D$600,2,0)</f>
        <v>Móc khóa đôi corgy</v>
      </c>
      <c r="F702" s="236" t="str">
        <f>VLOOKUP(D702,'Danh mục hàng hóa'!$C$3:$E$613,3,0)</f>
        <v>cái</v>
      </c>
      <c r="G702" s="248">
        <v>41382</v>
      </c>
      <c r="H702" s="126"/>
      <c r="I702" s="248">
        <v>1</v>
      </c>
      <c r="J702" s="246"/>
      <c r="K702" s="237">
        <f t="shared" si="47"/>
        <v>41382</v>
      </c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</row>
    <row r="703" spans="1:30" ht="13.2">
      <c r="A703" s="246"/>
      <c r="B703" s="235" t="s">
        <v>337</v>
      </c>
      <c r="C703" s="243">
        <v>45353</v>
      </c>
      <c r="D703" s="235" t="s">
        <v>515</v>
      </c>
      <c r="E703" s="235" t="str">
        <f>VLOOKUP(D703,'Danh mục hàng hóa'!$C$3:$D$600,2,0)</f>
        <v>Trâm cài 17</v>
      </c>
      <c r="F703" s="236" t="str">
        <f>VLOOKUP(D703,'Danh mục hàng hóa'!$C$3:$E$613,3,0)</f>
        <v>cây</v>
      </c>
      <c r="G703" s="248">
        <f t="shared" ref="G703:G705" si="49">70824/3</f>
        <v>23608</v>
      </c>
      <c r="H703" s="126"/>
      <c r="I703" s="248">
        <v>1</v>
      </c>
      <c r="J703" s="246"/>
      <c r="K703" s="237">
        <f t="shared" si="47"/>
        <v>23608</v>
      </c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</row>
    <row r="704" spans="1:30" ht="13.2">
      <c r="A704" s="246"/>
      <c r="B704" s="235" t="s">
        <v>337</v>
      </c>
      <c r="C704" s="243">
        <v>45353</v>
      </c>
      <c r="D704" s="235" t="s">
        <v>521</v>
      </c>
      <c r="E704" s="235" t="str">
        <f>VLOOKUP(D704,'Danh mục hàng hóa'!$C$3:$D$600,2,0)</f>
        <v>Trâm cài 20</v>
      </c>
      <c r="F704" s="236" t="str">
        <f>VLOOKUP(D704,'Danh mục hàng hóa'!$C$3:$E$613,3,0)</f>
        <v>cây</v>
      </c>
      <c r="G704" s="248">
        <f t="shared" si="49"/>
        <v>23608</v>
      </c>
      <c r="H704" s="126"/>
      <c r="I704" s="248">
        <v>1</v>
      </c>
      <c r="J704" s="246"/>
      <c r="K704" s="237">
        <f t="shared" si="47"/>
        <v>23608</v>
      </c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</row>
    <row r="705" spans="1:30" ht="13.2">
      <c r="A705" s="246"/>
      <c r="B705" s="235" t="s">
        <v>337</v>
      </c>
      <c r="C705" s="243">
        <v>45353</v>
      </c>
      <c r="D705" s="235" t="s">
        <v>523</v>
      </c>
      <c r="E705" s="235" t="str">
        <f>VLOOKUP(D705,'Danh mục hàng hóa'!$C$3:$D$600,2,0)</f>
        <v>Trâm cài 21</v>
      </c>
      <c r="F705" s="236" t="str">
        <f>VLOOKUP(D705,'Danh mục hàng hóa'!$C$3:$E$613,3,0)</f>
        <v>cây</v>
      </c>
      <c r="G705" s="248">
        <f t="shared" si="49"/>
        <v>23608</v>
      </c>
      <c r="H705" s="126"/>
      <c r="I705" s="248">
        <v>1</v>
      </c>
      <c r="J705" s="246"/>
      <c r="K705" s="237">
        <f t="shared" si="47"/>
        <v>23608</v>
      </c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</row>
    <row r="706" spans="1:30" ht="13.2">
      <c r="A706" s="246"/>
      <c r="B706" s="235" t="s">
        <v>337</v>
      </c>
      <c r="C706" s="243">
        <v>45353</v>
      </c>
      <c r="D706" s="235" t="s">
        <v>981</v>
      </c>
      <c r="E706" s="235" t="str">
        <f>VLOOKUP(D706,'Danh mục hàng hóa'!$C$3:$D$600,2,0)</f>
        <v>Móc khóa đôi corgy</v>
      </c>
      <c r="F706" s="236" t="str">
        <f>VLOOKUP(D706,'Danh mục hàng hóa'!$C$3:$E$613,3,0)</f>
        <v>cái</v>
      </c>
      <c r="G706" s="248">
        <v>53180</v>
      </c>
      <c r="H706" s="126"/>
      <c r="I706" s="248">
        <v>1</v>
      </c>
      <c r="J706" s="246"/>
      <c r="K706" s="237">
        <f t="shared" si="47"/>
        <v>53180</v>
      </c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</row>
    <row r="707" spans="1:30" ht="13.2">
      <c r="A707" s="246"/>
      <c r="B707" s="235" t="s">
        <v>337</v>
      </c>
      <c r="C707" s="243">
        <v>45353</v>
      </c>
      <c r="D707" s="235" t="s">
        <v>983</v>
      </c>
      <c r="E707" s="235" t="str">
        <f>VLOOKUP(D707,'Danh mục hàng hóa'!$C$3:$D$600,2,0)</f>
        <v>Móc khoá đôi thỏ</v>
      </c>
      <c r="F707" s="236" t="str">
        <f>VLOOKUP(D707,'Danh mục hàng hóa'!$C$3:$E$613,3,0)</f>
        <v>cái</v>
      </c>
      <c r="G707" s="248">
        <v>46920</v>
      </c>
      <c r="H707" s="126"/>
      <c r="I707" s="248">
        <v>1</v>
      </c>
      <c r="J707" s="246"/>
      <c r="K707" s="237">
        <f t="shared" si="47"/>
        <v>46920</v>
      </c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</row>
    <row r="708" spans="1:30" ht="13.2">
      <c r="A708" s="246"/>
      <c r="B708" s="235" t="s">
        <v>337</v>
      </c>
      <c r="C708" s="243">
        <v>45353</v>
      </c>
      <c r="D708" s="235" t="s">
        <v>424</v>
      </c>
      <c r="E708" s="235" t="str">
        <f>VLOOKUP(D708,'Danh mục hàng hóa'!$C$3:$D$600,2,0)</f>
        <v>Túi chườm bụng vịt vàng 500ml</v>
      </c>
      <c r="F708" s="236" t="str">
        <f>VLOOKUP(D708,'Danh mục hàng hóa'!$C$3:$E$613,3,0)</f>
        <v>túi</v>
      </c>
      <c r="G708" s="248">
        <v>67260</v>
      </c>
      <c r="H708" s="126"/>
      <c r="I708" s="248">
        <v>1</v>
      </c>
      <c r="J708" s="246"/>
      <c r="K708" s="237">
        <f t="shared" si="47"/>
        <v>67260</v>
      </c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</row>
    <row r="709" spans="1:30" ht="13.2">
      <c r="A709" s="246"/>
      <c r="B709" s="235" t="s">
        <v>337</v>
      </c>
      <c r="C709" s="243">
        <v>45353</v>
      </c>
      <c r="D709" s="235" t="s">
        <v>981</v>
      </c>
      <c r="E709" s="235" t="str">
        <f>VLOOKUP(D709,'Danh mục hàng hóa'!$C$3:$D$600,2,0)</f>
        <v>Móc khóa đôi corgy</v>
      </c>
      <c r="F709" s="236" t="str">
        <f>VLOOKUP(D709,'Danh mục hàng hóa'!$C$3:$E$613,3,0)</f>
        <v>cái</v>
      </c>
      <c r="G709" s="248">
        <f t="shared" ref="G709:G710" si="50">83160/2</f>
        <v>41580</v>
      </c>
      <c r="H709" s="126"/>
      <c r="I709" s="248">
        <v>1</v>
      </c>
      <c r="J709" s="246"/>
      <c r="K709" s="237">
        <f t="shared" si="47"/>
        <v>41580</v>
      </c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</row>
    <row r="710" spans="1:30" ht="13.2">
      <c r="A710" s="246"/>
      <c r="B710" s="235" t="s">
        <v>337</v>
      </c>
      <c r="C710" s="243">
        <v>45353</v>
      </c>
      <c r="D710" s="235" t="s">
        <v>977</v>
      </c>
      <c r="E710" s="235" t="str">
        <f>VLOOKUP(D710,'Danh mục hàng hóa'!$C$3:$D$600,2,0)</f>
        <v>Móc khóa đôi heo</v>
      </c>
      <c r="F710" s="236" t="str">
        <f>VLOOKUP(D710,'Danh mục hàng hóa'!$C$3:$E$613,3,0)</f>
        <v>cái</v>
      </c>
      <c r="G710" s="248">
        <f t="shared" si="50"/>
        <v>41580</v>
      </c>
      <c r="H710" s="126"/>
      <c r="I710" s="248">
        <v>1</v>
      </c>
      <c r="J710" s="246"/>
      <c r="K710" s="237">
        <f t="shared" si="47"/>
        <v>41580</v>
      </c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</row>
    <row r="711" spans="1:30" ht="13.2">
      <c r="A711" s="246"/>
      <c r="B711" s="235" t="s">
        <v>337</v>
      </c>
      <c r="C711" s="243">
        <v>45353</v>
      </c>
      <c r="D711" s="235" t="s">
        <v>983</v>
      </c>
      <c r="E711" s="235" t="str">
        <f>VLOOKUP(D711,'Danh mục hàng hóa'!$C$3:$D$600,2,0)</f>
        <v>Móc khoá đôi thỏ</v>
      </c>
      <c r="F711" s="236" t="str">
        <f>VLOOKUP(D711,'Danh mục hàng hóa'!$C$3:$E$613,3,0)</f>
        <v>cái</v>
      </c>
      <c r="G711" s="248">
        <v>56000</v>
      </c>
      <c r="H711" s="126"/>
      <c r="I711" s="248">
        <v>1</v>
      </c>
      <c r="J711" s="246"/>
      <c r="K711" s="237">
        <f t="shared" si="47"/>
        <v>56000</v>
      </c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</row>
    <row r="712" spans="1:30" ht="13.2">
      <c r="A712" s="246"/>
      <c r="B712" s="235" t="s">
        <v>337</v>
      </c>
      <c r="C712" s="243">
        <v>45353</v>
      </c>
      <c r="D712" s="235" t="s">
        <v>864</v>
      </c>
      <c r="E712" s="235" t="str">
        <f>VLOOKUP(D712,'Danh mục hàng hóa'!$C$3:$D$600,2,0)</f>
        <v>Thước dây hồng đất</v>
      </c>
      <c r="F712" s="236" t="str">
        <f>VLOOKUP(D712,'Danh mục hàng hóa'!$C$3:$E$613,3,0)</f>
        <v>cái</v>
      </c>
      <c r="G712" s="248">
        <v>6000</v>
      </c>
      <c r="H712" s="126"/>
      <c r="I712" s="248">
        <v>1</v>
      </c>
      <c r="J712" s="246"/>
      <c r="K712" s="237">
        <f t="shared" si="47"/>
        <v>6000</v>
      </c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</row>
    <row r="713" spans="1:30" ht="13.2">
      <c r="A713" s="246"/>
      <c r="B713" s="235" t="s">
        <v>337</v>
      </c>
      <c r="C713" s="243">
        <v>45353</v>
      </c>
      <c r="D713" s="235" t="s">
        <v>584</v>
      </c>
      <c r="E713" s="235" t="str">
        <f>VLOOKUP(D713,'Danh mục hàng hóa'!$C$3:$D$600,2,0)</f>
        <v>Kẹp tóc nhựa nâu đậm</v>
      </c>
      <c r="F713" s="236" t="str">
        <f>VLOOKUP(D713,'Danh mục hàng hóa'!$C$3:$E$613,3,0)</f>
        <v>cái</v>
      </c>
      <c r="G713" s="248">
        <v>8000</v>
      </c>
      <c r="H713" s="126"/>
      <c r="I713" s="248">
        <v>1</v>
      </c>
      <c r="J713" s="246"/>
      <c r="K713" s="237">
        <f t="shared" si="47"/>
        <v>8000</v>
      </c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</row>
    <row r="714" spans="1:30" ht="13.2">
      <c r="A714" s="246"/>
      <c r="B714" s="235" t="s">
        <v>337</v>
      </c>
      <c r="C714" s="243">
        <v>45353</v>
      </c>
      <c r="D714" s="235" t="s">
        <v>1035</v>
      </c>
      <c r="E714" s="235" t="str">
        <f>VLOOKUP(D714,'Danh mục hàng hóa'!$C$3:$D$600,2,0)</f>
        <v>Vớ cổ ngắn trắng thêu họa tiết mẫu 1</v>
      </c>
      <c r="F714" s="236" t="str">
        <f>VLOOKUP(D714,'Danh mục hàng hóa'!$C$3:$E$613,3,0)</f>
        <v>đôi</v>
      </c>
      <c r="G714" s="248">
        <v>6000</v>
      </c>
      <c r="H714" s="126"/>
      <c r="I714" s="248">
        <v>1</v>
      </c>
      <c r="J714" s="246"/>
      <c r="K714" s="237">
        <f t="shared" si="47"/>
        <v>6000</v>
      </c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</row>
    <row r="715" spans="1:30" ht="13.2">
      <c r="A715" s="246"/>
      <c r="B715" s="235" t="s">
        <v>337</v>
      </c>
      <c r="C715" s="243">
        <v>45353</v>
      </c>
      <c r="D715" s="235" t="s">
        <v>1042</v>
      </c>
      <c r="E715" s="235" t="str">
        <f>VLOOKUP(D715,'Danh mục hàng hóa'!$C$3:$D$600,2,0)</f>
        <v>Vớ cổ ngắn trắng thêu họa tiết mẫu 4</v>
      </c>
      <c r="F715" s="236" t="str">
        <f>VLOOKUP(D715,'Danh mục hàng hóa'!$C$3:$E$613,3,0)</f>
        <v>đôi</v>
      </c>
      <c r="G715" s="248">
        <v>6000</v>
      </c>
      <c r="H715" s="126"/>
      <c r="I715" s="248">
        <v>1</v>
      </c>
      <c r="J715" s="246"/>
      <c r="K715" s="237">
        <f t="shared" si="47"/>
        <v>6000</v>
      </c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</row>
    <row r="716" spans="1:30" ht="13.2">
      <c r="A716" s="246"/>
      <c r="B716" s="235" t="s">
        <v>337</v>
      </c>
      <c r="C716" s="243">
        <v>45353</v>
      </c>
      <c r="D716" s="235" t="s">
        <v>1078</v>
      </c>
      <c r="E716" s="235" t="str">
        <f>VLOOKUP(D716,'Danh mục hàng hóa'!$C$3:$D$600,2,0)</f>
        <v>Vớ trắng icon be 3</v>
      </c>
      <c r="F716" s="236" t="str">
        <f>VLOOKUP(D716,'Danh mục hàng hóa'!$C$3:$E$613,3,0)</f>
        <v>đôi</v>
      </c>
      <c r="G716" s="248">
        <v>6000</v>
      </c>
      <c r="H716" s="126"/>
      <c r="I716" s="248">
        <v>1</v>
      </c>
      <c r="J716" s="246"/>
      <c r="K716" s="237">
        <f t="shared" si="47"/>
        <v>6000</v>
      </c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</row>
    <row r="717" spans="1:30" ht="13.2">
      <c r="A717" s="246"/>
      <c r="B717" s="235" t="s">
        <v>337</v>
      </c>
      <c r="C717" s="243">
        <v>45354</v>
      </c>
      <c r="D717" s="235" t="s">
        <v>983</v>
      </c>
      <c r="E717" s="235" t="str">
        <f>VLOOKUP(D717,'Danh mục hàng hóa'!$C$3:$D$600,2,0)</f>
        <v>Móc khoá đôi thỏ</v>
      </c>
      <c r="F717" s="236" t="str">
        <f>VLOOKUP(D717,'Danh mục hàng hóa'!$C$3:$E$613,3,0)</f>
        <v>cái</v>
      </c>
      <c r="G717" s="248">
        <v>43420</v>
      </c>
      <c r="H717" s="126"/>
      <c r="I717" s="248">
        <v>1</v>
      </c>
      <c r="J717" s="246"/>
      <c r="K717" s="237">
        <f t="shared" si="47"/>
        <v>43420</v>
      </c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</row>
    <row r="718" spans="1:30" ht="13.2">
      <c r="A718" s="246"/>
      <c r="B718" s="235" t="s">
        <v>337</v>
      </c>
      <c r="C718" s="243">
        <v>45354</v>
      </c>
      <c r="D718" s="235" t="s">
        <v>981</v>
      </c>
      <c r="E718" s="235" t="str">
        <f>VLOOKUP(D718,'Danh mục hàng hóa'!$C$3:$D$600,2,0)</f>
        <v>Móc khóa đôi corgy</v>
      </c>
      <c r="F718" s="236" t="str">
        <f>VLOOKUP(D718,'Danh mục hàng hóa'!$C$3:$E$613,3,0)</f>
        <v>cái</v>
      </c>
      <c r="G718" s="248">
        <v>45680</v>
      </c>
      <c r="H718" s="126"/>
      <c r="I718" s="248">
        <v>1</v>
      </c>
      <c r="J718" s="246"/>
      <c r="K718" s="237">
        <f t="shared" si="47"/>
        <v>45680</v>
      </c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</row>
    <row r="719" spans="1:30" ht="13.2">
      <c r="A719" s="246"/>
      <c r="B719" s="235" t="s">
        <v>337</v>
      </c>
      <c r="C719" s="243">
        <v>45354</v>
      </c>
      <c r="D719" s="235" t="s">
        <v>981</v>
      </c>
      <c r="E719" s="235" t="str">
        <f>VLOOKUP(D719,'Danh mục hàng hóa'!$C$3:$D$600,2,0)</f>
        <v>Móc khóa đôi corgy</v>
      </c>
      <c r="F719" s="236" t="str">
        <f>VLOOKUP(D719,'Danh mục hàng hóa'!$C$3:$E$613,3,0)</f>
        <v>cái</v>
      </c>
      <c r="G719" s="248">
        <v>40862</v>
      </c>
      <c r="H719" s="126"/>
      <c r="I719" s="248">
        <v>1</v>
      </c>
      <c r="J719" s="246"/>
      <c r="K719" s="237">
        <f t="shared" si="47"/>
        <v>40862</v>
      </c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</row>
    <row r="720" spans="1:30" ht="13.2">
      <c r="A720" s="246"/>
      <c r="B720" s="235" t="s">
        <v>337</v>
      </c>
      <c r="C720" s="243">
        <v>45354</v>
      </c>
      <c r="D720" s="235" t="s">
        <v>887</v>
      </c>
      <c r="E720" s="235" t="str">
        <f>VLOOKUP(D720,'Danh mục hàng hóa'!$C$3:$D$600,2,0)</f>
        <v>Mèo chong chóng</v>
      </c>
      <c r="F720" s="236" t="str">
        <f>VLOOKUP(D720,'Danh mục hàng hóa'!$C$3:$E$613,3,0)</f>
        <v>cái</v>
      </c>
      <c r="G720" s="248">
        <v>43726</v>
      </c>
      <c r="H720" s="126"/>
      <c r="I720" s="248">
        <v>1</v>
      </c>
      <c r="J720" s="246"/>
      <c r="K720" s="237">
        <f t="shared" si="47"/>
        <v>43726</v>
      </c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</row>
    <row r="721" spans="1:30" ht="13.2">
      <c r="A721" s="246"/>
      <c r="B721" s="235" t="s">
        <v>337</v>
      </c>
      <c r="C721" s="243">
        <v>45354</v>
      </c>
      <c r="D721" s="235" t="s">
        <v>885</v>
      </c>
      <c r="E721" s="235" t="str">
        <f>VLOOKUP(D721,'Danh mục hàng hóa'!$C$3:$D$600,2,0)</f>
        <v>Gấu chong chóng</v>
      </c>
      <c r="F721" s="236" t="str">
        <f>VLOOKUP(D721,'Danh mục hàng hóa'!$C$3:$E$613,3,0)</f>
        <v>cái</v>
      </c>
      <c r="G721" s="248">
        <v>44000</v>
      </c>
      <c r="H721" s="126"/>
      <c r="I721" s="248">
        <v>1</v>
      </c>
      <c r="J721" s="246"/>
      <c r="K721" s="237">
        <f t="shared" si="47"/>
        <v>44000</v>
      </c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</row>
    <row r="722" spans="1:30" ht="13.2">
      <c r="A722" s="246"/>
      <c r="B722" s="235" t="s">
        <v>337</v>
      </c>
      <c r="C722" s="243">
        <v>45354</v>
      </c>
      <c r="D722" s="235" t="s">
        <v>2150</v>
      </c>
      <c r="E722" s="235" t="str">
        <f>VLOOKUP(D722,'Danh mục hàng hóa'!$C$3:$D$600,2,0)</f>
        <v>Thỏ chạy xe gắn xe</v>
      </c>
      <c r="F722" s="236" t="str">
        <f>VLOOKUP(D722,'Danh mục hàng hóa'!$C$3:$E$613,3,0)</f>
        <v>cái</v>
      </c>
      <c r="G722" s="248">
        <v>37000</v>
      </c>
      <c r="H722" s="126"/>
      <c r="I722" s="248">
        <v>1</v>
      </c>
      <c r="J722" s="246"/>
      <c r="K722" s="237">
        <f t="shared" si="47"/>
        <v>37000</v>
      </c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</row>
    <row r="723" spans="1:30" ht="13.2">
      <c r="A723" s="246"/>
      <c r="B723" s="235" t="s">
        <v>337</v>
      </c>
      <c r="C723" s="243">
        <v>45354</v>
      </c>
      <c r="D723" s="235" t="s">
        <v>917</v>
      </c>
      <c r="E723" s="235" t="str">
        <f>VLOOKUP(D723,'Danh mục hàng hóa'!$C$3:$D$600,2,0)</f>
        <v>Thỏ đi vịt gắn xe</v>
      </c>
      <c r="F723" s="236" t="str">
        <f>VLOOKUP(D723,'Danh mục hàng hóa'!$C$3:$E$613,3,0)</f>
        <v>cái</v>
      </c>
      <c r="G723" s="248">
        <v>37000</v>
      </c>
      <c r="H723" s="126"/>
      <c r="I723" s="248">
        <v>1</v>
      </c>
      <c r="J723" s="246"/>
      <c r="K723" s="237">
        <f t="shared" si="47"/>
        <v>37000</v>
      </c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</row>
    <row r="724" spans="1:30" ht="13.2">
      <c r="A724" s="246"/>
      <c r="B724" s="235" t="s">
        <v>337</v>
      </c>
      <c r="C724" s="243">
        <v>45354</v>
      </c>
      <c r="D724" s="235" t="s">
        <v>697</v>
      </c>
      <c r="E724" s="235" t="str">
        <f>VLOOKUP(D724,'Danh mục hàng hóa'!$C$3:$D$600,2,0)</f>
        <v>Buộc tóc lụa hoa be</v>
      </c>
      <c r="F724" s="236" t="str">
        <f>VLOOKUP(D724,'Danh mục hàng hóa'!$C$3:$E$613,3,0)</f>
        <v>cái</v>
      </c>
      <c r="G724" s="248">
        <v>12000</v>
      </c>
      <c r="H724" s="126"/>
      <c r="I724" s="248">
        <v>1</v>
      </c>
      <c r="J724" s="246"/>
      <c r="K724" s="237">
        <f t="shared" si="47"/>
        <v>12000</v>
      </c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</row>
    <row r="725" spans="1:30" ht="13.2">
      <c r="A725" s="246"/>
      <c r="B725" s="235" t="s">
        <v>337</v>
      </c>
      <c r="C725" s="243">
        <v>45354</v>
      </c>
      <c r="D725" s="235" t="s">
        <v>576</v>
      </c>
      <c r="E725" s="235" t="str">
        <f>VLOOKUP(D725,'Danh mục hàng hóa'!$C$3:$D$600,2,0)</f>
        <v>Ống 6 dây cột tóc đen</v>
      </c>
      <c r="F725" s="236" t="str">
        <f>VLOOKUP(D725,'Danh mục hàng hóa'!$C$3:$E$613,3,0)</f>
        <v>ống</v>
      </c>
      <c r="G725" s="248">
        <v>12000</v>
      </c>
      <c r="H725" s="126"/>
      <c r="I725" s="248">
        <v>1</v>
      </c>
      <c r="J725" s="246"/>
      <c r="K725" s="237">
        <f t="shared" si="47"/>
        <v>12000</v>
      </c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</row>
    <row r="726" spans="1:30" ht="13.2">
      <c r="A726" s="246"/>
      <c r="B726" s="235" t="s">
        <v>337</v>
      </c>
      <c r="C726" s="243">
        <v>45354</v>
      </c>
      <c r="D726" s="235" t="s">
        <v>568</v>
      </c>
      <c r="E726" s="235" t="str">
        <f>VLOOKUP(D726,'Danh mục hàng hóa'!$C$3:$D$600,2,0)</f>
        <v>Ống 100 dây cột tóc đen</v>
      </c>
      <c r="F726" s="236" t="str">
        <f>VLOOKUP(D726,'Danh mục hàng hóa'!$C$3:$E$613,3,0)</f>
        <v>ống</v>
      </c>
      <c r="G726" s="248">
        <v>12000</v>
      </c>
      <c r="H726" s="126"/>
      <c r="I726" s="248">
        <v>1</v>
      </c>
      <c r="J726" s="246"/>
      <c r="K726" s="237">
        <f t="shared" si="47"/>
        <v>12000</v>
      </c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</row>
    <row r="727" spans="1:30" ht="13.2">
      <c r="A727" s="246"/>
      <c r="B727" s="235" t="s">
        <v>337</v>
      </c>
      <c r="C727" s="243">
        <v>45354</v>
      </c>
      <c r="D727" s="235" t="s">
        <v>983</v>
      </c>
      <c r="E727" s="235" t="str">
        <f>VLOOKUP(D727,'Danh mục hàng hóa'!$C$3:$D$600,2,0)</f>
        <v>Móc khoá đôi thỏ</v>
      </c>
      <c r="F727" s="236" t="str">
        <f>VLOOKUP(D727,'Danh mục hàng hóa'!$C$3:$E$613,3,0)</f>
        <v>cái</v>
      </c>
      <c r="G727" s="248">
        <v>42860</v>
      </c>
      <c r="H727" s="126"/>
      <c r="I727" s="248">
        <v>1</v>
      </c>
      <c r="J727" s="246"/>
      <c r="K727" s="237">
        <f t="shared" si="47"/>
        <v>42860</v>
      </c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</row>
    <row r="728" spans="1:30" ht="13.2">
      <c r="A728" s="246"/>
      <c r="B728" s="235" t="s">
        <v>337</v>
      </c>
      <c r="C728" s="243">
        <v>45354</v>
      </c>
      <c r="D728" s="235" t="s">
        <v>499</v>
      </c>
      <c r="E728" s="235" t="str">
        <f>VLOOKUP(D728,'Danh mục hàng hóa'!$C$3:$D$600,2,0)</f>
        <v>Trâm cài 09</v>
      </c>
      <c r="F728" s="236" t="str">
        <f>VLOOKUP(D728,'Danh mục hàng hóa'!$C$3:$E$613,3,0)</f>
        <v>cây</v>
      </c>
      <c r="G728" s="248">
        <v>30000</v>
      </c>
      <c r="H728" s="126"/>
      <c r="I728" s="248">
        <v>1</v>
      </c>
      <c r="J728" s="246"/>
      <c r="K728" s="237">
        <f t="shared" si="47"/>
        <v>30000</v>
      </c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</row>
    <row r="729" spans="1:30" ht="13.2">
      <c r="A729" s="246"/>
      <c r="B729" s="235" t="s">
        <v>337</v>
      </c>
      <c r="C729" s="243">
        <v>45354</v>
      </c>
      <c r="D729" s="235" t="s">
        <v>505</v>
      </c>
      <c r="E729" s="235" t="str">
        <f>VLOOKUP(D729,'Danh mục hàng hóa'!$C$3:$D$600,2,0)</f>
        <v>Trâm cài 12</v>
      </c>
      <c r="F729" s="236" t="str">
        <f>VLOOKUP(D729,'Danh mục hàng hóa'!$C$3:$E$613,3,0)</f>
        <v>cây</v>
      </c>
      <c r="G729" s="248">
        <v>25440</v>
      </c>
      <c r="H729" s="126"/>
      <c r="I729" s="248">
        <v>1</v>
      </c>
      <c r="J729" s="246"/>
      <c r="K729" s="237">
        <f t="shared" si="47"/>
        <v>25440</v>
      </c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</row>
    <row r="730" spans="1:30" ht="13.2">
      <c r="A730" s="246"/>
      <c r="B730" s="235" t="s">
        <v>337</v>
      </c>
      <c r="C730" s="243">
        <v>45354</v>
      </c>
      <c r="D730" s="235" t="s">
        <v>497</v>
      </c>
      <c r="E730" s="235" t="str">
        <f>VLOOKUP(D730,'Danh mục hàng hóa'!$C$3:$D$600,2,0)</f>
        <v>Trâm cài 08</v>
      </c>
      <c r="F730" s="236" t="str">
        <f>VLOOKUP(D730,'Danh mục hàng hóa'!$C$3:$E$613,3,0)</f>
        <v>cây</v>
      </c>
      <c r="G730" s="248">
        <v>50000</v>
      </c>
      <c r="H730" s="126"/>
      <c r="I730" s="248">
        <v>1</v>
      </c>
      <c r="J730" s="246"/>
      <c r="K730" s="237">
        <f t="shared" si="47"/>
        <v>50000</v>
      </c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</row>
    <row r="731" spans="1:30" ht="13.2">
      <c r="A731" s="246"/>
      <c r="B731" s="235" t="s">
        <v>337</v>
      </c>
      <c r="C731" s="243">
        <v>45354</v>
      </c>
      <c r="D731" s="235" t="s">
        <v>517</v>
      </c>
      <c r="E731" s="235" t="str">
        <f>VLOOKUP(D731,'Danh mục hàng hóa'!$C$3:$D$600,2,0)</f>
        <v>Trâm cài 18</v>
      </c>
      <c r="F731" s="236" t="str">
        <f>VLOOKUP(D731,'Danh mục hàng hóa'!$C$3:$E$613,3,0)</f>
        <v>cây</v>
      </c>
      <c r="G731" s="248">
        <v>28000</v>
      </c>
      <c r="H731" s="126"/>
      <c r="I731" s="248">
        <v>1</v>
      </c>
      <c r="J731" s="246"/>
      <c r="K731" s="237">
        <f t="shared" si="47"/>
        <v>28000</v>
      </c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</row>
    <row r="732" spans="1:30" ht="13.2">
      <c r="A732" s="246"/>
      <c r="B732" s="235" t="s">
        <v>337</v>
      </c>
      <c r="C732" s="243">
        <v>45354</v>
      </c>
      <c r="D732" s="235" t="s">
        <v>515</v>
      </c>
      <c r="E732" s="235" t="str">
        <f>VLOOKUP(D732,'Danh mục hàng hóa'!$C$3:$D$600,2,0)</f>
        <v>Trâm cài 17</v>
      </c>
      <c r="F732" s="236" t="str">
        <f>VLOOKUP(D732,'Danh mục hàng hóa'!$C$3:$E$613,3,0)</f>
        <v>cây</v>
      </c>
      <c r="G732" s="248">
        <f>93984-G731-G730</f>
        <v>15984</v>
      </c>
      <c r="H732" s="126"/>
      <c r="I732" s="248">
        <v>1</v>
      </c>
      <c r="J732" s="246"/>
      <c r="K732" s="237">
        <f t="shared" si="47"/>
        <v>15984</v>
      </c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</row>
    <row r="733" spans="1:30" ht="13.2">
      <c r="A733" s="246"/>
      <c r="B733" s="235" t="s">
        <v>337</v>
      </c>
      <c r="C733" s="243">
        <v>45355</v>
      </c>
      <c r="D733" s="235" t="s">
        <v>413</v>
      </c>
      <c r="E733" s="235" t="str">
        <f>VLOOKUP(D733,'Danh mục hàng hóa'!$C$3:$D$600,2,0)</f>
        <v>Túi chườm bụng trái bơ 500ml</v>
      </c>
      <c r="F733" s="236" t="str">
        <f>VLOOKUP(D733,'Danh mục hàng hóa'!$C$3:$E$613,3,0)</f>
        <v>túi</v>
      </c>
      <c r="G733" s="248">
        <v>60000</v>
      </c>
      <c r="H733" s="126"/>
      <c r="I733" s="248">
        <v>1</v>
      </c>
      <c r="J733" s="246"/>
      <c r="K733" s="237">
        <f t="shared" si="47"/>
        <v>60000</v>
      </c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</row>
    <row r="734" spans="1:30" ht="13.2">
      <c r="A734" s="246"/>
      <c r="B734" s="235" t="s">
        <v>337</v>
      </c>
      <c r="C734" s="243">
        <v>45355</v>
      </c>
      <c r="D734" s="235" t="s">
        <v>979</v>
      </c>
      <c r="E734" s="235" t="str">
        <f>VLOOKUP(D734,'Danh mục hàng hóa'!$C$3:$D$600,2,0)</f>
        <v>Móc khóa đôi thỏ cà rốt</v>
      </c>
      <c r="F734" s="236" t="str">
        <f>VLOOKUP(D734,'Danh mục hàng hóa'!$C$3:$E$613,3,0)</f>
        <v>cái</v>
      </c>
      <c r="G734" s="248">
        <v>35000</v>
      </c>
      <c r="H734" s="126"/>
      <c r="I734" s="248">
        <v>1</v>
      </c>
      <c r="J734" s="246"/>
      <c r="K734" s="237">
        <f t="shared" si="47"/>
        <v>35000</v>
      </c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</row>
    <row r="735" spans="1:30" ht="13.2">
      <c r="A735" s="246"/>
      <c r="B735" s="235" t="s">
        <v>337</v>
      </c>
      <c r="C735" s="243">
        <v>45355</v>
      </c>
      <c r="D735" s="235" t="s">
        <v>2151</v>
      </c>
      <c r="E735" s="235" t="str">
        <f>VLOOKUP(D735,'Danh mục hàng hóa'!$C$3:$D$600,2,0)</f>
        <v>Buộc tóc hồng lông nhỏ</v>
      </c>
      <c r="F735" s="236" t="str">
        <f>VLOOKUP(D735,'Danh mục hàng hóa'!$C$3:$E$613,3,0)</f>
        <v>cái</v>
      </c>
      <c r="G735" s="248">
        <v>10000</v>
      </c>
      <c r="H735" s="126"/>
      <c r="I735" s="248">
        <v>1</v>
      </c>
      <c r="J735" s="246"/>
      <c r="K735" s="237">
        <f t="shared" si="47"/>
        <v>10000</v>
      </c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</row>
    <row r="736" spans="1:30" ht="13.2">
      <c r="A736" s="246"/>
      <c r="B736" s="235" t="s">
        <v>337</v>
      </c>
      <c r="C736" s="243">
        <v>45355</v>
      </c>
      <c r="D736" s="235" t="s">
        <v>713</v>
      </c>
      <c r="E736" s="236" t="str">
        <f>VLOOKUP(D736,'Danh mục hàng hóa'!$C$3:$D$600,2,0)</f>
        <v>Buộc tóc scrunchies hồng cam</v>
      </c>
      <c r="F736" s="236" t="str">
        <f>VLOOKUP(D736,'Danh mục hàng hóa'!$C$3:$E$613,3,0)</f>
        <v>cái</v>
      </c>
      <c r="G736" s="248">
        <v>12000</v>
      </c>
      <c r="H736" s="126"/>
      <c r="I736" s="248">
        <v>1</v>
      </c>
      <c r="J736" s="246"/>
      <c r="K736" s="237">
        <f t="shared" si="47"/>
        <v>12000</v>
      </c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</row>
    <row r="737" spans="1:30" ht="13.2">
      <c r="A737" s="246"/>
      <c r="B737" s="235" t="s">
        <v>337</v>
      </c>
      <c r="C737" s="243">
        <v>45355</v>
      </c>
      <c r="D737" s="235" t="s">
        <v>887</v>
      </c>
      <c r="E737" s="235" t="str">
        <f>VLOOKUP(D737,'Danh mục hàng hóa'!$C$3:$D$600,2,0)</f>
        <v>Mèo chong chóng</v>
      </c>
      <c r="F737" s="236" t="str">
        <f>VLOOKUP(D737,'Danh mục hàng hóa'!$C$3:$E$613,3,0)</f>
        <v>cái</v>
      </c>
      <c r="G737" s="248">
        <v>34080</v>
      </c>
      <c r="H737" s="126"/>
      <c r="I737" s="248">
        <v>1</v>
      </c>
      <c r="J737" s="246"/>
      <c r="K737" s="237">
        <f t="shared" si="47"/>
        <v>34080</v>
      </c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</row>
    <row r="738" spans="1:30" ht="13.2">
      <c r="A738" s="246"/>
      <c r="B738" s="235" t="s">
        <v>337</v>
      </c>
      <c r="C738" s="243">
        <v>45355</v>
      </c>
      <c r="D738" s="235" t="s">
        <v>913</v>
      </c>
      <c r="E738" s="235" t="str">
        <f>VLOOKUP(D738,'Danh mục hàng hóa'!$C$3:$D$600,2,0)</f>
        <v>Thỏ máy bay gắn xe</v>
      </c>
      <c r="F738" s="236" t="str">
        <f>VLOOKUP(D738,'Danh mục hàng hóa'!$C$3:$E$613,3,0)</f>
        <v>cái</v>
      </c>
      <c r="G738" s="248">
        <v>35000</v>
      </c>
      <c r="H738" s="126"/>
      <c r="I738" s="248">
        <v>1</v>
      </c>
      <c r="J738" s="246"/>
      <c r="K738" s="237">
        <f t="shared" si="47"/>
        <v>35000</v>
      </c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</row>
    <row r="739" spans="1:30" ht="13.2">
      <c r="A739" s="246"/>
      <c r="B739" s="235" t="s">
        <v>337</v>
      </c>
      <c r="C739" s="243">
        <v>45355</v>
      </c>
      <c r="D739" s="235" t="s">
        <v>913</v>
      </c>
      <c r="E739" s="235" t="str">
        <f>VLOOKUP(D739,'Danh mục hàng hóa'!$C$3:$D$600,2,0)</f>
        <v>Thỏ máy bay gắn xe</v>
      </c>
      <c r="F739" s="236" t="str">
        <f>VLOOKUP(D739,'Danh mục hàng hóa'!$C$3:$E$613,3,0)</f>
        <v>cái</v>
      </c>
      <c r="G739" s="248">
        <v>32882</v>
      </c>
      <c r="H739" s="126"/>
      <c r="I739" s="248">
        <v>1</v>
      </c>
      <c r="J739" s="246"/>
      <c r="K739" s="237">
        <f t="shared" si="47"/>
        <v>32882</v>
      </c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</row>
    <row r="740" spans="1:30" ht="13.2">
      <c r="A740" s="246"/>
      <c r="B740" s="235" t="s">
        <v>337</v>
      </c>
      <c r="C740" s="243">
        <v>45355</v>
      </c>
      <c r="D740" s="235" t="s">
        <v>915</v>
      </c>
      <c r="E740" s="235" t="str">
        <f>VLOOKUP(D740,'Danh mục hàng hóa'!$C$3:$D$600,2,0)</f>
        <v>Thỏ chạy xe gắn xe</v>
      </c>
      <c r="F740" s="236" t="str">
        <f>VLOOKUP(D740,'Danh mục hàng hóa'!$C$3:$E$613,3,0)</f>
        <v>cái</v>
      </c>
      <c r="G740" s="248">
        <v>33022</v>
      </c>
      <c r="H740" s="126"/>
      <c r="I740" s="248">
        <v>1</v>
      </c>
      <c r="J740" s="246"/>
      <c r="K740" s="237">
        <f t="shared" si="47"/>
        <v>33022</v>
      </c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</row>
    <row r="741" spans="1:30" ht="13.2">
      <c r="A741" s="246"/>
      <c r="B741" s="235" t="s">
        <v>337</v>
      </c>
      <c r="C741" s="243">
        <v>45355</v>
      </c>
      <c r="D741" s="235" t="s">
        <v>981</v>
      </c>
      <c r="E741" s="235" t="str">
        <f>VLOOKUP(D741,'Danh mục hàng hóa'!$C$3:$D$600,2,0)</f>
        <v>Móc khóa đôi corgy</v>
      </c>
      <c r="F741" s="236" t="str">
        <f>VLOOKUP(D741,'Danh mục hàng hóa'!$C$3:$E$613,3,0)</f>
        <v>cái</v>
      </c>
      <c r="G741" s="248">
        <v>45980</v>
      </c>
      <c r="H741" s="126"/>
      <c r="I741" s="248">
        <v>1</v>
      </c>
      <c r="J741" s="246"/>
      <c r="K741" s="237">
        <f t="shared" si="47"/>
        <v>45980</v>
      </c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</row>
    <row r="742" spans="1:30" ht="13.2">
      <c r="A742" s="246"/>
      <c r="B742" s="235" t="s">
        <v>337</v>
      </c>
      <c r="C742" s="243">
        <v>45355</v>
      </c>
      <c r="D742" s="235" t="s">
        <v>915</v>
      </c>
      <c r="E742" s="235" t="str">
        <f>VLOOKUP(D742,'Danh mục hàng hóa'!$C$3:$D$600,2,0)</f>
        <v>Thỏ chạy xe gắn xe</v>
      </c>
      <c r="F742" s="236" t="str">
        <f>VLOOKUP(D742,'Danh mục hàng hóa'!$C$3:$E$613,3,0)</f>
        <v>cái</v>
      </c>
      <c r="G742" s="248">
        <v>35000</v>
      </c>
      <c r="H742" s="126"/>
      <c r="I742" s="248">
        <v>1</v>
      </c>
      <c r="J742" s="246"/>
      <c r="K742" s="237">
        <f t="shared" si="47"/>
        <v>35000</v>
      </c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</row>
    <row r="743" spans="1:30" ht="13.2">
      <c r="A743" s="246"/>
      <c r="B743" s="235" t="s">
        <v>337</v>
      </c>
      <c r="C743" s="243">
        <v>45355</v>
      </c>
      <c r="D743" s="235" t="s">
        <v>846</v>
      </c>
      <c r="E743" s="235" t="str">
        <f>VLOOKUP(D743,'Danh mục hàng hóa'!$C$3:$D$600,2,0)</f>
        <v>Hộp thuốc ngôi sao xanh</v>
      </c>
      <c r="F743" s="236" t="str">
        <f>VLOOKUP(D743,'Danh mục hàng hóa'!$C$3:$E$613,3,0)</f>
        <v>hộp</v>
      </c>
      <c r="G743" s="248">
        <v>4462</v>
      </c>
      <c r="H743" s="126"/>
      <c r="I743" s="248">
        <v>1</v>
      </c>
      <c r="J743" s="246"/>
      <c r="K743" s="237">
        <f t="shared" si="47"/>
        <v>4462</v>
      </c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</row>
    <row r="744" spans="1:30" ht="13.2">
      <c r="A744" s="246"/>
      <c r="B744" s="235" t="s">
        <v>337</v>
      </c>
      <c r="C744" s="250">
        <v>45356</v>
      </c>
      <c r="D744" s="235" t="s">
        <v>891</v>
      </c>
      <c r="E744" s="235" t="str">
        <f>VLOOKUP(D744,'Danh mục hàng hóa'!$C$3:$D$600,2,0)</f>
        <v>Heo ú</v>
      </c>
      <c r="F744" s="236" t="str">
        <f>VLOOKUP(D744,'Danh mục hàng hóa'!$C$3:$E$613,3,0)</f>
        <v>cái</v>
      </c>
      <c r="G744" s="248">
        <v>43912</v>
      </c>
      <c r="H744" s="126"/>
      <c r="I744" s="248">
        <v>1</v>
      </c>
      <c r="J744" s="246"/>
      <c r="K744" s="237">
        <f t="shared" si="47"/>
        <v>43912</v>
      </c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</row>
    <row r="745" spans="1:30" ht="13.2">
      <c r="A745" s="246"/>
      <c r="B745" s="235" t="s">
        <v>337</v>
      </c>
      <c r="C745" s="251">
        <v>45356</v>
      </c>
      <c r="D745" s="235" t="s">
        <v>564</v>
      </c>
      <c r="E745" s="235" t="str">
        <f>VLOOKUP(D745,'Danh mục hàng hóa'!$C$3:$D$600,2,0)</f>
        <v>Ống 8 dây cột tóc đen xoắn</v>
      </c>
      <c r="F745" s="236" t="str">
        <f>VLOOKUP(D745,'Danh mục hàng hóa'!$C$3:$E$613,3,0)</f>
        <v>ống</v>
      </c>
      <c r="G745" s="248">
        <f t="shared" ref="G745:G747" si="51">61540/3</f>
        <v>20513.333333333332</v>
      </c>
      <c r="H745" s="126"/>
      <c r="I745" s="248">
        <v>1</v>
      </c>
      <c r="J745" s="246"/>
      <c r="K745" s="237">
        <f t="shared" si="47"/>
        <v>20513.333333333332</v>
      </c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</row>
    <row r="746" spans="1:30" ht="13.2">
      <c r="A746" s="246"/>
      <c r="B746" s="235" t="s">
        <v>337</v>
      </c>
      <c r="C746" s="251">
        <v>45356</v>
      </c>
      <c r="D746" s="235" t="s">
        <v>580</v>
      </c>
      <c r="E746" s="235" t="str">
        <f>VLOOKUP(D746,'Danh mục hàng hóa'!$C$3:$D$600,2,0)</f>
        <v>Ống 6 dây cột tóc be nâu</v>
      </c>
      <c r="F746" s="236" t="str">
        <f>VLOOKUP(D746,'Danh mục hàng hóa'!$C$3:$E$613,3,0)</f>
        <v>ống</v>
      </c>
      <c r="G746" s="248">
        <f t="shared" si="51"/>
        <v>20513.333333333332</v>
      </c>
      <c r="H746" s="126"/>
      <c r="I746" s="248">
        <v>1</v>
      </c>
      <c r="J746" s="246"/>
      <c r="K746" s="237">
        <f t="shared" si="47"/>
        <v>20513.333333333332</v>
      </c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</row>
    <row r="747" spans="1:30" ht="13.2">
      <c r="A747" s="246"/>
      <c r="B747" s="235" t="s">
        <v>337</v>
      </c>
      <c r="C747" s="251">
        <v>45356</v>
      </c>
      <c r="D747" s="235" t="s">
        <v>578</v>
      </c>
      <c r="E747" s="235" t="str">
        <f>VLOOKUP(D747,'Danh mục hàng hóa'!$C$3:$D$600,2,0)</f>
        <v>Ống 6 dâu cột tóc nâu</v>
      </c>
      <c r="F747" s="236" t="str">
        <f>VLOOKUP(D747,'Danh mục hàng hóa'!$C$3:$E$613,3,0)</f>
        <v>ống</v>
      </c>
      <c r="G747" s="248">
        <f t="shared" si="51"/>
        <v>20513.333333333332</v>
      </c>
      <c r="H747" s="126"/>
      <c r="I747" s="248">
        <v>1</v>
      </c>
      <c r="J747" s="246"/>
      <c r="K747" s="237">
        <f t="shared" si="47"/>
        <v>20513.333333333332</v>
      </c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</row>
    <row r="748" spans="1:30" ht="13.2">
      <c r="A748" s="246"/>
      <c r="B748" s="235" t="s">
        <v>337</v>
      </c>
      <c r="C748" s="250">
        <v>45356</v>
      </c>
      <c r="D748" s="246" t="s">
        <v>915</v>
      </c>
      <c r="E748" s="235" t="str">
        <f>VLOOKUP(D748,'Danh mục hàng hóa'!$C$3:$D$600,2,0)</f>
        <v>Thỏ chạy xe gắn xe</v>
      </c>
      <c r="F748" s="236" t="str">
        <f>VLOOKUP(D748,'Danh mục hàng hóa'!$C$3:$E$613,3,0)</f>
        <v>cái</v>
      </c>
      <c r="G748" s="248">
        <f t="shared" ref="G748:G749" si="52">65984/2</f>
        <v>32992</v>
      </c>
      <c r="H748" s="126"/>
      <c r="I748" s="248">
        <v>1</v>
      </c>
      <c r="J748" s="246"/>
      <c r="K748" s="237">
        <f t="shared" si="47"/>
        <v>32992</v>
      </c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</row>
    <row r="749" spans="1:30" ht="13.2">
      <c r="A749" s="246"/>
      <c r="B749" s="235" t="s">
        <v>337</v>
      </c>
      <c r="C749" s="250">
        <v>45356</v>
      </c>
      <c r="D749" s="246" t="s">
        <v>907</v>
      </c>
      <c r="E749" s="235" t="str">
        <f>VLOOKUP(D749,'Danh mục hàng hóa'!$C$3:$D$600,2,0)</f>
        <v>Cáo gắn xe</v>
      </c>
      <c r="F749" s="236" t="str">
        <f>VLOOKUP(D749,'Danh mục hàng hóa'!$C$3:$E$613,3,0)</f>
        <v>cái</v>
      </c>
      <c r="G749" s="248">
        <f t="shared" si="52"/>
        <v>32992</v>
      </c>
      <c r="H749" s="126"/>
      <c r="I749" s="248">
        <v>1</v>
      </c>
      <c r="J749" s="246"/>
      <c r="K749" s="237">
        <f t="shared" si="47"/>
        <v>32992</v>
      </c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</row>
    <row r="750" spans="1:30" ht="13.2">
      <c r="A750" s="246"/>
      <c r="B750" s="235" t="s">
        <v>337</v>
      </c>
      <c r="C750" s="250">
        <v>45357</v>
      </c>
      <c r="D750" s="246" t="s">
        <v>915</v>
      </c>
      <c r="E750" s="235" t="str">
        <f>VLOOKUP(D750,'Danh mục hàng hóa'!$C$3:$D$600,2,0)</f>
        <v>Thỏ chạy xe gắn xe</v>
      </c>
      <c r="F750" s="236" t="str">
        <f>VLOOKUP(D750,'Danh mục hàng hóa'!$C$3:$E$613,3,0)</f>
        <v>cái</v>
      </c>
      <c r="G750" s="248">
        <f>32962+32862</f>
        <v>65824</v>
      </c>
      <c r="H750" s="126"/>
      <c r="I750" s="248">
        <v>2</v>
      </c>
      <c r="J750" s="246"/>
      <c r="K750" s="237">
        <f t="shared" si="47"/>
        <v>131648</v>
      </c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</row>
    <row r="751" spans="1:30" ht="13.2">
      <c r="A751" s="246"/>
      <c r="B751" s="235" t="s">
        <v>337</v>
      </c>
      <c r="C751" s="250">
        <v>45357</v>
      </c>
      <c r="D751" s="246" t="s">
        <v>895</v>
      </c>
      <c r="E751" s="235" t="str">
        <f>VLOOKUP(D751,'Danh mục hàng hóa'!$C$3:$D$600,2,0)</f>
        <v>Thỏ chong chóng</v>
      </c>
      <c r="F751" s="236" t="str">
        <f>VLOOKUP(D751,'Danh mục hàng hóa'!$C$3:$E$613,3,0)</f>
        <v>cái</v>
      </c>
      <c r="G751" s="248">
        <f t="shared" ref="G751:G754" si="53">174568/4</f>
        <v>43642</v>
      </c>
      <c r="H751" s="126"/>
      <c r="I751" s="248">
        <v>1</v>
      </c>
      <c r="J751" s="246"/>
      <c r="K751" s="237">
        <f t="shared" si="47"/>
        <v>43642</v>
      </c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</row>
    <row r="752" spans="1:30" ht="13.2">
      <c r="A752" s="246"/>
      <c r="B752" s="235" t="s">
        <v>337</v>
      </c>
      <c r="C752" s="250">
        <v>45357</v>
      </c>
      <c r="D752" s="246" t="s">
        <v>891</v>
      </c>
      <c r="E752" s="235" t="str">
        <f>VLOOKUP(D752,'Danh mục hàng hóa'!$C$3:$D$600,2,0)</f>
        <v>Heo ú</v>
      </c>
      <c r="F752" s="236" t="str">
        <f>VLOOKUP(D752,'Danh mục hàng hóa'!$C$3:$E$613,3,0)</f>
        <v>cái</v>
      </c>
      <c r="G752" s="248">
        <f t="shared" si="53"/>
        <v>43642</v>
      </c>
      <c r="H752" s="126"/>
      <c r="I752" s="248">
        <v>1</v>
      </c>
      <c r="J752" s="246"/>
      <c r="K752" s="237">
        <f t="shared" si="47"/>
        <v>43642</v>
      </c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</row>
    <row r="753" spans="1:30" ht="13.2">
      <c r="A753" s="246"/>
      <c r="B753" s="235" t="s">
        <v>337</v>
      </c>
      <c r="C753" s="250">
        <v>45357</v>
      </c>
      <c r="D753" s="246" t="s">
        <v>887</v>
      </c>
      <c r="E753" s="235" t="str">
        <f>VLOOKUP(D753,'Danh mục hàng hóa'!$C$3:$D$600,2,0)</f>
        <v>Mèo chong chóng</v>
      </c>
      <c r="F753" s="236" t="str">
        <f>VLOOKUP(D753,'Danh mục hàng hóa'!$C$3:$E$613,3,0)</f>
        <v>cái</v>
      </c>
      <c r="G753" s="248">
        <f t="shared" si="53"/>
        <v>43642</v>
      </c>
      <c r="H753" s="126"/>
      <c r="I753" s="248">
        <v>1</v>
      </c>
      <c r="J753" s="246"/>
      <c r="K753" s="237">
        <f t="shared" si="47"/>
        <v>43642</v>
      </c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</row>
    <row r="754" spans="1:30" ht="13.2">
      <c r="A754" s="246"/>
      <c r="B754" s="235" t="s">
        <v>337</v>
      </c>
      <c r="C754" s="250">
        <v>45357</v>
      </c>
      <c r="D754" s="246" t="s">
        <v>885</v>
      </c>
      <c r="E754" s="235" t="str">
        <f>VLOOKUP(D754,'Danh mục hàng hóa'!$C$3:$D$600,2,0)</f>
        <v>Gấu chong chóng</v>
      </c>
      <c r="F754" s="236" t="str">
        <f>VLOOKUP(D754,'Danh mục hàng hóa'!$C$3:$E$613,3,0)</f>
        <v>cái</v>
      </c>
      <c r="G754" s="248">
        <f t="shared" si="53"/>
        <v>43642</v>
      </c>
      <c r="H754" s="126"/>
      <c r="I754" s="248">
        <v>1</v>
      </c>
      <c r="J754" s="246"/>
      <c r="K754" s="237">
        <f t="shared" si="47"/>
        <v>43642</v>
      </c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</row>
    <row r="755" spans="1:30" ht="13.2">
      <c r="A755" s="246"/>
      <c r="B755" s="235" t="s">
        <v>337</v>
      </c>
      <c r="C755" s="250">
        <v>45357</v>
      </c>
      <c r="D755" s="246" t="s">
        <v>424</v>
      </c>
      <c r="E755" s="235" t="str">
        <f>VLOOKUP(D755,'Danh mục hàng hóa'!$C$3:$D$600,2,0)</f>
        <v>Túi chườm bụng vịt vàng 500ml</v>
      </c>
      <c r="F755" s="236" t="str">
        <f>VLOOKUP(D755,'Danh mục hàng hóa'!$C$3:$E$613,3,0)</f>
        <v>túi</v>
      </c>
      <c r="G755" s="248">
        <v>57162</v>
      </c>
      <c r="H755" s="126"/>
      <c r="I755" s="248">
        <v>1</v>
      </c>
      <c r="J755" s="246"/>
      <c r="K755" s="237">
        <f t="shared" si="47"/>
        <v>57162</v>
      </c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</row>
    <row r="756" spans="1:30" ht="13.2">
      <c r="A756" s="246"/>
      <c r="B756" s="235" t="s">
        <v>337</v>
      </c>
      <c r="C756" s="250">
        <v>45358</v>
      </c>
      <c r="D756" s="246" t="s">
        <v>891</v>
      </c>
      <c r="E756" s="235" t="str">
        <f>VLOOKUP(D756,'Danh mục hàng hóa'!$C$3:$D$600,2,0)</f>
        <v>Heo ú</v>
      </c>
      <c r="F756" s="236" t="str">
        <f>VLOOKUP(D756,'Danh mục hàng hóa'!$C$3:$E$613,3,0)</f>
        <v>cái</v>
      </c>
      <c r="G756" s="248">
        <v>45000</v>
      </c>
      <c r="H756" s="126"/>
      <c r="I756" s="248">
        <v>1</v>
      </c>
      <c r="J756" s="246"/>
      <c r="K756" s="237">
        <f t="shared" si="47"/>
        <v>45000</v>
      </c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</row>
    <row r="757" spans="1:30" ht="13.2">
      <c r="A757" s="246"/>
      <c r="B757" s="235" t="s">
        <v>337</v>
      </c>
      <c r="C757" s="250">
        <v>45358</v>
      </c>
      <c r="D757" s="246" t="s">
        <v>669</v>
      </c>
      <c r="E757" s="235" t="str">
        <f>VLOOKUP(D757,'Danh mục hàng hóa'!$C$3:$D$600,2,0)</f>
        <v>Buộc tóc trắng vải</v>
      </c>
      <c r="F757" s="236" t="str">
        <f>VLOOKUP(D757,'Danh mục hàng hóa'!$C$3:$E$613,3,0)</f>
        <v>cái</v>
      </c>
      <c r="G757" s="248">
        <v>4757</v>
      </c>
      <c r="H757" s="126"/>
      <c r="I757" s="248">
        <v>1</v>
      </c>
      <c r="J757" s="246"/>
      <c r="K757" s="237">
        <f t="shared" si="47"/>
        <v>4757</v>
      </c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</row>
    <row r="758" spans="1:30" ht="13.2">
      <c r="A758" s="246"/>
      <c r="B758" s="235" t="s">
        <v>337</v>
      </c>
      <c r="C758" s="250">
        <v>45358</v>
      </c>
      <c r="D758" s="246" t="s">
        <v>414</v>
      </c>
      <c r="E758" s="235" t="str">
        <f>VLOOKUP(D758,'Danh mục hàng hóa'!$C$3:$D$600,2,0)</f>
        <v>Túi chườm bụng dâu tây 500ml</v>
      </c>
      <c r="F758" s="236" t="str">
        <f>VLOOKUP(D758,'Danh mục hàng hóa'!$C$3:$E$613,3,0)</f>
        <v>túi</v>
      </c>
      <c r="G758" s="248">
        <v>57043</v>
      </c>
      <c r="H758" s="126"/>
      <c r="I758" s="248">
        <v>1</v>
      </c>
      <c r="J758" s="246"/>
      <c r="K758" s="237">
        <f t="shared" si="47"/>
        <v>57043</v>
      </c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</row>
    <row r="759" spans="1:30" ht="13.2">
      <c r="A759" s="246"/>
      <c r="B759" s="235" t="s">
        <v>337</v>
      </c>
      <c r="C759" s="250">
        <v>45358</v>
      </c>
      <c r="D759" s="235" t="s">
        <v>915</v>
      </c>
      <c r="E759" s="235" t="str">
        <f>VLOOKUP(D759,'Danh mục hàng hóa'!$C$3:$D$600,2,0)</f>
        <v>Thỏ chạy xe gắn xe</v>
      </c>
      <c r="F759" s="236" t="str">
        <f>VLOOKUP(D759,'Danh mục hàng hóa'!$C$3:$E$613,3,0)</f>
        <v>cái</v>
      </c>
      <c r="G759" s="248">
        <v>58979</v>
      </c>
      <c r="H759" s="126"/>
      <c r="I759" s="248">
        <v>1</v>
      </c>
      <c r="J759" s="246"/>
      <c r="K759" s="237">
        <f t="shared" si="47"/>
        <v>58979</v>
      </c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</row>
    <row r="760" spans="1:30" ht="13.2">
      <c r="A760" s="126"/>
      <c r="B760" s="126" t="s">
        <v>336</v>
      </c>
      <c r="C760" s="251">
        <v>45359</v>
      </c>
      <c r="D760" s="235" t="s">
        <v>732</v>
      </c>
      <c r="E760" s="235" t="str">
        <f>VLOOKUP(D760,'Danh mục hàng hóa'!$C$3:$D$600,2,0)</f>
        <v>Kẹp tóc hoa sứ tím</v>
      </c>
      <c r="F760" s="236" t="str">
        <f>VLOOKUP(D760,'Danh mục hàng hóa'!$C$3:$E$613,3,0)</f>
        <v>cái</v>
      </c>
      <c r="G760" s="126"/>
      <c r="H760" s="248">
        <v>15</v>
      </c>
      <c r="I760" s="126"/>
      <c r="J760" s="246"/>
      <c r="K760" s="237">
        <f t="shared" si="47"/>
        <v>0</v>
      </c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</row>
    <row r="761" spans="1:30" ht="13.2">
      <c r="A761" s="126"/>
      <c r="B761" s="126" t="s">
        <v>336</v>
      </c>
      <c r="C761" s="251">
        <v>45359</v>
      </c>
      <c r="D761" s="235" t="s">
        <v>734</v>
      </c>
      <c r="E761" s="235" t="str">
        <f>VLOOKUP(D761,'Danh mục hàng hóa'!$C$3:$D$600,2,0)</f>
        <v>Kẹp tóc hoa sứ hồng</v>
      </c>
      <c r="F761" s="236" t="str">
        <f>VLOOKUP(D761,'Danh mục hàng hóa'!$C$3:$E$613,3,0)</f>
        <v>cái</v>
      </c>
      <c r="G761" s="126"/>
      <c r="H761" s="248">
        <v>15</v>
      </c>
      <c r="I761" s="126"/>
      <c r="J761" s="246"/>
      <c r="K761" s="237">
        <f t="shared" si="47"/>
        <v>0</v>
      </c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</row>
    <row r="762" spans="1:30" ht="13.2">
      <c r="A762" s="126"/>
      <c r="B762" s="126" t="s">
        <v>336</v>
      </c>
      <c r="C762" s="251">
        <v>45359</v>
      </c>
      <c r="D762" s="235" t="s">
        <v>736</v>
      </c>
      <c r="E762" s="235" t="str">
        <f>VLOOKUP(D762,'Danh mục hàng hóa'!$C$3:$D$600,2,0)</f>
        <v>Kẹp tóc hoa sứ vàng</v>
      </c>
      <c r="F762" s="236" t="str">
        <f>VLOOKUP(D762,'Danh mục hàng hóa'!$C$3:$E$613,3,0)</f>
        <v>cái</v>
      </c>
      <c r="G762" s="126"/>
      <c r="H762" s="248">
        <v>15</v>
      </c>
      <c r="I762" s="126"/>
      <c r="J762" s="246"/>
      <c r="K762" s="237">
        <f t="shared" si="47"/>
        <v>0</v>
      </c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</row>
    <row r="763" spans="1:30" ht="13.2">
      <c r="A763" s="126"/>
      <c r="B763" s="126" t="s">
        <v>336</v>
      </c>
      <c r="C763" s="251">
        <v>45359</v>
      </c>
      <c r="D763" s="235" t="s">
        <v>738</v>
      </c>
      <c r="E763" s="235" t="str">
        <f>VLOOKUP(D763,'Danh mục hàng hóa'!$C$3:$D$600,2,0)</f>
        <v>Kẹp tóc hoa sứ cam</v>
      </c>
      <c r="F763" s="236" t="str">
        <f>VLOOKUP(D763,'Danh mục hàng hóa'!$C$3:$E$613,3,0)</f>
        <v>cái</v>
      </c>
      <c r="G763" s="126"/>
      <c r="H763" s="248">
        <v>15</v>
      </c>
      <c r="I763" s="126"/>
      <c r="J763" s="246"/>
      <c r="K763" s="237">
        <f t="shared" si="47"/>
        <v>0</v>
      </c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</row>
    <row r="764" spans="1:30" ht="13.2">
      <c r="A764" s="126"/>
      <c r="B764" s="126" t="s">
        <v>336</v>
      </c>
      <c r="C764" s="251">
        <v>45359</v>
      </c>
      <c r="D764" s="235" t="s">
        <v>740</v>
      </c>
      <c r="E764" s="235" t="str">
        <f>VLOOKUP(D764,'Danh mục hàng hóa'!$C$3:$D$600,2,0)</f>
        <v>Kẹp tóc hoa sứ đỏ</v>
      </c>
      <c r="F764" s="236" t="str">
        <f>VLOOKUP(D764,'Danh mục hàng hóa'!$C$3:$E$613,3,0)</f>
        <v>cái</v>
      </c>
      <c r="G764" s="126"/>
      <c r="H764" s="248">
        <v>15</v>
      </c>
      <c r="I764" s="126"/>
      <c r="J764" s="246"/>
      <c r="K764" s="237">
        <f t="shared" si="47"/>
        <v>0</v>
      </c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</row>
    <row r="765" spans="1:30" ht="13.2">
      <c r="A765" s="126"/>
      <c r="B765" s="126" t="s">
        <v>336</v>
      </c>
      <c r="C765" s="251">
        <v>45359</v>
      </c>
      <c r="D765" s="235" t="s">
        <v>742</v>
      </c>
      <c r="E765" s="235" t="str">
        <f>VLOOKUP(D765,'Danh mục hàng hóa'!$C$3:$D$600,2,0)</f>
        <v>Kẹp tóc hoa sứ xanh</v>
      </c>
      <c r="F765" s="236" t="str">
        <f>VLOOKUP(D765,'Danh mục hàng hóa'!$C$3:$E$613,3,0)</f>
        <v>cái</v>
      </c>
      <c r="G765" s="126"/>
      <c r="H765" s="248">
        <v>15</v>
      </c>
      <c r="I765" s="126"/>
      <c r="J765" s="246"/>
      <c r="K765" s="237">
        <f t="shared" si="47"/>
        <v>0</v>
      </c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</row>
    <row r="766" spans="1:30" ht="13.2">
      <c r="A766" s="126"/>
      <c r="B766" s="126" t="s">
        <v>336</v>
      </c>
      <c r="C766" s="251">
        <v>45359</v>
      </c>
      <c r="D766" s="235" t="s">
        <v>744</v>
      </c>
      <c r="E766" s="235" t="str">
        <f>VLOOKUP(D766,'Danh mục hàng hóa'!$C$3:$D$600,2,0)</f>
        <v>Kẹp tóc hoa sứ đỏ hồng đậm</v>
      </c>
      <c r="F766" s="236" t="str">
        <f>VLOOKUP(D766,'Danh mục hàng hóa'!$C$3:$E$613,3,0)</f>
        <v>cái</v>
      </c>
      <c r="G766" s="126"/>
      <c r="H766" s="248">
        <v>15</v>
      </c>
      <c r="I766" s="126"/>
      <c r="J766" s="246"/>
      <c r="K766" s="237">
        <f t="shared" si="47"/>
        <v>0</v>
      </c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</row>
    <row r="767" spans="1:30" ht="13.2">
      <c r="A767" s="126"/>
      <c r="B767" s="126" t="s">
        <v>336</v>
      </c>
      <c r="C767" s="251">
        <v>45359</v>
      </c>
      <c r="D767" s="235" t="s">
        <v>746</v>
      </c>
      <c r="E767" s="235" t="str">
        <f>VLOOKUP(D767,'Danh mục hàng hóa'!$C$3:$D$600,2,0)</f>
        <v>Kẹp tóc hoa năm cánh hồng</v>
      </c>
      <c r="F767" s="236" t="str">
        <f>VLOOKUP(D767,'Danh mục hàng hóa'!$C$3:$E$613,3,0)</f>
        <v>cái</v>
      </c>
      <c r="G767" s="126"/>
      <c r="H767" s="248">
        <v>10</v>
      </c>
      <c r="I767" s="126"/>
      <c r="J767" s="246"/>
      <c r="K767" s="237">
        <f t="shared" si="47"/>
        <v>0</v>
      </c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</row>
    <row r="768" spans="1:30" ht="13.2">
      <c r="A768" s="126"/>
      <c r="B768" s="126" t="s">
        <v>336</v>
      </c>
      <c r="C768" s="251">
        <v>45359</v>
      </c>
      <c r="D768" s="235" t="s">
        <v>748</v>
      </c>
      <c r="E768" s="235" t="str">
        <f>VLOOKUP(D768,'Danh mục hàng hóa'!$C$3:$D$600,2,0)</f>
        <v>Kẹp tóc hoa năm cánh đỏ hồng</v>
      </c>
      <c r="F768" s="236" t="str">
        <f>VLOOKUP(D768,'Danh mục hàng hóa'!$C$3:$E$613,3,0)</f>
        <v>cái</v>
      </c>
      <c r="G768" s="126"/>
      <c r="H768" s="248">
        <v>10</v>
      </c>
      <c r="I768" s="126"/>
      <c r="J768" s="246"/>
      <c r="K768" s="237">
        <f t="shared" si="47"/>
        <v>0</v>
      </c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</row>
    <row r="769" spans="1:30" ht="13.2">
      <c r="A769" s="126"/>
      <c r="B769" s="126" t="s">
        <v>336</v>
      </c>
      <c r="C769" s="251">
        <v>45359</v>
      </c>
      <c r="D769" s="235" t="s">
        <v>750</v>
      </c>
      <c r="E769" s="235" t="str">
        <f>VLOOKUP(D769,'Danh mục hàng hóa'!$C$3:$D$600,2,0)</f>
        <v>Kẹp tóc hoa năm cánh cam</v>
      </c>
      <c r="F769" s="236" t="str">
        <f>VLOOKUP(D769,'Danh mục hàng hóa'!$C$3:$E$613,3,0)</f>
        <v>cái</v>
      </c>
      <c r="G769" s="126"/>
      <c r="H769" s="248">
        <v>10</v>
      </c>
      <c r="I769" s="126"/>
      <c r="J769" s="246"/>
      <c r="K769" s="237">
        <f t="shared" si="47"/>
        <v>0</v>
      </c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</row>
    <row r="770" spans="1:30" ht="13.2">
      <c r="A770" s="126"/>
      <c r="B770" s="126" t="s">
        <v>336</v>
      </c>
      <c r="C770" s="251">
        <v>45359</v>
      </c>
      <c r="D770" s="235" t="s">
        <v>752</v>
      </c>
      <c r="E770" s="235" t="str">
        <f>VLOOKUP(D770,'Danh mục hàng hóa'!$C$3:$D$600,2,0)</f>
        <v>Kẹp tóc hoa năm cánh đỏ hồng đẹp</v>
      </c>
      <c r="F770" s="236" t="str">
        <f>VLOOKUP(D770,'Danh mục hàng hóa'!$C$3:$E$613,3,0)</f>
        <v>cái</v>
      </c>
      <c r="G770" s="126"/>
      <c r="H770" s="248">
        <v>10</v>
      </c>
      <c r="I770" s="126"/>
      <c r="J770" s="246"/>
      <c r="K770" s="237">
        <f t="shared" si="47"/>
        <v>0</v>
      </c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</row>
    <row r="771" spans="1:30" ht="13.2">
      <c r="A771" s="126"/>
      <c r="B771" s="126" t="s">
        <v>336</v>
      </c>
      <c r="C771" s="251">
        <v>45359</v>
      </c>
      <c r="D771" s="235" t="s">
        <v>754</v>
      </c>
      <c r="E771" s="235" t="str">
        <f>VLOOKUP(D771,'Danh mục hàng hóa'!$C$3:$D$600,2,0)</f>
        <v>Kẹp tóc hoa năm cánh xanh vàng</v>
      </c>
      <c r="F771" s="236" t="str">
        <f>VLOOKUP(D771,'Danh mục hàng hóa'!$C$3:$E$613,3,0)</f>
        <v>cái</v>
      </c>
      <c r="G771" s="126"/>
      <c r="H771" s="248">
        <v>10</v>
      </c>
      <c r="I771" s="126"/>
      <c r="J771" s="246"/>
      <c r="K771" s="237">
        <f t="shared" si="47"/>
        <v>0</v>
      </c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</row>
    <row r="772" spans="1:30" ht="13.2">
      <c r="A772" s="126"/>
      <c r="B772" s="126" t="s">
        <v>336</v>
      </c>
      <c r="C772" s="251">
        <v>45359</v>
      </c>
      <c r="D772" s="235" t="s">
        <v>756</v>
      </c>
      <c r="E772" s="235" t="str">
        <f>VLOOKUP(D772,'Danh mục hàng hóa'!$C$3:$D$600,2,0)</f>
        <v>Kẹp tóc hoa năm cánh xanh</v>
      </c>
      <c r="F772" s="236" t="str">
        <f>VLOOKUP(D772,'Danh mục hàng hóa'!$C$3:$E$613,3,0)</f>
        <v>cái</v>
      </c>
      <c r="G772" s="126"/>
      <c r="H772" s="248">
        <v>10</v>
      </c>
      <c r="I772" s="126"/>
      <c r="J772" s="246"/>
      <c r="K772" s="237">
        <f t="shared" si="47"/>
        <v>0</v>
      </c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</row>
    <row r="773" spans="1:30" ht="13.2">
      <c r="A773" s="126"/>
      <c r="B773" s="126" t="s">
        <v>336</v>
      </c>
      <c r="C773" s="251">
        <v>45359</v>
      </c>
      <c r="D773" s="235" t="s">
        <v>758</v>
      </c>
      <c r="E773" s="235" t="str">
        <f>VLOOKUP(D773,'Danh mục hàng hóa'!$C$3:$D$600,2,0)</f>
        <v>Kẹp tóc hoa năm cánh tím</v>
      </c>
      <c r="F773" s="236" t="str">
        <f>VLOOKUP(D773,'Danh mục hàng hóa'!$C$3:$E$613,3,0)</f>
        <v>cái</v>
      </c>
      <c r="G773" s="126"/>
      <c r="H773" s="248">
        <v>6</v>
      </c>
      <c r="I773" s="126"/>
      <c r="J773" s="246"/>
      <c r="K773" s="237">
        <f t="shared" si="47"/>
        <v>0</v>
      </c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</row>
    <row r="774" spans="1:30" ht="13.2">
      <c r="A774" s="126"/>
      <c r="B774" s="126" t="s">
        <v>336</v>
      </c>
      <c r="C774" s="251">
        <v>45359</v>
      </c>
      <c r="D774" s="235" t="s">
        <v>760</v>
      </c>
      <c r="E774" s="235" t="str">
        <f>VLOOKUP(D774,'Danh mục hàng hóa'!$C$3:$D$600,2,0)</f>
        <v>Kẹp tóc màu vàng trơn</v>
      </c>
      <c r="F774" s="236" t="str">
        <f>VLOOKUP(D774,'Danh mục hàng hóa'!$C$3:$E$613,3,0)</f>
        <v>cái</v>
      </c>
      <c r="G774" s="126"/>
      <c r="H774" s="248">
        <v>10</v>
      </c>
      <c r="I774" s="126"/>
      <c r="J774" s="246"/>
      <c r="K774" s="237">
        <f t="shared" si="47"/>
        <v>0</v>
      </c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</row>
    <row r="775" spans="1:30" ht="13.2">
      <c r="A775" s="126"/>
      <c r="B775" s="126" t="s">
        <v>336</v>
      </c>
      <c r="C775" s="251">
        <v>45359</v>
      </c>
      <c r="D775" s="235" t="s">
        <v>762</v>
      </c>
      <c r="E775" s="235" t="str">
        <f>VLOOKUP(D775,'Danh mục hàng hóa'!$C$3:$D$600,2,0)</f>
        <v>Kẹp tóc hoa cam trơn</v>
      </c>
      <c r="F775" s="236" t="str">
        <f>VLOOKUP(D775,'Danh mục hàng hóa'!$C$3:$E$613,3,0)</f>
        <v>cái</v>
      </c>
      <c r="G775" s="126"/>
      <c r="H775" s="248">
        <v>10</v>
      </c>
      <c r="I775" s="126"/>
      <c r="J775" s="246"/>
      <c r="K775" s="237">
        <f t="shared" si="47"/>
        <v>0</v>
      </c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</row>
    <row r="776" spans="1:30" ht="13.2">
      <c r="A776" s="126"/>
      <c r="B776" s="126" t="s">
        <v>336</v>
      </c>
      <c r="C776" s="251">
        <v>45359</v>
      </c>
      <c r="D776" s="235" t="s">
        <v>764</v>
      </c>
      <c r="E776" s="235" t="str">
        <f>VLOOKUP(D776,'Danh mục hàng hóa'!$C$3:$D$600,2,0)</f>
        <v>Kẹp tóc hồng nhạt trơn</v>
      </c>
      <c r="F776" s="236" t="str">
        <f>VLOOKUP(D776,'Danh mục hàng hóa'!$C$3:$E$613,3,0)</f>
        <v>cái</v>
      </c>
      <c r="G776" s="126"/>
      <c r="H776" s="248">
        <v>10</v>
      </c>
      <c r="I776" s="126"/>
      <c r="J776" s="246"/>
      <c r="K776" s="237">
        <f t="shared" si="47"/>
        <v>0</v>
      </c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</row>
    <row r="777" spans="1:30" ht="13.2">
      <c r="A777" s="126"/>
      <c r="B777" s="126" t="s">
        <v>336</v>
      </c>
      <c r="C777" s="251">
        <v>45359</v>
      </c>
      <c r="D777" s="235" t="s">
        <v>766</v>
      </c>
      <c r="E777" s="235" t="str">
        <f>VLOOKUP(D777,'Danh mục hàng hóa'!$C$3:$D$600,2,0)</f>
        <v>Kẹp tóc trắng trơn</v>
      </c>
      <c r="F777" s="236" t="str">
        <f>VLOOKUP(D777,'Danh mục hàng hóa'!$C$3:$E$613,3,0)</f>
        <v>cái</v>
      </c>
      <c r="G777" s="126"/>
      <c r="H777" s="248">
        <v>5</v>
      </c>
      <c r="I777" s="126"/>
      <c r="J777" s="246"/>
      <c r="K777" s="237">
        <f t="shared" si="47"/>
        <v>0</v>
      </c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</row>
    <row r="778" spans="1:30" ht="13.2">
      <c r="A778" s="126"/>
      <c r="B778" s="126" t="s">
        <v>336</v>
      </c>
      <c r="C778" s="251">
        <v>45359</v>
      </c>
      <c r="D778" s="235" t="s">
        <v>768</v>
      </c>
      <c r="E778" s="235" t="str">
        <f>VLOOKUP(D778,'Danh mục hàng hóa'!$C$3:$D$600,2,0)</f>
        <v>Kẹp tóc xanh trơn</v>
      </c>
      <c r="F778" s="236" t="str">
        <f>VLOOKUP(D778,'Danh mục hàng hóa'!$C$3:$E$613,3,0)</f>
        <v>cái</v>
      </c>
      <c r="G778" s="126"/>
      <c r="H778" s="248">
        <v>5</v>
      </c>
      <c r="I778" s="126"/>
      <c r="J778" s="246"/>
      <c r="K778" s="237">
        <f t="shared" si="47"/>
        <v>0</v>
      </c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</row>
    <row r="779" spans="1:30" ht="13.2">
      <c r="A779" s="126"/>
      <c r="B779" s="126" t="s">
        <v>336</v>
      </c>
      <c r="C779" s="251">
        <v>45359</v>
      </c>
      <c r="D779" s="235" t="s">
        <v>923</v>
      </c>
      <c r="E779" s="235" t="str">
        <f>VLOOKUP(D779,'Danh mục hàng hóa'!$C$3:$D$600,2,0)</f>
        <v>Kẹp khuếch tán tinh dầu vịt vàng</v>
      </c>
      <c r="F779" s="236" t="str">
        <f>VLOOKUP(D779,'Danh mục hàng hóa'!$C$3:$E$613,3,0)</f>
        <v>cái</v>
      </c>
      <c r="G779" s="126"/>
      <c r="H779" s="248">
        <v>3</v>
      </c>
      <c r="I779" s="126"/>
      <c r="J779" s="246"/>
      <c r="K779" s="235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</row>
    <row r="780" spans="1:30" ht="13.2">
      <c r="A780" s="126"/>
      <c r="B780" s="126" t="s">
        <v>336</v>
      </c>
      <c r="C780" s="251">
        <v>45359</v>
      </c>
      <c r="D780" s="235" t="s">
        <v>925</v>
      </c>
      <c r="E780" s="235" t="str">
        <f>VLOOKUP(D780,'Danh mục hàng hóa'!$C$3:$D$600,2,0)</f>
        <v>Kẹp khuếch tán tinh dầu vịt đen</v>
      </c>
      <c r="F780" s="236" t="str">
        <f>VLOOKUP(D780,'Danh mục hàng hóa'!$C$3:$E$613,3,0)</f>
        <v>cái</v>
      </c>
      <c r="G780" s="126"/>
      <c r="H780" s="248">
        <v>3</v>
      </c>
      <c r="I780" s="126"/>
      <c r="J780" s="246"/>
      <c r="K780" s="235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</row>
    <row r="781" spans="1:30" ht="13.2">
      <c r="A781" s="126"/>
      <c r="B781" s="126" t="s">
        <v>336</v>
      </c>
      <c r="C781" s="251">
        <v>45359</v>
      </c>
      <c r="D781" s="235" t="s">
        <v>927</v>
      </c>
      <c r="E781" s="235" t="str">
        <f>VLOOKUP(D781,'Danh mục hàng hóa'!$C$3:$D$600,2,0)</f>
        <v>Kẹp khuếch tán tinh dầu vịt be</v>
      </c>
      <c r="F781" s="236" t="str">
        <f>VLOOKUP(D781,'Danh mục hàng hóa'!$C$3:$E$613,3,0)</f>
        <v>cái</v>
      </c>
      <c r="G781" s="126"/>
      <c r="H781" s="248">
        <v>3</v>
      </c>
      <c r="I781" s="126"/>
      <c r="J781" s="246"/>
      <c r="K781" s="235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</row>
    <row r="782" spans="1:30" ht="13.2">
      <c r="A782" s="126"/>
      <c r="B782" s="126" t="s">
        <v>336</v>
      </c>
      <c r="C782" s="251">
        <v>45359</v>
      </c>
      <c r="D782" s="235" t="s">
        <v>929</v>
      </c>
      <c r="E782" s="235" t="str">
        <f>VLOOKUP(D782,'Danh mục hàng hóa'!$C$3:$D$600,2,0)</f>
        <v>Kẹp khuếch tán tinh dầu thỏ trắng</v>
      </c>
      <c r="F782" s="236" t="str">
        <f>VLOOKUP(D782,'Danh mục hàng hóa'!$C$3:$E$613,3,0)</f>
        <v>cái</v>
      </c>
      <c r="G782" s="126"/>
      <c r="H782" s="248">
        <v>3</v>
      </c>
      <c r="I782" s="126"/>
      <c r="J782" s="246"/>
      <c r="K782" s="235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</row>
    <row r="783" spans="1:30" ht="13.2">
      <c r="A783" s="126"/>
      <c r="B783" s="126" t="s">
        <v>336</v>
      </c>
      <c r="C783" s="251">
        <v>45359</v>
      </c>
      <c r="D783" s="235" t="s">
        <v>931</v>
      </c>
      <c r="E783" s="235" t="str">
        <f>VLOOKUP(D783,'Danh mục hàng hóa'!$C$3:$D$600,2,0)</f>
        <v>Kẹp khuếch tán tinh dầu thỏ hồng</v>
      </c>
      <c r="F783" s="236" t="str">
        <f>VLOOKUP(D783,'Danh mục hàng hóa'!$C$3:$E$613,3,0)</f>
        <v>cái</v>
      </c>
      <c r="G783" s="126"/>
      <c r="H783" s="248">
        <v>3</v>
      </c>
      <c r="I783" s="126"/>
      <c r="J783" s="246"/>
      <c r="K783" s="235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</row>
    <row r="784" spans="1:30" ht="13.2">
      <c r="A784" s="126"/>
      <c r="B784" s="126" t="s">
        <v>336</v>
      </c>
      <c r="C784" s="251">
        <v>45359</v>
      </c>
      <c r="D784" s="235" t="s">
        <v>957</v>
      </c>
      <c r="E784" s="235" t="str">
        <f>VLOOKUP(D784,'Danh mục hàng hóa'!$C$3:$D$600,2,0)</f>
        <v>Vịt hồng treo gương</v>
      </c>
      <c r="F784" s="236" t="str">
        <f>VLOOKUP(D784,'Danh mục hàng hóa'!$C$3:$E$613,3,0)</f>
        <v>cái</v>
      </c>
      <c r="G784" s="126"/>
      <c r="H784" s="248">
        <v>4</v>
      </c>
      <c r="I784" s="126"/>
      <c r="J784" s="246"/>
      <c r="K784" s="235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</row>
    <row r="785" spans="1:30" ht="13.2">
      <c r="A785" s="126"/>
      <c r="B785" s="126" t="s">
        <v>336</v>
      </c>
      <c r="C785" s="251">
        <v>45359</v>
      </c>
      <c r="D785" s="235" t="s">
        <v>959</v>
      </c>
      <c r="E785" s="235" t="str">
        <f>VLOOKUP(D785,'Danh mục hàng hóa'!$C$3:$D$600,2,0)</f>
        <v>Vịt vàng treo gương</v>
      </c>
      <c r="F785" s="236" t="str">
        <f>VLOOKUP(D785,'Danh mục hàng hóa'!$C$3:$E$613,3,0)</f>
        <v>cái</v>
      </c>
      <c r="G785" s="126"/>
      <c r="H785" s="248">
        <v>4</v>
      </c>
      <c r="I785" s="126"/>
      <c r="J785" s="246"/>
      <c r="K785" s="235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</row>
    <row r="786" spans="1:30" ht="13.2">
      <c r="A786" s="126"/>
      <c r="B786" s="126" t="s">
        <v>336</v>
      </c>
      <c r="C786" s="251">
        <v>45359</v>
      </c>
      <c r="D786" s="235" t="s">
        <v>961</v>
      </c>
      <c r="E786" s="235" t="str">
        <f>VLOOKUP(D786,'Danh mục hàng hóa'!$C$3:$D$600,2,0)</f>
        <v>Vịt xanh treo gương</v>
      </c>
      <c r="F786" s="236" t="str">
        <f>VLOOKUP(D786,'Danh mục hàng hóa'!$C$3:$E$613,3,0)</f>
        <v>cái</v>
      </c>
      <c r="G786" s="126"/>
      <c r="H786" s="248">
        <v>4</v>
      </c>
      <c r="I786" s="126"/>
      <c r="J786" s="246"/>
      <c r="K786" s="235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</row>
    <row r="787" spans="1:30" ht="13.2">
      <c r="A787" s="126"/>
      <c r="B787" s="126" t="s">
        <v>336</v>
      </c>
      <c r="C787" s="251">
        <v>45359</v>
      </c>
      <c r="D787" s="235" t="s">
        <v>963</v>
      </c>
      <c r="E787" s="235" t="str">
        <f>VLOOKUP(D787,'Danh mục hàng hóa'!$C$3:$D$600,2,0)</f>
        <v>Cánh cụt vàng treo gương</v>
      </c>
      <c r="F787" s="236" t="str">
        <f>VLOOKUP(D787,'Danh mục hàng hóa'!$C$3:$E$613,3,0)</f>
        <v>cái</v>
      </c>
      <c r="G787" s="126"/>
      <c r="H787" s="248">
        <v>4</v>
      </c>
      <c r="I787" s="126"/>
      <c r="J787" s="246"/>
      <c r="K787" s="235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</row>
    <row r="788" spans="1:30" ht="13.2">
      <c r="A788" s="126"/>
      <c r="B788" s="126" t="s">
        <v>336</v>
      </c>
      <c r="C788" s="251">
        <v>45359</v>
      </c>
      <c r="D788" s="235" t="s">
        <v>965</v>
      </c>
      <c r="E788" s="235" t="str">
        <f>VLOOKUP(D788,'Danh mục hàng hóa'!$C$3:$D$600,2,0)</f>
        <v>Cánh cụt xanh treo gương</v>
      </c>
      <c r="F788" s="236" t="str">
        <f>VLOOKUP(D788,'Danh mục hàng hóa'!$C$3:$E$613,3,0)</f>
        <v>cái</v>
      </c>
      <c r="G788" s="126"/>
      <c r="H788" s="248">
        <v>3</v>
      </c>
      <c r="I788" s="126"/>
      <c r="J788" s="246"/>
      <c r="K788" s="235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</row>
    <row r="789" spans="1:30" ht="13.2">
      <c r="A789" s="126"/>
      <c r="B789" s="126" t="s">
        <v>336</v>
      </c>
      <c r="C789" s="251">
        <v>45359</v>
      </c>
      <c r="D789" s="235" t="s">
        <v>967</v>
      </c>
      <c r="E789" s="235" t="str">
        <f>VLOOKUP(D789,'Danh mục hàng hóa'!$C$3:$D$600,2,0)</f>
        <v>Bạch tuyết treo gương</v>
      </c>
      <c r="F789" s="236" t="str">
        <f>VLOOKUP(D789,'Danh mục hàng hóa'!$C$3:$E$613,3,0)</f>
        <v>cái</v>
      </c>
      <c r="G789" s="126"/>
      <c r="H789" s="248">
        <v>3</v>
      </c>
      <c r="I789" s="126"/>
      <c r="J789" s="246"/>
      <c r="K789" s="235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</row>
    <row r="790" spans="1:30" ht="13.2">
      <c r="A790" s="126"/>
      <c r="B790" s="126" t="s">
        <v>336</v>
      </c>
      <c r="C790" s="251">
        <v>45359</v>
      </c>
      <c r="D790" s="235" t="s">
        <v>1025</v>
      </c>
      <c r="E790" s="235" t="str">
        <f>VLOOKUP(D790,'Danh mục hàng hóa'!$C$3:$D$600,2,0)</f>
        <v>Mô hình mèo 1</v>
      </c>
      <c r="F790" s="236" t="str">
        <f>VLOOKUP(D790,'Danh mục hàng hóa'!$C$3:$E$613,3,0)</f>
        <v>cái</v>
      </c>
      <c r="G790" s="126"/>
      <c r="H790" s="248">
        <v>9</v>
      </c>
      <c r="I790" s="126"/>
      <c r="J790" s="246"/>
      <c r="K790" s="235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</row>
    <row r="791" spans="1:30" ht="13.2">
      <c r="A791" s="126"/>
      <c r="B791" s="126" t="s">
        <v>336</v>
      </c>
      <c r="C791" s="251">
        <v>45359</v>
      </c>
      <c r="D791" s="235" t="s">
        <v>1027</v>
      </c>
      <c r="E791" s="235" t="str">
        <f>VLOOKUP(D791,'Danh mục hàng hóa'!$C$3:$D$600,2,0)</f>
        <v>Mô hình mèo 2</v>
      </c>
      <c r="F791" s="236" t="str">
        <f>VLOOKUP(D791,'Danh mục hàng hóa'!$C$3:$E$613,3,0)</f>
        <v>cái</v>
      </c>
      <c r="G791" s="126"/>
      <c r="H791" s="248">
        <v>9</v>
      </c>
      <c r="I791" s="126"/>
      <c r="J791" s="246"/>
      <c r="K791" s="235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</row>
    <row r="792" spans="1:30" ht="13.2">
      <c r="A792" s="126"/>
      <c r="B792" s="126" t="s">
        <v>336</v>
      </c>
      <c r="C792" s="251">
        <v>45359</v>
      </c>
      <c r="D792" s="235" t="s">
        <v>1029</v>
      </c>
      <c r="E792" s="235" t="str">
        <f>VLOOKUP(D792,'Danh mục hàng hóa'!$C$3:$D$600,2,0)</f>
        <v>Mô hình mèo 3</v>
      </c>
      <c r="F792" s="236" t="str">
        <f>VLOOKUP(D792,'Danh mục hàng hóa'!$C$3:$E$613,3,0)</f>
        <v>cái</v>
      </c>
      <c r="G792" s="126"/>
      <c r="H792" s="248">
        <v>9</v>
      </c>
      <c r="I792" s="126"/>
      <c r="J792" s="246"/>
      <c r="K792" s="235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</row>
    <row r="793" spans="1:30" ht="13.2">
      <c r="A793" s="126"/>
      <c r="B793" s="126" t="s">
        <v>336</v>
      </c>
      <c r="C793" s="251">
        <v>45359</v>
      </c>
      <c r="D793" s="235" t="s">
        <v>1031</v>
      </c>
      <c r="E793" s="235" t="str">
        <f>VLOOKUP(D793,'Danh mục hàng hóa'!$C$3:$D$600,2,0)</f>
        <v>Mô hình mèo 4</v>
      </c>
      <c r="F793" s="236" t="str">
        <f>VLOOKUP(D793,'Danh mục hàng hóa'!$C$3:$E$613,3,0)</f>
        <v>cái</v>
      </c>
      <c r="G793" s="126"/>
      <c r="H793" s="248">
        <v>9</v>
      </c>
      <c r="I793" s="126"/>
      <c r="J793" s="246"/>
      <c r="K793" s="235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</row>
    <row r="794" spans="1:30" ht="13.2">
      <c r="A794" s="126"/>
      <c r="B794" s="126" t="s">
        <v>336</v>
      </c>
      <c r="C794" s="251">
        <v>45359</v>
      </c>
      <c r="D794" s="235" t="s">
        <v>1033</v>
      </c>
      <c r="E794" s="235" t="str">
        <f>VLOOKUP(D794,'Danh mục hàng hóa'!$C$3:$D$600,2,0)</f>
        <v>Mô hình mèo 5</v>
      </c>
      <c r="F794" s="236" t="str">
        <f>VLOOKUP(D794,'Danh mục hàng hóa'!$C$3:$E$613,3,0)</f>
        <v>cái</v>
      </c>
      <c r="G794" s="126"/>
      <c r="H794" s="248">
        <v>9</v>
      </c>
      <c r="I794" s="126"/>
      <c r="J794" s="246"/>
      <c r="K794" s="235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</row>
    <row r="795" spans="1:30" ht="13.2">
      <c r="A795" s="126"/>
      <c r="B795" s="126" t="s">
        <v>336</v>
      </c>
      <c r="C795" s="251">
        <v>45359</v>
      </c>
      <c r="D795" s="235" t="s">
        <v>772</v>
      </c>
      <c r="E795" s="235" t="str">
        <f>VLOOKUP(D795,'Danh mục hàng hóa'!$C$3:$D$600,2,0)</f>
        <v>Kẹp tóc hoa lan 01</v>
      </c>
      <c r="F795" s="236" t="str">
        <f>VLOOKUP(D795,'Danh mục hàng hóa'!$C$3:$E$613,3,0)</f>
        <v>cái</v>
      </c>
      <c r="G795" s="126"/>
      <c r="H795" s="248">
        <v>15</v>
      </c>
      <c r="I795" s="126"/>
      <c r="J795" s="246"/>
      <c r="K795" s="235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</row>
    <row r="796" spans="1:30" ht="13.2">
      <c r="A796" s="126"/>
      <c r="B796" s="126" t="s">
        <v>336</v>
      </c>
      <c r="C796" s="251">
        <v>45359</v>
      </c>
      <c r="D796" s="235" t="s">
        <v>774</v>
      </c>
      <c r="E796" s="235" t="str">
        <f>VLOOKUP(D796,'Danh mục hàng hóa'!$C$3:$D$600,2,0)</f>
        <v>Kẹp tóc hoa lan 02</v>
      </c>
      <c r="F796" s="236" t="str">
        <f>VLOOKUP(D796,'Danh mục hàng hóa'!$C$3:$E$613,3,0)</f>
        <v>cái</v>
      </c>
      <c r="G796" s="126"/>
      <c r="H796" s="248">
        <v>15</v>
      </c>
      <c r="I796" s="126"/>
      <c r="J796" s="246"/>
      <c r="K796" s="235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</row>
    <row r="797" spans="1:30" ht="13.2">
      <c r="A797" s="126"/>
      <c r="B797" s="126" t="s">
        <v>336</v>
      </c>
      <c r="C797" s="251">
        <v>45359</v>
      </c>
      <c r="D797" s="235" t="s">
        <v>776</v>
      </c>
      <c r="E797" s="235" t="str">
        <f>VLOOKUP(D797,'Danh mục hàng hóa'!$C$3:$D$600,2,0)</f>
        <v>Kẹp tóc hoa lan 03</v>
      </c>
      <c r="F797" s="236" t="str">
        <f>VLOOKUP(D797,'Danh mục hàng hóa'!$C$3:$E$613,3,0)</f>
        <v>cái</v>
      </c>
      <c r="G797" s="126"/>
      <c r="H797" s="248">
        <v>10</v>
      </c>
      <c r="I797" s="126"/>
      <c r="J797" s="246"/>
      <c r="K797" s="235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</row>
    <row r="798" spans="1:30" ht="13.2">
      <c r="A798" s="126"/>
      <c r="B798" s="126" t="s">
        <v>336</v>
      </c>
      <c r="C798" s="251">
        <v>45359</v>
      </c>
      <c r="D798" s="235" t="s">
        <v>778</v>
      </c>
      <c r="E798" s="235" t="str">
        <f>VLOOKUP(D798,'Danh mục hàng hóa'!$C$3:$D$600,2,0)</f>
        <v>Kẹp tóc hoa lan 04</v>
      </c>
      <c r="F798" s="236" t="str">
        <f>VLOOKUP(D798,'Danh mục hàng hóa'!$C$3:$E$613,3,0)</f>
        <v>cái</v>
      </c>
      <c r="G798" s="126"/>
      <c r="H798" s="248">
        <v>5</v>
      </c>
      <c r="I798" s="126"/>
      <c r="J798" s="246"/>
      <c r="K798" s="235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</row>
    <row r="799" spans="1:30" ht="13.2">
      <c r="A799" s="126"/>
      <c r="B799" s="126" t="s">
        <v>336</v>
      </c>
      <c r="C799" s="251">
        <v>45359</v>
      </c>
      <c r="D799" s="235" t="s">
        <v>780</v>
      </c>
      <c r="E799" s="235" t="str">
        <f>VLOOKUP(D799,'Danh mục hàng hóa'!$C$3:$D$600,2,0)</f>
        <v>Kẹp tóc hoa lan 05</v>
      </c>
      <c r="F799" s="236" t="str">
        <f>VLOOKUP(D799,'Danh mục hàng hóa'!$C$3:$E$613,3,0)</f>
        <v>cái</v>
      </c>
      <c r="G799" s="126"/>
      <c r="H799" s="248">
        <v>15</v>
      </c>
      <c r="I799" s="126"/>
      <c r="J799" s="246"/>
      <c r="K799" s="235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</row>
    <row r="800" spans="1:30" ht="13.2">
      <c r="A800" s="126"/>
      <c r="B800" s="126" t="s">
        <v>336</v>
      </c>
      <c r="C800" s="251">
        <v>45359</v>
      </c>
      <c r="D800" s="235" t="s">
        <v>782</v>
      </c>
      <c r="E800" s="235" t="str">
        <f>VLOOKUP(D800,'Danh mục hàng hóa'!$C$3:$D$600,2,0)</f>
        <v>Kẹp tóc hoa lan 06</v>
      </c>
      <c r="F800" s="236" t="str">
        <f>VLOOKUP(D800,'Danh mục hàng hóa'!$C$3:$E$613,3,0)</f>
        <v>cái</v>
      </c>
      <c r="G800" s="126"/>
      <c r="H800" s="248">
        <v>15</v>
      </c>
      <c r="I800" s="126"/>
      <c r="J800" s="246"/>
      <c r="K800" s="235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</row>
    <row r="801" spans="1:30" ht="13.2">
      <c r="A801" s="126"/>
      <c r="B801" s="126" t="s">
        <v>336</v>
      </c>
      <c r="C801" s="251">
        <v>45359</v>
      </c>
      <c r="D801" s="235" t="s">
        <v>784</v>
      </c>
      <c r="E801" s="235" t="str">
        <f>VLOOKUP(D801,'Danh mục hàng hóa'!$C$3:$D$600,2,0)</f>
        <v>Kẹp tóc hoa lan 07</v>
      </c>
      <c r="F801" s="236" t="str">
        <f>VLOOKUP(D801,'Danh mục hàng hóa'!$C$3:$E$613,3,0)</f>
        <v>cái</v>
      </c>
      <c r="G801" s="126"/>
      <c r="H801" s="248">
        <v>25</v>
      </c>
      <c r="I801" s="126"/>
      <c r="J801" s="246"/>
      <c r="K801" s="235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</row>
    <row r="802" spans="1:30" ht="13.2">
      <c r="A802" s="126"/>
      <c r="B802" s="126" t="s">
        <v>336</v>
      </c>
      <c r="C802" s="251">
        <v>45359</v>
      </c>
      <c r="D802" s="235" t="s">
        <v>786</v>
      </c>
      <c r="E802" s="235" t="str">
        <f>VLOOKUP(D802,'Danh mục hàng hóa'!$C$3:$D$600,2,0)</f>
        <v>Kẹp tóc hoa lan 08</v>
      </c>
      <c r="F802" s="236" t="str">
        <f>VLOOKUP(D802,'Danh mục hàng hóa'!$C$3:$E$613,3,0)</f>
        <v>cái</v>
      </c>
      <c r="G802" s="126"/>
      <c r="H802" s="248">
        <v>15</v>
      </c>
      <c r="I802" s="126"/>
      <c r="J802" s="246"/>
      <c r="K802" s="235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</row>
    <row r="803" spans="1:30" ht="13.2">
      <c r="A803" s="126"/>
      <c r="B803" s="126" t="s">
        <v>337</v>
      </c>
      <c r="C803" s="250">
        <v>45359</v>
      </c>
      <c r="D803" s="246" t="s">
        <v>885</v>
      </c>
      <c r="E803" s="235" t="str">
        <f>VLOOKUP(D803,'Danh mục hàng hóa'!$C$3:$D$600,2,0)</f>
        <v>Gấu chong chóng</v>
      </c>
      <c r="F803" s="236" t="str">
        <f>VLOOKUP(D803,'Danh mục hàng hóa'!$C$3:$E$613,3,0)</f>
        <v>cái</v>
      </c>
      <c r="G803" s="248">
        <v>43000</v>
      </c>
      <c r="H803" s="126"/>
      <c r="I803" s="248">
        <v>1</v>
      </c>
      <c r="J803" s="246"/>
      <c r="K803" s="237">
        <f t="shared" ref="K803:K1056" si="54">G803*I803</f>
        <v>43000</v>
      </c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</row>
    <row r="804" spans="1:30" ht="13.2">
      <c r="A804" s="126"/>
      <c r="B804" s="126" t="s">
        <v>337</v>
      </c>
      <c r="C804" s="250">
        <v>45359</v>
      </c>
      <c r="D804" s="235" t="s">
        <v>895</v>
      </c>
      <c r="E804" s="235" t="str">
        <f>VLOOKUP(D804,'Danh mục hàng hóa'!$C$3:$D$600,2,0)</f>
        <v>Thỏ chong chóng</v>
      </c>
      <c r="F804" s="236" t="str">
        <f>VLOOKUP(D804,'Danh mục hàng hóa'!$C$3:$E$613,3,0)</f>
        <v>cái</v>
      </c>
      <c r="G804" s="248">
        <v>43000</v>
      </c>
      <c r="H804" s="126"/>
      <c r="I804" s="248">
        <v>1</v>
      </c>
      <c r="J804" s="246"/>
      <c r="K804" s="237">
        <f t="shared" si="54"/>
        <v>43000</v>
      </c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</row>
    <row r="805" spans="1:30" ht="13.2">
      <c r="A805" s="126"/>
      <c r="B805" s="126" t="s">
        <v>337</v>
      </c>
      <c r="C805" s="251">
        <v>45359</v>
      </c>
      <c r="D805" s="235" t="s">
        <v>578</v>
      </c>
      <c r="E805" s="235" t="str">
        <f>VLOOKUP(D805,'Danh mục hàng hóa'!$C$3:$D$600,2,0)</f>
        <v>Ống 6 dâu cột tóc nâu</v>
      </c>
      <c r="F805" s="236" t="str">
        <f>VLOOKUP(D805,'Danh mục hàng hóa'!$C$3:$E$613,3,0)</f>
        <v>ống</v>
      </c>
      <c r="G805" s="248">
        <f>101992-83000</f>
        <v>18992</v>
      </c>
      <c r="H805" s="126"/>
      <c r="I805" s="248">
        <v>1</v>
      </c>
      <c r="J805" s="246"/>
      <c r="K805" s="237">
        <f t="shared" si="54"/>
        <v>18992</v>
      </c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</row>
    <row r="806" spans="1:30" ht="13.2">
      <c r="A806" s="126"/>
      <c r="B806" s="126" t="s">
        <v>337</v>
      </c>
      <c r="C806" s="250">
        <v>45359</v>
      </c>
      <c r="D806" s="246" t="s">
        <v>397</v>
      </c>
      <c r="E806" s="235" t="str">
        <f>VLOOKUP(D806,'Danh mục hàng hóa'!$C$3:$D$600,2,0)</f>
        <v>Túi chườm bụng dâu (xanh) 1000ml</v>
      </c>
      <c r="F806" s="236" t="str">
        <f>VLOOKUP(D806,'Danh mục hàng hóa'!$C$3:$E$613,3,0)</f>
        <v>túi</v>
      </c>
      <c r="G806" s="248">
        <v>79841</v>
      </c>
      <c r="H806" s="126"/>
      <c r="I806" s="248">
        <v>1</v>
      </c>
      <c r="J806" s="246"/>
      <c r="K806" s="237">
        <f t="shared" si="54"/>
        <v>79841</v>
      </c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</row>
    <row r="807" spans="1:30" ht="13.2">
      <c r="A807" s="126"/>
      <c r="B807" s="126" t="s">
        <v>337</v>
      </c>
      <c r="C807" s="250">
        <v>45359</v>
      </c>
      <c r="D807" s="246" t="s">
        <v>515</v>
      </c>
      <c r="E807" s="235" t="str">
        <f>VLOOKUP(D807,'Danh mục hàng hóa'!$C$3:$D$600,2,0)</f>
        <v>Trâm cài 17</v>
      </c>
      <c r="F807" s="236" t="str">
        <f>VLOOKUP(D807,'Danh mục hàng hóa'!$C$3:$E$613,3,0)</f>
        <v>cây</v>
      </c>
      <c r="G807" s="248">
        <v>0</v>
      </c>
      <c r="H807" s="126"/>
      <c r="I807" s="248">
        <v>1</v>
      </c>
      <c r="J807" s="246"/>
      <c r="K807" s="237">
        <f t="shared" si="54"/>
        <v>0</v>
      </c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</row>
    <row r="808" spans="1:30" ht="13.2">
      <c r="A808" s="126"/>
      <c r="B808" s="126" t="s">
        <v>337</v>
      </c>
      <c r="C808" s="250">
        <v>45359</v>
      </c>
      <c r="D808" s="246" t="s">
        <v>503</v>
      </c>
      <c r="E808" s="235" t="str">
        <f>VLOOKUP(D808,'Danh mục hàng hóa'!$C$3:$D$600,2,0)</f>
        <v>Trâm cài 11</v>
      </c>
      <c r="F808" s="236" t="str">
        <f>VLOOKUP(D808,'Danh mục hàng hóa'!$C$3:$E$613,3,0)</f>
        <v>cây</v>
      </c>
      <c r="G808" s="248">
        <v>30000</v>
      </c>
      <c r="H808" s="126"/>
      <c r="I808" s="248">
        <v>1</v>
      </c>
      <c r="J808" s="246"/>
      <c r="K808" s="237">
        <f t="shared" si="54"/>
        <v>30000</v>
      </c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</row>
    <row r="809" spans="1:30" ht="13.2">
      <c r="A809" s="126"/>
      <c r="B809" s="126" t="s">
        <v>337</v>
      </c>
      <c r="C809" s="250">
        <v>45359</v>
      </c>
      <c r="D809" s="246" t="s">
        <v>505</v>
      </c>
      <c r="E809" s="235" t="str">
        <f>VLOOKUP(D809,'Danh mục hàng hóa'!$C$3:$D$600,2,0)</f>
        <v>Trâm cài 12</v>
      </c>
      <c r="F809" s="236" t="str">
        <f>VLOOKUP(D809,'Danh mục hàng hóa'!$C$3:$E$613,3,0)</f>
        <v>cây</v>
      </c>
      <c r="G809" s="248">
        <v>0</v>
      </c>
      <c r="H809" s="126"/>
      <c r="I809" s="248">
        <v>1</v>
      </c>
      <c r="J809" s="246"/>
      <c r="K809" s="237">
        <f t="shared" si="54"/>
        <v>0</v>
      </c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</row>
    <row r="810" spans="1:30" ht="13.2">
      <c r="A810" s="126"/>
      <c r="B810" s="126" t="s">
        <v>337</v>
      </c>
      <c r="C810" s="250">
        <v>45358</v>
      </c>
      <c r="D810" s="246" t="s">
        <v>736</v>
      </c>
      <c r="E810" s="235" t="str">
        <f>VLOOKUP(D810,'Danh mục hàng hóa'!$C$3:$D$600,2,0)</f>
        <v>Kẹp tóc hoa sứ vàng</v>
      </c>
      <c r="F810" s="236" t="str">
        <f>VLOOKUP(D810,'Danh mục hàng hóa'!$C$3:$E$613,3,0)</f>
        <v>cái</v>
      </c>
      <c r="G810" s="248">
        <f t="shared" ref="G810:G811" si="55">25998/2</f>
        <v>12999</v>
      </c>
      <c r="H810" s="126"/>
      <c r="I810" s="248">
        <v>1</v>
      </c>
      <c r="J810" s="246"/>
      <c r="K810" s="237">
        <f t="shared" si="54"/>
        <v>12999</v>
      </c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</row>
    <row r="811" spans="1:30" ht="13.2">
      <c r="A811" s="126"/>
      <c r="B811" s="126" t="s">
        <v>337</v>
      </c>
      <c r="C811" s="250">
        <v>45358</v>
      </c>
      <c r="D811" s="246" t="s">
        <v>734</v>
      </c>
      <c r="E811" s="235" t="str">
        <f>VLOOKUP(D811,'Danh mục hàng hóa'!$C$3:$D$600,2,0)</f>
        <v>Kẹp tóc hoa sứ hồng</v>
      </c>
      <c r="F811" s="236" t="str">
        <f>VLOOKUP(D811,'Danh mục hàng hóa'!$C$3:$E$613,3,0)</f>
        <v>cái</v>
      </c>
      <c r="G811" s="248">
        <f t="shared" si="55"/>
        <v>12999</v>
      </c>
      <c r="H811" s="126"/>
      <c r="I811" s="248">
        <v>1</v>
      </c>
      <c r="J811" s="246"/>
      <c r="K811" s="237">
        <f t="shared" si="54"/>
        <v>12999</v>
      </c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</row>
    <row r="812" spans="1:30" ht="13.2">
      <c r="A812" s="126"/>
      <c r="B812" s="126" t="s">
        <v>337</v>
      </c>
      <c r="C812" s="250">
        <v>45359</v>
      </c>
      <c r="D812" s="246" t="s">
        <v>732</v>
      </c>
      <c r="E812" s="235" t="str">
        <f>VLOOKUP(D812,'Danh mục hàng hóa'!$C$3:$D$600,2,0)</f>
        <v>Kẹp tóc hoa sứ tím</v>
      </c>
      <c r="F812" s="236" t="str">
        <f>VLOOKUP(D812,'Danh mục hàng hóa'!$C$3:$E$613,3,0)</f>
        <v>cái</v>
      </c>
      <c r="G812" s="248">
        <f t="shared" ref="G812:G814" si="56">65060/5</f>
        <v>13012</v>
      </c>
      <c r="H812" s="126"/>
      <c r="I812" s="248">
        <v>2</v>
      </c>
      <c r="J812" s="246"/>
      <c r="K812" s="237">
        <f t="shared" si="54"/>
        <v>26024</v>
      </c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</row>
    <row r="813" spans="1:30" ht="13.2">
      <c r="A813" s="126"/>
      <c r="B813" s="126" t="s">
        <v>337</v>
      </c>
      <c r="C813" s="250">
        <v>45359</v>
      </c>
      <c r="D813" s="246" t="s">
        <v>734</v>
      </c>
      <c r="E813" s="235" t="str">
        <f>VLOOKUP(D813,'Danh mục hàng hóa'!$C$3:$D$600,2,0)</f>
        <v>Kẹp tóc hoa sứ hồng</v>
      </c>
      <c r="F813" s="236" t="str">
        <f>VLOOKUP(D813,'Danh mục hàng hóa'!$C$3:$E$613,3,0)</f>
        <v>cái</v>
      </c>
      <c r="G813" s="248">
        <f t="shared" si="56"/>
        <v>13012</v>
      </c>
      <c r="H813" s="126"/>
      <c r="I813" s="248">
        <v>2</v>
      </c>
      <c r="J813" s="246"/>
      <c r="K813" s="237">
        <f t="shared" si="54"/>
        <v>26024</v>
      </c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</row>
    <row r="814" spans="1:30" ht="13.2">
      <c r="A814" s="126"/>
      <c r="B814" s="126" t="s">
        <v>337</v>
      </c>
      <c r="C814" s="250">
        <v>45359</v>
      </c>
      <c r="D814" s="246" t="s">
        <v>740</v>
      </c>
      <c r="E814" s="235" t="str">
        <f>VLOOKUP(D814,'Danh mục hàng hóa'!$C$3:$D$600,2,0)</f>
        <v>Kẹp tóc hoa sứ đỏ</v>
      </c>
      <c r="F814" s="236" t="str">
        <f>VLOOKUP(D814,'Danh mục hàng hóa'!$C$3:$E$613,3,0)</f>
        <v>cái</v>
      </c>
      <c r="G814" s="248">
        <f t="shared" si="56"/>
        <v>13012</v>
      </c>
      <c r="H814" s="126"/>
      <c r="I814" s="248">
        <v>1</v>
      </c>
      <c r="J814" s="246"/>
      <c r="K814" s="237">
        <f t="shared" si="54"/>
        <v>13012</v>
      </c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</row>
    <row r="815" spans="1:30" ht="13.2">
      <c r="A815" s="126"/>
      <c r="B815" s="126" t="s">
        <v>337</v>
      </c>
      <c r="C815" s="250">
        <v>45359</v>
      </c>
      <c r="D815" s="246" t="s">
        <v>732</v>
      </c>
      <c r="E815" s="235" t="str">
        <f>VLOOKUP(D815,'Danh mục hàng hóa'!$C$3:$D$600,2,0)</f>
        <v>Kẹp tóc hoa sứ tím</v>
      </c>
      <c r="F815" s="236" t="str">
        <f>VLOOKUP(D815,'Danh mục hàng hóa'!$C$3:$E$613,3,0)</f>
        <v>cái</v>
      </c>
      <c r="G815" s="248">
        <f t="shared" ref="G815:G819" si="57">70764/6</f>
        <v>11794</v>
      </c>
      <c r="H815" s="126"/>
      <c r="I815" s="248">
        <v>1</v>
      </c>
      <c r="J815" s="246"/>
      <c r="K815" s="237">
        <f t="shared" si="54"/>
        <v>11794</v>
      </c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</row>
    <row r="816" spans="1:30" ht="13.2">
      <c r="A816" s="126"/>
      <c r="B816" s="126" t="s">
        <v>337</v>
      </c>
      <c r="C816" s="250">
        <v>45359</v>
      </c>
      <c r="D816" s="246" t="s">
        <v>734</v>
      </c>
      <c r="E816" s="235" t="str">
        <f>VLOOKUP(D816,'Danh mục hàng hóa'!$C$3:$D$600,2,0)</f>
        <v>Kẹp tóc hoa sứ hồng</v>
      </c>
      <c r="F816" s="236" t="str">
        <f>VLOOKUP(D816,'Danh mục hàng hóa'!$C$3:$E$613,3,0)</f>
        <v>cái</v>
      </c>
      <c r="G816" s="248">
        <f t="shared" si="57"/>
        <v>11794</v>
      </c>
      <c r="H816" s="126"/>
      <c r="I816" s="248">
        <v>2</v>
      </c>
      <c r="J816" s="246"/>
      <c r="K816" s="237">
        <f t="shared" si="54"/>
        <v>23588</v>
      </c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</row>
    <row r="817" spans="1:30" ht="13.2">
      <c r="A817" s="126"/>
      <c r="B817" s="126" t="s">
        <v>337</v>
      </c>
      <c r="C817" s="250">
        <v>45359</v>
      </c>
      <c r="D817" s="246" t="s">
        <v>736</v>
      </c>
      <c r="E817" s="235" t="str">
        <f>VLOOKUP(D817,'Danh mục hàng hóa'!$C$3:$D$600,2,0)</f>
        <v>Kẹp tóc hoa sứ vàng</v>
      </c>
      <c r="F817" s="236" t="str">
        <f>VLOOKUP(D817,'Danh mục hàng hóa'!$C$3:$E$613,3,0)</f>
        <v>cái</v>
      </c>
      <c r="G817" s="248">
        <f t="shared" si="57"/>
        <v>11794</v>
      </c>
      <c r="H817" s="126"/>
      <c r="I817" s="248">
        <v>1</v>
      </c>
      <c r="J817" s="246"/>
      <c r="K817" s="237">
        <f t="shared" si="54"/>
        <v>11794</v>
      </c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</row>
    <row r="818" spans="1:30" ht="13.2">
      <c r="A818" s="126"/>
      <c r="B818" s="126" t="s">
        <v>337</v>
      </c>
      <c r="C818" s="250">
        <v>45359</v>
      </c>
      <c r="D818" s="246" t="s">
        <v>740</v>
      </c>
      <c r="E818" s="235" t="str">
        <f>VLOOKUP(D818,'Danh mục hàng hóa'!$C$3:$D$600,2,0)</f>
        <v>Kẹp tóc hoa sứ đỏ</v>
      </c>
      <c r="F818" s="236" t="str">
        <f>VLOOKUP(D818,'Danh mục hàng hóa'!$C$3:$E$613,3,0)</f>
        <v>cái</v>
      </c>
      <c r="G818" s="248">
        <f t="shared" si="57"/>
        <v>11794</v>
      </c>
      <c r="H818" s="126"/>
      <c r="I818" s="248">
        <v>1</v>
      </c>
      <c r="J818" s="246"/>
      <c r="K818" s="237">
        <f t="shared" si="54"/>
        <v>11794</v>
      </c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</row>
    <row r="819" spans="1:30" ht="13.2">
      <c r="A819" s="126"/>
      <c r="B819" s="126" t="s">
        <v>337</v>
      </c>
      <c r="C819" s="250">
        <v>45359</v>
      </c>
      <c r="D819" s="246" t="s">
        <v>742</v>
      </c>
      <c r="E819" s="235" t="str">
        <f>VLOOKUP(D819,'Danh mục hàng hóa'!$C$3:$D$600,2,0)</f>
        <v>Kẹp tóc hoa sứ xanh</v>
      </c>
      <c r="F819" s="236" t="str">
        <f>VLOOKUP(D819,'Danh mục hàng hóa'!$C$3:$E$613,3,0)</f>
        <v>cái</v>
      </c>
      <c r="G819" s="248">
        <f t="shared" si="57"/>
        <v>11794</v>
      </c>
      <c r="H819" s="126"/>
      <c r="I819" s="248">
        <v>1</v>
      </c>
      <c r="J819" s="246"/>
      <c r="K819" s="237">
        <f t="shared" si="54"/>
        <v>11794</v>
      </c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</row>
    <row r="820" spans="1:30" ht="13.2">
      <c r="A820" s="126"/>
      <c r="B820" s="126" t="s">
        <v>337</v>
      </c>
      <c r="C820" s="250">
        <v>45359</v>
      </c>
      <c r="D820" s="246" t="s">
        <v>325</v>
      </c>
      <c r="E820" s="235" t="str">
        <f>VLOOKUP(D820,'Danh mục hàng hóa'!$C$3:$D$600,2,0)</f>
        <v>Gấu chong chóng</v>
      </c>
      <c r="F820" s="236" t="str">
        <f>VLOOKUP(D820,'Danh mục hàng hóa'!$C$3:$E$613,3,0)</f>
        <v>cái</v>
      </c>
      <c r="G820" s="248">
        <v>43852</v>
      </c>
      <c r="H820" s="126"/>
      <c r="I820" s="248">
        <v>1</v>
      </c>
      <c r="J820" s="246"/>
      <c r="K820" s="237">
        <f t="shared" si="54"/>
        <v>43852</v>
      </c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</row>
    <row r="821" spans="1:30" ht="13.2">
      <c r="A821" s="126"/>
      <c r="B821" s="126" t="s">
        <v>337</v>
      </c>
      <c r="C821" s="250">
        <v>45359</v>
      </c>
      <c r="D821" s="246" t="s">
        <v>2049</v>
      </c>
      <c r="E821" s="235" t="str">
        <f>VLOOKUP(D821,'Danh mục hàng hóa'!$C$3:$D$600,2,0)</f>
        <v>Trâm cài 11</v>
      </c>
      <c r="F821" s="236" t="str">
        <f>VLOOKUP(D821,'Danh mục hàng hóa'!$C$3:$E$613,3,0)</f>
        <v>cây</v>
      </c>
      <c r="G821" s="248">
        <v>33120</v>
      </c>
      <c r="H821" s="126"/>
      <c r="I821" s="248">
        <v>1</v>
      </c>
      <c r="J821" s="246"/>
      <c r="K821" s="237">
        <f t="shared" si="54"/>
        <v>33120</v>
      </c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</row>
    <row r="822" spans="1:30" ht="13.2">
      <c r="A822" s="126"/>
      <c r="B822" s="126" t="s">
        <v>337</v>
      </c>
      <c r="C822" s="250">
        <v>45360</v>
      </c>
      <c r="D822" s="246" t="s">
        <v>2152</v>
      </c>
      <c r="E822" s="235" t="str">
        <f>VLOOKUP(D822,'Danh mục hàng hóa'!$C$3:$D$600,2,0)</f>
        <v>Trâm cài 12</v>
      </c>
      <c r="F822" s="236" t="str">
        <f>VLOOKUP(D822,'Danh mục hàng hóa'!$C$3:$E$613,3,0)</f>
        <v>cây</v>
      </c>
      <c r="G822" s="248">
        <v>40000</v>
      </c>
      <c r="H822" s="126"/>
      <c r="I822" s="248">
        <v>1</v>
      </c>
      <c r="J822" s="246"/>
      <c r="K822" s="237">
        <f t="shared" si="54"/>
        <v>40000</v>
      </c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</row>
    <row r="823" spans="1:30" ht="13.2">
      <c r="A823" s="126"/>
      <c r="B823" s="126" t="s">
        <v>337</v>
      </c>
      <c r="C823" s="250">
        <v>45360</v>
      </c>
      <c r="D823" s="246" t="s">
        <v>2153</v>
      </c>
      <c r="E823" s="235" t="str">
        <f>VLOOKUP(D823,'Danh mục hàng hóa'!$C$3:$D$600,2,0)</f>
        <v>Trâm cài 14</v>
      </c>
      <c r="F823" s="236" t="str">
        <f>VLOOKUP(D823,'Danh mục hàng hóa'!$C$3:$E$613,3,0)</f>
        <v>cây</v>
      </c>
      <c r="G823" s="248">
        <v>30000</v>
      </c>
      <c r="H823" s="126"/>
      <c r="I823" s="248">
        <v>1</v>
      </c>
      <c r="J823" s="246"/>
      <c r="K823" s="237">
        <f t="shared" si="54"/>
        <v>30000</v>
      </c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</row>
    <row r="824" spans="1:30" ht="13.2">
      <c r="A824" s="126"/>
      <c r="B824" s="126" t="s">
        <v>337</v>
      </c>
      <c r="C824" s="250">
        <v>45360</v>
      </c>
      <c r="D824" s="246" t="s">
        <v>752</v>
      </c>
      <c r="E824" s="235" t="str">
        <f>VLOOKUP(D824,'Danh mục hàng hóa'!$C$3:$D$600,2,0)</f>
        <v>Kẹp tóc hoa năm cánh đỏ hồng đẹp</v>
      </c>
      <c r="F824" s="236" t="str">
        <f>VLOOKUP(D824,'Danh mục hàng hóa'!$C$3:$E$613,3,0)</f>
        <v>cái</v>
      </c>
      <c r="G824" s="248">
        <f t="shared" ref="G824:G831" si="58">(1034880-270000)/60</f>
        <v>12748</v>
      </c>
      <c r="H824" s="126"/>
      <c r="I824" s="248">
        <v>5</v>
      </c>
      <c r="J824" s="246"/>
      <c r="K824" s="237">
        <f t="shared" si="54"/>
        <v>63740</v>
      </c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</row>
    <row r="825" spans="1:30" ht="13.2">
      <c r="A825" s="126"/>
      <c r="B825" s="126" t="s">
        <v>337</v>
      </c>
      <c r="C825" s="250">
        <v>45360</v>
      </c>
      <c r="D825" s="246" t="s">
        <v>736</v>
      </c>
      <c r="E825" s="235" t="str">
        <f>VLOOKUP(D825,'Danh mục hàng hóa'!$C$3:$D$600,2,0)</f>
        <v>Kẹp tóc hoa sứ vàng</v>
      </c>
      <c r="F825" s="236" t="str">
        <f>VLOOKUP(D825,'Danh mục hàng hóa'!$C$3:$E$613,3,0)</f>
        <v>cái</v>
      </c>
      <c r="G825" s="248">
        <f t="shared" si="58"/>
        <v>12748</v>
      </c>
      <c r="H825" s="126"/>
      <c r="I825" s="248">
        <v>10</v>
      </c>
      <c r="J825" s="246"/>
      <c r="K825" s="237">
        <f t="shared" si="54"/>
        <v>127480</v>
      </c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</row>
    <row r="826" spans="1:30" ht="13.2">
      <c r="A826" s="126"/>
      <c r="B826" s="126" t="s">
        <v>337</v>
      </c>
      <c r="C826" s="250">
        <v>45360</v>
      </c>
      <c r="D826" s="246" t="s">
        <v>742</v>
      </c>
      <c r="E826" s="235" t="str">
        <f>VLOOKUP(D826,'Danh mục hàng hóa'!$C$3:$D$600,2,0)</f>
        <v>Kẹp tóc hoa sứ xanh</v>
      </c>
      <c r="F826" s="236" t="str">
        <f>VLOOKUP(D826,'Danh mục hàng hóa'!$C$3:$E$613,3,0)</f>
        <v>cái</v>
      </c>
      <c r="G826" s="248">
        <f t="shared" si="58"/>
        <v>12748</v>
      </c>
      <c r="H826" s="126"/>
      <c r="I826" s="248">
        <v>10</v>
      </c>
      <c r="J826" s="246"/>
      <c r="K826" s="237">
        <f t="shared" si="54"/>
        <v>127480</v>
      </c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</row>
    <row r="827" spans="1:30" ht="13.2">
      <c r="A827" s="126"/>
      <c r="B827" s="126" t="s">
        <v>337</v>
      </c>
      <c r="C827" s="250">
        <v>45360</v>
      </c>
      <c r="D827" s="246" t="s">
        <v>754</v>
      </c>
      <c r="E827" s="235" t="str">
        <f>VLOOKUP(D827,'Danh mục hàng hóa'!$C$3:$D$600,2,0)</f>
        <v>Kẹp tóc hoa năm cánh xanh vàng</v>
      </c>
      <c r="F827" s="236" t="str">
        <f>VLOOKUP(D827,'Danh mục hàng hóa'!$C$3:$E$613,3,0)</f>
        <v>cái</v>
      </c>
      <c r="G827" s="248">
        <f t="shared" si="58"/>
        <v>12748</v>
      </c>
      <c r="H827" s="126"/>
      <c r="I827" s="248">
        <v>5</v>
      </c>
      <c r="J827" s="246"/>
      <c r="K827" s="237">
        <f t="shared" si="54"/>
        <v>63740</v>
      </c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</row>
    <row r="828" spans="1:30" ht="13.2">
      <c r="A828" s="126"/>
      <c r="B828" s="126" t="s">
        <v>337</v>
      </c>
      <c r="C828" s="250">
        <v>45360</v>
      </c>
      <c r="D828" s="246" t="s">
        <v>738</v>
      </c>
      <c r="E828" s="235" t="str">
        <f>VLOOKUP(D828,'Danh mục hàng hóa'!$C$3:$D$600,2,0)</f>
        <v>Kẹp tóc hoa sứ cam</v>
      </c>
      <c r="F828" s="236" t="str">
        <f>VLOOKUP(D828,'Danh mục hàng hóa'!$C$3:$E$613,3,0)</f>
        <v>cái</v>
      </c>
      <c r="G828" s="248">
        <f t="shared" si="58"/>
        <v>12748</v>
      </c>
      <c r="H828" s="126"/>
      <c r="I828" s="248">
        <v>5</v>
      </c>
      <c r="J828" s="246"/>
      <c r="K828" s="237">
        <f t="shared" si="54"/>
        <v>63740</v>
      </c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</row>
    <row r="829" spans="1:30" ht="13.2">
      <c r="A829" s="126"/>
      <c r="B829" s="126" t="s">
        <v>337</v>
      </c>
      <c r="C829" s="250">
        <v>45360</v>
      </c>
      <c r="D829" s="246" t="s">
        <v>740</v>
      </c>
      <c r="E829" s="235" t="str">
        <f>VLOOKUP(D829,'Danh mục hàng hóa'!$C$3:$D$600,2,0)</f>
        <v>Kẹp tóc hoa sứ đỏ</v>
      </c>
      <c r="F829" s="236" t="str">
        <f>VLOOKUP(D829,'Danh mục hàng hóa'!$C$3:$E$613,3,0)</f>
        <v>cái</v>
      </c>
      <c r="G829" s="248">
        <f t="shared" si="58"/>
        <v>12748</v>
      </c>
      <c r="H829" s="126"/>
      <c r="I829" s="248">
        <v>10</v>
      </c>
      <c r="J829" s="246"/>
      <c r="K829" s="237">
        <f t="shared" si="54"/>
        <v>127480</v>
      </c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</row>
    <row r="830" spans="1:30" ht="13.2">
      <c r="A830" s="126"/>
      <c r="B830" s="126" t="s">
        <v>337</v>
      </c>
      <c r="C830" s="250">
        <v>45360</v>
      </c>
      <c r="D830" s="246" t="s">
        <v>744</v>
      </c>
      <c r="E830" s="235" t="str">
        <f>VLOOKUP(D830,'Danh mục hàng hóa'!$C$3:$D$600,2,0)</f>
        <v>Kẹp tóc hoa sứ đỏ hồng đậm</v>
      </c>
      <c r="F830" s="236" t="str">
        <f>VLOOKUP(D830,'Danh mục hàng hóa'!$C$3:$E$613,3,0)</f>
        <v>cái</v>
      </c>
      <c r="G830" s="248">
        <f t="shared" si="58"/>
        <v>12748</v>
      </c>
      <c r="H830" s="126"/>
      <c r="I830" s="248">
        <v>10</v>
      </c>
      <c r="J830" s="246"/>
      <c r="K830" s="237">
        <f t="shared" si="54"/>
        <v>127480</v>
      </c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</row>
    <row r="831" spans="1:30" ht="13.2">
      <c r="A831" s="126"/>
      <c r="B831" s="126" t="s">
        <v>337</v>
      </c>
      <c r="C831" s="250">
        <v>45360</v>
      </c>
      <c r="D831" s="246" t="s">
        <v>748</v>
      </c>
      <c r="E831" s="235" t="str">
        <f>VLOOKUP(D831,'Danh mục hàng hóa'!$C$3:$D$600,2,0)</f>
        <v>Kẹp tóc hoa năm cánh đỏ hồng</v>
      </c>
      <c r="F831" s="236" t="str">
        <f>VLOOKUP(D831,'Danh mục hàng hóa'!$C$3:$E$613,3,0)</f>
        <v>cái</v>
      </c>
      <c r="G831" s="248">
        <f t="shared" si="58"/>
        <v>12748</v>
      </c>
      <c r="H831" s="126"/>
      <c r="I831" s="248">
        <v>5</v>
      </c>
      <c r="J831" s="246"/>
      <c r="K831" s="237">
        <f t="shared" si="54"/>
        <v>63740</v>
      </c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</row>
    <row r="832" spans="1:30" ht="13.2">
      <c r="A832" s="126"/>
      <c r="B832" s="126" t="s">
        <v>337</v>
      </c>
      <c r="C832" s="250">
        <v>45360</v>
      </c>
      <c r="D832" s="246" t="s">
        <v>424</v>
      </c>
      <c r="E832" s="235" t="str">
        <f>VLOOKUP(D832,'Danh mục hàng hóa'!$C$3:$D$600,2,0)</f>
        <v>Túi chườm bụng vịt vàng 500ml</v>
      </c>
      <c r="F832" s="236" t="str">
        <f>VLOOKUP(D832,'Danh mục hàng hóa'!$C$3:$E$613,3,0)</f>
        <v>túi</v>
      </c>
      <c r="G832" s="248">
        <v>60000</v>
      </c>
      <c r="H832" s="126"/>
      <c r="I832" s="248">
        <v>1</v>
      </c>
      <c r="J832" s="246"/>
      <c r="K832" s="237">
        <f t="shared" si="54"/>
        <v>60000</v>
      </c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</row>
    <row r="833" spans="1:30" ht="13.2">
      <c r="A833" s="126"/>
      <c r="B833" s="126" t="s">
        <v>337</v>
      </c>
      <c r="C833" s="250">
        <v>45360</v>
      </c>
      <c r="D833" s="246" t="s">
        <v>917</v>
      </c>
      <c r="E833" s="235" t="str">
        <f>VLOOKUP(D833,'Danh mục hàng hóa'!$C$3:$D$600,2,0)</f>
        <v>Thỏ đi vịt gắn xe</v>
      </c>
      <c r="F833" s="236" t="str">
        <f>VLOOKUP(D833,'Danh mục hàng hóa'!$C$3:$E$613,3,0)</f>
        <v>cái</v>
      </c>
      <c r="G833" s="248">
        <f t="shared" ref="G833:G834" si="59">(154874-60000)/3</f>
        <v>31624.666666666668</v>
      </c>
      <c r="H833" s="126"/>
      <c r="I833" s="248">
        <v>2</v>
      </c>
      <c r="J833" s="246"/>
      <c r="K833" s="237">
        <f t="shared" si="54"/>
        <v>63249.333333333336</v>
      </c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</row>
    <row r="834" spans="1:30" ht="13.2">
      <c r="A834" s="126"/>
      <c r="B834" s="126" t="s">
        <v>337</v>
      </c>
      <c r="C834" s="250">
        <v>45360</v>
      </c>
      <c r="D834" s="246" t="s">
        <v>919</v>
      </c>
      <c r="E834" s="235" t="str">
        <f>VLOOKUP(D834,'Danh mục hàng hóa'!$C$3:$D$600,2,0)</f>
        <v>Thỏ mặt trăng gắn xe</v>
      </c>
      <c r="F834" s="236" t="str">
        <f>VLOOKUP(D834,'Danh mục hàng hóa'!$C$3:$E$613,3,0)</f>
        <v>cái</v>
      </c>
      <c r="G834" s="248">
        <f t="shared" si="59"/>
        <v>31624.666666666668</v>
      </c>
      <c r="H834" s="126"/>
      <c r="I834" s="248">
        <v>1</v>
      </c>
      <c r="J834" s="246"/>
      <c r="K834" s="237">
        <f t="shared" si="54"/>
        <v>31624.666666666668</v>
      </c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</row>
    <row r="835" spans="1:30" ht="13.2">
      <c r="A835" s="126"/>
      <c r="B835" s="126" t="s">
        <v>337</v>
      </c>
      <c r="C835" s="250">
        <v>45360</v>
      </c>
      <c r="D835" s="246" t="s">
        <v>732</v>
      </c>
      <c r="E835" s="235" t="str">
        <f>VLOOKUP(D835,'Danh mục hàng hóa'!$C$3:$D$600,2,0)</f>
        <v>Kẹp tóc hoa sứ tím</v>
      </c>
      <c r="F835" s="236" t="str">
        <f>VLOOKUP(D835,'Danh mục hàng hóa'!$C$3:$E$613,3,0)</f>
        <v>cái</v>
      </c>
      <c r="G835" s="248">
        <f t="shared" ref="G835:G840" si="60">78180/6</f>
        <v>13030</v>
      </c>
      <c r="H835" s="126"/>
      <c r="I835" s="248">
        <v>1</v>
      </c>
      <c r="J835" s="246"/>
      <c r="K835" s="237">
        <f t="shared" si="54"/>
        <v>13030</v>
      </c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</row>
    <row r="836" spans="1:30" ht="13.2">
      <c r="A836" s="126"/>
      <c r="B836" s="126" t="s">
        <v>337</v>
      </c>
      <c r="C836" s="250">
        <v>45360</v>
      </c>
      <c r="D836" s="246" t="s">
        <v>734</v>
      </c>
      <c r="E836" s="235" t="str">
        <f>VLOOKUP(D836,'Danh mục hàng hóa'!$C$3:$D$600,2,0)</f>
        <v>Kẹp tóc hoa sứ hồng</v>
      </c>
      <c r="F836" s="236" t="str">
        <f>VLOOKUP(D836,'Danh mục hàng hóa'!$C$3:$E$613,3,0)</f>
        <v>cái</v>
      </c>
      <c r="G836" s="248">
        <f t="shared" si="60"/>
        <v>13030</v>
      </c>
      <c r="H836" s="126"/>
      <c r="I836" s="248">
        <v>1</v>
      </c>
      <c r="J836" s="246"/>
      <c r="K836" s="237">
        <f t="shared" si="54"/>
        <v>13030</v>
      </c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</row>
    <row r="837" spans="1:30" ht="13.2">
      <c r="A837" s="126"/>
      <c r="B837" s="126" t="s">
        <v>337</v>
      </c>
      <c r="C837" s="250">
        <v>45360</v>
      </c>
      <c r="D837" s="246" t="s">
        <v>736</v>
      </c>
      <c r="E837" s="235" t="str">
        <f>VLOOKUP(D837,'Danh mục hàng hóa'!$C$3:$D$600,2,0)</f>
        <v>Kẹp tóc hoa sứ vàng</v>
      </c>
      <c r="F837" s="236" t="str">
        <f>VLOOKUP(D837,'Danh mục hàng hóa'!$C$3:$E$613,3,0)</f>
        <v>cái</v>
      </c>
      <c r="G837" s="248">
        <f t="shared" si="60"/>
        <v>13030</v>
      </c>
      <c r="H837" s="126"/>
      <c r="I837" s="248">
        <v>1</v>
      </c>
      <c r="J837" s="246"/>
      <c r="K837" s="237">
        <f t="shared" si="54"/>
        <v>13030</v>
      </c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</row>
    <row r="838" spans="1:30" ht="13.2">
      <c r="A838" s="126"/>
      <c r="B838" s="126" t="s">
        <v>337</v>
      </c>
      <c r="C838" s="250">
        <v>45360</v>
      </c>
      <c r="D838" s="246" t="s">
        <v>738</v>
      </c>
      <c r="E838" s="235" t="str">
        <f>VLOOKUP(D838,'Danh mục hàng hóa'!$C$3:$D$600,2,0)</f>
        <v>Kẹp tóc hoa sứ cam</v>
      </c>
      <c r="F838" s="236" t="str">
        <f>VLOOKUP(D838,'Danh mục hàng hóa'!$C$3:$E$613,3,0)</f>
        <v>cái</v>
      </c>
      <c r="G838" s="248">
        <f t="shared" si="60"/>
        <v>13030</v>
      </c>
      <c r="H838" s="126"/>
      <c r="I838" s="248">
        <v>1</v>
      </c>
      <c r="J838" s="246"/>
      <c r="K838" s="237">
        <f t="shared" si="54"/>
        <v>13030</v>
      </c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</row>
    <row r="839" spans="1:30" ht="13.2">
      <c r="A839" s="126"/>
      <c r="B839" s="126" t="s">
        <v>337</v>
      </c>
      <c r="C839" s="250">
        <v>45360</v>
      </c>
      <c r="D839" s="246" t="s">
        <v>744</v>
      </c>
      <c r="E839" s="235" t="str">
        <f>VLOOKUP(D839,'Danh mục hàng hóa'!$C$3:$D$600,2,0)</f>
        <v>Kẹp tóc hoa sứ đỏ hồng đậm</v>
      </c>
      <c r="F839" s="236" t="str">
        <f>VLOOKUP(D839,'Danh mục hàng hóa'!$C$3:$E$613,3,0)</f>
        <v>cái</v>
      </c>
      <c r="G839" s="248">
        <f t="shared" si="60"/>
        <v>13030</v>
      </c>
      <c r="H839" s="126"/>
      <c r="I839" s="248">
        <v>1</v>
      </c>
      <c r="J839" s="246"/>
      <c r="K839" s="237">
        <f t="shared" si="54"/>
        <v>13030</v>
      </c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</row>
    <row r="840" spans="1:30" ht="13.2">
      <c r="A840" s="126"/>
      <c r="B840" s="126" t="s">
        <v>337</v>
      </c>
      <c r="C840" s="250">
        <v>45360</v>
      </c>
      <c r="D840" s="246" t="s">
        <v>760</v>
      </c>
      <c r="E840" s="235" t="str">
        <f>VLOOKUP(D840,'Danh mục hàng hóa'!$C$3:$D$600,2,0)</f>
        <v>Kẹp tóc màu vàng trơn</v>
      </c>
      <c r="F840" s="236" t="str">
        <f>VLOOKUP(D840,'Danh mục hàng hóa'!$C$3:$E$613,3,0)</f>
        <v>cái</v>
      </c>
      <c r="G840" s="248">
        <f t="shared" si="60"/>
        <v>13030</v>
      </c>
      <c r="H840" s="126"/>
      <c r="I840" s="248">
        <v>1</v>
      </c>
      <c r="J840" s="246"/>
      <c r="K840" s="237">
        <f t="shared" si="54"/>
        <v>13030</v>
      </c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</row>
    <row r="841" spans="1:30" ht="13.2">
      <c r="A841" s="126"/>
      <c r="B841" s="126" t="s">
        <v>337</v>
      </c>
      <c r="C841" s="250">
        <v>45360</v>
      </c>
      <c r="D841" s="246" t="s">
        <v>740</v>
      </c>
      <c r="E841" s="235" t="str">
        <f>VLOOKUP(D841,'Danh mục hàng hóa'!$C$3:$D$600,2,0)</f>
        <v>Kẹp tóc hoa sứ đỏ</v>
      </c>
      <c r="F841" s="236" t="str">
        <f>VLOOKUP(D841,'Danh mục hàng hóa'!$C$3:$E$613,3,0)</f>
        <v>cái</v>
      </c>
      <c r="G841" s="248">
        <f t="shared" ref="G841:G842" si="61">26048/2</f>
        <v>13024</v>
      </c>
      <c r="H841" s="126"/>
      <c r="I841" s="248">
        <v>1</v>
      </c>
      <c r="J841" s="246"/>
      <c r="K841" s="237">
        <f t="shared" si="54"/>
        <v>13024</v>
      </c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</row>
    <row r="842" spans="1:30" ht="13.2">
      <c r="A842" s="126"/>
      <c r="B842" s="126" t="s">
        <v>337</v>
      </c>
      <c r="C842" s="250">
        <v>45360</v>
      </c>
      <c r="D842" s="246" t="s">
        <v>742</v>
      </c>
      <c r="E842" s="235" t="str">
        <f>VLOOKUP(D842,'Danh mục hàng hóa'!$C$3:$D$600,2,0)</f>
        <v>Kẹp tóc hoa sứ xanh</v>
      </c>
      <c r="F842" s="236" t="str">
        <f>VLOOKUP(D842,'Danh mục hàng hóa'!$C$3:$E$613,3,0)</f>
        <v>cái</v>
      </c>
      <c r="G842" s="248">
        <f t="shared" si="61"/>
        <v>13024</v>
      </c>
      <c r="H842" s="126"/>
      <c r="I842" s="248">
        <v>1</v>
      </c>
      <c r="J842" s="246"/>
      <c r="K842" s="237">
        <f t="shared" si="54"/>
        <v>13024</v>
      </c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</row>
    <row r="843" spans="1:30" ht="13.2">
      <c r="A843" s="126"/>
      <c r="B843" s="126" t="s">
        <v>337</v>
      </c>
      <c r="C843" s="250">
        <v>45360</v>
      </c>
      <c r="D843" s="246" t="s">
        <v>891</v>
      </c>
      <c r="E843" s="235" t="str">
        <f>VLOOKUP(D843,'Danh mục hàng hóa'!$C$3:$D$600,2,0)</f>
        <v>Heo ú</v>
      </c>
      <c r="F843" s="236" t="str">
        <f>VLOOKUP(D843,'Danh mục hàng hóa'!$C$3:$E$613,3,0)</f>
        <v>cái</v>
      </c>
      <c r="G843" s="248">
        <v>43752</v>
      </c>
      <c r="H843" s="126"/>
      <c r="I843" s="248">
        <v>1</v>
      </c>
      <c r="J843" s="246"/>
      <c r="K843" s="237">
        <f t="shared" si="54"/>
        <v>43752</v>
      </c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</row>
    <row r="844" spans="1:30" ht="13.2">
      <c r="A844" s="126"/>
      <c r="B844" s="126" t="s">
        <v>337</v>
      </c>
      <c r="C844" s="250">
        <v>45360</v>
      </c>
      <c r="D844" s="246" t="s">
        <v>891</v>
      </c>
      <c r="E844" s="235" t="str">
        <f>VLOOKUP(D844,'Danh mục hàng hóa'!$C$3:$D$600,2,0)</f>
        <v>Heo ú</v>
      </c>
      <c r="F844" s="236" t="str">
        <f>VLOOKUP(D844,'Danh mục hàng hóa'!$C$3:$E$613,3,0)</f>
        <v>cái</v>
      </c>
      <c r="G844" s="248">
        <v>44000</v>
      </c>
      <c r="H844" s="126"/>
      <c r="I844" s="248">
        <v>2</v>
      </c>
      <c r="J844" s="246"/>
      <c r="K844" s="237">
        <f t="shared" si="54"/>
        <v>88000</v>
      </c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</row>
    <row r="845" spans="1:30" ht="13.2">
      <c r="A845" s="126"/>
      <c r="B845" s="126" t="s">
        <v>337</v>
      </c>
      <c r="C845" s="250">
        <v>45360</v>
      </c>
      <c r="D845" s="246" t="s">
        <v>977</v>
      </c>
      <c r="E845" s="235" t="str">
        <f>VLOOKUP(D845,'Danh mục hàng hóa'!$C$3:$D$600,2,0)</f>
        <v>Móc khóa đôi heo</v>
      </c>
      <c r="F845" s="236" t="str">
        <f>VLOOKUP(D845,'Danh mục hàng hóa'!$C$3:$E$613,3,0)</f>
        <v>cái</v>
      </c>
      <c r="G845" s="248">
        <v>43240</v>
      </c>
      <c r="H845" s="126"/>
      <c r="I845" s="248">
        <v>1</v>
      </c>
      <c r="J845" s="246"/>
      <c r="K845" s="237">
        <f t="shared" si="54"/>
        <v>43240</v>
      </c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</row>
    <row r="846" spans="1:30" ht="13.2">
      <c r="A846" s="126"/>
      <c r="B846" s="126" t="s">
        <v>337</v>
      </c>
      <c r="C846" s="250">
        <v>45360</v>
      </c>
      <c r="D846" s="246" t="s">
        <v>895</v>
      </c>
      <c r="E846" s="235" t="str">
        <f>VLOOKUP(D846,'Danh mục hàng hóa'!$C$3:$D$600,2,0)</f>
        <v>Thỏ chong chóng</v>
      </c>
      <c r="F846" s="236" t="str">
        <f>VLOOKUP(D846,'Danh mục hàng hóa'!$C$3:$E$613,3,0)</f>
        <v>cái</v>
      </c>
      <c r="G846" s="248">
        <v>43592</v>
      </c>
      <c r="H846" s="126"/>
      <c r="I846" s="248">
        <v>1</v>
      </c>
      <c r="J846" s="246"/>
      <c r="K846" s="237">
        <f t="shared" si="54"/>
        <v>43592</v>
      </c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</row>
    <row r="847" spans="1:30" ht="13.2">
      <c r="A847" s="126"/>
      <c r="B847" s="126" t="s">
        <v>337</v>
      </c>
      <c r="C847" s="250">
        <v>45360</v>
      </c>
      <c r="D847" s="246" t="s">
        <v>891</v>
      </c>
      <c r="E847" s="235" t="str">
        <f>VLOOKUP(D847,'Danh mục hàng hóa'!$C$3:$D$600,2,0)</f>
        <v>Heo ú</v>
      </c>
      <c r="F847" s="236" t="str">
        <f>VLOOKUP(D847,'Danh mục hàng hóa'!$C$3:$E$613,3,0)</f>
        <v>cái</v>
      </c>
      <c r="G847" s="248">
        <v>43852</v>
      </c>
      <c r="H847" s="126"/>
      <c r="I847" s="248">
        <v>1</v>
      </c>
      <c r="J847" s="246"/>
      <c r="K847" s="237">
        <f t="shared" si="54"/>
        <v>43852</v>
      </c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</row>
    <row r="848" spans="1:30" ht="13.2">
      <c r="A848" s="126"/>
      <c r="B848" s="126" t="s">
        <v>337</v>
      </c>
      <c r="C848" s="250">
        <v>45360</v>
      </c>
      <c r="D848" s="246" t="s">
        <v>887</v>
      </c>
      <c r="E848" s="235" t="str">
        <f>VLOOKUP(D848,'Danh mục hàng hóa'!$C$3:$D$600,2,0)</f>
        <v>Mèo chong chóng</v>
      </c>
      <c r="F848" s="236" t="str">
        <f>VLOOKUP(D848,'Danh mục hàng hóa'!$C$3:$E$613,3,0)</f>
        <v>cái</v>
      </c>
      <c r="G848" s="248">
        <f t="shared" ref="G848:G849" si="62">84392/2</f>
        <v>42196</v>
      </c>
      <c r="H848" s="126"/>
      <c r="I848" s="248">
        <v>1</v>
      </c>
      <c r="J848" s="246"/>
      <c r="K848" s="237">
        <f t="shared" si="54"/>
        <v>42196</v>
      </c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</row>
    <row r="849" spans="1:30" ht="13.2">
      <c r="A849" s="126"/>
      <c r="B849" s="126" t="s">
        <v>337</v>
      </c>
      <c r="C849" s="250">
        <v>45360</v>
      </c>
      <c r="D849" s="246" t="s">
        <v>891</v>
      </c>
      <c r="E849" s="235" t="str">
        <f>VLOOKUP(D849,'Danh mục hàng hóa'!$C$3:$D$600,2,0)</f>
        <v>Heo ú</v>
      </c>
      <c r="F849" s="236" t="str">
        <f>VLOOKUP(D849,'Danh mục hàng hóa'!$C$3:$E$613,3,0)</f>
        <v>cái</v>
      </c>
      <c r="G849" s="248">
        <f t="shared" si="62"/>
        <v>42196</v>
      </c>
      <c r="H849" s="126"/>
      <c r="I849" s="248">
        <v>1</v>
      </c>
      <c r="J849" s="246"/>
      <c r="K849" s="237">
        <f t="shared" si="54"/>
        <v>42196</v>
      </c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</row>
    <row r="850" spans="1:30" ht="13.2">
      <c r="A850" s="126"/>
      <c r="B850" s="126" t="s">
        <v>337</v>
      </c>
      <c r="C850" s="250">
        <v>45360</v>
      </c>
      <c r="D850" s="246" t="s">
        <v>736</v>
      </c>
      <c r="E850" s="235" t="str">
        <f>VLOOKUP(D850,'Danh mục hàng hóa'!$C$3:$D$600,2,0)</f>
        <v>Kẹp tóc hoa sứ vàng</v>
      </c>
      <c r="F850" s="236" t="str">
        <f>VLOOKUP(D850,'Danh mục hàng hóa'!$C$3:$E$613,3,0)</f>
        <v>cái</v>
      </c>
      <c r="G850" s="248">
        <v>15000</v>
      </c>
      <c r="H850" s="126"/>
      <c r="I850" s="248">
        <v>1</v>
      </c>
      <c r="J850" s="246"/>
      <c r="K850" s="237">
        <f t="shared" si="54"/>
        <v>15000</v>
      </c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</row>
    <row r="851" spans="1:30" ht="13.2">
      <c r="A851" s="126"/>
      <c r="B851" s="126" t="s">
        <v>337</v>
      </c>
      <c r="C851" s="250">
        <v>45360</v>
      </c>
      <c r="D851" s="246" t="s">
        <v>1072</v>
      </c>
      <c r="E851" s="235" t="str">
        <f>VLOOKUP(D851,'Danh mục hàng hóa'!$C$3:$D$600,2,0)</f>
        <v>Vớ trắng mỏng tulip hồng</v>
      </c>
      <c r="F851" s="236" t="str">
        <f>VLOOKUP(D851,'Danh mục hàng hóa'!$C$3:$E$613,3,0)</f>
        <v>đôi</v>
      </c>
      <c r="G851" s="248">
        <v>8336</v>
      </c>
      <c r="H851" s="126"/>
      <c r="I851" s="248">
        <v>1</v>
      </c>
      <c r="J851" s="246"/>
      <c r="K851" s="237">
        <f t="shared" si="54"/>
        <v>8336</v>
      </c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</row>
    <row r="852" spans="1:30" ht="13.2">
      <c r="A852" s="126"/>
      <c r="B852" s="126" t="s">
        <v>337</v>
      </c>
      <c r="C852" s="250">
        <v>45360</v>
      </c>
      <c r="D852" s="246" t="s">
        <v>738</v>
      </c>
      <c r="E852" s="235" t="str">
        <f>VLOOKUP(D852,'Danh mục hàng hóa'!$C$3:$D$600,2,0)</f>
        <v>Kẹp tóc hoa sứ cam</v>
      </c>
      <c r="F852" s="236" t="str">
        <f>VLOOKUP(D852,'Danh mục hàng hóa'!$C$3:$E$613,3,0)</f>
        <v>cái</v>
      </c>
      <c r="G852" s="248">
        <f t="shared" ref="G852:G853" si="63">29568/2</f>
        <v>14784</v>
      </c>
      <c r="H852" s="126"/>
      <c r="I852" s="248">
        <v>1</v>
      </c>
      <c r="J852" s="246"/>
      <c r="K852" s="237">
        <f t="shared" si="54"/>
        <v>14784</v>
      </c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</row>
    <row r="853" spans="1:30" ht="13.2">
      <c r="A853" s="126"/>
      <c r="B853" s="126" t="s">
        <v>337</v>
      </c>
      <c r="C853" s="250">
        <v>45360</v>
      </c>
      <c r="D853" s="246" t="s">
        <v>742</v>
      </c>
      <c r="E853" s="235" t="str">
        <f>VLOOKUP(D853,'Danh mục hàng hóa'!$C$3:$D$600,2,0)</f>
        <v>Kẹp tóc hoa sứ xanh</v>
      </c>
      <c r="F853" s="236" t="str">
        <f>VLOOKUP(D853,'Danh mục hàng hóa'!$C$3:$E$613,3,0)</f>
        <v>cái</v>
      </c>
      <c r="G853" s="248">
        <f t="shared" si="63"/>
        <v>14784</v>
      </c>
      <c r="H853" s="126"/>
      <c r="I853" s="248">
        <v>1</v>
      </c>
      <c r="J853" s="246"/>
      <c r="K853" s="237">
        <f t="shared" si="54"/>
        <v>14784</v>
      </c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</row>
    <row r="854" spans="1:30" ht="13.2">
      <c r="A854" s="126"/>
      <c r="B854" s="126" t="s">
        <v>337</v>
      </c>
      <c r="C854" s="250">
        <v>45361</v>
      </c>
      <c r="D854" s="246" t="s">
        <v>1934</v>
      </c>
      <c r="E854" s="235" t="str">
        <f>VLOOKUP(D854,'Danh mục hàng hóa'!$C$3:$D$600,2,0)</f>
        <v>Kẹp tóc hoa sứ tím</v>
      </c>
      <c r="F854" s="236" t="str">
        <f>VLOOKUP(D854,'Danh mục hàng hóa'!$C$3:$E$613,3,0)</f>
        <v>cái</v>
      </c>
      <c r="G854" s="248">
        <f t="shared" ref="G854:G856" si="64">53223/4</f>
        <v>13305.75</v>
      </c>
      <c r="H854" s="126"/>
      <c r="I854" s="248">
        <v>1</v>
      </c>
      <c r="J854" s="246"/>
      <c r="K854" s="237">
        <f t="shared" si="54"/>
        <v>13305.75</v>
      </c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</row>
    <row r="855" spans="1:30" ht="13.2">
      <c r="A855" s="126"/>
      <c r="B855" s="126" t="s">
        <v>337</v>
      </c>
      <c r="C855" s="250">
        <v>45361</v>
      </c>
      <c r="D855" s="246" t="s">
        <v>1937</v>
      </c>
      <c r="E855" s="235" t="str">
        <f>VLOOKUP(D855,'Danh mục hàng hóa'!$C$3:$D$600,2,0)</f>
        <v>Kẹp tóc hoa sứ cam</v>
      </c>
      <c r="F855" s="236" t="str">
        <f>VLOOKUP(D855,'Danh mục hàng hóa'!$C$3:$E$613,3,0)</f>
        <v>cái</v>
      </c>
      <c r="G855" s="248">
        <f t="shared" si="64"/>
        <v>13305.75</v>
      </c>
      <c r="H855" s="126"/>
      <c r="I855" s="248">
        <v>1</v>
      </c>
      <c r="J855" s="246"/>
      <c r="K855" s="237">
        <f t="shared" si="54"/>
        <v>13305.75</v>
      </c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</row>
    <row r="856" spans="1:30" ht="13.2">
      <c r="A856" s="126"/>
      <c r="B856" s="126" t="s">
        <v>337</v>
      </c>
      <c r="C856" s="250">
        <v>45361</v>
      </c>
      <c r="D856" s="246" t="s">
        <v>1939</v>
      </c>
      <c r="E856" s="235" t="str">
        <f>VLOOKUP(D856,'Danh mục hàng hóa'!$C$3:$D$600,2,0)</f>
        <v>Kẹp tóc hoa sứ đỏ hồng đậm</v>
      </c>
      <c r="F856" s="236" t="str">
        <f>VLOOKUP(D856,'Danh mục hàng hóa'!$C$3:$E$613,3,0)</f>
        <v>cái</v>
      </c>
      <c r="G856" s="248">
        <f t="shared" si="64"/>
        <v>13305.75</v>
      </c>
      <c r="H856" s="126"/>
      <c r="I856" s="248">
        <v>2</v>
      </c>
      <c r="J856" s="246"/>
      <c r="K856" s="237">
        <f t="shared" si="54"/>
        <v>26611.5</v>
      </c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</row>
    <row r="857" spans="1:30" ht="13.2">
      <c r="A857" s="126"/>
      <c r="B857" s="126" t="s">
        <v>337</v>
      </c>
      <c r="C857" s="250">
        <v>45361</v>
      </c>
      <c r="D857" s="246" t="s">
        <v>977</v>
      </c>
      <c r="E857" s="235" t="str">
        <f>VLOOKUP(D857,'Danh mục hàng hóa'!$C$3:$D$600,2,0)</f>
        <v>Móc khóa đôi heo</v>
      </c>
      <c r="F857" s="236" t="str">
        <f>VLOOKUP(D857,'Danh mục hàng hóa'!$C$3:$E$613,3,0)</f>
        <v>cái</v>
      </c>
      <c r="G857" s="248">
        <v>43420</v>
      </c>
      <c r="H857" s="126"/>
      <c r="I857" s="248">
        <v>1</v>
      </c>
      <c r="J857" s="246"/>
      <c r="K857" s="237">
        <f t="shared" si="54"/>
        <v>43420</v>
      </c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</row>
    <row r="858" spans="1:30" ht="13.2">
      <c r="A858" s="126"/>
      <c r="B858" s="126" t="s">
        <v>337</v>
      </c>
      <c r="C858" s="250">
        <v>45361</v>
      </c>
      <c r="D858" s="246" t="s">
        <v>424</v>
      </c>
      <c r="E858" s="235" t="str">
        <f>VLOOKUP(D858,'Danh mục hàng hóa'!$C$3:$D$600,2,0)</f>
        <v>Túi chườm bụng vịt vàng 500ml</v>
      </c>
      <c r="F858" s="236" t="str">
        <f>VLOOKUP(D858,'Danh mục hàng hóa'!$C$3:$E$613,3,0)</f>
        <v>túi</v>
      </c>
      <c r="G858" s="248">
        <v>57162</v>
      </c>
      <c r="H858" s="126"/>
      <c r="I858" s="248">
        <v>1</v>
      </c>
      <c r="J858" s="246"/>
      <c r="K858" s="237">
        <f t="shared" si="54"/>
        <v>57162</v>
      </c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</row>
    <row r="859" spans="1:30" ht="13.2">
      <c r="A859" s="126"/>
      <c r="B859" s="126" t="s">
        <v>337</v>
      </c>
      <c r="C859" s="250">
        <v>45361</v>
      </c>
      <c r="D859" s="246" t="s">
        <v>848</v>
      </c>
      <c r="E859" s="235" t="str">
        <f>VLOOKUP(D859,'Danh mục hàng hóa'!$C$3:$D$600,2,0)</f>
        <v>Hộp thuốc ông mặt trời</v>
      </c>
      <c r="F859" s="236" t="str">
        <f>VLOOKUP(D859,'Danh mục hàng hóa'!$C$3:$E$613,3,0)</f>
        <v>hộp</v>
      </c>
      <c r="G859" s="248">
        <v>10000</v>
      </c>
      <c r="H859" s="126"/>
      <c r="I859" s="248">
        <v>1</v>
      </c>
      <c r="J859" s="246"/>
      <c r="K859" s="237">
        <f t="shared" si="54"/>
        <v>10000</v>
      </c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</row>
    <row r="860" spans="1:30" ht="13.2">
      <c r="A860" s="126"/>
      <c r="B860" s="126" t="s">
        <v>337</v>
      </c>
      <c r="C860" s="250">
        <v>45361</v>
      </c>
      <c r="D860" s="246" t="s">
        <v>923</v>
      </c>
      <c r="E860" s="235" t="str">
        <f>VLOOKUP(D860,'Danh mục hàng hóa'!$C$3:$D$600,2,0)</f>
        <v>Kẹp khuếch tán tinh dầu vịt vàng</v>
      </c>
      <c r="F860" s="236" t="str">
        <f>VLOOKUP(D860,'Danh mục hàng hóa'!$C$3:$E$613,3,0)</f>
        <v>cái</v>
      </c>
      <c r="G860" s="248">
        <v>117952</v>
      </c>
      <c r="H860" s="126"/>
      <c r="I860" s="248">
        <v>1</v>
      </c>
      <c r="J860" s="246"/>
      <c r="K860" s="237">
        <f t="shared" si="54"/>
        <v>117952</v>
      </c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</row>
    <row r="861" spans="1:30" ht="13.2">
      <c r="A861" s="126"/>
      <c r="B861" s="126" t="s">
        <v>337</v>
      </c>
      <c r="C861" s="250">
        <v>45361</v>
      </c>
      <c r="D861" s="246" t="s">
        <v>738</v>
      </c>
      <c r="E861" s="235" t="str">
        <f>VLOOKUP(D861,'Danh mục hàng hóa'!$C$3:$D$600,2,0)</f>
        <v>Kẹp tóc hoa sứ cam</v>
      </c>
      <c r="F861" s="236" t="str">
        <f>VLOOKUP(D861,'Danh mục hàng hóa'!$C$3:$E$613,3,0)</f>
        <v>cái</v>
      </c>
      <c r="G861" s="248">
        <f t="shared" ref="G861:G862" si="65">26224/2</f>
        <v>13112</v>
      </c>
      <c r="H861" s="126"/>
      <c r="I861" s="248">
        <v>1</v>
      </c>
      <c r="J861" s="246"/>
      <c r="K861" s="237">
        <f t="shared" si="54"/>
        <v>13112</v>
      </c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</row>
    <row r="862" spans="1:30" ht="13.2">
      <c r="A862" s="126"/>
      <c r="B862" s="126" t="s">
        <v>337</v>
      </c>
      <c r="C862" s="250">
        <v>45361</v>
      </c>
      <c r="D862" s="246" t="s">
        <v>766</v>
      </c>
      <c r="E862" s="235" t="str">
        <f>VLOOKUP(D862,'Danh mục hàng hóa'!$C$3:$D$600,2,0)</f>
        <v>Kẹp tóc trắng trơn</v>
      </c>
      <c r="F862" s="236" t="str">
        <f>VLOOKUP(D862,'Danh mục hàng hóa'!$C$3:$E$613,3,0)</f>
        <v>cái</v>
      </c>
      <c r="G862" s="248">
        <f t="shared" si="65"/>
        <v>13112</v>
      </c>
      <c r="H862" s="126"/>
      <c r="I862" s="248">
        <v>1</v>
      </c>
      <c r="J862" s="246"/>
      <c r="K862" s="237">
        <f t="shared" si="54"/>
        <v>13112</v>
      </c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</row>
    <row r="863" spans="1:30" ht="13.2">
      <c r="A863" s="126"/>
      <c r="B863" s="126" t="s">
        <v>337</v>
      </c>
      <c r="C863" s="250">
        <v>45361</v>
      </c>
      <c r="D863" s="246" t="s">
        <v>734</v>
      </c>
      <c r="E863" s="235" t="str">
        <f>VLOOKUP(D863,'Danh mục hàng hóa'!$C$3:$D$600,2,0)</f>
        <v>Kẹp tóc hoa sứ hồng</v>
      </c>
      <c r="F863" s="236" t="str">
        <f>VLOOKUP(D863,'Danh mục hàng hóa'!$C$3:$E$613,3,0)</f>
        <v>cái</v>
      </c>
      <c r="G863" s="248">
        <v>15000</v>
      </c>
      <c r="H863" s="126"/>
      <c r="I863" s="248">
        <v>1</v>
      </c>
      <c r="J863" s="246"/>
      <c r="K863" s="237">
        <f t="shared" si="54"/>
        <v>15000</v>
      </c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</row>
    <row r="864" spans="1:30" ht="13.2">
      <c r="A864" s="126"/>
      <c r="B864" s="126" t="s">
        <v>337</v>
      </c>
      <c r="C864" s="250">
        <v>45361</v>
      </c>
      <c r="D864" s="246" t="s">
        <v>774</v>
      </c>
      <c r="E864" s="235" t="str">
        <f>VLOOKUP(D864,'Danh mục hàng hóa'!$C$3:$D$600,2,0)</f>
        <v>Kẹp tóc hoa lan 02</v>
      </c>
      <c r="F864" s="236" t="str">
        <f>VLOOKUP(D864,'Danh mục hàng hóa'!$C$3:$E$613,3,0)</f>
        <v>cái</v>
      </c>
      <c r="G864" s="248">
        <v>14413</v>
      </c>
      <c r="H864" s="126"/>
      <c r="I864" s="248">
        <v>1</v>
      </c>
      <c r="J864" s="246"/>
      <c r="K864" s="237">
        <f t="shared" si="54"/>
        <v>14413</v>
      </c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</row>
    <row r="865" spans="1:30" ht="13.2">
      <c r="A865" s="126"/>
      <c r="B865" s="126" t="s">
        <v>337</v>
      </c>
      <c r="C865" s="250">
        <v>45361</v>
      </c>
      <c r="D865" s="246" t="s">
        <v>732</v>
      </c>
      <c r="E865" s="235" t="str">
        <f>VLOOKUP(D865,'Danh mục hàng hóa'!$C$3:$D$600,2,0)</f>
        <v>Kẹp tóc hoa sứ tím</v>
      </c>
      <c r="F865" s="236" t="str">
        <f>VLOOKUP(D865,'Danh mục hàng hóa'!$C$3:$E$613,3,0)</f>
        <v>cái</v>
      </c>
      <c r="G865" s="248">
        <f t="shared" ref="G865:G867" si="66">66880/5</f>
        <v>13376</v>
      </c>
      <c r="H865" s="126"/>
      <c r="I865" s="248">
        <v>2</v>
      </c>
      <c r="J865" s="246"/>
      <c r="K865" s="237">
        <f t="shared" si="54"/>
        <v>26752</v>
      </c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</row>
    <row r="866" spans="1:30" ht="13.2">
      <c r="A866" s="126"/>
      <c r="B866" s="126" t="s">
        <v>337</v>
      </c>
      <c r="C866" s="250">
        <v>45361</v>
      </c>
      <c r="D866" s="246" t="s">
        <v>738</v>
      </c>
      <c r="E866" s="235" t="str">
        <f>VLOOKUP(D866,'Danh mục hàng hóa'!$C$3:$D$600,2,0)</f>
        <v>Kẹp tóc hoa sứ cam</v>
      </c>
      <c r="F866" s="236" t="str">
        <f>VLOOKUP(D866,'Danh mục hàng hóa'!$C$3:$E$613,3,0)</f>
        <v>cái</v>
      </c>
      <c r="G866" s="248">
        <f t="shared" si="66"/>
        <v>13376</v>
      </c>
      <c r="H866" s="126"/>
      <c r="I866" s="248">
        <v>1</v>
      </c>
      <c r="J866" s="246"/>
      <c r="K866" s="237">
        <f t="shared" si="54"/>
        <v>13376</v>
      </c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</row>
    <row r="867" spans="1:30" ht="13.2">
      <c r="A867" s="126"/>
      <c r="B867" s="126" t="s">
        <v>337</v>
      </c>
      <c r="C867" s="250">
        <v>45361</v>
      </c>
      <c r="D867" s="246" t="s">
        <v>734</v>
      </c>
      <c r="E867" s="235" t="str">
        <f>VLOOKUP(D867,'Danh mục hàng hóa'!$C$3:$D$600,2,0)</f>
        <v>Kẹp tóc hoa sứ hồng</v>
      </c>
      <c r="F867" s="236" t="str">
        <f>VLOOKUP(D867,'Danh mục hàng hóa'!$C$3:$E$613,3,0)</f>
        <v>cái</v>
      </c>
      <c r="G867" s="248">
        <f t="shared" si="66"/>
        <v>13376</v>
      </c>
      <c r="H867" s="126"/>
      <c r="I867" s="248">
        <v>2</v>
      </c>
      <c r="J867" s="246"/>
      <c r="K867" s="237">
        <f t="shared" si="54"/>
        <v>26752</v>
      </c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</row>
    <row r="868" spans="1:30" ht="13.2">
      <c r="A868" s="126"/>
      <c r="B868" s="126" t="s">
        <v>337</v>
      </c>
      <c r="C868" s="250">
        <v>45361</v>
      </c>
      <c r="D868" s="246" t="s">
        <v>977</v>
      </c>
      <c r="E868" s="235" t="str">
        <f>VLOOKUP(D868,'Danh mục hàng hóa'!$C$3:$D$600,2,0)</f>
        <v>Móc khóa đôi heo</v>
      </c>
      <c r="F868" s="236" t="str">
        <f>VLOOKUP(D868,'Danh mục hàng hóa'!$C$3:$E$613,3,0)</f>
        <v>cái</v>
      </c>
      <c r="G868" s="248">
        <v>42840</v>
      </c>
      <c r="H868" s="126"/>
      <c r="I868" s="248">
        <v>1</v>
      </c>
      <c r="J868" s="246"/>
      <c r="K868" s="237">
        <f t="shared" si="54"/>
        <v>42840</v>
      </c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</row>
    <row r="869" spans="1:30" ht="13.2">
      <c r="A869" s="126"/>
      <c r="B869" s="126" t="s">
        <v>337</v>
      </c>
      <c r="C869" s="250">
        <v>45361</v>
      </c>
      <c r="D869" s="246" t="s">
        <v>734</v>
      </c>
      <c r="E869" s="235" t="str">
        <f>VLOOKUP(D869,'Danh mục hàng hóa'!$C$3:$D$600,2,0)</f>
        <v>Kẹp tóc hoa sứ hồng</v>
      </c>
      <c r="F869" s="236" t="str">
        <f>VLOOKUP(D869,'Danh mục hàng hóa'!$C$3:$E$613,3,0)</f>
        <v>cái</v>
      </c>
      <c r="G869" s="248">
        <v>14464</v>
      </c>
      <c r="H869" s="126"/>
      <c r="I869" s="248">
        <v>1</v>
      </c>
      <c r="J869" s="246"/>
      <c r="K869" s="237">
        <f t="shared" si="54"/>
        <v>14464</v>
      </c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</row>
    <row r="870" spans="1:30" ht="13.2">
      <c r="A870" s="126"/>
      <c r="B870" s="126" t="s">
        <v>337</v>
      </c>
      <c r="C870" s="250">
        <v>45361</v>
      </c>
      <c r="D870" s="246" t="s">
        <v>738</v>
      </c>
      <c r="E870" s="235" t="str">
        <f>VLOOKUP(D870,'Danh mục hàng hóa'!$C$3:$D$600,2,0)</f>
        <v>Kẹp tóc hoa sứ cam</v>
      </c>
      <c r="F870" s="236" t="str">
        <f>VLOOKUP(D870,'Danh mục hàng hóa'!$C$3:$E$613,3,0)</f>
        <v>cái</v>
      </c>
      <c r="G870" s="248">
        <v>14724</v>
      </c>
      <c r="H870" s="126"/>
      <c r="I870" s="248">
        <v>1</v>
      </c>
      <c r="J870" s="246"/>
      <c r="K870" s="237">
        <f t="shared" si="54"/>
        <v>14724</v>
      </c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</row>
    <row r="871" spans="1:30" ht="13.2">
      <c r="A871" s="126"/>
      <c r="B871" s="126" t="s">
        <v>337</v>
      </c>
      <c r="C871" s="250">
        <v>45361</v>
      </c>
      <c r="D871" s="246" t="s">
        <v>734</v>
      </c>
      <c r="E871" s="235" t="str">
        <f>VLOOKUP(D871,'Danh mục hàng hóa'!$C$3:$D$600,2,0)</f>
        <v>Kẹp tóc hoa sứ hồng</v>
      </c>
      <c r="F871" s="236" t="str">
        <f>VLOOKUP(D871,'Danh mục hàng hóa'!$C$3:$E$613,3,0)</f>
        <v>cái</v>
      </c>
      <c r="G871" s="248">
        <v>16863</v>
      </c>
      <c r="H871" s="126"/>
      <c r="I871" s="248">
        <v>1</v>
      </c>
      <c r="J871" s="246"/>
      <c r="K871" s="237">
        <f t="shared" si="54"/>
        <v>16863</v>
      </c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</row>
    <row r="872" spans="1:30" ht="13.2">
      <c r="A872" s="126"/>
      <c r="B872" s="126" t="s">
        <v>337</v>
      </c>
      <c r="C872" s="250">
        <v>45361</v>
      </c>
      <c r="D872" s="246" t="s">
        <v>776</v>
      </c>
      <c r="E872" s="235" t="str">
        <f>VLOOKUP(D872,'Danh mục hàng hóa'!$C$3:$D$600,2,0)</f>
        <v>Kẹp tóc hoa lan 03</v>
      </c>
      <c r="F872" s="236" t="str">
        <f>VLOOKUP(D872,'Danh mục hàng hóa'!$C$3:$E$613,3,0)</f>
        <v>cái</v>
      </c>
      <c r="G872" s="248">
        <v>15000</v>
      </c>
      <c r="H872" s="126"/>
      <c r="I872" s="248">
        <v>1</v>
      </c>
      <c r="J872" s="246"/>
      <c r="K872" s="237">
        <f t="shared" si="54"/>
        <v>15000</v>
      </c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</row>
    <row r="873" spans="1:30" ht="13.2">
      <c r="A873" s="126"/>
      <c r="B873" s="126" t="s">
        <v>337</v>
      </c>
      <c r="C873" s="250">
        <v>45361</v>
      </c>
      <c r="D873" s="246" t="s">
        <v>891</v>
      </c>
      <c r="E873" s="235" t="str">
        <f>VLOOKUP(D873,'Danh mục hàng hóa'!$C$3:$D$600,2,0)</f>
        <v>Heo ú</v>
      </c>
      <c r="F873" s="236" t="str">
        <f>VLOOKUP(D873,'Danh mục hàng hóa'!$C$3:$E$613,3,0)</f>
        <v>cái</v>
      </c>
      <c r="G873" s="248">
        <f t="shared" ref="G873:G875" si="67">131772/3</f>
        <v>43924</v>
      </c>
      <c r="H873" s="126"/>
      <c r="I873" s="248">
        <v>1</v>
      </c>
      <c r="J873" s="246"/>
      <c r="K873" s="237">
        <f t="shared" si="54"/>
        <v>43924</v>
      </c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</row>
    <row r="874" spans="1:30" ht="13.2">
      <c r="A874" s="126"/>
      <c r="B874" s="126" t="s">
        <v>337</v>
      </c>
      <c r="C874" s="250">
        <v>45361</v>
      </c>
      <c r="D874" s="246" t="s">
        <v>895</v>
      </c>
      <c r="E874" s="235" t="str">
        <f>VLOOKUP(D874,'Danh mục hàng hóa'!$C$3:$D$600,2,0)</f>
        <v>Thỏ chong chóng</v>
      </c>
      <c r="F874" s="236" t="str">
        <f>VLOOKUP(D874,'Danh mục hàng hóa'!$C$3:$E$613,3,0)</f>
        <v>cái</v>
      </c>
      <c r="G874" s="248">
        <f t="shared" si="67"/>
        <v>43924</v>
      </c>
      <c r="H874" s="126"/>
      <c r="I874" s="248">
        <v>1</v>
      </c>
      <c r="J874" s="246"/>
      <c r="K874" s="237">
        <f t="shared" si="54"/>
        <v>43924</v>
      </c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</row>
    <row r="875" spans="1:30" ht="13.2">
      <c r="A875" s="126"/>
      <c r="B875" s="126" t="s">
        <v>337</v>
      </c>
      <c r="C875" s="250">
        <v>45361</v>
      </c>
      <c r="D875" s="246" t="s">
        <v>887</v>
      </c>
      <c r="E875" s="235" t="str">
        <f>VLOOKUP(D875,'Danh mục hàng hóa'!$C$3:$D$600,2,0)</f>
        <v>Mèo chong chóng</v>
      </c>
      <c r="F875" s="236" t="str">
        <f>VLOOKUP(D875,'Danh mục hàng hóa'!$C$3:$E$613,3,0)</f>
        <v>cái</v>
      </c>
      <c r="G875" s="248">
        <f t="shared" si="67"/>
        <v>43924</v>
      </c>
      <c r="H875" s="126"/>
      <c r="I875" s="248">
        <v>1</v>
      </c>
      <c r="J875" s="246"/>
      <c r="K875" s="237">
        <f t="shared" si="54"/>
        <v>43924</v>
      </c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</row>
    <row r="876" spans="1:30" ht="13.2">
      <c r="A876" s="126"/>
      <c r="B876" s="126" t="s">
        <v>337</v>
      </c>
      <c r="C876" s="250">
        <v>45361</v>
      </c>
      <c r="D876" s="246" t="s">
        <v>764</v>
      </c>
      <c r="E876" s="235" t="str">
        <f>VLOOKUP(D876,'Danh mục hàng hóa'!$C$3:$D$600,2,0)</f>
        <v>Kẹp tóc hồng nhạt trơn</v>
      </c>
      <c r="F876" s="236" t="str">
        <f>VLOOKUP(D876,'Danh mục hàng hóa'!$C$3:$E$613,3,0)</f>
        <v>cái</v>
      </c>
      <c r="G876" s="248">
        <v>11140</v>
      </c>
      <c r="H876" s="126"/>
      <c r="I876" s="248">
        <v>1</v>
      </c>
      <c r="J876" s="246"/>
      <c r="K876" s="237">
        <f t="shared" si="54"/>
        <v>11140</v>
      </c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</row>
    <row r="877" spans="1:30" ht="13.2">
      <c r="A877" s="126"/>
      <c r="B877" s="126" t="s">
        <v>337</v>
      </c>
      <c r="C877" s="250">
        <v>45361</v>
      </c>
      <c r="D877" s="246" t="s">
        <v>977</v>
      </c>
      <c r="E877" s="235" t="str">
        <f>VLOOKUP(D877,'Danh mục hàng hóa'!$C$3:$D$600,2,0)</f>
        <v>Móc khóa đôi heo</v>
      </c>
      <c r="F877" s="236" t="str">
        <f>VLOOKUP(D877,'Danh mục hàng hóa'!$C$3:$E$613,3,0)</f>
        <v>cái</v>
      </c>
      <c r="G877" s="248">
        <v>43064</v>
      </c>
      <c r="H877" s="126"/>
      <c r="I877" s="248">
        <v>1</v>
      </c>
      <c r="J877" s="246"/>
      <c r="K877" s="237">
        <f t="shared" si="54"/>
        <v>43064</v>
      </c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</row>
    <row r="878" spans="1:30" ht="13.2">
      <c r="A878" s="126"/>
      <c r="B878" s="126" t="s">
        <v>337</v>
      </c>
      <c r="C878" s="250">
        <v>45361</v>
      </c>
      <c r="D878" s="246" t="s">
        <v>705</v>
      </c>
      <c r="E878" s="235" t="str">
        <f>VLOOKUP(D878,'Danh mục hàng hóa'!$C$3:$D$600,2,0)</f>
        <v>Buộc tóc hồng nhung</v>
      </c>
      <c r="F878" s="236" t="str">
        <f>VLOOKUP(D878,'Danh mục hàng hóa'!$C$3:$E$613,3,0)</f>
        <v>cái</v>
      </c>
      <c r="G878" s="248">
        <v>10000</v>
      </c>
      <c r="H878" s="126"/>
      <c r="I878" s="248">
        <v>1</v>
      </c>
      <c r="J878" s="246"/>
      <c r="K878" s="237">
        <f t="shared" si="54"/>
        <v>10000</v>
      </c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</row>
    <row r="879" spans="1:30" ht="13.2">
      <c r="A879" s="126"/>
      <c r="B879" s="126" t="s">
        <v>337</v>
      </c>
      <c r="C879" s="250">
        <v>45361</v>
      </c>
      <c r="D879" s="246" t="s">
        <v>744</v>
      </c>
      <c r="E879" s="235" t="str">
        <f>VLOOKUP(D879,'Danh mục hàng hóa'!$C$3:$D$600,2,0)</f>
        <v>Kẹp tóc hoa sứ đỏ hồng đậm</v>
      </c>
      <c r="F879" s="236" t="str">
        <f>VLOOKUP(D879,'Danh mục hàng hóa'!$C$3:$E$613,3,0)</f>
        <v>cái</v>
      </c>
      <c r="G879" s="248">
        <v>13450</v>
      </c>
      <c r="H879" s="126"/>
      <c r="I879" s="248">
        <v>1</v>
      </c>
      <c r="J879" s="246"/>
      <c r="K879" s="237">
        <f t="shared" si="54"/>
        <v>13450</v>
      </c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</row>
    <row r="880" spans="1:30" ht="13.2">
      <c r="A880" s="126"/>
      <c r="B880" s="126" t="s">
        <v>337</v>
      </c>
      <c r="C880" s="250">
        <v>45361</v>
      </c>
      <c r="D880" s="246" t="s">
        <v>734</v>
      </c>
      <c r="E880" s="235" t="str">
        <f>VLOOKUP(D880,'Danh mục hàng hóa'!$C$3:$D$600,2,0)</f>
        <v>Kẹp tóc hoa sứ hồng</v>
      </c>
      <c r="F880" s="236" t="str">
        <f>VLOOKUP(D880,'Danh mục hàng hóa'!$C$3:$E$613,3,0)</f>
        <v>cái</v>
      </c>
      <c r="G880" s="248">
        <v>13450</v>
      </c>
      <c r="H880" s="126"/>
      <c r="I880" s="248">
        <v>2</v>
      </c>
      <c r="J880" s="246"/>
      <c r="K880" s="237">
        <f t="shared" si="54"/>
        <v>26900</v>
      </c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</row>
    <row r="881" spans="1:30" ht="13.2">
      <c r="A881" s="126"/>
      <c r="B881" s="126" t="s">
        <v>337</v>
      </c>
      <c r="C881" s="250">
        <v>45361</v>
      </c>
      <c r="D881" s="246" t="s">
        <v>762</v>
      </c>
      <c r="E881" s="235" t="str">
        <f>VLOOKUP(D881,'Danh mục hàng hóa'!$C$3:$D$600,2,0)</f>
        <v>Kẹp tóc hoa cam trơn</v>
      </c>
      <c r="F881" s="236" t="str">
        <f>VLOOKUP(D881,'Danh mục hàng hóa'!$C$3:$E$613,3,0)</f>
        <v>cái</v>
      </c>
      <c r="G881" s="248">
        <v>13450</v>
      </c>
      <c r="H881" s="126"/>
      <c r="I881" s="248">
        <v>1</v>
      </c>
      <c r="J881" s="246"/>
      <c r="K881" s="237">
        <f t="shared" si="54"/>
        <v>13450</v>
      </c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</row>
    <row r="882" spans="1:30" ht="13.2">
      <c r="A882" s="126"/>
      <c r="B882" s="126" t="s">
        <v>337</v>
      </c>
      <c r="C882" s="250">
        <v>45361</v>
      </c>
      <c r="D882" s="246" t="s">
        <v>764</v>
      </c>
      <c r="E882" s="235" t="str">
        <f>VLOOKUP(D882,'Danh mục hàng hóa'!$C$3:$D$600,2,0)</f>
        <v>Kẹp tóc hồng nhạt trơn</v>
      </c>
      <c r="F882" s="236" t="str">
        <f>VLOOKUP(D882,'Danh mục hàng hóa'!$C$3:$E$613,3,0)</f>
        <v>cái</v>
      </c>
      <c r="G882" s="248">
        <v>13450</v>
      </c>
      <c r="H882" s="126"/>
      <c r="I882" s="248">
        <v>1</v>
      </c>
      <c r="J882" s="246"/>
      <c r="K882" s="237">
        <f t="shared" si="54"/>
        <v>13450</v>
      </c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</row>
    <row r="883" spans="1:30" ht="13.2">
      <c r="A883" s="126"/>
      <c r="B883" s="126" t="s">
        <v>337</v>
      </c>
      <c r="C883" s="250">
        <v>45361</v>
      </c>
      <c r="D883" s="246" t="s">
        <v>766</v>
      </c>
      <c r="E883" s="235" t="str">
        <f>VLOOKUP(D883,'Danh mục hàng hóa'!$C$3:$D$600,2,0)</f>
        <v>Kẹp tóc trắng trơn</v>
      </c>
      <c r="F883" s="236" t="str">
        <f>VLOOKUP(D883,'Danh mục hàng hóa'!$C$3:$E$613,3,0)</f>
        <v>cái</v>
      </c>
      <c r="G883" s="248">
        <v>13450</v>
      </c>
      <c r="H883" s="126"/>
      <c r="I883" s="248">
        <v>1</v>
      </c>
      <c r="J883" s="246"/>
      <c r="K883" s="237">
        <f t="shared" si="54"/>
        <v>13450</v>
      </c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</row>
    <row r="884" spans="1:30" ht="13.2">
      <c r="A884" s="126"/>
      <c r="B884" s="126" t="s">
        <v>337</v>
      </c>
      <c r="C884" s="250">
        <v>45361</v>
      </c>
      <c r="D884" s="246" t="s">
        <v>738</v>
      </c>
      <c r="E884" s="235" t="str">
        <f>VLOOKUP(D884,'Danh mục hàng hóa'!$C$3:$D$600,2,0)</f>
        <v>Kẹp tóc hoa sứ cam</v>
      </c>
      <c r="F884" s="236" t="str">
        <f>VLOOKUP(D884,'Danh mục hàng hóa'!$C$3:$E$613,3,0)</f>
        <v>cái</v>
      </c>
      <c r="G884" s="248">
        <v>13450</v>
      </c>
      <c r="H884" s="126"/>
      <c r="I884" s="248">
        <v>2</v>
      </c>
      <c r="J884" s="246"/>
      <c r="K884" s="237">
        <f t="shared" si="54"/>
        <v>26900</v>
      </c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</row>
    <row r="885" spans="1:30" ht="13.2">
      <c r="A885" s="126"/>
      <c r="B885" s="126" t="s">
        <v>337</v>
      </c>
      <c r="C885" s="250">
        <v>45361</v>
      </c>
      <c r="D885" s="246" t="s">
        <v>732</v>
      </c>
      <c r="E885" s="235" t="str">
        <f>VLOOKUP(D885,'Danh mục hàng hóa'!$C$3:$D$600,2,0)</f>
        <v>Kẹp tóc hoa sứ tím</v>
      </c>
      <c r="F885" s="236" t="str">
        <f>VLOOKUP(D885,'Danh mục hàng hóa'!$C$3:$E$613,3,0)</f>
        <v>cái</v>
      </c>
      <c r="G885" s="248">
        <v>13450</v>
      </c>
      <c r="H885" s="126"/>
      <c r="I885" s="248">
        <v>3</v>
      </c>
      <c r="J885" s="246"/>
      <c r="K885" s="237">
        <f t="shared" si="54"/>
        <v>40350</v>
      </c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</row>
    <row r="886" spans="1:30" ht="13.2">
      <c r="A886" s="126"/>
      <c r="B886" s="126" t="s">
        <v>337</v>
      </c>
      <c r="C886" s="250">
        <v>45361</v>
      </c>
      <c r="D886" s="246" t="s">
        <v>738</v>
      </c>
      <c r="E886" s="235" t="str">
        <f>VLOOKUP(D886,'Danh mục hàng hóa'!$C$3:$D$600,2,0)</f>
        <v>Kẹp tóc hoa sứ cam</v>
      </c>
      <c r="F886" s="236" t="str">
        <f>VLOOKUP(D886,'Danh mục hàng hóa'!$C$3:$E$613,3,0)</f>
        <v>cái</v>
      </c>
      <c r="G886" s="248">
        <v>10000</v>
      </c>
      <c r="H886" s="126"/>
      <c r="I886" s="248">
        <v>1</v>
      </c>
      <c r="J886" s="246"/>
      <c r="K886" s="237">
        <f t="shared" si="54"/>
        <v>10000</v>
      </c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</row>
    <row r="887" spans="1:30" ht="13.2">
      <c r="A887" s="126"/>
      <c r="B887" s="126" t="s">
        <v>337</v>
      </c>
      <c r="C887" s="250">
        <v>45361</v>
      </c>
      <c r="D887" s="246" t="s">
        <v>740</v>
      </c>
      <c r="E887" s="235" t="str">
        <f>VLOOKUP(D887,'Danh mục hàng hóa'!$C$3:$D$600,2,0)</f>
        <v>Kẹp tóc hoa sứ đỏ</v>
      </c>
      <c r="F887" s="236" t="str">
        <f>VLOOKUP(D887,'Danh mục hàng hóa'!$C$3:$E$613,3,0)</f>
        <v>cái</v>
      </c>
      <c r="G887" s="248">
        <v>10000</v>
      </c>
      <c r="H887" s="126"/>
      <c r="I887" s="248">
        <v>1</v>
      </c>
      <c r="J887" s="246"/>
      <c r="K887" s="237">
        <f t="shared" si="54"/>
        <v>10000</v>
      </c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</row>
    <row r="888" spans="1:30" ht="13.2">
      <c r="A888" s="126"/>
      <c r="B888" s="126" t="s">
        <v>337</v>
      </c>
      <c r="C888" s="250">
        <v>45361</v>
      </c>
      <c r="D888" s="246" t="s">
        <v>732</v>
      </c>
      <c r="E888" s="235" t="str">
        <f>VLOOKUP(D888,'Danh mục hàng hóa'!$C$3:$D$600,2,0)</f>
        <v>Kẹp tóc hoa sứ tím</v>
      </c>
      <c r="F888" s="236" t="str">
        <f>VLOOKUP(D888,'Danh mục hàng hóa'!$C$3:$E$613,3,0)</f>
        <v>cái</v>
      </c>
      <c r="G888" s="248">
        <v>14724</v>
      </c>
      <c r="H888" s="126"/>
      <c r="I888" s="248">
        <v>1</v>
      </c>
      <c r="J888" s="246"/>
      <c r="K888" s="237">
        <f t="shared" si="54"/>
        <v>14724</v>
      </c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</row>
    <row r="889" spans="1:30" ht="13.2">
      <c r="A889" s="126"/>
      <c r="B889" s="126" t="s">
        <v>337</v>
      </c>
      <c r="C889" s="250">
        <v>45361</v>
      </c>
      <c r="D889" s="246" t="s">
        <v>732</v>
      </c>
      <c r="E889" s="235" t="str">
        <f>VLOOKUP(D889,'Danh mục hàng hóa'!$C$3:$D$600,2,0)</f>
        <v>Kẹp tóc hoa sứ tím</v>
      </c>
      <c r="F889" s="236" t="str">
        <f>VLOOKUP(D889,'Danh mục hàng hóa'!$C$3:$E$613,3,0)</f>
        <v>cái</v>
      </c>
      <c r="G889" s="248">
        <v>15043</v>
      </c>
      <c r="H889" s="126"/>
      <c r="I889" s="248">
        <v>1</v>
      </c>
      <c r="J889" s="246"/>
      <c r="K889" s="237">
        <f t="shared" si="54"/>
        <v>15043</v>
      </c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</row>
    <row r="890" spans="1:30" ht="13.2">
      <c r="A890" s="126"/>
      <c r="B890" s="126" t="s">
        <v>337</v>
      </c>
      <c r="C890" s="250">
        <v>45361</v>
      </c>
      <c r="D890" s="246" t="s">
        <v>776</v>
      </c>
      <c r="E890" s="235" t="str">
        <f>VLOOKUP(D890,'Danh mục hàng hóa'!$C$3:$D$600,2,0)</f>
        <v>Kẹp tóc hoa lan 03</v>
      </c>
      <c r="F890" s="236" t="str">
        <f>VLOOKUP(D890,'Danh mục hàng hóa'!$C$3:$E$613,3,0)</f>
        <v>cái</v>
      </c>
      <c r="G890" s="248">
        <v>17000</v>
      </c>
      <c r="H890" s="126"/>
      <c r="I890" s="248">
        <v>1</v>
      </c>
      <c r="J890" s="246"/>
      <c r="K890" s="237">
        <f t="shared" si="54"/>
        <v>17000</v>
      </c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</row>
    <row r="891" spans="1:30" ht="13.2">
      <c r="A891" s="126"/>
      <c r="B891" s="126" t="s">
        <v>337</v>
      </c>
      <c r="C891" s="250">
        <v>45361</v>
      </c>
      <c r="D891" s="246" t="s">
        <v>756</v>
      </c>
      <c r="E891" s="235" t="str">
        <f>VLOOKUP(D891,'Danh mục hàng hóa'!$C$3:$D$600,2,0)</f>
        <v>Kẹp tóc hoa năm cánh xanh</v>
      </c>
      <c r="F891" s="236" t="str">
        <f>VLOOKUP(D891,'Danh mục hàng hóa'!$C$3:$E$613,3,0)</f>
        <v>cái</v>
      </c>
      <c r="G891" s="248">
        <f t="shared" ref="G891:G893" si="68">37324/3</f>
        <v>12441.333333333334</v>
      </c>
      <c r="H891" s="126"/>
      <c r="I891" s="248">
        <v>1</v>
      </c>
      <c r="J891" s="246"/>
      <c r="K891" s="237">
        <f t="shared" si="54"/>
        <v>12441.333333333334</v>
      </c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</row>
    <row r="892" spans="1:30" ht="13.2">
      <c r="A892" s="126"/>
      <c r="B892" s="126" t="s">
        <v>337</v>
      </c>
      <c r="C892" s="250">
        <v>45361</v>
      </c>
      <c r="D892" s="246" t="s">
        <v>734</v>
      </c>
      <c r="E892" s="235" t="str">
        <f>VLOOKUP(D892,'Danh mục hàng hóa'!$C$3:$D$600,2,0)</f>
        <v>Kẹp tóc hoa sứ hồng</v>
      </c>
      <c r="F892" s="236" t="str">
        <f>VLOOKUP(D892,'Danh mục hàng hóa'!$C$3:$E$613,3,0)</f>
        <v>cái</v>
      </c>
      <c r="G892" s="248">
        <f t="shared" si="68"/>
        <v>12441.333333333334</v>
      </c>
      <c r="H892" s="126"/>
      <c r="I892" s="248">
        <v>1</v>
      </c>
      <c r="J892" s="246"/>
      <c r="K892" s="237">
        <f t="shared" si="54"/>
        <v>12441.333333333334</v>
      </c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</row>
    <row r="893" spans="1:30" ht="13.2">
      <c r="A893" s="126"/>
      <c r="B893" s="126" t="s">
        <v>337</v>
      </c>
      <c r="C893" s="250">
        <v>45361</v>
      </c>
      <c r="D893" s="246" t="s">
        <v>764</v>
      </c>
      <c r="E893" s="235" t="str">
        <f>VLOOKUP(D893,'Danh mục hàng hóa'!$C$3:$D$600,2,0)</f>
        <v>Kẹp tóc hồng nhạt trơn</v>
      </c>
      <c r="F893" s="236" t="str">
        <f>VLOOKUP(D893,'Danh mục hàng hóa'!$C$3:$E$613,3,0)</f>
        <v>cái</v>
      </c>
      <c r="G893" s="248">
        <f t="shared" si="68"/>
        <v>12441.333333333334</v>
      </c>
      <c r="H893" s="126"/>
      <c r="I893" s="248">
        <v>1</v>
      </c>
      <c r="J893" s="246"/>
      <c r="K893" s="237">
        <f t="shared" si="54"/>
        <v>12441.333333333334</v>
      </c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</row>
    <row r="894" spans="1:30" ht="13.2">
      <c r="A894" s="126"/>
      <c r="B894" s="126" t="s">
        <v>337</v>
      </c>
      <c r="C894" s="250">
        <v>45361</v>
      </c>
      <c r="D894" s="246" t="s">
        <v>754</v>
      </c>
      <c r="E894" s="235" t="str">
        <f>VLOOKUP(D894,'Danh mục hàng hóa'!$C$3:$D$600,2,0)</f>
        <v>Kẹp tóc hoa năm cánh xanh vàng</v>
      </c>
      <c r="F894" s="236" t="str">
        <f>VLOOKUP(D894,'Danh mục hàng hóa'!$C$3:$E$613,3,0)</f>
        <v>cái</v>
      </c>
      <c r="G894" s="248">
        <f t="shared" ref="G894:G897" si="69">(227295-26000)/17</f>
        <v>11840.882352941177</v>
      </c>
      <c r="H894" s="126"/>
      <c r="I894" s="248">
        <v>5</v>
      </c>
      <c r="J894" s="246"/>
      <c r="K894" s="237">
        <f t="shared" si="54"/>
        <v>59204.411764705881</v>
      </c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</row>
    <row r="895" spans="1:30" ht="13.2">
      <c r="A895" s="126"/>
      <c r="B895" s="126" t="s">
        <v>337</v>
      </c>
      <c r="C895" s="250">
        <v>45362</v>
      </c>
      <c r="D895" s="246" t="s">
        <v>764</v>
      </c>
      <c r="E895" s="235" t="str">
        <f>VLOOKUP(D895,'Danh mục hàng hóa'!$C$3:$D$600,2,0)</f>
        <v>Kẹp tóc hồng nhạt trơn</v>
      </c>
      <c r="F895" s="236" t="str">
        <f>VLOOKUP(D895,'Danh mục hàng hóa'!$C$3:$E$613,3,0)</f>
        <v>cái</v>
      </c>
      <c r="G895" s="248">
        <f t="shared" si="69"/>
        <v>11840.882352941177</v>
      </c>
      <c r="H895" s="126"/>
      <c r="I895" s="248">
        <v>5</v>
      </c>
      <c r="J895" s="246"/>
      <c r="K895" s="237">
        <f t="shared" si="54"/>
        <v>59204.411764705881</v>
      </c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</row>
    <row r="896" spans="1:30" ht="13.2">
      <c r="A896" s="126"/>
      <c r="B896" s="126" t="s">
        <v>337</v>
      </c>
      <c r="C896" s="250">
        <v>45362</v>
      </c>
      <c r="D896" s="246" t="s">
        <v>766</v>
      </c>
      <c r="E896" s="235" t="str">
        <f>VLOOKUP(D896,'Danh mục hàng hóa'!$C$3:$D$600,2,0)</f>
        <v>Kẹp tóc trắng trơn</v>
      </c>
      <c r="F896" s="236" t="str">
        <f>VLOOKUP(D896,'Danh mục hàng hóa'!$C$3:$E$613,3,0)</f>
        <v>cái</v>
      </c>
      <c r="G896" s="248">
        <f t="shared" si="69"/>
        <v>11840.882352941177</v>
      </c>
      <c r="H896" s="126"/>
      <c r="I896" s="248">
        <v>3</v>
      </c>
      <c r="J896" s="246"/>
      <c r="K896" s="237">
        <f t="shared" si="54"/>
        <v>35522.647058823532</v>
      </c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</row>
    <row r="897" spans="1:30" ht="13.2">
      <c r="A897" s="126"/>
      <c r="B897" s="126" t="s">
        <v>337</v>
      </c>
      <c r="C897" s="250">
        <v>45362</v>
      </c>
      <c r="D897" s="246" t="s">
        <v>760</v>
      </c>
      <c r="E897" s="235" t="str">
        <f>VLOOKUP(D897,'Danh mục hàng hóa'!$C$3:$D$600,2,0)</f>
        <v>Kẹp tóc màu vàng trơn</v>
      </c>
      <c r="F897" s="236" t="str">
        <f>VLOOKUP(D897,'Danh mục hàng hóa'!$C$3:$E$613,3,0)</f>
        <v>cái</v>
      </c>
      <c r="G897" s="248">
        <f t="shared" si="69"/>
        <v>11840.882352941177</v>
      </c>
      <c r="H897" s="126"/>
      <c r="I897" s="248">
        <v>4</v>
      </c>
      <c r="J897" s="246"/>
      <c r="K897" s="237">
        <f t="shared" si="54"/>
        <v>47363.529411764706</v>
      </c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</row>
    <row r="898" spans="1:30" ht="13.2">
      <c r="A898" s="126"/>
      <c r="B898" s="126" t="s">
        <v>337</v>
      </c>
      <c r="C898" s="250">
        <v>45362</v>
      </c>
      <c r="D898" s="246" t="s">
        <v>752</v>
      </c>
      <c r="E898" s="235" t="str">
        <f>VLOOKUP(D898,'Danh mục hàng hóa'!$C$3:$D$600,2,0)</f>
        <v>Kẹp tóc hoa năm cánh đỏ hồng đẹp</v>
      </c>
      <c r="F898" s="236" t="str">
        <f>VLOOKUP(D898,'Danh mục hàng hóa'!$C$3:$E$613,3,0)</f>
        <v>cái</v>
      </c>
      <c r="G898" s="248">
        <f t="shared" ref="G898:G901" si="70">50628/4</f>
        <v>12657</v>
      </c>
      <c r="H898" s="126"/>
      <c r="I898" s="248">
        <v>1</v>
      </c>
      <c r="J898" s="246"/>
      <c r="K898" s="237">
        <f t="shared" si="54"/>
        <v>12657</v>
      </c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</row>
    <row r="899" spans="1:30" ht="13.2">
      <c r="A899" s="126"/>
      <c r="B899" s="126" t="s">
        <v>337</v>
      </c>
      <c r="C899" s="250">
        <v>45362</v>
      </c>
      <c r="D899" s="246" t="s">
        <v>764</v>
      </c>
      <c r="E899" s="235" t="str">
        <f>VLOOKUP(D899,'Danh mục hàng hóa'!$C$3:$D$600,2,0)</f>
        <v>Kẹp tóc hồng nhạt trơn</v>
      </c>
      <c r="F899" s="236" t="str">
        <f>VLOOKUP(D899,'Danh mục hàng hóa'!$C$3:$E$613,3,0)</f>
        <v>cái</v>
      </c>
      <c r="G899" s="248">
        <f t="shared" si="70"/>
        <v>12657</v>
      </c>
      <c r="H899" s="126"/>
      <c r="I899" s="248">
        <v>1</v>
      </c>
      <c r="J899" s="246"/>
      <c r="K899" s="237">
        <f t="shared" si="54"/>
        <v>12657</v>
      </c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</row>
    <row r="900" spans="1:30" ht="13.2">
      <c r="A900" s="126"/>
      <c r="B900" s="126" t="s">
        <v>337</v>
      </c>
      <c r="C900" s="250">
        <v>45362</v>
      </c>
      <c r="D900" s="246" t="s">
        <v>756</v>
      </c>
      <c r="E900" s="235" t="str">
        <f>VLOOKUP(D900,'Danh mục hàng hóa'!$C$3:$D$600,2,0)</f>
        <v>Kẹp tóc hoa năm cánh xanh</v>
      </c>
      <c r="F900" s="236" t="str">
        <f>VLOOKUP(D900,'Danh mục hàng hóa'!$C$3:$E$613,3,0)</f>
        <v>cái</v>
      </c>
      <c r="G900" s="248">
        <f t="shared" si="70"/>
        <v>12657</v>
      </c>
      <c r="H900" s="126"/>
      <c r="I900" s="248">
        <v>1</v>
      </c>
      <c r="J900" s="246"/>
      <c r="K900" s="237">
        <f t="shared" si="54"/>
        <v>12657</v>
      </c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</row>
    <row r="901" spans="1:30" ht="13.2">
      <c r="A901" s="126"/>
      <c r="B901" s="126" t="s">
        <v>337</v>
      </c>
      <c r="C901" s="250">
        <v>45362</v>
      </c>
      <c r="D901" s="246" t="s">
        <v>746</v>
      </c>
      <c r="E901" s="235" t="str">
        <f>VLOOKUP(D901,'Danh mục hàng hóa'!$C$3:$D$600,2,0)</f>
        <v>Kẹp tóc hoa năm cánh hồng</v>
      </c>
      <c r="F901" s="236" t="str">
        <f>VLOOKUP(D901,'Danh mục hàng hóa'!$C$3:$E$613,3,0)</f>
        <v>cái</v>
      </c>
      <c r="G901" s="248">
        <f t="shared" si="70"/>
        <v>12657</v>
      </c>
      <c r="H901" s="126"/>
      <c r="I901" s="248">
        <v>1</v>
      </c>
      <c r="J901" s="246"/>
      <c r="K901" s="237">
        <f t="shared" si="54"/>
        <v>12657</v>
      </c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</row>
    <row r="902" spans="1:30" ht="13.2">
      <c r="A902" s="126"/>
      <c r="B902" s="126" t="s">
        <v>337</v>
      </c>
      <c r="C902" s="250">
        <v>45362</v>
      </c>
      <c r="D902" s="246" t="s">
        <v>397</v>
      </c>
      <c r="E902" s="235" t="str">
        <f>VLOOKUP(D902,'Danh mục hàng hóa'!$C$3:$D$600,2,0)</f>
        <v>Túi chườm bụng dâu (xanh) 1000ml</v>
      </c>
      <c r="F902" s="236" t="str">
        <f>VLOOKUP(D902,'Danh mục hàng hóa'!$C$3:$E$613,3,0)</f>
        <v>túi</v>
      </c>
      <c r="G902" s="248">
        <v>75689</v>
      </c>
      <c r="H902" s="126"/>
      <c r="I902" s="248">
        <v>1</v>
      </c>
      <c r="J902" s="246"/>
      <c r="K902" s="237">
        <f t="shared" si="54"/>
        <v>75689</v>
      </c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</row>
    <row r="903" spans="1:30" ht="13.2">
      <c r="A903" s="126"/>
      <c r="B903" s="126" t="s">
        <v>337</v>
      </c>
      <c r="C903" s="250">
        <v>45362</v>
      </c>
      <c r="D903" s="246" t="s">
        <v>977</v>
      </c>
      <c r="E903" s="235" t="str">
        <f>VLOOKUP(D903,'Danh mục hàng hóa'!$C$3:$D$600,2,0)</f>
        <v>Móc khóa đôi heo</v>
      </c>
      <c r="F903" s="236" t="str">
        <f>VLOOKUP(D903,'Danh mục hàng hóa'!$C$3:$E$613,3,0)</f>
        <v>cái</v>
      </c>
      <c r="G903" s="248">
        <v>43400</v>
      </c>
      <c r="H903" s="126"/>
      <c r="I903" s="248">
        <v>1</v>
      </c>
      <c r="J903" s="246"/>
      <c r="K903" s="237">
        <f t="shared" si="54"/>
        <v>43400</v>
      </c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</row>
    <row r="904" spans="1:30" ht="13.2">
      <c r="A904" s="126"/>
      <c r="B904" s="126" t="s">
        <v>337</v>
      </c>
      <c r="C904" s="250">
        <v>45362</v>
      </c>
      <c r="D904" s="246" t="s">
        <v>489</v>
      </c>
      <c r="E904" s="235" t="str">
        <f>VLOOKUP(D904,'Danh mục hàng hóa'!$C$3:$D$600,2,0)</f>
        <v>Trâm cài 04</v>
      </c>
      <c r="F904" s="236" t="str">
        <f>VLOOKUP(D904,'Danh mục hàng hóa'!$C$3:$E$613,3,0)</f>
        <v>cây</v>
      </c>
      <c r="G904" s="248">
        <f t="shared" ref="G904:G906" si="71">56467/3</f>
        <v>18822.333333333332</v>
      </c>
      <c r="H904" s="126"/>
      <c r="I904" s="248">
        <v>1</v>
      </c>
      <c r="J904" s="246"/>
      <c r="K904" s="237">
        <f t="shared" si="54"/>
        <v>18822.333333333332</v>
      </c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</row>
    <row r="905" spans="1:30" ht="13.2">
      <c r="A905" s="126"/>
      <c r="B905" s="126" t="s">
        <v>337</v>
      </c>
      <c r="C905" s="250">
        <v>45362</v>
      </c>
      <c r="D905" s="246" t="s">
        <v>517</v>
      </c>
      <c r="E905" s="235" t="str">
        <f>VLOOKUP(D905,'Danh mục hàng hóa'!$C$3:$D$600,2,0)</f>
        <v>Trâm cài 18</v>
      </c>
      <c r="F905" s="236" t="str">
        <f>VLOOKUP(D905,'Danh mục hàng hóa'!$C$3:$E$613,3,0)</f>
        <v>cây</v>
      </c>
      <c r="G905" s="248">
        <f t="shared" si="71"/>
        <v>18822.333333333332</v>
      </c>
      <c r="H905" s="126"/>
      <c r="I905" s="248">
        <v>1</v>
      </c>
      <c r="J905" s="246"/>
      <c r="K905" s="237">
        <f t="shared" si="54"/>
        <v>18822.333333333332</v>
      </c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</row>
    <row r="906" spans="1:30" ht="13.2">
      <c r="A906" s="126"/>
      <c r="B906" s="126" t="s">
        <v>337</v>
      </c>
      <c r="C906" s="250">
        <v>45362</v>
      </c>
      <c r="D906" s="246" t="s">
        <v>523</v>
      </c>
      <c r="E906" s="235" t="str">
        <f>VLOOKUP(D906,'Danh mục hàng hóa'!$C$3:$D$600,2,0)</f>
        <v>Trâm cài 21</v>
      </c>
      <c r="F906" s="236" t="str">
        <f>VLOOKUP(D906,'Danh mục hàng hóa'!$C$3:$E$613,3,0)</f>
        <v>cây</v>
      </c>
      <c r="G906" s="248">
        <f t="shared" si="71"/>
        <v>18822.333333333332</v>
      </c>
      <c r="H906" s="126"/>
      <c r="I906" s="248">
        <v>1</v>
      </c>
      <c r="J906" s="246"/>
      <c r="K906" s="237">
        <f t="shared" si="54"/>
        <v>18822.333333333332</v>
      </c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</row>
    <row r="907" spans="1:30" ht="13.2">
      <c r="A907" s="126"/>
      <c r="B907" s="126" t="s">
        <v>337</v>
      </c>
      <c r="C907" s="250">
        <v>45362</v>
      </c>
      <c r="D907" s="246" t="s">
        <v>401</v>
      </c>
      <c r="E907" s="235" t="str">
        <f>VLOOKUP(D907,'Danh mục hàng hóa'!$C$3:$D$600,2,0)</f>
        <v>Túi chườm bụng dứa xanh đậm  1000ml</v>
      </c>
      <c r="F907" s="236" t="str">
        <f>VLOOKUP(D907,'Danh mục hàng hóa'!$C$3:$E$613,3,0)</f>
        <v>túi</v>
      </c>
      <c r="G907" s="248">
        <v>75369</v>
      </c>
      <c r="H907" s="126"/>
      <c r="I907" s="248">
        <v>1</v>
      </c>
      <c r="J907" s="246"/>
      <c r="K907" s="237">
        <f t="shared" si="54"/>
        <v>75369</v>
      </c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</row>
    <row r="908" spans="1:30" ht="13.2">
      <c r="A908" s="126"/>
      <c r="B908" s="126" t="s">
        <v>337</v>
      </c>
      <c r="C908" s="250">
        <v>45362</v>
      </c>
      <c r="D908" s="246" t="s">
        <v>732</v>
      </c>
      <c r="E908" s="235" t="str">
        <f>VLOOKUP(D908,'Danh mục hàng hóa'!$C$3:$D$600,2,0)</f>
        <v>Kẹp tóc hoa sứ tím</v>
      </c>
      <c r="F908" s="236" t="str">
        <f>VLOOKUP(D908,'Danh mục hàng hóa'!$C$3:$E$613,3,0)</f>
        <v>cái</v>
      </c>
      <c r="G908" s="248">
        <v>14724</v>
      </c>
      <c r="H908" s="126"/>
      <c r="I908" s="248">
        <v>1</v>
      </c>
      <c r="J908" s="246"/>
      <c r="K908" s="237">
        <f t="shared" si="54"/>
        <v>14724</v>
      </c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</row>
    <row r="909" spans="1:30" ht="13.2">
      <c r="A909" s="126"/>
      <c r="B909" s="126" t="s">
        <v>337</v>
      </c>
      <c r="C909" s="250">
        <v>45362</v>
      </c>
      <c r="D909" s="246" t="s">
        <v>981</v>
      </c>
      <c r="E909" s="235" t="str">
        <f>VLOOKUP(D909,'Danh mục hàng hóa'!$C$3:$D$600,2,0)</f>
        <v>Móc khóa đôi corgy</v>
      </c>
      <c r="F909" s="236" t="str">
        <f>VLOOKUP(D909,'Danh mục hàng hóa'!$C$3:$E$613,3,0)</f>
        <v>cái</v>
      </c>
      <c r="G909" s="248">
        <v>43220</v>
      </c>
      <c r="H909" s="126"/>
      <c r="I909" s="248">
        <v>2</v>
      </c>
      <c r="J909" s="246"/>
      <c r="K909" s="237">
        <f t="shared" si="54"/>
        <v>86440</v>
      </c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</row>
    <row r="910" spans="1:30" ht="13.2">
      <c r="A910" s="126"/>
      <c r="B910" s="126" t="s">
        <v>337</v>
      </c>
      <c r="C910" s="250">
        <v>45362</v>
      </c>
      <c r="D910" s="246" t="s">
        <v>762</v>
      </c>
      <c r="E910" s="235" t="str">
        <f>VLOOKUP(D910,'Danh mục hàng hóa'!$C$3:$D$600,2,0)</f>
        <v>Kẹp tóc hoa cam trơn</v>
      </c>
      <c r="F910" s="236" t="str">
        <f>VLOOKUP(D910,'Danh mục hàng hóa'!$C$3:$E$613,3,0)</f>
        <v>cái</v>
      </c>
      <c r="G910" s="248">
        <v>11380</v>
      </c>
      <c r="H910" s="126"/>
      <c r="I910" s="248">
        <v>1</v>
      </c>
      <c r="J910" s="246"/>
      <c r="K910" s="237">
        <f t="shared" si="54"/>
        <v>11380</v>
      </c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</row>
    <row r="911" spans="1:30" ht="13.2">
      <c r="A911" s="126"/>
      <c r="B911" s="126" t="s">
        <v>337</v>
      </c>
      <c r="C911" s="250">
        <v>45363</v>
      </c>
      <c r="D911" s="246" t="s">
        <v>487</v>
      </c>
      <c r="E911" s="235" t="str">
        <f>VLOOKUP(D911,'Danh mục hàng hóa'!$C$3:$D$600,2,0)</f>
        <v>Trâm cài 03</v>
      </c>
      <c r="F911" s="236" t="str">
        <f>VLOOKUP(D911,'Danh mục hàng hóa'!$C$3:$E$613,3,0)</f>
        <v>cây</v>
      </c>
      <c r="G911" s="248">
        <v>35000</v>
      </c>
      <c r="H911" s="126"/>
      <c r="I911" s="248">
        <v>1</v>
      </c>
      <c r="J911" s="246"/>
      <c r="K911" s="237">
        <f t="shared" si="54"/>
        <v>35000</v>
      </c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</row>
    <row r="912" spans="1:30" ht="13.2">
      <c r="A912" s="126"/>
      <c r="B912" s="126" t="s">
        <v>337</v>
      </c>
      <c r="C912" s="250">
        <v>45363</v>
      </c>
      <c r="D912" s="246" t="s">
        <v>509</v>
      </c>
      <c r="E912" s="235" t="str">
        <f>VLOOKUP(D912,'Danh mục hàng hóa'!$C$3:$D$600,2,0)</f>
        <v>Trâm cài 14</v>
      </c>
      <c r="F912" s="236" t="str">
        <f>VLOOKUP(D912,'Danh mục hàng hóa'!$C$3:$E$613,3,0)</f>
        <v>cây</v>
      </c>
      <c r="G912" s="248">
        <v>34460</v>
      </c>
      <c r="H912" s="126"/>
      <c r="I912" s="248">
        <v>1</v>
      </c>
      <c r="J912" s="246"/>
      <c r="K912" s="237">
        <f t="shared" si="54"/>
        <v>34460</v>
      </c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</row>
    <row r="913" spans="1:30" ht="13.2">
      <c r="A913" s="126"/>
      <c r="B913" s="126" t="s">
        <v>337</v>
      </c>
      <c r="C913" s="250">
        <v>45363</v>
      </c>
      <c r="D913" s="246" t="s">
        <v>756</v>
      </c>
      <c r="E913" s="235" t="str">
        <f>VLOOKUP(D913,'Danh mục hàng hóa'!$C$3:$D$600,2,0)</f>
        <v>Kẹp tóc hoa năm cánh xanh</v>
      </c>
      <c r="F913" s="236" t="str">
        <f>VLOOKUP(D913,'Danh mục hàng hóa'!$C$3:$E$613,3,0)</f>
        <v>cái</v>
      </c>
      <c r="G913" s="248">
        <f>22540/2</f>
        <v>11270</v>
      </c>
      <c r="H913" s="126"/>
      <c r="I913" s="248">
        <v>2</v>
      </c>
      <c r="J913" s="246"/>
      <c r="K913" s="237">
        <f t="shared" si="54"/>
        <v>22540</v>
      </c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</row>
    <row r="914" spans="1:30" ht="13.2">
      <c r="A914" s="126"/>
      <c r="B914" s="126" t="s">
        <v>337</v>
      </c>
      <c r="C914" s="250">
        <v>45363</v>
      </c>
      <c r="D914" s="246" t="s">
        <v>760</v>
      </c>
      <c r="E914" s="235" t="str">
        <f>VLOOKUP(D914,'Danh mục hàng hóa'!$C$3:$D$600,2,0)</f>
        <v>Kẹp tóc màu vàng trơn</v>
      </c>
      <c r="F914" s="236" t="str">
        <f>VLOOKUP(D914,'Danh mục hàng hóa'!$C$3:$E$613,3,0)</f>
        <v>cái</v>
      </c>
      <c r="G914" s="248">
        <v>11640</v>
      </c>
      <c r="H914" s="126"/>
      <c r="I914" s="248">
        <v>1</v>
      </c>
      <c r="J914" s="246"/>
      <c r="K914" s="237">
        <f t="shared" si="54"/>
        <v>11640</v>
      </c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</row>
    <row r="915" spans="1:30" ht="13.2">
      <c r="A915" s="126"/>
      <c r="B915" s="126" t="s">
        <v>337</v>
      </c>
      <c r="C915" s="250">
        <v>45363</v>
      </c>
      <c r="D915" s="246" t="s">
        <v>768</v>
      </c>
      <c r="E915" s="235" t="str">
        <f>VLOOKUP(D915,'Danh mục hàng hóa'!$C$3:$D$600,2,0)</f>
        <v>Kẹp tóc xanh trơn</v>
      </c>
      <c r="F915" s="236" t="str">
        <f>VLOOKUP(D915,'Danh mục hàng hóa'!$C$3:$E$613,3,0)</f>
        <v>cái</v>
      </c>
      <c r="G915" s="248">
        <v>13000</v>
      </c>
      <c r="H915" s="126"/>
      <c r="I915" s="248">
        <v>1</v>
      </c>
      <c r="J915" s="246"/>
      <c r="K915" s="237">
        <f t="shared" si="54"/>
        <v>13000</v>
      </c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</row>
    <row r="916" spans="1:30" ht="13.2">
      <c r="A916" s="126"/>
      <c r="B916" s="126" t="s">
        <v>337</v>
      </c>
      <c r="C916" s="250">
        <v>45363</v>
      </c>
      <c r="D916" s="246" t="s">
        <v>584</v>
      </c>
      <c r="E916" s="235" t="str">
        <f>VLOOKUP(D916,'Danh mục hàng hóa'!$C$3:$D$600,2,0)</f>
        <v>Kẹp tóc nhựa nâu đậm</v>
      </c>
      <c r="F916" s="236" t="str">
        <f>VLOOKUP(D916,'Danh mục hàng hóa'!$C$3:$E$613,3,0)</f>
        <v>cái</v>
      </c>
      <c r="G916" s="248">
        <v>15000</v>
      </c>
      <c r="H916" s="126"/>
      <c r="I916" s="248">
        <v>1</v>
      </c>
      <c r="J916" s="246"/>
      <c r="K916" s="237">
        <f t="shared" si="54"/>
        <v>15000</v>
      </c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</row>
    <row r="917" spans="1:30" ht="13.2">
      <c r="A917" s="126"/>
      <c r="B917" s="126" t="s">
        <v>337</v>
      </c>
      <c r="C917" s="250">
        <v>45363</v>
      </c>
      <c r="D917" s="246" t="s">
        <v>776</v>
      </c>
      <c r="E917" s="235" t="str">
        <f>VLOOKUP(D917,'Danh mục hàng hóa'!$C$3:$D$600,2,0)</f>
        <v>Kẹp tóc hoa lan 03</v>
      </c>
      <c r="F917" s="236" t="str">
        <f>VLOOKUP(D917,'Danh mục hàng hóa'!$C$3:$E$613,3,0)</f>
        <v>cái</v>
      </c>
      <c r="G917" s="248">
        <v>15000</v>
      </c>
      <c r="H917" s="126"/>
      <c r="I917" s="248">
        <v>1</v>
      </c>
      <c r="J917" s="246"/>
      <c r="K917" s="237">
        <f t="shared" si="54"/>
        <v>15000</v>
      </c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</row>
    <row r="918" spans="1:30" ht="13.2">
      <c r="A918" s="126"/>
      <c r="B918" s="126" t="s">
        <v>337</v>
      </c>
      <c r="C918" s="250">
        <v>45363</v>
      </c>
      <c r="D918" s="246" t="s">
        <v>774</v>
      </c>
      <c r="E918" s="235" t="str">
        <f>VLOOKUP(D918,'Danh mục hàng hóa'!$C$3:$D$600,2,0)</f>
        <v>Kẹp tóc hoa lan 02</v>
      </c>
      <c r="F918" s="236" t="str">
        <f>VLOOKUP(D918,'Danh mục hàng hóa'!$C$3:$E$613,3,0)</f>
        <v>cái</v>
      </c>
      <c r="G918" s="248">
        <v>15000</v>
      </c>
      <c r="H918" s="126"/>
      <c r="I918" s="248">
        <v>1</v>
      </c>
      <c r="J918" s="246"/>
      <c r="K918" s="237">
        <f t="shared" si="54"/>
        <v>15000</v>
      </c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</row>
    <row r="919" spans="1:30" ht="13.2">
      <c r="A919" s="126"/>
      <c r="B919" s="126" t="s">
        <v>337</v>
      </c>
      <c r="C919" s="250">
        <v>45363</v>
      </c>
      <c r="D919" s="246" t="s">
        <v>762</v>
      </c>
      <c r="E919" s="235" t="str">
        <f>VLOOKUP(D919,'Danh mục hàng hóa'!$C$3:$D$600,2,0)</f>
        <v>Kẹp tóc hoa cam trơn</v>
      </c>
      <c r="F919" s="236" t="str">
        <f>VLOOKUP(D919,'Danh mục hàng hóa'!$C$3:$E$613,3,0)</f>
        <v>cái</v>
      </c>
      <c r="G919" s="248">
        <v>9204</v>
      </c>
      <c r="H919" s="126"/>
      <c r="I919" s="248">
        <v>1</v>
      </c>
      <c r="J919" s="246"/>
      <c r="K919" s="237">
        <f t="shared" si="54"/>
        <v>9204</v>
      </c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</row>
    <row r="920" spans="1:30" ht="13.2">
      <c r="A920" s="126"/>
      <c r="B920" s="126" t="s">
        <v>337</v>
      </c>
      <c r="C920" s="250">
        <v>45363</v>
      </c>
      <c r="D920" s="246" t="s">
        <v>772</v>
      </c>
      <c r="E920" s="235" t="str">
        <f>VLOOKUP(D920,'Danh mục hàng hóa'!$C$3:$D$600,2,0)</f>
        <v>Kẹp tóc hoa lan 01</v>
      </c>
      <c r="F920" s="236" t="str">
        <f>VLOOKUP(D920,'Danh mục hàng hóa'!$C$3:$E$613,3,0)</f>
        <v>cái</v>
      </c>
      <c r="G920" s="248">
        <f t="shared" ref="G920:G923" si="72">62286/4</f>
        <v>15571.5</v>
      </c>
      <c r="H920" s="126"/>
      <c r="I920" s="248">
        <v>1</v>
      </c>
      <c r="J920" s="246"/>
      <c r="K920" s="237">
        <f t="shared" si="54"/>
        <v>15571.5</v>
      </c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</row>
    <row r="921" spans="1:30" ht="13.2">
      <c r="A921" s="126"/>
      <c r="B921" s="126" t="s">
        <v>337</v>
      </c>
      <c r="C921" s="250">
        <v>45363</v>
      </c>
      <c r="D921" s="246" t="s">
        <v>774</v>
      </c>
      <c r="E921" s="235" t="str">
        <f>VLOOKUP(D921,'Danh mục hàng hóa'!$C$3:$D$600,2,0)</f>
        <v>Kẹp tóc hoa lan 02</v>
      </c>
      <c r="F921" s="236" t="str">
        <f>VLOOKUP(D921,'Danh mục hàng hóa'!$C$3:$E$613,3,0)</f>
        <v>cái</v>
      </c>
      <c r="G921" s="248">
        <f t="shared" si="72"/>
        <v>15571.5</v>
      </c>
      <c r="H921" s="126"/>
      <c r="I921" s="248">
        <v>1</v>
      </c>
      <c r="J921" s="246"/>
      <c r="K921" s="237">
        <f t="shared" si="54"/>
        <v>15571.5</v>
      </c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</row>
    <row r="922" spans="1:30" ht="13.2">
      <c r="A922" s="126"/>
      <c r="B922" s="126" t="s">
        <v>337</v>
      </c>
      <c r="C922" s="250">
        <v>45363</v>
      </c>
      <c r="D922" s="246" t="s">
        <v>776</v>
      </c>
      <c r="E922" s="235" t="str">
        <f>VLOOKUP(D922,'Danh mục hàng hóa'!$C$3:$D$600,2,0)</f>
        <v>Kẹp tóc hoa lan 03</v>
      </c>
      <c r="F922" s="236" t="str">
        <f>VLOOKUP(D922,'Danh mục hàng hóa'!$C$3:$E$613,3,0)</f>
        <v>cái</v>
      </c>
      <c r="G922" s="248">
        <f t="shared" si="72"/>
        <v>15571.5</v>
      </c>
      <c r="H922" s="126"/>
      <c r="I922" s="248">
        <v>1</v>
      </c>
      <c r="J922" s="246"/>
      <c r="K922" s="237">
        <f t="shared" si="54"/>
        <v>15571.5</v>
      </c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</row>
    <row r="923" spans="1:30" ht="13.2">
      <c r="A923" s="126"/>
      <c r="B923" s="126" t="s">
        <v>337</v>
      </c>
      <c r="C923" s="250">
        <v>45363</v>
      </c>
      <c r="D923" s="246" t="s">
        <v>778</v>
      </c>
      <c r="E923" s="235" t="str">
        <f>VLOOKUP(D923,'Danh mục hàng hóa'!$C$3:$D$600,2,0)</f>
        <v>Kẹp tóc hoa lan 04</v>
      </c>
      <c r="F923" s="236" t="str">
        <f>VLOOKUP(D923,'Danh mục hàng hóa'!$C$3:$E$613,3,0)</f>
        <v>cái</v>
      </c>
      <c r="G923" s="248">
        <f t="shared" si="72"/>
        <v>15571.5</v>
      </c>
      <c r="H923" s="126"/>
      <c r="I923" s="248">
        <v>1</v>
      </c>
      <c r="J923" s="246"/>
      <c r="K923" s="237">
        <f t="shared" si="54"/>
        <v>15571.5</v>
      </c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</row>
    <row r="924" spans="1:30" ht="13.2">
      <c r="A924" s="126"/>
      <c r="B924" s="126" t="s">
        <v>337</v>
      </c>
      <c r="C924" s="250">
        <v>45363</v>
      </c>
      <c r="D924" s="246" t="s">
        <v>891</v>
      </c>
      <c r="E924" s="235" t="str">
        <f>VLOOKUP(D924,'Danh mục hàng hóa'!$C$3:$D$600,2,0)</f>
        <v>Heo ú</v>
      </c>
      <c r="F924" s="236" t="str">
        <f>VLOOKUP(D924,'Danh mục hàng hóa'!$C$3:$E$613,3,0)</f>
        <v>cái</v>
      </c>
      <c r="G924" s="248">
        <v>40000</v>
      </c>
      <c r="H924" s="126"/>
      <c r="I924" s="248">
        <v>1</v>
      </c>
      <c r="J924" s="246"/>
      <c r="K924" s="237">
        <f t="shared" si="54"/>
        <v>40000</v>
      </c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</row>
    <row r="925" spans="1:30" ht="13.2">
      <c r="A925" s="126"/>
      <c r="B925" s="126" t="s">
        <v>337</v>
      </c>
      <c r="C925" s="250">
        <v>45363</v>
      </c>
      <c r="D925" s="246" t="s">
        <v>907</v>
      </c>
      <c r="E925" s="235" t="str">
        <f>VLOOKUP(D925,'Danh mục hàng hóa'!$C$3:$D$600,2,0)</f>
        <v>Cáo gắn xe</v>
      </c>
      <c r="F925" s="236" t="str">
        <f>VLOOKUP(D925,'Danh mục hàng hóa'!$C$3:$E$613,3,0)</f>
        <v>cái</v>
      </c>
      <c r="G925" s="248">
        <v>30000</v>
      </c>
      <c r="H925" s="126"/>
      <c r="I925" s="248">
        <v>1</v>
      </c>
      <c r="J925" s="246"/>
      <c r="K925" s="237">
        <f t="shared" si="54"/>
        <v>30000</v>
      </c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</row>
    <row r="926" spans="1:30" ht="13.2">
      <c r="A926" s="126"/>
      <c r="B926" s="126" t="s">
        <v>337</v>
      </c>
      <c r="C926" s="250">
        <v>45363</v>
      </c>
      <c r="D926" s="235" t="s">
        <v>997</v>
      </c>
      <c r="E926" s="235" t="str">
        <f>VLOOKUP(D926,'Danh mục hàng hóa'!$C$3:$D$600,2,0)</f>
        <v>Mô hình cún 02</v>
      </c>
      <c r="F926" s="236" t="str">
        <f>VLOOKUP(D926,'Danh mục hàng hóa'!$C$3:$E$613,3,0)</f>
        <v>cái</v>
      </c>
      <c r="G926" s="248">
        <f>99093-70000</f>
        <v>29093</v>
      </c>
      <c r="H926" s="126"/>
      <c r="I926" s="248">
        <v>1</v>
      </c>
      <c r="J926" s="246"/>
      <c r="K926" s="237">
        <f t="shared" si="54"/>
        <v>29093</v>
      </c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</row>
    <row r="927" spans="1:30" ht="13.2">
      <c r="A927" s="126"/>
      <c r="B927" s="126" t="s">
        <v>337</v>
      </c>
      <c r="C927" s="251">
        <v>45363</v>
      </c>
      <c r="D927" s="235" t="s">
        <v>2148</v>
      </c>
      <c r="E927" s="235" t="e">
        <f>VLOOKUP(D927,'Danh mục hàng hóa'!$C$3:$D$600,2,0)</f>
        <v>#N/A</v>
      </c>
      <c r="F927" s="236" t="e">
        <f>VLOOKUP(D927,'Danh mục hàng hóa'!$C$3:$E$613,3,0)</f>
        <v>#N/A</v>
      </c>
      <c r="G927" s="248">
        <v>18000</v>
      </c>
      <c r="H927" s="126"/>
      <c r="I927" s="248">
        <v>1</v>
      </c>
      <c r="J927" s="246"/>
      <c r="K927" s="237">
        <f t="shared" si="54"/>
        <v>18000</v>
      </c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</row>
    <row r="928" spans="1:30" ht="13.2">
      <c r="A928" s="126"/>
      <c r="B928" s="126" t="s">
        <v>337</v>
      </c>
      <c r="C928" s="250">
        <v>45363</v>
      </c>
      <c r="D928" s="246" t="s">
        <v>752</v>
      </c>
      <c r="E928" s="235" t="str">
        <f>VLOOKUP(D928,'Danh mục hàng hóa'!$C$3:$D$600,2,0)</f>
        <v>Kẹp tóc hoa năm cánh đỏ hồng đẹp</v>
      </c>
      <c r="F928" s="236" t="str">
        <f>VLOOKUP(D928,'Danh mục hàng hóa'!$C$3:$E$613,3,0)</f>
        <v>cái</v>
      </c>
      <c r="G928" s="248">
        <f t="shared" ref="G928:G930" si="73">(121280-18000)/5</f>
        <v>20656</v>
      </c>
      <c r="H928" s="126"/>
      <c r="I928" s="248">
        <v>1</v>
      </c>
      <c r="J928" s="246"/>
      <c r="K928" s="237">
        <f t="shared" si="54"/>
        <v>20656</v>
      </c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</row>
    <row r="929" spans="1:30" ht="13.2">
      <c r="A929" s="126"/>
      <c r="B929" s="126" t="s">
        <v>337</v>
      </c>
      <c r="C929" s="250">
        <v>45363</v>
      </c>
      <c r="D929" s="246" t="s">
        <v>762</v>
      </c>
      <c r="E929" s="235" t="str">
        <f>VLOOKUP(D929,'Danh mục hàng hóa'!$C$3:$D$600,2,0)</f>
        <v>Kẹp tóc hoa cam trơn</v>
      </c>
      <c r="F929" s="236" t="str">
        <f>VLOOKUP(D929,'Danh mục hàng hóa'!$C$3:$E$613,3,0)</f>
        <v>cái</v>
      </c>
      <c r="G929" s="248">
        <f t="shared" si="73"/>
        <v>20656</v>
      </c>
      <c r="H929" s="126"/>
      <c r="I929" s="248">
        <v>2</v>
      </c>
      <c r="J929" s="246"/>
      <c r="K929" s="237">
        <f t="shared" si="54"/>
        <v>41312</v>
      </c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</row>
    <row r="930" spans="1:30" ht="13.2">
      <c r="A930" s="126"/>
      <c r="B930" s="126" t="s">
        <v>337</v>
      </c>
      <c r="C930" s="250">
        <v>45363</v>
      </c>
      <c r="D930" s="246" t="s">
        <v>746</v>
      </c>
      <c r="E930" s="235" t="str">
        <f>VLOOKUP(D930,'Danh mục hàng hóa'!$C$3:$D$600,2,0)</f>
        <v>Kẹp tóc hoa năm cánh hồng</v>
      </c>
      <c r="F930" s="236" t="str">
        <f>VLOOKUP(D930,'Danh mục hàng hóa'!$C$3:$E$613,3,0)</f>
        <v>cái</v>
      </c>
      <c r="G930" s="248">
        <f t="shared" si="73"/>
        <v>20656</v>
      </c>
      <c r="H930" s="126"/>
      <c r="I930" s="248">
        <v>2</v>
      </c>
      <c r="J930" s="246"/>
      <c r="K930" s="237">
        <f t="shared" si="54"/>
        <v>41312</v>
      </c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</row>
    <row r="931" spans="1:30" ht="13.2">
      <c r="A931" s="126"/>
      <c r="B931" s="126" t="s">
        <v>337</v>
      </c>
      <c r="C931" s="250">
        <v>45363</v>
      </c>
      <c r="D931" s="246" t="s">
        <v>756</v>
      </c>
      <c r="E931" s="235" t="str">
        <f>VLOOKUP(D931,'Danh mục hàng hóa'!$C$3:$D$600,2,0)</f>
        <v>Kẹp tóc hoa năm cánh xanh</v>
      </c>
      <c r="F931" s="236" t="str">
        <f>VLOOKUP(D931,'Danh mục hàng hóa'!$C$3:$E$613,3,0)</f>
        <v>cái</v>
      </c>
      <c r="G931" s="248">
        <f t="shared" ref="G931:G933" si="74">45700/3</f>
        <v>15233.333333333334</v>
      </c>
      <c r="H931" s="126"/>
      <c r="I931" s="248">
        <v>1</v>
      </c>
      <c r="J931" s="246"/>
      <c r="K931" s="237">
        <f t="shared" si="54"/>
        <v>15233.333333333334</v>
      </c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</row>
    <row r="932" spans="1:30" ht="13.2">
      <c r="A932" s="126"/>
      <c r="B932" s="126" t="s">
        <v>337</v>
      </c>
      <c r="C932" s="250">
        <v>45363</v>
      </c>
      <c r="D932" s="246" t="s">
        <v>750</v>
      </c>
      <c r="E932" s="235" t="str">
        <f>VLOOKUP(D932,'Danh mục hàng hóa'!$C$3:$D$600,2,0)</f>
        <v>Kẹp tóc hoa năm cánh cam</v>
      </c>
      <c r="F932" s="236" t="str">
        <f>VLOOKUP(D932,'Danh mục hàng hóa'!$C$3:$E$613,3,0)</f>
        <v>cái</v>
      </c>
      <c r="G932" s="248">
        <f t="shared" si="74"/>
        <v>15233.333333333334</v>
      </c>
      <c r="H932" s="126"/>
      <c r="I932" s="248">
        <v>1</v>
      </c>
      <c r="J932" s="246"/>
      <c r="K932" s="237">
        <f t="shared" si="54"/>
        <v>15233.333333333334</v>
      </c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</row>
    <row r="933" spans="1:30" ht="13.2">
      <c r="A933" s="126"/>
      <c r="B933" s="126" t="s">
        <v>337</v>
      </c>
      <c r="C933" s="250">
        <v>45363</v>
      </c>
      <c r="D933" s="246" t="s">
        <v>748</v>
      </c>
      <c r="E933" s="235" t="str">
        <f>VLOOKUP(D933,'Danh mục hàng hóa'!$C$3:$D$600,2,0)</f>
        <v>Kẹp tóc hoa năm cánh đỏ hồng</v>
      </c>
      <c r="F933" s="236" t="str">
        <f>VLOOKUP(D933,'Danh mục hàng hóa'!$C$3:$E$613,3,0)</f>
        <v>cái</v>
      </c>
      <c r="G933" s="248">
        <f t="shared" si="74"/>
        <v>15233.333333333334</v>
      </c>
      <c r="H933" s="126"/>
      <c r="I933" s="248">
        <v>1</v>
      </c>
      <c r="J933" s="246"/>
      <c r="K933" s="237">
        <f t="shared" si="54"/>
        <v>15233.333333333334</v>
      </c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</row>
    <row r="934" spans="1:30" ht="13.2">
      <c r="A934" s="126"/>
      <c r="B934" s="126" t="s">
        <v>337</v>
      </c>
      <c r="C934" s="250">
        <v>45363</v>
      </c>
      <c r="D934" s="246" t="s">
        <v>977</v>
      </c>
      <c r="E934" s="235" t="str">
        <f>VLOOKUP(D934,'Danh mục hàng hóa'!$C$3:$D$600,2,0)</f>
        <v>Móc khóa đôi heo</v>
      </c>
      <c r="F934" s="236" t="str">
        <f>VLOOKUP(D934,'Danh mục hàng hóa'!$C$3:$E$613,3,0)</f>
        <v>cái</v>
      </c>
      <c r="G934" s="248">
        <v>43500</v>
      </c>
      <c r="H934" s="126"/>
      <c r="I934" s="248">
        <v>1</v>
      </c>
      <c r="J934" s="246"/>
      <c r="K934" s="237">
        <f t="shared" si="54"/>
        <v>43500</v>
      </c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</row>
    <row r="935" spans="1:30" ht="13.2">
      <c r="A935" s="126"/>
      <c r="B935" s="126" t="s">
        <v>337</v>
      </c>
      <c r="C935" s="250">
        <v>45363</v>
      </c>
      <c r="D935" s="246" t="s">
        <v>885</v>
      </c>
      <c r="E935" s="235" t="str">
        <f>VLOOKUP(D935,'Danh mục hàng hóa'!$C$3:$D$600,2,0)</f>
        <v>Gấu chong chóng</v>
      </c>
      <c r="F935" s="236" t="str">
        <f>VLOOKUP(D935,'Danh mục hàng hóa'!$C$3:$E$613,3,0)</f>
        <v>cái</v>
      </c>
      <c r="G935" s="248">
        <v>43000</v>
      </c>
      <c r="H935" s="126"/>
      <c r="I935" s="248">
        <v>1</v>
      </c>
      <c r="J935" s="246"/>
      <c r="K935" s="237">
        <f t="shared" si="54"/>
        <v>43000</v>
      </c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</row>
    <row r="936" spans="1:30" ht="13.2">
      <c r="A936" s="126"/>
      <c r="B936" s="126" t="s">
        <v>337</v>
      </c>
      <c r="C936" s="250">
        <v>45363</v>
      </c>
      <c r="D936" s="246" t="s">
        <v>1076</v>
      </c>
      <c r="E936" s="235" t="str">
        <f>VLOOKUP(D936,'Danh mục hàng hóa'!$C$3:$D$600,2,0)</f>
        <v>Vớ trắng icon be 2</v>
      </c>
      <c r="F936" s="236" t="str">
        <f>VLOOKUP(D936,'Danh mục hàng hóa'!$C$3:$E$613,3,0)</f>
        <v>đôi</v>
      </c>
      <c r="G936" s="248">
        <v>8633</v>
      </c>
      <c r="H936" s="126"/>
      <c r="I936" s="248">
        <v>1</v>
      </c>
      <c r="J936" s="246"/>
      <c r="K936" s="237">
        <f t="shared" si="54"/>
        <v>8633</v>
      </c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</row>
    <row r="937" spans="1:30" ht="13.2">
      <c r="A937" s="126"/>
      <c r="B937" s="126" t="s">
        <v>337</v>
      </c>
      <c r="C937" s="250">
        <v>45363</v>
      </c>
      <c r="D937" s="246" t="s">
        <v>760</v>
      </c>
      <c r="E937" s="235" t="str">
        <f>VLOOKUP(D937,'Danh mục hàng hóa'!$C$3:$D$600,2,0)</f>
        <v>Kẹp tóc màu vàng trơn</v>
      </c>
      <c r="F937" s="236" t="str">
        <f>VLOOKUP(D937,'Danh mục hàng hóa'!$C$3:$E$613,3,0)</f>
        <v>cái</v>
      </c>
      <c r="G937" s="248">
        <f t="shared" ref="G937:G938" si="75">24640/2</f>
        <v>12320</v>
      </c>
      <c r="H937" s="126"/>
      <c r="I937" s="248">
        <v>1</v>
      </c>
      <c r="J937" s="246"/>
      <c r="K937" s="237">
        <f t="shared" si="54"/>
        <v>12320</v>
      </c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</row>
    <row r="938" spans="1:30" ht="13.2">
      <c r="A938" s="126"/>
      <c r="B938" s="126" t="s">
        <v>337</v>
      </c>
      <c r="C938" s="250">
        <v>45363</v>
      </c>
      <c r="D938" s="246" t="s">
        <v>768</v>
      </c>
      <c r="E938" s="235" t="str">
        <f>VLOOKUP(D938,'Danh mục hàng hóa'!$C$3:$D$600,2,0)</f>
        <v>Kẹp tóc xanh trơn</v>
      </c>
      <c r="F938" s="236" t="str">
        <f>VLOOKUP(D938,'Danh mục hàng hóa'!$C$3:$E$613,3,0)</f>
        <v>cái</v>
      </c>
      <c r="G938" s="248">
        <f t="shared" si="75"/>
        <v>12320</v>
      </c>
      <c r="H938" s="126"/>
      <c r="I938" s="248">
        <v>1</v>
      </c>
      <c r="J938" s="246"/>
      <c r="K938" s="237">
        <f t="shared" si="54"/>
        <v>12320</v>
      </c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</row>
    <row r="939" spans="1:30" ht="13.2">
      <c r="A939" s="126"/>
      <c r="B939" s="126" t="s">
        <v>337</v>
      </c>
      <c r="C939" s="250">
        <v>45363</v>
      </c>
      <c r="D939" s="246" t="s">
        <v>784</v>
      </c>
      <c r="E939" s="235" t="str">
        <f>VLOOKUP(D939,'Danh mục hàng hóa'!$C$3:$D$600,2,0)</f>
        <v>Kẹp tóc hoa lan 07</v>
      </c>
      <c r="F939" s="236" t="str">
        <f>VLOOKUP(D939,'Danh mục hàng hóa'!$C$3:$E$613,3,0)</f>
        <v>cái</v>
      </c>
      <c r="G939" s="248">
        <f t="shared" ref="G939:G940" si="76">46700/3</f>
        <v>15566.666666666666</v>
      </c>
      <c r="H939" s="126"/>
      <c r="I939" s="248">
        <v>2</v>
      </c>
      <c r="J939" s="246"/>
      <c r="K939" s="237">
        <f t="shared" si="54"/>
        <v>31133.333333333332</v>
      </c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</row>
    <row r="940" spans="1:30" ht="13.2">
      <c r="A940" s="126"/>
      <c r="B940" s="126" t="s">
        <v>337</v>
      </c>
      <c r="C940" s="250">
        <v>45363</v>
      </c>
      <c r="D940" s="246" t="s">
        <v>786</v>
      </c>
      <c r="E940" s="235" t="str">
        <f>VLOOKUP(D940,'Danh mục hàng hóa'!$C$3:$D$600,2,0)</f>
        <v>Kẹp tóc hoa lan 08</v>
      </c>
      <c r="F940" s="236" t="str">
        <f>VLOOKUP(D940,'Danh mục hàng hóa'!$C$3:$E$613,3,0)</f>
        <v>cái</v>
      </c>
      <c r="G940" s="248">
        <f t="shared" si="76"/>
        <v>15566.666666666666</v>
      </c>
      <c r="H940" s="126"/>
      <c r="I940" s="248">
        <v>1</v>
      </c>
      <c r="J940" s="246"/>
      <c r="K940" s="237">
        <f t="shared" si="54"/>
        <v>15566.666666666666</v>
      </c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</row>
    <row r="941" spans="1:30" ht="13.2">
      <c r="A941" s="126"/>
      <c r="B941" s="126" t="s">
        <v>337</v>
      </c>
      <c r="C941" s="250">
        <v>45363</v>
      </c>
      <c r="D941" s="246" t="s">
        <v>752</v>
      </c>
      <c r="E941" s="235" t="str">
        <f>VLOOKUP(D941,'Danh mục hàng hóa'!$C$3:$D$600,2,0)</f>
        <v>Kẹp tóc hoa năm cánh đỏ hồng đẹp</v>
      </c>
      <c r="F941" s="236" t="str">
        <f>VLOOKUP(D941,'Danh mục hàng hóa'!$C$3:$E$613,3,0)</f>
        <v>cái</v>
      </c>
      <c r="G941" s="248">
        <v>15000</v>
      </c>
      <c r="H941" s="126"/>
      <c r="I941" s="248">
        <v>1</v>
      </c>
      <c r="J941" s="246"/>
      <c r="K941" s="237">
        <f t="shared" si="54"/>
        <v>15000</v>
      </c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</row>
    <row r="942" spans="1:30" ht="13.2">
      <c r="A942" s="126"/>
      <c r="B942" s="126" t="s">
        <v>337</v>
      </c>
      <c r="C942" s="250">
        <v>45363</v>
      </c>
      <c r="D942" s="246" t="s">
        <v>760</v>
      </c>
      <c r="E942" s="235" t="str">
        <f>VLOOKUP(D942,'Danh mục hàng hóa'!$C$3:$D$600,2,0)</f>
        <v>Kẹp tóc màu vàng trơn</v>
      </c>
      <c r="F942" s="236" t="str">
        <f>VLOOKUP(D942,'Danh mục hàng hóa'!$C$3:$E$613,3,0)</f>
        <v>cái</v>
      </c>
      <c r="G942" s="248">
        <v>15000</v>
      </c>
      <c r="H942" s="126"/>
      <c r="I942" s="248">
        <v>1</v>
      </c>
      <c r="J942" s="246"/>
      <c r="K942" s="237">
        <f t="shared" si="54"/>
        <v>15000</v>
      </c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</row>
    <row r="943" spans="1:30" ht="13.2">
      <c r="A943" s="126"/>
      <c r="B943" s="126" t="s">
        <v>337</v>
      </c>
      <c r="C943" s="250">
        <v>45363</v>
      </c>
      <c r="D943" s="246" t="s">
        <v>772</v>
      </c>
      <c r="E943" s="235" t="str">
        <f>VLOOKUP(D943,'Danh mục hàng hóa'!$C$3:$D$600,2,0)</f>
        <v>Kẹp tóc hoa lan 01</v>
      </c>
      <c r="F943" s="236" t="str">
        <f>VLOOKUP(D943,'Danh mục hàng hóa'!$C$3:$E$613,3,0)</f>
        <v>cái</v>
      </c>
      <c r="G943" s="248">
        <v>11503</v>
      </c>
      <c r="H943" s="126"/>
      <c r="I943" s="248">
        <v>1</v>
      </c>
      <c r="J943" s="246"/>
      <c r="K943" s="237">
        <f t="shared" si="54"/>
        <v>11503</v>
      </c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</row>
    <row r="944" spans="1:30" ht="13.2">
      <c r="A944" s="126"/>
      <c r="B944" s="126" t="s">
        <v>337</v>
      </c>
      <c r="C944" s="250">
        <v>45363</v>
      </c>
      <c r="D944" s="246" t="s">
        <v>1072</v>
      </c>
      <c r="E944" s="235" t="str">
        <f>VLOOKUP(D944,'Danh mục hàng hóa'!$C$3:$D$600,2,0)</f>
        <v>Vớ trắng mỏng tulip hồng</v>
      </c>
      <c r="F944" s="236" t="str">
        <f>VLOOKUP(D944,'Danh mục hàng hóa'!$C$3:$E$613,3,0)</f>
        <v>đôi</v>
      </c>
      <c r="G944" s="248">
        <v>8000</v>
      </c>
      <c r="H944" s="126"/>
      <c r="I944" s="248">
        <v>1</v>
      </c>
      <c r="J944" s="246"/>
      <c r="K944" s="237">
        <f t="shared" si="54"/>
        <v>8000</v>
      </c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</row>
    <row r="945" spans="1:30" ht="13.2">
      <c r="A945" s="126"/>
      <c r="B945" s="126" t="s">
        <v>337</v>
      </c>
      <c r="C945" s="250">
        <v>45363</v>
      </c>
      <c r="D945" s="246" t="s">
        <v>227</v>
      </c>
      <c r="E945" s="235" t="str">
        <f>VLOOKUP(D945,'Danh mục hàng hóa'!$C$3:$D$600,2,0)</f>
        <v>Móc khóa đôi corgy</v>
      </c>
      <c r="F945" s="236" t="str">
        <f>VLOOKUP(D945,'Danh mục hàng hóa'!$C$3:$E$613,3,0)</f>
        <v>cái</v>
      </c>
      <c r="G945" s="248">
        <v>48648</v>
      </c>
      <c r="H945" s="126"/>
      <c r="I945" s="248">
        <v>2</v>
      </c>
      <c r="J945" s="246"/>
      <c r="K945" s="237">
        <f t="shared" si="54"/>
        <v>97296</v>
      </c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</row>
    <row r="946" spans="1:30" ht="13.2">
      <c r="A946" s="126"/>
      <c r="B946" s="126" t="s">
        <v>337</v>
      </c>
      <c r="C946" s="250">
        <v>45363</v>
      </c>
      <c r="D946" s="246" t="s">
        <v>774</v>
      </c>
      <c r="E946" s="235" t="str">
        <f>VLOOKUP(D946,'Danh mục hàng hóa'!$C$3:$D$600,2,0)</f>
        <v>Kẹp tóc hoa lan 02</v>
      </c>
      <c r="F946" s="236" t="str">
        <f>VLOOKUP(D946,'Danh mục hàng hóa'!$C$3:$E$613,3,0)</f>
        <v>cái</v>
      </c>
      <c r="G946" s="248">
        <f t="shared" ref="G946:G950" si="77">94864/6</f>
        <v>15810.666666666666</v>
      </c>
      <c r="H946" s="126"/>
      <c r="I946" s="248">
        <v>1</v>
      </c>
      <c r="J946" s="246"/>
      <c r="K946" s="237">
        <f t="shared" si="54"/>
        <v>15810.666666666666</v>
      </c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</row>
    <row r="947" spans="1:30" ht="13.2">
      <c r="A947" s="126"/>
      <c r="B947" s="126" t="s">
        <v>337</v>
      </c>
      <c r="C947" s="250">
        <v>45363</v>
      </c>
      <c r="D947" s="246" t="s">
        <v>786</v>
      </c>
      <c r="E947" s="235" t="str">
        <f>VLOOKUP(D947,'Danh mục hàng hóa'!$C$3:$D$600,2,0)</f>
        <v>Kẹp tóc hoa lan 08</v>
      </c>
      <c r="F947" s="236" t="str">
        <f>VLOOKUP(D947,'Danh mục hàng hóa'!$C$3:$E$613,3,0)</f>
        <v>cái</v>
      </c>
      <c r="G947" s="248">
        <f t="shared" si="77"/>
        <v>15810.666666666666</v>
      </c>
      <c r="H947" s="126"/>
      <c r="I947" s="248">
        <v>1</v>
      </c>
      <c r="J947" s="246"/>
      <c r="K947" s="237">
        <f t="shared" si="54"/>
        <v>15810.666666666666</v>
      </c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</row>
    <row r="948" spans="1:30" ht="13.2">
      <c r="A948" s="126"/>
      <c r="B948" s="126" t="s">
        <v>337</v>
      </c>
      <c r="C948" s="250">
        <v>45363</v>
      </c>
      <c r="D948" s="246" t="s">
        <v>772</v>
      </c>
      <c r="E948" s="235" t="str">
        <f>VLOOKUP(D948,'Danh mục hàng hóa'!$C$3:$D$600,2,0)</f>
        <v>Kẹp tóc hoa lan 01</v>
      </c>
      <c r="F948" s="236" t="str">
        <f>VLOOKUP(D948,'Danh mục hàng hóa'!$C$3:$E$613,3,0)</f>
        <v>cái</v>
      </c>
      <c r="G948" s="248">
        <f t="shared" si="77"/>
        <v>15810.666666666666</v>
      </c>
      <c r="H948" s="126"/>
      <c r="I948" s="248">
        <v>1</v>
      </c>
      <c r="J948" s="246"/>
      <c r="K948" s="237">
        <f t="shared" si="54"/>
        <v>15810.666666666666</v>
      </c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</row>
    <row r="949" spans="1:30" ht="13.2">
      <c r="A949" s="126"/>
      <c r="B949" s="126" t="s">
        <v>337</v>
      </c>
      <c r="C949" s="250">
        <v>45363</v>
      </c>
      <c r="D949" s="246" t="s">
        <v>784</v>
      </c>
      <c r="E949" s="235" t="str">
        <f>VLOOKUP(D949,'Danh mục hàng hóa'!$C$3:$D$600,2,0)</f>
        <v>Kẹp tóc hoa lan 07</v>
      </c>
      <c r="F949" s="236" t="str">
        <f>VLOOKUP(D949,'Danh mục hàng hóa'!$C$3:$E$613,3,0)</f>
        <v>cái</v>
      </c>
      <c r="G949" s="248">
        <f t="shared" si="77"/>
        <v>15810.666666666666</v>
      </c>
      <c r="H949" s="126"/>
      <c r="I949" s="248">
        <v>1</v>
      </c>
      <c r="J949" s="246"/>
      <c r="K949" s="237">
        <f t="shared" si="54"/>
        <v>15810.666666666666</v>
      </c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</row>
    <row r="950" spans="1:30" ht="13.2">
      <c r="A950" s="126"/>
      <c r="B950" s="126" t="s">
        <v>337</v>
      </c>
      <c r="C950" s="250">
        <v>45363</v>
      </c>
      <c r="D950" s="246" t="s">
        <v>746</v>
      </c>
      <c r="E950" s="235" t="str">
        <f>VLOOKUP(D950,'Danh mục hàng hóa'!$C$3:$D$600,2,0)</f>
        <v>Kẹp tóc hoa năm cánh hồng</v>
      </c>
      <c r="F950" s="236" t="str">
        <f>VLOOKUP(D950,'Danh mục hàng hóa'!$C$3:$E$613,3,0)</f>
        <v>cái</v>
      </c>
      <c r="G950" s="248">
        <f t="shared" si="77"/>
        <v>15810.666666666666</v>
      </c>
      <c r="H950" s="126"/>
      <c r="I950" s="248">
        <v>2</v>
      </c>
      <c r="J950" s="246"/>
      <c r="K950" s="237">
        <f t="shared" si="54"/>
        <v>31621.333333333332</v>
      </c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</row>
    <row r="951" spans="1:30" ht="13.2">
      <c r="A951" s="126"/>
      <c r="B951" s="126" t="s">
        <v>337</v>
      </c>
      <c r="C951" s="250">
        <v>45363</v>
      </c>
      <c r="D951" s="246" t="s">
        <v>2154</v>
      </c>
      <c r="E951" s="235" t="str">
        <f>VLOOKUP(D951,'Danh mục hàng hóa'!$C$3:$D$600,2,0)</f>
        <v>Kẹp tóc hoa năm cánh xanh</v>
      </c>
      <c r="F951" s="236" t="str">
        <f>VLOOKUP(D951,'Danh mục hàng hóa'!$C$3:$E$613,3,0)</f>
        <v>cái</v>
      </c>
      <c r="G951" s="248">
        <v>12420</v>
      </c>
      <c r="H951" s="126"/>
      <c r="I951" s="248">
        <v>1</v>
      </c>
      <c r="J951" s="246"/>
      <c r="K951" s="237">
        <f t="shared" si="54"/>
        <v>12420</v>
      </c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</row>
    <row r="952" spans="1:30" ht="13.2">
      <c r="A952" s="126"/>
      <c r="B952" s="126" t="s">
        <v>337</v>
      </c>
      <c r="C952" s="250">
        <v>45363</v>
      </c>
      <c r="D952" s="246" t="s">
        <v>977</v>
      </c>
      <c r="E952" s="235" t="str">
        <f>VLOOKUP(D952,'Danh mục hàng hóa'!$C$3:$D$600,2,0)</f>
        <v>Móc khóa đôi heo</v>
      </c>
      <c r="F952" s="236" t="str">
        <f>VLOOKUP(D952,'Danh mục hàng hóa'!$C$3:$E$613,3,0)</f>
        <v>cái</v>
      </c>
      <c r="G952" s="248">
        <v>48648</v>
      </c>
      <c r="H952" s="126"/>
      <c r="I952" s="248">
        <v>1</v>
      </c>
      <c r="J952" s="246"/>
      <c r="K952" s="237">
        <f t="shared" si="54"/>
        <v>48648</v>
      </c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</row>
    <row r="953" spans="1:30" ht="13.2">
      <c r="A953" s="126"/>
      <c r="B953" s="126" t="s">
        <v>337</v>
      </c>
      <c r="C953" s="250">
        <v>45363</v>
      </c>
      <c r="D953" s="246" t="s">
        <v>758</v>
      </c>
      <c r="E953" s="235" t="str">
        <f>VLOOKUP(D953,'Danh mục hàng hóa'!$C$3:$D$600,2,0)</f>
        <v>Kẹp tóc hoa năm cánh tím</v>
      </c>
      <c r="F953" s="236" t="str">
        <f>VLOOKUP(D953,'Danh mục hàng hóa'!$C$3:$E$613,3,0)</f>
        <v>cái</v>
      </c>
      <c r="G953" s="248">
        <f t="shared" ref="G953:G955" si="78">37620/3</f>
        <v>12540</v>
      </c>
      <c r="H953" s="126"/>
      <c r="I953" s="248">
        <v>1</v>
      </c>
      <c r="J953" s="246"/>
      <c r="K953" s="237">
        <f t="shared" si="54"/>
        <v>12540</v>
      </c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</row>
    <row r="954" spans="1:30" ht="13.2">
      <c r="A954" s="126"/>
      <c r="B954" s="126" t="s">
        <v>337</v>
      </c>
      <c r="C954" s="250">
        <v>45363</v>
      </c>
      <c r="D954" s="246" t="s">
        <v>756</v>
      </c>
      <c r="E954" s="235" t="str">
        <f>VLOOKUP(D954,'Danh mục hàng hóa'!$C$3:$D$600,2,0)</f>
        <v>Kẹp tóc hoa năm cánh xanh</v>
      </c>
      <c r="F954" s="236" t="str">
        <f>VLOOKUP(D954,'Danh mục hàng hóa'!$C$3:$E$613,3,0)</f>
        <v>cái</v>
      </c>
      <c r="G954" s="248">
        <f t="shared" si="78"/>
        <v>12540</v>
      </c>
      <c r="H954" s="126"/>
      <c r="I954" s="248">
        <v>1</v>
      </c>
      <c r="J954" s="246"/>
      <c r="K954" s="237">
        <f t="shared" si="54"/>
        <v>12540</v>
      </c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</row>
    <row r="955" spans="1:30" ht="13.2">
      <c r="A955" s="126"/>
      <c r="B955" s="126" t="s">
        <v>337</v>
      </c>
      <c r="C955" s="250">
        <v>45363</v>
      </c>
      <c r="D955" s="246" t="s">
        <v>768</v>
      </c>
      <c r="E955" s="235" t="str">
        <f>VLOOKUP(D955,'Danh mục hàng hóa'!$C$3:$D$600,2,0)</f>
        <v>Kẹp tóc xanh trơn</v>
      </c>
      <c r="F955" s="236" t="str">
        <f>VLOOKUP(D955,'Danh mục hàng hóa'!$C$3:$E$613,3,0)</f>
        <v>cái</v>
      </c>
      <c r="G955" s="248">
        <f t="shared" si="78"/>
        <v>12540</v>
      </c>
      <c r="H955" s="126"/>
      <c r="I955" s="248">
        <v>1</v>
      </c>
      <c r="J955" s="246"/>
      <c r="K955" s="237">
        <f t="shared" si="54"/>
        <v>12540</v>
      </c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</row>
    <row r="956" spans="1:30" ht="13.2">
      <c r="A956" s="126"/>
      <c r="B956" s="126" t="s">
        <v>337</v>
      </c>
      <c r="C956" s="250">
        <v>45363</v>
      </c>
      <c r="D956" s="246" t="s">
        <v>774</v>
      </c>
      <c r="E956" s="235" t="str">
        <f>VLOOKUP(D956,'Danh mục hàng hóa'!$C$3:$D$600,2,0)</f>
        <v>Kẹp tóc hoa lan 02</v>
      </c>
      <c r="F956" s="236" t="str">
        <f>VLOOKUP(D956,'Danh mục hàng hóa'!$C$3:$E$613,3,0)</f>
        <v>cái</v>
      </c>
      <c r="G956" s="248">
        <f t="shared" ref="G956:G960" si="79">78401/5</f>
        <v>15680.2</v>
      </c>
      <c r="H956" s="126"/>
      <c r="I956" s="248">
        <v>1</v>
      </c>
      <c r="J956" s="246"/>
      <c r="K956" s="237">
        <f t="shared" si="54"/>
        <v>15680.2</v>
      </c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</row>
    <row r="957" spans="1:30" ht="13.2">
      <c r="A957" s="126"/>
      <c r="B957" s="126" t="s">
        <v>337</v>
      </c>
      <c r="C957" s="250">
        <v>45363</v>
      </c>
      <c r="D957" s="246" t="s">
        <v>786</v>
      </c>
      <c r="E957" s="235" t="str">
        <f>VLOOKUP(D957,'Danh mục hàng hóa'!$C$3:$D$600,2,0)</f>
        <v>Kẹp tóc hoa lan 08</v>
      </c>
      <c r="F957" s="236" t="str">
        <f>VLOOKUP(D957,'Danh mục hàng hóa'!$C$3:$E$613,3,0)</f>
        <v>cái</v>
      </c>
      <c r="G957" s="248">
        <f t="shared" si="79"/>
        <v>15680.2</v>
      </c>
      <c r="H957" s="126"/>
      <c r="I957" s="248">
        <v>1</v>
      </c>
      <c r="J957" s="246"/>
      <c r="K957" s="237">
        <f t="shared" si="54"/>
        <v>15680.2</v>
      </c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</row>
    <row r="958" spans="1:30" ht="13.2">
      <c r="A958" s="126"/>
      <c r="B958" s="126" t="s">
        <v>337</v>
      </c>
      <c r="C958" s="250">
        <v>45363</v>
      </c>
      <c r="D958" s="246" t="s">
        <v>740</v>
      </c>
      <c r="E958" s="235" t="str">
        <f>VLOOKUP(D958,'Danh mục hàng hóa'!$C$3:$D$600,2,0)</f>
        <v>Kẹp tóc hoa sứ đỏ</v>
      </c>
      <c r="F958" s="236" t="str">
        <f>VLOOKUP(D958,'Danh mục hàng hóa'!$C$3:$E$613,3,0)</f>
        <v>cái</v>
      </c>
      <c r="G958" s="248">
        <f t="shared" si="79"/>
        <v>15680.2</v>
      </c>
      <c r="H958" s="126"/>
      <c r="I958" s="248">
        <v>1</v>
      </c>
      <c r="J958" s="246"/>
      <c r="K958" s="237">
        <f t="shared" si="54"/>
        <v>15680.2</v>
      </c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</row>
    <row r="959" spans="1:30" ht="13.2">
      <c r="A959" s="126"/>
      <c r="B959" s="126" t="s">
        <v>337</v>
      </c>
      <c r="C959" s="250">
        <v>45363</v>
      </c>
      <c r="D959" s="246" t="s">
        <v>750</v>
      </c>
      <c r="E959" s="235" t="str">
        <f>VLOOKUP(D959,'Danh mục hàng hóa'!$C$3:$D$600,2,0)</f>
        <v>Kẹp tóc hoa năm cánh cam</v>
      </c>
      <c r="F959" s="236" t="str">
        <f>VLOOKUP(D959,'Danh mục hàng hóa'!$C$3:$E$613,3,0)</f>
        <v>cái</v>
      </c>
      <c r="G959" s="248">
        <f t="shared" si="79"/>
        <v>15680.2</v>
      </c>
      <c r="H959" s="126"/>
      <c r="I959" s="248">
        <v>1</v>
      </c>
      <c r="J959" s="246"/>
      <c r="K959" s="237">
        <f t="shared" si="54"/>
        <v>15680.2</v>
      </c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</row>
    <row r="960" spans="1:30" ht="13.2">
      <c r="A960" s="126"/>
      <c r="B960" s="126" t="s">
        <v>337</v>
      </c>
      <c r="C960" s="250">
        <v>45363</v>
      </c>
      <c r="D960" s="246" t="s">
        <v>2148</v>
      </c>
      <c r="E960" s="235" t="e">
        <f>VLOOKUP(D960,'Danh mục hàng hóa'!$C$3:$D$600,2,0)</f>
        <v>#N/A</v>
      </c>
      <c r="F960" s="236" t="e">
        <f>VLOOKUP(D960,'Danh mục hàng hóa'!$C$3:$E$613,3,0)</f>
        <v>#N/A</v>
      </c>
      <c r="G960" s="248">
        <f t="shared" si="79"/>
        <v>15680.2</v>
      </c>
      <c r="H960" s="126"/>
      <c r="I960" s="248">
        <v>1</v>
      </c>
      <c r="J960" s="246"/>
      <c r="K960" s="237">
        <f t="shared" si="54"/>
        <v>15680.2</v>
      </c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</row>
    <row r="961" spans="1:30" ht="13.2">
      <c r="A961" s="126"/>
      <c r="B961" s="126" t="s">
        <v>337</v>
      </c>
      <c r="C961" s="250">
        <v>45363</v>
      </c>
      <c r="D961" s="246" t="s">
        <v>750</v>
      </c>
      <c r="E961" s="235" t="str">
        <f>VLOOKUP(D961,'Danh mục hàng hóa'!$C$3:$D$600,2,0)</f>
        <v>Kẹp tóc hoa năm cánh cam</v>
      </c>
      <c r="F961" s="236" t="str">
        <f>VLOOKUP(D961,'Danh mục hàng hóa'!$C$3:$E$613,3,0)</f>
        <v>cái</v>
      </c>
      <c r="G961" s="248">
        <f t="shared" ref="G961:G964" si="80">49836/4</f>
        <v>12459</v>
      </c>
      <c r="H961" s="126"/>
      <c r="I961" s="248">
        <v>1</v>
      </c>
      <c r="J961" s="246"/>
      <c r="K961" s="237">
        <f t="shared" si="54"/>
        <v>12459</v>
      </c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</row>
    <row r="962" spans="1:30" ht="13.2">
      <c r="A962" s="126"/>
      <c r="B962" s="126" t="s">
        <v>337</v>
      </c>
      <c r="C962" s="250">
        <v>45363</v>
      </c>
      <c r="D962" s="246" t="s">
        <v>760</v>
      </c>
      <c r="E962" s="235" t="str">
        <f>VLOOKUP(D962,'Danh mục hàng hóa'!$C$3:$D$600,2,0)</f>
        <v>Kẹp tóc màu vàng trơn</v>
      </c>
      <c r="F962" s="236" t="str">
        <f>VLOOKUP(D962,'Danh mục hàng hóa'!$C$3:$E$613,3,0)</f>
        <v>cái</v>
      </c>
      <c r="G962" s="248">
        <f t="shared" si="80"/>
        <v>12459</v>
      </c>
      <c r="H962" s="126"/>
      <c r="I962" s="248">
        <v>1</v>
      </c>
      <c r="J962" s="246"/>
      <c r="K962" s="237">
        <f t="shared" si="54"/>
        <v>12459</v>
      </c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</row>
    <row r="963" spans="1:30" ht="13.2">
      <c r="A963" s="126"/>
      <c r="B963" s="126" t="s">
        <v>337</v>
      </c>
      <c r="C963" s="250">
        <v>45363</v>
      </c>
      <c r="D963" s="246" t="s">
        <v>762</v>
      </c>
      <c r="E963" s="235" t="str">
        <f>VLOOKUP(D963,'Danh mục hàng hóa'!$C$3:$D$600,2,0)</f>
        <v>Kẹp tóc hoa cam trơn</v>
      </c>
      <c r="F963" s="236" t="str">
        <f>VLOOKUP(D963,'Danh mục hàng hóa'!$C$3:$E$613,3,0)</f>
        <v>cái</v>
      </c>
      <c r="G963" s="248">
        <f t="shared" si="80"/>
        <v>12459</v>
      </c>
      <c r="H963" s="126"/>
      <c r="I963" s="248">
        <v>1</v>
      </c>
      <c r="J963" s="246"/>
      <c r="K963" s="237">
        <f t="shared" si="54"/>
        <v>12459</v>
      </c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</row>
    <row r="964" spans="1:30" ht="13.2">
      <c r="A964" s="126"/>
      <c r="B964" s="126" t="s">
        <v>337</v>
      </c>
      <c r="C964" s="250">
        <v>45363</v>
      </c>
      <c r="D964" s="246" t="s">
        <v>768</v>
      </c>
      <c r="E964" s="235" t="str">
        <f>VLOOKUP(D964,'Danh mục hàng hóa'!$C$3:$D$600,2,0)</f>
        <v>Kẹp tóc xanh trơn</v>
      </c>
      <c r="F964" s="236" t="str">
        <f>VLOOKUP(D964,'Danh mục hàng hóa'!$C$3:$E$613,3,0)</f>
        <v>cái</v>
      </c>
      <c r="G964" s="248">
        <f t="shared" si="80"/>
        <v>12459</v>
      </c>
      <c r="H964" s="126"/>
      <c r="I964" s="248">
        <v>1</v>
      </c>
      <c r="J964" s="246"/>
      <c r="K964" s="237">
        <f t="shared" si="54"/>
        <v>12459</v>
      </c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</row>
    <row r="965" spans="1:30" ht="13.2">
      <c r="A965" s="126"/>
      <c r="B965" s="126" t="s">
        <v>337</v>
      </c>
      <c r="C965" s="250">
        <v>45363</v>
      </c>
      <c r="D965" s="246" t="s">
        <v>909</v>
      </c>
      <c r="E965" s="235" t="str">
        <f>VLOOKUP(D965,'Danh mục hàng hóa'!$C$3:$D$600,2,0)</f>
        <v>Gấu trúc gắn xe</v>
      </c>
      <c r="F965" s="236" t="str">
        <f>VLOOKUP(D965,'Danh mục hàng hóa'!$C$3:$E$613,3,0)</f>
        <v>cái</v>
      </c>
      <c r="G965" s="248">
        <v>40000</v>
      </c>
      <c r="H965" s="126"/>
      <c r="I965" s="248">
        <v>1</v>
      </c>
      <c r="J965" s="246"/>
      <c r="K965" s="237">
        <f t="shared" si="54"/>
        <v>40000</v>
      </c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</row>
    <row r="966" spans="1:30" ht="13.2">
      <c r="A966" s="126"/>
      <c r="B966" s="126" t="s">
        <v>337</v>
      </c>
      <c r="C966" s="250">
        <v>45363</v>
      </c>
      <c r="D966" s="246" t="s">
        <v>981</v>
      </c>
      <c r="E966" s="235" t="str">
        <f>VLOOKUP(D966,'Danh mục hàng hóa'!$C$3:$D$600,2,0)</f>
        <v>Móc khóa đôi corgy</v>
      </c>
      <c r="F966" s="236" t="str">
        <f>VLOOKUP(D966,'Danh mục hàng hóa'!$C$3:$E$613,3,0)</f>
        <v>cái</v>
      </c>
      <c r="G966" s="248">
        <v>46680</v>
      </c>
      <c r="H966" s="126"/>
      <c r="I966" s="248">
        <v>1</v>
      </c>
      <c r="J966" s="246"/>
      <c r="K966" s="237">
        <f t="shared" si="54"/>
        <v>46680</v>
      </c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</row>
    <row r="967" spans="1:30" ht="13.2">
      <c r="A967" s="126"/>
      <c r="B967" s="126" t="s">
        <v>337</v>
      </c>
      <c r="C967" s="250">
        <v>45363</v>
      </c>
      <c r="D967" s="246" t="s">
        <v>758</v>
      </c>
      <c r="E967" s="235" t="str">
        <f>VLOOKUP(D967,'Danh mục hàng hóa'!$C$3:$D$600,2,0)</f>
        <v>Kẹp tóc hoa năm cánh tím</v>
      </c>
      <c r="F967" s="236" t="str">
        <f>VLOOKUP(D967,'Danh mục hàng hóa'!$C$3:$E$613,3,0)</f>
        <v>cái</v>
      </c>
      <c r="G967" s="248">
        <f t="shared" ref="G967:G969" si="81">42520/3</f>
        <v>14173.333333333334</v>
      </c>
      <c r="H967" s="126"/>
      <c r="I967" s="248">
        <v>1</v>
      </c>
      <c r="J967" s="246"/>
      <c r="K967" s="237">
        <f t="shared" si="54"/>
        <v>14173.333333333334</v>
      </c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</row>
    <row r="968" spans="1:30" ht="13.2">
      <c r="A968" s="126"/>
      <c r="B968" s="126" t="s">
        <v>337</v>
      </c>
      <c r="C968" s="250">
        <v>45363</v>
      </c>
      <c r="D968" s="246" t="s">
        <v>762</v>
      </c>
      <c r="E968" s="235" t="str">
        <f>VLOOKUP(D968,'Danh mục hàng hóa'!$C$3:$D$600,2,0)</f>
        <v>Kẹp tóc hoa cam trơn</v>
      </c>
      <c r="F968" s="236" t="str">
        <f>VLOOKUP(D968,'Danh mục hàng hóa'!$C$3:$E$613,3,0)</f>
        <v>cái</v>
      </c>
      <c r="G968" s="248">
        <f t="shared" si="81"/>
        <v>14173.333333333334</v>
      </c>
      <c r="H968" s="126"/>
      <c r="I968" s="248">
        <v>1</v>
      </c>
      <c r="J968" s="246"/>
      <c r="K968" s="237">
        <f t="shared" si="54"/>
        <v>14173.333333333334</v>
      </c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</row>
    <row r="969" spans="1:30" ht="13.2">
      <c r="A969" s="126"/>
      <c r="B969" s="126" t="s">
        <v>337</v>
      </c>
      <c r="C969" s="250">
        <v>45363</v>
      </c>
      <c r="D969" s="246" t="s">
        <v>746</v>
      </c>
      <c r="E969" s="235" t="str">
        <f>VLOOKUP(D969,'Danh mục hàng hóa'!$C$3:$D$600,2,0)</f>
        <v>Kẹp tóc hoa năm cánh hồng</v>
      </c>
      <c r="F969" s="236" t="str">
        <f>VLOOKUP(D969,'Danh mục hàng hóa'!$C$3:$E$613,3,0)</f>
        <v>cái</v>
      </c>
      <c r="G969" s="248">
        <f t="shared" si="81"/>
        <v>14173.333333333334</v>
      </c>
      <c r="H969" s="126"/>
      <c r="I969" s="248">
        <v>1</v>
      </c>
      <c r="J969" s="246"/>
      <c r="K969" s="237">
        <f t="shared" si="54"/>
        <v>14173.333333333334</v>
      </c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</row>
    <row r="970" spans="1:30" ht="13.2">
      <c r="A970" s="126"/>
      <c r="B970" s="126" t="s">
        <v>337</v>
      </c>
      <c r="C970" s="250">
        <v>45363</v>
      </c>
      <c r="D970" s="246" t="s">
        <v>762</v>
      </c>
      <c r="E970" s="235" t="str">
        <f>VLOOKUP(D970,'Danh mục hàng hóa'!$C$3:$D$600,2,0)</f>
        <v>Kẹp tóc hoa cam trơn</v>
      </c>
      <c r="F970" s="236" t="str">
        <f>VLOOKUP(D970,'Danh mục hàng hóa'!$C$3:$E$613,3,0)</f>
        <v>cái</v>
      </c>
      <c r="G970" s="248">
        <f t="shared" ref="G970:G971" si="82">21312/2</f>
        <v>10656</v>
      </c>
      <c r="H970" s="126"/>
      <c r="I970" s="248">
        <v>1</v>
      </c>
      <c r="J970" s="246"/>
      <c r="K970" s="237">
        <f t="shared" si="54"/>
        <v>10656</v>
      </c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</row>
    <row r="971" spans="1:30" ht="13.2">
      <c r="A971" s="126"/>
      <c r="B971" s="126" t="s">
        <v>337</v>
      </c>
      <c r="C971" s="250">
        <v>45363</v>
      </c>
      <c r="D971" s="246" t="s">
        <v>1068</v>
      </c>
      <c r="E971" s="235" t="str">
        <f>VLOOKUP(D971,'Danh mục hàng hóa'!$C$3:$D$600,2,0)</f>
        <v>Vớ trắng mỏng hoa vàng</v>
      </c>
      <c r="F971" s="236" t="str">
        <f>VLOOKUP(D971,'Danh mục hàng hóa'!$C$3:$E$613,3,0)</f>
        <v>đôi</v>
      </c>
      <c r="G971" s="248">
        <f t="shared" si="82"/>
        <v>10656</v>
      </c>
      <c r="H971" s="126"/>
      <c r="I971" s="248">
        <v>1</v>
      </c>
      <c r="J971" s="246"/>
      <c r="K971" s="237">
        <f t="shared" si="54"/>
        <v>10656</v>
      </c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</row>
    <row r="972" spans="1:30" ht="13.2">
      <c r="A972" s="126"/>
      <c r="B972" s="126" t="s">
        <v>337</v>
      </c>
      <c r="C972" s="250">
        <v>45363</v>
      </c>
      <c r="D972" s="246" t="s">
        <v>977</v>
      </c>
      <c r="E972" s="235" t="str">
        <f>VLOOKUP(D972,'Danh mục hàng hóa'!$C$3:$D$600,2,0)</f>
        <v>Móc khóa đôi heo</v>
      </c>
      <c r="F972" s="236" t="str">
        <f>VLOOKUP(D972,'Danh mục hàng hóa'!$C$3:$E$613,3,0)</f>
        <v>cái</v>
      </c>
      <c r="G972" s="248">
        <v>48708</v>
      </c>
      <c r="H972" s="126"/>
      <c r="I972" s="248">
        <v>1</v>
      </c>
      <c r="J972" s="246"/>
      <c r="K972" s="237">
        <f t="shared" si="54"/>
        <v>48708</v>
      </c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</row>
    <row r="973" spans="1:30" ht="13.2">
      <c r="A973" s="126"/>
      <c r="B973" s="126" t="s">
        <v>337</v>
      </c>
      <c r="C973" s="250">
        <v>45363</v>
      </c>
      <c r="D973" s="246" t="s">
        <v>1912</v>
      </c>
      <c r="E973" s="235" t="str">
        <f>VLOOKUP(D973,'Danh mục hàng hóa'!$C$3:$D$600,2,0)</f>
        <v>Kẹp tóc hoa lan 01</v>
      </c>
      <c r="F973" s="236" t="str">
        <f>VLOOKUP(D973,'Danh mục hàng hóa'!$C$3:$E$613,3,0)</f>
        <v>cái</v>
      </c>
      <c r="G973" s="248">
        <v>16979</v>
      </c>
      <c r="H973" s="126"/>
      <c r="I973" s="248">
        <v>1</v>
      </c>
      <c r="J973" s="246"/>
      <c r="K973" s="237">
        <f t="shared" si="54"/>
        <v>16979</v>
      </c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</row>
    <row r="974" spans="1:30" ht="13.2">
      <c r="A974" s="126"/>
      <c r="B974" s="126" t="s">
        <v>337</v>
      </c>
      <c r="C974" s="250">
        <v>45363</v>
      </c>
      <c r="D974" s="246" t="s">
        <v>748</v>
      </c>
      <c r="E974" s="235" t="str">
        <f>VLOOKUP(D974,'Danh mục hàng hóa'!$C$3:$D$600,2,0)</f>
        <v>Kẹp tóc hoa năm cánh đỏ hồng</v>
      </c>
      <c r="F974" s="236" t="str">
        <f>VLOOKUP(D974,'Danh mục hàng hóa'!$C$3:$E$613,3,0)</f>
        <v>cái</v>
      </c>
      <c r="G974" s="248">
        <v>16820</v>
      </c>
      <c r="H974" s="126"/>
      <c r="I974" s="248">
        <v>1</v>
      </c>
      <c r="J974" s="246"/>
      <c r="K974" s="237">
        <f t="shared" si="54"/>
        <v>16820</v>
      </c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</row>
    <row r="975" spans="1:30" ht="13.2">
      <c r="A975" s="126"/>
      <c r="B975" s="126" t="s">
        <v>337</v>
      </c>
      <c r="C975" s="250">
        <v>45363</v>
      </c>
      <c r="D975" s="246" t="s">
        <v>760</v>
      </c>
      <c r="E975" s="235" t="str">
        <f>VLOOKUP(D975,'Danh mục hàng hóa'!$C$3:$D$600,2,0)</f>
        <v>Kẹp tóc màu vàng trơn</v>
      </c>
      <c r="F975" s="236" t="str">
        <f>VLOOKUP(D975,'Danh mục hàng hóa'!$C$3:$E$613,3,0)</f>
        <v>cái</v>
      </c>
      <c r="G975" s="248">
        <v>11860</v>
      </c>
      <c r="H975" s="126"/>
      <c r="I975" s="248">
        <v>1</v>
      </c>
      <c r="J975" s="246"/>
      <c r="K975" s="237">
        <f t="shared" si="54"/>
        <v>11860</v>
      </c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</row>
    <row r="976" spans="1:30" ht="13.2">
      <c r="A976" s="126"/>
      <c r="B976" s="126" t="s">
        <v>337</v>
      </c>
      <c r="C976" s="250">
        <v>45364</v>
      </c>
      <c r="D976" s="246" t="s">
        <v>772</v>
      </c>
      <c r="E976" s="235" t="str">
        <f>VLOOKUP(D976,'Danh mục hàng hóa'!$C$3:$D$600,2,0)</f>
        <v>Kẹp tóc hoa lan 01</v>
      </c>
      <c r="F976" s="236" t="str">
        <f>VLOOKUP(D976,'Danh mục hàng hóa'!$C$3:$E$613,3,0)</f>
        <v>cái</v>
      </c>
      <c r="G976" s="248">
        <f>46700/3</f>
        <v>15566.666666666666</v>
      </c>
      <c r="H976" s="126"/>
      <c r="I976" s="248">
        <v>3</v>
      </c>
      <c r="J976" s="246"/>
      <c r="K976" s="237">
        <f t="shared" si="54"/>
        <v>46700</v>
      </c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</row>
    <row r="977" spans="1:30" ht="13.2">
      <c r="A977" s="126"/>
      <c r="B977" s="126" t="s">
        <v>337</v>
      </c>
      <c r="C977" s="250">
        <v>45364</v>
      </c>
      <c r="D977" s="246" t="s">
        <v>981</v>
      </c>
      <c r="E977" s="235" t="str">
        <f>VLOOKUP(D977,'Danh mục hàng hóa'!$C$3:$D$600,2,0)</f>
        <v>Móc khóa đôi corgy</v>
      </c>
      <c r="F977" s="236" t="str">
        <f>VLOOKUP(D977,'Danh mục hàng hóa'!$C$3:$E$613,3,0)</f>
        <v>cái</v>
      </c>
      <c r="G977" s="248">
        <v>48648</v>
      </c>
      <c r="H977" s="126"/>
      <c r="I977" s="248">
        <v>1</v>
      </c>
      <c r="J977" s="246"/>
      <c r="K977" s="237">
        <f t="shared" si="54"/>
        <v>48648</v>
      </c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</row>
    <row r="978" spans="1:30" ht="13.2">
      <c r="A978" s="126"/>
      <c r="B978" s="126" t="s">
        <v>337</v>
      </c>
      <c r="C978" s="250">
        <v>45364</v>
      </c>
      <c r="D978" s="246" t="s">
        <v>977</v>
      </c>
      <c r="E978" s="235" t="str">
        <f>VLOOKUP(D978,'Danh mục hàng hóa'!$C$3:$D$600,2,0)</f>
        <v>Móc khóa đôi heo</v>
      </c>
      <c r="F978" s="236" t="str">
        <f>VLOOKUP(D978,'Danh mục hàng hóa'!$C$3:$E$613,3,0)</f>
        <v>cái</v>
      </c>
      <c r="G978" s="248">
        <v>48648</v>
      </c>
      <c r="H978" s="126"/>
      <c r="I978" s="248">
        <v>1</v>
      </c>
      <c r="J978" s="246"/>
      <c r="K978" s="237">
        <f t="shared" si="54"/>
        <v>48648</v>
      </c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</row>
    <row r="979" spans="1:30" ht="13.2">
      <c r="A979" s="126"/>
      <c r="B979" s="126" t="s">
        <v>337</v>
      </c>
      <c r="C979" s="250">
        <v>45364</v>
      </c>
      <c r="D979" s="246" t="s">
        <v>919</v>
      </c>
      <c r="E979" s="235" t="str">
        <f>VLOOKUP(D979,'Danh mục hàng hóa'!$C$3:$D$600,2,0)</f>
        <v>Thỏ mặt trăng gắn xe</v>
      </c>
      <c r="F979" s="236" t="str">
        <f>VLOOKUP(D979,'Danh mục hàng hóa'!$C$3:$E$613,3,0)</f>
        <v>cái</v>
      </c>
      <c r="G979" s="248">
        <v>39260</v>
      </c>
      <c r="H979" s="126"/>
      <c r="I979" s="248">
        <v>1</v>
      </c>
      <c r="J979" s="246"/>
      <c r="K979" s="237">
        <f t="shared" si="54"/>
        <v>39260</v>
      </c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</row>
    <row r="980" spans="1:30" ht="13.2">
      <c r="A980" s="126"/>
      <c r="B980" s="126" t="s">
        <v>337</v>
      </c>
      <c r="C980" s="250">
        <v>45364</v>
      </c>
      <c r="D980" s="246" t="s">
        <v>750</v>
      </c>
      <c r="E980" s="235" t="str">
        <f>VLOOKUP(D980,'Danh mục hàng hóa'!$C$3:$D$600,2,0)</f>
        <v>Kẹp tóc hoa năm cánh cam</v>
      </c>
      <c r="F980" s="236" t="str">
        <f>VLOOKUP(D980,'Danh mục hàng hóa'!$C$3:$E$613,3,0)</f>
        <v>cái</v>
      </c>
      <c r="G980" s="248">
        <f t="shared" ref="G980:G981" si="83">33980/2</f>
        <v>16990</v>
      </c>
      <c r="H980" s="126"/>
      <c r="I980" s="248">
        <v>1</v>
      </c>
      <c r="J980" s="246"/>
      <c r="K980" s="237">
        <f t="shared" si="54"/>
        <v>16990</v>
      </c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</row>
    <row r="981" spans="1:30" ht="13.2">
      <c r="A981" s="126"/>
      <c r="B981" s="126" t="s">
        <v>337</v>
      </c>
      <c r="C981" s="250">
        <v>45364</v>
      </c>
      <c r="D981" s="246" t="s">
        <v>746</v>
      </c>
      <c r="E981" s="235" t="str">
        <f>VLOOKUP(D981,'Danh mục hàng hóa'!$C$3:$D$600,2,0)</f>
        <v>Kẹp tóc hoa năm cánh hồng</v>
      </c>
      <c r="F981" s="236" t="str">
        <f>VLOOKUP(D981,'Danh mục hàng hóa'!$C$3:$E$613,3,0)</f>
        <v>cái</v>
      </c>
      <c r="G981" s="248">
        <f t="shared" si="83"/>
        <v>16990</v>
      </c>
      <c r="H981" s="126"/>
      <c r="I981" s="248">
        <v>1</v>
      </c>
      <c r="J981" s="246"/>
      <c r="K981" s="237">
        <f t="shared" si="54"/>
        <v>16990</v>
      </c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</row>
    <row r="982" spans="1:30" ht="13.2">
      <c r="A982" s="126"/>
      <c r="B982" s="126" t="s">
        <v>337</v>
      </c>
      <c r="C982" s="250">
        <v>45364</v>
      </c>
      <c r="D982" s="246" t="s">
        <v>977</v>
      </c>
      <c r="E982" s="235" t="str">
        <f>VLOOKUP(D982,'Danh mục hàng hóa'!$C$3:$D$600,2,0)</f>
        <v>Móc khóa đôi heo</v>
      </c>
      <c r="F982" s="236" t="str">
        <f>VLOOKUP(D982,'Danh mục hàng hóa'!$C$3:$E$613,3,0)</f>
        <v>cái</v>
      </c>
      <c r="G982" s="248">
        <v>48428</v>
      </c>
      <c r="H982" s="126"/>
      <c r="I982" s="248">
        <v>1</v>
      </c>
      <c r="J982" s="246"/>
      <c r="K982" s="237">
        <f t="shared" si="54"/>
        <v>48428</v>
      </c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</row>
    <row r="983" spans="1:30" ht="13.2">
      <c r="A983" s="126"/>
      <c r="B983" s="126" t="s">
        <v>337</v>
      </c>
      <c r="C983" s="250">
        <v>45365</v>
      </c>
      <c r="D983" s="246" t="s">
        <v>784</v>
      </c>
      <c r="E983" s="235" t="str">
        <f>VLOOKUP(D983,'Danh mục hàng hóa'!$C$3:$D$600,2,0)</f>
        <v>Kẹp tóc hoa lan 07</v>
      </c>
      <c r="F983" s="236" t="str">
        <f>VLOOKUP(D983,'Danh mục hàng hóa'!$C$3:$E$613,3,0)</f>
        <v>cái</v>
      </c>
      <c r="G983" s="248">
        <v>17019</v>
      </c>
      <c r="H983" s="126"/>
      <c r="I983" s="248">
        <v>1</v>
      </c>
      <c r="J983" s="246"/>
      <c r="K983" s="237">
        <f t="shared" si="54"/>
        <v>17019</v>
      </c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</row>
    <row r="984" spans="1:30" ht="13.2">
      <c r="A984" s="126"/>
      <c r="B984" s="126" t="s">
        <v>337</v>
      </c>
      <c r="C984" s="250">
        <v>45365</v>
      </c>
      <c r="D984" s="246" t="s">
        <v>977</v>
      </c>
      <c r="E984" s="235" t="str">
        <f>VLOOKUP(D984,'Danh mục hàng hóa'!$C$3:$D$600,2,0)</f>
        <v>Móc khóa đôi heo</v>
      </c>
      <c r="F984" s="236" t="str">
        <f>VLOOKUP(D984,'Danh mục hàng hóa'!$C$3:$E$613,3,0)</f>
        <v>cái</v>
      </c>
      <c r="G984" s="248">
        <v>48708</v>
      </c>
      <c r="H984" s="126"/>
      <c r="I984" s="248">
        <v>1</v>
      </c>
      <c r="J984" s="246"/>
      <c r="K984" s="237">
        <f t="shared" si="54"/>
        <v>48708</v>
      </c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</row>
    <row r="985" spans="1:30" ht="13.2">
      <c r="A985" s="126"/>
      <c r="B985" s="126" t="s">
        <v>337</v>
      </c>
      <c r="C985" s="250">
        <v>45365</v>
      </c>
      <c r="D985" s="246" t="s">
        <v>776</v>
      </c>
      <c r="E985" s="235" t="str">
        <f>VLOOKUP(D985,'Danh mục hàng hóa'!$C$3:$D$600,2,0)</f>
        <v>Kẹp tóc hoa lan 03</v>
      </c>
      <c r="F985" s="236" t="str">
        <f>VLOOKUP(D985,'Danh mục hàng hóa'!$C$3:$E$613,3,0)</f>
        <v>cái</v>
      </c>
      <c r="G985" s="248">
        <v>17259</v>
      </c>
      <c r="H985" s="126"/>
      <c r="I985" s="248">
        <v>1</v>
      </c>
      <c r="J985" s="246"/>
      <c r="K985" s="237">
        <f t="shared" si="54"/>
        <v>17259</v>
      </c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</row>
    <row r="986" spans="1:30" ht="13.2">
      <c r="A986" s="126"/>
      <c r="B986" s="126" t="s">
        <v>337</v>
      </c>
      <c r="C986" s="250">
        <v>45365</v>
      </c>
      <c r="D986" s="246" t="s">
        <v>786</v>
      </c>
      <c r="E986" s="235" t="str">
        <f>VLOOKUP(D986,'Danh mục hàng hóa'!$C$3:$D$600,2,0)</f>
        <v>Kẹp tóc hoa lan 08</v>
      </c>
      <c r="F986" s="236" t="str">
        <f>VLOOKUP(D986,'Danh mục hàng hóa'!$C$3:$E$613,3,0)</f>
        <v>cái</v>
      </c>
      <c r="G986" s="248">
        <v>16599</v>
      </c>
      <c r="H986" s="126"/>
      <c r="I986" s="248">
        <v>1</v>
      </c>
      <c r="J986" s="246"/>
      <c r="K986" s="237">
        <f t="shared" si="54"/>
        <v>16599</v>
      </c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</row>
    <row r="987" spans="1:30" ht="13.2">
      <c r="A987" s="126"/>
      <c r="B987" s="126" t="s">
        <v>337</v>
      </c>
      <c r="C987" s="250">
        <v>45365</v>
      </c>
      <c r="D987" s="246" t="s">
        <v>774</v>
      </c>
      <c r="E987" s="235" t="str">
        <f>VLOOKUP(D987,'Danh mục hàng hóa'!$C$3:$D$600,2,0)</f>
        <v>Kẹp tóc hoa lan 02</v>
      </c>
      <c r="F987" s="236" t="str">
        <f>VLOOKUP(D987,'Danh mục hàng hóa'!$C$3:$E$613,3,0)</f>
        <v>cái</v>
      </c>
      <c r="G987" s="248">
        <f t="shared" ref="G987:G988" si="84">34577/2</f>
        <v>17288.5</v>
      </c>
      <c r="H987" s="126"/>
      <c r="I987" s="248">
        <v>1</v>
      </c>
      <c r="J987" s="246"/>
      <c r="K987" s="237">
        <f t="shared" si="54"/>
        <v>17288.5</v>
      </c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</row>
    <row r="988" spans="1:30" ht="13.2">
      <c r="A988" s="126"/>
      <c r="B988" s="126" t="s">
        <v>337</v>
      </c>
      <c r="C988" s="250">
        <v>45365</v>
      </c>
      <c r="D988" s="246" t="s">
        <v>786</v>
      </c>
      <c r="E988" s="235" t="str">
        <f>VLOOKUP(D988,'Danh mục hàng hóa'!$C$3:$D$600,2,0)</f>
        <v>Kẹp tóc hoa lan 08</v>
      </c>
      <c r="F988" s="236" t="str">
        <f>VLOOKUP(D988,'Danh mục hàng hóa'!$C$3:$E$613,3,0)</f>
        <v>cái</v>
      </c>
      <c r="G988" s="248">
        <f t="shared" si="84"/>
        <v>17288.5</v>
      </c>
      <c r="H988" s="126"/>
      <c r="I988" s="248">
        <v>1</v>
      </c>
      <c r="J988" s="246"/>
      <c r="K988" s="237">
        <f t="shared" si="54"/>
        <v>17288.5</v>
      </c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</row>
    <row r="989" spans="1:30" ht="13.2">
      <c r="A989" s="126"/>
      <c r="B989" s="126" t="s">
        <v>337</v>
      </c>
      <c r="C989" s="250">
        <v>45365</v>
      </c>
      <c r="D989" s="246" t="s">
        <v>774</v>
      </c>
      <c r="E989" s="235" t="str">
        <f>VLOOKUP(D989,'Danh mục hàng hóa'!$C$3:$D$600,2,0)</f>
        <v>Kẹp tóc hoa lan 02</v>
      </c>
      <c r="F989" s="236" t="str">
        <f>VLOOKUP(D989,'Danh mục hàng hóa'!$C$3:$E$613,3,0)</f>
        <v>cái</v>
      </c>
      <c r="G989" s="248">
        <v>17259</v>
      </c>
      <c r="H989" s="126"/>
      <c r="I989" s="248">
        <v>1</v>
      </c>
      <c r="J989" s="246"/>
      <c r="K989" s="237">
        <f t="shared" si="54"/>
        <v>17259</v>
      </c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</row>
    <row r="990" spans="1:30" ht="13.2">
      <c r="A990" s="126"/>
      <c r="B990" s="126" t="s">
        <v>337</v>
      </c>
      <c r="C990" s="250">
        <v>45365</v>
      </c>
      <c r="D990" s="246" t="s">
        <v>774</v>
      </c>
      <c r="E990" s="235" t="str">
        <f>VLOOKUP(D990,'Danh mục hàng hóa'!$C$3:$D$600,2,0)</f>
        <v>Kẹp tóc hoa lan 02</v>
      </c>
      <c r="F990" s="236" t="str">
        <f>VLOOKUP(D990,'Danh mục hàng hóa'!$C$3:$E$613,3,0)</f>
        <v>cái</v>
      </c>
      <c r="G990" s="248">
        <f t="shared" ref="G990:G993" si="85">96811/6</f>
        <v>16135.166666666666</v>
      </c>
      <c r="H990" s="126"/>
      <c r="I990" s="248">
        <v>2</v>
      </c>
      <c r="J990" s="246"/>
      <c r="K990" s="237">
        <f t="shared" si="54"/>
        <v>32270.333333333332</v>
      </c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</row>
    <row r="991" spans="1:30" ht="13.2">
      <c r="A991" s="126"/>
      <c r="B991" s="126" t="s">
        <v>337</v>
      </c>
      <c r="C991" s="250">
        <v>45365</v>
      </c>
      <c r="D991" s="246" t="s">
        <v>784</v>
      </c>
      <c r="E991" s="235" t="str">
        <f>VLOOKUP(D991,'Danh mục hàng hóa'!$C$3:$D$600,2,0)</f>
        <v>Kẹp tóc hoa lan 07</v>
      </c>
      <c r="F991" s="236" t="str">
        <f>VLOOKUP(D991,'Danh mục hàng hóa'!$C$3:$E$613,3,0)</f>
        <v>cái</v>
      </c>
      <c r="G991" s="248">
        <f t="shared" si="85"/>
        <v>16135.166666666666</v>
      </c>
      <c r="H991" s="126"/>
      <c r="I991" s="248">
        <v>2</v>
      </c>
      <c r="J991" s="246"/>
      <c r="K991" s="237">
        <f t="shared" si="54"/>
        <v>32270.333333333332</v>
      </c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</row>
    <row r="992" spans="1:30" ht="13.2">
      <c r="A992" s="126"/>
      <c r="B992" s="126" t="s">
        <v>337</v>
      </c>
      <c r="C992" s="250">
        <v>45365</v>
      </c>
      <c r="D992" s="246" t="s">
        <v>786</v>
      </c>
      <c r="E992" s="235" t="str">
        <f>VLOOKUP(D992,'Danh mục hàng hóa'!$C$3:$D$600,2,0)</f>
        <v>Kẹp tóc hoa lan 08</v>
      </c>
      <c r="F992" s="236" t="str">
        <f>VLOOKUP(D992,'Danh mục hàng hóa'!$C$3:$E$613,3,0)</f>
        <v>cái</v>
      </c>
      <c r="G992" s="248">
        <f t="shared" si="85"/>
        <v>16135.166666666666</v>
      </c>
      <c r="H992" s="126"/>
      <c r="I992" s="248">
        <v>1</v>
      </c>
      <c r="J992" s="246"/>
      <c r="K992" s="237">
        <f t="shared" si="54"/>
        <v>16135.166666666666</v>
      </c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</row>
    <row r="993" spans="1:30" ht="13.2">
      <c r="A993" s="126"/>
      <c r="B993" s="126" t="s">
        <v>337</v>
      </c>
      <c r="C993" s="250">
        <v>45365</v>
      </c>
      <c r="D993" s="246" t="s">
        <v>772</v>
      </c>
      <c r="E993" s="235" t="str">
        <f>VLOOKUP(D993,'Danh mục hàng hóa'!$C$3:$D$600,2,0)</f>
        <v>Kẹp tóc hoa lan 01</v>
      </c>
      <c r="F993" s="236" t="str">
        <f>VLOOKUP(D993,'Danh mục hàng hóa'!$C$3:$E$613,3,0)</f>
        <v>cái</v>
      </c>
      <c r="G993" s="248">
        <f t="shared" si="85"/>
        <v>16135.166666666666</v>
      </c>
      <c r="H993" s="126"/>
      <c r="I993" s="248">
        <v>1</v>
      </c>
      <c r="J993" s="246"/>
      <c r="K993" s="237">
        <f t="shared" si="54"/>
        <v>16135.166666666666</v>
      </c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</row>
    <row r="994" spans="1:30" ht="13.2">
      <c r="A994" s="126"/>
      <c r="B994" s="126" t="s">
        <v>337</v>
      </c>
      <c r="C994" s="250">
        <v>45365</v>
      </c>
      <c r="D994" s="246" t="s">
        <v>776</v>
      </c>
      <c r="E994" s="235" t="str">
        <f>VLOOKUP(D994,'Danh mục hàng hóa'!$C$3:$D$600,2,0)</f>
        <v>Kẹp tóc hoa lan 03</v>
      </c>
      <c r="F994" s="236" t="str">
        <f>VLOOKUP(D994,'Danh mục hàng hóa'!$C$3:$E$613,3,0)</f>
        <v>cái</v>
      </c>
      <c r="G994" s="248">
        <f t="shared" ref="G994:G995" si="86">34577/2</f>
        <v>17288.5</v>
      </c>
      <c r="H994" s="126"/>
      <c r="I994" s="248">
        <v>1</v>
      </c>
      <c r="J994" s="246"/>
      <c r="K994" s="237">
        <f t="shared" si="54"/>
        <v>17288.5</v>
      </c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</row>
    <row r="995" spans="1:30" ht="13.2">
      <c r="A995" s="126"/>
      <c r="B995" s="126" t="s">
        <v>337</v>
      </c>
      <c r="C995" s="250">
        <v>45365</v>
      </c>
      <c r="D995" s="246" t="s">
        <v>776</v>
      </c>
      <c r="E995" s="235" t="str">
        <f>VLOOKUP(D995,'Danh mục hàng hóa'!$C$3:$D$600,2,0)</f>
        <v>Kẹp tóc hoa lan 03</v>
      </c>
      <c r="F995" s="236" t="str">
        <f>VLOOKUP(D995,'Danh mục hàng hóa'!$C$3:$E$613,3,0)</f>
        <v>cái</v>
      </c>
      <c r="G995" s="248">
        <f t="shared" si="86"/>
        <v>17288.5</v>
      </c>
      <c r="H995" s="126"/>
      <c r="I995" s="248">
        <v>1</v>
      </c>
      <c r="J995" s="246"/>
      <c r="K995" s="237">
        <f t="shared" si="54"/>
        <v>17288.5</v>
      </c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</row>
    <row r="996" spans="1:30" ht="13.2">
      <c r="A996" s="126"/>
      <c r="B996" s="126" t="s">
        <v>337</v>
      </c>
      <c r="C996" s="250">
        <v>45365</v>
      </c>
      <c r="D996" s="246" t="s">
        <v>774</v>
      </c>
      <c r="E996" s="235" t="str">
        <f>VLOOKUP(D996,'Danh mục hàng hóa'!$C$3:$D$600,2,0)</f>
        <v>Kẹp tóc hoa lan 02</v>
      </c>
      <c r="F996" s="236" t="str">
        <f>VLOOKUP(D996,'Danh mục hàng hóa'!$C$3:$E$613,3,0)</f>
        <v>cái</v>
      </c>
      <c r="G996" s="248">
        <v>17000</v>
      </c>
      <c r="H996" s="126"/>
      <c r="I996" s="248">
        <v>1</v>
      </c>
      <c r="J996" s="246"/>
      <c r="K996" s="237">
        <f t="shared" si="54"/>
        <v>17000</v>
      </c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</row>
    <row r="997" spans="1:30" ht="13.2">
      <c r="A997" s="126"/>
      <c r="B997" s="126" t="s">
        <v>337</v>
      </c>
      <c r="C997" s="250">
        <v>45365</v>
      </c>
      <c r="D997" s="246" t="s">
        <v>679</v>
      </c>
      <c r="E997" s="235" t="str">
        <f>VLOOKUP(D997,'Danh mục hàng hóa'!$C$3:$D$600,2,0)</f>
        <v>Buộc tóc voan hồng lớn</v>
      </c>
      <c r="F997" s="236" t="str">
        <f>VLOOKUP(D997,'Danh mục hàng hóa'!$C$3:$E$613,3,0)</f>
        <v>cái</v>
      </c>
      <c r="G997" s="248">
        <f t="shared" ref="G997:G998" si="87">(46475-17000)/2</f>
        <v>14737.5</v>
      </c>
      <c r="H997" s="126"/>
      <c r="I997" s="248">
        <v>1</v>
      </c>
      <c r="J997" s="246"/>
      <c r="K997" s="237">
        <f t="shared" si="54"/>
        <v>14737.5</v>
      </c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</row>
    <row r="998" spans="1:30" ht="13.2">
      <c r="A998" s="126"/>
      <c r="B998" s="126" t="s">
        <v>337</v>
      </c>
      <c r="C998" s="250">
        <v>45365</v>
      </c>
      <c r="D998" s="246" t="s">
        <v>683</v>
      </c>
      <c r="E998" s="235" t="str">
        <f>VLOOKUP(D998,'Danh mục hàng hóa'!$C$3:$D$600,2,0)</f>
        <v>Buộc tóc voan kem lớn</v>
      </c>
      <c r="F998" s="236" t="str">
        <f>VLOOKUP(D998,'Danh mục hàng hóa'!$C$3:$E$613,3,0)</f>
        <v>cái</v>
      </c>
      <c r="G998" s="248">
        <f t="shared" si="87"/>
        <v>14737.5</v>
      </c>
      <c r="H998" s="126"/>
      <c r="I998" s="248">
        <v>1</v>
      </c>
      <c r="J998" s="246"/>
      <c r="K998" s="237">
        <f t="shared" si="54"/>
        <v>14737.5</v>
      </c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</row>
    <row r="999" spans="1:30" ht="13.2">
      <c r="A999" s="126"/>
      <c r="B999" s="126" t="s">
        <v>337</v>
      </c>
      <c r="C999" s="250">
        <v>45365</v>
      </c>
      <c r="D999" s="246" t="s">
        <v>774</v>
      </c>
      <c r="E999" s="235" t="str">
        <f>VLOOKUP(D999,'Danh mục hàng hóa'!$C$3:$D$600,2,0)</f>
        <v>Kẹp tóc hoa lan 02</v>
      </c>
      <c r="F999" s="236" t="str">
        <f>VLOOKUP(D999,'Danh mục hàng hóa'!$C$3:$E$613,3,0)</f>
        <v>cái</v>
      </c>
      <c r="G999" s="248">
        <f t="shared" ref="G999:G1001" si="88">56996/3</f>
        <v>18998.666666666668</v>
      </c>
      <c r="H999" s="126"/>
      <c r="I999" s="248">
        <v>1</v>
      </c>
      <c r="J999" s="246"/>
      <c r="K999" s="237">
        <f t="shared" si="54"/>
        <v>18998.666666666668</v>
      </c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</row>
    <row r="1000" spans="1:30" ht="13.2">
      <c r="A1000" s="126"/>
      <c r="B1000" s="126" t="s">
        <v>337</v>
      </c>
      <c r="C1000" s="250">
        <v>45365</v>
      </c>
      <c r="D1000" s="246" t="s">
        <v>776</v>
      </c>
      <c r="E1000" s="235" t="str">
        <f>VLOOKUP(D1000,'Danh mục hàng hóa'!$C$3:$D$600,2,0)</f>
        <v>Kẹp tóc hoa lan 03</v>
      </c>
      <c r="F1000" s="236" t="str">
        <f>VLOOKUP(D1000,'Danh mục hàng hóa'!$C$3:$E$613,3,0)</f>
        <v>cái</v>
      </c>
      <c r="G1000" s="248">
        <f t="shared" si="88"/>
        <v>18998.666666666668</v>
      </c>
      <c r="H1000" s="126"/>
      <c r="I1000" s="248">
        <v>1</v>
      </c>
      <c r="J1000" s="246"/>
      <c r="K1000" s="237">
        <f t="shared" si="54"/>
        <v>18998.666666666668</v>
      </c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</row>
    <row r="1001" spans="1:30" ht="13.2">
      <c r="A1001" s="126"/>
      <c r="B1001" s="126" t="s">
        <v>337</v>
      </c>
      <c r="C1001" s="250">
        <v>45365</v>
      </c>
      <c r="D1001" s="246" t="s">
        <v>786</v>
      </c>
      <c r="E1001" s="235" t="str">
        <f>VLOOKUP(D1001,'Danh mục hàng hóa'!$C$3:$D$600,2,0)</f>
        <v>Kẹp tóc hoa lan 08</v>
      </c>
      <c r="F1001" s="236" t="str">
        <f>VLOOKUP(D1001,'Danh mục hàng hóa'!$C$3:$E$613,3,0)</f>
        <v>cái</v>
      </c>
      <c r="G1001" s="248">
        <f t="shared" si="88"/>
        <v>18998.666666666668</v>
      </c>
      <c r="H1001" s="126"/>
      <c r="I1001" s="248">
        <v>1</v>
      </c>
      <c r="J1001" s="246"/>
      <c r="K1001" s="237">
        <f t="shared" si="54"/>
        <v>18998.666666666668</v>
      </c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  <c r="AB1001" s="126"/>
      <c r="AC1001" s="126"/>
      <c r="AD1001" s="126"/>
    </row>
    <row r="1002" spans="1:30" ht="13.2">
      <c r="A1002" s="126"/>
      <c r="B1002" s="126" t="s">
        <v>337</v>
      </c>
      <c r="C1002" s="250">
        <v>45365</v>
      </c>
      <c r="D1002" s="246" t="s">
        <v>707</v>
      </c>
      <c r="E1002" s="235" t="str">
        <f>VLOOKUP(D1002,'Danh mục hàng hóa'!$C$3:$D$600,2,0)</f>
        <v>Buộc tóc hồng nhung tăm</v>
      </c>
      <c r="F1002" s="236" t="str">
        <f>VLOOKUP(D1002,'Danh mục hàng hóa'!$C$3:$E$613,3,0)</f>
        <v>cái</v>
      </c>
      <c r="G1002" s="248">
        <v>0</v>
      </c>
      <c r="H1002" s="126"/>
      <c r="I1002" s="248">
        <v>1</v>
      </c>
      <c r="J1002" s="246"/>
      <c r="K1002" s="237">
        <f t="shared" si="54"/>
        <v>0</v>
      </c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  <c r="AB1002" s="126"/>
      <c r="AC1002" s="126"/>
      <c r="AD1002" s="126"/>
    </row>
    <row r="1003" spans="1:30" ht="13.2">
      <c r="A1003" s="126"/>
      <c r="B1003" s="126" t="s">
        <v>337</v>
      </c>
      <c r="C1003" s="250">
        <v>45365</v>
      </c>
      <c r="D1003" s="246" t="s">
        <v>776</v>
      </c>
      <c r="E1003" s="235" t="str">
        <f>VLOOKUP(D1003,'Danh mục hàng hóa'!$C$3:$D$600,2,0)</f>
        <v>Kẹp tóc hoa lan 03</v>
      </c>
      <c r="F1003" s="236" t="str">
        <f>VLOOKUP(D1003,'Danh mục hàng hóa'!$C$3:$E$613,3,0)</f>
        <v>cái</v>
      </c>
      <c r="G1003" s="248">
        <f t="shared" ref="G1003:G1004" si="89">34577/2</f>
        <v>17288.5</v>
      </c>
      <c r="H1003" s="126"/>
      <c r="I1003" s="248">
        <v>1</v>
      </c>
      <c r="J1003" s="246"/>
      <c r="K1003" s="237">
        <f t="shared" si="54"/>
        <v>17288.5</v>
      </c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126"/>
      <c r="V1003" s="126"/>
      <c r="W1003" s="126"/>
      <c r="X1003" s="126"/>
      <c r="Y1003" s="126"/>
      <c r="Z1003" s="126"/>
      <c r="AA1003" s="126"/>
      <c r="AB1003" s="126"/>
      <c r="AC1003" s="126"/>
      <c r="AD1003" s="126"/>
    </row>
    <row r="1004" spans="1:30" ht="13.2">
      <c r="A1004" s="126"/>
      <c r="B1004" s="126" t="s">
        <v>337</v>
      </c>
      <c r="C1004" s="250">
        <v>45365</v>
      </c>
      <c r="D1004" s="246" t="s">
        <v>784</v>
      </c>
      <c r="E1004" s="235" t="str">
        <f>VLOOKUP(D1004,'Danh mục hàng hóa'!$C$3:$D$600,2,0)</f>
        <v>Kẹp tóc hoa lan 07</v>
      </c>
      <c r="F1004" s="236" t="str">
        <f>VLOOKUP(D1004,'Danh mục hàng hóa'!$C$3:$E$613,3,0)</f>
        <v>cái</v>
      </c>
      <c r="G1004" s="248">
        <f t="shared" si="89"/>
        <v>17288.5</v>
      </c>
      <c r="H1004" s="126"/>
      <c r="I1004" s="248">
        <v>1</v>
      </c>
      <c r="J1004" s="246"/>
      <c r="K1004" s="237">
        <f t="shared" si="54"/>
        <v>17288.5</v>
      </c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126"/>
      <c r="V1004" s="126"/>
      <c r="W1004" s="126"/>
      <c r="X1004" s="126"/>
      <c r="Y1004" s="126"/>
      <c r="Z1004" s="126"/>
      <c r="AA1004" s="126"/>
      <c r="AB1004" s="126"/>
      <c r="AC1004" s="126"/>
      <c r="AD1004" s="126"/>
    </row>
    <row r="1005" spans="1:30" ht="13.2">
      <c r="A1005" s="126"/>
      <c r="B1005" s="126" t="s">
        <v>337</v>
      </c>
      <c r="C1005" s="250">
        <v>45365</v>
      </c>
      <c r="D1005" s="246" t="s">
        <v>774</v>
      </c>
      <c r="E1005" s="235" t="str">
        <f>VLOOKUP(D1005,'Danh mục hàng hóa'!$C$3:$D$600,2,0)</f>
        <v>Kẹp tóc hoa lan 02</v>
      </c>
      <c r="F1005" s="236" t="str">
        <f>VLOOKUP(D1005,'Danh mục hàng hóa'!$C$3:$E$613,3,0)</f>
        <v>cái</v>
      </c>
      <c r="G1005" s="248">
        <f t="shared" ref="G1005:G1007" si="90">46700/3</f>
        <v>15566.666666666666</v>
      </c>
      <c r="H1005" s="126"/>
      <c r="I1005" s="248">
        <v>1</v>
      </c>
      <c r="J1005" s="246"/>
      <c r="K1005" s="237">
        <f t="shared" si="54"/>
        <v>15566.666666666666</v>
      </c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126"/>
      <c r="V1005" s="126"/>
      <c r="W1005" s="126"/>
      <c r="X1005" s="126"/>
      <c r="Y1005" s="126"/>
      <c r="Z1005" s="126"/>
      <c r="AA1005" s="126"/>
      <c r="AB1005" s="126"/>
      <c r="AC1005" s="126"/>
      <c r="AD1005" s="126"/>
    </row>
    <row r="1006" spans="1:30" ht="13.2">
      <c r="A1006" s="126"/>
      <c r="B1006" s="126" t="s">
        <v>337</v>
      </c>
      <c r="C1006" s="250">
        <v>45365</v>
      </c>
      <c r="D1006" s="246" t="s">
        <v>778</v>
      </c>
      <c r="E1006" s="235" t="str">
        <f>VLOOKUP(D1006,'Danh mục hàng hóa'!$C$3:$D$600,2,0)</f>
        <v>Kẹp tóc hoa lan 04</v>
      </c>
      <c r="F1006" s="236" t="str">
        <f>VLOOKUP(D1006,'Danh mục hàng hóa'!$C$3:$E$613,3,0)</f>
        <v>cái</v>
      </c>
      <c r="G1006" s="248">
        <f t="shared" si="90"/>
        <v>15566.666666666666</v>
      </c>
      <c r="H1006" s="126"/>
      <c r="I1006" s="248">
        <v>1</v>
      </c>
      <c r="J1006" s="246"/>
      <c r="K1006" s="237">
        <f t="shared" si="54"/>
        <v>15566.666666666666</v>
      </c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126"/>
      <c r="V1006" s="126"/>
      <c r="W1006" s="126"/>
      <c r="X1006" s="126"/>
      <c r="Y1006" s="126"/>
      <c r="Z1006" s="126"/>
      <c r="AA1006" s="126"/>
      <c r="AB1006" s="126"/>
      <c r="AC1006" s="126"/>
      <c r="AD1006" s="126"/>
    </row>
    <row r="1007" spans="1:30" ht="13.2">
      <c r="A1007" s="126"/>
      <c r="B1007" s="126" t="s">
        <v>337</v>
      </c>
      <c r="C1007" s="250">
        <v>45365</v>
      </c>
      <c r="D1007" s="246" t="s">
        <v>784</v>
      </c>
      <c r="E1007" s="235" t="str">
        <f>VLOOKUP(D1007,'Danh mục hàng hóa'!$C$3:$D$600,2,0)</f>
        <v>Kẹp tóc hoa lan 07</v>
      </c>
      <c r="F1007" s="236" t="str">
        <f>VLOOKUP(D1007,'Danh mục hàng hóa'!$C$3:$E$613,3,0)</f>
        <v>cái</v>
      </c>
      <c r="G1007" s="248">
        <f t="shared" si="90"/>
        <v>15566.666666666666</v>
      </c>
      <c r="H1007" s="126"/>
      <c r="I1007" s="248">
        <v>1</v>
      </c>
      <c r="J1007" s="246"/>
      <c r="K1007" s="237">
        <f t="shared" si="54"/>
        <v>15566.666666666666</v>
      </c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126"/>
      <c r="V1007" s="126"/>
      <c r="W1007" s="126"/>
      <c r="X1007" s="126"/>
      <c r="Y1007" s="126"/>
      <c r="Z1007" s="126"/>
      <c r="AA1007" s="126"/>
      <c r="AB1007" s="126"/>
      <c r="AC1007" s="126"/>
      <c r="AD1007" s="126"/>
    </row>
    <row r="1008" spans="1:30" ht="13.2">
      <c r="A1008" s="126"/>
      <c r="B1008" s="126" t="s">
        <v>337</v>
      </c>
      <c r="C1008" s="250">
        <v>45365</v>
      </c>
      <c r="D1008" s="246" t="s">
        <v>774</v>
      </c>
      <c r="E1008" s="235" t="str">
        <f>VLOOKUP(D1008,'Danh mục hàng hóa'!$C$3:$D$600,2,0)</f>
        <v>Kẹp tóc hoa lan 02</v>
      </c>
      <c r="F1008" s="236" t="str">
        <f>VLOOKUP(D1008,'Danh mục hàng hóa'!$C$3:$E$613,3,0)</f>
        <v>cái</v>
      </c>
      <c r="G1008" s="248">
        <f t="shared" ref="G1008:G1009" si="91">62346/4</f>
        <v>15586.5</v>
      </c>
      <c r="H1008" s="126"/>
      <c r="I1008" s="248">
        <v>2</v>
      </c>
      <c r="J1008" s="246"/>
      <c r="K1008" s="237">
        <f t="shared" si="54"/>
        <v>31173</v>
      </c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126"/>
      <c r="V1008" s="126"/>
      <c r="W1008" s="126"/>
      <c r="X1008" s="126"/>
      <c r="Y1008" s="126"/>
      <c r="Z1008" s="126"/>
      <c r="AA1008" s="126"/>
      <c r="AB1008" s="126"/>
      <c r="AC1008" s="126"/>
      <c r="AD1008" s="126"/>
    </row>
    <row r="1009" spans="1:30" ht="13.2">
      <c r="A1009" s="126"/>
      <c r="B1009" s="126" t="s">
        <v>337</v>
      </c>
      <c r="C1009" s="250">
        <v>45365</v>
      </c>
      <c r="D1009" s="246" t="s">
        <v>776</v>
      </c>
      <c r="E1009" s="235" t="str">
        <f>VLOOKUP(D1009,'Danh mục hàng hóa'!$C$3:$D$600,2,0)</f>
        <v>Kẹp tóc hoa lan 03</v>
      </c>
      <c r="F1009" s="236" t="str">
        <f>VLOOKUP(D1009,'Danh mục hàng hóa'!$C$3:$E$613,3,0)</f>
        <v>cái</v>
      </c>
      <c r="G1009" s="248">
        <f t="shared" si="91"/>
        <v>15586.5</v>
      </c>
      <c r="H1009" s="126"/>
      <c r="I1009" s="248">
        <v>2</v>
      </c>
      <c r="J1009" s="246"/>
      <c r="K1009" s="237">
        <f t="shared" si="54"/>
        <v>31173</v>
      </c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126"/>
      <c r="V1009" s="126"/>
      <c r="W1009" s="126"/>
      <c r="X1009" s="126"/>
      <c r="Y1009" s="126"/>
      <c r="Z1009" s="126"/>
      <c r="AA1009" s="126"/>
      <c r="AB1009" s="126"/>
      <c r="AC1009" s="126"/>
      <c r="AD1009" s="126"/>
    </row>
    <row r="1010" spans="1:30" ht="13.2">
      <c r="A1010" s="126"/>
      <c r="B1010" s="126" t="s">
        <v>337</v>
      </c>
      <c r="C1010" s="250">
        <v>45365</v>
      </c>
      <c r="D1010" s="246" t="s">
        <v>891</v>
      </c>
      <c r="E1010" s="235" t="str">
        <f>VLOOKUP(D1010,'Danh mục hàng hóa'!$C$3:$D$600,2,0)</f>
        <v>Heo ú</v>
      </c>
      <c r="F1010" s="236" t="str">
        <f>VLOOKUP(D1010,'Danh mục hàng hóa'!$C$3:$E$613,3,0)</f>
        <v>cái</v>
      </c>
      <c r="G1010" s="248">
        <v>47064</v>
      </c>
      <c r="H1010" s="126"/>
      <c r="I1010" s="248">
        <v>1</v>
      </c>
      <c r="J1010" s="246"/>
      <c r="K1010" s="237">
        <f t="shared" si="54"/>
        <v>47064</v>
      </c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126"/>
      <c r="V1010" s="126"/>
      <c r="W1010" s="126"/>
      <c r="X1010" s="126"/>
      <c r="Y1010" s="126"/>
      <c r="Z1010" s="126"/>
      <c r="AA1010" s="126"/>
      <c r="AB1010" s="126"/>
      <c r="AC1010" s="126"/>
      <c r="AD1010" s="126"/>
    </row>
    <row r="1011" spans="1:30" ht="13.2">
      <c r="A1011" s="126"/>
      <c r="B1011" s="126" t="s">
        <v>337</v>
      </c>
      <c r="C1011" s="250">
        <v>45365</v>
      </c>
      <c r="D1011" s="246" t="s">
        <v>776</v>
      </c>
      <c r="E1011" s="235" t="str">
        <f>VLOOKUP(D1011,'Danh mục hàng hóa'!$C$3:$D$600,2,0)</f>
        <v>Kẹp tóc hoa lan 03</v>
      </c>
      <c r="F1011" s="236" t="str">
        <f>VLOOKUP(D1011,'Danh mục hàng hóa'!$C$3:$E$613,3,0)</f>
        <v>cái</v>
      </c>
      <c r="G1011" s="248">
        <f t="shared" ref="G1011:G1012" si="92">34077/2</f>
        <v>17038.5</v>
      </c>
      <c r="H1011" s="126"/>
      <c r="I1011" s="248">
        <v>1</v>
      </c>
      <c r="J1011" s="246"/>
      <c r="K1011" s="237">
        <f t="shared" si="54"/>
        <v>17038.5</v>
      </c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126"/>
      <c r="V1011" s="126"/>
      <c r="W1011" s="126"/>
      <c r="X1011" s="126"/>
      <c r="Y1011" s="126"/>
      <c r="Z1011" s="126"/>
      <c r="AA1011" s="126"/>
      <c r="AB1011" s="126"/>
      <c r="AC1011" s="126"/>
      <c r="AD1011" s="126"/>
    </row>
    <row r="1012" spans="1:30" ht="13.2">
      <c r="A1012" s="126"/>
      <c r="B1012" s="126" t="s">
        <v>337</v>
      </c>
      <c r="C1012" s="250">
        <v>45365</v>
      </c>
      <c r="D1012" s="246" t="s">
        <v>784</v>
      </c>
      <c r="E1012" s="235" t="str">
        <f>VLOOKUP(D1012,'Danh mục hàng hóa'!$C$3:$D$600,2,0)</f>
        <v>Kẹp tóc hoa lan 07</v>
      </c>
      <c r="F1012" s="236" t="str">
        <f>VLOOKUP(D1012,'Danh mục hàng hóa'!$C$3:$E$613,3,0)</f>
        <v>cái</v>
      </c>
      <c r="G1012" s="248">
        <f t="shared" si="92"/>
        <v>17038.5</v>
      </c>
      <c r="H1012" s="126"/>
      <c r="I1012" s="248">
        <v>1</v>
      </c>
      <c r="J1012" s="246"/>
      <c r="K1012" s="237">
        <f t="shared" si="54"/>
        <v>17038.5</v>
      </c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126"/>
      <c r="V1012" s="126"/>
      <c r="W1012" s="126"/>
      <c r="X1012" s="126"/>
      <c r="Y1012" s="126"/>
      <c r="Z1012" s="126"/>
      <c r="AA1012" s="126"/>
      <c r="AB1012" s="126"/>
      <c r="AC1012" s="126"/>
      <c r="AD1012" s="126"/>
    </row>
    <row r="1013" spans="1:30" ht="13.2">
      <c r="A1013" s="126"/>
      <c r="B1013" s="126" t="s">
        <v>337</v>
      </c>
      <c r="C1013" s="250">
        <v>45365</v>
      </c>
      <c r="D1013" s="246" t="s">
        <v>977</v>
      </c>
      <c r="E1013" s="235" t="str">
        <f>VLOOKUP(D1013,'Danh mục hàng hóa'!$C$3:$D$600,2,0)</f>
        <v>Móc khóa đôi heo</v>
      </c>
      <c r="F1013" s="236" t="str">
        <f>VLOOKUP(D1013,'Danh mục hàng hóa'!$C$3:$E$613,3,0)</f>
        <v>cái</v>
      </c>
      <c r="G1013" s="248">
        <v>48648</v>
      </c>
      <c r="H1013" s="126"/>
      <c r="I1013" s="248">
        <v>1</v>
      </c>
      <c r="J1013" s="246"/>
      <c r="K1013" s="237">
        <f t="shared" si="54"/>
        <v>48648</v>
      </c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126"/>
      <c r="V1013" s="126"/>
      <c r="W1013" s="126"/>
      <c r="X1013" s="126"/>
      <c r="Y1013" s="126"/>
      <c r="Z1013" s="126"/>
      <c r="AA1013" s="126"/>
      <c r="AB1013" s="126"/>
      <c r="AC1013" s="126"/>
      <c r="AD1013" s="126"/>
    </row>
    <row r="1014" spans="1:30" ht="13.2">
      <c r="A1014" s="126"/>
      <c r="B1014" s="126" t="s">
        <v>337</v>
      </c>
      <c r="C1014" s="250">
        <v>45365</v>
      </c>
      <c r="D1014" s="246" t="s">
        <v>784</v>
      </c>
      <c r="E1014" s="235" t="str">
        <f>VLOOKUP(D1014,'Danh mục hàng hóa'!$C$3:$D$600,2,0)</f>
        <v>Kẹp tóc hoa lan 07</v>
      </c>
      <c r="F1014" s="236" t="str">
        <f>VLOOKUP(D1014,'Danh mục hàng hóa'!$C$3:$E$613,3,0)</f>
        <v>cái</v>
      </c>
      <c r="G1014" s="248">
        <f>78832/5</f>
        <v>15766.4</v>
      </c>
      <c r="H1014" s="126"/>
      <c r="I1014" s="248">
        <v>5</v>
      </c>
      <c r="J1014" s="246"/>
      <c r="K1014" s="237">
        <f t="shared" si="54"/>
        <v>78832</v>
      </c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126"/>
      <c r="V1014" s="126"/>
      <c r="W1014" s="126"/>
      <c r="X1014" s="126"/>
      <c r="Y1014" s="126"/>
      <c r="Z1014" s="126"/>
      <c r="AA1014" s="126"/>
      <c r="AB1014" s="126"/>
      <c r="AC1014" s="126"/>
      <c r="AD1014" s="126"/>
    </row>
    <row r="1015" spans="1:30" ht="13.2">
      <c r="A1015" s="126"/>
      <c r="B1015" s="126" t="s">
        <v>337</v>
      </c>
      <c r="C1015" s="250">
        <v>45365</v>
      </c>
      <c r="D1015" s="246" t="s">
        <v>784</v>
      </c>
      <c r="E1015" s="235" t="str">
        <f>VLOOKUP(D1015,'Danh mục hàng hóa'!$C$3:$D$600,2,0)</f>
        <v>Kẹp tóc hoa lan 07</v>
      </c>
      <c r="F1015" s="236" t="str">
        <f>VLOOKUP(D1015,'Danh mục hàng hóa'!$C$3:$E$613,3,0)</f>
        <v>cái</v>
      </c>
      <c r="G1015" s="248">
        <v>17259</v>
      </c>
      <c r="H1015" s="126"/>
      <c r="I1015" s="248">
        <v>1</v>
      </c>
      <c r="J1015" s="246"/>
      <c r="K1015" s="237">
        <f t="shared" si="54"/>
        <v>17259</v>
      </c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126"/>
      <c r="V1015" s="126"/>
      <c r="W1015" s="126"/>
      <c r="X1015" s="126"/>
      <c r="Y1015" s="126"/>
      <c r="Z1015" s="126"/>
      <c r="AA1015" s="126"/>
      <c r="AB1015" s="126"/>
      <c r="AC1015" s="126"/>
      <c r="AD1015" s="126"/>
    </row>
    <row r="1016" spans="1:30" ht="13.2">
      <c r="A1016" s="126"/>
      <c r="B1016" s="126" t="s">
        <v>337</v>
      </c>
      <c r="C1016" s="250">
        <v>45365</v>
      </c>
      <c r="D1016" s="246" t="s">
        <v>778</v>
      </c>
      <c r="E1016" s="235" t="str">
        <f>VLOOKUP(D1016,'Danh mục hàng hóa'!$C$3:$D$600,2,0)</f>
        <v>Kẹp tóc hoa lan 04</v>
      </c>
      <c r="F1016" s="236" t="str">
        <f>VLOOKUP(D1016,'Danh mục hàng hóa'!$C$3:$E$613,3,0)</f>
        <v>cái</v>
      </c>
      <c r="G1016" s="248">
        <f t="shared" ref="G1016:G1018" si="93">51895/3</f>
        <v>17298.333333333332</v>
      </c>
      <c r="H1016" s="126"/>
      <c r="I1016" s="248">
        <v>1</v>
      </c>
      <c r="J1016" s="246"/>
      <c r="K1016" s="237">
        <f t="shared" si="54"/>
        <v>17298.333333333332</v>
      </c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126"/>
      <c r="V1016" s="126"/>
      <c r="W1016" s="126"/>
      <c r="X1016" s="126"/>
      <c r="Y1016" s="126"/>
      <c r="Z1016" s="126"/>
      <c r="AA1016" s="126"/>
      <c r="AB1016" s="126"/>
      <c r="AC1016" s="126"/>
      <c r="AD1016" s="126"/>
    </row>
    <row r="1017" spans="1:30" ht="13.2">
      <c r="A1017" s="126"/>
      <c r="B1017" s="126" t="s">
        <v>337</v>
      </c>
      <c r="C1017" s="250">
        <v>45365</v>
      </c>
      <c r="D1017" s="246" t="s">
        <v>778</v>
      </c>
      <c r="E1017" s="235" t="str">
        <f>VLOOKUP(D1017,'Danh mục hàng hóa'!$C$3:$D$600,2,0)</f>
        <v>Kẹp tóc hoa lan 04</v>
      </c>
      <c r="F1017" s="236" t="str">
        <f>VLOOKUP(D1017,'Danh mục hàng hóa'!$C$3:$E$613,3,0)</f>
        <v>cái</v>
      </c>
      <c r="G1017" s="248">
        <f t="shared" si="93"/>
        <v>17298.333333333332</v>
      </c>
      <c r="H1017" s="126"/>
      <c r="I1017" s="248">
        <v>1</v>
      </c>
      <c r="J1017" s="246"/>
      <c r="K1017" s="237">
        <f t="shared" si="54"/>
        <v>17298.333333333332</v>
      </c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126"/>
      <c r="V1017" s="126"/>
      <c r="W1017" s="126"/>
      <c r="X1017" s="126"/>
      <c r="Y1017" s="126"/>
      <c r="Z1017" s="126"/>
      <c r="AA1017" s="126"/>
      <c r="AB1017" s="126"/>
      <c r="AC1017" s="126"/>
      <c r="AD1017" s="126"/>
    </row>
    <row r="1018" spans="1:30" ht="13.2">
      <c r="A1018" s="126"/>
      <c r="B1018" s="126" t="s">
        <v>337</v>
      </c>
      <c r="C1018" s="250">
        <v>45365</v>
      </c>
      <c r="D1018" s="246" t="s">
        <v>784</v>
      </c>
      <c r="E1018" s="235" t="str">
        <f>VLOOKUP(D1018,'Danh mục hàng hóa'!$C$3:$D$600,2,0)</f>
        <v>Kẹp tóc hoa lan 07</v>
      </c>
      <c r="F1018" s="236" t="str">
        <f>VLOOKUP(D1018,'Danh mục hàng hóa'!$C$3:$E$613,3,0)</f>
        <v>cái</v>
      </c>
      <c r="G1018" s="248">
        <f t="shared" si="93"/>
        <v>17298.333333333332</v>
      </c>
      <c r="H1018" s="126"/>
      <c r="I1018" s="248">
        <v>1</v>
      </c>
      <c r="J1018" s="246"/>
      <c r="K1018" s="237">
        <f t="shared" si="54"/>
        <v>17298.333333333332</v>
      </c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126"/>
      <c r="V1018" s="126"/>
      <c r="W1018" s="126"/>
      <c r="X1018" s="126"/>
      <c r="Y1018" s="126"/>
      <c r="Z1018" s="126"/>
      <c r="AA1018" s="126"/>
      <c r="AB1018" s="126"/>
      <c r="AC1018" s="126"/>
      <c r="AD1018" s="126"/>
    </row>
    <row r="1019" spans="1:30" ht="13.2">
      <c r="A1019" s="126"/>
      <c r="B1019" s="126" t="s">
        <v>337</v>
      </c>
      <c r="C1019" s="250">
        <v>45365</v>
      </c>
      <c r="D1019" s="246" t="s">
        <v>776</v>
      </c>
      <c r="E1019" s="235" t="str">
        <f>VLOOKUP(D1019,'Danh mục hàng hóa'!$C$3:$D$600,2,0)</f>
        <v>Kẹp tóc hoa lan 03</v>
      </c>
      <c r="F1019" s="236" t="str">
        <f>VLOOKUP(D1019,'Danh mục hàng hóa'!$C$3:$E$613,3,0)</f>
        <v>cái</v>
      </c>
      <c r="G1019" s="248">
        <f t="shared" ref="G1019:G1023" si="94">85932/5</f>
        <v>17186.400000000001</v>
      </c>
      <c r="H1019" s="126"/>
      <c r="I1019" s="248">
        <v>1</v>
      </c>
      <c r="J1019" s="246"/>
      <c r="K1019" s="237">
        <f t="shared" si="54"/>
        <v>17186.400000000001</v>
      </c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126"/>
      <c r="V1019" s="126"/>
      <c r="W1019" s="126"/>
      <c r="X1019" s="126"/>
      <c r="Y1019" s="126"/>
      <c r="Z1019" s="126"/>
      <c r="AA1019" s="126"/>
      <c r="AB1019" s="126"/>
      <c r="AC1019" s="126"/>
      <c r="AD1019" s="126"/>
    </row>
    <row r="1020" spans="1:30" ht="13.2">
      <c r="A1020" s="126"/>
      <c r="B1020" s="126" t="s">
        <v>337</v>
      </c>
      <c r="C1020" s="250">
        <v>45365</v>
      </c>
      <c r="D1020" s="246" t="s">
        <v>782</v>
      </c>
      <c r="E1020" s="235" t="str">
        <f>VLOOKUP(D1020,'Danh mục hàng hóa'!$C$3:$D$600,2,0)</f>
        <v>Kẹp tóc hoa lan 06</v>
      </c>
      <c r="F1020" s="236" t="str">
        <f>VLOOKUP(D1020,'Danh mục hàng hóa'!$C$3:$E$613,3,0)</f>
        <v>cái</v>
      </c>
      <c r="G1020" s="248">
        <f t="shared" si="94"/>
        <v>17186.400000000001</v>
      </c>
      <c r="H1020" s="126"/>
      <c r="I1020" s="248">
        <v>1</v>
      </c>
      <c r="J1020" s="246"/>
      <c r="K1020" s="237">
        <f t="shared" si="54"/>
        <v>17186.400000000001</v>
      </c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126"/>
      <c r="V1020" s="126"/>
      <c r="W1020" s="126"/>
      <c r="X1020" s="126"/>
      <c r="Y1020" s="126"/>
      <c r="Z1020" s="126"/>
      <c r="AA1020" s="126"/>
      <c r="AB1020" s="126"/>
      <c r="AC1020" s="126"/>
      <c r="AD1020" s="126"/>
    </row>
    <row r="1021" spans="1:30" ht="13.2">
      <c r="A1021" s="126"/>
      <c r="B1021" s="126" t="s">
        <v>337</v>
      </c>
      <c r="C1021" s="250">
        <v>45365</v>
      </c>
      <c r="D1021" s="246" t="s">
        <v>784</v>
      </c>
      <c r="E1021" s="235" t="str">
        <f>VLOOKUP(D1021,'Danh mục hàng hóa'!$C$3:$D$600,2,0)</f>
        <v>Kẹp tóc hoa lan 07</v>
      </c>
      <c r="F1021" s="236" t="str">
        <f>VLOOKUP(D1021,'Danh mục hàng hóa'!$C$3:$E$613,3,0)</f>
        <v>cái</v>
      </c>
      <c r="G1021" s="248">
        <f t="shared" si="94"/>
        <v>17186.400000000001</v>
      </c>
      <c r="H1021" s="126"/>
      <c r="I1021" s="248">
        <v>1</v>
      </c>
      <c r="J1021" s="246"/>
      <c r="K1021" s="237">
        <f t="shared" si="54"/>
        <v>17186.400000000001</v>
      </c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126"/>
      <c r="V1021" s="126"/>
      <c r="W1021" s="126"/>
      <c r="X1021" s="126"/>
      <c r="Y1021" s="126"/>
      <c r="Z1021" s="126"/>
      <c r="AA1021" s="126"/>
      <c r="AB1021" s="126"/>
      <c r="AC1021" s="126"/>
      <c r="AD1021" s="126"/>
    </row>
    <row r="1022" spans="1:30" ht="13.2">
      <c r="A1022" s="126"/>
      <c r="B1022" s="126" t="s">
        <v>337</v>
      </c>
      <c r="C1022" s="250">
        <v>45365</v>
      </c>
      <c r="D1022" s="246" t="s">
        <v>786</v>
      </c>
      <c r="E1022" s="235" t="str">
        <f>VLOOKUP(D1022,'Danh mục hàng hóa'!$C$3:$D$600,2,0)</f>
        <v>Kẹp tóc hoa lan 08</v>
      </c>
      <c r="F1022" s="236" t="str">
        <f>VLOOKUP(D1022,'Danh mục hàng hóa'!$C$3:$E$613,3,0)</f>
        <v>cái</v>
      </c>
      <c r="G1022" s="248">
        <f t="shared" si="94"/>
        <v>17186.400000000001</v>
      </c>
      <c r="H1022" s="126"/>
      <c r="I1022" s="248">
        <v>1</v>
      </c>
      <c r="J1022" s="246"/>
      <c r="K1022" s="237">
        <f t="shared" si="54"/>
        <v>17186.400000000001</v>
      </c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126"/>
      <c r="V1022" s="126"/>
      <c r="W1022" s="126"/>
      <c r="X1022" s="126"/>
      <c r="Y1022" s="126"/>
      <c r="Z1022" s="126"/>
      <c r="AA1022" s="126"/>
      <c r="AB1022" s="126"/>
      <c r="AC1022" s="126"/>
      <c r="AD1022" s="126"/>
    </row>
    <row r="1023" spans="1:30" ht="13.2">
      <c r="A1023" s="126"/>
      <c r="B1023" s="126" t="s">
        <v>337</v>
      </c>
      <c r="C1023" s="250">
        <v>45365</v>
      </c>
      <c r="D1023" s="246" t="s">
        <v>772</v>
      </c>
      <c r="E1023" s="235" t="str">
        <f>VLOOKUP(D1023,'Danh mục hàng hóa'!$C$3:$D$600,2,0)</f>
        <v>Kẹp tóc hoa lan 01</v>
      </c>
      <c r="F1023" s="236" t="str">
        <f>VLOOKUP(D1023,'Danh mục hàng hóa'!$C$3:$E$613,3,0)</f>
        <v>cái</v>
      </c>
      <c r="G1023" s="248">
        <f t="shared" si="94"/>
        <v>17186.400000000001</v>
      </c>
      <c r="H1023" s="126"/>
      <c r="I1023" s="248">
        <v>1</v>
      </c>
      <c r="J1023" s="246"/>
      <c r="K1023" s="237">
        <f t="shared" si="54"/>
        <v>17186.400000000001</v>
      </c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126"/>
      <c r="V1023" s="126"/>
      <c r="W1023" s="126"/>
      <c r="X1023" s="126"/>
      <c r="Y1023" s="126"/>
      <c r="Z1023" s="126"/>
      <c r="AA1023" s="126"/>
      <c r="AB1023" s="126"/>
      <c r="AC1023" s="126"/>
      <c r="AD1023" s="126"/>
    </row>
    <row r="1024" spans="1:30" ht="13.2">
      <c r="A1024" s="126"/>
      <c r="B1024" s="126" t="s">
        <v>337</v>
      </c>
      <c r="C1024" s="250">
        <v>45365</v>
      </c>
      <c r="D1024" s="246" t="s">
        <v>784</v>
      </c>
      <c r="E1024" s="235" t="str">
        <f>VLOOKUP(D1024,'Danh mục hàng hóa'!$C$3:$D$600,2,0)</f>
        <v>Kẹp tóc hoa lan 07</v>
      </c>
      <c r="F1024" s="236" t="str">
        <f>VLOOKUP(D1024,'Danh mục hàng hóa'!$C$3:$E$613,3,0)</f>
        <v>cái</v>
      </c>
      <c r="G1024" s="248">
        <v>17000</v>
      </c>
      <c r="H1024" s="126"/>
      <c r="I1024" s="248">
        <v>1</v>
      </c>
      <c r="J1024" s="246"/>
      <c r="K1024" s="237">
        <f t="shared" si="54"/>
        <v>17000</v>
      </c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126"/>
      <c r="V1024" s="126"/>
      <c r="W1024" s="126"/>
      <c r="X1024" s="126"/>
      <c r="Y1024" s="126"/>
      <c r="Z1024" s="126"/>
      <c r="AA1024" s="126"/>
      <c r="AB1024" s="126"/>
      <c r="AC1024" s="126"/>
      <c r="AD1024" s="126"/>
    </row>
    <row r="1025" spans="1:30" ht="13.2">
      <c r="A1025" s="126"/>
      <c r="B1025" s="126" t="s">
        <v>337</v>
      </c>
      <c r="C1025" s="250">
        <v>45365</v>
      </c>
      <c r="D1025" s="246" t="s">
        <v>786</v>
      </c>
      <c r="E1025" s="235" t="str">
        <f>VLOOKUP(D1025,'Danh mục hàng hóa'!$C$3:$D$600,2,0)</f>
        <v>Kẹp tóc hoa lan 08</v>
      </c>
      <c r="F1025" s="236" t="str">
        <f>VLOOKUP(D1025,'Danh mục hàng hóa'!$C$3:$E$613,3,0)</f>
        <v>cái</v>
      </c>
      <c r="G1025" s="248">
        <v>17000</v>
      </c>
      <c r="H1025" s="126"/>
      <c r="I1025" s="248">
        <v>1</v>
      </c>
      <c r="J1025" s="246"/>
      <c r="K1025" s="237">
        <f t="shared" si="54"/>
        <v>17000</v>
      </c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126"/>
      <c r="V1025" s="126"/>
      <c r="W1025" s="126"/>
      <c r="X1025" s="126"/>
      <c r="Y1025" s="126"/>
      <c r="Z1025" s="126"/>
      <c r="AA1025" s="126"/>
      <c r="AB1025" s="126"/>
      <c r="AC1025" s="126"/>
      <c r="AD1025" s="126"/>
    </row>
    <row r="1026" spans="1:30" ht="13.2">
      <c r="A1026" s="126"/>
      <c r="B1026" s="126" t="s">
        <v>337</v>
      </c>
      <c r="C1026" s="250">
        <v>45365</v>
      </c>
      <c r="D1026" s="246" t="s">
        <v>409</v>
      </c>
      <c r="E1026" s="235" t="str">
        <f>VLOOKUP(D1026,'Danh mục hàng hóa'!$C$3:$D$600,2,0)</f>
        <v>Túi chườm bụng thỏ dứa 1000ml</v>
      </c>
      <c r="F1026" s="236" t="str">
        <f>VLOOKUP(D1026,'Danh mục hàng hóa'!$C$3:$E$613,3,0)</f>
        <v>túi</v>
      </c>
      <c r="G1026" s="248">
        <v>65000</v>
      </c>
      <c r="H1026" s="126"/>
      <c r="I1026" s="248">
        <v>1</v>
      </c>
      <c r="J1026" s="246"/>
      <c r="K1026" s="237">
        <f t="shared" si="54"/>
        <v>65000</v>
      </c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126"/>
      <c r="V1026" s="126"/>
      <c r="W1026" s="126"/>
      <c r="X1026" s="126"/>
      <c r="Y1026" s="126"/>
      <c r="Z1026" s="126"/>
      <c r="AA1026" s="126"/>
      <c r="AB1026" s="126"/>
      <c r="AC1026" s="126"/>
      <c r="AD1026" s="126"/>
    </row>
    <row r="1027" spans="1:30" ht="13.2">
      <c r="A1027" s="126"/>
      <c r="B1027" s="126" t="s">
        <v>337</v>
      </c>
      <c r="C1027" s="250">
        <v>45366</v>
      </c>
      <c r="D1027" s="246" t="s">
        <v>891</v>
      </c>
      <c r="E1027" s="235" t="str">
        <f>VLOOKUP(D1027,'Danh mục hàng hóa'!$C$3:$D$600,2,0)</f>
        <v>Heo ú</v>
      </c>
      <c r="F1027" s="236" t="str">
        <f>VLOOKUP(D1027,'Danh mục hàng hóa'!$C$3:$E$613,3,0)</f>
        <v>cái</v>
      </c>
      <c r="G1027" s="248">
        <v>46804</v>
      </c>
      <c r="H1027" s="126"/>
      <c r="I1027" s="248">
        <v>1</v>
      </c>
      <c r="J1027" s="246"/>
      <c r="K1027" s="237">
        <f t="shared" si="54"/>
        <v>46804</v>
      </c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126"/>
      <c r="V1027" s="126"/>
      <c r="W1027" s="126"/>
      <c r="X1027" s="126"/>
      <c r="Y1027" s="126"/>
      <c r="Z1027" s="126"/>
      <c r="AA1027" s="126"/>
      <c r="AB1027" s="126"/>
      <c r="AC1027" s="126"/>
      <c r="AD1027" s="126"/>
    </row>
    <row r="1028" spans="1:30" ht="13.2">
      <c r="A1028" s="126"/>
      <c r="B1028" s="126" t="s">
        <v>337</v>
      </c>
      <c r="C1028" s="250">
        <v>45366</v>
      </c>
      <c r="D1028" s="246" t="s">
        <v>784</v>
      </c>
      <c r="E1028" s="235" t="str">
        <f>VLOOKUP(D1028,'Danh mục hàng hóa'!$C$3:$D$600,2,0)</f>
        <v>Kẹp tóc hoa lan 07</v>
      </c>
      <c r="F1028" s="236" t="str">
        <f>VLOOKUP(D1028,'Danh mục hàng hóa'!$C$3:$E$613,3,0)</f>
        <v>cái</v>
      </c>
      <c r="G1028" s="248">
        <v>16599</v>
      </c>
      <c r="H1028" s="126"/>
      <c r="I1028" s="248">
        <v>1</v>
      </c>
      <c r="J1028" s="246"/>
      <c r="K1028" s="237">
        <f t="shared" si="54"/>
        <v>16599</v>
      </c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126"/>
      <c r="V1028" s="126"/>
      <c r="W1028" s="126"/>
      <c r="X1028" s="126"/>
      <c r="Y1028" s="126"/>
      <c r="Z1028" s="126"/>
      <c r="AA1028" s="126"/>
      <c r="AB1028" s="126"/>
      <c r="AC1028" s="126"/>
      <c r="AD1028" s="126"/>
    </row>
    <row r="1029" spans="1:30" ht="13.2">
      <c r="A1029" s="126"/>
      <c r="B1029" s="126" t="s">
        <v>337</v>
      </c>
      <c r="C1029" s="250">
        <v>45366</v>
      </c>
      <c r="D1029" s="246" t="s">
        <v>977</v>
      </c>
      <c r="E1029" s="235" t="str">
        <f>VLOOKUP(D1029,'Danh mục hàng hóa'!$C$3:$D$600,2,0)</f>
        <v>Móc khóa đôi heo</v>
      </c>
      <c r="F1029" s="236" t="str">
        <f>VLOOKUP(D1029,'Danh mục hàng hóa'!$C$3:$E$613,3,0)</f>
        <v>cái</v>
      </c>
      <c r="G1029" s="248">
        <v>48000</v>
      </c>
      <c r="H1029" s="126"/>
      <c r="I1029" s="248">
        <v>1</v>
      </c>
      <c r="J1029" s="246"/>
      <c r="K1029" s="237">
        <f t="shared" si="54"/>
        <v>48000</v>
      </c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126"/>
      <c r="V1029" s="126"/>
      <c r="W1029" s="126"/>
      <c r="X1029" s="126"/>
      <c r="Y1029" s="126"/>
      <c r="Z1029" s="126"/>
      <c r="AA1029" s="126"/>
      <c r="AB1029" s="126"/>
      <c r="AC1029" s="126"/>
      <c r="AD1029" s="126"/>
    </row>
    <row r="1030" spans="1:30" ht="13.2">
      <c r="A1030" s="126"/>
      <c r="B1030" s="126" t="s">
        <v>337</v>
      </c>
      <c r="C1030" s="250">
        <v>45366</v>
      </c>
      <c r="D1030" s="246" t="s">
        <v>784</v>
      </c>
      <c r="E1030" s="235" t="str">
        <f>VLOOKUP(D1030,'Danh mục hàng hóa'!$C$3:$D$600,2,0)</f>
        <v>Kẹp tóc hoa lan 07</v>
      </c>
      <c r="F1030" s="236" t="str">
        <f>VLOOKUP(D1030,'Danh mục hàng hóa'!$C$3:$E$613,3,0)</f>
        <v>cái</v>
      </c>
      <c r="G1030" s="248">
        <f t="shared" ref="G1030:G1031" si="95">34159/2</f>
        <v>17079.5</v>
      </c>
      <c r="H1030" s="126"/>
      <c r="I1030" s="248">
        <v>1</v>
      </c>
      <c r="J1030" s="246"/>
      <c r="K1030" s="237">
        <f t="shared" si="54"/>
        <v>17079.5</v>
      </c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126"/>
      <c r="V1030" s="126"/>
      <c r="W1030" s="126"/>
      <c r="X1030" s="126"/>
      <c r="Y1030" s="126"/>
      <c r="Z1030" s="126"/>
      <c r="AA1030" s="126"/>
      <c r="AB1030" s="126"/>
      <c r="AC1030" s="126"/>
      <c r="AD1030" s="126"/>
    </row>
    <row r="1031" spans="1:30" ht="13.2">
      <c r="A1031" s="126"/>
      <c r="B1031" s="126" t="s">
        <v>337</v>
      </c>
      <c r="C1031" s="250">
        <v>45366</v>
      </c>
      <c r="D1031" s="246" t="s">
        <v>746</v>
      </c>
      <c r="E1031" s="235" t="str">
        <f>VLOOKUP(D1031,'Danh mục hàng hóa'!$C$3:$D$600,2,0)</f>
        <v>Kẹp tóc hoa năm cánh hồng</v>
      </c>
      <c r="F1031" s="236" t="str">
        <f>VLOOKUP(D1031,'Danh mục hàng hóa'!$C$3:$E$613,3,0)</f>
        <v>cái</v>
      </c>
      <c r="G1031" s="248">
        <f t="shared" si="95"/>
        <v>17079.5</v>
      </c>
      <c r="H1031" s="126"/>
      <c r="I1031" s="248">
        <v>1</v>
      </c>
      <c r="J1031" s="246"/>
      <c r="K1031" s="237">
        <f t="shared" si="54"/>
        <v>17079.5</v>
      </c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126"/>
      <c r="V1031" s="126"/>
      <c r="W1031" s="126"/>
      <c r="X1031" s="126"/>
      <c r="Y1031" s="126"/>
      <c r="Z1031" s="126"/>
      <c r="AA1031" s="126"/>
      <c r="AB1031" s="126"/>
      <c r="AC1031" s="126"/>
      <c r="AD1031" s="126"/>
    </row>
    <row r="1032" spans="1:30" ht="13.2">
      <c r="A1032" s="126"/>
      <c r="B1032" s="126" t="s">
        <v>337</v>
      </c>
      <c r="C1032" s="250">
        <v>45366</v>
      </c>
      <c r="D1032" s="246" t="s">
        <v>784</v>
      </c>
      <c r="E1032" s="235" t="str">
        <f>VLOOKUP(D1032,'Danh mục hàng hóa'!$C$3:$D$600,2,0)</f>
        <v>Kẹp tóc hoa lan 07</v>
      </c>
      <c r="F1032" s="236" t="str">
        <f>VLOOKUP(D1032,'Danh mục hàng hóa'!$C$3:$E$613,3,0)</f>
        <v>cái</v>
      </c>
      <c r="G1032" s="248">
        <f t="shared" ref="G1032:G1033" si="96">33977/2</f>
        <v>16988.5</v>
      </c>
      <c r="H1032" s="126"/>
      <c r="I1032" s="248">
        <v>1</v>
      </c>
      <c r="J1032" s="246"/>
      <c r="K1032" s="237">
        <f t="shared" si="54"/>
        <v>16988.5</v>
      </c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126"/>
      <c r="V1032" s="126"/>
      <c r="W1032" s="126"/>
      <c r="X1032" s="126"/>
      <c r="Y1032" s="126"/>
      <c r="Z1032" s="126"/>
      <c r="AA1032" s="126"/>
      <c r="AB1032" s="126"/>
      <c r="AC1032" s="126"/>
      <c r="AD1032" s="126"/>
    </row>
    <row r="1033" spans="1:30" ht="13.2">
      <c r="A1033" s="126"/>
      <c r="B1033" s="126" t="s">
        <v>337</v>
      </c>
      <c r="C1033" s="250">
        <v>45366</v>
      </c>
      <c r="D1033" s="246" t="s">
        <v>786</v>
      </c>
      <c r="E1033" s="235" t="str">
        <f>VLOOKUP(D1033,'Danh mục hàng hóa'!$C$3:$D$600,2,0)</f>
        <v>Kẹp tóc hoa lan 08</v>
      </c>
      <c r="F1033" s="236" t="str">
        <f>VLOOKUP(D1033,'Danh mục hàng hóa'!$C$3:$E$613,3,0)</f>
        <v>cái</v>
      </c>
      <c r="G1033" s="248">
        <f t="shared" si="96"/>
        <v>16988.5</v>
      </c>
      <c r="H1033" s="126"/>
      <c r="I1033" s="248">
        <v>1</v>
      </c>
      <c r="J1033" s="246"/>
      <c r="K1033" s="237">
        <f t="shared" si="54"/>
        <v>16988.5</v>
      </c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126"/>
      <c r="V1033" s="126"/>
      <c r="W1033" s="126"/>
      <c r="X1033" s="126"/>
      <c r="Y1033" s="126"/>
      <c r="Z1033" s="126"/>
      <c r="AA1033" s="126"/>
      <c r="AB1033" s="126"/>
      <c r="AC1033" s="126"/>
      <c r="AD1033" s="126"/>
    </row>
    <row r="1034" spans="1:30" ht="13.2">
      <c r="A1034" s="126"/>
      <c r="B1034" s="126" t="s">
        <v>337</v>
      </c>
      <c r="C1034" s="250">
        <v>45366</v>
      </c>
      <c r="D1034" s="246" t="s">
        <v>784</v>
      </c>
      <c r="E1034" s="235" t="str">
        <f>VLOOKUP(D1034,'Danh mục hàng hóa'!$C$3:$D$600,2,0)</f>
        <v>Kẹp tóc hoa lan 07</v>
      </c>
      <c r="F1034" s="236" t="str">
        <f>VLOOKUP(D1034,'Danh mục hàng hóa'!$C$3:$E$613,3,0)</f>
        <v>cái</v>
      </c>
      <c r="G1034" s="248">
        <f t="shared" ref="G1034:G1036" si="97">46700/3</f>
        <v>15566.666666666666</v>
      </c>
      <c r="H1034" s="126"/>
      <c r="I1034" s="248">
        <v>1</v>
      </c>
      <c r="J1034" s="246"/>
      <c r="K1034" s="237">
        <f t="shared" si="54"/>
        <v>15566.666666666666</v>
      </c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126"/>
      <c r="V1034" s="126"/>
      <c r="W1034" s="126"/>
      <c r="X1034" s="126"/>
      <c r="Y1034" s="126"/>
      <c r="Z1034" s="126"/>
      <c r="AA1034" s="126"/>
      <c r="AB1034" s="126"/>
      <c r="AC1034" s="126"/>
      <c r="AD1034" s="126"/>
    </row>
    <row r="1035" spans="1:30" ht="13.2">
      <c r="A1035" s="126"/>
      <c r="B1035" s="126" t="s">
        <v>337</v>
      </c>
      <c r="C1035" s="250">
        <v>45366</v>
      </c>
      <c r="D1035" s="246" t="s">
        <v>786</v>
      </c>
      <c r="E1035" s="235" t="str">
        <f>VLOOKUP(D1035,'Danh mục hàng hóa'!$C$3:$D$600,2,0)</f>
        <v>Kẹp tóc hoa lan 08</v>
      </c>
      <c r="F1035" s="236" t="str">
        <f>VLOOKUP(D1035,'Danh mục hàng hóa'!$C$3:$E$613,3,0)</f>
        <v>cái</v>
      </c>
      <c r="G1035" s="248">
        <f t="shared" si="97"/>
        <v>15566.666666666666</v>
      </c>
      <c r="H1035" s="126"/>
      <c r="I1035" s="248">
        <v>1</v>
      </c>
      <c r="J1035" s="246"/>
      <c r="K1035" s="237">
        <f t="shared" si="54"/>
        <v>15566.666666666666</v>
      </c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126"/>
      <c r="V1035" s="126"/>
      <c r="W1035" s="126"/>
      <c r="X1035" s="126"/>
      <c r="Y1035" s="126"/>
      <c r="Z1035" s="126"/>
      <c r="AA1035" s="126"/>
      <c r="AB1035" s="126"/>
      <c r="AC1035" s="126"/>
      <c r="AD1035" s="126"/>
    </row>
    <row r="1036" spans="1:30" ht="13.2">
      <c r="A1036" s="126"/>
      <c r="B1036" s="126" t="s">
        <v>337</v>
      </c>
      <c r="C1036" s="250">
        <v>45366</v>
      </c>
      <c r="D1036" s="246" t="s">
        <v>772</v>
      </c>
      <c r="E1036" s="235" t="str">
        <f>VLOOKUP(D1036,'Danh mục hàng hóa'!$C$3:$D$600,2,0)</f>
        <v>Kẹp tóc hoa lan 01</v>
      </c>
      <c r="F1036" s="236" t="str">
        <f>VLOOKUP(D1036,'Danh mục hàng hóa'!$C$3:$E$613,3,0)</f>
        <v>cái</v>
      </c>
      <c r="G1036" s="248">
        <f t="shared" si="97"/>
        <v>15566.666666666666</v>
      </c>
      <c r="H1036" s="126"/>
      <c r="I1036" s="248">
        <v>1</v>
      </c>
      <c r="J1036" s="246"/>
      <c r="K1036" s="237">
        <f t="shared" si="54"/>
        <v>15566.666666666666</v>
      </c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126"/>
      <c r="V1036" s="126"/>
      <c r="W1036" s="126"/>
      <c r="X1036" s="126"/>
      <c r="Y1036" s="126"/>
      <c r="Z1036" s="126"/>
      <c r="AA1036" s="126"/>
      <c r="AB1036" s="126"/>
      <c r="AC1036" s="126"/>
      <c r="AD1036" s="126"/>
    </row>
    <row r="1037" spans="1:30" ht="13.2">
      <c r="A1037" s="126"/>
      <c r="B1037" s="126" t="s">
        <v>337</v>
      </c>
      <c r="C1037" s="250">
        <v>45366</v>
      </c>
      <c r="D1037" s="246" t="s">
        <v>977</v>
      </c>
      <c r="E1037" s="235" t="str">
        <f>VLOOKUP(D1037,'Danh mục hàng hóa'!$C$3:$D$600,2,0)</f>
        <v>Móc khóa đôi heo</v>
      </c>
      <c r="F1037" s="236" t="str">
        <f>VLOOKUP(D1037,'Danh mục hàng hóa'!$C$3:$E$613,3,0)</f>
        <v>cái</v>
      </c>
      <c r="G1037" s="248">
        <v>48708</v>
      </c>
      <c r="H1037" s="126"/>
      <c r="I1037" s="248">
        <v>1</v>
      </c>
      <c r="J1037" s="246"/>
      <c r="K1037" s="237">
        <f t="shared" si="54"/>
        <v>48708</v>
      </c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126"/>
      <c r="V1037" s="126"/>
      <c r="W1037" s="126"/>
      <c r="X1037" s="126"/>
      <c r="Y1037" s="126"/>
      <c r="Z1037" s="126"/>
      <c r="AA1037" s="126"/>
      <c r="AB1037" s="126"/>
      <c r="AC1037" s="126"/>
      <c r="AD1037" s="126"/>
    </row>
    <row r="1038" spans="1:30" ht="13.2">
      <c r="A1038" s="126"/>
      <c r="B1038" s="126" t="s">
        <v>337</v>
      </c>
      <c r="C1038" s="250">
        <v>45366</v>
      </c>
      <c r="D1038" s="246" t="s">
        <v>977</v>
      </c>
      <c r="E1038" s="235" t="str">
        <f>VLOOKUP(D1038,'Danh mục hàng hóa'!$C$3:$D$600,2,0)</f>
        <v>Móc khóa đôi heo</v>
      </c>
      <c r="F1038" s="236" t="str">
        <f>VLOOKUP(D1038,'Danh mục hàng hóa'!$C$3:$E$613,3,0)</f>
        <v>cái</v>
      </c>
      <c r="G1038" s="248">
        <v>48648</v>
      </c>
      <c r="H1038" s="126"/>
      <c r="I1038" s="248">
        <v>1</v>
      </c>
      <c r="J1038" s="246"/>
      <c r="K1038" s="237">
        <f t="shared" si="54"/>
        <v>48648</v>
      </c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126"/>
      <c r="V1038" s="126"/>
      <c r="W1038" s="126"/>
      <c r="X1038" s="126"/>
      <c r="Y1038" s="126"/>
      <c r="Z1038" s="126"/>
      <c r="AA1038" s="126"/>
      <c r="AB1038" s="126"/>
      <c r="AC1038" s="126"/>
      <c r="AD1038" s="126"/>
    </row>
    <row r="1039" spans="1:30" ht="13.2">
      <c r="A1039" s="126"/>
      <c r="B1039" s="126" t="s">
        <v>337</v>
      </c>
      <c r="C1039" s="250">
        <v>45366</v>
      </c>
      <c r="D1039" s="246" t="s">
        <v>895</v>
      </c>
      <c r="E1039" s="235" t="str">
        <f>VLOOKUP(D1039,'Danh mục hàng hóa'!$C$3:$D$600,2,0)</f>
        <v>Thỏ chong chóng</v>
      </c>
      <c r="F1039" s="236" t="str">
        <f>VLOOKUP(D1039,'Danh mục hàng hóa'!$C$3:$E$613,3,0)</f>
        <v>cái</v>
      </c>
      <c r="G1039" s="248">
        <v>47064</v>
      </c>
      <c r="H1039" s="126"/>
      <c r="I1039" s="248">
        <v>1</v>
      </c>
      <c r="J1039" s="246"/>
      <c r="K1039" s="237">
        <f t="shared" si="54"/>
        <v>47064</v>
      </c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126"/>
      <c r="V1039" s="126"/>
      <c r="W1039" s="126"/>
      <c r="X1039" s="126"/>
      <c r="Y1039" s="126"/>
      <c r="Z1039" s="126"/>
      <c r="AA1039" s="126"/>
      <c r="AB1039" s="126"/>
      <c r="AC1039" s="126"/>
      <c r="AD1039" s="126"/>
    </row>
    <row r="1040" spans="1:30" ht="13.2">
      <c r="A1040" s="126"/>
      <c r="B1040" s="126" t="s">
        <v>337</v>
      </c>
      <c r="C1040" s="250">
        <v>45366</v>
      </c>
      <c r="D1040" s="246" t="s">
        <v>772</v>
      </c>
      <c r="E1040" s="235" t="str">
        <f>VLOOKUP(D1040,'Danh mục hàng hóa'!$C$3:$D$600,2,0)</f>
        <v>Kẹp tóc hoa lan 01</v>
      </c>
      <c r="F1040" s="236" t="str">
        <f>VLOOKUP(D1040,'Danh mục hàng hóa'!$C$3:$E$613,3,0)</f>
        <v>cái</v>
      </c>
      <c r="G1040" s="248">
        <f t="shared" ref="G1040:G1041" si="98">34577/2</f>
        <v>17288.5</v>
      </c>
      <c r="H1040" s="126"/>
      <c r="I1040" s="248">
        <v>1</v>
      </c>
      <c r="J1040" s="246"/>
      <c r="K1040" s="237">
        <f t="shared" si="54"/>
        <v>17288.5</v>
      </c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126"/>
      <c r="V1040" s="126"/>
      <c r="W1040" s="126"/>
      <c r="X1040" s="126"/>
      <c r="Y1040" s="126"/>
      <c r="Z1040" s="126"/>
      <c r="AA1040" s="126"/>
      <c r="AB1040" s="126"/>
      <c r="AC1040" s="126"/>
      <c r="AD1040" s="126"/>
    </row>
    <row r="1041" spans="1:30" ht="13.2">
      <c r="A1041" s="126"/>
      <c r="B1041" s="126" t="s">
        <v>337</v>
      </c>
      <c r="C1041" s="250">
        <v>45366</v>
      </c>
      <c r="D1041" s="246" t="s">
        <v>786</v>
      </c>
      <c r="E1041" s="235" t="str">
        <f>VLOOKUP(D1041,'Danh mục hàng hóa'!$C$3:$D$600,2,0)</f>
        <v>Kẹp tóc hoa lan 08</v>
      </c>
      <c r="F1041" s="236" t="str">
        <f>VLOOKUP(D1041,'Danh mục hàng hóa'!$C$3:$E$613,3,0)</f>
        <v>cái</v>
      </c>
      <c r="G1041" s="248">
        <f t="shared" si="98"/>
        <v>17288.5</v>
      </c>
      <c r="H1041" s="126"/>
      <c r="I1041" s="248">
        <v>1</v>
      </c>
      <c r="J1041" s="246"/>
      <c r="K1041" s="237">
        <f t="shared" si="54"/>
        <v>17288.5</v>
      </c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126"/>
      <c r="V1041" s="126"/>
      <c r="W1041" s="126"/>
      <c r="X1041" s="126"/>
      <c r="Y1041" s="126"/>
      <c r="Z1041" s="126"/>
      <c r="AA1041" s="126"/>
      <c r="AB1041" s="126"/>
      <c r="AC1041" s="126"/>
      <c r="AD1041" s="126"/>
    </row>
    <row r="1042" spans="1:30" ht="13.2">
      <c r="A1042" s="126"/>
      <c r="B1042" s="126" t="s">
        <v>337</v>
      </c>
      <c r="C1042" s="250">
        <v>45366</v>
      </c>
      <c r="D1042" s="246" t="s">
        <v>782</v>
      </c>
      <c r="E1042" s="235" t="str">
        <f>VLOOKUP(D1042,'Danh mục hàng hóa'!$C$3:$D$600,2,0)</f>
        <v>Kẹp tóc hoa lan 06</v>
      </c>
      <c r="F1042" s="236" t="str">
        <f>VLOOKUP(D1042,'Danh mục hàng hóa'!$C$3:$E$613,3,0)</f>
        <v>cái</v>
      </c>
      <c r="G1042" s="248">
        <v>17319</v>
      </c>
      <c r="H1042" s="126"/>
      <c r="I1042" s="248">
        <v>1</v>
      </c>
      <c r="J1042" s="246"/>
      <c r="K1042" s="237">
        <f t="shared" si="54"/>
        <v>17319</v>
      </c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126"/>
      <c r="V1042" s="126"/>
      <c r="W1042" s="126"/>
      <c r="X1042" s="126"/>
      <c r="Y1042" s="126"/>
      <c r="Z1042" s="126"/>
      <c r="AA1042" s="126"/>
      <c r="AB1042" s="126"/>
      <c r="AC1042" s="126"/>
      <c r="AD1042" s="126"/>
    </row>
    <row r="1043" spans="1:30" ht="13.2">
      <c r="A1043" s="126"/>
      <c r="B1043" s="126" t="s">
        <v>337</v>
      </c>
      <c r="C1043" s="250">
        <v>45366</v>
      </c>
      <c r="D1043" s="246" t="s">
        <v>784</v>
      </c>
      <c r="E1043" s="235" t="str">
        <f>VLOOKUP(D1043,'Danh mục hàng hóa'!$C$3:$D$600,2,0)</f>
        <v>Kẹp tóc hoa lan 07</v>
      </c>
      <c r="F1043" s="236" t="str">
        <f>VLOOKUP(D1043,'Danh mục hàng hóa'!$C$3:$E$613,3,0)</f>
        <v>cái</v>
      </c>
      <c r="G1043" s="248">
        <f t="shared" ref="G1043:G1044" si="99">34577/2</f>
        <v>17288.5</v>
      </c>
      <c r="H1043" s="126"/>
      <c r="I1043" s="248">
        <v>1</v>
      </c>
      <c r="J1043" s="246"/>
      <c r="K1043" s="237">
        <f t="shared" si="54"/>
        <v>17288.5</v>
      </c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126"/>
      <c r="V1043" s="126"/>
      <c r="W1043" s="126"/>
      <c r="X1043" s="126"/>
      <c r="Y1043" s="126"/>
      <c r="Z1043" s="126"/>
      <c r="AA1043" s="126"/>
      <c r="AB1043" s="126"/>
      <c r="AC1043" s="126"/>
      <c r="AD1043" s="126"/>
    </row>
    <row r="1044" spans="1:30" ht="13.2">
      <c r="A1044" s="126"/>
      <c r="B1044" s="126" t="s">
        <v>337</v>
      </c>
      <c r="C1044" s="250">
        <v>45366</v>
      </c>
      <c r="D1044" s="246" t="s">
        <v>772</v>
      </c>
      <c r="E1044" s="235" t="str">
        <f>VLOOKUP(D1044,'Danh mục hàng hóa'!$C$3:$D$600,2,0)</f>
        <v>Kẹp tóc hoa lan 01</v>
      </c>
      <c r="F1044" s="236" t="str">
        <f>VLOOKUP(D1044,'Danh mục hàng hóa'!$C$3:$E$613,3,0)</f>
        <v>cái</v>
      </c>
      <c r="G1044" s="248">
        <f t="shared" si="99"/>
        <v>17288.5</v>
      </c>
      <c r="H1044" s="126"/>
      <c r="I1044" s="248">
        <v>1</v>
      </c>
      <c r="J1044" s="246"/>
      <c r="K1044" s="237">
        <f t="shared" si="54"/>
        <v>17288.5</v>
      </c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126"/>
      <c r="V1044" s="126"/>
      <c r="W1044" s="126"/>
      <c r="X1044" s="126"/>
      <c r="Y1044" s="126"/>
      <c r="Z1044" s="126"/>
      <c r="AA1044" s="126"/>
      <c r="AB1044" s="126"/>
      <c r="AC1044" s="126"/>
      <c r="AD1044" s="126"/>
    </row>
    <row r="1045" spans="1:30" ht="13.2">
      <c r="A1045" s="126"/>
      <c r="B1045" s="126" t="s">
        <v>337</v>
      </c>
      <c r="C1045" s="250">
        <v>45366</v>
      </c>
      <c r="D1045" s="246" t="s">
        <v>772</v>
      </c>
      <c r="E1045" s="235" t="str">
        <f>VLOOKUP(D1045,'Danh mục hàng hóa'!$C$3:$D$600,2,0)</f>
        <v>Kẹp tóc hoa lan 01</v>
      </c>
      <c r="F1045" s="236" t="str">
        <f>VLOOKUP(D1045,'Danh mục hàng hóa'!$C$3:$E$613,3,0)</f>
        <v>cái</v>
      </c>
      <c r="G1045" s="248">
        <f t="shared" ref="G1045:G1049" si="100">92375/5</f>
        <v>18475</v>
      </c>
      <c r="H1045" s="126"/>
      <c r="I1045" s="248">
        <v>1</v>
      </c>
      <c r="J1045" s="246"/>
      <c r="K1045" s="237">
        <f t="shared" si="54"/>
        <v>18475</v>
      </c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126"/>
      <c r="V1045" s="126"/>
      <c r="W1045" s="126"/>
      <c r="X1045" s="126"/>
      <c r="Y1045" s="126"/>
      <c r="Z1045" s="126"/>
      <c r="AA1045" s="126"/>
      <c r="AB1045" s="126"/>
      <c r="AC1045" s="126"/>
      <c r="AD1045" s="126"/>
    </row>
    <row r="1046" spans="1:30" ht="13.2">
      <c r="A1046" s="126"/>
      <c r="B1046" s="126" t="s">
        <v>337</v>
      </c>
      <c r="C1046" s="250">
        <v>45366</v>
      </c>
      <c r="D1046" s="246" t="s">
        <v>778</v>
      </c>
      <c r="E1046" s="235" t="str">
        <f>VLOOKUP(D1046,'Danh mục hàng hóa'!$C$3:$D$600,2,0)</f>
        <v>Kẹp tóc hoa lan 04</v>
      </c>
      <c r="F1046" s="236" t="str">
        <f>VLOOKUP(D1046,'Danh mục hàng hóa'!$C$3:$E$613,3,0)</f>
        <v>cái</v>
      </c>
      <c r="G1046" s="248">
        <f t="shared" si="100"/>
        <v>18475</v>
      </c>
      <c r="H1046" s="126"/>
      <c r="I1046" s="248">
        <v>1</v>
      </c>
      <c r="J1046" s="246"/>
      <c r="K1046" s="237">
        <f t="shared" si="54"/>
        <v>18475</v>
      </c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126"/>
      <c r="V1046" s="126"/>
      <c r="W1046" s="126"/>
      <c r="X1046" s="126"/>
      <c r="Y1046" s="126"/>
      <c r="Z1046" s="126"/>
      <c r="AA1046" s="126"/>
      <c r="AB1046" s="126"/>
      <c r="AC1046" s="126"/>
      <c r="AD1046" s="126"/>
    </row>
    <row r="1047" spans="1:30" ht="13.2">
      <c r="A1047" s="126"/>
      <c r="B1047" s="126" t="s">
        <v>337</v>
      </c>
      <c r="C1047" s="250">
        <v>45366</v>
      </c>
      <c r="D1047" s="246" t="s">
        <v>782</v>
      </c>
      <c r="E1047" s="235" t="str">
        <f>VLOOKUP(D1047,'Danh mục hàng hóa'!$C$3:$D$600,2,0)</f>
        <v>Kẹp tóc hoa lan 06</v>
      </c>
      <c r="F1047" s="236" t="str">
        <f>VLOOKUP(D1047,'Danh mục hàng hóa'!$C$3:$E$613,3,0)</f>
        <v>cái</v>
      </c>
      <c r="G1047" s="248">
        <f t="shared" si="100"/>
        <v>18475</v>
      </c>
      <c r="H1047" s="126"/>
      <c r="I1047" s="248">
        <v>1</v>
      </c>
      <c r="J1047" s="246"/>
      <c r="K1047" s="237">
        <f t="shared" si="54"/>
        <v>18475</v>
      </c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126"/>
      <c r="V1047" s="126"/>
      <c r="W1047" s="126"/>
      <c r="X1047" s="126"/>
      <c r="Y1047" s="126"/>
      <c r="Z1047" s="126"/>
      <c r="AA1047" s="126"/>
      <c r="AB1047" s="126"/>
      <c r="AC1047" s="126"/>
      <c r="AD1047" s="126"/>
    </row>
    <row r="1048" spans="1:30" ht="13.2">
      <c r="A1048" s="126"/>
      <c r="B1048" s="126" t="s">
        <v>337</v>
      </c>
      <c r="C1048" s="250">
        <v>45366</v>
      </c>
      <c r="D1048" s="246" t="s">
        <v>480</v>
      </c>
      <c r="E1048" s="235" t="str">
        <f>VLOOKUP(D1048,'Danh mục hàng hóa'!$C$3:$D$600,2,0)</f>
        <v>Trâm cài gỗ nâu có họa tiết</v>
      </c>
      <c r="F1048" s="236" t="str">
        <f>VLOOKUP(D1048,'Danh mục hàng hóa'!$C$3:$E$613,3,0)</f>
        <v>cái</v>
      </c>
      <c r="G1048" s="248">
        <f t="shared" si="100"/>
        <v>18475</v>
      </c>
      <c r="H1048" s="126"/>
      <c r="I1048" s="248">
        <v>1</v>
      </c>
      <c r="J1048" s="246"/>
      <c r="K1048" s="237">
        <f t="shared" si="54"/>
        <v>18475</v>
      </c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126"/>
      <c r="V1048" s="126"/>
      <c r="W1048" s="126"/>
      <c r="X1048" s="126"/>
      <c r="Y1048" s="126"/>
      <c r="Z1048" s="126"/>
      <c r="AA1048" s="126"/>
      <c r="AB1048" s="126"/>
      <c r="AC1048" s="126"/>
      <c r="AD1048" s="126"/>
    </row>
    <row r="1049" spans="1:30" ht="13.2">
      <c r="A1049" s="126"/>
      <c r="B1049" s="126" t="s">
        <v>337</v>
      </c>
      <c r="C1049" s="250">
        <v>45366</v>
      </c>
      <c r="D1049" s="246" t="s">
        <v>472</v>
      </c>
      <c r="E1049" s="235" t="str">
        <f>VLOOKUP(D1049,'Danh mục hàng hóa'!$C$3:$D$600,2,0)</f>
        <v>Trâm cài gỗ nâu trơn</v>
      </c>
      <c r="F1049" s="236" t="str">
        <f>VLOOKUP(D1049,'Danh mục hàng hóa'!$C$3:$E$613,3,0)</f>
        <v>cái</v>
      </c>
      <c r="G1049" s="248">
        <f t="shared" si="100"/>
        <v>18475</v>
      </c>
      <c r="H1049" s="126"/>
      <c r="I1049" s="248">
        <v>1</v>
      </c>
      <c r="J1049" s="246"/>
      <c r="K1049" s="237">
        <f t="shared" si="54"/>
        <v>18475</v>
      </c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126"/>
      <c r="V1049" s="126"/>
      <c r="W1049" s="126"/>
      <c r="X1049" s="126"/>
      <c r="Y1049" s="126"/>
      <c r="Z1049" s="126"/>
      <c r="AA1049" s="126"/>
      <c r="AB1049" s="126"/>
      <c r="AC1049" s="126"/>
      <c r="AD1049" s="126"/>
    </row>
    <row r="1050" spans="1:30" ht="13.2">
      <c r="A1050" s="126"/>
      <c r="B1050" s="126" t="s">
        <v>337</v>
      </c>
      <c r="C1050" s="250">
        <v>45366</v>
      </c>
      <c r="D1050" s="246" t="s">
        <v>977</v>
      </c>
      <c r="E1050" s="235" t="str">
        <f>VLOOKUP(D1050,'Danh mục hàng hóa'!$C$3:$D$600,2,0)</f>
        <v>Móc khóa đôi heo</v>
      </c>
      <c r="F1050" s="236" t="str">
        <f>VLOOKUP(D1050,'Danh mục hàng hóa'!$C$3:$E$613,3,0)</f>
        <v>cái</v>
      </c>
      <c r="G1050" s="248">
        <v>50000</v>
      </c>
      <c r="H1050" s="126"/>
      <c r="I1050" s="248">
        <v>1</v>
      </c>
      <c r="J1050" s="246"/>
      <c r="K1050" s="237">
        <f t="shared" si="54"/>
        <v>50000</v>
      </c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126"/>
      <c r="V1050" s="126"/>
      <c r="W1050" s="126"/>
      <c r="X1050" s="126"/>
      <c r="Y1050" s="126"/>
      <c r="Z1050" s="126"/>
      <c r="AA1050" s="126"/>
      <c r="AB1050" s="126"/>
      <c r="AC1050" s="126"/>
      <c r="AD1050" s="126"/>
    </row>
    <row r="1051" spans="1:30" ht="13.2">
      <c r="A1051" s="126"/>
      <c r="B1051" s="126" t="s">
        <v>337</v>
      </c>
      <c r="C1051" s="250">
        <v>45366</v>
      </c>
      <c r="D1051" s="246" t="s">
        <v>552</v>
      </c>
      <c r="E1051" s="235" t="str">
        <f>VLOOKUP(D1051,'Danh mục hàng hóa'!$C$3:$D$600,2,0)</f>
        <v>Ống 20 dây cột tóc kem be nâu</v>
      </c>
      <c r="F1051" s="236" t="str">
        <f>VLOOKUP(D1051,'Danh mục hàng hóa'!$C$3:$E$613,3,0)</f>
        <v>ống</v>
      </c>
      <c r="G1051" s="248">
        <v>13036</v>
      </c>
      <c r="H1051" s="126"/>
      <c r="I1051" s="248">
        <v>1</v>
      </c>
      <c r="J1051" s="246"/>
      <c r="K1051" s="237">
        <f t="shared" si="54"/>
        <v>13036</v>
      </c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126"/>
      <c r="V1051" s="126"/>
      <c r="W1051" s="126"/>
      <c r="X1051" s="126"/>
      <c r="Y1051" s="126"/>
      <c r="Z1051" s="126"/>
      <c r="AA1051" s="126"/>
      <c r="AB1051" s="126"/>
      <c r="AC1051" s="126"/>
      <c r="AD1051" s="126"/>
    </row>
    <row r="1052" spans="1:30" ht="13.2">
      <c r="A1052" s="126"/>
      <c r="B1052" s="126" t="s">
        <v>337</v>
      </c>
      <c r="C1052" s="250">
        <v>45366</v>
      </c>
      <c r="D1052" s="246" t="s">
        <v>891</v>
      </c>
      <c r="E1052" s="235" t="str">
        <f>VLOOKUP(D1052,'Danh mục hàng hóa'!$C$3:$D$600,2,0)</f>
        <v>Heo ú</v>
      </c>
      <c r="F1052" s="236" t="str">
        <f>VLOOKUP(D1052,'Danh mục hàng hóa'!$C$3:$E$613,3,0)</f>
        <v>cái</v>
      </c>
      <c r="G1052" s="248">
        <v>47124</v>
      </c>
      <c r="H1052" s="126"/>
      <c r="I1052" s="248">
        <v>1</v>
      </c>
      <c r="J1052" s="246"/>
      <c r="K1052" s="237">
        <f t="shared" si="54"/>
        <v>47124</v>
      </c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126"/>
      <c r="V1052" s="126"/>
      <c r="W1052" s="126"/>
      <c r="X1052" s="126"/>
      <c r="Y1052" s="126"/>
      <c r="Z1052" s="126"/>
      <c r="AA1052" s="126"/>
      <c r="AB1052" s="126"/>
      <c r="AC1052" s="126"/>
      <c r="AD1052" s="126"/>
    </row>
    <row r="1053" spans="1:30" ht="13.2">
      <c r="A1053" s="126"/>
      <c r="B1053" s="126" t="s">
        <v>337</v>
      </c>
      <c r="C1053" s="250">
        <v>45366</v>
      </c>
      <c r="D1053" s="246" t="s">
        <v>420</v>
      </c>
      <c r="E1053" s="235" t="str">
        <f>VLOOKUP(D1053,'Danh mục hàng hóa'!$C$3:$D$600,2,0)</f>
        <v>Túi chườm bụng thỏ dứa 500ml</v>
      </c>
      <c r="F1053" s="236" t="str">
        <f>VLOOKUP(D1053,'Danh mục hàng hóa'!$C$3:$E$613,3,0)</f>
        <v>túi</v>
      </c>
      <c r="G1053" s="248">
        <v>57563</v>
      </c>
      <c r="H1053" s="126"/>
      <c r="I1053" s="248">
        <v>1</v>
      </c>
      <c r="J1053" s="246"/>
      <c r="K1053" s="237">
        <f t="shared" si="54"/>
        <v>57563</v>
      </c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126"/>
      <c r="V1053" s="126"/>
      <c r="W1053" s="126"/>
      <c r="X1053" s="126"/>
      <c r="Y1053" s="126"/>
      <c r="Z1053" s="126"/>
      <c r="AA1053" s="126"/>
      <c r="AB1053" s="126"/>
      <c r="AC1053" s="126"/>
      <c r="AD1053" s="126"/>
    </row>
    <row r="1054" spans="1:30" ht="13.2">
      <c r="A1054" s="126"/>
      <c r="B1054" s="126" t="s">
        <v>337</v>
      </c>
      <c r="C1054" s="250">
        <v>45366</v>
      </c>
      <c r="D1054" s="246" t="s">
        <v>780</v>
      </c>
      <c r="E1054" s="235" t="str">
        <f>VLOOKUP(D1054,'Danh mục hàng hóa'!$C$3:$D$600,2,0)</f>
        <v>Kẹp tóc hoa lan 05</v>
      </c>
      <c r="F1054" s="236" t="str">
        <f>VLOOKUP(D1054,'Danh mục hàng hóa'!$C$3:$E$613,3,0)</f>
        <v>cái</v>
      </c>
      <c r="G1054" s="248">
        <f t="shared" ref="G1054:G1055" si="101">34577/2</f>
        <v>17288.5</v>
      </c>
      <c r="H1054" s="126"/>
      <c r="I1054" s="248">
        <v>1</v>
      </c>
      <c r="J1054" s="246"/>
      <c r="K1054" s="237">
        <f t="shared" si="54"/>
        <v>17288.5</v>
      </c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126"/>
      <c r="V1054" s="126"/>
      <c r="W1054" s="126"/>
      <c r="X1054" s="126"/>
      <c r="Y1054" s="126"/>
      <c r="Z1054" s="126"/>
      <c r="AA1054" s="126"/>
      <c r="AB1054" s="126"/>
      <c r="AC1054" s="126"/>
      <c r="AD1054" s="126"/>
    </row>
    <row r="1055" spans="1:30" ht="13.2">
      <c r="A1055" s="126"/>
      <c r="B1055" s="126" t="s">
        <v>337</v>
      </c>
      <c r="C1055" s="250">
        <v>45366</v>
      </c>
      <c r="D1055" s="246" t="s">
        <v>782</v>
      </c>
      <c r="E1055" s="235" t="str">
        <f>VLOOKUP(D1055,'Danh mục hàng hóa'!$C$3:$D$600,2,0)</f>
        <v>Kẹp tóc hoa lan 06</v>
      </c>
      <c r="F1055" s="236" t="str">
        <f>VLOOKUP(D1055,'Danh mục hàng hóa'!$C$3:$E$613,3,0)</f>
        <v>cái</v>
      </c>
      <c r="G1055" s="248">
        <f t="shared" si="101"/>
        <v>17288.5</v>
      </c>
      <c r="H1055" s="126"/>
      <c r="I1055" s="248">
        <v>1</v>
      </c>
      <c r="J1055" s="246"/>
      <c r="K1055" s="237">
        <f t="shared" si="54"/>
        <v>17288.5</v>
      </c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126"/>
      <c r="V1055" s="126"/>
      <c r="W1055" s="126"/>
      <c r="X1055" s="126"/>
      <c r="Y1055" s="126"/>
      <c r="Z1055" s="126"/>
      <c r="AA1055" s="126"/>
      <c r="AB1055" s="126"/>
      <c r="AC1055" s="126"/>
      <c r="AD1055" s="126"/>
    </row>
    <row r="1056" spans="1:30" ht="13.2">
      <c r="A1056" s="126"/>
      <c r="B1056" s="126"/>
      <c r="C1056" s="126"/>
      <c r="D1056" s="246"/>
      <c r="E1056" s="236" t="e">
        <f>VLOOKUP(D1056,'Danh mục hàng hóa'!$C$3:$D$600,2,0)</f>
        <v>#N/A</v>
      </c>
      <c r="F1056" s="236" t="e">
        <f>VLOOKUP(D1056,'Danh mục hàng hóa'!$C$3:$E$613,3,0)</f>
        <v>#N/A</v>
      </c>
      <c r="G1056" s="126"/>
      <c r="H1056" s="126"/>
      <c r="I1056" s="126"/>
      <c r="J1056" s="246"/>
      <c r="K1056" s="237">
        <f t="shared" si="54"/>
        <v>0</v>
      </c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126"/>
      <c r="V1056" s="126"/>
      <c r="W1056" s="126"/>
      <c r="X1056" s="126"/>
      <c r="Y1056" s="126"/>
      <c r="Z1056" s="126"/>
      <c r="AA1056" s="126"/>
      <c r="AB1056" s="126"/>
      <c r="AC1056" s="126"/>
      <c r="AD1056" s="126"/>
    </row>
    <row r="1057" spans="1:30" ht="13.2">
      <c r="A1057" s="126"/>
      <c r="B1057" s="126"/>
      <c r="C1057" s="126"/>
      <c r="D1057" s="246"/>
      <c r="E1057" s="236" t="e">
        <f>VLOOKUP(D1057,'Danh mục hàng hóa'!$C$3:$D$600,2,0)</f>
        <v>#N/A</v>
      </c>
      <c r="F1057" s="236" t="e">
        <f>VLOOKUP(D1057,'Danh mục hàng hóa'!$C$3:$E$613,3,0)</f>
        <v>#N/A</v>
      </c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126"/>
      <c r="V1057" s="126"/>
      <c r="W1057" s="126"/>
      <c r="X1057" s="126"/>
      <c r="Y1057" s="126"/>
      <c r="Z1057" s="126"/>
      <c r="AA1057" s="126"/>
      <c r="AB1057" s="126"/>
      <c r="AC1057" s="126"/>
      <c r="AD1057" s="126"/>
    </row>
    <row r="1058" spans="1:30" ht="13.2">
      <c r="A1058" s="126"/>
      <c r="B1058" s="126"/>
      <c r="C1058" s="126"/>
      <c r="D1058" s="246"/>
      <c r="E1058" s="236" t="e">
        <f>VLOOKUP(D1058,'Danh mục hàng hóa'!$C$3:$D$600,2,0)</f>
        <v>#N/A</v>
      </c>
      <c r="F1058" s="236" t="e">
        <f>VLOOKUP(D1058,'Danh mục hàng hóa'!$C$3:$E$613,3,0)</f>
        <v>#N/A</v>
      </c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126"/>
      <c r="V1058" s="126"/>
      <c r="W1058" s="126"/>
      <c r="X1058" s="126"/>
      <c r="Y1058" s="126"/>
      <c r="Z1058" s="126"/>
      <c r="AA1058" s="126"/>
      <c r="AB1058" s="126"/>
      <c r="AC1058" s="126"/>
      <c r="AD1058" s="126"/>
    </row>
    <row r="1059" spans="1:30" ht="13.2">
      <c r="A1059" s="126"/>
      <c r="B1059" s="126"/>
      <c r="C1059" s="126"/>
      <c r="D1059" s="126"/>
      <c r="E1059" s="246"/>
      <c r="F1059" s="236" t="e">
        <f>VLOOKUP(D1059,'Danh mục hàng hóa'!$C$3:$E$613,3,0)</f>
        <v>#N/A</v>
      </c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126"/>
      <c r="V1059" s="126"/>
      <c r="W1059" s="126"/>
      <c r="X1059" s="126"/>
      <c r="Y1059" s="126"/>
      <c r="Z1059" s="126"/>
      <c r="AA1059" s="126"/>
      <c r="AB1059" s="126"/>
      <c r="AC1059" s="126"/>
      <c r="AD1059" s="126"/>
    </row>
    <row r="1060" spans="1:30" ht="13.2">
      <c r="A1060" s="126"/>
      <c r="B1060" s="126"/>
      <c r="C1060" s="126"/>
      <c r="D1060" s="126"/>
      <c r="E1060" s="126"/>
      <c r="F1060" s="126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126"/>
      <c r="V1060" s="126"/>
      <c r="W1060" s="126"/>
      <c r="X1060" s="126"/>
      <c r="Y1060" s="126"/>
      <c r="Z1060" s="126"/>
      <c r="AA1060" s="126"/>
      <c r="AB1060" s="126"/>
      <c r="AC1060" s="126"/>
      <c r="AD1060" s="126"/>
    </row>
    <row r="1061" spans="1:30" ht="13.2">
      <c r="A1061" s="126"/>
      <c r="B1061" s="126"/>
      <c r="C1061" s="126"/>
      <c r="D1061" s="126"/>
      <c r="E1061" s="126"/>
      <c r="F1061" s="126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126"/>
      <c r="V1061" s="126"/>
      <c r="W1061" s="126"/>
      <c r="X1061" s="126"/>
      <c r="Y1061" s="126"/>
      <c r="Z1061" s="126"/>
      <c r="AA1061" s="126"/>
      <c r="AB1061" s="126"/>
      <c r="AC1061" s="126"/>
      <c r="AD1061" s="126"/>
    </row>
    <row r="1062" spans="1:30" ht="13.2">
      <c r="A1062" s="126"/>
      <c r="B1062" s="126"/>
      <c r="C1062" s="126"/>
      <c r="D1062" s="126"/>
      <c r="E1062" s="126"/>
      <c r="F1062" s="126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126"/>
      <c r="V1062" s="126"/>
      <c r="W1062" s="126"/>
      <c r="X1062" s="126"/>
      <c r="Y1062" s="126"/>
      <c r="Z1062" s="126"/>
      <c r="AA1062" s="126"/>
      <c r="AB1062" s="126"/>
      <c r="AC1062" s="126"/>
      <c r="AD1062" s="126"/>
    </row>
    <row r="1063" spans="1:30" ht="13.2">
      <c r="A1063" s="126"/>
      <c r="B1063" s="126"/>
      <c r="C1063" s="126"/>
      <c r="D1063" s="126"/>
      <c r="E1063" s="126"/>
      <c r="F1063" s="126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126"/>
      <c r="V1063" s="126"/>
      <c r="W1063" s="126"/>
      <c r="X1063" s="126"/>
      <c r="Y1063" s="126"/>
      <c r="Z1063" s="126"/>
      <c r="AA1063" s="126"/>
      <c r="AB1063" s="126"/>
      <c r="AC1063" s="126"/>
      <c r="AD1063" s="126"/>
    </row>
    <row r="1064" spans="1:30" ht="13.2">
      <c r="A1064" s="126"/>
      <c r="B1064" s="126"/>
      <c r="C1064" s="126"/>
      <c r="D1064" s="126"/>
      <c r="E1064" s="126"/>
      <c r="F1064" s="126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126"/>
      <c r="V1064" s="126"/>
      <c r="W1064" s="126"/>
      <c r="X1064" s="126"/>
      <c r="Y1064" s="126"/>
      <c r="Z1064" s="126"/>
      <c r="AA1064" s="126"/>
      <c r="AB1064" s="126"/>
      <c r="AC1064" s="126"/>
      <c r="AD1064" s="126"/>
    </row>
    <row r="1065" spans="1:30" ht="13.2">
      <c r="A1065" s="126"/>
      <c r="B1065" s="126"/>
      <c r="C1065" s="126"/>
      <c r="D1065" s="126"/>
      <c r="E1065" s="126"/>
      <c r="F1065" s="126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126"/>
      <c r="V1065" s="126"/>
      <c r="W1065" s="126"/>
      <c r="X1065" s="126"/>
      <c r="Y1065" s="126"/>
      <c r="Z1065" s="126"/>
      <c r="AA1065" s="126"/>
      <c r="AB1065" s="126"/>
      <c r="AC1065" s="126"/>
      <c r="AD1065" s="126"/>
    </row>
    <row r="1066" spans="1:30" ht="13.2">
      <c r="A1066" s="126"/>
      <c r="B1066" s="126"/>
      <c r="C1066" s="126"/>
      <c r="D1066" s="126"/>
      <c r="E1066" s="126"/>
      <c r="F1066" s="126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126"/>
      <c r="V1066" s="126"/>
      <c r="W1066" s="126"/>
      <c r="X1066" s="126"/>
      <c r="Y1066" s="126"/>
      <c r="Z1066" s="126"/>
      <c r="AA1066" s="126"/>
      <c r="AB1066" s="126"/>
      <c r="AC1066" s="126"/>
      <c r="AD1066" s="126"/>
    </row>
    <row r="1067" spans="1:30" ht="13.2">
      <c r="A1067" s="126"/>
      <c r="B1067" s="126"/>
      <c r="C1067" s="126"/>
      <c r="D1067" s="126"/>
      <c r="E1067" s="126"/>
      <c r="F1067" s="126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126"/>
      <c r="V1067" s="126"/>
      <c r="W1067" s="126"/>
      <c r="X1067" s="126"/>
      <c r="Y1067" s="126"/>
      <c r="Z1067" s="126"/>
      <c r="AA1067" s="126"/>
      <c r="AB1067" s="126"/>
      <c r="AC1067" s="126"/>
      <c r="AD1067" s="126"/>
    </row>
    <row r="1068" spans="1:30" ht="13.2">
      <c r="A1068" s="126"/>
      <c r="B1068" s="126"/>
      <c r="C1068" s="126"/>
      <c r="D1068" s="126"/>
      <c r="E1068" s="126"/>
      <c r="F1068" s="126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126"/>
      <c r="V1068" s="126"/>
      <c r="W1068" s="126"/>
      <c r="X1068" s="126"/>
      <c r="Y1068" s="126"/>
      <c r="Z1068" s="126"/>
      <c r="AA1068" s="126"/>
      <c r="AB1068" s="126"/>
      <c r="AC1068" s="126"/>
      <c r="AD1068" s="126"/>
    </row>
    <row r="1069" spans="1:30" ht="13.2">
      <c r="A1069" s="126"/>
      <c r="B1069" s="126"/>
      <c r="C1069" s="126"/>
      <c r="D1069" s="126"/>
      <c r="E1069" s="126"/>
      <c r="F1069" s="126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6"/>
      <c r="V1069" s="126"/>
      <c r="W1069" s="126"/>
      <c r="X1069" s="126"/>
      <c r="Y1069" s="126"/>
      <c r="Z1069" s="126"/>
      <c r="AA1069" s="126"/>
      <c r="AB1069" s="126"/>
      <c r="AC1069" s="126"/>
      <c r="AD1069" s="126"/>
    </row>
    <row r="1070" spans="1:30" ht="13.2">
      <c r="A1070" s="126"/>
      <c r="B1070" s="126"/>
      <c r="C1070" s="126"/>
      <c r="D1070" s="126"/>
      <c r="E1070" s="126"/>
      <c r="F1070" s="126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6"/>
      <c r="V1070" s="126"/>
      <c r="W1070" s="126"/>
      <c r="X1070" s="126"/>
      <c r="Y1070" s="126"/>
      <c r="Z1070" s="126"/>
      <c r="AA1070" s="126"/>
      <c r="AB1070" s="126"/>
      <c r="AC1070" s="126"/>
      <c r="AD1070" s="126"/>
    </row>
    <row r="1071" spans="1:30" ht="13.2">
      <c r="A1071" s="126"/>
      <c r="B1071" s="126"/>
      <c r="C1071" s="126"/>
      <c r="D1071" s="126"/>
      <c r="E1071" s="126"/>
      <c r="F1071" s="126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6"/>
      <c r="V1071" s="126"/>
      <c r="W1071" s="126"/>
      <c r="X1071" s="126"/>
      <c r="Y1071" s="126"/>
      <c r="Z1071" s="126"/>
      <c r="AA1071" s="126"/>
      <c r="AB1071" s="126"/>
      <c r="AC1071" s="126"/>
      <c r="AD1071" s="126"/>
    </row>
    <row r="1072" spans="1:30" ht="13.2">
      <c r="A1072" s="126"/>
      <c r="B1072" s="126"/>
      <c r="C1072" s="126"/>
      <c r="D1072" s="126"/>
      <c r="E1072" s="126"/>
      <c r="F1072" s="126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6"/>
      <c r="V1072" s="126"/>
      <c r="W1072" s="126"/>
      <c r="X1072" s="126"/>
      <c r="Y1072" s="126"/>
      <c r="Z1072" s="126"/>
      <c r="AA1072" s="126"/>
      <c r="AB1072" s="126"/>
      <c r="AC1072" s="126"/>
      <c r="AD1072" s="126"/>
    </row>
    <row r="1073" spans="1:30" ht="13.2">
      <c r="A1073" s="126"/>
      <c r="B1073" s="126"/>
      <c r="C1073" s="126"/>
      <c r="D1073" s="126"/>
      <c r="E1073" s="126"/>
      <c r="F1073" s="126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6"/>
      <c r="V1073" s="126"/>
      <c r="W1073" s="126"/>
      <c r="X1073" s="126"/>
      <c r="Y1073" s="126"/>
      <c r="Z1073" s="126"/>
      <c r="AA1073" s="126"/>
      <c r="AB1073" s="126"/>
      <c r="AC1073" s="126"/>
      <c r="AD1073" s="126"/>
    </row>
    <row r="1074" spans="1:30" ht="13.2">
      <c r="A1074" s="126"/>
      <c r="B1074" s="126"/>
      <c r="C1074" s="126"/>
      <c r="D1074" s="126"/>
      <c r="E1074" s="126"/>
      <c r="F1074" s="126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6"/>
      <c r="V1074" s="126"/>
      <c r="W1074" s="126"/>
      <c r="X1074" s="126"/>
      <c r="Y1074" s="126"/>
      <c r="Z1074" s="126"/>
      <c r="AA1074" s="126"/>
      <c r="AB1074" s="126"/>
      <c r="AC1074" s="126"/>
      <c r="AD1074" s="126"/>
    </row>
    <row r="1075" spans="1:30" ht="13.2">
      <c r="A1075" s="126"/>
      <c r="B1075" s="126"/>
      <c r="C1075" s="126"/>
      <c r="D1075" s="126"/>
      <c r="E1075" s="126"/>
      <c r="F1075" s="126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6"/>
      <c r="V1075" s="126"/>
      <c r="W1075" s="126"/>
      <c r="X1075" s="126"/>
      <c r="Y1075" s="126"/>
      <c r="Z1075" s="126"/>
      <c r="AA1075" s="126"/>
      <c r="AB1075" s="126"/>
      <c r="AC1075" s="126"/>
      <c r="AD1075" s="126"/>
    </row>
    <row r="1076" spans="1:30" ht="13.2">
      <c r="A1076" s="126"/>
      <c r="B1076" s="126"/>
      <c r="C1076" s="126"/>
      <c r="D1076" s="126"/>
      <c r="E1076" s="126"/>
      <c r="F1076" s="126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6"/>
      <c r="V1076" s="126"/>
      <c r="W1076" s="126"/>
      <c r="X1076" s="126"/>
      <c r="Y1076" s="126"/>
      <c r="Z1076" s="126"/>
      <c r="AA1076" s="126"/>
      <c r="AB1076" s="126"/>
      <c r="AC1076" s="126"/>
      <c r="AD1076" s="126"/>
    </row>
    <row r="1077" spans="1:30" ht="13.2">
      <c r="A1077" s="126"/>
      <c r="B1077" s="126"/>
      <c r="C1077" s="126"/>
      <c r="D1077" s="126"/>
      <c r="E1077" s="126"/>
      <c r="F1077" s="126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6"/>
      <c r="V1077" s="126"/>
      <c r="W1077" s="126"/>
      <c r="X1077" s="126"/>
      <c r="Y1077" s="126"/>
      <c r="Z1077" s="126"/>
      <c r="AA1077" s="126"/>
      <c r="AB1077" s="126"/>
      <c r="AC1077" s="126"/>
      <c r="AD1077" s="126"/>
    </row>
    <row r="1078" spans="1:30" ht="13.2">
      <c r="A1078" s="126"/>
      <c r="B1078" s="126"/>
      <c r="C1078" s="126"/>
      <c r="D1078" s="126"/>
      <c r="E1078" s="126"/>
      <c r="F1078" s="126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6"/>
      <c r="V1078" s="126"/>
      <c r="W1078" s="126"/>
      <c r="X1078" s="126"/>
      <c r="Y1078" s="126"/>
      <c r="Z1078" s="126"/>
      <c r="AA1078" s="126"/>
      <c r="AB1078" s="126"/>
      <c r="AC1078" s="126"/>
      <c r="AD1078" s="126"/>
    </row>
    <row r="1079" spans="1:30" ht="13.2">
      <c r="A1079" s="126"/>
      <c r="B1079" s="126"/>
      <c r="C1079" s="126"/>
      <c r="D1079" s="126"/>
      <c r="E1079" s="126"/>
      <c r="F1079" s="126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6"/>
      <c r="V1079" s="126"/>
      <c r="W1079" s="126"/>
      <c r="X1079" s="126"/>
      <c r="Y1079" s="126"/>
      <c r="Z1079" s="126"/>
      <c r="AA1079" s="126"/>
      <c r="AB1079" s="126"/>
      <c r="AC1079" s="126"/>
      <c r="AD1079" s="126"/>
    </row>
    <row r="1080" spans="1:30" ht="13.2">
      <c r="A1080" s="126"/>
      <c r="B1080" s="126"/>
      <c r="C1080" s="126"/>
      <c r="D1080" s="126"/>
      <c r="E1080" s="126"/>
      <c r="F1080" s="126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6"/>
      <c r="V1080" s="126"/>
      <c r="W1080" s="126"/>
      <c r="X1080" s="126"/>
      <c r="Y1080" s="126"/>
      <c r="Z1080" s="126"/>
      <c r="AA1080" s="126"/>
      <c r="AB1080" s="126"/>
      <c r="AC1080" s="126"/>
      <c r="AD1080" s="126"/>
    </row>
    <row r="1081" spans="1:30" ht="13.2">
      <c r="A1081" s="126"/>
      <c r="B1081" s="126"/>
      <c r="C1081" s="126"/>
      <c r="D1081" s="126"/>
      <c r="E1081" s="126"/>
      <c r="F1081" s="126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6"/>
      <c r="V1081" s="126"/>
      <c r="W1081" s="126"/>
      <c r="X1081" s="126"/>
      <c r="Y1081" s="126"/>
      <c r="Z1081" s="126"/>
      <c r="AA1081" s="126"/>
      <c r="AB1081" s="126"/>
      <c r="AC1081" s="126"/>
      <c r="AD1081" s="126"/>
    </row>
    <row r="1082" spans="1:30" ht="13.2">
      <c r="A1082" s="126"/>
      <c r="B1082" s="126"/>
      <c r="C1082" s="126"/>
      <c r="D1082" s="126"/>
      <c r="E1082" s="126"/>
      <c r="F1082" s="126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6"/>
      <c r="V1082" s="126"/>
      <c r="W1082" s="126"/>
      <c r="X1082" s="126"/>
      <c r="Y1082" s="126"/>
      <c r="Z1082" s="126"/>
      <c r="AA1082" s="126"/>
      <c r="AB1082" s="126"/>
      <c r="AC1082" s="126"/>
      <c r="AD1082" s="126"/>
    </row>
    <row r="1083" spans="1:30" ht="13.2">
      <c r="A1083" s="126"/>
      <c r="B1083" s="126"/>
      <c r="C1083" s="126"/>
      <c r="D1083" s="126"/>
      <c r="E1083" s="126"/>
      <c r="F1083" s="126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6"/>
      <c r="V1083" s="126"/>
      <c r="W1083" s="126"/>
      <c r="X1083" s="126"/>
      <c r="Y1083" s="126"/>
      <c r="Z1083" s="126"/>
      <c r="AA1083" s="126"/>
      <c r="AB1083" s="126"/>
      <c r="AC1083" s="126"/>
      <c r="AD1083" s="126"/>
    </row>
    <row r="1084" spans="1:30" ht="13.2">
      <c r="A1084" s="126"/>
      <c r="B1084" s="126"/>
      <c r="C1084" s="126"/>
      <c r="D1084" s="126"/>
      <c r="E1084" s="126"/>
      <c r="F1084" s="126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6"/>
      <c r="V1084" s="126"/>
      <c r="W1084" s="126"/>
      <c r="X1084" s="126"/>
      <c r="Y1084" s="126"/>
      <c r="Z1084" s="126"/>
      <c r="AA1084" s="126"/>
      <c r="AB1084" s="126"/>
      <c r="AC1084" s="126"/>
      <c r="AD1084" s="126"/>
    </row>
    <row r="1085" spans="1:30" ht="13.2">
      <c r="A1085" s="126"/>
      <c r="B1085" s="126"/>
      <c r="C1085" s="126"/>
      <c r="D1085" s="126"/>
      <c r="E1085" s="126"/>
      <c r="F1085" s="126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6"/>
      <c r="V1085" s="126"/>
      <c r="W1085" s="126"/>
      <c r="X1085" s="126"/>
      <c r="Y1085" s="126"/>
      <c r="Z1085" s="126"/>
      <c r="AA1085" s="126"/>
      <c r="AB1085" s="126"/>
      <c r="AC1085" s="126"/>
      <c r="AD1085" s="126"/>
    </row>
    <row r="1086" spans="1:30" ht="13.2">
      <c r="A1086" s="126"/>
      <c r="B1086" s="126"/>
      <c r="C1086" s="126"/>
      <c r="D1086" s="126"/>
      <c r="E1086" s="126"/>
      <c r="F1086" s="126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6"/>
      <c r="V1086" s="126"/>
      <c r="W1086" s="126"/>
      <c r="X1086" s="126"/>
      <c r="Y1086" s="126"/>
      <c r="Z1086" s="126"/>
      <c r="AA1086" s="126"/>
      <c r="AB1086" s="126"/>
      <c r="AC1086" s="126"/>
      <c r="AD1086" s="126"/>
    </row>
    <row r="1087" spans="1:30" ht="13.2">
      <c r="A1087" s="126"/>
      <c r="B1087" s="126"/>
      <c r="C1087" s="126"/>
      <c r="D1087" s="126"/>
      <c r="E1087" s="126"/>
      <c r="F1087" s="126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6"/>
      <c r="V1087" s="126"/>
      <c r="W1087" s="126"/>
      <c r="X1087" s="126"/>
      <c r="Y1087" s="126"/>
      <c r="Z1087" s="126"/>
      <c r="AA1087" s="126"/>
      <c r="AB1087" s="126"/>
      <c r="AC1087" s="126"/>
      <c r="AD1087" s="126"/>
    </row>
    <row r="1088" spans="1:30" ht="13.2">
      <c r="A1088" s="126"/>
      <c r="B1088" s="126"/>
      <c r="C1088" s="126"/>
      <c r="D1088" s="126"/>
      <c r="E1088" s="126"/>
      <c r="F1088" s="126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6"/>
      <c r="V1088" s="126"/>
      <c r="W1088" s="126"/>
      <c r="X1088" s="126"/>
      <c r="Y1088" s="126"/>
      <c r="Z1088" s="126"/>
      <c r="AA1088" s="126"/>
      <c r="AB1088" s="126"/>
      <c r="AC1088" s="126"/>
      <c r="AD1088" s="126"/>
    </row>
    <row r="1089" spans="1:30" ht="13.2">
      <c r="A1089" s="126"/>
      <c r="B1089" s="126"/>
      <c r="C1089" s="126"/>
      <c r="D1089" s="126"/>
      <c r="E1089" s="126"/>
      <c r="F1089" s="126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6"/>
      <c r="V1089" s="126"/>
      <c r="W1089" s="126"/>
      <c r="X1089" s="126"/>
      <c r="Y1089" s="126"/>
      <c r="Z1089" s="126"/>
      <c r="AA1089" s="126"/>
      <c r="AB1089" s="126"/>
      <c r="AC1089" s="126"/>
      <c r="AD1089" s="126"/>
    </row>
    <row r="1090" spans="1:30" ht="13.2">
      <c r="A1090" s="126"/>
      <c r="B1090" s="126"/>
      <c r="C1090" s="126"/>
      <c r="D1090" s="126"/>
      <c r="E1090" s="126"/>
      <c r="F1090" s="126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6"/>
      <c r="V1090" s="126"/>
      <c r="W1090" s="126"/>
      <c r="X1090" s="126"/>
      <c r="Y1090" s="126"/>
      <c r="Z1090" s="126"/>
      <c r="AA1090" s="126"/>
      <c r="AB1090" s="126"/>
      <c r="AC1090" s="126"/>
      <c r="AD1090" s="126"/>
    </row>
    <row r="1091" spans="1:30" ht="13.2">
      <c r="A1091" s="126"/>
      <c r="B1091" s="126"/>
      <c r="C1091" s="126"/>
      <c r="D1091" s="126"/>
      <c r="E1091" s="126"/>
      <c r="F1091" s="126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6"/>
      <c r="V1091" s="126"/>
      <c r="W1091" s="126"/>
      <c r="X1091" s="126"/>
      <c r="Y1091" s="126"/>
      <c r="Z1091" s="126"/>
      <c r="AA1091" s="126"/>
      <c r="AB1091" s="126"/>
      <c r="AC1091" s="126"/>
      <c r="AD1091" s="126"/>
    </row>
    <row r="1092" spans="1:30" ht="13.2">
      <c r="A1092" s="126"/>
      <c r="B1092" s="126"/>
      <c r="C1092" s="126"/>
      <c r="D1092" s="126"/>
      <c r="E1092" s="126"/>
      <c r="F1092" s="126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6"/>
      <c r="V1092" s="126"/>
      <c r="W1092" s="126"/>
      <c r="X1092" s="126"/>
      <c r="Y1092" s="126"/>
      <c r="Z1092" s="126"/>
      <c r="AA1092" s="126"/>
      <c r="AB1092" s="126"/>
      <c r="AC1092" s="126"/>
      <c r="AD1092" s="126"/>
    </row>
    <row r="1093" spans="1:30" ht="13.2">
      <c r="A1093" s="126"/>
      <c r="B1093" s="126"/>
      <c r="C1093" s="126"/>
      <c r="D1093" s="126"/>
      <c r="E1093" s="126"/>
      <c r="F1093" s="126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6"/>
      <c r="V1093" s="126"/>
      <c r="W1093" s="126"/>
      <c r="X1093" s="126"/>
      <c r="Y1093" s="126"/>
      <c r="Z1093" s="126"/>
      <c r="AA1093" s="126"/>
      <c r="AB1093" s="126"/>
      <c r="AC1093" s="126"/>
      <c r="AD1093" s="126"/>
    </row>
    <row r="1094" spans="1:30" ht="13.2">
      <c r="A1094" s="126"/>
      <c r="B1094" s="126"/>
      <c r="C1094" s="126"/>
      <c r="D1094" s="126"/>
      <c r="E1094" s="126"/>
      <c r="F1094" s="126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6"/>
      <c r="V1094" s="126"/>
      <c r="W1094" s="126"/>
      <c r="X1094" s="126"/>
      <c r="Y1094" s="126"/>
      <c r="Z1094" s="126"/>
      <c r="AA1094" s="126"/>
      <c r="AB1094" s="126"/>
      <c r="AC1094" s="126"/>
      <c r="AD1094" s="126"/>
    </row>
    <row r="1095" spans="1:30" ht="13.2">
      <c r="A1095" s="126"/>
      <c r="B1095" s="126"/>
      <c r="C1095" s="126"/>
      <c r="D1095" s="126"/>
      <c r="E1095" s="126"/>
      <c r="F1095" s="126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6"/>
      <c r="V1095" s="126"/>
      <c r="W1095" s="126"/>
      <c r="X1095" s="126"/>
      <c r="Y1095" s="126"/>
      <c r="Z1095" s="126"/>
      <c r="AA1095" s="126"/>
      <c r="AB1095" s="126"/>
      <c r="AC1095" s="126"/>
      <c r="AD1095" s="126"/>
    </row>
    <row r="1096" spans="1:30" ht="13.2">
      <c r="A1096" s="126"/>
      <c r="B1096" s="126"/>
      <c r="C1096" s="126"/>
      <c r="D1096" s="126"/>
      <c r="E1096" s="126"/>
      <c r="F1096" s="126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6"/>
      <c r="V1096" s="126"/>
      <c r="W1096" s="126"/>
      <c r="X1096" s="126"/>
      <c r="Y1096" s="126"/>
      <c r="Z1096" s="126"/>
      <c r="AA1096" s="126"/>
      <c r="AB1096" s="126"/>
      <c r="AC1096" s="126"/>
      <c r="AD1096" s="126"/>
    </row>
  </sheetData>
  <mergeCells count="4">
    <mergeCell ref="A1:L1"/>
    <mergeCell ref="L25:L27"/>
    <mergeCell ref="L337:L339"/>
    <mergeCell ref="L535:L5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E1118"/>
  <sheetViews>
    <sheetView workbookViewId="0"/>
  </sheetViews>
  <sheetFormatPr defaultColWidth="12.6640625" defaultRowHeight="15.75" customHeight="1"/>
  <cols>
    <col min="4" max="4" width="36.33203125" customWidth="1"/>
  </cols>
  <sheetData>
    <row r="1" spans="1:31" ht="15.75" customHeight="1">
      <c r="A1" s="143"/>
      <c r="B1" s="417" t="s">
        <v>380</v>
      </c>
      <c r="C1" s="385"/>
      <c r="D1" s="385"/>
      <c r="E1" s="385"/>
      <c r="F1" s="385"/>
      <c r="G1" s="385"/>
      <c r="H1" s="385"/>
      <c r="I1" s="385"/>
      <c r="J1" s="385"/>
      <c r="K1" s="385"/>
      <c r="L1" s="386"/>
      <c r="M1" s="252">
        <f>SUM(M3:M2000)</f>
        <v>21038229.000000004</v>
      </c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</row>
    <row r="2" spans="1:31">
      <c r="A2" s="240"/>
      <c r="B2" s="230" t="s">
        <v>381</v>
      </c>
      <c r="C2" s="230" t="s">
        <v>382</v>
      </c>
      <c r="D2" s="230" t="s">
        <v>383</v>
      </c>
      <c r="E2" s="230" t="s">
        <v>384</v>
      </c>
      <c r="F2" s="253" t="s">
        <v>2104</v>
      </c>
      <c r="G2" s="254" t="s">
        <v>2118</v>
      </c>
      <c r="H2" s="230" t="s">
        <v>385</v>
      </c>
      <c r="I2" s="230" t="s">
        <v>2155</v>
      </c>
      <c r="J2" s="230" t="s">
        <v>2156</v>
      </c>
      <c r="K2" s="230" t="s">
        <v>2157</v>
      </c>
      <c r="L2" s="230" t="s">
        <v>338</v>
      </c>
      <c r="M2" s="247" t="s">
        <v>2158</v>
      </c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spans="1:31">
      <c r="A3" s="418" t="s">
        <v>391</v>
      </c>
      <c r="B3" s="236">
        <v>1</v>
      </c>
      <c r="C3" s="235" t="s">
        <v>392</v>
      </c>
      <c r="D3" s="235" t="s">
        <v>393</v>
      </c>
      <c r="E3" s="236" t="s">
        <v>394</v>
      </c>
      <c r="F3" s="255">
        <v>12.8</v>
      </c>
      <c r="G3" s="256">
        <f t="shared" ref="G3:G12" si="0">F3*3550+5000</f>
        <v>50440</v>
      </c>
      <c r="H3" s="257">
        <v>91500</v>
      </c>
      <c r="I3" s="235"/>
      <c r="J3" s="237">
        <f>SUMIF(File1!$D$1:$D$2034,C3,File1!$H$1:$H$2034)</f>
        <v>2</v>
      </c>
      <c r="K3" s="237">
        <f>SUMIF(File1!$D$8:$D$2034,C3,File1!$I$8:$I$2034)</f>
        <v>2</v>
      </c>
      <c r="L3" s="237">
        <f t="shared" ref="L3:L257" si="1">J3-K3</f>
        <v>0</v>
      </c>
      <c r="M3" s="237">
        <f>SUMIF(File1!$D$3:$D$1800,C3,File1!$K$3:$L$1800)</f>
        <v>181732</v>
      </c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</row>
    <row r="4" spans="1:31">
      <c r="A4" s="372"/>
      <c r="B4" s="236">
        <v>2</v>
      </c>
      <c r="C4" s="235" t="s">
        <v>397</v>
      </c>
      <c r="D4" s="235" t="s">
        <v>2159</v>
      </c>
      <c r="E4" s="236" t="s">
        <v>394</v>
      </c>
      <c r="F4" s="255">
        <v>12.8</v>
      </c>
      <c r="G4" s="256">
        <f t="shared" si="0"/>
        <v>50440</v>
      </c>
      <c r="H4" s="257">
        <v>91500</v>
      </c>
      <c r="I4" s="235"/>
      <c r="J4" s="237">
        <f>SUMIF(File1!$D$1:$D$2034,C4,File1!$H$1:$H$2034)</f>
        <v>6</v>
      </c>
      <c r="K4" s="237">
        <f>SUMIF(File1!$D$8:$D$2034,C4,File1!$I$8:$I$2034)</f>
        <v>2</v>
      </c>
      <c r="L4" s="237">
        <f t="shared" si="1"/>
        <v>4</v>
      </c>
      <c r="M4" s="237">
        <f>SUMIF(File1!$D$3:$D$1800,C4,File1!$K$3:$L$1800)</f>
        <v>155530</v>
      </c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</row>
    <row r="5" spans="1:31">
      <c r="A5" s="372"/>
      <c r="B5" s="236">
        <v>3</v>
      </c>
      <c r="C5" s="235" t="s">
        <v>401</v>
      </c>
      <c r="D5" s="235" t="s">
        <v>2119</v>
      </c>
      <c r="E5" s="236" t="s">
        <v>394</v>
      </c>
      <c r="F5" s="255">
        <v>12.8</v>
      </c>
      <c r="G5" s="256">
        <f t="shared" si="0"/>
        <v>50440</v>
      </c>
      <c r="H5" s="257">
        <v>91500</v>
      </c>
      <c r="I5" s="235"/>
      <c r="J5" s="237">
        <f>SUMIF(File1!$D$1:$D$2034,C5,File1!$H$1:$H$2034)</f>
        <v>6</v>
      </c>
      <c r="K5" s="237">
        <f>SUMIF(File1!$D$8:$D$2034,C5,File1!$I$8:$I$2034)</f>
        <v>4</v>
      </c>
      <c r="L5" s="237">
        <f t="shared" si="1"/>
        <v>2</v>
      </c>
      <c r="M5" s="237">
        <f>SUMIF(File1!$D$3:$D$1800,C5,File1!$K$3:$L$1800)</f>
        <v>329717</v>
      </c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</row>
    <row r="6" spans="1:31">
      <c r="A6" s="372"/>
      <c r="B6" s="236">
        <v>4</v>
      </c>
      <c r="C6" s="235" t="s">
        <v>405</v>
      </c>
      <c r="D6" s="235" t="s">
        <v>2120</v>
      </c>
      <c r="E6" s="236" t="s">
        <v>394</v>
      </c>
      <c r="F6" s="255">
        <v>12.8</v>
      </c>
      <c r="G6" s="256">
        <f t="shared" si="0"/>
        <v>50440</v>
      </c>
      <c r="H6" s="257">
        <v>91500</v>
      </c>
      <c r="I6" s="235"/>
      <c r="J6" s="237">
        <f>SUMIF(File1!$D$1:$D$2034,C6,File1!$H$1:$H$2034)</f>
        <v>4</v>
      </c>
      <c r="K6" s="237">
        <f>SUMIF(File1!$D$8:$D$2034,C6,File1!$I$8:$I$2034)</f>
        <v>1</v>
      </c>
      <c r="L6" s="237">
        <f t="shared" si="1"/>
        <v>3</v>
      </c>
      <c r="M6" s="237">
        <f>SUMIF(File1!$D$3:$D$1800,C6,File1!$K$3:$L$1800)</f>
        <v>81868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</row>
    <row r="7" spans="1:31">
      <c r="A7" s="372"/>
      <c r="B7" s="236">
        <v>5</v>
      </c>
      <c r="C7" s="235" t="s">
        <v>409</v>
      </c>
      <c r="D7" s="235" t="s">
        <v>2121</v>
      </c>
      <c r="E7" s="236" t="s">
        <v>394</v>
      </c>
      <c r="F7" s="255">
        <v>12.8</v>
      </c>
      <c r="G7" s="256">
        <f t="shared" si="0"/>
        <v>50440</v>
      </c>
      <c r="H7" s="257">
        <v>91500</v>
      </c>
      <c r="I7" s="235"/>
      <c r="J7" s="237">
        <f>SUMIF(File1!$D$1:$D$2034,C7,File1!$H$1:$H$2034)</f>
        <v>6</v>
      </c>
      <c r="K7" s="237">
        <f>SUMIF(File1!$D$8:$D$2034,C7,File1!$I$8:$I$2034)</f>
        <v>4</v>
      </c>
      <c r="L7" s="237">
        <f t="shared" si="1"/>
        <v>2</v>
      </c>
      <c r="M7" s="237">
        <f>SUMIF(File1!$D$3:$D$1800,C7,File1!$K$3:$L$1800)</f>
        <v>340920</v>
      </c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</row>
    <row r="8" spans="1:31">
      <c r="A8" s="372"/>
      <c r="B8" s="236">
        <v>6</v>
      </c>
      <c r="C8" s="235" t="s">
        <v>413</v>
      </c>
      <c r="D8" s="235" t="s">
        <v>396</v>
      </c>
      <c r="E8" s="236" t="s">
        <v>394</v>
      </c>
      <c r="F8" s="255">
        <v>10.8</v>
      </c>
      <c r="G8" s="256">
        <f t="shared" si="0"/>
        <v>43340</v>
      </c>
      <c r="H8" s="257">
        <f t="shared" ref="H8:H12" si="2">ROUND(G8*1.9,-3)</f>
        <v>82000</v>
      </c>
      <c r="I8" s="235"/>
      <c r="J8" s="237">
        <f>SUMIF(File1!$D$1:$D$2034,C8,File1!$H$1:$H$2034)</f>
        <v>3</v>
      </c>
      <c r="K8" s="237">
        <f>SUMIF(File1!$D$8:$D$2034,C8,File1!$I$8:$I$2034)</f>
        <v>2</v>
      </c>
      <c r="L8" s="237">
        <f t="shared" si="1"/>
        <v>1</v>
      </c>
      <c r="M8" s="237">
        <f>SUMIF(File1!$D$3:$D$1800,C8,File1!$K$3:$L$1800)</f>
        <v>138000</v>
      </c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</row>
    <row r="9" spans="1:31">
      <c r="A9" s="372"/>
      <c r="B9" s="236">
        <v>7</v>
      </c>
      <c r="C9" s="235" t="s">
        <v>414</v>
      </c>
      <c r="D9" s="235" t="s">
        <v>415</v>
      </c>
      <c r="E9" s="236" t="s">
        <v>394</v>
      </c>
      <c r="F9" s="255">
        <v>10.8</v>
      </c>
      <c r="G9" s="256">
        <f t="shared" si="0"/>
        <v>43340</v>
      </c>
      <c r="H9" s="257">
        <f t="shared" si="2"/>
        <v>82000</v>
      </c>
      <c r="I9" s="235"/>
      <c r="J9" s="237">
        <f>SUMIF(File1!$D$1:$D$2034,C9,File1!$H$1:$H$2034)</f>
        <v>4</v>
      </c>
      <c r="K9" s="237">
        <f>SUMIF(File1!$D$8:$D$2034,C9,File1!$I$8:$I$2034)</f>
        <v>4</v>
      </c>
      <c r="L9" s="237">
        <f t="shared" si="1"/>
        <v>0</v>
      </c>
      <c r="M9" s="237">
        <f>SUMIF(File1!$D$3:$D$1800,C9,File1!$K$3:$L$1800)</f>
        <v>270363</v>
      </c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</row>
    <row r="10" spans="1:31">
      <c r="A10" s="372"/>
      <c r="B10" s="236">
        <v>8</v>
      </c>
      <c r="C10" s="235" t="s">
        <v>416</v>
      </c>
      <c r="D10" s="235" t="s">
        <v>417</v>
      </c>
      <c r="E10" s="236" t="s">
        <v>394</v>
      </c>
      <c r="F10" s="255">
        <v>10.8</v>
      </c>
      <c r="G10" s="256">
        <f t="shared" si="0"/>
        <v>43340</v>
      </c>
      <c r="H10" s="257">
        <f t="shared" si="2"/>
        <v>82000</v>
      </c>
      <c r="I10" s="235"/>
      <c r="J10" s="237">
        <f>SUMIF(File1!$D$1:$D$2034,C10,File1!$H$1:$H$2034)</f>
        <v>4</v>
      </c>
      <c r="K10" s="237">
        <f>SUMIF(File1!$D$8:$D$2034,C10,File1!$I$8:$I$2034)</f>
        <v>1</v>
      </c>
      <c r="L10" s="237">
        <f t="shared" si="1"/>
        <v>3</v>
      </c>
      <c r="M10" s="237">
        <f>SUMIF(File1!$D$3:$D$1800,C10,File1!$K$3:$L$1800)</f>
        <v>60000</v>
      </c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</row>
    <row r="11" spans="1:31">
      <c r="A11" s="372"/>
      <c r="B11" s="236">
        <v>9</v>
      </c>
      <c r="C11" s="235" t="s">
        <v>418</v>
      </c>
      <c r="D11" s="235" t="s">
        <v>419</v>
      </c>
      <c r="E11" s="236" t="s">
        <v>394</v>
      </c>
      <c r="F11" s="255">
        <v>10.8</v>
      </c>
      <c r="G11" s="256">
        <f t="shared" si="0"/>
        <v>43340</v>
      </c>
      <c r="H11" s="257">
        <f t="shared" si="2"/>
        <v>82000</v>
      </c>
      <c r="I11" s="235"/>
      <c r="J11" s="237">
        <f>SUMIF(File1!$D$1:$D$2034,C11,File1!$H$1:$H$2034)</f>
        <v>3</v>
      </c>
      <c r="K11" s="237">
        <f>SUMIF(File1!$D$8:$D$2034,C11,File1!$I$8:$I$2034)</f>
        <v>2</v>
      </c>
      <c r="L11" s="237">
        <f t="shared" si="1"/>
        <v>1</v>
      </c>
      <c r="M11" s="237">
        <f>SUMIF(File1!$D$3:$D$1800,C11,File1!$K$3:$L$1800)</f>
        <v>153724</v>
      </c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</row>
    <row r="12" spans="1:31">
      <c r="A12" s="372"/>
      <c r="B12" s="236">
        <v>10</v>
      </c>
      <c r="C12" s="235" t="s">
        <v>420</v>
      </c>
      <c r="D12" s="235" t="s">
        <v>421</v>
      </c>
      <c r="E12" s="236" t="s">
        <v>394</v>
      </c>
      <c r="F12" s="255">
        <v>10.8</v>
      </c>
      <c r="G12" s="256">
        <f t="shared" si="0"/>
        <v>43340</v>
      </c>
      <c r="H12" s="257">
        <f t="shared" si="2"/>
        <v>82000</v>
      </c>
      <c r="I12" s="235"/>
      <c r="J12" s="237">
        <f>SUMIF(File1!$D$1:$D$2034,C12,File1!$H$1:$H$2034)</f>
        <v>4</v>
      </c>
      <c r="K12" s="237">
        <f>SUMIF(File1!$D$8:$D$2034,C12,File1!$I$8:$I$2034)</f>
        <v>4</v>
      </c>
      <c r="L12" s="237">
        <f t="shared" si="1"/>
        <v>0</v>
      </c>
      <c r="M12" s="237">
        <f>SUMIF(File1!$D$3:$D$1800,C12,File1!$K$3:$L$1800)</f>
        <v>289127</v>
      </c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</row>
    <row r="13" spans="1:31">
      <c r="A13" s="372"/>
      <c r="B13" s="236">
        <v>11</v>
      </c>
      <c r="C13" s="249" t="s">
        <v>422</v>
      </c>
      <c r="D13" s="249" t="s">
        <v>423</v>
      </c>
      <c r="E13" s="233" t="s">
        <v>394</v>
      </c>
      <c r="F13" s="258">
        <v>9</v>
      </c>
      <c r="G13" s="259">
        <f t="shared" ref="G13:G16" si="3">F13*3510</f>
        <v>31590</v>
      </c>
      <c r="H13" s="257">
        <f t="shared" ref="H13:H16" si="4">ROUND(G13*2,-3)</f>
        <v>63000</v>
      </c>
      <c r="I13" s="235"/>
      <c r="J13" s="237">
        <f>SUMIF(File1!$D$1:$D$2034,C13,File1!$H$1:$H$2034)</f>
        <v>10</v>
      </c>
      <c r="K13" s="237">
        <f>SUMIF(File1!$D$8:$D$2034,C13,File1!$I$8:$I$2034)</f>
        <v>0</v>
      </c>
      <c r="L13" s="237">
        <f t="shared" si="1"/>
        <v>10</v>
      </c>
      <c r="M13" s="237">
        <f>SUMIF(File1!$D$3:$D$1800,C13,File1!$K$3:$L$1800)</f>
        <v>0</v>
      </c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</row>
    <row r="14" spans="1:31">
      <c r="A14" s="372"/>
      <c r="B14" s="236">
        <v>12</v>
      </c>
      <c r="C14" s="249" t="s">
        <v>424</v>
      </c>
      <c r="D14" s="249" t="s">
        <v>425</v>
      </c>
      <c r="E14" s="233" t="s">
        <v>394</v>
      </c>
      <c r="F14" s="258">
        <v>9</v>
      </c>
      <c r="G14" s="259">
        <f t="shared" si="3"/>
        <v>31590</v>
      </c>
      <c r="H14" s="257">
        <f t="shared" si="4"/>
        <v>63000</v>
      </c>
      <c r="I14" s="235"/>
      <c r="J14" s="237">
        <f>SUMIF(File1!$D$1:$D$2034,C14,File1!$H$1:$H$2034)</f>
        <v>10</v>
      </c>
      <c r="K14" s="237">
        <f>SUMIF(File1!$D$8:$D$2034,C14,File1!$I$8:$I$2034)</f>
        <v>4</v>
      </c>
      <c r="L14" s="237">
        <f t="shared" si="1"/>
        <v>6</v>
      </c>
      <c r="M14" s="237">
        <f>SUMIF(File1!$D$3:$D$1800,C14,File1!$K$3:$L$1800)</f>
        <v>241584</v>
      </c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</row>
    <row r="15" spans="1:31">
      <c r="A15" s="372"/>
      <c r="B15" s="236">
        <v>13</v>
      </c>
      <c r="C15" s="249" t="s">
        <v>426</v>
      </c>
      <c r="D15" s="249" t="s">
        <v>427</v>
      </c>
      <c r="E15" s="233" t="s">
        <v>394</v>
      </c>
      <c r="F15" s="258">
        <v>9</v>
      </c>
      <c r="G15" s="259">
        <f t="shared" si="3"/>
        <v>31590</v>
      </c>
      <c r="H15" s="257">
        <f t="shared" si="4"/>
        <v>63000</v>
      </c>
      <c r="I15" s="235"/>
      <c r="J15" s="237">
        <f>SUMIF(File1!$D$1:$D$2034,C15,File1!$H$1:$H$2034)</f>
        <v>10</v>
      </c>
      <c r="K15" s="237">
        <f>SUMIF(File1!$D$8:$D$2034,C15,File1!$I$8:$I$2034)</f>
        <v>0</v>
      </c>
      <c r="L15" s="237">
        <f t="shared" si="1"/>
        <v>10</v>
      </c>
      <c r="M15" s="237">
        <f>SUMIF(File1!$D$3:$D$1800,C15,File1!$K$3:$L$1800)</f>
        <v>0</v>
      </c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</row>
    <row r="16" spans="1:31">
      <c r="A16" s="373"/>
      <c r="B16" s="236">
        <v>14</v>
      </c>
      <c r="C16" s="249" t="s">
        <v>428</v>
      </c>
      <c r="D16" s="249" t="s">
        <v>429</v>
      </c>
      <c r="E16" s="233" t="s">
        <v>394</v>
      </c>
      <c r="F16" s="258">
        <v>9</v>
      </c>
      <c r="G16" s="259">
        <f t="shared" si="3"/>
        <v>31590</v>
      </c>
      <c r="H16" s="257">
        <f t="shared" si="4"/>
        <v>63000</v>
      </c>
      <c r="I16" s="235"/>
      <c r="J16" s="237">
        <f>SUMIF(File1!$D$1:$D$2034,C16,File1!$H$1:$H$2034)</f>
        <v>0</v>
      </c>
      <c r="K16" s="237">
        <f>SUMIF(File1!$D$8:$D$2034,C16,File1!$I$8:$I$2034)</f>
        <v>0</v>
      </c>
      <c r="L16" s="237">
        <f t="shared" si="1"/>
        <v>0</v>
      </c>
      <c r="M16" s="237">
        <f>SUMIF(File1!$D$3:$D$1800,C16,File1!$K$3:$L$1800)</f>
        <v>0</v>
      </c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</row>
    <row r="17" spans="1:31">
      <c r="A17" s="419" t="s">
        <v>430</v>
      </c>
      <c r="B17" s="236">
        <v>15</v>
      </c>
      <c r="C17" s="260" t="s">
        <v>431</v>
      </c>
      <c r="D17" s="260" t="s">
        <v>2122</v>
      </c>
      <c r="E17" s="261" t="s">
        <v>432</v>
      </c>
      <c r="F17" s="262">
        <v>1.85</v>
      </c>
      <c r="G17" s="263">
        <f t="shared" ref="G17:G18" si="5">F17*3550+600</f>
        <v>7167.5</v>
      </c>
      <c r="H17" s="264">
        <v>14500</v>
      </c>
      <c r="I17" s="235"/>
      <c r="J17" s="237">
        <f>SUMIF(File1!$D$1:$D$2034,C17,File1!$H$1:$H$2034)</f>
        <v>50</v>
      </c>
      <c r="K17" s="237">
        <f>SUMIF(File1!$D$8:$D$2034,C17,File1!$I$8:$I$2034)</f>
        <v>48</v>
      </c>
      <c r="L17" s="237">
        <f t="shared" si="1"/>
        <v>2</v>
      </c>
      <c r="M17" s="237">
        <f>SUMIF(File1!$D$3:$D$1800,C17,File1!$K$3:$L$1800)</f>
        <v>661006.42857142864</v>
      </c>
      <c r="N17" s="248">
        <f>SUM(M17:M23)</f>
        <v>5115256</v>
      </c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</row>
    <row r="18" spans="1:31">
      <c r="A18" s="372"/>
      <c r="B18" s="236">
        <v>16</v>
      </c>
      <c r="C18" s="260" t="s">
        <v>433</v>
      </c>
      <c r="D18" s="260" t="s">
        <v>2123</v>
      </c>
      <c r="E18" s="261" t="s">
        <v>432</v>
      </c>
      <c r="F18" s="262">
        <v>1.85</v>
      </c>
      <c r="G18" s="263">
        <f t="shared" si="5"/>
        <v>7167.5</v>
      </c>
      <c r="H18" s="264">
        <v>14500</v>
      </c>
      <c r="I18" s="235"/>
      <c r="J18" s="237">
        <f>SUMIF(File1!$D$1:$D$2034,C18,File1!$H$1:$H$2034)</f>
        <v>50</v>
      </c>
      <c r="K18" s="237">
        <f>SUMIF(File1!$D$8:$D$2034,C18,File1!$I$8:$I$2034)</f>
        <v>50</v>
      </c>
      <c r="L18" s="237">
        <f t="shared" si="1"/>
        <v>0</v>
      </c>
      <c r="M18" s="237">
        <f>SUMIF(File1!$D$3:$D$1800,C18,File1!$K$3:$L$1800)</f>
        <v>643694.57142857136</v>
      </c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</row>
    <row r="19" spans="1:31">
      <c r="A19" s="372"/>
      <c r="B19" s="236">
        <v>17</v>
      </c>
      <c r="C19" s="260" t="s">
        <v>435</v>
      </c>
      <c r="D19" s="260" t="s">
        <v>2124</v>
      </c>
      <c r="E19" s="261" t="s">
        <v>436</v>
      </c>
      <c r="F19" s="262" t="s">
        <v>2160</v>
      </c>
      <c r="G19" s="263">
        <v>3860</v>
      </c>
      <c r="H19" s="264">
        <f t="shared" ref="H19:H23" si="6">G19*2</f>
        <v>7720</v>
      </c>
      <c r="I19" s="235"/>
      <c r="J19" s="237">
        <f>SUMIF(File1!$D$1:$D$2034,C19,File1!$H$1:$H$2034)</f>
        <v>120</v>
      </c>
      <c r="K19" s="237">
        <f>SUMIF(File1!$D$8:$D$2034,C19,File1!$I$8:$I$2034)</f>
        <v>126.33333333333333</v>
      </c>
      <c r="L19" s="237">
        <f t="shared" si="1"/>
        <v>-6.3333333333333286</v>
      </c>
      <c r="M19" s="237">
        <f>SUMIF(File1!$D$3:$D$1800,C19,File1!$K$3:$L$1800)</f>
        <v>703506.56752136757</v>
      </c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</row>
    <row r="20" spans="1:31">
      <c r="A20" s="372"/>
      <c r="B20" s="236">
        <v>18</v>
      </c>
      <c r="C20" s="260" t="s">
        <v>437</v>
      </c>
      <c r="D20" s="260" t="s">
        <v>2125</v>
      </c>
      <c r="E20" s="261" t="s">
        <v>436</v>
      </c>
      <c r="F20" s="262" t="s">
        <v>2160</v>
      </c>
      <c r="G20" s="263">
        <v>3860</v>
      </c>
      <c r="H20" s="264">
        <f t="shared" si="6"/>
        <v>7720</v>
      </c>
      <c r="I20" s="235"/>
      <c r="J20" s="237">
        <f>SUMIF(File1!$D$1:$D$2034,C20,File1!$H$1:$H$2034)</f>
        <v>120</v>
      </c>
      <c r="K20" s="237">
        <f>SUMIF(File1!$D$8:$D$2034,C20,File1!$I$8:$I$2034)</f>
        <v>106.33333333333334</v>
      </c>
      <c r="L20" s="237">
        <f t="shared" si="1"/>
        <v>13.666666666666657</v>
      </c>
      <c r="M20" s="237">
        <f>SUMIF(File1!$D$3:$D$1800,C20,File1!$K$3:$L$1800)</f>
        <v>621481.95641025645</v>
      </c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</row>
    <row r="21" spans="1:31">
      <c r="A21" s="372"/>
      <c r="B21" s="236">
        <v>19</v>
      </c>
      <c r="C21" s="260" t="s">
        <v>438</v>
      </c>
      <c r="D21" s="260" t="s">
        <v>2126</v>
      </c>
      <c r="E21" s="261" t="s">
        <v>436</v>
      </c>
      <c r="F21" s="262" t="s">
        <v>2160</v>
      </c>
      <c r="G21" s="263">
        <v>3860</v>
      </c>
      <c r="H21" s="264">
        <f t="shared" si="6"/>
        <v>7720</v>
      </c>
      <c r="I21" s="235"/>
      <c r="J21" s="237">
        <f>SUMIF(File1!$D$1:$D$2034,C21,File1!$H$1:$H$2034)</f>
        <v>120</v>
      </c>
      <c r="K21" s="237">
        <f>SUMIF(File1!$D$8:$D$2034,C21,File1!$I$8:$I$2034)</f>
        <v>136.33333333333331</v>
      </c>
      <c r="L21" s="237">
        <f t="shared" si="1"/>
        <v>-16.333333333333314</v>
      </c>
      <c r="M21" s="237">
        <f>SUMIF(File1!$D$3:$D$1800,C21,File1!$K$3:$L$1800)</f>
        <v>944391.52905982919</v>
      </c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</row>
    <row r="22" spans="1:31">
      <c r="A22" s="372"/>
      <c r="B22" s="236">
        <v>20</v>
      </c>
      <c r="C22" s="260" t="s">
        <v>439</v>
      </c>
      <c r="D22" s="260" t="s">
        <v>2127</v>
      </c>
      <c r="E22" s="261" t="s">
        <v>436</v>
      </c>
      <c r="F22" s="262" t="s">
        <v>2160</v>
      </c>
      <c r="G22" s="263">
        <v>3860</v>
      </c>
      <c r="H22" s="264">
        <f t="shared" si="6"/>
        <v>7720</v>
      </c>
      <c r="I22" s="235"/>
      <c r="J22" s="237">
        <f>SUMIF(File1!$D$1:$D$2034,C22,File1!$H$1:$H$2034)</f>
        <v>120</v>
      </c>
      <c r="K22" s="237">
        <f>SUMIF(File1!$D$8:$D$2034,C22,File1!$I$8:$I$2034)</f>
        <v>119.33333333333333</v>
      </c>
      <c r="L22" s="237">
        <f t="shared" si="1"/>
        <v>0.6666666666666714</v>
      </c>
      <c r="M22" s="237">
        <f>SUMIF(File1!$D$3:$D$1800,C22,File1!$K$3:$L$1800)</f>
        <v>785637.39572649566</v>
      </c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</row>
    <row r="23" spans="1:31">
      <c r="A23" s="373"/>
      <c r="B23" s="236">
        <v>21</v>
      </c>
      <c r="C23" s="260" t="s">
        <v>440</v>
      </c>
      <c r="D23" s="260" t="s">
        <v>2128</v>
      </c>
      <c r="E23" s="261" t="s">
        <v>436</v>
      </c>
      <c r="F23" s="262" t="s">
        <v>2160</v>
      </c>
      <c r="G23" s="263">
        <v>3860</v>
      </c>
      <c r="H23" s="264">
        <f t="shared" si="6"/>
        <v>7720</v>
      </c>
      <c r="I23" s="235"/>
      <c r="J23" s="237">
        <f>SUMIF(File1!$D$1:$D$2034,C23,File1!$H$1:$H$2034)</f>
        <v>120</v>
      </c>
      <c r="K23" s="237">
        <f>SUMIF(File1!$D$8:$D$2034,C23,File1!$I$8:$I$2034)</f>
        <v>117.33333333333333</v>
      </c>
      <c r="L23" s="237">
        <f t="shared" si="1"/>
        <v>2.6666666666666714</v>
      </c>
      <c r="M23" s="237">
        <f>SUMIF(File1!$D$3:$D$1800,C23,File1!$K$3:$L$1800)</f>
        <v>755537.55128205137</v>
      </c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</row>
    <row r="24" spans="1:31">
      <c r="A24" s="418" t="s">
        <v>441</v>
      </c>
      <c r="B24" s="236">
        <v>22</v>
      </c>
      <c r="C24" s="235" t="s">
        <v>442</v>
      </c>
      <c r="D24" s="235" t="s">
        <v>443</v>
      </c>
      <c r="E24" s="236" t="s">
        <v>444</v>
      </c>
      <c r="F24" s="255">
        <v>4.2</v>
      </c>
      <c r="G24" s="256">
        <f t="shared" ref="G24:G37" si="7">F24*3550+2000</f>
        <v>16910</v>
      </c>
      <c r="H24" s="257">
        <f t="shared" ref="H24:H37" si="8">ROUND(G24*2.3,-3)</f>
        <v>39000</v>
      </c>
      <c r="I24" s="235"/>
      <c r="J24" s="237">
        <f>SUMIF(File1!$D$1:$D$2034,C24,File1!$H$1:$H$2034)</f>
        <v>3</v>
      </c>
      <c r="K24" s="237">
        <f>SUMIF(File1!$D$8:$D$2034,C24,File1!$I$8:$I$2034)</f>
        <v>0</v>
      </c>
      <c r="L24" s="237">
        <f t="shared" si="1"/>
        <v>3</v>
      </c>
      <c r="M24" s="237">
        <f>SUMIF(File1!$D$3:$D$1800,C24,File1!$K$3:$L$1800)</f>
        <v>0</v>
      </c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</row>
    <row r="25" spans="1:31">
      <c r="A25" s="372"/>
      <c r="B25" s="236">
        <v>23</v>
      </c>
      <c r="C25" s="235" t="s">
        <v>445</v>
      </c>
      <c r="D25" s="235" t="s">
        <v>446</v>
      </c>
      <c r="E25" s="236" t="s">
        <v>444</v>
      </c>
      <c r="F25" s="255">
        <v>4.2</v>
      </c>
      <c r="G25" s="256">
        <f t="shared" si="7"/>
        <v>16910</v>
      </c>
      <c r="H25" s="257">
        <f t="shared" si="8"/>
        <v>39000</v>
      </c>
      <c r="I25" s="235"/>
      <c r="J25" s="237">
        <f>SUMIF(File1!$D$1:$D$2034,C25,File1!$H$1:$H$2034)</f>
        <v>3</v>
      </c>
      <c r="K25" s="237">
        <f>SUMIF(File1!$D$8:$D$2034,C25,File1!$I$8:$I$2034)</f>
        <v>0</v>
      </c>
      <c r="L25" s="237">
        <f t="shared" si="1"/>
        <v>3</v>
      </c>
      <c r="M25" s="237">
        <f>SUMIF(File1!$D$3:$D$1800,C25,File1!$K$3:$L$1800)</f>
        <v>0</v>
      </c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</row>
    <row r="26" spans="1:31">
      <c r="A26" s="372"/>
      <c r="B26" s="236">
        <v>24</v>
      </c>
      <c r="C26" s="235" t="s">
        <v>447</v>
      </c>
      <c r="D26" s="235" t="s">
        <v>448</v>
      </c>
      <c r="E26" s="236" t="s">
        <v>444</v>
      </c>
      <c r="F26" s="255">
        <v>2.2000000000000002</v>
      </c>
      <c r="G26" s="256">
        <f t="shared" si="7"/>
        <v>9810</v>
      </c>
      <c r="H26" s="257">
        <f t="shared" si="8"/>
        <v>23000</v>
      </c>
      <c r="I26" s="235"/>
      <c r="J26" s="237">
        <f>SUMIF(File1!$D$1:$D$2034,C26,File1!$H$1:$H$2034)</f>
        <v>3</v>
      </c>
      <c r="K26" s="237">
        <f>SUMIF(File1!$D$8:$D$2034,C26,File1!$I$8:$I$2034)</f>
        <v>0</v>
      </c>
      <c r="L26" s="237">
        <f t="shared" si="1"/>
        <v>3</v>
      </c>
      <c r="M26" s="237">
        <f>SUMIF(File1!$D$3:$D$1800,C26,File1!$K$3:$L$1800)</f>
        <v>0</v>
      </c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</row>
    <row r="27" spans="1:31" ht="13.2">
      <c r="A27" s="372"/>
      <c r="B27" s="236">
        <v>25</v>
      </c>
      <c r="C27" s="235" t="s">
        <v>449</v>
      </c>
      <c r="D27" s="235" t="s">
        <v>450</v>
      </c>
      <c r="E27" s="236" t="s">
        <v>444</v>
      </c>
      <c r="F27" s="255">
        <v>2.2000000000000002</v>
      </c>
      <c r="G27" s="256">
        <f t="shared" si="7"/>
        <v>9810</v>
      </c>
      <c r="H27" s="257">
        <f t="shared" si="8"/>
        <v>23000</v>
      </c>
      <c r="I27" s="235"/>
      <c r="J27" s="237">
        <f>SUMIF(File1!$D$1:$D$2034,C27,File1!$H$1:$H$2034)</f>
        <v>3</v>
      </c>
      <c r="K27" s="237">
        <f>SUMIF(File1!$D$8:$D$2034,C27,File1!$I$8:$I$2034)</f>
        <v>0</v>
      </c>
      <c r="L27" s="237">
        <f t="shared" si="1"/>
        <v>3</v>
      </c>
      <c r="M27" s="237">
        <f>SUMIF(File1!$D$3:$D$1800,C27,File1!$K$3:$L$1800)</f>
        <v>0</v>
      </c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</row>
    <row r="28" spans="1:31" ht="13.2">
      <c r="A28" s="372"/>
      <c r="B28" s="236">
        <v>26</v>
      </c>
      <c r="C28" s="235" t="s">
        <v>451</v>
      </c>
      <c r="D28" s="235" t="s">
        <v>452</v>
      </c>
      <c r="E28" s="236" t="s">
        <v>444</v>
      </c>
      <c r="F28" s="255">
        <v>2.2000000000000002</v>
      </c>
      <c r="G28" s="256">
        <f t="shared" si="7"/>
        <v>9810</v>
      </c>
      <c r="H28" s="257">
        <f t="shared" si="8"/>
        <v>23000</v>
      </c>
      <c r="I28" s="235"/>
      <c r="J28" s="237">
        <f>SUMIF(File1!$D$1:$D$2034,C28,File1!$H$1:$H$2034)</f>
        <v>3</v>
      </c>
      <c r="K28" s="237">
        <f>SUMIF(File1!$D$8:$D$2034,C28,File1!$I$8:$I$2034)</f>
        <v>0</v>
      </c>
      <c r="L28" s="237">
        <f t="shared" si="1"/>
        <v>3</v>
      </c>
      <c r="M28" s="237">
        <f>SUMIF(File1!$D$3:$D$1800,C28,File1!$K$3:$L$1800)</f>
        <v>0</v>
      </c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</row>
    <row r="29" spans="1:31" ht="13.2">
      <c r="A29" s="372"/>
      <c r="B29" s="236">
        <v>27</v>
      </c>
      <c r="C29" s="235" t="s">
        <v>453</v>
      </c>
      <c r="D29" s="235" t="s">
        <v>454</v>
      </c>
      <c r="E29" s="236" t="s">
        <v>444</v>
      </c>
      <c r="F29" s="255">
        <v>2.2000000000000002</v>
      </c>
      <c r="G29" s="256">
        <f t="shared" si="7"/>
        <v>9810</v>
      </c>
      <c r="H29" s="257">
        <f t="shared" si="8"/>
        <v>23000</v>
      </c>
      <c r="I29" s="235"/>
      <c r="J29" s="237">
        <f>SUMIF(File1!$D$1:$D$2034,C29,File1!$H$1:$H$2034)</f>
        <v>3</v>
      </c>
      <c r="K29" s="237">
        <f>SUMIF(File1!$D$8:$D$2034,C29,File1!$I$8:$I$2034)</f>
        <v>0</v>
      </c>
      <c r="L29" s="237">
        <f t="shared" si="1"/>
        <v>3</v>
      </c>
      <c r="M29" s="237">
        <f>SUMIF(File1!$D$3:$D$1800,C29,File1!$K$3:$L$1800)</f>
        <v>0</v>
      </c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</row>
    <row r="30" spans="1:31" ht="13.2">
      <c r="A30" s="372"/>
      <c r="B30" s="236">
        <v>28</v>
      </c>
      <c r="C30" s="235" t="s">
        <v>455</v>
      </c>
      <c r="D30" s="235" t="s">
        <v>456</v>
      </c>
      <c r="E30" s="236" t="s">
        <v>444</v>
      </c>
      <c r="F30" s="255">
        <v>2.8</v>
      </c>
      <c r="G30" s="256">
        <f t="shared" si="7"/>
        <v>11940</v>
      </c>
      <c r="H30" s="257">
        <f t="shared" si="8"/>
        <v>27000</v>
      </c>
      <c r="I30" s="235"/>
      <c r="J30" s="237">
        <f>SUMIF(File1!$D$1:$D$2034,C30,File1!$H$1:$H$2034)</f>
        <v>3</v>
      </c>
      <c r="K30" s="237">
        <f>SUMIF(File1!$D$8:$D$2034,C30,File1!$I$8:$I$2034)</f>
        <v>2</v>
      </c>
      <c r="L30" s="237">
        <f t="shared" si="1"/>
        <v>1</v>
      </c>
      <c r="M30" s="237">
        <f>SUMIF(File1!$D$3:$D$1800,C30,File1!$K$3:$L$1800)</f>
        <v>49940</v>
      </c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</row>
    <row r="31" spans="1:31" ht="13.2">
      <c r="A31" s="372"/>
      <c r="B31" s="236">
        <v>29</v>
      </c>
      <c r="C31" s="235" t="s">
        <v>457</v>
      </c>
      <c r="D31" s="235" t="s">
        <v>458</v>
      </c>
      <c r="E31" s="236" t="s">
        <v>444</v>
      </c>
      <c r="F31" s="255">
        <v>3.7</v>
      </c>
      <c r="G31" s="256">
        <f t="shared" si="7"/>
        <v>15135</v>
      </c>
      <c r="H31" s="257">
        <f t="shared" si="8"/>
        <v>35000</v>
      </c>
      <c r="I31" s="235"/>
      <c r="J31" s="237">
        <f>SUMIF(File1!$D$1:$D$2034,C31,File1!$H$1:$H$2034)</f>
        <v>3</v>
      </c>
      <c r="K31" s="237">
        <f>SUMIF(File1!$D$8:$D$2034,C31,File1!$I$8:$I$2034)</f>
        <v>1</v>
      </c>
      <c r="L31" s="237">
        <f t="shared" si="1"/>
        <v>2</v>
      </c>
      <c r="M31" s="237">
        <f>SUMIF(File1!$D$3:$D$1800,C31,File1!$K$3:$L$1800)</f>
        <v>15135</v>
      </c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</row>
    <row r="32" spans="1:31" ht="13.2">
      <c r="A32" s="372"/>
      <c r="B32" s="236">
        <v>30</v>
      </c>
      <c r="C32" s="235" t="s">
        <v>459</v>
      </c>
      <c r="D32" s="235" t="s">
        <v>460</v>
      </c>
      <c r="E32" s="236" t="s">
        <v>444</v>
      </c>
      <c r="F32" s="255">
        <v>3.8</v>
      </c>
      <c r="G32" s="256">
        <f t="shared" si="7"/>
        <v>15490</v>
      </c>
      <c r="H32" s="257">
        <f t="shared" si="8"/>
        <v>36000</v>
      </c>
      <c r="I32" s="235"/>
      <c r="J32" s="237">
        <f>SUMIF(File1!$D$1:$D$2034,C32,File1!$H$1:$H$2034)</f>
        <v>3</v>
      </c>
      <c r="K32" s="237">
        <f>SUMIF(File1!$D$8:$D$2034,C32,File1!$I$8:$I$2034)</f>
        <v>0</v>
      </c>
      <c r="L32" s="237">
        <f t="shared" si="1"/>
        <v>3</v>
      </c>
      <c r="M32" s="237">
        <f>SUMIF(File1!$D$3:$D$1800,C32,File1!$K$3:$L$1800)</f>
        <v>0</v>
      </c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</row>
    <row r="33" spans="1:31" ht="13.2">
      <c r="A33" s="372"/>
      <c r="B33" s="236">
        <v>31</v>
      </c>
      <c r="C33" s="235" t="s">
        <v>461</v>
      </c>
      <c r="D33" s="235" t="s">
        <v>462</v>
      </c>
      <c r="E33" s="236" t="s">
        <v>444</v>
      </c>
      <c r="F33" s="255">
        <v>2.2999999999999998</v>
      </c>
      <c r="G33" s="256">
        <f t="shared" si="7"/>
        <v>10165</v>
      </c>
      <c r="H33" s="257">
        <f t="shared" si="8"/>
        <v>23000</v>
      </c>
      <c r="I33" s="235"/>
      <c r="J33" s="237">
        <f>SUMIF(File1!$D$1:$D$2034,C33,File1!$H$1:$H$2034)</f>
        <v>3</v>
      </c>
      <c r="K33" s="237">
        <f>SUMIF(File1!$D$8:$D$2034,C33,File1!$I$8:$I$2034)</f>
        <v>0</v>
      </c>
      <c r="L33" s="237">
        <f t="shared" si="1"/>
        <v>3</v>
      </c>
      <c r="M33" s="237">
        <f>SUMIF(File1!$D$3:$D$1800,C33,File1!$K$3:$L$1800)</f>
        <v>0</v>
      </c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</row>
    <row r="34" spans="1:31" ht="13.2">
      <c r="A34" s="372"/>
      <c r="B34" s="236">
        <v>32</v>
      </c>
      <c r="C34" s="235" t="s">
        <v>463</v>
      </c>
      <c r="D34" s="235" t="s">
        <v>464</v>
      </c>
      <c r="E34" s="236" t="s">
        <v>444</v>
      </c>
      <c r="F34" s="255">
        <v>2.2999999999999998</v>
      </c>
      <c r="G34" s="256">
        <f t="shared" si="7"/>
        <v>10165</v>
      </c>
      <c r="H34" s="257">
        <f t="shared" si="8"/>
        <v>23000</v>
      </c>
      <c r="I34" s="235"/>
      <c r="J34" s="237">
        <f>SUMIF(File1!$D$1:$D$2034,C34,File1!$H$1:$H$2034)</f>
        <v>3</v>
      </c>
      <c r="K34" s="237">
        <f>SUMIF(File1!$D$8:$D$2034,C34,File1!$I$8:$I$2034)</f>
        <v>0</v>
      </c>
      <c r="L34" s="237">
        <f t="shared" si="1"/>
        <v>3</v>
      </c>
      <c r="M34" s="237">
        <f>SUMIF(File1!$D$3:$D$1800,C34,File1!$K$3:$L$1800)</f>
        <v>0</v>
      </c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</row>
    <row r="35" spans="1:31" ht="13.2">
      <c r="A35" s="372"/>
      <c r="B35" s="236">
        <v>33</v>
      </c>
      <c r="C35" s="235" t="s">
        <v>465</v>
      </c>
      <c r="D35" s="235" t="s">
        <v>466</v>
      </c>
      <c r="E35" s="236" t="s">
        <v>444</v>
      </c>
      <c r="F35" s="255">
        <v>1.2</v>
      </c>
      <c r="G35" s="256">
        <f t="shared" si="7"/>
        <v>6260</v>
      </c>
      <c r="H35" s="257">
        <f t="shared" si="8"/>
        <v>14000</v>
      </c>
      <c r="I35" s="235"/>
      <c r="J35" s="237">
        <f>SUMIF(File1!$D$1:$D$2034,C35,File1!$H$1:$H$2034)</f>
        <v>3</v>
      </c>
      <c r="K35" s="237">
        <f>SUMIF(File1!$D$8:$D$2034,C35,File1!$I$8:$I$2034)</f>
        <v>0</v>
      </c>
      <c r="L35" s="237">
        <f t="shared" si="1"/>
        <v>3</v>
      </c>
      <c r="M35" s="237">
        <f>SUMIF(File1!$D$3:$D$1800,C35,File1!$K$3:$L$1800)</f>
        <v>0</v>
      </c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</row>
    <row r="36" spans="1:31" ht="13.2">
      <c r="A36" s="372"/>
      <c r="B36" s="236">
        <v>34</v>
      </c>
      <c r="C36" s="235" t="s">
        <v>467</v>
      </c>
      <c r="D36" s="235" t="s">
        <v>468</v>
      </c>
      <c r="E36" s="236" t="s">
        <v>444</v>
      </c>
      <c r="F36" s="255">
        <v>1.2</v>
      </c>
      <c r="G36" s="256">
        <f t="shared" si="7"/>
        <v>6260</v>
      </c>
      <c r="H36" s="257">
        <f t="shared" si="8"/>
        <v>14000</v>
      </c>
      <c r="I36" s="235"/>
      <c r="J36" s="237">
        <f>SUMIF(File1!$D$1:$D$2034,C36,File1!$H$1:$H$2034)</f>
        <v>3</v>
      </c>
      <c r="K36" s="237">
        <f>SUMIF(File1!$D$8:$D$2034,C36,File1!$I$8:$I$2034)</f>
        <v>0</v>
      </c>
      <c r="L36" s="237">
        <f t="shared" si="1"/>
        <v>3</v>
      </c>
      <c r="M36" s="237">
        <f>SUMIF(File1!$D$3:$D$1800,C36,File1!$K$3:$L$1800)</f>
        <v>0</v>
      </c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</row>
    <row r="37" spans="1:31" ht="13.2">
      <c r="A37" s="373"/>
      <c r="B37" s="236">
        <v>35</v>
      </c>
      <c r="C37" s="235" t="s">
        <v>469</v>
      </c>
      <c r="D37" s="235" t="s">
        <v>470</v>
      </c>
      <c r="E37" s="236" t="s">
        <v>444</v>
      </c>
      <c r="F37" s="255">
        <v>3.5</v>
      </c>
      <c r="G37" s="256">
        <f t="shared" si="7"/>
        <v>14425</v>
      </c>
      <c r="H37" s="257">
        <f t="shared" si="8"/>
        <v>33000</v>
      </c>
      <c r="I37" s="235"/>
      <c r="J37" s="237">
        <f>SUMIF(File1!$D$1:$D$2034,C37,File1!$H$1:$H$2034)</f>
        <v>3</v>
      </c>
      <c r="K37" s="237">
        <f>SUMIF(File1!$D$8:$D$2034,C37,File1!$I$8:$I$2034)</f>
        <v>0</v>
      </c>
      <c r="L37" s="237">
        <f t="shared" si="1"/>
        <v>3</v>
      </c>
      <c r="M37" s="237">
        <f>SUMIF(File1!$D$3:$D$1800,C37,File1!$K$3:$L$1800)</f>
        <v>0</v>
      </c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</row>
    <row r="38" spans="1:31" ht="13.2">
      <c r="A38" s="418" t="s">
        <v>471</v>
      </c>
      <c r="B38" s="236">
        <v>36</v>
      </c>
      <c r="C38" s="235" t="s">
        <v>472</v>
      </c>
      <c r="D38" s="235" t="s">
        <v>473</v>
      </c>
      <c r="E38" s="236" t="s">
        <v>444</v>
      </c>
      <c r="F38" s="255">
        <v>1.4</v>
      </c>
      <c r="G38" s="256">
        <f t="shared" ref="G38:G42" si="9">F38*3550+5000</f>
        <v>9970</v>
      </c>
      <c r="H38" s="257">
        <f>ROUND(G38*2.1,-3)</f>
        <v>21000</v>
      </c>
      <c r="I38" s="235"/>
      <c r="J38" s="237">
        <f>SUMIF(File1!$D$1:$D$2034,C38,File1!$H$1:$H$2034)</f>
        <v>4</v>
      </c>
      <c r="K38" s="237">
        <f>SUMIF(File1!$D$8:$D$2034,C38,File1!$I$8:$I$2034)</f>
        <v>1</v>
      </c>
      <c r="L38" s="237">
        <f t="shared" si="1"/>
        <v>3</v>
      </c>
      <c r="M38" s="237">
        <f>SUMIF(File1!$D$3:$D$1800,C38,File1!$K$3:$L$1800)</f>
        <v>18475</v>
      </c>
      <c r="N38" s="248">
        <f t="shared" ref="N38:N63" si="10">G38*J38</f>
        <v>39880</v>
      </c>
      <c r="O38" s="248">
        <f>SUM(N38:N63)</f>
        <v>2453784.4</v>
      </c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</row>
    <row r="39" spans="1:31" ht="13.2">
      <c r="A39" s="372"/>
      <c r="B39" s="236">
        <v>37</v>
      </c>
      <c r="C39" s="235" t="s">
        <v>474</v>
      </c>
      <c r="D39" s="235" t="s">
        <v>475</v>
      </c>
      <c r="E39" s="236" t="s">
        <v>444</v>
      </c>
      <c r="F39" s="255">
        <v>2.1</v>
      </c>
      <c r="G39" s="256">
        <f t="shared" si="9"/>
        <v>12455</v>
      </c>
      <c r="H39" s="257">
        <f t="shared" ref="H39:H42" si="11">ROUND(G39*2.3,-3)</f>
        <v>29000</v>
      </c>
      <c r="I39" s="235"/>
      <c r="J39" s="237">
        <f>SUMIF(File1!$D$1:$D$2034,C39,File1!$H$1:$H$2034)</f>
        <v>4</v>
      </c>
      <c r="K39" s="237">
        <f>SUMIF(File1!$D$8:$D$2034,C39,File1!$I$8:$I$2034)</f>
        <v>2</v>
      </c>
      <c r="L39" s="237">
        <f t="shared" si="1"/>
        <v>2</v>
      </c>
      <c r="M39" s="237">
        <f>SUMIF(File1!$D$3:$D$1800,C39,File1!$K$3:$L$1800)</f>
        <v>31750</v>
      </c>
      <c r="N39" s="248">
        <f t="shared" si="10"/>
        <v>49820</v>
      </c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</row>
    <row r="40" spans="1:31" ht="13.2">
      <c r="A40" s="372"/>
      <c r="B40" s="236">
        <v>38</v>
      </c>
      <c r="C40" s="235" t="s">
        <v>476</v>
      </c>
      <c r="D40" s="235" t="s">
        <v>477</v>
      </c>
      <c r="E40" s="236" t="s">
        <v>444</v>
      </c>
      <c r="F40" s="255">
        <v>2</v>
      </c>
      <c r="G40" s="256">
        <f t="shared" si="9"/>
        <v>12100</v>
      </c>
      <c r="H40" s="257">
        <f t="shared" si="11"/>
        <v>28000</v>
      </c>
      <c r="I40" s="235"/>
      <c r="J40" s="237">
        <f>SUMIF(File1!$D$1:$D$2034,C40,File1!$H$1:$H$2034)</f>
        <v>4</v>
      </c>
      <c r="K40" s="237">
        <f>SUMIF(File1!$D$8:$D$2034,C40,File1!$I$8:$I$2034)</f>
        <v>2</v>
      </c>
      <c r="L40" s="237">
        <f t="shared" si="1"/>
        <v>2</v>
      </c>
      <c r="M40" s="237">
        <f>SUMIF(File1!$D$3:$D$1800,C40,File1!$K$3:$L$1800)</f>
        <v>30700</v>
      </c>
      <c r="N40" s="248">
        <f t="shared" si="10"/>
        <v>48400</v>
      </c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</row>
    <row r="41" spans="1:31" ht="13.2">
      <c r="A41" s="372"/>
      <c r="B41" s="236">
        <v>39</v>
      </c>
      <c r="C41" s="235" t="s">
        <v>478</v>
      </c>
      <c r="D41" s="235" t="s">
        <v>479</v>
      </c>
      <c r="E41" s="236" t="s">
        <v>444</v>
      </c>
      <c r="F41" s="255">
        <v>2.2999999999999998</v>
      </c>
      <c r="G41" s="256">
        <f t="shared" si="9"/>
        <v>13165</v>
      </c>
      <c r="H41" s="257">
        <f t="shared" si="11"/>
        <v>30000</v>
      </c>
      <c r="I41" s="235"/>
      <c r="J41" s="237">
        <f>SUMIF(File1!$D$1:$D$2034,C41,File1!$H$1:$H$2034)</f>
        <v>4</v>
      </c>
      <c r="K41" s="237">
        <f>SUMIF(File1!$D$8:$D$2034,C41,File1!$I$8:$I$2034)</f>
        <v>1</v>
      </c>
      <c r="L41" s="237">
        <f t="shared" si="1"/>
        <v>3</v>
      </c>
      <c r="M41" s="237">
        <f>SUMIF(File1!$D$3:$D$1800,C41,File1!$K$3:$L$1800)</f>
        <v>13750</v>
      </c>
      <c r="N41" s="248">
        <f t="shared" si="10"/>
        <v>52660</v>
      </c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</row>
    <row r="42" spans="1:31" ht="13.2">
      <c r="A42" s="372"/>
      <c r="B42" s="236">
        <v>40</v>
      </c>
      <c r="C42" s="235" t="s">
        <v>480</v>
      </c>
      <c r="D42" s="235" t="s">
        <v>481</v>
      </c>
      <c r="E42" s="236" t="s">
        <v>444</v>
      </c>
      <c r="F42" s="255">
        <v>1.4</v>
      </c>
      <c r="G42" s="256">
        <f t="shared" si="9"/>
        <v>9970</v>
      </c>
      <c r="H42" s="257">
        <f t="shared" si="11"/>
        <v>23000</v>
      </c>
      <c r="I42" s="235"/>
      <c r="J42" s="237">
        <f>SUMIF(File1!$D$1:$D$2034,C42,File1!$H$1:$H$2034)</f>
        <v>4</v>
      </c>
      <c r="K42" s="237">
        <f>SUMIF(File1!$D$8:$D$2034,C42,File1!$I$8:$I$2034)</f>
        <v>2</v>
      </c>
      <c r="L42" s="237">
        <f t="shared" si="1"/>
        <v>2</v>
      </c>
      <c r="M42" s="237">
        <f>SUMIF(File1!$D$3:$D$1800,C42,File1!$K$3:$L$1800)</f>
        <v>24491</v>
      </c>
      <c r="N42" s="248">
        <f t="shared" si="10"/>
        <v>39880</v>
      </c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</row>
    <row r="43" spans="1:31" ht="13.2">
      <c r="A43" s="372"/>
      <c r="B43" s="236">
        <v>41</v>
      </c>
      <c r="C43" s="235" t="s">
        <v>482</v>
      </c>
      <c r="D43" s="235" t="s">
        <v>483</v>
      </c>
      <c r="E43" s="236" t="s">
        <v>484</v>
      </c>
      <c r="F43" s="255">
        <v>4.59</v>
      </c>
      <c r="G43" s="256">
        <f t="shared" ref="G43:G66" si="12">F43*3510+500</f>
        <v>16610.900000000001</v>
      </c>
      <c r="H43" s="257">
        <f t="shared" ref="H43:H66" si="13">G43*2</f>
        <v>33221.800000000003</v>
      </c>
      <c r="I43" s="235"/>
      <c r="J43" s="237">
        <f>SUMIF(File1!$D$1:$D$2034,C43,File1!$H$1:$H$2034)</f>
        <v>3</v>
      </c>
      <c r="K43" s="237">
        <f>SUMIF(File1!$D$8:$D$2034,C43,File1!$I$8:$I$2034)</f>
        <v>1</v>
      </c>
      <c r="L43" s="237">
        <f t="shared" si="1"/>
        <v>2</v>
      </c>
      <c r="M43" s="237">
        <f>SUMIF(File1!$D$3:$D$1800,C43,File1!$K$3:$L$1800)</f>
        <v>28000</v>
      </c>
      <c r="N43" s="248">
        <f t="shared" si="10"/>
        <v>49832.700000000004</v>
      </c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</row>
    <row r="44" spans="1:31" ht="13.2">
      <c r="A44" s="372"/>
      <c r="B44" s="236">
        <v>42</v>
      </c>
      <c r="C44" s="235" t="s">
        <v>485</v>
      </c>
      <c r="D44" s="235" t="s">
        <v>486</v>
      </c>
      <c r="E44" s="236" t="s">
        <v>484</v>
      </c>
      <c r="F44" s="255">
        <v>4.42</v>
      </c>
      <c r="G44" s="256">
        <f t="shared" si="12"/>
        <v>16014.199999999999</v>
      </c>
      <c r="H44" s="257">
        <f t="shared" si="13"/>
        <v>32028.399999999998</v>
      </c>
      <c r="I44" s="235"/>
      <c r="J44" s="237">
        <f>SUMIF(File1!$D$1:$D$2034,C44,File1!$H$1:$H$2034)</f>
        <v>10</v>
      </c>
      <c r="K44" s="237">
        <f>SUMIF(File1!$D$8:$D$2034,C44,File1!$I$8:$I$2034)</f>
        <v>2</v>
      </c>
      <c r="L44" s="237">
        <f t="shared" si="1"/>
        <v>8</v>
      </c>
      <c r="M44" s="237">
        <f>SUMIF(File1!$D$3:$D$1800,C44,File1!$K$3:$L$1800)</f>
        <v>55692</v>
      </c>
      <c r="N44" s="248">
        <f t="shared" si="10"/>
        <v>160142</v>
      </c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</row>
    <row r="45" spans="1:31" ht="13.2">
      <c r="A45" s="372"/>
      <c r="B45" s="236">
        <v>43</v>
      </c>
      <c r="C45" s="235" t="s">
        <v>487</v>
      </c>
      <c r="D45" s="235" t="s">
        <v>488</v>
      </c>
      <c r="E45" s="236" t="s">
        <v>484</v>
      </c>
      <c r="F45" s="255">
        <v>4.84</v>
      </c>
      <c r="G45" s="256">
        <f t="shared" si="12"/>
        <v>17488.399999999998</v>
      </c>
      <c r="H45" s="257">
        <f t="shared" si="13"/>
        <v>34976.799999999996</v>
      </c>
      <c r="I45" s="235"/>
      <c r="J45" s="237">
        <f>SUMIF(File1!$D$1:$D$2034,C45,File1!$H$1:$H$2034)</f>
        <v>10</v>
      </c>
      <c r="K45" s="237">
        <f>SUMIF(File1!$D$8:$D$2034,C45,File1!$I$8:$I$2034)</f>
        <v>2</v>
      </c>
      <c r="L45" s="237">
        <f t="shared" si="1"/>
        <v>8</v>
      </c>
      <c r="M45" s="237">
        <f>SUMIF(File1!$D$3:$D$1800,C45,File1!$K$3:$L$1800)</f>
        <v>65000</v>
      </c>
      <c r="N45" s="248">
        <f t="shared" si="10"/>
        <v>174883.99999999997</v>
      </c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</row>
    <row r="46" spans="1:31" ht="13.2">
      <c r="A46" s="372"/>
      <c r="B46" s="236">
        <v>44</v>
      </c>
      <c r="C46" s="235" t="s">
        <v>489</v>
      </c>
      <c r="D46" s="235" t="s">
        <v>490</v>
      </c>
      <c r="E46" s="236" t="s">
        <v>484</v>
      </c>
      <c r="F46" s="255">
        <v>1.1000000000000001</v>
      </c>
      <c r="G46" s="256">
        <f t="shared" si="12"/>
        <v>4361</v>
      </c>
      <c r="H46" s="257">
        <f t="shared" si="13"/>
        <v>8722</v>
      </c>
      <c r="I46" s="235"/>
      <c r="J46" s="237">
        <f>SUMIF(File1!$D$1:$D$2034,C46,File1!$H$1:$H$2034)</f>
        <v>10</v>
      </c>
      <c r="K46" s="237">
        <f>SUMIF(File1!$D$8:$D$2034,C46,File1!$I$8:$I$2034)</f>
        <v>2</v>
      </c>
      <c r="L46" s="237">
        <f t="shared" si="1"/>
        <v>8</v>
      </c>
      <c r="M46" s="237">
        <f>SUMIF(File1!$D$3:$D$1800,C46,File1!$K$3:$L$1800)</f>
        <v>31062.333333333332</v>
      </c>
      <c r="N46" s="248">
        <f t="shared" si="10"/>
        <v>43610</v>
      </c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</row>
    <row r="47" spans="1:31" ht="13.2">
      <c r="A47" s="372"/>
      <c r="B47" s="236">
        <v>45</v>
      </c>
      <c r="C47" s="235" t="s">
        <v>491</v>
      </c>
      <c r="D47" s="235" t="s">
        <v>492</v>
      </c>
      <c r="E47" s="236" t="s">
        <v>484</v>
      </c>
      <c r="F47" s="255">
        <v>2.89</v>
      </c>
      <c r="G47" s="256">
        <f t="shared" si="12"/>
        <v>10643.9</v>
      </c>
      <c r="H47" s="257">
        <f t="shared" si="13"/>
        <v>21287.8</v>
      </c>
      <c r="I47" s="235"/>
      <c r="J47" s="237">
        <f>SUMIF(File1!$D$1:$D$2034,C47,File1!$H$1:$H$2034)</f>
        <v>3</v>
      </c>
      <c r="K47" s="237">
        <f>SUMIF(File1!$D$8:$D$2034,C47,File1!$I$8:$I$2034)</f>
        <v>1</v>
      </c>
      <c r="L47" s="237">
        <f t="shared" si="1"/>
        <v>2</v>
      </c>
      <c r="M47" s="237">
        <f>SUMIF(File1!$D$3:$D$1800,C47,File1!$K$3:$L$1800)</f>
        <v>12000</v>
      </c>
      <c r="N47" s="248">
        <f t="shared" si="10"/>
        <v>31931.699999999997</v>
      </c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</row>
    <row r="48" spans="1:31" ht="13.2">
      <c r="A48" s="372"/>
      <c r="B48" s="236">
        <v>46</v>
      </c>
      <c r="C48" s="235" t="s">
        <v>493</v>
      </c>
      <c r="D48" s="235" t="s">
        <v>494</v>
      </c>
      <c r="E48" s="236" t="s">
        <v>484</v>
      </c>
      <c r="F48" s="255">
        <v>1.63</v>
      </c>
      <c r="G48" s="256">
        <f t="shared" si="12"/>
        <v>6221.2999999999993</v>
      </c>
      <c r="H48" s="257">
        <f t="shared" si="13"/>
        <v>12442.599999999999</v>
      </c>
      <c r="I48" s="235"/>
      <c r="J48" s="237">
        <f>SUMIF(File1!$D$1:$D$2034,C48,File1!$H$1:$H$2034)</f>
        <v>15</v>
      </c>
      <c r="K48" s="237">
        <f>SUMIF(File1!$D$8:$D$2034,C48,File1!$I$8:$I$2034)</f>
        <v>4</v>
      </c>
      <c r="L48" s="237">
        <f t="shared" si="1"/>
        <v>11</v>
      </c>
      <c r="M48" s="237">
        <f>SUMIF(File1!$D$3:$D$1800,C48,File1!$K$3:$L$1800)</f>
        <v>57640</v>
      </c>
      <c r="N48" s="248">
        <f t="shared" si="10"/>
        <v>93319.499999999985</v>
      </c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</row>
    <row r="49" spans="1:31" ht="13.2">
      <c r="A49" s="372"/>
      <c r="B49" s="236">
        <v>47</v>
      </c>
      <c r="C49" s="235" t="s">
        <v>495</v>
      </c>
      <c r="D49" s="235" t="s">
        <v>496</v>
      </c>
      <c r="E49" s="236" t="s">
        <v>484</v>
      </c>
      <c r="F49" s="255">
        <v>3.23</v>
      </c>
      <c r="G49" s="256">
        <f t="shared" si="12"/>
        <v>11837.3</v>
      </c>
      <c r="H49" s="257">
        <f t="shared" si="13"/>
        <v>23674.6</v>
      </c>
      <c r="I49" s="235"/>
      <c r="J49" s="237">
        <f>SUMIF(File1!$D$1:$D$2034,C49,File1!$H$1:$H$2034)</f>
        <v>15</v>
      </c>
      <c r="K49" s="237">
        <f>SUMIF(File1!$D$8:$D$2034,C49,File1!$I$8:$I$2034)</f>
        <v>3</v>
      </c>
      <c r="L49" s="237">
        <f t="shared" si="1"/>
        <v>12</v>
      </c>
      <c r="M49" s="237">
        <f>SUMIF(File1!$D$3:$D$1800,C49,File1!$K$3:$L$1800)</f>
        <v>65000</v>
      </c>
      <c r="N49" s="248">
        <f t="shared" si="10"/>
        <v>177559.5</v>
      </c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</row>
    <row r="50" spans="1:31" ht="13.2">
      <c r="A50" s="372"/>
      <c r="B50" s="236">
        <v>48</v>
      </c>
      <c r="C50" s="235" t="s">
        <v>497</v>
      </c>
      <c r="D50" s="235" t="s">
        <v>498</v>
      </c>
      <c r="E50" s="236" t="s">
        <v>484</v>
      </c>
      <c r="F50" s="255">
        <v>8.16</v>
      </c>
      <c r="G50" s="256">
        <f t="shared" si="12"/>
        <v>29141.600000000002</v>
      </c>
      <c r="H50" s="257">
        <f t="shared" si="13"/>
        <v>58283.200000000004</v>
      </c>
      <c r="I50" s="235"/>
      <c r="J50" s="237">
        <f>SUMIF(File1!$D$1:$D$2034,C50,File1!$H$1:$H$2034)</f>
        <v>7</v>
      </c>
      <c r="K50" s="237">
        <f>SUMIF(File1!$D$8:$D$2034,C50,File1!$I$8:$I$2034)</f>
        <v>3</v>
      </c>
      <c r="L50" s="237">
        <f t="shared" si="1"/>
        <v>4</v>
      </c>
      <c r="M50" s="237">
        <f>SUMIF(File1!$D$3:$D$1800,C50,File1!$K$3:$L$1800)</f>
        <v>148000</v>
      </c>
      <c r="N50" s="248">
        <f t="shared" si="10"/>
        <v>203991.2</v>
      </c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</row>
    <row r="51" spans="1:31" ht="13.2">
      <c r="A51" s="372"/>
      <c r="B51" s="236">
        <v>49</v>
      </c>
      <c r="C51" s="235" t="s">
        <v>499</v>
      </c>
      <c r="D51" s="235" t="s">
        <v>500</v>
      </c>
      <c r="E51" s="236" t="s">
        <v>484</v>
      </c>
      <c r="F51" s="255">
        <v>4.25</v>
      </c>
      <c r="G51" s="256">
        <f t="shared" si="12"/>
        <v>15417.5</v>
      </c>
      <c r="H51" s="257">
        <f t="shared" si="13"/>
        <v>30835</v>
      </c>
      <c r="I51" s="235"/>
      <c r="J51" s="237">
        <f>SUMIF(File1!$D$1:$D$2034,C51,File1!$H$1:$H$2034)</f>
        <v>15</v>
      </c>
      <c r="K51" s="237">
        <f>SUMIF(File1!$D$8:$D$2034,C51,File1!$I$8:$I$2034)</f>
        <v>3</v>
      </c>
      <c r="L51" s="237">
        <f t="shared" si="1"/>
        <v>12</v>
      </c>
      <c r="M51" s="237">
        <f>SUMIF(File1!$D$3:$D$1800,C51,File1!$K$3:$L$1800)</f>
        <v>84444</v>
      </c>
      <c r="N51" s="248">
        <f t="shared" si="10"/>
        <v>231262.5</v>
      </c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</row>
    <row r="52" spans="1:31" ht="13.2">
      <c r="A52" s="372"/>
      <c r="B52" s="236">
        <v>50</v>
      </c>
      <c r="C52" s="235" t="s">
        <v>501</v>
      </c>
      <c r="D52" s="235" t="s">
        <v>502</v>
      </c>
      <c r="E52" s="236" t="s">
        <v>484</v>
      </c>
      <c r="F52" s="255">
        <v>1.1000000000000001</v>
      </c>
      <c r="G52" s="256">
        <f t="shared" si="12"/>
        <v>4361</v>
      </c>
      <c r="H52" s="257">
        <f t="shared" si="13"/>
        <v>8722</v>
      </c>
      <c r="I52" s="235"/>
      <c r="J52" s="237">
        <f>SUMIF(File1!$D$1:$D$2034,C52,File1!$H$1:$H$2034)</f>
        <v>15</v>
      </c>
      <c r="K52" s="237">
        <f>SUMIF(File1!$D$8:$D$2034,C52,File1!$I$8:$I$2034)</f>
        <v>1</v>
      </c>
      <c r="L52" s="237">
        <f t="shared" si="1"/>
        <v>14</v>
      </c>
      <c r="M52" s="237">
        <f>SUMIF(File1!$D$3:$D$1800,C52,File1!$K$3:$L$1800)</f>
        <v>10660</v>
      </c>
      <c r="N52" s="248">
        <f t="shared" si="10"/>
        <v>65415</v>
      </c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</row>
    <row r="53" spans="1:31" ht="13.2">
      <c r="A53" s="372"/>
      <c r="B53" s="236">
        <v>51</v>
      </c>
      <c r="C53" s="235" t="s">
        <v>503</v>
      </c>
      <c r="D53" s="235" t="s">
        <v>504</v>
      </c>
      <c r="E53" s="236" t="s">
        <v>484</v>
      </c>
      <c r="F53" s="255">
        <v>4.76</v>
      </c>
      <c r="G53" s="256">
        <f t="shared" si="12"/>
        <v>17207.599999999999</v>
      </c>
      <c r="H53" s="257">
        <f t="shared" si="13"/>
        <v>34415.199999999997</v>
      </c>
      <c r="I53" s="235"/>
      <c r="J53" s="237">
        <f>SUMIF(File1!$D$1:$D$2034,C53,File1!$H$1:$H$2034)</f>
        <v>10</v>
      </c>
      <c r="K53" s="237">
        <f>SUMIF(File1!$D$8:$D$2034,C53,File1!$I$8:$I$2034)</f>
        <v>4</v>
      </c>
      <c r="L53" s="237">
        <f t="shared" si="1"/>
        <v>6</v>
      </c>
      <c r="M53" s="237">
        <f>SUMIF(File1!$D$3:$D$1800,C53,File1!$K$3:$L$1800)</f>
        <v>128180</v>
      </c>
      <c r="N53" s="248">
        <f t="shared" si="10"/>
        <v>172076</v>
      </c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</row>
    <row r="54" spans="1:31" ht="13.2">
      <c r="A54" s="372"/>
      <c r="B54" s="236">
        <v>52</v>
      </c>
      <c r="C54" s="235" t="s">
        <v>505</v>
      </c>
      <c r="D54" s="235" t="s">
        <v>506</v>
      </c>
      <c r="E54" s="236" t="s">
        <v>484</v>
      </c>
      <c r="F54" s="255">
        <v>5.35</v>
      </c>
      <c r="G54" s="256">
        <f t="shared" si="12"/>
        <v>19278.5</v>
      </c>
      <c r="H54" s="257">
        <f t="shared" si="13"/>
        <v>38557</v>
      </c>
      <c r="I54" s="235"/>
      <c r="J54" s="237">
        <f>SUMIF(File1!$D$1:$D$2034,C54,File1!$H$1:$H$2034)</f>
        <v>10</v>
      </c>
      <c r="K54" s="237">
        <f>SUMIF(File1!$D$8:$D$2034,C54,File1!$I$8:$I$2034)</f>
        <v>11</v>
      </c>
      <c r="L54" s="237">
        <f t="shared" si="1"/>
        <v>-1</v>
      </c>
      <c r="M54" s="237">
        <f>SUMIF(File1!$D$3:$D$1800,C54,File1!$K$3:$L$1800)</f>
        <v>326176</v>
      </c>
      <c r="N54" s="248">
        <f t="shared" si="10"/>
        <v>192785</v>
      </c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</row>
    <row r="55" spans="1:31" ht="13.2">
      <c r="A55" s="372"/>
      <c r="B55" s="236">
        <v>53</v>
      </c>
      <c r="C55" s="235" t="s">
        <v>507</v>
      </c>
      <c r="D55" s="235" t="s">
        <v>508</v>
      </c>
      <c r="E55" s="236" t="s">
        <v>484</v>
      </c>
      <c r="F55" s="255">
        <v>6.12</v>
      </c>
      <c r="G55" s="256">
        <f t="shared" si="12"/>
        <v>21981.200000000001</v>
      </c>
      <c r="H55" s="257">
        <f t="shared" si="13"/>
        <v>43962.400000000001</v>
      </c>
      <c r="I55" s="235"/>
      <c r="J55" s="237">
        <f>SUMIF(File1!$D$1:$D$2034,C55,File1!$H$1:$H$2034)</f>
        <v>3</v>
      </c>
      <c r="K55" s="237">
        <f>SUMIF(File1!$D$8:$D$2034,C55,File1!$I$8:$I$2034)</f>
        <v>2</v>
      </c>
      <c r="L55" s="237">
        <f t="shared" si="1"/>
        <v>1</v>
      </c>
      <c r="M55" s="237">
        <f>SUMIF(File1!$D$3:$D$1800,C55,File1!$K$3:$L$1800)</f>
        <v>76000</v>
      </c>
      <c r="N55" s="248">
        <f t="shared" si="10"/>
        <v>65943.600000000006</v>
      </c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</row>
    <row r="56" spans="1:31" ht="13.2">
      <c r="A56" s="372"/>
      <c r="B56" s="236">
        <v>54</v>
      </c>
      <c r="C56" s="235" t="s">
        <v>509</v>
      </c>
      <c r="D56" s="235" t="s">
        <v>510</v>
      </c>
      <c r="E56" s="236" t="s">
        <v>484</v>
      </c>
      <c r="F56" s="255">
        <v>7.14</v>
      </c>
      <c r="G56" s="256">
        <f t="shared" si="12"/>
        <v>25561.399999999998</v>
      </c>
      <c r="H56" s="257">
        <f t="shared" si="13"/>
        <v>51122.799999999996</v>
      </c>
      <c r="I56" s="235"/>
      <c r="J56" s="237">
        <f>SUMIF(File1!$D$1:$D$2034,C56,File1!$H$1:$H$2034)</f>
        <v>2</v>
      </c>
      <c r="K56" s="237">
        <f>SUMIF(File1!$D$8:$D$2034,C56,File1!$I$8:$I$2034)</f>
        <v>3</v>
      </c>
      <c r="L56" s="237">
        <f t="shared" si="1"/>
        <v>-1</v>
      </c>
      <c r="M56" s="237">
        <f>SUMIF(File1!$D$3:$D$1800,C56,File1!$K$3:$L$1800)</f>
        <v>94460</v>
      </c>
      <c r="N56" s="248">
        <f t="shared" si="10"/>
        <v>51122.799999999996</v>
      </c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</row>
    <row r="57" spans="1:31" ht="13.2">
      <c r="A57" s="372"/>
      <c r="B57" s="236">
        <v>55</v>
      </c>
      <c r="C57" s="235" t="s">
        <v>511</v>
      </c>
      <c r="D57" s="235" t="s">
        <v>512</v>
      </c>
      <c r="E57" s="236" t="s">
        <v>484</v>
      </c>
      <c r="F57" s="255">
        <v>4.08</v>
      </c>
      <c r="G57" s="256">
        <f t="shared" si="12"/>
        <v>14820.800000000001</v>
      </c>
      <c r="H57" s="257">
        <f t="shared" si="13"/>
        <v>29641.600000000002</v>
      </c>
      <c r="I57" s="235"/>
      <c r="J57" s="237">
        <f>SUMIF(File1!$D$1:$D$2034,C57,File1!$H$1:$H$2034)</f>
        <v>3</v>
      </c>
      <c r="K57" s="237">
        <f>SUMIF(File1!$D$8:$D$2034,C57,File1!$I$8:$I$2034)</f>
        <v>3</v>
      </c>
      <c r="L57" s="237">
        <f t="shared" si="1"/>
        <v>0</v>
      </c>
      <c r="M57" s="237">
        <f>SUMIF(File1!$D$3:$D$1800,C57,File1!$K$3:$L$1800)</f>
        <v>77504</v>
      </c>
      <c r="N57" s="248">
        <f t="shared" si="10"/>
        <v>44462.400000000001</v>
      </c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</row>
    <row r="58" spans="1:31" ht="13.2">
      <c r="A58" s="372"/>
      <c r="B58" s="236">
        <v>56</v>
      </c>
      <c r="C58" s="235" t="s">
        <v>513</v>
      </c>
      <c r="D58" s="235" t="s">
        <v>514</v>
      </c>
      <c r="E58" s="236" t="s">
        <v>484</v>
      </c>
      <c r="F58" s="255">
        <v>3.99</v>
      </c>
      <c r="G58" s="256">
        <f t="shared" si="12"/>
        <v>14504.900000000001</v>
      </c>
      <c r="H58" s="257">
        <f t="shared" si="13"/>
        <v>29009.800000000003</v>
      </c>
      <c r="I58" s="235"/>
      <c r="J58" s="237">
        <f>SUMIF(File1!$D$1:$D$2034,C58,File1!$H$1:$H$2034)</f>
        <v>5</v>
      </c>
      <c r="K58" s="237">
        <f>SUMIF(File1!$D$8:$D$2034,C58,File1!$I$8:$I$2034)</f>
        <v>2</v>
      </c>
      <c r="L58" s="237">
        <f t="shared" si="1"/>
        <v>3</v>
      </c>
      <c r="M58" s="237">
        <f>SUMIF(File1!$D$3:$D$1800,C58,File1!$K$3:$L$1800)</f>
        <v>50476</v>
      </c>
      <c r="N58" s="248">
        <f t="shared" si="10"/>
        <v>72524.5</v>
      </c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</row>
    <row r="59" spans="1:31" ht="13.2">
      <c r="A59" s="372"/>
      <c r="B59" s="236">
        <v>57</v>
      </c>
      <c r="C59" s="235" t="s">
        <v>515</v>
      </c>
      <c r="D59" s="235" t="s">
        <v>516</v>
      </c>
      <c r="E59" s="236" t="s">
        <v>484</v>
      </c>
      <c r="F59" s="255">
        <v>3.99</v>
      </c>
      <c r="G59" s="256">
        <f t="shared" si="12"/>
        <v>14504.900000000001</v>
      </c>
      <c r="H59" s="257">
        <f t="shared" si="13"/>
        <v>29009.800000000003</v>
      </c>
      <c r="I59" s="235"/>
      <c r="J59" s="237">
        <f>SUMIF(File1!$D$1:$D$2034,C59,File1!$H$1:$H$2034)</f>
        <v>5</v>
      </c>
      <c r="K59" s="237">
        <f>SUMIF(File1!$D$8:$D$2034,C59,File1!$I$8:$I$2034)</f>
        <v>5</v>
      </c>
      <c r="L59" s="237">
        <f t="shared" si="1"/>
        <v>0</v>
      </c>
      <c r="M59" s="237">
        <f>SUMIF(File1!$D$3:$D$1800,C59,File1!$K$3:$L$1800)</f>
        <v>106604</v>
      </c>
      <c r="N59" s="248">
        <f t="shared" si="10"/>
        <v>72524.5</v>
      </c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</row>
    <row r="60" spans="1:31" ht="13.2">
      <c r="A60" s="372"/>
      <c r="B60" s="236">
        <v>58</v>
      </c>
      <c r="C60" s="235" t="s">
        <v>517</v>
      </c>
      <c r="D60" s="235" t="s">
        <v>518</v>
      </c>
      <c r="E60" s="236" t="s">
        <v>484</v>
      </c>
      <c r="F60" s="255">
        <v>3.99</v>
      </c>
      <c r="G60" s="256">
        <f t="shared" si="12"/>
        <v>14504.900000000001</v>
      </c>
      <c r="H60" s="257">
        <f t="shared" si="13"/>
        <v>29009.800000000003</v>
      </c>
      <c r="I60" s="235"/>
      <c r="J60" s="237">
        <f>SUMIF(File1!$D$1:$D$2034,C60,File1!$H$1:$H$2034)</f>
        <v>5</v>
      </c>
      <c r="K60" s="237">
        <f>SUMIF(File1!$D$8:$D$2034,C60,File1!$I$8:$I$2034)</f>
        <v>5</v>
      </c>
      <c r="L60" s="237">
        <f t="shared" si="1"/>
        <v>0</v>
      </c>
      <c r="M60" s="237">
        <f>SUMIF(File1!$D$3:$D$1800,C60,File1!$K$3:$L$1800)</f>
        <v>126034.33333333333</v>
      </c>
      <c r="N60" s="248">
        <f t="shared" si="10"/>
        <v>72524.5</v>
      </c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</row>
    <row r="61" spans="1:31" ht="13.2">
      <c r="A61" s="372"/>
      <c r="B61" s="236">
        <v>59</v>
      </c>
      <c r="C61" s="235" t="s">
        <v>519</v>
      </c>
      <c r="D61" s="235" t="s">
        <v>520</v>
      </c>
      <c r="E61" s="236" t="s">
        <v>484</v>
      </c>
      <c r="F61" s="255">
        <v>5.68</v>
      </c>
      <c r="G61" s="256">
        <f t="shared" si="12"/>
        <v>20436.8</v>
      </c>
      <c r="H61" s="257">
        <f t="shared" si="13"/>
        <v>40873.599999999999</v>
      </c>
      <c r="I61" s="235"/>
      <c r="J61" s="237">
        <f>SUMIF(File1!$D$1:$D$2034,C61,File1!$H$1:$H$2034)</f>
        <v>5</v>
      </c>
      <c r="K61" s="237">
        <f>SUMIF(File1!$D$8:$D$2034,C61,File1!$I$8:$I$2034)</f>
        <v>5</v>
      </c>
      <c r="L61" s="237">
        <f t="shared" si="1"/>
        <v>0</v>
      </c>
      <c r="M61" s="237">
        <f>SUMIF(File1!$D$3:$D$1800,C61,File1!$K$3:$L$1800)</f>
        <v>169908</v>
      </c>
      <c r="N61" s="248">
        <f t="shared" si="10"/>
        <v>102184</v>
      </c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</row>
    <row r="62" spans="1:31" ht="13.2">
      <c r="A62" s="372"/>
      <c r="B62" s="236">
        <v>60</v>
      </c>
      <c r="C62" s="235" t="s">
        <v>521</v>
      </c>
      <c r="D62" s="235" t="s">
        <v>522</v>
      </c>
      <c r="E62" s="236" t="s">
        <v>484</v>
      </c>
      <c r="F62" s="255">
        <v>3.99</v>
      </c>
      <c r="G62" s="256">
        <f t="shared" si="12"/>
        <v>14504.900000000001</v>
      </c>
      <c r="H62" s="257">
        <f t="shared" si="13"/>
        <v>29009.800000000003</v>
      </c>
      <c r="I62" s="235"/>
      <c r="J62" s="237">
        <f>SUMIF(File1!$D$1:$D$2034,C62,File1!$H$1:$H$2034)</f>
        <v>5</v>
      </c>
      <c r="K62" s="237">
        <f>SUMIF(File1!$D$8:$D$2034,C62,File1!$I$8:$I$2034)</f>
        <v>2</v>
      </c>
      <c r="L62" s="237">
        <f t="shared" si="1"/>
        <v>3</v>
      </c>
      <c r="M62" s="237">
        <f>SUMIF(File1!$D$3:$D$1800,C62,File1!$K$3:$L$1800)</f>
        <v>47608</v>
      </c>
      <c r="N62" s="248">
        <f t="shared" si="10"/>
        <v>72524.5</v>
      </c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</row>
    <row r="63" spans="1:31" ht="13.2">
      <c r="A63" s="372"/>
      <c r="B63" s="236">
        <v>61</v>
      </c>
      <c r="C63" s="235" t="s">
        <v>523</v>
      </c>
      <c r="D63" s="235" t="s">
        <v>524</v>
      </c>
      <c r="E63" s="236" t="s">
        <v>484</v>
      </c>
      <c r="F63" s="255">
        <v>3.99</v>
      </c>
      <c r="G63" s="256">
        <f t="shared" si="12"/>
        <v>14504.900000000001</v>
      </c>
      <c r="H63" s="257">
        <f t="shared" si="13"/>
        <v>29009.800000000003</v>
      </c>
      <c r="I63" s="235"/>
      <c r="J63" s="237">
        <f>SUMIF(File1!$D$1:$D$2034,C63,File1!$H$1:$H$2034)</f>
        <v>5</v>
      </c>
      <c r="K63" s="237">
        <f>SUMIF(File1!$D$8:$D$2034,C63,File1!$I$8:$I$2034)</f>
        <v>5</v>
      </c>
      <c r="L63" s="237">
        <f t="shared" si="1"/>
        <v>0</v>
      </c>
      <c r="M63" s="237">
        <f>SUMIF(File1!$D$3:$D$1800,C63,File1!$K$3:$L$1800)</f>
        <v>120430.33333333333</v>
      </c>
      <c r="N63" s="248">
        <f t="shared" si="10"/>
        <v>72524.5</v>
      </c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</row>
    <row r="64" spans="1:31" ht="13.2">
      <c r="A64" s="372"/>
      <c r="B64" s="236">
        <v>62</v>
      </c>
      <c r="C64" s="235" t="s">
        <v>543</v>
      </c>
      <c r="D64" s="235" t="s">
        <v>544</v>
      </c>
      <c r="E64" s="236" t="s">
        <v>444</v>
      </c>
      <c r="F64" s="255">
        <v>1.87</v>
      </c>
      <c r="G64" s="256">
        <f t="shared" si="12"/>
        <v>7063.7000000000007</v>
      </c>
      <c r="H64" s="257">
        <f t="shared" si="13"/>
        <v>14127.400000000001</v>
      </c>
      <c r="I64" s="235"/>
      <c r="J64" s="237">
        <f>SUMIF(File1!$D$1:$D$2034,C64,File1!$H$1:$H$2034)</f>
        <v>9</v>
      </c>
      <c r="K64" s="237">
        <f>SUMIF(File1!$D$8:$D$2034,C64,File1!$I$8:$I$2034)</f>
        <v>1</v>
      </c>
      <c r="L64" s="237">
        <f t="shared" si="1"/>
        <v>8</v>
      </c>
      <c r="M64" s="237">
        <f>SUMIF(File1!$D$3:$D$1800,C64,File1!$K$3:$L$1800)</f>
        <v>9740</v>
      </c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</row>
    <row r="65" spans="1:31" ht="13.2">
      <c r="A65" s="372"/>
      <c r="B65" s="236">
        <v>63</v>
      </c>
      <c r="C65" s="235" t="s">
        <v>545</v>
      </c>
      <c r="D65" s="235" t="s">
        <v>546</v>
      </c>
      <c r="E65" s="236" t="s">
        <v>444</v>
      </c>
      <c r="F65" s="255">
        <v>1.87</v>
      </c>
      <c r="G65" s="256">
        <f t="shared" si="12"/>
        <v>7063.7000000000007</v>
      </c>
      <c r="H65" s="257">
        <f t="shared" si="13"/>
        <v>14127.400000000001</v>
      </c>
      <c r="I65" s="235"/>
      <c r="J65" s="237">
        <f>SUMIF(File1!$D$1:$D$2034,C65,File1!$H$1:$H$2034)</f>
        <v>10</v>
      </c>
      <c r="K65" s="237">
        <f>SUMIF(File1!$D$8:$D$2034,C65,File1!$I$8:$I$2034)</f>
        <v>1</v>
      </c>
      <c r="L65" s="237">
        <f t="shared" si="1"/>
        <v>9</v>
      </c>
      <c r="M65" s="237">
        <f>SUMIF(File1!$D$3:$D$1800,C65,File1!$K$3:$L$1800)</f>
        <v>8380</v>
      </c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</row>
    <row r="66" spans="1:31" ht="13.2">
      <c r="A66" s="372"/>
      <c r="B66" s="236">
        <v>64</v>
      </c>
      <c r="C66" s="235" t="s">
        <v>547</v>
      </c>
      <c r="D66" s="235" t="s">
        <v>548</v>
      </c>
      <c r="E66" s="236" t="s">
        <v>444</v>
      </c>
      <c r="F66" s="255">
        <v>1.87</v>
      </c>
      <c r="G66" s="256">
        <f t="shared" si="12"/>
        <v>7063.7000000000007</v>
      </c>
      <c r="H66" s="257">
        <f t="shared" si="13"/>
        <v>14127.400000000001</v>
      </c>
      <c r="I66" s="235"/>
      <c r="J66" s="237">
        <f>SUMIF(File1!$D$1:$D$2034,C66,File1!$H$1:$H$2034)</f>
        <v>10</v>
      </c>
      <c r="K66" s="237">
        <f>SUMIF(File1!$D$8:$D$2034,C66,File1!$I$8:$I$2034)</f>
        <v>0</v>
      </c>
      <c r="L66" s="237">
        <f t="shared" si="1"/>
        <v>10</v>
      </c>
      <c r="M66" s="237">
        <f>SUMIF(File1!$D$3:$D$1800,C66,File1!$K$3:$L$1800)</f>
        <v>0</v>
      </c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</row>
    <row r="67" spans="1:31" ht="13.2">
      <c r="A67" s="372"/>
      <c r="B67" s="236">
        <v>65</v>
      </c>
      <c r="C67" s="235" t="s">
        <v>549</v>
      </c>
      <c r="D67" s="235" t="s">
        <v>550</v>
      </c>
      <c r="E67" s="236" t="s">
        <v>551</v>
      </c>
      <c r="F67" s="255">
        <v>1.6</v>
      </c>
      <c r="G67" s="256">
        <f t="shared" ref="G67:G131" si="14">F67*3550+1000</f>
        <v>6680</v>
      </c>
      <c r="H67" s="257">
        <f t="shared" ref="H67:H68" si="15">ROUND(G67*2.3,-3)</f>
        <v>15000</v>
      </c>
      <c r="I67" s="235"/>
      <c r="J67" s="237">
        <f>SUMIF(File1!$D$1:$D$2034,C67,File1!$H$1:$H$2034)</f>
        <v>0</v>
      </c>
      <c r="K67" s="237">
        <f>SUMIF(File1!$D$8:$D$2034,C67,File1!$I$8:$I$2034)</f>
        <v>0</v>
      </c>
      <c r="L67" s="237">
        <f t="shared" si="1"/>
        <v>0</v>
      </c>
      <c r="M67" s="237">
        <f>SUMIF(File1!$D$3:$D$1800,C67,File1!$K$3:$L$1800)</f>
        <v>0</v>
      </c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</row>
    <row r="68" spans="1:31" ht="13.2">
      <c r="A68" s="372"/>
      <c r="B68" s="236">
        <v>66</v>
      </c>
      <c r="C68" s="235" t="s">
        <v>552</v>
      </c>
      <c r="D68" s="235" t="s">
        <v>553</v>
      </c>
      <c r="E68" s="236" t="s">
        <v>551</v>
      </c>
      <c r="F68" s="255">
        <v>1.6</v>
      </c>
      <c r="G68" s="256">
        <f t="shared" si="14"/>
        <v>6680</v>
      </c>
      <c r="H68" s="257">
        <f t="shared" si="15"/>
        <v>15000</v>
      </c>
      <c r="I68" s="235"/>
      <c r="J68" s="237">
        <f>SUMIF(File1!$D$1:$D$2034,C68,File1!$H$1:$H$2034)</f>
        <v>5</v>
      </c>
      <c r="K68" s="237">
        <f>SUMIF(File1!$D$8:$D$2034,C68,File1!$I$8:$I$2034)</f>
        <v>2</v>
      </c>
      <c r="L68" s="237">
        <f t="shared" si="1"/>
        <v>3</v>
      </c>
      <c r="M68" s="237">
        <f>SUMIF(File1!$D$3:$D$1800,C68,File1!$K$3:$L$1800)</f>
        <v>27676</v>
      </c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</row>
    <row r="69" spans="1:31" ht="13.2">
      <c r="A69" s="372"/>
      <c r="B69" s="236">
        <v>67</v>
      </c>
      <c r="C69" s="235" t="s">
        <v>554</v>
      </c>
      <c r="D69" s="235" t="s">
        <v>555</v>
      </c>
      <c r="E69" s="236" t="s">
        <v>551</v>
      </c>
      <c r="F69" s="255">
        <v>2.8</v>
      </c>
      <c r="G69" s="256">
        <f t="shared" si="14"/>
        <v>10940</v>
      </c>
      <c r="H69" s="257">
        <f t="shared" ref="H69:H72" si="16">ROUND(G69*1.9,-3)</f>
        <v>21000</v>
      </c>
      <c r="I69" s="235"/>
      <c r="J69" s="237">
        <f>SUMIF(File1!$D$1:$D$2034,C69,File1!$H$1:$H$2034)</f>
        <v>8</v>
      </c>
      <c r="K69" s="237">
        <f>SUMIF(File1!$D$8:$D$2034,C69,File1!$I$8:$I$2034)</f>
        <v>0</v>
      </c>
      <c r="L69" s="237">
        <f t="shared" si="1"/>
        <v>8</v>
      </c>
      <c r="M69" s="237">
        <f>SUMIF(File1!$D$3:$D$1800,C69,File1!$K$3:$L$1800)</f>
        <v>0</v>
      </c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</row>
    <row r="70" spans="1:31" ht="13.2">
      <c r="A70" s="372"/>
      <c r="B70" s="236">
        <v>68</v>
      </c>
      <c r="C70" s="235" t="s">
        <v>556</v>
      </c>
      <c r="D70" s="235" t="s">
        <v>557</v>
      </c>
      <c r="E70" s="236" t="s">
        <v>551</v>
      </c>
      <c r="F70" s="255">
        <v>2.8</v>
      </c>
      <c r="G70" s="256">
        <f t="shared" si="14"/>
        <v>10940</v>
      </c>
      <c r="H70" s="257">
        <f t="shared" si="16"/>
        <v>21000</v>
      </c>
      <c r="I70" s="235"/>
      <c r="J70" s="237">
        <f>SUMIF(File1!$D$1:$D$2034,C70,File1!$H$1:$H$2034)</f>
        <v>3</v>
      </c>
      <c r="K70" s="237">
        <f>SUMIF(File1!$D$8:$D$2034,C70,File1!$I$8:$I$2034)</f>
        <v>1</v>
      </c>
      <c r="L70" s="237">
        <f t="shared" si="1"/>
        <v>2</v>
      </c>
      <c r="M70" s="237">
        <f>SUMIF(File1!$D$3:$D$1800,C70,File1!$K$3:$L$1800)</f>
        <v>18000</v>
      </c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</row>
    <row r="71" spans="1:31" ht="13.2">
      <c r="A71" s="372"/>
      <c r="B71" s="236">
        <v>69</v>
      </c>
      <c r="C71" s="235" t="s">
        <v>558</v>
      </c>
      <c r="D71" s="235" t="s">
        <v>559</v>
      </c>
      <c r="E71" s="236" t="s">
        <v>551</v>
      </c>
      <c r="F71" s="255">
        <v>2.8</v>
      </c>
      <c r="G71" s="256">
        <f t="shared" si="14"/>
        <v>10940</v>
      </c>
      <c r="H71" s="257">
        <f t="shared" si="16"/>
        <v>21000</v>
      </c>
      <c r="I71" s="235"/>
      <c r="J71" s="237">
        <f>SUMIF(File1!$D$1:$D$2034,C71,File1!$H$1:$H$2034)</f>
        <v>4</v>
      </c>
      <c r="K71" s="237">
        <f>SUMIF(File1!$D$8:$D$2034,C71,File1!$I$8:$I$2034)</f>
        <v>0</v>
      </c>
      <c r="L71" s="237">
        <f t="shared" si="1"/>
        <v>4</v>
      </c>
      <c r="M71" s="237">
        <f>SUMIF(File1!$D$3:$D$1800,C71,File1!$K$3:$L$1800)</f>
        <v>0</v>
      </c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</row>
    <row r="72" spans="1:31" ht="13.2">
      <c r="A72" s="372"/>
      <c r="B72" s="236">
        <v>70</v>
      </c>
      <c r="C72" s="235" t="s">
        <v>560</v>
      </c>
      <c r="D72" s="235" t="s">
        <v>561</v>
      </c>
      <c r="E72" s="236" t="s">
        <v>551</v>
      </c>
      <c r="F72" s="255">
        <v>2.8</v>
      </c>
      <c r="G72" s="256">
        <f t="shared" si="14"/>
        <v>10940</v>
      </c>
      <c r="H72" s="257">
        <f t="shared" si="16"/>
        <v>21000</v>
      </c>
      <c r="I72" s="235"/>
      <c r="J72" s="237">
        <f>SUMIF(File1!$D$1:$D$2034,C72,File1!$H$1:$H$2034)</f>
        <v>1</v>
      </c>
      <c r="K72" s="237">
        <f>SUMIF(File1!$D$8:$D$2034,C72,File1!$I$8:$I$2034)</f>
        <v>1</v>
      </c>
      <c r="L72" s="237">
        <f t="shared" si="1"/>
        <v>0</v>
      </c>
      <c r="M72" s="237">
        <f>SUMIF(File1!$D$3:$D$1800,C72,File1!$K$3:$L$1800)</f>
        <v>18680</v>
      </c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</row>
    <row r="73" spans="1:31" ht="13.2">
      <c r="A73" s="372"/>
      <c r="B73" s="236">
        <v>71</v>
      </c>
      <c r="C73" s="235" t="s">
        <v>562</v>
      </c>
      <c r="D73" s="235" t="s">
        <v>563</v>
      </c>
      <c r="E73" s="236" t="s">
        <v>551</v>
      </c>
      <c r="F73" s="255">
        <v>4</v>
      </c>
      <c r="G73" s="256">
        <f t="shared" si="14"/>
        <v>15200</v>
      </c>
      <c r="H73" s="257">
        <v>28000</v>
      </c>
      <c r="I73" s="235"/>
      <c r="J73" s="237">
        <f>SUMIF(File1!$D$1:$D$2034,C73,File1!$H$1:$H$2034)</f>
        <v>5</v>
      </c>
      <c r="K73" s="237">
        <f>SUMIF(File1!$D$8:$D$2034,C73,File1!$I$8:$I$2034)</f>
        <v>0</v>
      </c>
      <c r="L73" s="237">
        <f t="shared" si="1"/>
        <v>5</v>
      </c>
      <c r="M73" s="237">
        <f>SUMIF(File1!$D$3:$D$1800,C73,File1!$K$3:$L$1800)</f>
        <v>0</v>
      </c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</row>
    <row r="74" spans="1:31" ht="13.2">
      <c r="A74" s="372"/>
      <c r="B74" s="236">
        <v>72</v>
      </c>
      <c r="C74" s="235" t="s">
        <v>564</v>
      </c>
      <c r="D74" s="235" t="s">
        <v>565</v>
      </c>
      <c r="E74" s="236" t="s">
        <v>551</v>
      </c>
      <c r="F74" s="255">
        <v>4</v>
      </c>
      <c r="G74" s="256">
        <f t="shared" si="14"/>
        <v>15200</v>
      </c>
      <c r="H74" s="257">
        <v>28000</v>
      </c>
      <c r="I74" s="235"/>
      <c r="J74" s="237">
        <f>SUMIF(File1!$D$1:$D$2034,C74,File1!$H$1:$H$2034)</f>
        <v>2</v>
      </c>
      <c r="K74" s="237">
        <f>SUMIF(File1!$D$8:$D$2034,C74,File1!$I$8:$I$2034)</f>
        <v>1</v>
      </c>
      <c r="L74" s="237">
        <f t="shared" si="1"/>
        <v>1</v>
      </c>
      <c r="M74" s="237">
        <f>SUMIF(File1!$D$3:$D$1800,C74,File1!$K$3:$L$1800)</f>
        <v>20513.333333333332</v>
      </c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</row>
    <row r="75" spans="1:31" ht="13.2">
      <c r="A75" s="372"/>
      <c r="B75" s="236">
        <v>73</v>
      </c>
      <c r="C75" s="235" t="s">
        <v>566</v>
      </c>
      <c r="D75" s="235" t="s">
        <v>567</v>
      </c>
      <c r="E75" s="236" t="s">
        <v>551</v>
      </c>
      <c r="F75" s="255">
        <v>4</v>
      </c>
      <c r="G75" s="256">
        <f t="shared" si="14"/>
        <v>15200</v>
      </c>
      <c r="H75" s="257">
        <v>28000</v>
      </c>
      <c r="I75" s="235"/>
      <c r="J75" s="237">
        <f>SUMIF(File1!$D$1:$D$2034,C75,File1!$H$1:$H$2034)</f>
        <v>2</v>
      </c>
      <c r="K75" s="237">
        <f>SUMIF(File1!$D$8:$D$2034,C75,File1!$I$8:$I$2034)</f>
        <v>2</v>
      </c>
      <c r="L75" s="237">
        <f t="shared" si="1"/>
        <v>0</v>
      </c>
      <c r="M75" s="237">
        <f>SUMIF(File1!$D$3:$D$1800,C75,File1!$K$3:$L$1800)</f>
        <v>49220</v>
      </c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</row>
    <row r="76" spans="1:31" ht="13.2">
      <c r="A76" s="372"/>
      <c r="B76" s="236">
        <v>74</v>
      </c>
      <c r="C76" s="235" t="s">
        <v>568</v>
      </c>
      <c r="D76" s="235" t="s">
        <v>569</v>
      </c>
      <c r="E76" s="236" t="s">
        <v>551</v>
      </c>
      <c r="F76" s="255">
        <v>3.8</v>
      </c>
      <c r="G76" s="256">
        <f t="shared" si="14"/>
        <v>14490</v>
      </c>
      <c r="H76" s="257">
        <f t="shared" ref="H76:H79" si="17">ROUND(G76*1.9,-3)</f>
        <v>28000</v>
      </c>
      <c r="I76" s="235"/>
      <c r="J76" s="237">
        <f>SUMIF(File1!$D$1:$D$2034,C76,File1!$H$1:$H$2034)</f>
        <v>8</v>
      </c>
      <c r="K76" s="237">
        <f>SUMIF(File1!$D$8:$D$2034,C76,File1!$I$8:$I$2034)</f>
        <v>3</v>
      </c>
      <c r="L76" s="237">
        <f t="shared" si="1"/>
        <v>5</v>
      </c>
      <c r="M76" s="237">
        <f>SUMIF(File1!$D$3:$D$1800,C76,File1!$K$3:$L$1800)</f>
        <v>53000</v>
      </c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</row>
    <row r="77" spans="1:31" ht="13.2">
      <c r="A77" s="372"/>
      <c r="B77" s="236">
        <v>75</v>
      </c>
      <c r="C77" s="235" t="s">
        <v>570</v>
      </c>
      <c r="D77" s="235" t="s">
        <v>571</v>
      </c>
      <c r="E77" s="236" t="s">
        <v>551</v>
      </c>
      <c r="F77" s="255">
        <v>3.8</v>
      </c>
      <c r="G77" s="256">
        <f t="shared" si="14"/>
        <v>14490</v>
      </c>
      <c r="H77" s="257">
        <f t="shared" si="17"/>
        <v>28000</v>
      </c>
      <c r="I77" s="235"/>
      <c r="J77" s="237">
        <f>SUMIF(File1!$D$1:$D$2034,C77,File1!$H$1:$H$2034)</f>
        <v>3</v>
      </c>
      <c r="K77" s="237">
        <f>SUMIF(File1!$D$8:$D$2034,C77,File1!$I$8:$I$2034)</f>
        <v>0</v>
      </c>
      <c r="L77" s="237">
        <f t="shared" si="1"/>
        <v>3</v>
      </c>
      <c r="M77" s="237">
        <f>SUMIF(File1!$D$3:$D$1800,C77,File1!$K$3:$L$1800)</f>
        <v>0</v>
      </c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</row>
    <row r="78" spans="1:31" ht="13.2">
      <c r="A78" s="372"/>
      <c r="B78" s="236">
        <v>76</v>
      </c>
      <c r="C78" s="235" t="s">
        <v>572</v>
      </c>
      <c r="D78" s="235" t="s">
        <v>573</v>
      </c>
      <c r="E78" s="236" t="s">
        <v>551</v>
      </c>
      <c r="F78" s="255">
        <v>3.8</v>
      </c>
      <c r="G78" s="256">
        <f t="shared" si="14"/>
        <v>14490</v>
      </c>
      <c r="H78" s="257">
        <f t="shared" si="17"/>
        <v>28000</v>
      </c>
      <c r="I78" s="235"/>
      <c r="J78" s="237">
        <f>SUMIF(File1!$D$1:$D$2034,C78,File1!$H$1:$H$2034)</f>
        <v>4</v>
      </c>
      <c r="K78" s="237">
        <f>SUMIF(File1!$D$8:$D$2034,C78,File1!$I$8:$I$2034)</f>
        <v>0</v>
      </c>
      <c r="L78" s="237">
        <f t="shared" si="1"/>
        <v>4</v>
      </c>
      <c r="M78" s="237">
        <f>SUMIF(File1!$D$3:$D$1800,C78,File1!$K$3:$L$1800)</f>
        <v>0</v>
      </c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</row>
    <row r="79" spans="1:31" ht="13.2">
      <c r="A79" s="372"/>
      <c r="B79" s="236">
        <v>77</v>
      </c>
      <c r="C79" s="235" t="s">
        <v>574</v>
      </c>
      <c r="D79" s="235" t="s">
        <v>575</v>
      </c>
      <c r="E79" s="236" t="s">
        <v>551</v>
      </c>
      <c r="F79" s="255">
        <v>3.8</v>
      </c>
      <c r="G79" s="256">
        <f t="shared" si="14"/>
        <v>14490</v>
      </c>
      <c r="H79" s="257">
        <f t="shared" si="17"/>
        <v>28000</v>
      </c>
      <c r="I79" s="235"/>
      <c r="J79" s="237">
        <f>SUMIF(File1!$D$1:$D$2034,C79,File1!$H$1:$H$2034)</f>
        <v>1</v>
      </c>
      <c r="K79" s="237">
        <f>SUMIF(File1!$D$8:$D$2034,C79,File1!$I$8:$I$2034)</f>
        <v>0</v>
      </c>
      <c r="L79" s="237">
        <f t="shared" si="1"/>
        <v>1</v>
      </c>
      <c r="M79" s="237">
        <f>SUMIF(File1!$D$3:$D$1800,C79,File1!$K$3:$L$1800)</f>
        <v>0</v>
      </c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</row>
    <row r="80" spans="1:31" ht="13.2">
      <c r="A80" s="372"/>
      <c r="B80" s="236">
        <v>78</v>
      </c>
      <c r="C80" s="235" t="s">
        <v>576</v>
      </c>
      <c r="D80" s="235" t="s">
        <v>577</v>
      </c>
      <c r="E80" s="236" t="s">
        <v>551</v>
      </c>
      <c r="F80" s="255">
        <v>2</v>
      </c>
      <c r="G80" s="256">
        <f t="shared" si="14"/>
        <v>8100</v>
      </c>
      <c r="H80" s="257">
        <f t="shared" ref="H80:H82" si="18">ROUND(G80*2.2,-3)</f>
        <v>18000</v>
      </c>
      <c r="I80" s="235"/>
      <c r="J80" s="237">
        <f>SUMIF(File1!$D$1:$D$2034,C80,File1!$H$1:$H$2034)</f>
        <v>10</v>
      </c>
      <c r="K80" s="237">
        <f>SUMIF(File1!$D$8:$D$2034,C80,File1!$I$8:$I$2034)</f>
        <v>4</v>
      </c>
      <c r="L80" s="237">
        <f t="shared" si="1"/>
        <v>6</v>
      </c>
      <c r="M80" s="237">
        <f>SUMIF(File1!$D$3:$D$1800,C80,File1!$K$3:$L$1800)</f>
        <v>65800</v>
      </c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</row>
    <row r="81" spans="1:31" ht="13.2">
      <c r="A81" s="372"/>
      <c r="B81" s="236">
        <v>79</v>
      </c>
      <c r="C81" s="235" t="s">
        <v>578</v>
      </c>
      <c r="D81" s="235" t="s">
        <v>579</v>
      </c>
      <c r="E81" s="236" t="s">
        <v>551</v>
      </c>
      <c r="F81" s="255">
        <v>2</v>
      </c>
      <c r="G81" s="256">
        <f t="shared" si="14"/>
        <v>8100</v>
      </c>
      <c r="H81" s="257">
        <f t="shared" si="18"/>
        <v>18000</v>
      </c>
      <c r="I81" s="235"/>
      <c r="J81" s="237">
        <f>SUMIF(File1!$D$1:$D$2034,C81,File1!$H$1:$H$2034)</f>
        <v>10</v>
      </c>
      <c r="K81" s="237">
        <f>SUMIF(File1!$D$8:$D$2034,C81,File1!$I$8:$I$2034)</f>
        <v>2</v>
      </c>
      <c r="L81" s="237">
        <f t="shared" si="1"/>
        <v>8</v>
      </c>
      <c r="M81" s="237">
        <f>SUMIF(File1!$D$3:$D$1800,C81,File1!$K$3:$L$1800)</f>
        <v>39505.333333333328</v>
      </c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</row>
    <row r="82" spans="1:31" ht="13.2">
      <c r="A82" s="372"/>
      <c r="B82" s="236">
        <v>80</v>
      </c>
      <c r="C82" s="235" t="s">
        <v>580</v>
      </c>
      <c r="D82" s="235" t="s">
        <v>581</v>
      </c>
      <c r="E82" s="236" t="s">
        <v>551</v>
      </c>
      <c r="F82" s="255">
        <v>2</v>
      </c>
      <c r="G82" s="256">
        <f t="shared" si="14"/>
        <v>8100</v>
      </c>
      <c r="H82" s="257">
        <f t="shared" si="18"/>
        <v>18000</v>
      </c>
      <c r="I82" s="235"/>
      <c r="J82" s="237">
        <f>SUMIF(File1!$D$1:$D$2034,C82,File1!$H$1:$H$2034)</f>
        <v>10</v>
      </c>
      <c r="K82" s="237">
        <f>SUMIF(File1!$D$8:$D$2034,C82,File1!$I$8:$I$2034)</f>
        <v>2</v>
      </c>
      <c r="L82" s="237">
        <f t="shared" si="1"/>
        <v>8</v>
      </c>
      <c r="M82" s="237">
        <f>SUMIF(File1!$D$3:$D$1800,C82,File1!$K$3:$L$1800)</f>
        <v>30263.333333333332</v>
      </c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</row>
    <row r="83" spans="1:31" ht="13.2">
      <c r="A83" s="372"/>
      <c r="B83" s="236">
        <v>81</v>
      </c>
      <c r="C83" s="235" t="s">
        <v>582</v>
      </c>
      <c r="D83" s="235" t="s">
        <v>583</v>
      </c>
      <c r="E83" s="236" t="s">
        <v>444</v>
      </c>
      <c r="F83" s="255">
        <v>2.2000000000000002</v>
      </c>
      <c r="G83" s="256">
        <f t="shared" si="14"/>
        <v>8810</v>
      </c>
      <c r="H83" s="257">
        <f t="shared" ref="H83:H90" si="19">ROUND(G83*1.9,-3)</f>
        <v>17000</v>
      </c>
      <c r="I83" s="235"/>
      <c r="J83" s="237">
        <f>SUMIF(File1!$D$1:$D$2034,C83,File1!$H$1:$H$2034)</f>
        <v>3</v>
      </c>
      <c r="K83" s="237">
        <f>SUMIF(File1!$D$8:$D$2034,C83,File1!$I$8:$I$2034)</f>
        <v>0</v>
      </c>
      <c r="L83" s="237">
        <f t="shared" si="1"/>
        <v>3</v>
      </c>
      <c r="M83" s="237">
        <f>SUMIF(File1!$D$3:$D$1800,C83,File1!$K$3:$L$1800)</f>
        <v>0</v>
      </c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</row>
    <row r="84" spans="1:31" ht="13.2">
      <c r="A84" s="372"/>
      <c r="B84" s="236">
        <v>82</v>
      </c>
      <c r="C84" s="235" t="s">
        <v>584</v>
      </c>
      <c r="D84" s="235" t="s">
        <v>2161</v>
      </c>
      <c r="E84" s="236" t="s">
        <v>444</v>
      </c>
      <c r="F84" s="255">
        <v>2.2000000000000002</v>
      </c>
      <c r="G84" s="256">
        <f t="shared" si="14"/>
        <v>8810</v>
      </c>
      <c r="H84" s="257">
        <f t="shared" si="19"/>
        <v>17000</v>
      </c>
      <c r="I84" s="235"/>
      <c r="J84" s="237">
        <f>SUMIF(File1!$D$1:$D$2034,C84,File1!$H$1:$H$2034)</f>
        <v>3</v>
      </c>
      <c r="K84" s="237">
        <f>SUMIF(File1!$D$8:$D$2034,C84,File1!$I$8:$I$2034)</f>
        <v>2</v>
      </c>
      <c r="L84" s="237">
        <f t="shared" si="1"/>
        <v>1</v>
      </c>
      <c r="M84" s="237">
        <f>SUMIF(File1!$D$3:$D$1800,C84,File1!$K$3:$L$1800)</f>
        <v>23000</v>
      </c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</row>
    <row r="85" spans="1:31" ht="13.2">
      <c r="A85" s="372"/>
      <c r="B85" s="236">
        <v>83</v>
      </c>
      <c r="C85" s="235" t="s">
        <v>586</v>
      </c>
      <c r="D85" s="235" t="s">
        <v>2162</v>
      </c>
      <c r="E85" s="236" t="s">
        <v>444</v>
      </c>
      <c r="F85" s="255">
        <v>2.2000000000000002</v>
      </c>
      <c r="G85" s="256">
        <f t="shared" si="14"/>
        <v>8810</v>
      </c>
      <c r="H85" s="257">
        <f t="shared" si="19"/>
        <v>17000</v>
      </c>
      <c r="I85" s="235"/>
      <c r="J85" s="237">
        <f>SUMIF(File1!$D$1:$D$2034,C85,File1!$H$1:$H$2034)</f>
        <v>3</v>
      </c>
      <c r="K85" s="237">
        <f>SUMIF(File1!$D$8:$D$2034,C85,File1!$I$8:$I$2034)</f>
        <v>1</v>
      </c>
      <c r="L85" s="237">
        <f t="shared" si="1"/>
        <v>2</v>
      </c>
      <c r="M85" s="237">
        <f>SUMIF(File1!$D$3:$D$1800,C85,File1!$K$3:$L$1800)</f>
        <v>13860</v>
      </c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</row>
    <row r="86" spans="1:31" ht="13.2">
      <c r="A86" s="372"/>
      <c r="B86" s="236">
        <v>84</v>
      </c>
      <c r="C86" s="235" t="s">
        <v>588</v>
      </c>
      <c r="D86" s="235" t="s">
        <v>589</v>
      </c>
      <c r="E86" s="236" t="s">
        <v>444</v>
      </c>
      <c r="F86" s="255">
        <v>2.2000000000000002</v>
      </c>
      <c r="G86" s="256">
        <f t="shared" si="14"/>
        <v>8810</v>
      </c>
      <c r="H86" s="257">
        <f t="shared" si="19"/>
        <v>17000</v>
      </c>
      <c r="I86" s="235"/>
      <c r="J86" s="237">
        <f>SUMIF(File1!$D$1:$D$2034,C86,File1!$H$1:$H$2034)</f>
        <v>2</v>
      </c>
      <c r="K86" s="237">
        <f>SUMIF(File1!$D$8:$D$2034,C86,File1!$I$8:$I$2034)</f>
        <v>2</v>
      </c>
      <c r="L86" s="237">
        <f t="shared" si="1"/>
        <v>0</v>
      </c>
      <c r="M86" s="237">
        <f>SUMIF(File1!$D$3:$D$1800,C86,File1!$K$3:$L$1800)</f>
        <v>31900</v>
      </c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</row>
    <row r="87" spans="1:31" ht="13.2">
      <c r="A87" s="372"/>
      <c r="B87" s="236">
        <v>85</v>
      </c>
      <c r="C87" s="235" t="s">
        <v>590</v>
      </c>
      <c r="D87" s="235" t="s">
        <v>591</v>
      </c>
      <c r="E87" s="236" t="s">
        <v>444</v>
      </c>
      <c r="F87" s="255">
        <v>2.2000000000000002</v>
      </c>
      <c r="G87" s="256">
        <f t="shared" si="14"/>
        <v>8810</v>
      </c>
      <c r="H87" s="257">
        <f t="shared" si="19"/>
        <v>17000</v>
      </c>
      <c r="I87" s="235"/>
      <c r="J87" s="237">
        <f>SUMIF(File1!$D$1:$D$2034,C87,File1!$H$1:$H$2034)</f>
        <v>3</v>
      </c>
      <c r="K87" s="237">
        <f>SUMIF(File1!$D$8:$D$2034,C87,File1!$I$8:$I$2034)</f>
        <v>2</v>
      </c>
      <c r="L87" s="237">
        <f t="shared" si="1"/>
        <v>1</v>
      </c>
      <c r="M87" s="237">
        <f>SUMIF(File1!$D$3:$D$1800,C87,File1!$K$3:$L$1800)</f>
        <v>17620</v>
      </c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</row>
    <row r="88" spans="1:31" ht="13.2">
      <c r="A88" s="372"/>
      <c r="B88" s="236">
        <v>86</v>
      </c>
      <c r="C88" s="235" t="s">
        <v>629</v>
      </c>
      <c r="D88" s="235" t="s">
        <v>2163</v>
      </c>
      <c r="E88" s="236" t="s">
        <v>444</v>
      </c>
      <c r="F88" s="255">
        <v>2.5</v>
      </c>
      <c r="G88" s="256">
        <f t="shared" si="14"/>
        <v>9875</v>
      </c>
      <c r="H88" s="257">
        <f t="shared" si="19"/>
        <v>19000</v>
      </c>
      <c r="I88" s="235"/>
      <c r="J88" s="237">
        <f>SUMIF(File1!$D$1:$D$2034,C88,File1!$H$1:$H$2034)</f>
        <v>3</v>
      </c>
      <c r="K88" s="237">
        <f>SUMIF(File1!$D$8:$D$2034,C88,File1!$I$8:$I$2034)</f>
        <v>2</v>
      </c>
      <c r="L88" s="237">
        <f t="shared" si="1"/>
        <v>1</v>
      </c>
      <c r="M88" s="237">
        <f>SUMIF(File1!$D$3:$D$1800,C88,File1!$K$3:$L$1800)</f>
        <v>40000</v>
      </c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</row>
    <row r="89" spans="1:31" ht="13.2">
      <c r="A89" s="372"/>
      <c r="B89" s="236">
        <v>87</v>
      </c>
      <c r="C89" s="235" t="s">
        <v>631</v>
      </c>
      <c r="D89" s="235" t="s">
        <v>2164</v>
      </c>
      <c r="E89" s="236" t="s">
        <v>444</v>
      </c>
      <c r="F89" s="255">
        <v>2.5</v>
      </c>
      <c r="G89" s="256">
        <f t="shared" si="14"/>
        <v>9875</v>
      </c>
      <c r="H89" s="257">
        <f t="shared" si="19"/>
        <v>19000</v>
      </c>
      <c r="I89" s="235"/>
      <c r="J89" s="237">
        <f>SUMIF(File1!$D$1:$D$2034,C89,File1!$H$1:$H$2034)</f>
        <v>3</v>
      </c>
      <c r="K89" s="237">
        <f>SUMIF(File1!$D$8:$D$2034,C89,File1!$I$8:$I$2034)</f>
        <v>0</v>
      </c>
      <c r="L89" s="237">
        <f t="shared" si="1"/>
        <v>3</v>
      </c>
      <c r="M89" s="237">
        <f>SUMIF(File1!$D$3:$D$1800,C89,File1!$K$3:$L$1800)</f>
        <v>0</v>
      </c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</row>
    <row r="90" spans="1:31" ht="13.2">
      <c r="A90" s="372"/>
      <c r="B90" s="236">
        <v>88</v>
      </c>
      <c r="C90" s="235" t="s">
        <v>633</v>
      </c>
      <c r="D90" s="235" t="s">
        <v>2165</v>
      </c>
      <c r="E90" s="236" t="s">
        <v>444</v>
      </c>
      <c r="F90" s="255">
        <v>2.5</v>
      </c>
      <c r="G90" s="256">
        <f t="shared" si="14"/>
        <v>9875</v>
      </c>
      <c r="H90" s="257">
        <f t="shared" si="19"/>
        <v>19000</v>
      </c>
      <c r="I90" s="235"/>
      <c r="J90" s="237">
        <f>SUMIF(File1!$D$1:$D$2034,C90,File1!$H$1:$H$2034)</f>
        <v>3</v>
      </c>
      <c r="K90" s="237">
        <f>SUMIF(File1!$D$8:$D$2034,C90,File1!$I$8:$I$2034)</f>
        <v>0</v>
      </c>
      <c r="L90" s="237">
        <f t="shared" si="1"/>
        <v>3</v>
      </c>
      <c r="M90" s="237">
        <f>SUMIF(File1!$D$3:$D$1800,C90,File1!$K$3:$L$1800)</f>
        <v>0</v>
      </c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</row>
    <row r="91" spans="1:31" ht="13.2">
      <c r="A91" s="372"/>
      <c r="B91" s="236">
        <v>89</v>
      </c>
      <c r="C91" s="235" t="s">
        <v>635</v>
      </c>
      <c r="D91" s="235" t="s">
        <v>630</v>
      </c>
      <c r="E91" s="236" t="s">
        <v>444</v>
      </c>
      <c r="F91" s="255">
        <v>5</v>
      </c>
      <c r="G91" s="256">
        <f t="shared" si="14"/>
        <v>18750</v>
      </c>
      <c r="H91" s="257">
        <v>32500</v>
      </c>
      <c r="I91" s="235"/>
      <c r="J91" s="237">
        <f>SUMIF(File1!$D$1:$D$2034,C91,File1!$H$1:$H$2034)</f>
        <v>7</v>
      </c>
      <c r="K91" s="237">
        <f>SUMIF(File1!$D$8:$D$2034,C91,File1!$I$8:$I$2034)</f>
        <v>0</v>
      </c>
      <c r="L91" s="237">
        <f t="shared" si="1"/>
        <v>7</v>
      </c>
      <c r="M91" s="237">
        <f>SUMIF(File1!$D$3:$D$1800,C91,File1!$K$3:$L$1800)</f>
        <v>0</v>
      </c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</row>
    <row r="92" spans="1:31" ht="13.2">
      <c r="A92" s="372"/>
      <c r="B92" s="236">
        <v>90</v>
      </c>
      <c r="C92" s="235" t="s">
        <v>637</v>
      </c>
      <c r="D92" s="235" t="s">
        <v>632</v>
      </c>
      <c r="E92" s="236" t="s">
        <v>444</v>
      </c>
      <c r="F92" s="255">
        <v>5</v>
      </c>
      <c r="G92" s="256">
        <f t="shared" si="14"/>
        <v>18750</v>
      </c>
      <c r="H92" s="257">
        <v>32500</v>
      </c>
      <c r="I92" s="235"/>
      <c r="J92" s="237">
        <f>SUMIF(File1!$D$1:$D$2034,C92,File1!$H$1:$H$2034)</f>
        <v>2</v>
      </c>
      <c r="K92" s="237">
        <f>SUMIF(File1!$D$8:$D$2034,C92,File1!$I$8:$I$2034)</f>
        <v>1</v>
      </c>
      <c r="L92" s="237">
        <f t="shared" si="1"/>
        <v>1</v>
      </c>
      <c r="M92" s="237">
        <f>SUMIF(File1!$D$3:$D$1800,C92,File1!$K$3:$L$1800)</f>
        <v>25000</v>
      </c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</row>
    <row r="93" spans="1:31" ht="13.2">
      <c r="A93" s="372"/>
      <c r="B93" s="236">
        <v>91</v>
      </c>
      <c r="C93" s="235" t="s">
        <v>639</v>
      </c>
      <c r="D93" s="235" t="s">
        <v>634</v>
      </c>
      <c r="E93" s="236" t="s">
        <v>444</v>
      </c>
      <c r="F93" s="255">
        <v>5</v>
      </c>
      <c r="G93" s="256">
        <f t="shared" si="14"/>
        <v>18750</v>
      </c>
      <c r="H93" s="257">
        <v>32500</v>
      </c>
      <c r="I93" s="235"/>
      <c r="J93" s="237">
        <f>SUMIF(File1!$D$1:$D$2034,C93,File1!$H$1:$H$2034)</f>
        <v>2</v>
      </c>
      <c r="K93" s="237">
        <f>SUMIF(File1!$D$8:$D$2034,C93,File1!$I$8:$I$2034)</f>
        <v>0</v>
      </c>
      <c r="L93" s="237">
        <f t="shared" si="1"/>
        <v>2</v>
      </c>
      <c r="M93" s="237">
        <f>SUMIF(File1!$D$3:$D$1800,C93,File1!$K$3:$L$1800)</f>
        <v>0</v>
      </c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</row>
    <row r="94" spans="1:31" ht="13.2">
      <c r="A94" s="372"/>
      <c r="B94" s="236">
        <v>92</v>
      </c>
      <c r="C94" s="235" t="s">
        <v>641</v>
      </c>
      <c r="D94" s="235" t="s">
        <v>642</v>
      </c>
      <c r="E94" s="236" t="s">
        <v>444</v>
      </c>
      <c r="F94" s="255">
        <v>3</v>
      </c>
      <c r="G94" s="256">
        <f t="shared" si="14"/>
        <v>11650</v>
      </c>
      <c r="H94" s="257">
        <f t="shared" ref="H94:H131" si="20">ROUND(G94*1.9,-3)</f>
        <v>22000</v>
      </c>
      <c r="I94" s="235"/>
      <c r="J94" s="237">
        <f>SUMIF(File1!$D$1:$D$2034,C94,File1!$H$1:$H$2034)</f>
        <v>3</v>
      </c>
      <c r="K94" s="237">
        <f>SUMIF(File1!$D$8:$D$2034,C94,File1!$I$8:$I$2034)</f>
        <v>0</v>
      </c>
      <c r="L94" s="237">
        <f t="shared" si="1"/>
        <v>3</v>
      </c>
      <c r="M94" s="237">
        <f>SUMIF(File1!$D$3:$D$1800,C94,File1!$K$3:$L$1800)</f>
        <v>0</v>
      </c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</row>
    <row r="95" spans="1:31" ht="13.2">
      <c r="A95" s="372"/>
      <c r="B95" s="236">
        <v>93</v>
      </c>
      <c r="C95" s="235" t="s">
        <v>643</v>
      </c>
      <c r="D95" s="235" t="s">
        <v>644</v>
      </c>
      <c r="E95" s="236" t="s">
        <v>444</v>
      </c>
      <c r="F95" s="255">
        <v>3</v>
      </c>
      <c r="G95" s="256">
        <f t="shared" si="14"/>
        <v>11650</v>
      </c>
      <c r="H95" s="257">
        <f t="shared" si="20"/>
        <v>22000</v>
      </c>
      <c r="I95" s="235"/>
      <c r="J95" s="237">
        <f>SUMIF(File1!$D$1:$D$2034,C95,File1!$H$1:$H$2034)</f>
        <v>3</v>
      </c>
      <c r="K95" s="237">
        <f>SUMIF(File1!$D$8:$D$2034,C95,File1!$I$8:$I$2034)</f>
        <v>0</v>
      </c>
      <c r="L95" s="237">
        <f t="shared" si="1"/>
        <v>3</v>
      </c>
      <c r="M95" s="237">
        <f>SUMIF(File1!$D$3:$D$1800,C95,File1!$K$3:$L$1800)</f>
        <v>0</v>
      </c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</row>
    <row r="96" spans="1:31" ht="13.2">
      <c r="A96" s="372"/>
      <c r="B96" s="236">
        <v>94</v>
      </c>
      <c r="C96" s="235" t="s">
        <v>645</v>
      </c>
      <c r="D96" s="235" t="s">
        <v>646</v>
      </c>
      <c r="E96" s="236" t="s">
        <v>444</v>
      </c>
      <c r="F96" s="255">
        <v>3</v>
      </c>
      <c r="G96" s="256">
        <f t="shared" si="14"/>
        <v>11650</v>
      </c>
      <c r="H96" s="257">
        <f t="shared" si="20"/>
        <v>22000</v>
      </c>
      <c r="I96" s="235"/>
      <c r="J96" s="237">
        <f>SUMIF(File1!$D$1:$D$2034,C96,File1!$H$1:$H$2034)</f>
        <v>3</v>
      </c>
      <c r="K96" s="237">
        <f>SUMIF(File1!$D$8:$D$2034,C96,File1!$I$8:$I$2034)</f>
        <v>1</v>
      </c>
      <c r="L96" s="237">
        <f t="shared" si="1"/>
        <v>2</v>
      </c>
      <c r="M96" s="237">
        <f>SUMIF(File1!$D$3:$D$1800,C96,File1!$K$3:$L$1800)</f>
        <v>15000</v>
      </c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</row>
    <row r="97" spans="1:31" ht="13.2">
      <c r="A97" s="372"/>
      <c r="B97" s="236">
        <v>95</v>
      </c>
      <c r="C97" s="235" t="s">
        <v>647</v>
      </c>
      <c r="D97" s="235" t="s">
        <v>2166</v>
      </c>
      <c r="E97" s="236" t="s">
        <v>444</v>
      </c>
      <c r="F97" s="255">
        <v>3</v>
      </c>
      <c r="G97" s="256">
        <f t="shared" si="14"/>
        <v>11650</v>
      </c>
      <c r="H97" s="257">
        <f t="shared" si="20"/>
        <v>22000</v>
      </c>
      <c r="I97" s="235"/>
      <c r="J97" s="237">
        <f>SUMIF(File1!$D$1:$D$2034,C97,File1!$H$1:$H$2034)</f>
        <v>3</v>
      </c>
      <c r="K97" s="237">
        <f>SUMIF(File1!$D$8:$D$2034,C97,File1!$I$8:$I$2034)</f>
        <v>1</v>
      </c>
      <c r="L97" s="237">
        <f t="shared" si="1"/>
        <v>2</v>
      </c>
      <c r="M97" s="237">
        <f>SUMIF(File1!$D$3:$D$1800,C97,File1!$K$3:$L$1800)</f>
        <v>15000</v>
      </c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</row>
    <row r="98" spans="1:31" ht="13.2">
      <c r="A98" s="372"/>
      <c r="B98" s="236">
        <v>96</v>
      </c>
      <c r="C98" s="235" t="s">
        <v>649</v>
      </c>
      <c r="D98" s="235" t="s">
        <v>650</v>
      </c>
      <c r="E98" s="236" t="s">
        <v>444</v>
      </c>
      <c r="F98" s="255">
        <v>2.6</v>
      </c>
      <c r="G98" s="256">
        <f t="shared" si="14"/>
        <v>10230</v>
      </c>
      <c r="H98" s="257">
        <f t="shared" si="20"/>
        <v>19000</v>
      </c>
      <c r="I98" s="235"/>
      <c r="J98" s="237">
        <f>SUMIF(File1!$D$1:$D$2034,C98,File1!$H$1:$H$2034)</f>
        <v>3</v>
      </c>
      <c r="K98" s="237">
        <f>SUMIF(File1!$D$8:$D$2034,C98,File1!$I$8:$I$2034)</f>
        <v>0</v>
      </c>
      <c r="L98" s="237">
        <f t="shared" si="1"/>
        <v>3</v>
      </c>
      <c r="M98" s="237">
        <f>SUMIF(File1!$D$3:$D$1800,C98,File1!$K$3:$L$1800)</f>
        <v>0</v>
      </c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</row>
    <row r="99" spans="1:31" ht="13.2">
      <c r="A99" s="372"/>
      <c r="B99" s="236">
        <v>97</v>
      </c>
      <c r="C99" s="235" t="s">
        <v>651</v>
      </c>
      <c r="D99" s="235" t="s">
        <v>2167</v>
      </c>
      <c r="E99" s="236" t="s">
        <v>444</v>
      </c>
      <c r="F99" s="255">
        <v>2.6</v>
      </c>
      <c r="G99" s="256">
        <f t="shared" si="14"/>
        <v>10230</v>
      </c>
      <c r="H99" s="257">
        <f t="shared" si="20"/>
        <v>19000</v>
      </c>
      <c r="I99" s="235"/>
      <c r="J99" s="237">
        <f>SUMIF(File1!$D$1:$D$2034,C99,File1!$H$1:$H$2034)</f>
        <v>3</v>
      </c>
      <c r="K99" s="237">
        <f>SUMIF(File1!$D$8:$D$2034,C99,File1!$I$8:$I$2034)</f>
        <v>0</v>
      </c>
      <c r="L99" s="237">
        <f t="shared" si="1"/>
        <v>3</v>
      </c>
      <c r="M99" s="237">
        <f>SUMIF(File1!$D$3:$D$1800,C99,File1!$K$3:$L$1800)</f>
        <v>0</v>
      </c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</row>
    <row r="100" spans="1:31" ht="13.2">
      <c r="A100" s="372"/>
      <c r="B100" s="236">
        <v>98</v>
      </c>
      <c r="C100" s="235" t="s">
        <v>653</v>
      </c>
      <c r="D100" s="235" t="s">
        <v>654</v>
      </c>
      <c r="E100" s="236" t="s">
        <v>444</v>
      </c>
      <c r="F100" s="255">
        <v>2.6</v>
      </c>
      <c r="G100" s="256">
        <f t="shared" si="14"/>
        <v>10230</v>
      </c>
      <c r="H100" s="257">
        <f t="shared" si="20"/>
        <v>19000</v>
      </c>
      <c r="I100" s="235"/>
      <c r="J100" s="237">
        <f>SUMIF(File1!$D$1:$D$2034,C100,File1!$H$1:$H$2034)</f>
        <v>3</v>
      </c>
      <c r="K100" s="237">
        <f>SUMIF(File1!$D$8:$D$2034,C100,File1!$I$8:$I$2034)</f>
        <v>0</v>
      </c>
      <c r="L100" s="237">
        <f t="shared" si="1"/>
        <v>3</v>
      </c>
      <c r="M100" s="237">
        <f>SUMIF(File1!$D$3:$D$1800,C100,File1!$K$3:$L$1800)</f>
        <v>0</v>
      </c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</row>
    <row r="101" spans="1:31" ht="13.2">
      <c r="A101" s="372"/>
      <c r="B101" s="236">
        <v>99</v>
      </c>
      <c r="C101" s="235" t="s">
        <v>655</v>
      </c>
      <c r="D101" s="235" t="s">
        <v>656</v>
      </c>
      <c r="E101" s="236" t="s">
        <v>444</v>
      </c>
      <c r="F101" s="255">
        <v>2.6</v>
      </c>
      <c r="G101" s="256">
        <f t="shared" si="14"/>
        <v>10230</v>
      </c>
      <c r="H101" s="257">
        <f t="shared" si="20"/>
        <v>19000</v>
      </c>
      <c r="I101" s="235"/>
      <c r="J101" s="237">
        <f>SUMIF(File1!$D$1:$D$2034,C101,File1!$H$1:$H$2034)</f>
        <v>2</v>
      </c>
      <c r="K101" s="237">
        <f>SUMIF(File1!$D$8:$D$2034,C101,File1!$I$8:$I$2034)</f>
        <v>0</v>
      </c>
      <c r="L101" s="237">
        <f t="shared" si="1"/>
        <v>2</v>
      </c>
      <c r="M101" s="237">
        <f>SUMIF(File1!$D$3:$D$1800,C101,File1!$K$3:$L$1800)</f>
        <v>0</v>
      </c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</row>
    <row r="102" spans="1:31" ht="13.2">
      <c r="A102" s="372"/>
      <c r="B102" s="236">
        <v>100</v>
      </c>
      <c r="C102" s="235" t="s">
        <v>657</v>
      </c>
      <c r="D102" s="235" t="s">
        <v>658</v>
      </c>
      <c r="E102" s="236" t="s">
        <v>444</v>
      </c>
      <c r="F102" s="255">
        <v>2.6</v>
      </c>
      <c r="G102" s="256">
        <f t="shared" si="14"/>
        <v>10230</v>
      </c>
      <c r="H102" s="257">
        <f t="shared" si="20"/>
        <v>19000</v>
      </c>
      <c r="I102" s="235"/>
      <c r="J102" s="237">
        <f>SUMIF(File1!$D$1:$D$2034,C102,File1!$H$1:$H$2034)</f>
        <v>2</v>
      </c>
      <c r="K102" s="237">
        <f>SUMIF(File1!$D$8:$D$2034,C102,File1!$I$8:$I$2034)</f>
        <v>2</v>
      </c>
      <c r="L102" s="237">
        <f t="shared" si="1"/>
        <v>0</v>
      </c>
      <c r="M102" s="237">
        <f>SUMIF(File1!$D$3:$D$1800,C102,File1!$K$3:$L$1800)</f>
        <v>20460</v>
      </c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</row>
    <row r="103" spans="1:31" ht="13.2">
      <c r="A103" s="372"/>
      <c r="B103" s="236">
        <v>101</v>
      </c>
      <c r="C103" s="235" t="s">
        <v>659</v>
      </c>
      <c r="D103" s="235" t="s">
        <v>660</v>
      </c>
      <c r="E103" s="236" t="s">
        <v>444</v>
      </c>
      <c r="F103" s="255">
        <v>3.5</v>
      </c>
      <c r="G103" s="256">
        <f t="shared" si="14"/>
        <v>13425</v>
      </c>
      <c r="H103" s="257">
        <f t="shared" si="20"/>
        <v>26000</v>
      </c>
      <c r="I103" s="235"/>
      <c r="J103" s="237">
        <f>SUMIF(File1!$D$1:$D$2034,C103,File1!$H$1:$H$2034)</f>
        <v>3</v>
      </c>
      <c r="K103" s="237">
        <f>SUMIF(File1!$D$8:$D$2034,C103,File1!$I$8:$I$2034)</f>
        <v>1</v>
      </c>
      <c r="L103" s="237">
        <f t="shared" si="1"/>
        <v>2</v>
      </c>
      <c r="M103" s="237">
        <f>SUMIF(File1!$D$3:$D$1800,C103,File1!$K$3:$L$1800)</f>
        <v>18000</v>
      </c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</row>
    <row r="104" spans="1:31" ht="13.2">
      <c r="A104" s="372"/>
      <c r="B104" s="236">
        <v>102</v>
      </c>
      <c r="C104" s="235" t="s">
        <v>661</v>
      </c>
      <c r="D104" s="235" t="s">
        <v>662</v>
      </c>
      <c r="E104" s="236" t="s">
        <v>444</v>
      </c>
      <c r="F104" s="255">
        <v>3.5</v>
      </c>
      <c r="G104" s="256">
        <f t="shared" si="14"/>
        <v>13425</v>
      </c>
      <c r="H104" s="257">
        <f t="shared" si="20"/>
        <v>26000</v>
      </c>
      <c r="I104" s="235"/>
      <c r="J104" s="237">
        <f>SUMIF(File1!$D$1:$D$2034,C104,File1!$H$1:$H$2034)</f>
        <v>3</v>
      </c>
      <c r="K104" s="237">
        <f>SUMIF(File1!$D$8:$D$2034,C104,File1!$I$8:$I$2034)</f>
        <v>1</v>
      </c>
      <c r="L104" s="237">
        <f t="shared" si="1"/>
        <v>2</v>
      </c>
      <c r="M104" s="237">
        <f>SUMIF(File1!$D$3:$D$1800,C104,File1!$K$3:$L$1800)</f>
        <v>18000</v>
      </c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</row>
    <row r="105" spans="1:31" ht="13.2">
      <c r="A105" s="372"/>
      <c r="B105" s="236">
        <v>103</v>
      </c>
      <c r="C105" s="235" t="s">
        <v>663</v>
      </c>
      <c r="D105" s="235" t="s">
        <v>664</v>
      </c>
      <c r="E105" s="236" t="s">
        <v>444</v>
      </c>
      <c r="F105" s="255">
        <v>0.5</v>
      </c>
      <c r="G105" s="256">
        <f t="shared" si="14"/>
        <v>2775</v>
      </c>
      <c r="H105" s="257">
        <f t="shared" si="20"/>
        <v>5000</v>
      </c>
      <c r="I105" s="235"/>
      <c r="J105" s="237">
        <f>SUMIF(File1!$D$1:$D$2034,C105,File1!$H$1:$H$2034)</f>
        <v>2</v>
      </c>
      <c r="K105" s="237">
        <f>SUMIF(File1!$D$8:$D$2034,C105,File1!$I$8:$I$2034)</f>
        <v>0</v>
      </c>
      <c r="L105" s="237">
        <f t="shared" si="1"/>
        <v>2</v>
      </c>
      <c r="M105" s="237">
        <f>SUMIF(File1!$D$3:$D$1800,C105,File1!$K$3:$L$1800)</f>
        <v>0</v>
      </c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</row>
    <row r="106" spans="1:31" ht="13.2">
      <c r="A106" s="372"/>
      <c r="B106" s="236">
        <v>104</v>
      </c>
      <c r="C106" s="235" t="s">
        <v>665</v>
      </c>
      <c r="D106" s="235" t="s">
        <v>666</v>
      </c>
      <c r="E106" s="236" t="s">
        <v>444</v>
      </c>
      <c r="F106" s="255">
        <v>1.2</v>
      </c>
      <c r="G106" s="256">
        <f t="shared" si="14"/>
        <v>5260</v>
      </c>
      <c r="H106" s="257">
        <f t="shared" si="20"/>
        <v>10000</v>
      </c>
      <c r="I106" s="235"/>
      <c r="J106" s="237">
        <f>SUMIF(File1!$D$1:$D$2034,C106,File1!$H$1:$H$2034)</f>
        <v>2</v>
      </c>
      <c r="K106" s="237">
        <f>SUMIF(File1!$D$8:$D$2034,C106,File1!$I$8:$I$2034)</f>
        <v>0</v>
      </c>
      <c r="L106" s="237">
        <f t="shared" si="1"/>
        <v>2</v>
      </c>
      <c r="M106" s="237">
        <f>SUMIF(File1!$D$3:$D$1800,C106,File1!$K$3:$L$1800)</f>
        <v>0</v>
      </c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</row>
    <row r="107" spans="1:31" ht="13.2">
      <c r="A107" s="372"/>
      <c r="B107" s="236">
        <v>105</v>
      </c>
      <c r="C107" s="235" t="s">
        <v>667</v>
      </c>
      <c r="D107" s="235" t="s">
        <v>668</v>
      </c>
      <c r="E107" s="236" t="s">
        <v>444</v>
      </c>
      <c r="F107" s="255">
        <v>1.3</v>
      </c>
      <c r="G107" s="256">
        <f t="shared" si="14"/>
        <v>5615</v>
      </c>
      <c r="H107" s="257">
        <f t="shared" si="20"/>
        <v>11000</v>
      </c>
      <c r="I107" s="235"/>
      <c r="J107" s="237">
        <f>SUMIF(File1!$D$1:$D$2034,C107,File1!$H$1:$H$2034)</f>
        <v>2</v>
      </c>
      <c r="K107" s="237">
        <f>SUMIF(File1!$D$8:$D$2034,C107,File1!$I$8:$I$2034)</f>
        <v>0</v>
      </c>
      <c r="L107" s="237">
        <f t="shared" si="1"/>
        <v>2</v>
      </c>
      <c r="M107" s="237">
        <f>SUMIF(File1!$D$3:$D$1800,C107,File1!$K$3:$L$1800)</f>
        <v>0</v>
      </c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</row>
    <row r="108" spans="1:31" ht="13.2">
      <c r="A108" s="372"/>
      <c r="B108" s="236">
        <v>106</v>
      </c>
      <c r="C108" s="235" t="s">
        <v>669</v>
      </c>
      <c r="D108" s="235" t="s">
        <v>670</v>
      </c>
      <c r="E108" s="236" t="s">
        <v>444</v>
      </c>
      <c r="F108" s="255">
        <v>1.6</v>
      </c>
      <c r="G108" s="256">
        <f t="shared" si="14"/>
        <v>6680</v>
      </c>
      <c r="H108" s="257">
        <f t="shared" si="20"/>
        <v>13000</v>
      </c>
      <c r="I108" s="235"/>
      <c r="J108" s="237">
        <f>SUMIF(File1!$D$1:$D$2034,C108,File1!$H$1:$H$2034)</f>
        <v>2</v>
      </c>
      <c r="K108" s="237">
        <f>SUMIF(File1!$D$8:$D$2034,C108,File1!$I$8:$I$2034)</f>
        <v>1</v>
      </c>
      <c r="L108" s="237">
        <f t="shared" si="1"/>
        <v>1</v>
      </c>
      <c r="M108" s="237">
        <f>SUMIF(File1!$D$3:$D$1800,C108,File1!$K$3:$L$1800)</f>
        <v>4757</v>
      </c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</row>
    <row r="109" spans="1:31" ht="13.2">
      <c r="A109" s="372"/>
      <c r="B109" s="236">
        <v>107</v>
      </c>
      <c r="C109" s="235" t="s">
        <v>671</v>
      </c>
      <c r="D109" s="235" t="s">
        <v>672</v>
      </c>
      <c r="E109" s="236" t="s">
        <v>444</v>
      </c>
      <c r="F109" s="255">
        <v>1.2</v>
      </c>
      <c r="G109" s="256">
        <f t="shared" si="14"/>
        <v>5260</v>
      </c>
      <c r="H109" s="257">
        <f t="shared" si="20"/>
        <v>10000</v>
      </c>
      <c r="I109" s="235"/>
      <c r="J109" s="237">
        <f>SUMIF(File1!$D$1:$D$2034,C109,File1!$H$1:$H$2034)</f>
        <v>2</v>
      </c>
      <c r="K109" s="237">
        <f>SUMIF(File1!$D$8:$D$2034,C109,File1!$I$8:$I$2034)</f>
        <v>0</v>
      </c>
      <c r="L109" s="237">
        <f t="shared" si="1"/>
        <v>2</v>
      </c>
      <c r="M109" s="237">
        <f>SUMIF(File1!$D$3:$D$1800,C109,File1!$K$3:$L$1800)</f>
        <v>0</v>
      </c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</row>
    <row r="110" spans="1:31" ht="13.2">
      <c r="A110" s="372"/>
      <c r="B110" s="236">
        <v>108</v>
      </c>
      <c r="C110" s="235" t="s">
        <v>673</v>
      </c>
      <c r="D110" s="235" t="s">
        <v>674</v>
      </c>
      <c r="E110" s="236" t="s">
        <v>444</v>
      </c>
      <c r="F110" s="255">
        <v>1.3</v>
      </c>
      <c r="G110" s="256">
        <f t="shared" si="14"/>
        <v>5615</v>
      </c>
      <c r="H110" s="257">
        <f t="shared" si="20"/>
        <v>11000</v>
      </c>
      <c r="I110" s="235"/>
      <c r="J110" s="237">
        <f>SUMIF(File1!$D$1:$D$2034,C110,File1!$H$1:$H$2034)</f>
        <v>2</v>
      </c>
      <c r="K110" s="237">
        <f>SUMIF(File1!$D$8:$D$2034,C110,File1!$I$8:$I$2034)</f>
        <v>0</v>
      </c>
      <c r="L110" s="237">
        <f t="shared" si="1"/>
        <v>2</v>
      </c>
      <c r="M110" s="237">
        <f>SUMIF(File1!$D$3:$D$1800,C110,File1!$K$3:$L$1800)</f>
        <v>0</v>
      </c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</row>
    <row r="111" spans="1:31" ht="13.2">
      <c r="A111" s="372"/>
      <c r="B111" s="236">
        <v>109</v>
      </c>
      <c r="C111" s="235" t="s">
        <v>675</v>
      </c>
      <c r="D111" s="235" t="s">
        <v>676</v>
      </c>
      <c r="E111" s="236" t="s">
        <v>444</v>
      </c>
      <c r="F111" s="255">
        <v>2.5</v>
      </c>
      <c r="G111" s="256">
        <f t="shared" si="14"/>
        <v>9875</v>
      </c>
      <c r="H111" s="257">
        <f t="shared" si="20"/>
        <v>19000</v>
      </c>
      <c r="I111" s="235"/>
      <c r="J111" s="237">
        <f>SUMIF(File1!$D$1:$D$2034,C111,File1!$H$1:$H$2034)</f>
        <v>2</v>
      </c>
      <c r="K111" s="237">
        <f>SUMIF(File1!$D$8:$D$2034,C111,File1!$I$8:$I$2034)</f>
        <v>1</v>
      </c>
      <c r="L111" s="237">
        <f t="shared" si="1"/>
        <v>1</v>
      </c>
      <c r="M111" s="237">
        <f>SUMIF(File1!$D$3:$D$1800,C111,File1!$K$3:$L$1800)</f>
        <v>13000</v>
      </c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</row>
    <row r="112" spans="1:31" ht="13.2">
      <c r="A112" s="372"/>
      <c r="B112" s="236">
        <v>110</v>
      </c>
      <c r="C112" s="235" t="s">
        <v>677</v>
      </c>
      <c r="D112" s="235" t="s">
        <v>678</v>
      </c>
      <c r="E112" s="236" t="s">
        <v>444</v>
      </c>
      <c r="F112" s="255">
        <v>1.8</v>
      </c>
      <c r="G112" s="256">
        <f t="shared" si="14"/>
        <v>7390</v>
      </c>
      <c r="H112" s="257">
        <f t="shared" si="20"/>
        <v>14000</v>
      </c>
      <c r="I112" s="235"/>
      <c r="J112" s="237">
        <f>SUMIF(File1!$D$1:$D$2034,C112,File1!$H$1:$H$2034)</f>
        <v>2</v>
      </c>
      <c r="K112" s="237">
        <f>SUMIF(File1!$D$8:$D$2034,C112,File1!$I$8:$I$2034)</f>
        <v>1</v>
      </c>
      <c r="L112" s="237">
        <f t="shared" si="1"/>
        <v>1</v>
      </c>
      <c r="M112" s="237">
        <f>SUMIF(File1!$D$3:$D$1800,C112,File1!$K$3:$L$1800)</f>
        <v>10000</v>
      </c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</row>
    <row r="113" spans="1:31" ht="13.2">
      <c r="A113" s="372"/>
      <c r="B113" s="236">
        <v>111</v>
      </c>
      <c r="C113" s="235" t="s">
        <v>679</v>
      </c>
      <c r="D113" s="235" t="s">
        <v>680</v>
      </c>
      <c r="E113" s="236" t="s">
        <v>444</v>
      </c>
      <c r="F113" s="255">
        <v>2.8</v>
      </c>
      <c r="G113" s="256">
        <f t="shared" si="14"/>
        <v>10940</v>
      </c>
      <c r="H113" s="257">
        <f t="shared" si="20"/>
        <v>21000</v>
      </c>
      <c r="I113" s="235"/>
      <c r="J113" s="237">
        <f>SUMIF(File1!$D$1:$D$2034,C113,File1!$H$1:$H$2034)</f>
        <v>2</v>
      </c>
      <c r="K113" s="237">
        <f>SUMIF(File1!$D$8:$D$2034,C113,File1!$I$8:$I$2034)</f>
        <v>2</v>
      </c>
      <c r="L113" s="237">
        <f t="shared" si="1"/>
        <v>0</v>
      </c>
      <c r="M113" s="237">
        <f>SUMIF(File1!$D$3:$D$1800,C113,File1!$K$3:$L$1800)</f>
        <v>25737.5</v>
      </c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</row>
    <row r="114" spans="1:31" ht="13.2">
      <c r="A114" s="372"/>
      <c r="B114" s="236">
        <v>112</v>
      </c>
      <c r="C114" s="235" t="s">
        <v>681</v>
      </c>
      <c r="D114" s="235" t="s">
        <v>682</v>
      </c>
      <c r="E114" s="236" t="s">
        <v>444</v>
      </c>
      <c r="F114" s="255">
        <v>1.8</v>
      </c>
      <c r="G114" s="256">
        <f t="shared" si="14"/>
        <v>7390</v>
      </c>
      <c r="H114" s="257">
        <f t="shared" si="20"/>
        <v>14000</v>
      </c>
      <c r="I114" s="235"/>
      <c r="J114" s="237">
        <f>SUMIF(File1!$D$1:$D$2034,C114,File1!$H$1:$H$2034)</f>
        <v>2</v>
      </c>
      <c r="K114" s="237">
        <f>SUMIF(File1!$D$8:$D$2034,C114,File1!$I$8:$I$2034)</f>
        <v>1</v>
      </c>
      <c r="L114" s="237">
        <f t="shared" si="1"/>
        <v>1</v>
      </c>
      <c r="M114" s="237">
        <f>SUMIF(File1!$D$3:$D$1800,C114,File1!$K$3:$L$1800)</f>
        <v>10000</v>
      </c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</row>
    <row r="115" spans="1:31" ht="13.2">
      <c r="A115" s="372"/>
      <c r="B115" s="236">
        <v>113</v>
      </c>
      <c r="C115" s="235" t="s">
        <v>683</v>
      </c>
      <c r="D115" s="235" t="s">
        <v>684</v>
      </c>
      <c r="E115" s="236" t="s">
        <v>444</v>
      </c>
      <c r="F115" s="255">
        <v>2.8</v>
      </c>
      <c r="G115" s="256">
        <f t="shared" si="14"/>
        <v>10940</v>
      </c>
      <c r="H115" s="257">
        <f t="shared" si="20"/>
        <v>21000</v>
      </c>
      <c r="I115" s="235"/>
      <c r="J115" s="237">
        <f>SUMIF(File1!$D$1:$D$2034,C115,File1!$H$1:$H$2034)</f>
        <v>2</v>
      </c>
      <c r="K115" s="237">
        <f>SUMIF(File1!$D$8:$D$2034,C115,File1!$I$8:$I$2034)</f>
        <v>2</v>
      </c>
      <c r="L115" s="237">
        <f t="shared" si="1"/>
        <v>0</v>
      </c>
      <c r="M115" s="237">
        <f>SUMIF(File1!$D$3:$D$1800,C115,File1!$K$3:$L$1800)</f>
        <v>25737.5</v>
      </c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</row>
    <row r="116" spans="1:31" ht="13.2">
      <c r="A116" s="372"/>
      <c r="B116" s="236">
        <v>114</v>
      </c>
      <c r="C116" s="235" t="s">
        <v>685</v>
      </c>
      <c r="D116" s="235" t="s">
        <v>686</v>
      </c>
      <c r="E116" s="236" t="s">
        <v>444</v>
      </c>
      <c r="F116" s="255">
        <v>2.8</v>
      </c>
      <c r="G116" s="256">
        <f t="shared" si="14"/>
        <v>10940</v>
      </c>
      <c r="H116" s="257">
        <f t="shared" si="20"/>
        <v>21000</v>
      </c>
      <c r="I116" s="235"/>
      <c r="J116" s="237">
        <f>SUMIF(File1!$D$1:$D$2034,C116,File1!$H$1:$H$2034)</f>
        <v>2</v>
      </c>
      <c r="K116" s="237">
        <f>SUMIF(File1!$D$8:$D$2034,C116,File1!$I$8:$I$2034)</f>
        <v>2</v>
      </c>
      <c r="L116" s="237">
        <f t="shared" si="1"/>
        <v>0</v>
      </c>
      <c r="M116" s="237">
        <f>SUMIF(File1!$D$3:$D$1800,C116,File1!$K$3:$L$1800)</f>
        <v>22000</v>
      </c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</row>
    <row r="117" spans="1:31" ht="13.2">
      <c r="A117" s="372"/>
      <c r="B117" s="236">
        <v>115</v>
      </c>
      <c r="C117" s="235" t="s">
        <v>687</v>
      </c>
      <c r="D117" s="235" t="s">
        <v>688</v>
      </c>
      <c r="E117" s="236" t="s">
        <v>444</v>
      </c>
      <c r="F117" s="255">
        <v>2.1</v>
      </c>
      <c r="G117" s="256">
        <f t="shared" si="14"/>
        <v>8455</v>
      </c>
      <c r="H117" s="257">
        <f t="shared" si="20"/>
        <v>16000</v>
      </c>
      <c r="I117" s="235"/>
      <c r="J117" s="237">
        <f>SUMIF(File1!$D$1:$D$2034,C117,File1!$H$1:$H$2034)</f>
        <v>2</v>
      </c>
      <c r="K117" s="237">
        <f>SUMIF(File1!$D$8:$D$2034,C117,File1!$I$8:$I$2034)</f>
        <v>0</v>
      </c>
      <c r="L117" s="237">
        <f t="shared" si="1"/>
        <v>2</v>
      </c>
      <c r="M117" s="237">
        <f>SUMIF(File1!$D$3:$D$1800,C117,File1!$K$3:$L$1800)</f>
        <v>0</v>
      </c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</row>
    <row r="118" spans="1:31" ht="13.2">
      <c r="A118" s="372"/>
      <c r="B118" s="236">
        <v>116</v>
      </c>
      <c r="C118" s="235" t="s">
        <v>689</v>
      </c>
      <c r="D118" s="235" t="s">
        <v>690</v>
      </c>
      <c r="E118" s="236" t="s">
        <v>444</v>
      </c>
      <c r="F118" s="255">
        <v>2.1</v>
      </c>
      <c r="G118" s="256">
        <f t="shared" si="14"/>
        <v>8455</v>
      </c>
      <c r="H118" s="257">
        <f t="shared" si="20"/>
        <v>16000</v>
      </c>
      <c r="I118" s="235"/>
      <c r="J118" s="237">
        <f>SUMIF(File1!$D$1:$D$2034,C118,File1!$H$1:$H$2034)</f>
        <v>3</v>
      </c>
      <c r="K118" s="237">
        <f>SUMIF(File1!$D$8:$D$2034,C118,File1!$I$8:$I$2034)</f>
        <v>0</v>
      </c>
      <c r="L118" s="237">
        <f t="shared" si="1"/>
        <v>3</v>
      </c>
      <c r="M118" s="237">
        <f>SUMIF(File1!$D$3:$D$1800,C118,File1!$K$3:$L$1800)</f>
        <v>0</v>
      </c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</row>
    <row r="119" spans="1:31" ht="13.2">
      <c r="A119" s="372"/>
      <c r="B119" s="236">
        <v>117</v>
      </c>
      <c r="C119" s="235" t="s">
        <v>691</v>
      </c>
      <c r="D119" s="235" t="s">
        <v>692</v>
      </c>
      <c r="E119" s="236" t="s">
        <v>444</v>
      </c>
      <c r="F119" s="255">
        <v>2.5</v>
      </c>
      <c r="G119" s="256">
        <f t="shared" si="14"/>
        <v>9875</v>
      </c>
      <c r="H119" s="257">
        <f t="shared" si="20"/>
        <v>19000</v>
      </c>
      <c r="I119" s="235"/>
      <c r="J119" s="237">
        <f>SUMIF(File1!$D$1:$D$2034,C119,File1!$H$1:$H$2034)</f>
        <v>3</v>
      </c>
      <c r="K119" s="237">
        <f>SUMIF(File1!$D$8:$D$2034,C119,File1!$I$8:$I$2034)</f>
        <v>0</v>
      </c>
      <c r="L119" s="237">
        <f t="shared" si="1"/>
        <v>3</v>
      </c>
      <c r="M119" s="237">
        <f>SUMIF(File1!$D$3:$D$1800,C119,File1!$K$3:$L$1800)</f>
        <v>0</v>
      </c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</row>
    <row r="120" spans="1:31" ht="13.2">
      <c r="A120" s="372"/>
      <c r="B120" s="236">
        <v>118</v>
      </c>
      <c r="C120" s="235" t="s">
        <v>693</v>
      </c>
      <c r="D120" s="235" t="s">
        <v>694</v>
      </c>
      <c r="E120" s="236" t="s">
        <v>444</v>
      </c>
      <c r="F120" s="255">
        <v>2.5</v>
      </c>
      <c r="G120" s="256">
        <f t="shared" si="14"/>
        <v>9875</v>
      </c>
      <c r="H120" s="257">
        <f t="shared" si="20"/>
        <v>19000</v>
      </c>
      <c r="I120" s="235"/>
      <c r="J120" s="237">
        <f>SUMIF(File1!$D$1:$D$2034,C120,File1!$H$1:$H$2034)</f>
        <v>3</v>
      </c>
      <c r="K120" s="237">
        <f>SUMIF(File1!$D$8:$D$2034,C120,File1!$I$8:$I$2034)</f>
        <v>0</v>
      </c>
      <c r="L120" s="237">
        <f t="shared" si="1"/>
        <v>3</v>
      </c>
      <c r="M120" s="237">
        <f>SUMIF(File1!$D$3:$D$1800,C120,File1!$K$3:$L$1800)</f>
        <v>0</v>
      </c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</row>
    <row r="121" spans="1:31" ht="13.2">
      <c r="A121" s="372"/>
      <c r="B121" s="236">
        <v>119</v>
      </c>
      <c r="C121" s="235" t="s">
        <v>695</v>
      </c>
      <c r="D121" s="235" t="s">
        <v>696</v>
      </c>
      <c r="E121" s="236" t="s">
        <v>444</v>
      </c>
      <c r="F121" s="255">
        <v>4.3</v>
      </c>
      <c r="G121" s="256">
        <f t="shared" si="14"/>
        <v>16265</v>
      </c>
      <c r="H121" s="257">
        <f t="shared" si="20"/>
        <v>31000</v>
      </c>
      <c r="I121" s="235"/>
      <c r="J121" s="237">
        <f>SUMIF(File1!$D$1:$D$2034,C121,File1!$H$1:$H$2034)</f>
        <v>3</v>
      </c>
      <c r="K121" s="237">
        <f>SUMIF(File1!$D$8:$D$2034,C121,File1!$I$8:$I$2034)</f>
        <v>1</v>
      </c>
      <c r="L121" s="237">
        <f t="shared" si="1"/>
        <v>2</v>
      </c>
      <c r="M121" s="237">
        <f>SUMIF(File1!$D$3:$D$1800,C121,File1!$K$3:$L$1800)</f>
        <v>12000</v>
      </c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</row>
    <row r="122" spans="1:31" ht="13.2">
      <c r="A122" s="372"/>
      <c r="B122" s="236">
        <v>120</v>
      </c>
      <c r="C122" s="235" t="s">
        <v>697</v>
      </c>
      <c r="D122" s="235" t="s">
        <v>698</v>
      </c>
      <c r="E122" s="236" t="s">
        <v>444</v>
      </c>
      <c r="F122" s="255">
        <v>4.3</v>
      </c>
      <c r="G122" s="256">
        <f t="shared" si="14"/>
        <v>16265</v>
      </c>
      <c r="H122" s="257">
        <f t="shared" si="20"/>
        <v>31000</v>
      </c>
      <c r="I122" s="235"/>
      <c r="J122" s="237">
        <f>SUMIF(File1!$D$1:$D$2034,C122,File1!$H$1:$H$2034)</f>
        <v>3</v>
      </c>
      <c r="K122" s="237">
        <f>SUMIF(File1!$D$8:$D$2034,C122,File1!$I$8:$I$2034)</f>
        <v>1</v>
      </c>
      <c r="L122" s="237">
        <f t="shared" si="1"/>
        <v>2</v>
      </c>
      <c r="M122" s="237">
        <f>SUMIF(File1!$D$3:$D$1800,C122,File1!$K$3:$L$1800)</f>
        <v>12000</v>
      </c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</row>
    <row r="123" spans="1:31" ht="13.2">
      <c r="A123" s="372"/>
      <c r="B123" s="236">
        <v>121</v>
      </c>
      <c r="C123" s="235" t="s">
        <v>699</v>
      </c>
      <c r="D123" s="235" t="s">
        <v>700</v>
      </c>
      <c r="E123" s="236" t="s">
        <v>444</v>
      </c>
      <c r="F123" s="255">
        <v>4.3</v>
      </c>
      <c r="G123" s="256">
        <f t="shared" si="14"/>
        <v>16265</v>
      </c>
      <c r="H123" s="257">
        <f t="shared" si="20"/>
        <v>31000</v>
      </c>
      <c r="I123" s="235"/>
      <c r="J123" s="237">
        <f>SUMIF(File1!$D$1:$D$2034,C123,File1!$H$1:$H$2034)</f>
        <v>3</v>
      </c>
      <c r="K123" s="237">
        <f>SUMIF(File1!$D$8:$D$2034,C123,File1!$I$8:$I$2034)</f>
        <v>0</v>
      </c>
      <c r="L123" s="237">
        <f t="shared" si="1"/>
        <v>3</v>
      </c>
      <c r="M123" s="237">
        <f>SUMIF(File1!$D$3:$D$1800,C123,File1!$K$3:$L$1800)</f>
        <v>0</v>
      </c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</row>
    <row r="124" spans="1:31" ht="13.2">
      <c r="A124" s="372"/>
      <c r="B124" s="236">
        <v>122</v>
      </c>
      <c r="C124" s="235" t="s">
        <v>701</v>
      </c>
      <c r="D124" s="235" t="s">
        <v>702</v>
      </c>
      <c r="E124" s="236" t="s">
        <v>444</v>
      </c>
      <c r="F124" s="255">
        <v>1.7</v>
      </c>
      <c r="G124" s="256">
        <f t="shared" si="14"/>
        <v>7035</v>
      </c>
      <c r="H124" s="257">
        <f t="shared" si="20"/>
        <v>13000</v>
      </c>
      <c r="I124" s="235"/>
      <c r="J124" s="237">
        <f>SUMIF(File1!$D$1:$D$2034,C124,File1!$H$1:$H$2034)</f>
        <v>2</v>
      </c>
      <c r="K124" s="237">
        <f>SUMIF(File1!$D$8:$D$2034,C124,File1!$I$8:$I$2034)</f>
        <v>0</v>
      </c>
      <c r="L124" s="237">
        <f t="shared" si="1"/>
        <v>2</v>
      </c>
      <c r="M124" s="237">
        <f>SUMIF(File1!$D$3:$D$1800,C124,File1!$K$3:$L$1800)</f>
        <v>0</v>
      </c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</row>
    <row r="125" spans="1:31" ht="13.2">
      <c r="A125" s="372"/>
      <c r="B125" s="236">
        <v>123</v>
      </c>
      <c r="C125" s="235" t="s">
        <v>703</v>
      </c>
      <c r="D125" s="235" t="s">
        <v>704</v>
      </c>
      <c r="E125" s="236" t="s">
        <v>444</v>
      </c>
      <c r="F125" s="255">
        <v>1.5</v>
      </c>
      <c r="G125" s="256">
        <f t="shared" si="14"/>
        <v>6325</v>
      </c>
      <c r="H125" s="257">
        <f t="shared" si="20"/>
        <v>12000</v>
      </c>
      <c r="I125" s="235"/>
      <c r="J125" s="237">
        <f>SUMIF(File1!$D$1:$D$2034,C125,File1!$H$1:$H$2034)</f>
        <v>2</v>
      </c>
      <c r="K125" s="237">
        <f>SUMIF(File1!$D$8:$D$2034,C125,File1!$I$8:$I$2034)</f>
        <v>1</v>
      </c>
      <c r="L125" s="237">
        <f t="shared" si="1"/>
        <v>1</v>
      </c>
      <c r="M125" s="237">
        <f>SUMIF(File1!$D$3:$D$1800,C125,File1!$K$3:$L$1800)</f>
        <v>10600</v>
      </c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</row>
    <row r="126" spans="1:31" ht="13.2">
      <c r="A126" s="372"/>
      <c r="B126" s="236">
        <v>124</v>
      </c>
      <c r="C126" s="235" t="s">
        <v>705</v>
      </c>
      <c r="D126" s="235" t="s">
        <v>706</v>
      </c>
      <c r="E126" s="236" t="s">
        <v>444</v>
      </c>
      <c r="F126" s="255">
        <v>1.6</v>
      </c>
      <c r="G126" s="256">
        <f t="shared" si="14"/>
        <v>6680</v>
      </c>
      <c r="H126" s="257">
        <f t="shared" si="20"/>
        <v>13000</v>
      </c>
      <c r="I126" s="235"/>
      <c r="J126" s="237">
        <f>SUMIF(File1!$D$1:$D$2034,C126,File1!$H$1:$H$2034)</f>
        <v>3</v>
      </c>
      <c r="K126" s="237">
        <f>SUMIF(File1!$D$8:$D$2034,C126,File1!$I$8:$I$2034)</f>
        <v>1</v>
      </c>
      <c r="L126" s="237">
        <f t="shared" si="1"/>
        <v>2</v>
      </c>
      <c r="M126" s="237">
        <f>SUMIF(File1!$D$3:$D$1800,C126,File1!$K$3:$L$1800)</f>
        <v>10000</v>
      </c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</row>
    <row r="127" spans="1:31" ht="13.2">
      <c r="A127" s="372"/>
      <c r="B127" s="236">
        <v>125</v>
      </c>
      <c r="C127" s="235" t="s">
        <v>707</v>
      </c>
      <c r="D127" s="235" t="s">
        <v>708</v>
      </c>
      <c r="E127" s="236" t="s">
        <v>444</v>
      </c>
      <c r="F127" s="255">
        <v>1.5</v>
      </c>
      <c r="G127" s="256">
        <f t="shared" si="14"/>
        <v>6325</v>
      </c>
      <c r="H127" s="257">
        <f t="shared" si="20"/>
        <v>12000</v>
      </c>
      <c r="I127" s="235"/>
      <c r="J127" s="237">
        <f>SUMIF(File1!$D$1:$D$2034,C127,File1!$H$1:$H$2034)</f>
        <v>2</v>
      </c>
      <c r="K127" s="237">
        <f>SUMIF(File1!$D$8:$D$2034,C127,File1!$I$8:$I$2034)</f>
        <v>1</v>
      </c>
      <c r="L127" s="237">
        <f t="shared" si="1"/>
        <v>1</v>
      </c>
      <c r="M127" s="237">
        <f>SUMIF(File1!$D$3:$D$1800,C127,File1!$K$3:$L$1800)</f>
        <v>0</v>
      </c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</row>
    <row r="128" spans="1:31" ht="13.2">
      <c r="A128" s="372"/>
      <c r="B128" s="236">
        <v>126</v>
      </c>
      <c r="C128" s="235" t="s">
        <v>709</v>
      </c>
      <c r="D128" s="235" t="s">
        <v>710</v>
      </c>
      <c r="E128" s="236" t="s">
        <v>444</v>
      </c>
      <c r="F128" s="255">
        <v>0.8</v>
      </c>
      <c r="G128" s="256">
        <f t="shared" si="14"/>
        <v>3840</v>
      </c>
      <c r="H128" s="257">
        <f t="shared" si="20"/>
        <v>7000</v>
      </c>
      <c r="I128" s="235"/>
      <c r="J128" s="237">
        <f>SUMIF(File1!$D$1:$D$2034,C128,File1!$H$1:$H$2034)</f>
        <v>2</v>
      </c>
      <c r="K128" s="237">
        <f>SUMIF(File1!$D$8:$D$2034,C128,File1!$I$8:$I$2034)</f>
        <v>3</v>
      </c>
      <c r="L128" s="237">
        <f t="shared" si="1"/>
        <v>-1</v>
      </c>
      <c r="M128" s="237">
        <f>SUMIF(File1!$D$3:$D$1800,C128,File1!$K$3:$L$1800)</f>
        <v>30890</v>
      </c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</row>
    <row r="129" spans="1:31" ht="13.2">
      <c r="A129" s="372"/>
      <c r="B129" s="236">
        <v>127</v>
      </c>
      <c r="C129" s="235" t="s">
        <v>711</v>
      </c>
      <c r="D129" s="235" t="s">
        <v>712</v>
      </c>
      <c r="E129" s="236" t="s">
        <v>444</v>
      </c>
      <c r="F129" s="255">
        <v>1.5</v>
      </c>
      <c r="G129" s="256">
        <f t="shared" si="14"/>
        <v>6325</v>
      </c>
      <c r="H129" s="257">
        <f t="shared" si="20"/>
        <v>12000</v>
      </c>
      <c r="I129" s="235"/>
      <c r="J129" s="237">
        <f>SUMIF(File1!$D$1:$D$2034,C129,File1!$H$1:$H$2034)</f>
        <v>2</v>
      </c>
      <c r="K129" s="237">
        <f>SUMIF(File1!$D$8:$D$2034,C129,File1!$I$8:$I$2034)</f>
        <v>0</v>
      </c>
      <c r="L129" s="237">
        <f t="shared" si="1"/>
        <v>2</v>
      </c>
      <c r="M129" s="237">
        <f>SUMIF(File1!$D$3:$D$1800,C129,File1!$K$3:$L$1800)</f>
        <v>0</v>
      </c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</row>
    <row r="130" spans="1:31" ht="13.2">
      <c r="A130" s="372"/>
      <c r="B130" s="236">
        <v>128</v>
      </c>
      <c r="C130" s="235" t="s">
        <v>715</v>
      </c>
      <c r="D130" s="235" t="s">
        <v>716</v>
      </c>
      <c r="E130" s="236" t="s">
        <v>444</v>
      </c>
      <c r="F130" s="255">
        <v>0.8</v>
      </c>
      <c r="G130" s="256">
        <f t="shared" si="14"/>
        <v>3840</v>
      </c>
      <c r="H130" s="257">
        <f t="shared" si="20"/>
        <v>7000</v>
      </c>
      <c r="I130" s="235"/>
      <c r="J130" s="237">
        <f>SUMIF(File1!$D$1:$D$2034,C130,File1!$H$1:$H$2034)</f>
        <v>1</v>
      </c>
      <c r="K130" s="237">
        <f>SUMIF(File1!$D$8:$D$2034,C130,File1!$I$8:$I$2034)</f>
        <v>0</v>
      </c>
      <c r="L130" s="237">
        <f t="shared" si="1"/>
        <v>1</v>
      </c>
      <c r="M130" s="237">
        <f>SUMIF(File1!$D$3:$D$1800,C130,File1!$K$3:$L$1800)</f>
        <v>0</v>
      </c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</row>
    <row r="131" spans="1:31" ht="13.2">
      <c r="A131" s="373"/>
      <c r="B131" s="236">
        <v>129</v>
      </c>
      <c r="C131" s="235" t="s">
        <v>717</v>
      </c>
      <c r="D131" s="235" t="s">
        <v>718</v>
      </c>
      <c r="E131" s="236" t="s">
        <v>444</v>
      </c>
      <c r="F131" s="265">
        <v>2.5</v>
      </c>
      <c r="G131" s="256">
        <f t="shared" si="14"/>
        <v>9875</v>
      </c>
      <c r="H131" s="257">
        <f t="shared" si="20"/>
        <v>19000</v>
      </c>
      <c r="I131" s="235"/>
      <c r="J131" s="237">
        <f>SUMIF(File1!$D$1:$D$2034,C131,File1!$H$1:$H$2034)</f>
        <v>3</v>
      </c>
      <c r="K131" s="237">
        <f>SUMIF(File1!$D$8:$D$2034,C131,File1!$I$8:$I$2034)</f>
        <v>0</v>
      </c>
      <c r="L131" s="237">
        <f t="shared" si="1"/>
        <v>3</v>
      </c>
      <c r="M131" s="237">
        <f>SUMIF(File1!$D$3:$D$1800,C131,File1!$K$3:$L$1800)</f>
        <v>0</v>
      </c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</row>
    <row r="132" spans="1:31" ht="13.2">
      <c r="A132" s="266"/>
      <c r="B132" s="235"/>
      <c r="C132" s="235" t="s">
        <v>732</v>
      </c>
      <c r="D132" s="235" t="s">
        <v>733</v>
      </c>
      <c r="E132" s="236" t="s">
        <v>444</v>
      </c>
      <c r="F132" s="267"/>
      <c r="G132" s="268"/>
      <c r="H132" s="269"/>
      <c r="I132" s="235"/>
      <c r="J132" s="237">
        <f>SUMIF(File1!$D$1:$D$2034,C132,File1!$H$1:$H$2034)</f>
        <v>15</v>
      </c>
      <c r="K132" s="237">
        <f>SUMIF(File1!$D$8:$D$2034,C132,File1!$I$8:$I$2034)</f>
        <v>13</v>
      </c>
      <c r="L132" s="237">
        <f t="shared" si="1"/>
        <v>2</v>
      </c>
      <c r="M132" s="237">
        <f>SUMIF(File1!$D$3:$D$1800,C132,File1!$K$3:$L$1800)</f>
        <v>175746.75</v>
      </c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</row>
    <row r="133" spans="1:31" ht="13.2">
      <c r="A133" s="266"/>
      <c r="B133" s="235"/>
      <c r="C133" s="235" t="s">
        <v>734</v>
      </c>
      <c r="D133" s="235" t="s">
        <v>735</v>
      </c>
      <c r="E133" s="236" t="s">
        <v>444</v>
      </c>
      <c r="F133" s="267"/>
      <c r="G133" s="268"/>
      <c r="H133" s="269"/>
      <c r="I133" s="235"/>
      <c r="J133" s="237">
        <f>SUMIF(File1!$D$1:$D$2034,C133,File1!$H$1:$H$2034)</f>
        <v>15</v>
      </c>
      <c r="K133" s="237">
        <f>SUMIF(File1!$D$8:$D$2034,C133,File1!$I$8:$I$2034)</f>
        <v>14</v>
      </c>
      <c r="L133" s="237">
        <f t="shared" si="1"/>
        <v>1</v>
      </c>
      <c r="M133" s="237">
        <f>SUMIF(File1!$D$3:$D$1800,C133,File1!$K$3:$L$1800)</f>
        <v>188061.33333333334</v>
      </c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</row>
    <row r="134" spans="1:31" ht="13.2">
      <c r="A134" s="266"/>
      <c r="B134" s="235"/>
      <c r="C134" s="235" t="s">
        <v>736</v>
      </c>
      <c r="D134" s="235" t="s">
        <v>737</v>
      </c>
      <c r="E134" s="236" t="s">
        <v>444</v>
      </c>
      <c r="F134" s="267"/>
      <c r="G134" s="268"/>
      <c r="H134" s="269"/>
      <c r="I134" s="235"/>
      <c r="J134" s="237">
        <f>SUMIF(File1!$D$1:$D$2034,C134,File1!$H$1:$H$2034)</f>
        <v>15</v>
      </c>
      <c r="K134" s="237">
        <f>SUMIF(File1!$D$8:$D$2034,C134,File1!$I$8:$I$2034)</f>
        <v>14</v>
      </c>
      <c r="L134" s="237">
        <f t="shared" si="1"/>
        <v>1</v>
      </c>
      <c r="M134" s="237">
        <f>SUMIF(File1!$D$3:$D$1800,C134,File1!$K$3:$L$1800)</f>
        <v>180303</v>
      </c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</row>
    <row r="135" spans="1:31" ht="13.2">
      <c r="A135" s="266"/>
      <c r="B135" s="235"/>
      <c r="C135" s="235" t="s">
        <v>738</v>
      </c>
      <c r="D135" s="235" t="s">
        <v>739</v>
      </c>
      <c r="E135" s="236" t="s">
        <v>444</v>
      </c>
      <c r="F135" s="267"/>
      <c r="G135" s="268"/>
      <c r="H135" s="269"/>
      <c r="I135" s="235"/>
      <c r="J135" s="237">
        <f>SUMIF(File1!$D$1:$D$2034,C135,File1!$H$1:$H$2034)</f>
        <v>15</v>
      </c>
      <c r="K135" s="237">
        <f>SUMIF(File1!$D$8:$D$2034,C135,File1!$I$8:$I$2034)</f>
        <v>14</v>
      </c>
      <c r="L135" s="237">
        <f t="shared" si="1"/>
        <v>1</v>
      </c>
      <c r="M135" s="237">
        <f>SUMIF(File1!$D$3:$D$1800,C135,File1!$K$3:$L$1800)</f>
        <v>182971.75</v>
      </c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</row>
    <row r="136" spans="1:31" ht="13.2">
      <c r="A136" s="266"/>
      <c r="B136" s="235"/>
      <c r="C136" s="235" t="s">
        <v>740</v>
      </c>
      <c r="D136" s="235" t="s">
        <v>741</v>
      </c>
      <c r="E136" s="236" t="s">
        <v>444</v>
      </c>
      <c r="F136" s="267"/>
      <c r="G136" s="268"/>
      <c r="H136" s="269"/>
      <c r="I136" s="235"/>
      <c r="J136" s="237">
        <f>SUMIF(File1!$D$1:$D$2034,C136,File1!$H$1:$H$2034)</f>
        <v>15</v>
      </c>
      <c r="K136" s="237">
        <f>SUMIF(File1!$D$8:$D$2034,C136,File1!$I$8:$I$2034)</f>
        <v>15</v>
      </c>
      <c r="L136" s="237">
        <f t="shared" si="1"/>
        <v>0</v>
      </c>
      <c r="M136" s="237">
        <f>SUMIF(File1!$D$3:$D$1800,C136,File1!$K$3:$L$1800)</f>
        <v>190990.2</v>
      </c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</row>
    <row r="137" spans="1:31" ht="13.2">
      <c r="A137" s="266"/>
      <c r="B137" s="235"/>
      <c r="C137" s="235" t="s">
        <v>742</v>
      </c>
      <c r="D137" s="235" t="s">
        <v>743</v>
      </c>
      <c r="E137" s="236" t="s">
        <v>444</v>
      </c>
      <c r="F137" s="267"/>
      <c r="G137" s="268"/>
      <c r="H137" s="269"/>
      <c r="I137" s="235"/>
      <c r="J137" s="237">
        <f>SUMIF(File1!$D$1:$D$2034,C137,File1!$H$1:$H$2034)</f>
        <v>15</v>
      </c>
      <c r="K137" s="237">
        <f>SUMIF(File1!$D$8:$D$2034,C137,File1!$I$8:$I$2034)</f>
        <v>13</v>
      </c>
      <c r="L137" s="237">
        <f t="shared" si="1"/>
        <v>2</v>
      </c>
      <c r="M137" s="237">
        <f>SUMIF(File1!$D$3:$D$1800,C137,File1!$K$3:$L$1800)</f>
        <v>167082</v>
      </c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</row>
    <row r="138" spans="1:31" ht="13.2">
      <c r="A138" s="266"/>
      <c r="B138" s="235"/>
      <c r="C138" s="235" t="s">
        <v>744</v>
      </c>
      <c r="D138" s="235" t="s">
        <v>745</v>
      </c>
      <c r="E138" s="236" t="s">
        <v>444</v>
      </c>
      <c r="F138" s="267"/>
      <c r="G138" s="268"/>
      <c r="H138" s="269"/>
      <c r="I138" s="235"/>
      <c r="J138" s="237">
        <f>SUMIF(File1!$D$1:$D$2034,C138,File1!$H$1:$H$2034)</f>
        <v>15</v>
      </c>
      <c r="K138" s="237">
        <f>SUMIF(File1!$D$8:$D$2034,C138,File1!$I$8:$I$2034)</f>
        <v>14</v>
      </c>
      <c r="L138" s="237">
        <f t="shared" si="1"/>
        <v>1</v>
      </c>
      <c r="M138" s="237">
        <f>SUMIF(File1!$D$3:$D$1800,C138,File1!$K$3:$L$1800)</f>
        <v>180571.5</v>
      </c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</row>
    <row r="139" spans="1:31" ht="13.2">
      <c r="A139" s="266"/>
      <c r="B139" s="235"/>
      <c r="C139" s="235" t="s">
        <v>746</v>
      </c>
      <c r="D139" s="235" t="s">
        <v>747</v>
      </c>
      <c r="E139" s="236" t="s">
        <v>444</v>
      </c>
      <c r="F139" s="267"/>
      <c r="G139" s="268"/>
      <c r="H139" s="269"/>
      <c r="I139" s="235"/>
      <c r="J139" s="237">
        <f>SUMIF(File1!$D$1:$D$2034,C139,File1!$H$1:$H$2034)</f>
        <v>10</v>
      </c>
      <c r="K139" s="237">
        <f>SUMIF(File1!$D$8:$D$2034,C139,File1!$I$8:$I$2034)</f>
        <v>8</v>
      </c>
      <c r="L139" s="237">
        <f t="shared" si="1"/>
        <v>2</v>
      </c>
      <c r="M139" s="237">
        <f>SUMIF(File1!$D$3:$D$1800,C139,File1!$K$3:$L$1800)</f>
        <v>133833.16666666666</v>
      </c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</row>
    <row r="140" spans="1:31" ht="13.2">
      <c r="A140" s="266"/>
      <c r="B140" s="235"/>
      <c r="C140" s="235" t="s">
        <v>748</v>
      </c>
      <c r="D140" s="235" t="s">
        <v>749</v>
      </c>
      <c r="E140" s="236" t="s">
        <v>444</v>
      </c>
      <c r="F140" s="267"/>
      <c r="G140" s="268"/>
      <c r="H140" s="269"/>
      <c r="I140" s="235"/>
      <c r="J140" s="237">
        <f>SUMIF(File1!$D$1:$D$2034,C140,File1!$H$1:$H$2034)</f>
        <v>10</v>
      </c>
      <c r="K140" s="237">
        <f>SUMIF(File1!$D$8:$D$2034,C140,File1!$I$8:$I$2034)</f>
        <v>7</v>
      </c>
      <c r="L140" s="237">
        <f t="shared" si="1"/>
        <v>3</v>
      </c>
      <c r="M140" s="237">
        <f>SUMIF(File1!$D$3:$D$1800,C140,File1!$K$3:$L$1800)</f>
        <v>95793.333333333328</v>
      </c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</row>
    <row r="141" spans="1:31" ht="13.2">
      <c r="A141" s="266"/>
      <c r="B141" s="235"/>
      <c r="C141" s="235" t="s">
        <v>750</v>
      </c>
      <c r="D141" s="235" t="s">
        <v>751</v>
      </c>
      <c r="E141" s="236" t="s">
        <v>444</v>
      </c>
      <c r="F141" s="267"/>
      <c r="G141" s="268"/>
      <c r="H141" s="269"/>
      <c r="I141" s="235"/>
      <c r="J141" s="237">
        <f>SUMIF(File1!$D$1:$D$2034,C141,File1!$H$1:$H$2034)</f>
        <v>10</v>
      </c>
      <c r="K141" s="237">
        <f>SUMIF(File1!$D$8:$D$2034,C141,File1!$I$8:$I$2034)</f>
        <v>4</v>
      </c>
      <c r="L141" s="237">
        <f t="shared" si="1"/>
        <v>6</v>
      </c>
      <c r="M141" s="237">
        <f>SUMIF(File1!$D$3:$D$1800,C141,File1!$K$3:$L$1800)</f>
        <v>60362.533333333333</v>
      </c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</row>
    <row r="142" spans="1:31" ht="13.2">
      <c r="A142" s="266"/>
      <c r="B142" s="235"/>
      <c r="C142" s="235" t="s">
        <v>752</v>
      </c>
      <c r="D142" s="235" t="s">
        <v>753</v>
      </c>
      <c r="E142" s="236" t="s">
        <v>444</v>
      </c>
      <c r="F142" s="267"/>
      <c r="G142" s="268"/>
      <c r="H142" s="269"/>
      <c r="I142" s="235"/>
      <c r="J142" s="237">
        <f>SUMIF(File1!$D$1:$D$2034,C142,File1!$H$1:$H$2034)</f>
        <v>10</v>
      </c>
      <c r="K142" s="237">
        <f>SUMIF(File1!$D$8:$D$2034,C142,File1!$I$8:$I$2034)</f>
        <v>8</v>
      </c>
      <c r="L142" s="237">
        <f t="shared" si="1"/>
        <v>2</v>
      </c>
      <c r="M142" s="237">
        <f>SUMIF(File1!$D$3:$D$1800,C142,File1!$K$3:$L$1800)</f>
        <v>112053</v>
      </c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</row>
    <row r="143" spans="1:31" ht="13.2">
      <c r="A143" s="266"/>
      <c r="B143" s="235"/>
      <c r="C143" s="235" t="s">
        <v>754</v>
      </c>
      <c r="D143" s="235" t="s">
        <v>755</v>
      </c>
      <c r="E143" s="236" t="s">
        <v>444</v>
      </c>
      <c r="F143" s="267"/>
      <c r="G143" s="268"/>
      <c r="H143" s="269"/>
      <c r="I143" s="235"/>
      <c r="J143" s="237">
        <f>SUMIF(File1!$D$1:$D$2034,C143,File1!$H$1:$H$2034)</f>
        <v>10</v>
      </c>
      <c r="K143" s="237">
        <f>SUMIF(File1!$D$8:$D$2034,C143,File1!$I$8:$I$2034)</f>
        <v>10</v>
      </c>
      <c r="L143" s="237">
        <f t="shared" si="1"/>
        <v>0</v>
      </c>
      <c r="M143" s="237">
        <f>SUMIF(File1!$D$3:$D$1800,C143,File1!$K$3:$L$1800)</f>
        <v>122944.41176470587</v>
      </c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</row>
    <row r="144" spans="1:31" ht="13.2">
      <c r="A144" s="266"/>
      <c r="B144" s="235"/>
      <c r="C144" s="235" t="s">
        <v>756</v>
      </c>
      <c r="D144" s="235" t="s">
        <v>757</v>
      </c>
      <c r="E144" s="236" t="s">
        <v>444</v>
      </c>
      <c r="F144" s="267"/>
      <c r="G144" s="268"/>
      <c r="H144" s="269"/>
      <c r="I144" s="235"/>
      <c r="J144" s="237">
        <f>SUMIF(File1!$D$1:$D$2034,C144,File1!$H$1:$H$2034)</f>
        <v>10</v>
      </c>
      <c r="K144" s="237">
        <f>SUMIF(File1!$D$8:$D$2034,C144,File1!$I$8:$I$2034)</f>
        <v>7</v>
      </c>
      <c r="L144" s="237">
        <f t="shared" si="1"/>
        <v>3</v>
      </c>
      <c r="M144" s="237">
        <f>SUMIF(File1!$D$3:$D$1800,C144,File1!$K$3:$L$1800)</f>
        <v>87831.666666666672</v>
      </c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</row>
    <row r="145" spans="1:31" ht="13.2">
      <c r="A145" s="266"/>
      <c r="B145" s="235"/>
      <c r="C145" s="235" t="s">
        <v>758</v>
      </c>
      <c r="D145" s="235" t="s">
        <v>759</v>
      </c>
      <c r="E145" s="236" t="s">
        <v>444</v>
      </c>
      <c r="F145" s="267"/>
      <c r="G145" s="268"/>
      <c r="H145" s="269"/>
      <c r="I145" s="235"/>
      <c r="J145" s="237">
        <f>SUMIF(File1!$D$1:$D$2034,C145,File1!$H$1:$H$2034)</f>
        <v>6</v>
      </c>
      <c r="K145" s="237">
        <f>SUMIF(File1!$D$8:$D$2034,C145,File1!$I$8:$I$2034)</f>
        <v>2</v>
      </c>
      <c r="L145" s="237">
        <f t="shared" si="1"/>
        <v>4</v>
      </c>
      <c r="M145" s="237">
        <f>SUMIF(File1!$D$3:$D$1800,C145,File1!$K$3:$L$1800)</f>
        <v>26713.333333333336</v>
      </c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</row>
    <row r="146" spans="1:31" ht="13.2">
      <c r="A146" s="266"/>
      <c r="B146" s="235"/>
      <c r="C146" s="235" t="s">
        <v>760</v>
      </c>
      <c r="D146" s="235" t="s">
        <v>761</v>
      </c>
      <c r="E146" s="236" t="s">
        <v>444</v>
      </c>
      <c r="F146" s="267"/>
      <c r="G146" s="268"/>
      <c r="H146" s="269"/>
      <c r="I146" s="235"/>
      <c r="J146" s="237">
        <f>SUMIF(File1!$D$1:$D$2034,C146,File1!$H$1:$H$2034)</f>
        <v>10</v>
      </c>
      <c r="K146" s="237">
        <f>SUMIF(File1!$D$8:$D$2034,C146,File1!$I$8:$I$2034)</f>
        <v>10</v>
      </c>
      <c r="L146" s="237">
        <f t="shared" si="1"/>
        <v>0</v>
      </c>
      <c r="M146" s="237">
        <f>SUMIF(File1!$D$3:$D$1800,C146,File1!$K$3:$L$1800)</f>
        <v>123672.5294117647</v>
      </c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</row>
    <row r="147" spans="1:31" ht="13.2">
      <c r="A147" s="266"/>
      <c r="B147" s="235"/>
      <c r="C147" s="235" t="s">
        <v>762</v>
      </c>
      <c r="D147" s="235" t="s">
        <v>763</v>
      </c>
      <c r="E147" s="236" t="s">
        <v>444</v>
      </c>
      <c r="F147" s="267"/>
      <c r="G147" s="268"/>
      <c r="H147" s="269"/>
      <c r="I147" s="235"/>
      <c r="J147" s="237">
        <f>SUMIF(File1!$D$1:$D$2034,C147,File1!$H$1:$H$2034)</f>
        <v>10</v>
      </c>
      <c r="K147" s="237">
        <f>SUMIF(File1!$D$8:$D$2034,C147,File1!$I$8:$I$2034)</f>
        <v>8</v>
      </c>
      <c r="L147" s="237">
        <f t="shared" si="1"/>
        <v>2</v>
      </c>
      <c r="M147" s="237">
        <f>SUMIF(File1!$D$3:$D$1800,C147,File1!$K$3:$L$1800)</f>
        <v>112634.33333333333</v>
      </c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</row>
    <row r="148" spans="1:31" ht="13.2">
      <c r="A148" s="266"/>
      <c r="B148" s="235"/>
      <c r="C148" s="235" t="s">
        <v>764</v>
      </c>
      <c r="D148" s="235" t="s">
        <v>765</v>
      </c>
      <c r="E148" s="236" t="s">
        <v>444</v>
      </c>
      <c r="F148" s="267"/>
      <c r="G148" s="268"/>
      <c r="H148" s="269"/>
      <c r="I148" s="235"/>
      <c r="J148" s="237">
        <f>SUMIF(File1!$D$1:$D$2034,C148,File1!$H$1:$H$2034)</f>
        <v>10</v>
      </c>
      <c r="K148" s="237">
        <f>SUMIF(File1!$D$8:$D$2034,C148,File1!$I$8:$I$2034)</f>
        <v>9</v>
      </c>
      <c r="L148" s="237">
        <f t="shared" si="1"/>
        <v>1</v>
      </c>
      <c r="M148" s="237">
        <f>SUMIF(File1!$D$3:$D$1800,C148,File1!$K$3:$L$1800)</f>
        <v>108892.74509803922</v>
      </c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</row>
    <row r="149" spans="1:31" ht="13.2">
      <c r="A149" s="266"/>
      <c r="B149" s="235"/>
      <c r="C149" s="235" t="s">
        <v>766</v>
      </c>
      <c r="D149" s="235" t="s">
        <v>767</v>
      </c>
      <c r="E149" s="236" t="s">
        <v>444</v>
      </c>
      <c r="F149" s="267"/>
      <c r="G149" s="268"/>
      <c r="H149" s="269"/>
      <c r="I149" s="235"/>
      <c r="J149" s="237">
        <f>SUMIF(File1!$D$1:$D$2034,C149,File1!$H$1:$H$2034)</f>
        <v>5</v>
      </c>
      <c r="K149" s="237">
        <f>SUMIF(File1!$D$8:$D$2034,C149,File1!$I$8:$I$2034)</f>
        <v>5</v>
      </c>
      <c r="L149" s="237">
        <f t="shared" si="1"/>
        <v>0</v>
      </c>
      <c r="M149" s="237">
        <f>SUMIF(File1!$D$3:$D$1800,C149,File1!$K$3:$L$1800)</f>
        <v>62084.647058823532</v>
      </c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</row>
    <row r="150" spans="1:31" ht="13.2">
      <c r="A150" s="266"/>
      <c r="B150" s="235"/>
      <c r="C150" s="235" t="s">
        <v>768</v>
      </c>
      <c r="D150" s="235" t="s">
        <v>769</v>
      </c>
      <c r="E150" s="236" t="s">
        <v>444</v>
      </c>
      <c r="F150" s="267"/>
      <c r="G150" s="268"/>
      <c r="H150" s="269"/>
      <c r="I150" s="235"/>
      <c r="J150" s="237">
        <f>SUMIF(File1!$D$1:$D$2034,C150,File1!$H$1:$H$2034)</f>
        <v>5</v>
      </c>
      <c r="K150" s="237">
        <f>SUMIF(File1!$D$8:$D$2034,C150,File1!$I$8:$I$2034)</f>
        <v>4</v>
      </c>
      <c r="L150" s="237">
        <f t="shared" si="1"/>
        <v>1</v>
      </c>
      <c r="M150" s="237">
        <f>SUMIF(File1!$D$3:$D$1800,C150,File1!$K$3:$L$1800)</f>
        <v>50319</v>
      </c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</row>
    <row r="151" spans="1:31" ht="13.2">
      <c r="A151" s="266"/>
      <c r="B151" s="235"/>
      <c r="C151" s="235" t="s">
        <v>772</v>
      </c>
      <c r="D151" s="235" t="s">
        <v>773</v>
      </c>
      <c r="E151" s="236" t="s">
        <v>444</v>
      </c>
      <c r="F151" s="267"/>
      <c r="G151" s="268"/>
      <c r="H151" s="269"/>
      <c r="I151" s="235"/>
      <c r="J151" s="237">
        <f>SUMIF(File1!$D$1:$D$2034,C151,File1!$H$1:$H$2034)</f>
        <v>15</v>
      </c>
      <c r="K151" s="237">
        <f>SUMIF(File1!$D$8:$D$2034,C151,File1!$I$8:$I$2034)</f>
        <v>13</v>
      </c>
      <c r="L151" s="237">
        <f t="shared" si="1"/>
        <v>2</v>
      </c>
      <c r="M151" s="237">
        <f>SUMIF(File1!$D$3:$D$1800,C151,File1!$K$3:$L$1800)</f>
        <v>208504.4</v>
      </c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</row>
    <row r="152" spans="1:31" ht="13.2">
      <c r="A152" s="266"/>
      <c r="B152" s="235"/>
      <c r="C152" s="235" t="s">
        <v>774</v>
      </c>
      <c r="D152" s="235" t="s">
        <v>775</v>
      </c>
      <c r="E152" s="236" t="s">
        <v>444</v>
      </c>
      <c r="F152" s="267"/>
      <c r="G152" s="268"/>
      <c r="H152" s="269"/>
      <c r="I152" s="235"/>
      <c r="J152" s="237">
        <f>SUMIF(File1!$D$1:$D$2034,C152,File1!$H$1:$H$2034)</f>
        <v>15</v>
      </c>
      <c r="K152" s="237">
        <f>SUMIF(File1!$D$8:$D$2034,C152,File1!$I$8:$I$2034)</f>
        <v>14</v>
      </c>
      <c r="L152" s="237">
        <f t="shared" si="1"/>
        <v>1</v>
      </c>
      <c r="M152" s="237">
        <f>SUMIF(File1!$D$3:$D$1800,C152,File1!$K$3:$L$1800)</f>
        <v>226031.53333333333</v>
      </c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</row>
    <row r="153" spans="1:31" ht="13.2">
      <c r="A153" s="266"/>
      <c r="B153" s="235"/>
      <c r="C153" s="235" t="s">
        <v>776</v>
      </c>
      <c r="D153" s="235" t="s">
        <v>777</v>
      </c>
      <c r="E153" s="236" t="s">
        <v>444</v>
      </c>
      <c r="F153" s="267"/>
      <c r="G153" s="268"/>
      <c r="H153" s="269"/>
      <c r="I153" s="235"/>
      <c r="J153" s="237">
        <f>SUMIF(File1!$D$1:$D$2034,C153,File1!$H$1:$H$2034)</f>
        <v>10</v>
      </c>
      <c r="K153" s="237">
        <f>SUMIF(File1!$D$8:$D$2034,C153,File1!$I$8:$I$2034)</f>
        <v>13</v>
      </c>
      <c r="L153" s="237">
        <f t="shared" si="1"/>
        <v>-3</v>
      </c>
      <c r="M153" s="237">
        <f>SUMIF(File1!$D$3:$D$1800,C153,File1!$K$3:$L$1800)</f>
        <v>216092.56666666665</v>
      </c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</row>
    <row r="154" spans="1:31" ht="13.2">
      <c r="A154" s="266"/>
      <c r="B154" s="235"/>
      <c r="C154" s="235" t="s">
        <v>778</v>
      </c>
      <c r="D154" s="235" t="s">
        <v>779</v>
      </c>
      <c r="E154" s="236" t="s">
        <v>444</v>
      </c>
      <c r="F154" s="267"/>
      <c r="G154" s="268"/>
      <c r="H154" s="269"/>
      <c r="I154" s="235"/>
      <c r="J154" s="237">
        <f>SUMIF(File1!$D$1:$D$2034,C154,File1!$H$1:$H$2034)</f>
        <v>5</v>
      </c>
      <c r="K154" s="237">
        <f>SUMIF(File1!$D$8:$D$2034,C154,File1!$I$8:$I$2034)</f>
        <v>5</v>
      </c>
      <c r="L154" s="237">
        <f t="shared" si="1"/>
        <v>0</v>
      </c>
      <c r="M154" s="237">
        <f>SUMIF(File1!$D$3:$D$1800,C154,File1!$K$3:$L$1800)</f>
        <v>84209.833333333328</v>
      </c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</row>
    <row r="155" spans="1:31" ht="13.2">
      <c r="A155" s="266"/>
      <c r="B155" s="235"/>
      <c r="C155" s="235" t="s">
        <v>780</v>
      </c>
      <c r="D155" s="235" t="s">
        <v>781</v>
      </c>
      <c r="E155" s="236" t="s">
        <v>444</v>
      </c>
      <c r="F155" s="267"/>
      <c r="G155" s="268"/>
      <c r="H155" s="269"/>
      <c r="I155" s="235"/>
      <c r="J155" s="237">
        <f>SUMIF(File1!$D$1:$D$2034,C155,File1!$H$1:$H$2034)</f>
        <v>15</v>
      </c>
      <c r="K155" s="237">
        <f>SUMIF(File1!$D$8:$D$2034,C155,File1!$I$8:$I$2034)</f>
        <v>1</v>
      </c>
      <c r="L155" s="237">
        <f t="shared" si="1"/>
        <v>14</v>
      </c>
      <c r="M155" s="237">
        <f>SUMIF(File1!$D$3:$D$1800,C155,File1!$K$3:$L$1800)</f>
        <v>17288.5</v>
      </c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</row>
    <row r="156" spans="1:31" ht="13.2">
      <c r="A156" s="266"/>
      <c r="B156" s="235"/>
      <c r="C156" s="235" t="s">
        <v>782</v>
      </c>
      <c r="D156" s="235" t="s">
        <v>783</v>
      </c>
      <c r="E156" s="236" t="s">
        <v>444</v>
      </c>
      <c r="F156" s="267"/>
      <c r="G156" s="268"/>
      <c r="H156" s="269"/>
      <c r="I156" s="235"/>
      <c r="J156" s="237">
        <f>SUMIF(File1!$D$1:$D$2034,C156,File1!$H$1:$H$2034)</f>
        <v>15</v>
      </c>
      <c r="K156" s="237">
        <f>SUMIF(File1!$D$8:$D$2034,C156,File1!$I$8:$I$2034)</f>
        <v>4</v>
      </c>
      <c r="L156" s="237">
        <f t="shared" si="1"/>
        <v>11</v>
      </c>
      <c r="M156" s="237">
        <f>SUMIF(File1!$D$3:$D$1800,C156,File1!$K$3:$L$1800)</f>
        <v>70268.899999999994</v>
      </c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</row>
    <row r="157" spans="1:31" ht="13.2">
      <c r="A157" s="266"/>
      <c r="B157" s="235"/>
      <c r="C157" s="235" t="s">
        <v>784</v>
      </c>
      <c r="D157" s="235" t="s">
        <v>785</v>
      </c>
      <c r="E157" s="236" t="s">
        <v>444</v>
      </c>
      <c r="F157" s="267"/>
      <c r="G157" s="268"/>
      <c r="H157" s="269"/>
      <c r="I157" s="235"/>
      <c r="J157" s="237">
        <f>SUMIF(File1!$D$1:$D$2034,C157,File1!$H$1:$H$2034)</f>
        <v>25</v>
      </c>
      <c r="K157" s="237">
        <f>SUMIF(File1!$D$8:$D$2034,C157,File1!$I$8:$I$2034)</f>
        <v>23</v>
      </c>
      <c r="L157" s="237">
        <f t="shared" si="1"/>
        <v>2</v>
      </c>
      <c r="M157" s="237">
        <f>SUMIF(File1!$D$3:$D$1800,C157,File1!$K$3:$L$1800)</f>
        <v>377224.9</v>
      </c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</row>
    <row r="158" spans="1:31" ht="13.2">
      <c r="A158" s="266"/>
      <c r="B158" s="235"/>
      <c r="C158" s="235" t="s">
        <v>786</v>
      </c>
      <c r="D158" s="235" t="s">
        <v>787</v>
      </c>
      <c r="E158" s="236" t="s">
        <v>444</v>
      </c>
      <c r="F158" s="267"/>
      <c r="G158" s="268"/>
      <c r="H158" s="269"/>
      <c r="I158" s="235"/>
      <c r="J158" s="237">
        <f>SUMIF(File1!$D$1:$D$2034,C158,File1!$H$1:$H$2034)</f>
        <v>15</v>
      </c>
      <c r="K158" s="237">
        <f>SUMIF(File1!$D$8:$D$2034,C158,File1!$I$8:$I$2034)</f>
        <v>12</v>
      </c>
      <c r="L158" s="237">
        <f t="shared" si="1"/>
        <v>3</v>
      </c>
      <c r="M158" s="237">
        <f>SUMIF(File1!$D$3:$D$1800,C158,File1!$K$3:$L$1800)</f>
        <v>200108.93333333332</v>
      </c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</row>
    <row r="159" spans="1:31" ht="13.2">
      <c r="A159" s="418" t="s">
        <v>838</v>
      </c>
      <c r="B159" s="236">
        <v>130</v>
      </c>
      <c r="C159" s="235" t="s">
        <v>839</v>
      </c>
      <c r="D159" s="235" t="s">
        <v>840</v>
      </c>
      <c r="E159" s="236" t="s">
        <v>841</v>
      </c>
      <c r="F159" s="255">
        <v>0.98</v>
      </c>
      <c r="G159" s="256">
        <f t="shared" ref="G159:G180" si="21">F159*3550+1000</f>
        <v>4479</v>
      </c>
      <c r="H159" s="257">
        <f t="shared" ref="H159:H168" si="22">ROUND(G159*2.2,-3)</f>
        <v>10000</v>
      </c>
      <c r="I159" s="235"/>
      <c r="J159" s="237">
        <f>SUMIF(File1!$D$1:$D$2034,C159,File1!$H$1:$H$2034)</f>
        <v>5</v>
      </c>
      <c r="K159" s="237">
        <f>SUMIF(File1!$D$8:$D$2034,C159,File1!$I$8:$I$2034)</f>
        <v>0</v>
      </c>
      <c r="L159" s="237">
        <f t="shared" si="1"/>
        <v>5</v>
      </c>
      <c r="M159" s="237">
        <f>SUMIF(File1!$D$3:$D$1800,C159,File1!$K$3:$L$1800)</f>
        <v>0</v>
      </c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</row>
    <row r="160" spans="1:31" ht="13.2">
      <c r="A160" s="372"/>
      <c r="B160" s="236">
        <v>131</v>
      </c>
      <c r="C160" s="235" t="s">
        <v>842</v>
      </c>
      <c r="D160" s="235" t="s">
        <v>843</v>
      </c>
      <c r="E160" s="236" t="s">
        <v>841</v>
      </c>
      <c r="F160" s="255">
        <v>0.98</v>
      </c>
      <c r="G160" s="256">
        <f t="shared" si="21"/>
        <v>4479</v>
      </c>
      <c r="H160" s="257">
        <f t="shared" si="22"/>
        <v>10000</v>
      </c>
      <c r="I160" s="235"/>
      <c r="J160" s="237">
        <f>SUMIF(File1!$D$1:$D$2034,C160,File1!$H$1:$H$2034)</f>
        <v>7</v>
      </c>
      <c r="K160" s="237">
        <f>SUMIF(File1!$D$8:$D$2034,C160,File1!$I$8:$I$2034)</f>
        <v>1</v>
      </c>
      <c r="L160" s="237">
        <f t="shared" si="1"/>
        <v>6</v>
      </c>
      <c r="M160" s="237">
        <f>SUMIF(File1!$D$3:$D$1800,C160,File1!$K$3:$L$1800)</f>
        <v>5920</v>
      </c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</row>
    <row r="161" spans="1:31" ht="13.2">
      <c r="A161" s="372"/>
      <c r="B161" s="236">
        <v>132</v>
      </c>
      <c r="C161" s="235" t="s">
        <v>844</v>
      </c>
      <c r="D161" s="235" t="s">
        <v>845</v>
      </c>
      <c r="E161" s="236" t="s">
        <v>841</v>
      </c>
      <c r="F161" s="255">
        <v>0.98</v>
      </c>
      <c r="G161" s="256">
        <f t="shared" si="21"/>
        <v>4479</v>
      </c>
      <c r="H161" s="257">
        <f t="shared" si="22"/>
        <v>10000</v>
      </c>
      <c r="I161" s="235"/>
      <c r="J161" s="237">
        <f>SUMIF(File1!$D$1:$D$2034,C161,File1!$H$1:$H$2034)</f>
        <v>5</v>
      </c>
      <c r="K161" s="237">
        <f>SUMIF(File1!$D$8:$D$2034,C161,File1!$I$8:$I$2034)</f>
        <v>0</v>
      </c>
      <c r="L161" s="237">
        <f t="shared" si="1"/>
        <v>5</v>
      </c>
      <c r="M161" s="237">
        <f>SUMIF(File1!$D$3:$D$1800,C161,File1!$K$3:$L$1800)</f>
        <v>0</v>
      </c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</row>
    <row r="162" spans="1:31" ht="13.2">
      <c r="A162" s="372"/>
      <c r="B162" s="236">
        <v>133</v>
      </c>
      <c r="C162" s="235" t="s">
        <v>846</v>
      </c>
      <c r="D162" s="235" t="s">
        <v>847</v>
      </c>
      <c r="E162" s="236" t="s">
        <v>841</v>
      </c>
      <c r="F162" s="255">
        <v>0.98</v>
      </c>
      <c r="G162" s="256">
        <f t="shared" si="21"/>
        <v>4479</v>
      </c>
      <c r="H162" s="257">
        <f t="shared" si="22"/>
        <v>10000</v>
      </c>
      <c r="I162" s="235"/>
      <c r="J162" s="237">
        <f>SUMIF(File1!$D$1:$D$2034,C162,File1!$H$1:$H$2034)</f>
        <v>5</v>
      </c>
      <c r="K162" s="237">
        <f>SUMIF(File1!$D$8:$D$2034,C162,File1!$I$8:$I$2034)</f>
        <v>1</v>
      </c>
      <c r="L162" s="237">
        <f t="shared" si="1"/>
        <v>4</v>
      </c>
      <c r="M162" s="237">
        <f>SUMIF(File1!$D$3:$D$1800,C162,File1!$K$3:$L$1800)</f>
        <v>4462</v>
      </c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</row>
    <row r="163" spans="1:31" ht="13.2">
      <c r="A163" s="372"/>
      <c r="B163" s="236">
        <v>134</v>
      </c>
      <c r="C163" s="235" t="s">
        <v>848</v>
      </c>
      <c r="D163" s="235" t="s">
        <v>849</v>
      </c>
      <c r="E163" s="236" t="s">
        <v>841</v>
      </c>
      <c r="F163" s="255">
        <v>0.98</v>
      </c>
      <c r="G163" s="256">
        <f t="shared" si="21"/>
        <v>4479</v>
      </c>
      <c r="H163" s="257">
        <f t="shared" si="22"/>
        <v>10000</v>
      </c>
      <c r="I163" s="235"/>
      <c r="J163" s="237">
        <f>SUMIF(File1!$D$1:$D$2034,C163,File1!$H$1:$H$2034)</f>
        <v>5</v>
      </c>
      <c r="K163" s="237">
        <f>SUMIF(File1!$D$8:$D$2034,C163,File1!$I$8:$I$2034)</f>
        <v>1</v>
      </c>
      <c r="L163" s="237">
        <f t="shared" si="1"/>
        <v>4</v>
      </c>
      <c r="M163" s="237">
        <f>SUMIF(File1!$D$3:$D$1800,C163,File1!$K$3:$L$1800)</f>
        <v>10000</v>
      </c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</row>
    <row r="164" spans="1:31" ht="13.2">
      <c r="A164" s="372"/>
      <c r="B164" s="236">
        <v>135</v>
      </c>
      <c r="C164" s="235" t="s">
        <v>850</v>
      </c>
      <c r="D164" s="235" t="s">
        <v>851</v>
      </c>
      <c r="E164" s="236" t="s">
        <v>841</v>
      </c>
      <c r="F164" s="255">
        <v>0.98</v>
      </c>
      <c r="G164" s="256">
        <f t="shared" si="21"/>
        <v>4479</v>
      </c>
      <c r="H164" s="257">
        <f t="shared" si="22"/>
        <v>10000</v>
      </c>
      <c r="I164" s="235"/>
      <c r="J164" s="237">
        <f>SUMIF(File1!$D$1:$D$2034,C164,File1!$H$1:$H$2034)</f>
        <v>3</v>
      </c>
      <c r="K164" s="237">
        <f>SUMIF(File1!$D$8:$D$2034,C164,File1!$I$8:$I$2034)</f>
        <v>0</v>
      </c>
      <c r="L164" s="237">
        <f t="shared" si="1"/>
        <v>3</v>
      </c>
      <c r="M164" s="237">
        <f>SUMIF(File1!$D$3:$D$1800,C164,File1!$K$3:$L$1800)</f>
        <v>0</v>
      </c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</row>
    <row r="165" spans="1:31" ht="13.2">
      <c r="A165" s="372"/>
      <c r="B165" s="236">
        <v>136</v>
      </c>
      <c r="C165" s="235" t="s">
        <v>852</v>
      </c>
      <c r="D165" s="235" t="s">
        <v>853</v>
      </c>
      <c r="E165" s="236" t="s">
        <v>841</v>
      </c>
      <c r="F165" s="255">
        <v>0.98</v>
      </c>
      <c r="G165" s="256">
        <f t="shared" si="21"/>
        <v>4479</v>
      </c>
      <c r="H165" s="257">
        <f t="shared" si="22"/>
        <v>10000</v>
      </c>
      <c r="I165" s="235"/>
      <c r="J165" s="237">
        <f>SUMIF(File1!$D$1:$D$2034,C165,File1!$H$1:$H$2034)</f>
        <v>10</v>
      </c>
      <c r="K165" s="237">
        <f>SUMIF(File1!$D$8:$D$2034,C165,File1!$I$8:$I$2034)</f>
        <v>0</v>
      </c>
      <c r="L165" s="237">
        <f t="shared" si="1"/>
        <v>10</v>
      </c>
      <c r="M165" s="237">
        <f>SUMIF(File1!$D$3:$D$1800,C165,File1!$K$3:$L$1800)</f>
        <v>0</v>
      </c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</row>
    <row r="166" spans="1:31" ht="13.2">
      <c r="A166" s="372"/>
      <c r="B166" s="236">
        <v>137</v>
      </c>
      <c r="C166" s="235" t="s">
        <v>854</v>
      </c>
      <c r="D166" s="235" t="s">
        <v>855</v>
      </c>
      <c r="E166" s="236" t="s">
        <v>841</v>
      </c>
      <c r="F166" s="255">
        <v>0.98</v>
      </c>
      <c r="G166" s="256">
        <f t="shared" si="21"/>
        <v>4479</v>
      </c>
      <c r="H166" s="257">
        <f t="shared" si="22"/>
        <v>10000</v>
      </c>
      <c r="I166" s="235"/>
      <c r="J166" s="237">
        <f>SUMIF(File1!$D$1:$D$2034,C166,File1!$H$1:$H$2034)</f>
        <v>3</v>
      </c>
      <c r="K166" s="237">
        <f>SUMIF(File1!$D$8:$D$2034,C166,File1!$I$8:$I$2034)</f>
        <v>0</v>
      </c>
      <c r="L166" s="237">
        <f t="shared" si="1"/>
        <v>3</v>
      </c>
      <c r="M166" s="237">
        <f>SUMIF(File1!$D$3:$D$1800,C166,File1!$K$3:$L$1800)</f>
        <v>0</v>
      </c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</row>
    <row r="167" spans="1:31" ht="13.2">
      <c r="A167" s="372"/>
      <c r="B167" s="236">
        <v>138</v>
      </c>
      <c r="C167" s="235" t="s">
        <v>856</v>
      </c>
      <c r="D167" s="235" t="s">
        <v>857</v>
      </c>
      <c r="E167" s="236" t="s">
        <v>841</v>
      </c>
      <c r="F167" s="255">
        <v>0.98</v>
      </c>
      <c r="G167" s="256">
        <f t="shared" si="21"/>
        <v>4479</v>
      </c>
      <c r="H167" s="257">
        <f t="shared" si="22"/>
        <v>10000</v>
      </c>
      <c r="I167" s="235"/>
      <c r="J167" s="237">
        <f>SUMIF(File1!$D$1:$D$2034,C167,File1!$H$1:$H$2034)</f>
        <v>7</v>
      </c>
      <c r="K167" s="237">
        <f>SUMIF(File1!$D$8:$D$2034,C167,File1!$I$8:$I$2034)</f>
        <v>0</v>
      </c>
      <c r="L167" s="237">
        <f t="shared" si="1"/>
        <v>7</v>
      </c>
      <c r="M167" s="237">
        <f>SUMIF(File1!$D$3:$D$1800,C167,File1!$K$3:$L$1800)</f>
        <v>0</v>
      </c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</row>
    <row r="168" spans="1:31" ht="13.2">
      <c r="A168" s="372"/>
      <c r="B168" s="236">
        <v>139</v>
      </c>
      <c r="C168" s="235" t="s">
        <v>858</v>
      </c>
      <c r="D168" s="235" t="s">
        <v>859</v>
      </c>
      <c r="E168" s="236" t="s">
        <v>841</v>
      </c>
      <c r="F168" s="255">
        <v>0.98</v>
      </c>
      <c r="G168" s="256">
        <f t="shared" si="21"/>
        <v>4479</v>
      </c>
      <c r="H168" s="257">
        <f t="shared" si="22"/>
        <v>10000</v>
      </c>
      <c r="I168" s="235"/>
      <c r="J168" s="237">
        <f>SUMIF(File1!$D$1:$D$2034,C168,File1!$H$1:$H$2034)</f>
        <v>3</v>
      </c>
      <c r="K168" s="237">
        <f>SUMIF(File1!$D$8:$D$2034,C168,File1!$I$8:$I$2034)</f>
        <v>0</v>
      </c>
      <c r="L168" s="237">
        <f t="shared" si="1"/>
        <v>3</v>
      </c>
      <c r="M168" s="237">
        <f>SUMIF(File1!$D$3:$D$1800,C168,File1!$K$3:$L$1800)</f>
        <v>0</v>
      </c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</row>
    <row r="169" spans="1:31" ht="13.2">
      <c r="A169" s="372"/>
      <c r="B169" s="236">
        <v>140</v>
      </c>
      <c r="C169" s="235" t="s">
        <v>860</v>
      </c>
      <c r="D169" s="235" t="s">
        <v>861</v>
      </c>
      <c r="E169" s="236" t="s">
        <v>444</v>
      </c>
      <c r="F169" s="255">
        <v>0.8</v>
      </c>
      <c r="G169" s="256">
        <f t="shared" si="21"/>
        <v>3840</v>
      </c>
      <c r="H169" s="257">
        <v>7500</v>
      </c>
      <c r="I169" s="235"/>
      <c r="J169" s="237">
        <f>SUMIF(File1!$D$1:$D$2034,C169,File1!$H$1:$H$2034)</f>
        <v>2</v>
      </c>
      <c r="K169" s="237">
        <f>SUMIF(File1!$D$8:$D$2034,C169,File1!$I$8:$I$2034)</f>
        <v>0</v>
      </c>
      <c r="L169" s="237">
        <f t="shared" si="1"/>
        <v>2</v>
      </c>
      <c r="M169" s="237">
        <f>SUMIF(File1!$D$3:$D$1800,C169,File1!$K$3:$L$1800)</f>
        <v>0</v>
      </c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</row>
    <row r="170" spans="1:31" ht="13.2">
      <c r="A170" s="372"/>
      <c r="B170" s="236">
        <v>141</v>
      </c>
      <c r="C170" s="235" t="s">
        <v>862</v>
      </c>
      <c r="D170" s="235" t="s">
        <v>863</v>
      </c>
      <c r="E170" s="236" t="s">
        <v>444</v>
      </c>
      <c r="F170" s="255">
        <v>0.8</v>
      </c>
      <c r="G170" s="256">
        <f t="shared" si="21"/>
        <v>3840</v>
      </c>
      <c r="H170" s="257">
        <v>7500</v>
      </c>
      <c r="I170" s="235"/>
      <c r="J170" s="237">
        <f>SUMIF(File1!$D$1:$D$2034,C170,File1!$H$1:$H$2034)</f>
        <v>2</v>
      </c>
      <c r="K170" s="237">
        <f>SUMIF(File1!$D$8:$D$2034,C170,File1!$I$8:$I$2034)</f>
        <v>0</v>
      </c>
      <c r="L170" s="237">
        <f t="shared" si="1"/>
        <v>2</v>
      </c>
      <c r="M170" s="237">
        <f>SUMIF(File1!$D$3:$D$1800,C170,File1!$K$3:$L$1800)</f>
        <v>0</v>
      </c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</row>
    <row r="171" spans="1:31" ht="13.2">
      <c r="A171" s="372"/>
      <c r="B171" s="236">
        <v>142</v>
      </c>
      <c r="C171" s="235" t="s">
        <v>864</v>
      </c>
      <c r="D171" s="235" t="s">
        <v>865</v>
      </c>
      <c r="E171" s="236" t="s">
        <v>444</v>
      </c>
      <c r="F171" s="255">
        <v>0.8</v>
      </c>
      <c r="G171" s="256">
        <f t="shared" si="21"/>
        <v>3840</v>
      </c>
      <c r="H171" s="257">
        <v>7500</v>
      </c>
      <c r="I171" s="235"/>
      <c r="J171" s="237">
        <f>SUMIF(File1!$D$1:$D$2034,C171,File1!$H$1:$H$2034)</f>
        <v>2</v>
      </c>
      <c r="K171" s="237">
        <f>SUMIF(File1!$D$8:$D$2034,C171,File1!$I$8:$I$2034)</f>
        <v>1</v>
      </c>
      <c r="L171" s="237">
        <f t="shared" si="1"/>
        <v>1</v>
      </c>
      <c r="M171" s="237">
        <f>SUMIF(File1!$D$3:$D$1800,C171,File1!$K$3:$L$1800)</f>
        <v>6000</v>
      </c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</row>
    <row r="172" spans="1:31" ht="13.2">
      <c r="A172" s="372"/>
      <c r="B172" s="236">
        <v>143</v>
      </c>
      <c r="C172" s="235" t="s">
        <v>866</v>
      </c>
      <c r="D172" s="235" t="s">
        <v>867</v>
      </c>
      <c r="E172" s="236" t="s">
        <v>444</v>
      </c>
      <c r="F172" s="255">
        <v>0.8</v>
      </c>
      <c r="G172" s="256">
        <f t="shared" si="21"/>
        <v>3840</v>
      </c>
      <c r="H172" s="257">
        <v>7500</v>
      </c>
      <c r="I172" s="235"/>
      <c r="J172" s="237">
        <f>SUMIF(File1!$D$1:$D$2034,C172,File1!$H$1:$H$2034)</f>
        <v>4</v>
      </c>
      <c r="K172" s="237">
        <f>SUMIF(File1!$D$8:$D$2034,C172,File1!$I$8:$I$2034)</f>
        <v>1</v>
      </c>
      <c r="L172" s="237">
        <f t="shared" si="1"/>
        <v>3</v>
      </c>
      <c r="M172" s="237">
        <f>SUMIF(File1!$D$3:$D$1800,C172,File1!$K$3:$L$1800)</f>
        <v>8000</v>
      </c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</row>
    <row r="173" spans="1:31" ht="13.2">
      <c r="A173" s="372"/>
      <c r="B173" s="236">
        <v>144</v>
      </c>
      <c r="C173" s="235" t="s">
        <v>868</v>
      </c>
      <c r="D173" s="235" t="s">
        <v>869</v>
      </c>
      <c r="E173" s="236" t="s">
        <v>444</v>
      </c>
      <c r="F173" s="255">
        <v>0.8</v>
      </c>
      <c r="G173" s="256">
        <f t="shared" si="21"/>
        <v>3840</v>
      </c>
      <c r="H173" s="257">
        <v>7500</v>
      </c>
      <c r="I173" s="235"/>
      <c r="J173" s="237">
        <f>SUMIF(File1!$D$1:$D$2034,C173,File1!$H$1:$H$2034)</f>
        <v>2</v>
      </c>
      <c r="K173" s="237">
        <f>SUMIF(File1!$D$8:$D$2034,C173,File1!$I$8:$I$2034)</f>
        <v>0</v>
      </c>
      <c r="L173" s="237">
        <f t="shared" si="1"/>
        <v>2</v>
      </c>
      <c r="M173" s="237">
        <f>SUMIF(File1!$D$3:$D$1800,C173,File1!$K$3:$L$1800)</f>
        <v>0</v>
      </c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</row>
    <row r="174" spans="1:31" ht="13.2">
      <c r="A174" s="372"/>
      <c r="B174" s="236">
        <v>145</v>
      </c>
      <c r="C174" s="235" t="s">
        <v>870</v>
      </c>
      <c r="D174" s="235" t="s">
        <v>871</v>
      </c>
      <c r="E174" s="236" t="s">
        <v>444</v>
      </c>
      <c r="F174" s="255">
        <v>0.8</v>
      </c>
      <c r="G174" s="256">
        <f t="shared" si="21"/>
        <v>3840</v>
      </c>
      <c r="H174" s="257">
        <v>7500</v>
      </c>
      <c r="I174" s="235"/>
      <c r="J174" s="237">
        <f>SUMIF(File1!$D$1:$D$2034,C174,File1!$H$1:$H$2034)</f>
        <v>2</v>
      </c>
      <c r="K174" s="237">
        <f>SUMIF(File1!$D$8:$D$2034,C174,File1!$I$8:$I$2034)</f>
        <v>0</v>
      </c>
      <c r="L174" s="237">
        <f t="shared" si="1"/>
        <v>2</v>
      </c>
      <c r="M174" s="237">
        <f>SUMIF(File1!$D$3:$D$1800,C174,File1!$K$3:$L$1800)</f>
        <v>0</v>
      </c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</row>
    <row r="175" spans="1:31" ht="13.2">
      <c r="A175" s="372"/>
      <c r="B175" s="236">
        <v>146</v>
      </c>
      <c r="C175" s="235" t="s">
        <v>872</v>
      </c>
      <c r="D175" s="235" t="s">
        <v>873</v>
      </c>
      <c r="E175" s="236" t="s">
        <v>444</v>
      </c>
      <c r="F175" s="255">
        <v>0.8</v>
      </c>
      <c r="G175" s="256">
        <f t="shared" si="21"/>
        <v>3840</v>
      </c>
      <c r="H175" s="257">
        <v>7500</v>
      </c>
      <c r="I175" s="235"/>
      <c r="J175" s="237">
        <f>SUMIF(File1!$D$1:$D$2034,C175,File1!$H$1:$H$2034)</f>
        <v>5</v>
      </c>
      <c r="K175" s="237">
        <f>SUMIF(File1!$D$8:$D$2034,C175,File1!$I$8:$I$2034)</f>
        <v>0</v>
      </c>
      <c r="L175" s="237">
        <f t="shared" si="1"/>
        <v>5</v>
      </c>
      <c r="M175" s="237">
        <f>SUMIF(File1!$D$3:$D$1800,C175,File1!$K$3:$L$1800)</f>
        <v>0</v>
      </c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</row>
    <row r="176" spans="1:31" ht="13.2">
      <c r="A176" s="372"/>
      <c r="B176" s="236">
        <v>147</v>
      </c>
      <c r="C176" s="235" t="s">
        <v>874</v>
      </c>
      <c r="D176" s="235" t="s">
        <v>875</v>
      </c>
      <c r="E176" s="236" t="s">
        <v>444</v>
      </c>
      <c r="F176" s="255">
        <v>0.8</v>
      </c>
      <c r="G176" s="256">
        <f t="shared" si="21"/>
        <v>3840</v>
      </c>
      <c r="H176" s="257">
        <v>7500</v>
      </c>
      <c r="I176" s="235"/>
      <c r="J176" s="237">
        <f>SUMIF(File1!$D$1:$D$2034,C176,File1!$H$1:$H$2034)</f>
        <v>5</v>
      </c>
      <c r="K176" s="237">
        <f>SUMIF(File1!$D$8:$D$2034,C176,File1!$I$8:$I$2034)</f>
        <v>4</v>
      </c>
      <c r="L176" s="237">
        <f t="shared" si="1"/>
        <v>1</v>
      </c>
      <c r="M176" s="237">
        <f>SUMIF(File1!$D$3:$D$1800,C176,File1!$K$3:$L$1800)</f>
        <v>29570</v>
      </c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</row>
    <row r="177" spans="1:31" ht="13.2">
      <c r="A177" s="372"/>
      <c r="B177" s="236">
        <v>148</v>
      </c>
      <c r="C177" s="235" t="s">
        <v>876</v>
      </c>
      <c r="D177" s="235" t="s">
        <v>877</v>
      </c>
      <c r="E177" s="236" t="s">
        <v>444</v>
      </c>
      <c r="F177" s="255">
        <v>0.8</v>
      </c>
      <c r="G177" s="256">
        <f t="shared" si="21"/>
        <v>3840</v>
      </c>
      <c r="H177" s="257">
        <v>7500</v>
      </c>
      <c r="I177" s="235"/>
      <c r="J177" s="237">
        <f>SUMIF(File1!$D$1:$D$2034,C177,File1!$H$1:$H$2034)</f>
        <v>5</v>
      </c>
      <c r="K177" s="237">
        <f>SUMIF(File1!$D$8:$D$2034,C177,File1!$I$8:$I$2034)</f>
        <v>1</v>
      </c>
      <c r="L177" s="237">
        <f t="shared" si="1"/>
        <v>4</v>
      </c>
      <c r="M177" s="237">
        <f>SUMIF(File1!$D$3:$D$1800,C177,File1!$K$3:$L$1800)</f>
        <v>0</v>
      </c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</row>
    <row r="178" spans="1:31" ht="13.2">
      <c r="A178" s="372"/>
      <c r="B178" s="236">
        <v>149</v>
      </c>
      <c r="C178" s="235" t="s">
        <v>878</v>
      </c>
      <c r="D178" s="235" t="s">
        <v>879</v>
      </c>
      <c r="E178" s="236" t="s">
        <v>444</v>
      </c>
      <c r="F178" s="255">
        <v>0.8</v>
      </c>
      <c r="G178" s="256">
        <f t="shared" si="21"/>
        <v>3840</v>
      </c>
      <c r="H178" s="257">
        <v>7500</v>
      </c>
      <c r="I178" s="235"/>
      <c r="J178" s="237">
        <f>SUMIF(File1!$D$1:$D$2034,C178,File1!$H$1:$H$2034)</f>
        <v>5</v>
      </c>
      <c r="K178" s="237">
        <f>SUMIF(File1!$D$8:$D$2034,C178,File1!$I$8:$I$2034)</f>
        <v>4</v>
      </c>
      <c r="L178" s="237">
        <f t="shared" si="1"/>
        <v>1</v>
      </c>
      <c r="M178" s="237">
        <f>SUMIF(File1!$D$3:$D$1800,C178,File1!$K$3:$L$1800)</f>
        <v>28000</v>
      </c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</row>
    <row r="179" spans="1:31" ht="13.2">
      <c r="A179" s="372"/>
      <c r="B179" s="236">
        <v>150</v>
      </c>
      <c r="C179" s="235" t="s">
        <v>880</v>
      </c>
      <c r="D179" s="235" t="s">
        <v>881</v>
      </c>
      <c r="E179" s="236" t="s">
        <v>444</v>
      </c>
      <c r="F179" s="255">
        <v>0.8</v>
      </c>
      <c r="G179" s="256">
        <f t="shared" si="21"/>
        <v>3840</v>
      </c>
      <c r="H179" s="257">
        <v>7500</v>
      </c>
      <c r="I179" s="235"/>
      <c r="J179" s="237">
        <f>SUMIF(File1!$D$1:$D$2034,C179,File1!$H$1:$H$2034)</f>
        <v>5</v>
      </c>
      <c r="K179" s="237">
        <f>SUMIF(File1!$D$8:$D$2034,C179,File1!$I$8:$I$2034)</f>
        <v>3</v>
      </c>
      <c r="L179" s="237">
        <f t="shared" si="1"/>
        <v>2</v>
      </c>
      <c r="M179" s="237">
        <f>SUMIF(File1!$D$3:$D$1800,C179,File1!$K$3:$L$1800)</f>
        <v>13000</v>
      </c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</row>
    <row r="180" spans="1:31" ht="13.2">
      <c r="A180" s="373"/>
      <c r="B180" s="236">
        <v>151</v>
      </c>
      <c r="C180" s="235" t="s">
        <v>882</v>
      </c>
      <c r="D180" s="235" t="s">
        <v>883</v>
      </c>
      <c r="E180" s="236" t="s">
        <v>444</v>
      </c>
      <c r="F180" s="255">
        <v>0.8</v>
      </c>
      <c r="G180" s="256">
        <f t="shared" si="21"/>
        <v>3840</v>
      </c>
      <c r="H180" s="257">
        <v>7500</v>
      </c>
      <c r="I180" s="235"/>
      <c r="J180" s="237">
        <f>SUMIF(File1!$D$1:$D$2034,C180,File1!$H$1:$H$2034)</f>
        <v>5</v>
      </c>
      <c r="K180" s="237">
        <f>SUMIF(File1!$D$8:$D$2034,C180,File1!$I$8:$I$2034)</f>
        <v>0</v>
      </c>
      <c r="L180" s="237">
        <f t="shared" si="1"/>
        <v>5</v>
      </c>
      <c r="M180" s="237">
        <f>SUMIF(File1!$D$3:$D$1800,C180,File1!$K$3:$L$1800)</f>
        <v>0</v>
      </c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</row>
    <row r="181" spans="1:31" ht="13.2">
      <c r="A181" s="413" t="s">
        <v>884</v>
      </c>
      <c r="B181" s="236">
        <v>152</v>
      </c>
      <c r="C181" s="235" t="s">
        <v>885</v>
      </c>
      <c r="D181" s="235" t="s">
        <v>2168</v>
      </c>
      <c r="E181" s="236" t="s">
        <v>444</v>
      </c>
      <c r="F181" s="255">
        <v>7.9</v>
      </c>
      <c r="G181" s="256">
        <f t="shared" ref="G181:G184" si="23">F181*3550+5000</f>
        <v>33045</v>
      </c>
      <c r="H181" s="236">
        <f t="shared" ref="H181:H184" si="24">G181*1.12+10000</f>
        <v>47010.400000000001</v>
      </c>
      <c r="I181" s="235"/>
      <c r="J181" s="237">
        <f>SUMIF(File1!$D$1:$D$2034,C181,File1!$H$1:$H$2034)</f>
        <v>14</v>
      </c>
      <c r="K181" s="237">
        <f>SUMIF(File1!$D$8:$D$2034,C181,File1!$I$8:$I$2034)</f>
        <v>11</v>
      </c>
      <c r="L181" s="237">
        <f t="shared" si="1"/>
        <v>3</v>
      </c>
      <c r="M181" s="237">
        <f>SUMIF(File1!$D$3:$D$1800,C181,File1!$K$3:$L$1800)</f>
        <v>448400</v>
      </c>
      <c r="N181" s="248">
        <f>G181*J181+G182*J182+G183*J183+G184*J184</f>
        <v>2247060</v>
      </c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</row>
    <row r="182" spans="1:31" ht="13.2">
      <c r="A182" s="414"/>
      <c r="B182" s="236">
        <v>153</v>
      </c>
      <c r="C182" s="235" t="s">
        <v>887</v>
      </c>
      <c r="D182" s="235" t="s">
        <v>2169</v>
      </c>
      <c r="E182" s="236" t="s">
        <v>444</v>
      </c>
      <c r="F182" s="255">
        <v>7.9</v>
      </c>
      <c r="G182" s="256">
        <f t="shared" si="23"/>
        <v>33045</v>
      </c>
      <c r="H182" s="236">
        <f t="shared" si="24"/>
        <v>47010.400000000001</v>
      </c>
      <c r="I182" s="235"/>
      <c r="J182" s="237">
        <f>SUMIF(File1!$D$1:$D$2034,C182,File1!$H$1:$H$2034)</f>
        <v>14</v>
      </c>
      <c r="K182" s="237">
        <f>SUMIF(File1!$D$8:$D$2034,C182,File1!$I$8:$I$2034)</f>
        <v>9</v>
      </c>
      <c r="L182" s="237">
        <f t="shared" si="1"/>
        <v>5</v>
      </c>
      <c r="M182" s="237">
        <f>SUMIF(File1!$D$3:$D$1800,C182,File1!$K$3:$L$1800)</f>
        <v>389508</v>
      </c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</row>
    <row r="183" spans="1:31" ht="13.2">
      <c r="A183" s="414"/>
      <c r="B183" s="236">
        <v>154</v>
      </c>
      <c r="C183" s="235" t="s">
        <v>891</v>
      </c>
      <c r="D183" s="235" t="s">
        <v>2170</v>
      </c>
      <c r="E183" s="236" t="s">
        <v>444</v>
      </c>
      <c r="F183" s="255">
        <v>7.9</v>
      </c>
      <c r="G183" s="256">
        <f t="shared" si="23"/>
        <v>33045</v>
      </c>
      <c r="H183" s="236">
        <f t="shared" si="24"/>
        <v>47010.400000000001</v>
      </c>
      <c r="I183" s="235"/>
      <c r="J183" s="237">
        <f>SUMIF(File1!$D$1:$D$2034,C183,File1!$H$1:$H$2034)</f>
        <v>21</v>
      </c>
      <c r="K183" s="237">
        <f>SUMIF(File1!$D$8:$D$2034,C183,File1!$I$8:$I$2034)</f>
        <v>20</v>
      </c>
      <c r="L183" s="237">
        <f t="shared" si="1"/>
        <v>1</v>
      </c>
      <c r="M183" s="237">
        <f>SUMIF(File1!$D$3:$D$1800,C183,File1!$K$3:$L$1800)</f>
        <v>888290</v>
      </c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</row>
    <row r="184" spans="1:31" ht="13.2">
      <c r="A184" s="414"/>
      <c r="B184" s="236">
        <v>155</v>
      </c>
      <c r="C184" s="235" t="s">
        <v>895</v>
      </c>
      <c r="D184" s="235" t="s">
        <v>2171</v>
      </c>
      <c r="E184" s="236" t="s">
        <v>444</v>
      </c>
      <c r="F184" s="255">
        <v>7.9</v>
      </c>
      <c r="G184" s="256">
        <f t="shared" si="23"/>
        <v>33045</v>
      </c>
      <c r="H184" s="236">
        <f t="shared" si="24"/>
        <v>47010.400000000001</v>
      </c>
      <c r="I184" s="235"/>
      <c r="J184" s="237">
        <f>SUMIF(File1!$D$1:$D$2034,C184,File1!$H$1:$H$2034)</f>
        <v>19</v>
      </c>
      <c r="K184" s="237">
        <f>SUMIF(File1!$D$8:$D$2034,C184,File1!$I$8:$I$2034)</f>
        <v>13</v>
      </c>
      <c r="L184" s="237">
        <f t="shared" si="1"/>
        <v>6</v>
      </c>
      <c r="M184" s="237">
        <f>SUMIF(File1!$D$3:$D$1800,C184,File1!$K$3:$L$1800)</f>
        <v>583148</v>
      </c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</row>
    <row r="185" spans="1:31" ht="13.2">
      <c r="A185" s="414"/>
      <c r="B185" s="236">
        <v>156</v>
      </c>
      <c r="C185" s="235" t="s">
        <v>907</v>
      </c>
      <c r="D185" s="235" t="s">
        <v>908</v>
      </c>
      <c r="E185" s="235" t="s">
        <v>444</v>
      </c>
      <c r="F185" s="265">
        <v>5.5</v>
      </c>
      <c r="G185" s="238">
        <f t="shared" ref="G185:G191" si="25">F185*3510+1300</f>
        <v>20605</v>
      </c>
      <c r="H185" s="237">
        <f t="shared" ref="H185:H191" si="26">G185*2</f>
        <v>41210</v>
      </c>
      <c r="I185" s="235"/>
      <c r="J185" s="237">
        <f>SUMIF(File1!$D$1:$D$2034,C185,File1!$H$1:$H$2034)</f>
        <v>7</v>
      </c>
      <c r="K185" s="237">
        <f>SUMIF(File1!$D$8:$D$2034,C185,File1!$I$8:$I$2034)</f>
        <v>6</v>
      </c>
      <c r="L185" s="237">
        <f t="shared" si="1"/>
        <v>1</v>
      </c>
      <c r="M185" s="237">
        <f>SUMIF(File1!$D$3:$D$1800,C185,File1!$K$3:$L$1800)</f>
        <v>193409</v>
      </c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</row>
    <row r="186" spans="1:31" ht="13.2">
      <c r="A186" s="414"/>
      <c r="B186" s="236">
        <v>157</v>
      </c>
      <c r="C186" s="235" t="s">
        <v>909</v>
      </c>
      <c r="D186" s="235" t="s">
        <v>2172</v>
      </c>
      <c r="E186" s="235" t="s">
        <v>444</v>
      </c>
      <c r="F186" s="265">
        <v>5.5</v>
      </c>
      <c r="G186" s="238">
        <f t="shared" si="25"/>
        <v>20605</v>
      </c>
      <c r="H186" s="237">
        <f t="shared" si="26"/>
        <v>41210</v>
      </c>
      <c r="I186" s="235"/>
      <c r="J186" s="237">
        <f>SUMIF(File1!$D$1:$D$2034,C186,File1!$H$1:$H$2034)</f>
        <v>4</v>
      </c>
      <c r="K186" s="237">
        <f>SUMIF(File1!$D$8:$D$2034,C186,File1!$I$8:$I$2034)</f>
        <v>3</v>
      </c>
      <c r="L186" s="237">
        <f t="shared" si="1"/>
        <v>1</v>
      </c>
      <c r="M186" s="237">
        <f>SUMIF(File1!$D$3:$D$1800,C186,File1!$K$3:$L$1800)</f>
        <v>101553</v>
      </c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</row>
    <row r="187" spans="1:31" ht="13.2">
      <c r="A187" s="414"/>
      <c r="B187" s="236">
        <v>158</v>
      </c>
      <c r="C187" s="235" t="s">
        <v>911</v>
      </c>
      <c r="D187" s="235" t="s">
        <v>912</v>
      </c>
      <c r="E187" s="235" t="s">
        <v>444</v>
      </c>
      <c r="F187" s="265">
        <v>5.5</v>
      </c>
      <c r="G187" s="238">
        <f t="shared" si="25"/>
        <v>20605</v>
      </c>
      <c r="H187" s="237">
        <f t="shared" si="26"/>
        <v>41210</v>
      </c>
      <c r="I187" s="235"/>
      <c r="J187" s="237">
        <f>SUMIF(File1!$D$1:$D$2034,C187,File1!$H$1:$H$2034)</f>
        <v>4</v>
      </c>
      <c r="K187" s="237">
        <f>SUMIF(File1!$D$8:$D$2034,C187,File1!$I$8:$I$2034)</f>
        <v>1</v>
      </c>
      <c r="L187" s="237">
        <f t="shared" si="1"/>
        <v>3</v>
      </c>
      <c r="M187" s="237">
        <f>SUMIF(File1!$D$3:$D$1800,C187,File1!$K$3:$L$1800)</f>
        <v>31553</v>
      </c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</row>
    <row r="188" spans="1:31" ht="13.2">
      <c r="A188" s="414"/>
      <c r="B188" s="236">
        <v>159</v>
      </c>
      <c r="C188" s="235" t="s">
        <v>2147</v>
      </c>
      <c r="D188" s="235" t="s">
        <v>2173</v>
      </c>
      <c r="E188" s="235" t="s">
        <v>444</v>
      </c>
      <c r="F188" s="265">
        <v>5.5</v>
      </c>
      <c r="G188" s="238">
        <f t="shared" si="25"/>
        <v>20605</v>
      </c>
      <c r="H188" s="237">
        <f t="shared" si="26"/>
        <v>41210</v>
      </c>
      <c r="I188" s="235"/>
      <c r="J188" s="237">
        <f>SUMIF(File1!$D$1:$D$2034,C188,File1!$H$1:$H$2034)</f>
        <v>3</v>
      </c>
      <c r="K188" s="237">
        <f>SUMIF(File1!$D$8:$D$2034,C188,File1!$I$8:$I$2034)</f>
        <v>3</v>
      </c>
      <c r="L188" s="237">
        <f t="shared" si="1"/>
        <v>0</v>
      </c>
      <c r="M188" s="237">
        <f>SUMIF(File1!$D$3:$D$1800,C188,File1!$K$3:$L$1800)</f>
        <v>87491</v>
      </c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</row>
    <row r="189" spans="1:31" ht="13.2">
      <c r="A189" s="414"/>
      <c r="B189" s="236">
        <v>160</v>
      </c>
      <c r="C189" s="235" t="s">
        <v>913</v>
      </c>
      <c r="D189" s="235" t="s">
        <v>914</v>
      </c>
      <c r="E189" s="235" t="s">
        <v>444</v>
      </c>
      <c r="F189" s="265">
        <v>5.5</v>
      </c>
      <c r="G189" s="238">
        <f t="shared" si="25"/>
        <v>20605</v>
      </c>
      <c r="H189" s="237">
        <f t="shared" si="26"/>
        <v>41210</v>
      </c>
      <c r="I189" s="235"/>
      <c r="J189" s="237">
        <f>SUMIF(File1!$D$1:$D$2034,C189,File1!$H$1:$H$2034)</f>
        <v>7</v>
      </c>
      <c r="K189" s="237">
        <f>SUMIF(File1!$D$8:$D$2034,C189,File1!$I$8:$I$2034)</f>
        <v>6</v>
      </c>
      <c r="L189" s="237">
        <f t="shared" si="1"/>
        <v>1</v>
      </c>
      <c r="M189" s="237">
        <f>SUMIF(File1!$D$3:$D$1800,C189,File1!$K$3:$L$1800)</f>
        <v>204741</v>
      </c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</row>
    <row r="190" spans="1:31" ht="13.2">
      <c r="A190" s="414"/>
      <c r="B190" s="236">
        <v>161</v>
      </c>
      <c r="C190" s="235" t="s">
        <v>915</v>
      </c>
      <c r="D190" s="235" t="s">
        <v>916</v>
      </c>
      <c r="E190" s="235" t="s">
        <v>444</v>
      </c>
      <c r="F190" s="265">
        <v>5.5</v>
      </c>
      <c r="G190" s="238">
        <f t="shared" si="25"/>
        <v>20605</v>
      </c>
      <c r="H190" s="237">
        <f t="shared" si="26"/>
        <v>41210</v>
      </c>
      <c r="I190" s="235"/>
      <c r="J190" s="237">
        <f>SUMIF(File1!$D$1:$D$2034,C190,File1!$H$1:$H$2034)</f>
        <v>11</v>
      </c>
      <c r="K190" s="237">
        <f>SUMIF(File1!$D$8:$D$2034,C190,File1!$I$8:$I$2034)</f>
        <v>11</v>
      </c>
      <c r="L190" s="237">
        <f t="shared" si="1"/>
        <v>0</v>
      </c>
      <c r="M190" s="237">
        <f>SUMIF(File1!$D$3:$D$1800,C190,File1!$K$3:$L$1800)</f>
        <v>454927</v>
      </c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</row>
    <row r="191" spans="1:31" ht="13.2">
      <c r="A191" s="414"/>
      <c r="B191" s="236">
        <v>162</v>
      </c>
      <c r="C191" s="235" t="s">
        <v>917</v>
      </c>
      <c r="D191" s="235" t="s">
        <v>918</v>
      </c>
      <c r="E191" s="235" t="s">
        <v>444</v>
      </c>
      <c r="F191" s="265">
        <v>5.5</v>
      </c>
      <c r="G191" s="238">
        <f t="shared" si="25"/>
        <v>20605</v>
      </c>
      <c r="H191" s="237">
        <f t="shared" si="26"/>
        <v>41210</v>
      </c>
      <c r="I191" s="235"/>
      <c r="J191" s="237">
        <f>SUMIF(File1!$D$1:$D$2034,C191,File1!$H$1:$H$2034)</f>
        <v>7</v>
      </c>
      <c r="K191" s="237">
        <f>SUMIF(File1!$D$8:$D$2034,C191,File1!$I$8:$I$2034)</f>
        <v>7</v>
      </c>
      <c r="L191" s="237">
        <f t="shared" si="1"/>
        <v>0</v>
      </c>
      <c r="M191" s="237">
        <f>SUMIF(File1!$D$3:$D$1800,C191,File1!$K$3:$L$1800)</f>
        <v>239700.33333333334</v>
      </c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</row>
    <row r="192" spans="1:31" ht="13.2">
      <c r="A192" s="414"/>
      <c r="B192" s="235"/>
      <c r="C192" s="235" t="s">
        <v>919</v>
      </c>
      <c r="D192" s="235" t="s">
        <v>920</v>
      </c>
      <c r="E192" s="235" t="s">
        <v>444</v>
      </c>
      <c r="F192" s="267"/>
      <c r="G192" s="268"/>
      <c r="H192" s="235"/>
      <c r="I192" s="235"/>
      <c r="J192" s="237">
        <f>SUMIF(File1!$D$1:$D$2034,C192,File1!$H$1:$H$2034)</f>
        <v>3</v>
      </c>
      <c r="K192" s="237">
        <f>SUMIF(File1!$D$8:$D$2034,C192,File1!$I$8:$I$2034)</f>
        <v>2</v>
      </c>
      <c r="L192" s="237">
        <f t="shared" si="1"/>
        <v>1</v>
      </c>
      <c r="M192" s="237">
        <f>SUMIF(File1!$D$3:$D$1800,C192,File1!$K$3:$L$1800)</f>
        <v>70884.666666666672</v>
      </c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</row>
    <row r="193" spans="1:31" ht="13.2">
      <c r="A193" s="414"/>
      <c r="B193" s="236">
        <v>163</v>
      </c>
      <c r="C193" s="235" t="s">
        <v>923</v>
      </c>
      <c r="D193" s="235" t="s">
        <v>924</v>
      </c>
      <c r="E193" s="235" t="s">
        <v>444</v>
      </c>
      <c r="F193" s="265">
        <v>19.899999999999999</v>
      </c>
      <c r="G193" s="238">
        <f t="shared" ref="G193:G208" si="27">F193*3510+1300</f>
        <v>71149</v>
      </c>
      <c r="H193" s="237">
        <f t="shared" ref="H193:H208" si="28">G193*2</f>
        <v>142298</v>
      </c>
      <c r="I193" s="235"/>
      <c r="J193" s="237">
        <f>SUMIF(File1!$D$1:$D$2034,C193,File1!$H$1:$H$2034)</f>
        <v>7</v>
      </c>
      <c r="K193" s="237">
        <f>SUMIF(File1!$D$8:$D$2034,C193,File1!$I$8:$I$2034)</f>
        <v>1</v>
      </c>
      <c r="L193" s="237">
        <f t="shared" si="1"/>
        <v>6</v>
      </c>
      <c r="M193" s="237">
        <f>SUMIF(File1!$D$3:$D$1800,C193,File1!$K$3:$L$1800)</f>
        <v>117952</v>
      </c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</row>
    <row r="194" spans="1:31" ht="13.2">
      <c r="A194" s="414"/>
      <c r="B194" s="236">
        <v>164</v>
      </c>
      <c r="C194" s="235" t="s">
        <v>925</v>
      </c>
      <c r="D194" s="235" t="s">
        <v>930</v>
      </c>
      <c r="E194" s="235" t="s">
        <v>444</v>
      </c>
      <c r="F194" s="265">
        <v>19.899999999999999</v>
      </c>
      <c r="G194" s="238">
        <f t="shared" si="27"/>
        <v>71149</v>
      </c>
      <c r="H194" s="237">
        <f t="shared" si="28"/>
        <v>142298</v>
      </c>
      <c r="I194" s="235"/>
      <c r="J194" s="237">
        <f>SUMIF(File1!$D$1:$D$2034,C194,File1!$H$1:$H$2034)</f>
        <v>7</v>
      </c>
      <c r="K194" s="237">
        <f>SUMIF(File1!$D$8:$D$2034,C194,File1!$I$8:$I$2034)</f>
        <v>0</v>
      </c>
      <c r="L194" s="237">
        <f t="shared" si="1"/>
        <v>7</v>
      </c>
      <c r="M194" s="237">
        <f>SUMIF(File1!$D$3:$D$1800,C194,File1!$K$3:$L$1800)</f>
        <v>0</v>
      </c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</row>
    <row r="195" spans="1:31" ht="13.2">
      <c r="A195" s="414"/>
      <c r="B195" s="236">
        <v>165</v>
      </c>
      <c r="C195" s="235" t="s">
        <v>927</v>
      </c>
      <c r="D195" s="235" t="s">
        <v>2174</v>
      </c>
      <c r="E195" s="235" t="s">
        <v>444</v>
      </c>
      <c r="F195" s="265">
        <v>19.899999999999999</v>
      </c>
      <c r="G195" s="238">
        <f t="shared" si="27"/>
        <v>71149</v>
      </c>
      <c r="H195" s="237">
        <f t="shared" si="28"/>
        <v>142298</v>
      </c>
      <c r="I195" s="235"/>
      <c r="J195" s="237">
        <f>SUMIF(File1!$D$1:$D$2034,C195,File1!$H$1:$H$2034)</f>
        <v>7</v>
      </c>
      <c r="K195" s="237">
        <f>SUMIF(File1!$D$8:$D$2034,C195,File1!$I$8:$I$2034)</f>
        <v>0</v>
      </c>
      <c r="L195" s="237">
        <f t="shared" si="1"/>
        <v>7</v>
      </c>
      <c r="M195" s="237">
        <f>SUMIF(File1!$D$3:$D$1800,C195,File1!$K$3:$L$1800)</f>
        <v>0</v>
      </c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</row>
    <row r="196" spans="1:31" ht="13.2">
      <c r="A196" s="414"/>
      <c r="B196" s="236">
        <v>166</v>
      </c>
      <c r="C196" s="235" t="s">
        <v>929</v>
      </c>
      <c r="D196" s="235" t="s">
        <v>2175</v>
      </c>
      <c r="E196" s="235" t="s">
        <v>444</v>
      </c>
      <c r="F196" s="265">
        <v>19.899999999999999</v>
      </c>
      <c r="G196" s="238">
        <f t="shared" si="27"/>
        <v>71149</v>
      </c>
      <c r="H196" s="237">
        <f t="shared" si="28"/>
        <v>142298</v>
      </c>
      <c r="I196" s="235"/>
      <c r="J196" s="237">
        <f>SUMIF(File1!$D$1:$D$2034,C196,File1!$H$1:$H$2034)</f>
        <v>7</v>
      </c>
      <c r="K196" s="237">
        <f>SUMIF(File1!$D$8:$D$2034,C196,File1!$I$8:$I$2034)</f>
        <v>0</v>
      </c>
      <c r="L196" s="237">
        <f t="shared" si="1"/>
        <v>7</v>
      </c>
      <c r="M196" s="237">
        <f>SUMIF(File1!$D$3:$D$1800,C196,File1!$K$3:$L$1800)</f>
        <v>0</v>
      </c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</row>
    <row r="197" spans="1:31" ht="13.2">
      <c r="A197" s="414"/>
      <c r="B197" s="236">
        <v>167</v>
      </c>
      <c r="C197" s="235" t="s">
        <v>931</v>
      </c>
      <c r="D197" s="235" t="s">
        <v>932</v>
      </c>
      <c r="E197" s="235" t="s">
        <v>444</v>
      </c>
      <c r="F197" s="265">
        <v>19.899999999999999</v>
      </c>
      <c r="G197" s="238">
        <f t="shared" si="27"/>
        <v>71149</v>
      </c>
      <c r="H197" s="237">
        <f t="shared" si="28"/>
        <v>142298</v>
      </c>
      <c r="I197" s="235"/>
      <c r="J197" s="237">
        <f>SUMIF(File1!$D$1:$D$2034,C197,File1!$H$1:$H$2034)</f>
        <v>7</v>
      </c>
      <c r="K197" s="237">
        <f>SUMIF(File1!$D$8:$D$2034,C197,File1!$I$8:$I$2034)</f>
        <v>0</v>
      </c>
      <c r="L197" s="237">
        <f t="shared" si="1"/>
        <v>7</v>
      </c>
      <c r="M197" s="237">
        <f>SUMIF(File1!$D$3:$D$1800,C197,File1!$K$3:$L$1800)</f>
        <v>0</v>
      </c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</row>
    <row r="198" spans="1:31" ht="13.2">
      <c r="A198" s="414"/>
      <c r="B198" s="236">
        <v>168</v>
      </c>
      <c r="C198" s="235" t="s">
        <v>933</v>
      </c>
      <c r="D198" s="235" t="s">
        <v>934</v>
      </c>
      <c r="E198" s="235" t="s">
        <v>444</v>
      </c>
      <c r="F198" s="265">
        <v>34.200000000000003</v>
      </c>
      <c r="G198" s="238">
        <f t="shared" si="27"/>
        <v>121342.00000000001</v>
      </c>
      <c r="H198" s="237">
        <f t="shared" si="28"/>
        <v>242684.00000000003</v>
      </c>
      <c r="I198" s="235"/>
      <c r="J198" s="237">
        <f>SUMIF(File1!$D$1:$D$2034,C198,File1!$H$1:$H$2034)</f>
        <v>3</v>
      </c>
      <c r="K198" s="237">
        <f>SUMIF(File1!$D$8:$D$2034,C198,File1!$I$8:$I$2034)</f>
        <v>0</v>
      </c>
      <c r="L198" s="237">
        <f t="shared" si="1"/>
        <v>3</v>
      </c>
      <c r="M198" s="237">
        <f>SUMIF(File1!$D$3:$D$1800,C198,File1!$K$3:$L$1800)</f>
        <v>0</v>
      </c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</row>
    <row r="199" spans="1:31" ht="13.2">
      <c r="A199" s="414"/>
      <c r="B199" s="236">
        <v>169</v>
      </c>
      <c r="C199" s="235" t="s">
        <v>935</v>
      </c>
      <c r="D199" s="235" t="s">
        <v>2176</v>
      </c>
      <c r="E199" s="235" t="s">
        <v>444</v>
      </c>
      <c r="F199" s="265">
        <v>38</v>
      </c>
      <c r="G199" s="238">
        <f t="shared" si="27"/>
        <v>134680</v>
      </c>
      <c r="H199" s="237">
        <f t="shared" si="28"/>
        <v>269360</v>
      </c>
      <c r="I199" s="235"/>
      <c r="J199" s="237">
        <f>SUMIF(File1!$D$1:$D$2034,C199,File1!$H$1:$H$2034)</f>
        <v>3</v>
      </c>
      <c r="K199" s="237">
        <f>SUMIF(File1!$D$8:$D$2034,C199,File1!$I$8:$I$2034)</f>
        <v>0</v>
      </c>
      <c r="L199" s="237">
        <f t="shared" si="1"/>
        <v>3</v>
      </c>
      <c r="M199" s="237">
        <f>SUMIF(File1!$D$3:$D$1800,C199,File1!$K$3:$L$1800)</f>
        <v>0</v>
      </c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</row>
    <row r="200" spans="1:31" ht="13.2">
      <c r="A200" s="414"/>
      <c r="B200" s="236">
        <v>170</v>
      </c>
      <c r="C200" s="235" t="s">
        <v>937</v>
      </c>
      <c r="D200" s="235" t="s">
        <v>936</v>
      </c>
      <c r="E200" s="235" t="s">
        <v>444</v>
      </c>
      <c r="F200" s="265">
        <v>34.200000000000003</v>
      </c>
      <c r="G200" s="238">
        <f t="shared" si="27"/>
        <v>121342.00000000001</v>
      </c>
      <c r="H200" s="237">
        <f t="shared" si="28"/>
        <v>242684.00000000003</v>
      </c>
      <c r="I200" s="235"/>
      <c r="J200" s="237">
        <f>SUMIF(File1!$D$1:$D$2034,C200,File1!$H$1:$H$2034)</f>
        <v>3</v>
      </c>
      <c r="K200" s="237">
        <f>SUMIF(File1!$D$8:$D$2034,C200,File1!$I$8:$I$2034)</f>
        <v>0</v>
      </c>
      <c r="L200" s="237">
        <f t="shared" si="1"/>
        <v>3</v>
      </c>
      <c r="M200" s="237">
        <f>SUMIF(File1!$D$3:$D$1800,C200,File1!$K$3:$L$1800)</f>
        <v>0</v>
      </c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</row>
    <row r="201" spans="1:31" ht="13.2">
      <c r="A201" s="414"/>
      <c r="B201" s="236">
        <v>171</v>
      </c>
      <c r="C201" s="235" t="s">
        <v>941</v>
      </c>
      <c r="D201" s="235" t="s">
        <v>2177</v>
      </c>
      <c r="E201" s="235" t="s">
        <v>444</v>
      </c>
      <c r="F201" s="265">
        <v>0.5</v>
      </c>
      <c r="G201" s="238">
        <f t="shared" si="27"/>
        <v>3055</v>
      </c>
      <c r="H201" s="237">
        <f t="shared" si="28"/>
        <v>6110</v>
      </c>
      <c r="I201" s="235"/>
      <c r="J201" s="237">
        <f>SUMIF(File1!$D$1:$D$2034,C201,File1!$H$1:$H$2034)</f>
        <v>0</v>
      </c>
      <c r="K201" s="237">
        <f>SUMIF(File1!$D$8:$D$2034,C201,File1!$I$8:$I$2034)</f>
        <v>0</v>
      </c>
      <c r="L201" s="237">
        <f t="shared" si="1"/>
        <v>0</v>
      </c>
      <c r="M201" s="237">
        <f>SUMIF(File1!$D$3:$D$1800,C201,File1!$K$3:$L$1800)</f>
        <v>0</v>
      </c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</row>
    <row r="202" spans="1:31" ht="13.2">
      <c r="A202" s="414"/>
      <c r="B202" s="236">
        <v>172</v>
      </c>
      <c r="C202" s="235" t="s">
        <v>943</v>
      </c>
      <c r="D202" s="235" t="s">
        <v>2178</v>
      </c>
      <c r="E202" s="235" t="s">
        <v>444</v>
      </c>
      <c r="F202" s="265">
        <v>0.5</v>
      </c>
      <c r="G202" s="238">
        <f t="shared" si="27"/>
        <v>3055</v>
      </c>
      <c r="H202" s="237">
        <f t="shared" si="28"/>
        <v>6110</v>
      </c>
      <c r="I202" s="235"/>
      <c r="J202" s="237">
        <f>SUMIF(File1!$D$1:$D$2034,C202,File1!$H$1:$H$2034)</f>
        <v>0</v>
      </c>
      <c r="K202" s="237">
        <f>SUMIF(File1!$D$8:$D$2034,C202,File1!$I$8:$I$2034)</f>
        <v>0</v>
      </c>
      <c r="L202" s="237">
        <f t="shared" si="1"/>
        <v>0</v>
      </c>
      <c r="M202" s="237">
        <f>SUMIF(File1!$D$3:$D$1800,C202,File1!$K$3:$L$1800)</f>
        <v>0</v>
      </c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</row>
    <row r="203" spans="1:31" ht="13.2">
      <c r="A203" s="414"/>
      <c r="B203" s="236">
        <v>173</v>
      </c>
      <c r="C203" s="235" t="s">
        <v>945</v>
      </c>
      <c r="D203" s="235" t="s">
        <v>2179</v>
      </c>
      <c r="E203" s="235" t="s">
        <v>444</v>
      </c>
      <c r="F203" s="265">
        <v>0.5</v>
      </c>
      <c r="G203" s="238">
        <f t="shared" si="27"/>
        <v>3055</v>
      </c>
      <c r="H203" s="237">
        <f t="shared" si="28"/>
        <v>6110</v>
      </c>
      <c r="I203" s="235"/>
      <c r="J203" s="237">
        <f>SUMIF(File1!$D$1:$D$2034,C203,File1!$H$1:$H$2034)</f>
        <v>0</v>
      </c>
      <c r="K203" s="237">
        <f>SUMIF(File1!$D$8:$D$2034,C203,File1!$I$8:$I$2034)</f>
        <v>0</v>
      </c>
      <c r="L203" s="237">
        <f t="shared" si="1"/>
        <v>0</v>
      </c>
      <c r="M203" s="237">
        <f>SUMIF(File1!$D$3:$D$1800,C203,File1!$K$3:$L$1800)</f>
        <v>0</v>
      </c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</row>
    <row r="204" spans="1:31" ht="13.2">
      <c r="A204" s="414"/>
      <c r="B204" s="236">
        <v>174</v>
      </c>
      <c r="C204" s="235" t="s">
        <v>947</v>
      </c>
      <c r="D204" s="235" t="s">
        <v>2180</v>
      </c>
      <c r="E204" s="235" t="s">
        <v>444</v>
      </c>
      <c r="F204" s="265">
        <v>0.5</v>
      </c>
      <c r="G204" s="238">
        <f t="shared" si="27"/>
        <v>3055</v>
      </c>
      <c r="H204" s="237">
        <f t="shared" si="28"/>
        <v>6110</v>
      </c>
      <c r="I204" s="235"/>
      <c r="J204" s="237">
        <f>SUMIF(File1!$D$1:$D$2034,C204,File1!$H$1:$H$2034)</f>
        <v>0</v>
      </c>
      <c r="K204" s="237">
        <f>SUMIF(File1!$D$8:$D$2034,C204,File1!$I$8:$I$2034)</f>
        <v>0</v>
      </c>
      <c r="L204" s="237">
        <f t="shared" si="1"/>
        <v>0</v>
      </c>
      <c r="M204" s="237">
        <f>SUMIF(File1!$D$3:$D$1800,C204,File1!$K$3:$L$1800)</f>
        <v>0</v>
      </c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</row>
    <row r="205" spans="1:31" ht="13.2">
      <c r="A205" s="414"/>
      <c r="B205" s="236">
        <v>175</v>
      </c>
      <c r="C205" s="235" t="s">
        <v>949</v>
      </c>
      <c r="D205" s="235" t="s">
        <v>2181</v>
      </c>
      <c r="E205" s="235" t="s">
        <v>444</v>
      </c>
      <c r="F205" s="265">
        <v>0.5</v>
      </c>
      <c r="G205" s="238">
        <f t="shared" si="27"/>
        <v>3055</v>
      </c>
      <c r="H205" s="237">
        <f t="shared" si="28"/>
        <v>6110</v>
      </c>
      <c r="I205" s="235"/>
      <c r="J205" s="237">
        <f>SUMIF(File1!$D$1:$D$2034,C205,File1!$H$1:$H$2034)</f>
        <v>0</v>
      </c>
      <c r="K205" s="237">
        <f>SUMIF(File1!$D$8:$D$2034,C205,File1!$I$8:$I$2034)</f>
        <v>0</v>
      </c>
      <c r="L205" s="237">
        <f t="shared" si="1"/>
        <v>0</v>
      </c>
      <c r="M205" s="237">
        <f>SUMIF(File1!$D$3:$D$1800,C205,File1!$K$3:$L$1800)</f>
        <v>0</v>
      </c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</row>
    <row r="206" spans="1:31" ht="13.2">
      <c r="A206" s="414"/>
      <c r="B206" s="236">
        <v>176</v>
      </c>
      <c r="C206" s="235" t="s">
        <v>951</v>
      </c>
      <c r="D206" s="235" t="s">
        <v>952</v>
      </c>
      <c r="E206" s="235" t="s">
        <v>444</v>
      </c>
      <c r="F206" s="265">
        <v>0.5</v>
      </c>
      <c r="G206" s="238">
        <f t="shared" si="27"/>
        <v>3055</v>
      </c>
      <c r="H206" s="237">
        <f t="shared" si="28"/>
        <v>6110</v>
      </c>
      <c r="I206" s="235"/>
      <c r="J206" s="237">
        <f>SUMIF(File1!$D$1:$D$2034,C206,File1!$H$1:$H$2034)</f>
        <v>0</v>
      </c>
      <c r="K206" s="237">
        <f>SUMIF(File1!$D$8:$D$2034,C206,File1!$I$8:$I$2034)</f>
        <v>0</v>
      </c>
      <c r="L206" s="237">
        <f t="shared" si="1"/>
        <v>0</v>
      </c>
      <c r="M206" s="237">
        <f>SUMIF(File1!$D$3:$D$1800,C206,File1!$K$3:$L$1800)</f>
        <v>0</v>
      </c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</row>
    <row r="207" spans="1:31" ht="13.2">
      <c r="A207" s="414"/>
      <c r="B207" s="236">
        <v>177</v>
      </c>
      <c r="C207" s="235" t="s">
        <v>953</v>
      </c>
      <c r="D207" s="235" t="s">
        <v>954</v>
      </c>
      <c r="E207" s="235" t="s">
        <v>444</v>
      </c>
      <c r="F207" s="265">
        <v>0.5</v>
      </c>
      <c r="G207" s="238">
        <f t="shared" si="27"/>
        <v>3055</v>
      </c>
      <c r="H207" s="237">
        <f t="shared" si="28"/>
        <v>6110</v>
      </c>
      <c r="I207" s="235"/>
      <c r="J207" s="237">
        <f>SUMIF(File1!$D$1:$D$2034,C207,File1!$H$1:$H$2034)</f>
        <v>0</v>
      </c>
      <c r="K207" s="237">
        <f>SUMIF(File1!$D$8:$D$2034,C207,File1!$I$8:$I$2034)</f>
        <v>0</v>
      </c>
      <c r="L207" s="237">
        <f t="shared" si="1"/>
        <v>0</v>
      </c>
      <c r="M207" s="237">
        <f>SUMIF(File1!$D$3:$D$1800,C207,File1!$K$3:$L$1800)</f>
        <v>0</v>
      </c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</row>
    <row r="208" spans="1:31" ht="13.2">
      <c r="A208" s="414"/>
      <c r="B208" s="236">
        <v>178</v>
      </c>
      <c r="C208" s="235" t="s">
        <v>955</v>
      </c>
      <c r="D208" s="235" t="s">
        <v>956</v>
      </c>
      <c r="E208" s="235" t="s">
        <v>444</v>
      </c>
      <c r="F208" s="265">
        <v>0.5</v>
      </c>
      <c r="G208" s="238">
        <f t="shared" si="27"/>
        <v>3055</v>
      </c>
      <c r="H208" s="237">
        <f t="shared" si="28"/>
        <v>6110</v>
      </c>
      <c r="I208" s="235"/>
      <c r="J208" s="237">
        <f>SUMIF(File1!$D$1:$D$2034,C208,File1!$H$1:$H$2034)</f>
        <v>0</v>
      </c>
      <c r="K208" s="237">
        <f>SUMIF(File1!$D$8:$D$2034,C208,File1!$I$8:$I$2034)</f>
        <v>0</v>
      </c>
      <c r="L208" s="237">
        <f t="shared" si="1"/>
        <v>0</v>
      </c>
      <c r="M208" s="237">
        <f>SUMIF(File1!$D$3:$D$1800,C208,File1!$K$3:$L$1800)</f>
        <v>0</v>
      </c>
      <c r="N208" s="248">
        <f>G217*J217+G218*J218+G219*J219+G220*J220+G221*J221+G222*J222</f>
        <v>1288274</v>
      </c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</row>
    <row r="209" spans="1:31" ht="13.2">
      <c r="A209" s="270"/>
      <c r="B209" s="235"/>
      <c r="C209" s="235" t="s">
        <v>957</v>
      </c>
      <c r="D209" s="235" t="s">
        <v>2182</v>
      </c>
      <c r="E209" s="235" t="s">
        <v>444</v>
      </c>
      <c r="F209" s="267"/>
      <c r="G209" s="268"/>
      <c r="H209" s="235"/>
      <c r="I209" s="235"/>
      <c r="J209" s="237">
        <f>SUMIF(File1!$D$1:$D$2034,C209,File1!$H$1:$H$2034)</f>
        <v>4</v>
      </c>
      <c r="K209" s="237">
        <f>SUMIF(File1!$D$8:$D$2034,C209,File1!$I$8:$I$2034)</f>
        <v>0</v>
      </c>
      <c r="L209" s="237">
        <f t="shared" si="1"/>
        <v>4</v>
      </c>
      <c r="M209" s="237">
        <f>SUMIF(File1!$D$3:$D$1800,C209,File1!$K$3:$L$1800)</f>
        <v>0</v>
      </c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</row>
    <row r="210" spans="1:31" ht="13.2">
      <c r="A210" s="270"/>
      <c r="B210" s="235"/>
      <c r="C210" s="235" t="s">
        <v>959</v>
      </c>
      <c r="D210" s="235" t="s">
        <v>2183</v>
      </c>
      <c r="E210" s="235" t="s">
        <v>444</v>
      </c>
      <c r="F210" s="267"/>
      <c r="G210" s="268"/>
      <c r="H210" s="235"/>
      <c r="I210" s="235"/>
      <c r="J210" s="237">
        <f>SUMIF(File1!$D$1:$D$2034,C210,File1!$H$1:$H$2034)</f>
        <v>4</v>
      </c>
      <c r="K210" s="237">
        <f>SUMIF(File1!$D$8:$D$2034,C210,File1!$I$8:$I$2034)</f>
        <v>0</v>
      </c>
      <c r="L210" s="237">
        <f t="shared" si="1"/>
        <v>4</v>
      </c>
      <c r="M210" s="237">
        <f>SUMIF(File1!$D$3:$D$1800,C210,File1!$K$3:$L$1800)</f>
        <v>0</v>
      </c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</row>
    <row r="211" spans="1:31" ht="13.2">
      <c r="A211" s="270"/>
      <c r="B211" s="235"/>
      <c r="C211" s="235" t="s">
        <v>961</v>
      </c>
      <c r="D211" s="235" t="s">
        <v>2184</v>
      </c>
      <c r="E211" s="235" t="s">
        <v>444</v>
      </c>
      <c r="F211" s="267"/>
      <c r="G211" s="268"/>
      <c r="H211" s="235"/>
      <c r="I211" s="235"/>
      <c r="J211" s="237">
        <f>SUMIF(File1!$D$1:$D$2034,C211,File1!$H$1:$H$2034)</f>
        <v>4</v>
      </c>
      <c r="K211" s="237">
        <f>SUMIF(File1!$D$8:$D$2034,C211,File1!$I$8:$I$2034)</f>
        <v>0</v>
      </c>
      <c r="L211" s="237">
        <f t="shared" si="1"/>
        <v>4</v>
      </c>
      <c r="M211" s="237">
        <f>SUMIF(File1!$D$3:$D$1800,C211,File1!$K$3:$L$1800)</f>
        <v>0</v>
      </c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</row>
    <row r="212" spans="1:31" ht="13.2">
      <c r="A212" s="270"/>
      <c r="B212" s="235"/>
      <c r="C212" s="235" t="s">
        <v>963</v>
      </c>
      <c r="D212" s="235" t="s">
        <v>2185</v>
      </c>
      <c r="E212" s="235" t="s">
        <v>444</v>
      </c>
      <c r="F212" s="267"/>
      <c r="G212" s="268"/>
      <c r="H212" s="235"/>
      <c r="I212" s="235"/>
      <c r="J212" s="237">
        <f>SUMIF(File1!$D$1:$D$2034,C212,File1!$H$1:$H$2034)</f>
        <v>4</v>
      </c>
      <c r="K212" s="237">
        <f>SUMIF(File1!$D$8:$D$2034,C212,File1!$I$8:$I$2034)</f>
        <v>0</v>
      </c>
      <c r="L212" s="237">
        <f t="shared" si="1"/>
        <v>4</v>
      </c>
      <c r="M212" s="237">
        <f>SUMIF(File1!$D$3:$D$1800,C212,File1!$K$3:$L$1800)</f>
        <v>0</v>
      </c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</row>
    <row r="213" spans="1:31" ht="13.2">
      <c r="A213" s="270"/>
      <c r="B213" s="235"/>
      <c r="C213" s="235" t="s">
        <v>965</v>
      </c>
      <c r="D213" s="235" t="s">
        <v>2186</v>
      </c>
      <c r="E213" s="235" t="s">
        <v>444</v>
      </c>
      <c r="F213" s="267"/>
      <c r="G213" s="268"/>
      <c r="H213" s="235"/>
      <c r="I213" s="235"/>
      <c r="J213" s="237">
        <f>SUMIF(File1!$D$1:$D$2034,C213,File1!$H$1:$H$2034)</f>
        <v>3</v>
      </c>
      <c r="K213" s="237">
        <f>SUMIF(File1!$D$8:$D$2034,C213,File1!$I$8:$I$2034)</f>
        <v>0</v>
      </c>
      <c r="L213" s="237">
        <f t="shared" si="1"/>
        <v>3</v>
      </c>
      <c r="M213" s="237">
        <f>SUMIF(File1!$D$3:$D$1800,C213,File1!$K$3:$L$1800)</f>
        <v>0</v>
      </c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</row>
    <row r="214" spans="1:31" ht="13.2">
      <c r="A214" s="270"/>
      <c r="B214" s="235"/>
      <c r="C214" s="235" t="s">
        <v>967</v>
      </c>
      <c r="D214" s="235" t="s">
        <v>968</v>
      </c>
      <c r="E214" s="235" t="s">
        <v>444</v>
      </c>
      <c r="F214" s="267"/>
      <c r="G214" s="268"/>
      <c r="H214" s="235"/>
      <c r="I214" s="235"/>
      <c r="J214" s="237">
        <f>SUMIF(File1!$D$1:$D$2034,C214,File1!$H$1:$H$2034)</f>
        <v>3</v>
      </c>
      <c r="K214" s="237">
        <f>SUMIF(File1!$D$8:$D$2034,C214,File1!$I$8:$I$2034)</f>
        <v>0</v>
      </c>
      <c r="L214" s="237">
        <f t="shared" si="1"/>
        <v>3</v>
      </c>
      <c r="M214" s="237">
        <f>SUMIF(File1!$D$3:$D$1800,C214,File1!$K$3:$L$1800)</f>
        <v>0</v>
      </c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</row>
    <row r="215" spans="1:31" ht="13.2">
      <c r="A215" s="270"/>
      <c r="B215" s="235"/>
      <c r="C215" s="235"/>
      <c r="D215" s="235"/>
      <c r="E215" s="235"/>
      <c r="F215" s="267"/>
      <c r="G215" s="268"/>
      <c r="H215" s="235"/>
      <c r="I215" s="235"/>
      <c r="J215" s="237">
        <f>SUMIF(File1!$D$1:$D$2034,C215,File1!$H$1:$H$2034)</f>
        <v>0</v>
      </c>
      <c r="K215" s="237">
        <f>SUMIF(File1!$D$8:$D$2034,C215,File1!$I$8:$I$2034)</f>
        <v>0</v>
      </c>
      <c r="L215" s="237">
        <f t="shared" si="1"/>
        <v>0</v>
      </c>
      <c r="M215" s="237">
        <f>SUMIF(File1!$D$3:$D$1800,C215,File1!$K$3:$L$1800)</f>
        <v>0</v>
      </c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</row>
    <row r="216" spans="1:31" ht="13.2">
      <c r="A216" s="270"/>
      <c r="B216" s="235"/>
      <c r="C216" s="235"/>
      <c r="D216" s="235"/>
      <c r="E216" s="235"/>
      <c r="F216" s="267"/>
      <c r="G216" s="268"/>
      <c r="H216" s="235"/>
      <c r="I216" s="235"/>
      <c r="J216" s="237">
        <f>SUMIF(File1!$D$1:$D$2034,C216,File1!$H$1:$H$2034)</f>
        <v>0</v>
      </c>
      <c r="K216" s="237">
        <f>SUMIF(File1!$D$8:$D$2034,C216,File1!$I$8:$I$2034)</f>
        <v>0</v>
      </c>
      <c r="L216" s="237">
        <f t="shared" si="1"/>
        <v>0</v>
      </c>
      <c r="M216" s="237">
        <f>SUMIF(File1!$D$3:$D$1800,C216,File1!$K$3:$L$1800)</f>
        <v>0</v>
      </c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</row>
    <row r="217" spans="1:31" ht="13.2">
      <c r="A217" s="420" t="s">
        <v>343</v>
      </c>
      <c r="B217" s="236">
        <v>179</v>
      </c>
      <c r="C217" s="235" t="s">
        <v>977</v>
      </c>
      <c r="D217" s="235" t="s">
        <v>978</v>
      </c>
      <c r="E217" s="235" t="s">
        <v>444</v>
      </c>
      <c r="F217" s="265">
        <v>6.8</v>
      </c>
      <c r="G217" s="238">
        <f t="shared" ref="G217:G222" si="29">F217*3510+1300</f>
        <v>25168</v>
      </c>
      <c r="H217" s="237">
        <f t="shared" ref="H217:H222" si="30">G217*2</f>
        <v>50336</v>
      </c>
      <c r="I217" s="235"/>
      <c r="J217" s="237">
        <f>SUMIF(File1!$D$1:$D$2034,C217,File1!$H$1:$H$2034)</f>
        <v>22</v>
      </c>
      <c r="K217" s="237">
        <f>SUMIF(File1!$D$8:$D$2034,C217,File1!$I$8:$I$2034)</f>
        <v>39</v>
      </c>
      <c r="L217" s="237">
        <f t="shared" si="1"/>
        <v>-17</v>
      </c>
      <c r="M217" s="237">
        <f>SUMIF(File1!$D$3:$D$1800,C217,File1!$K$3:$L$1800)</f>
        <v>1754989</v>
      </c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</row>
    <row r="218" spans="1:31" ht="13.2">
      <c r="A218" s="414"/>
      <c r="B218" s="236">
        <v>180</v>
      </c>
      <c r="C218" s="235" t="s">
        <v>979</v>
      </c>
      <c r="D218" s="235" t="s">
        <v>980</v>
      </c>
      <c r="E218" s="235" t="s">
        <v>444</v>
      </c>
      <c r="F218" s="265">
        <v>5.8</v>
      </c>
      <c r="G218" s="238">
        <f t="shared" si="29"/>
        <v>21658</v>
      </c>
      <c r="H218" s="237">
        <f t="shared" si="30"/>
        <v>43316</v>
      </c>
      <c r="I218" s="235"/>
      <c r="J218" s="237">
        <f>SUMIF(File1!$D$1:$D$2034,C218,File1!$H$1:$H$2034)</f>
        <v>13</v>
      </c>
      <c r="K218" s="237">
        <f>SUMIF(File1!$D$8:$D$2034,C218,File1!$I$8:$I$2034)</f>
        <v>1</v>
      </c>
      <c r="L218" s="237">
        <f t="shared" si="1"/>
        <v>12</v>
      </c>
      <c r="M218" s="237">
        <f>SUMIF(File1!$D$3:$D$1800,C218,File1!$K$3:$L$1800)</f>
        <v>35000</v>
      </c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</row>
    <row r="219" spans="1:31" ht="13.2">
      <c r="A219" s="414"/>
      <c r="B219" s="236">
        <v>181</v>
      </c>
      <c r="C219" s="235" t="s">
        <v>981</v>
      </c>
      <c r="D219" s="235" t="s">
        <v>982</v>
      </c>
      <c r="E219" s="235" t="s">
        <v>444</v>
      </c>
      <c r="F219" s="265">
        <v>6.8</v>
      </c>
      <c r="G219" s="238">
        <f t="shared" si="29"/>
        <v>25168</v>
      </c>
      <c r="H219" s="237">
        <f t="shared" si="30"/>
        <v>50336</v>
      </c>
      <c r="I219" s="235"/>
      <c r="J219" s="237">
        <f>SUMIF(File1!$D$1:$D$2034,C219,File1!$H$1:$H$2034)</f>
        <v>9</v>
      </c>
      <c r="K219" s="237">
        <f>SUMIF(File1!$D$8:$D$2034,C219,File1!$I$8:$I$2034)</f>
        <v>15</v>
      </c>
      <c r="L219" s="237">
        <f t="shared" si="1"/>
        <v>-6</v>
      </c>
      <c r="M219" s="237">
        <f>SUMIF(File1!$D$3:$D$1800,C219,File1!$K$3:$L$1800)</f>
        <v>671890</v>
      </c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</row>
    <row r="220" spans="1:31" ht="13.2">
      <c r="A220" s="414"/>
      <c r="B220" s="236">
        <v>182</v>
      </c>
      <c r="C220" s="235" t="s">
        <v>983</v>
      </c>
      <c r="D220" s="235" t="s">
        <v>984</v>
      </c>
      <c r="E220" s="235" t="s">
        <v>444</v>
      </c>
      <c r="F220" s="265">
        <v>6.8</v>
      </c>
      <c r="G220" s="238">
        <f t="shared" si="29"/>
        <v>25168</v>
      </c>
      <c r="H220" s="237">
        <f t="shared" si="30"/>
        <v>50336</v>
      </c>
      <c r="I220" s="235"/>
      <c r="J220" s="237">
        <f>SUMIF(File1!$D$1:$D$2034,C220,File1!$H$1:$H$2034)</f>
        <v>9</v>
      </c>
      <c r="K220" s="237">
        <f>SUMIF(File1!$D$8:$D$2034,C220,File1!$I$8:$I$2034)</f>
        <v>9</v>
      </c>
      <c r="L220" s="237">
        <f t="shared" si="1"/>
        <v>0</v>
      </c>
      <c r="M220" s="237">
        <f>SUMIF(File1!$D$3:$D$1800,C220,File1!$K$3:$L$1800)</f>
        <v>414600</v>
      </c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</row>
    <row r="221" spans="1:31" ht="13.2">
      <c r="A221" s="414"/>
      <c r="B221" s="236">
        <v>183</v>
      </c>
      <c r="C221" s="235" t="s">
        <v>985</v>
      </c>
      <c r="D221" s="235" t="s">
        <v>986</v>
      </c>
      <c r="E221" s="235" t="s">
        <v>444</v>
      </c>
      <c r="F221" s="265">
        <v>6.8</v>
      </c>
      <c r="G221" s="238">
        <f t="shared" si="29"/>
        <v>25168</v>
      </c>
      <c r="H221" s="237">
        <f t="shared" si="30"/>
        <v>50336</v>
      </c>
      <c r="I221" s="235"/>
      <c r="J221" s="237">
        <f>SUMIF(File1!$D$1:$D$2034,C221,File1!$H$1:$H$2034)</f>
        <v>0</v>
      </c>
      <c r="K221" s="237">
        <f>SUMIF(File1!$D$8:$D$2034,C221,File1!$I$8:$I$2034)</f>
        <v>0</v>
      </c>
      <c r="L221" s="237">
        <f t="shared" si="1"/>
        <v>0</v>
      </c>
      <c r="M221" s="237">
        <f>SUMIF(File1!$D$3:$D$1800,C221,File1!$K$3:$L$1800)</f>
        <v>0</v>
      </c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</row>
    <row r="222" spans="1:31" ht="13.2">
      <c r="A222" s="414"/>
      <c r="B222" s="236">
        <v>184</v>
      </c>
      <c r="C222" s="235" t="s">
        <v>987</v>
      </c>
      <c r="D222" s="235" t="s">
        <v>988</v>
      </c>
      <c r="E222" s="235" t="s">
        <v>444</v>
      </c>
      <c r="F222" s="265">
        <v>6.8</v>
      </c>
      <c r="G222" s="238">
        <f t="shared" si="29"/>
        <v>25168</v>
      </c>
      <c r="H222" s="237">
        <f t="shared" si="30"/>
        <v>50336</v>
      </c>
      <c r="I222" s="235"/>
      <c r="J222" s="237">
        <f>SUMIF(File1!$D$1:$D$2034,C222,File1!$H$1:$H$2034)</f>
        <v>0</v>
      </c>
      <c r="K222" s="237">
        <f>SUMIF(File1!$D$8:$D$2034,C222,File1!$I$8:$I$2034)</f>
        <v>0</v>
      </c>
      <c r="L222" s="237">
        <f t="shared" si="1"/>
        <v>0</v>
      </c>
      <c r="M222" s="237">
        <f>SUMIF(File1!$D$3:$D$1800,C222,File1!$K$3:$L$1800)</f>
        <v>0</v>
      </c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</row>
    <row r="223" spans="1:31" ht="13.2">
      <c r="A223" s="246"/>
      <c r="B223" s="236">
        <v>185</v>
      </c>
      <c r="C223" s="235" t="s">
        <v>995</v>
      </c>
      <c r="D223" s="235" t="s">
        <v>996</v>
      </c>
      <c r="E223" s="235" t="s">
        <v>444</v>
      </c>
      <c r="F223" s="267"/>
      <c r="G223" s="268"/>
      <c r="H223" s="235"/>
      <c r="I223" s="235"/>
      <c r="J223" s="237">
        <f>SUMIF(File1!$D$1:$D$2034,C223,File1!$H$1:$H$2034)</f>
        <v>8</v>
      </c>
      <c r="K223" s="237">
        <f>SUMIF(File1!$D$8:$D$2034,C223,File1!$I$8:$I$2034)</f>
        <v>0</v>
      </c>
      <c r="L223" s="237">
        <f t="shared" si="1"/>
        <v>8</v>
      </c>
      <c r="M223" s="237">
        <f>SUMIF(File1!$D$3:$D$1800,C223,File1!$K$3:$L$1800)</f>
        <v>0</v>
      </c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</row>
    <row r="224" spans="1:31" ht="13.2">
      <c r="A224" s="246"/>
      <c r="B224" s="236">
        <v>186</v>
      </c>
      <c r="C224" s="235" t="s">
        <v>997</v>
      </c>
      <c r="D224" s="235" t="s">
        <v>998</v>
      </c>
      <c r="E224" s="235" t="s">
        <v>444</v>
      </c>
      <c r="F224" s="267"/>
      <c r="G224" s="268"/>
      <c r="H224" s="235"/>
      <c r="I224" s="235"/>
      <c r="J224" s="237">
        <f>SUMIF(File1!$D$1:$D$2034,C224,File1!$H$1:$H$2034)</f>
        <v>8</v>
      </c>
      <c r="K224" s="237">
        <f>SUMIF(File1!$D$8:$D$2034,C224,File1!$I$8:$I$2034)</f>
        <v>1</v>
      </c>
      <c r="L224" s="237">
        <f t="shared" si="1"/>
        <v>7</v>
      </c>
      <c r="M224" s="237">
        <f>SUMIF(File1!$D$3:$D$1800,C224,File1!$K$3:$L$1800)</f>
        <v>29093</v>
      </c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</row>
    <row r="225" spans="1:31" ht="13.2">
      <c r="A225" s="246"/>
      <c r="B225" s="236">
        <v>187</v>
      </c>
      <c r="C225" s="235" t="s">
        <v>999</v>
      </c>
      <c r="D225" s="235" t="s">
        <v>1000</v>
      </c>
      <c r="E225" s="235" t="s">
        <v>444</v>
      </c>
      <c r="F225" s="267"/>
      <c r="G225" s="268"/>
      <c r="H225" s="235"/>
      <c r="I225" s="235"/>
      <c r="J225" s="237">
        <f>SUMIF(File1!$D$1:$D$2034,C225,File1!$H$1:$H$2034)</f>
        <v>8</v>
      </c>
      <c r="K225" s="237">
        <f>SUMIF(File1!$D$8:$D$2034,C225,File1!$I$8:$I$2034)</f>
        <v>0</v>
      </c>
      <c r="L225" s="237">
        <f t="shared" si="1"/>
        <v>8</v>
      </c>
      <c r="M225" s="237">
        <f>SUMIF(File1!$D$3:$D$1800,C225,File1!$K$3:$L$1800)</f>
        <v>0</v>
      </c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</row>
    <row r="226" spans="1:31" ht="13.2">
      <c r="A226" s="246"/>
      <c r="B226" s="236">
        <v>188</v>
      </c>
      <c r="C226" s="235" t="s">
        <v>1001</v>
      </c>
      <c r="D226" s="235" t="s">
        <v>1002</v>
      </c>
      <c r="E226" s="235" t="s">
        <v>444</v>
      </c>
      <c r="F226" s="267"/>
      <c r="G226" s="268"/>
      <c r="H226" s="235"/>
      <c r="I226" s="235"/>
      <c r="J226" s="237">
        <f>SUMIF(File1!$D$1:$D$2034,C226,File1!$H$1:$H$2034)</f>
        <v>8</v>
      </c>
      <c r="K226" s="237">
        <f>SUMIF(File1!$D$8:$D$2034,C226,File1!$I$8:$I$2034)</f>
        <v>0</v>
      </c>
      <c r="L226" s="237">
        <f t="shared" si="1"/>
        <v>8</v>
      </c>
      <c r="M226" s="237">
        <f>SUMIF(File1!$D$3:$D$1800,C226,File1!$K$3:$L$1800)</f>
        <v>0</v>
      </c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</row>
    <row r="227" spans="1:31" ht="13.2">
      <c r="A227" s="246"/>
      <c r="B227" s="236">
        <v>189</v>
      </c>
      <c r="C227" s="235" t="s">
        <v>1003</v>
      </c>
      <c r="D227" s="235" t="s">
        <v>1004</v>
      </c>
      <c r="E227" s="235" t="s">
        <v>444</v>
      </c>
      <c r="F227" s="267"/>
      <c r="G227" s="268"/>
      <c r="H227" s="235"/>
      <c r="I227" s="235"/>
      <c r="J227" s="237">
        <f>SUMIF(File1!$D$1:$D$2034,C227,File1!$H$1:$H$2034)</f>
        <v>0</v>
      </c>
      <c r="K227" s="237">
        <f>SUMIF(File1!$D$8:$D$2034,C227,File1!$I$8:$I$2034)</f>
        <v>0</v>
      </c>
      <c r="L227" s="237">
        <f t="shared" si="1"/>
        <v>0</v>
      </c>
      <c r="M227" s="237">
        <f>SUMIF(File1!$D$3:$D$1800,C227,File1!$K$3:$L$1800)</f>
        <v>0</v>
      </c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</row>
    <row r="228" spans="1:31" ht="13.2">
      <c r="A228" s="246"/>
      <c r="B228" s="236">
        <v>190</v>
      </c>
      <c r="C228" s="235" t="s">
        <v>1005</v>
      </c>
      <c r="D228" s="235" t="s">
        <v>1006</v>
      </c>
      <c r="E228" s="235" t="s">
        <v>444</v>
      </c>
      <c r="F228" s="267"/>
      <c r="G228" s="268"/>
      <c r="H228" s="235"/>
      <c r="I228" s="235"/>
      <c r="J228" s="237">
        <f>SUMIF(File1!$D$1:$D$2034,C228,File1!$H$1:$H$2034)</f>
        <v>7</v>
      </c>
      <c r="K228" s="237">
        <f>SUMIF(File1!$D$8:$D$2034,C228,File1!$I$8:$I$2034)</f>
        <v>0</v>
      </c>
      <c r="L228" s="237">
        <f t="shared" si="1"/>
        <v>7</v>
      </c>
      <c r="M228" s="237">
        <f>SUMIF(File1!$D$3:$D$1800,C228,File1!$K$3:$L$1800)</f>
        <v>0</v>
      </c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</row>
    <row r="229" spans="1:31" ht="13.2">
      <c r="A229" s="246"/>
      <c r="B229" s="236">
        <v>191</v>
      </c>
      <c r="C229" s="235" t="s">
        <v>1007</v>
      </c>
      <c r="D229" s="235" t="s">
        <v>1008</v>
      </c>
      <c r="E229" s="235" t="s">
        <v>444</v>
      </c>
      <c r="F229" s="267"/>
      <c r="G229" s="268"/>
      <c r="H229" s="235"/>
      <c r="I229" s="235"/>
      <c r="J229" s="237">
        <f>SUMIF(File1!$D$1:$D$2034,C229,File1!$H$1:$H$2034)</f>
        <v>7</v>
      </c>
      <c r="K229" s="237">
        <f>SUMIF(File1!$D$8:$D$2034,C229,File1!$I$8:$I$2034)</f>
        <v>0</v>
      </c>
      <c r="L229" s="237">
        <f t="shared" si="1"/>
        <v>7</v>
      </c>
      <c r="M229" s="237">
        <f>SUMIF(File1!$D$3:$D$1800,C229,File1!$K$3:$L$1800)</f>
        <v>0</v>
      </c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</row>
    <row r="230" spans="1:31" ht="13.2">
      <c r="A230" s="246"/>
      <c r="B230" s="236">
        <v>192</v>
      </c>
      <c r="C230" s="235" t="s">
        <v>1009</v>
      </c>
      <c r="D230" s="235" t="s">
        <v>1010</v>
      </c>
      <c r="E230" s="235" t="s">
        <v>444</v>
      </c>
      <c r="F230" s="267"/>
      <c r="G230" s="268"/>
      <c r="H230" s="235"/>
      <c r="I230" s="235"/>
      <c r="J230" s="237">
        <f>SUMIF(File1!$D$1:$D$2034,C230,File1!$H$1:$H$2034)</f>
        <v>7</v>
      </c>
      <c r="K230" s="237">
        <f>SUMIF(File1!$D$8:$D$2034,C230,File1!$I$8:$I$2034)</f>
        <v>0</v>
      </c>
      <c r="L230" s="237">
        <f t="shared" si="1"/>
        <v>7</v>
      </c>
      <c r="M230" s="237">
        <f>SUMIF(File1!$D$3:$D$1800,C230,File1!$K$3:$L$1800)</f>
        <v>0</v>
      </c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</row>
    <row r="231" spans="1:31" ht="13.2">
      <c r="A231" s="246"/>
      <c r="B231" s="236">
        <v>193</v>
      </c>
      <c r="C231" s="235" t="s">
        <v>1011</v>
      </c>
      <c r="D231" s="235" t="s">
        <v>1012</v>
      </c>
      <c r="E231" s="235" t="s">
        <v>444</v>
      </c>
      <c r="F231" s="267"/>
      <c r="G231" s="268"/>
      <c r="H231" s="235"/>
      <c r="I231" s="235"/>
      <c r="J231" s="237">
        <f>SUMIF(File1!$D$1:$D$2034,C231,File1!$H$1:$H$2034)</f>
        <v>7</v>
      </c>
      <c r="K231" s="237">
        <f>SUMIF(File1!$D$8:$D$2034,C231,File1!$I$8:$I$2034)</f>
        <v>0</v>
      </c>
      <c r="L231" s="237">
        <f t="shared" si="1"/>
        <v>7</v>
      </c>
      <c r="M231" s="237">
        <f>SUMIF(File1!$D$3:$D$1800,C231,File1!$K$3:$L$1800)</f>
        <v>0</v>
      </c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</row>
    <row r="232" spans="1:31" ht="13.2">
      <c r="A232" s="246"/>
      <c r="B232" s="236">
        <v>194</v>
      </c>
      <c r="C232" s="235" t="s">
        <v>1013</v>
      </c>
      <c r="D232" s="235" t="s">
        <v>1014</v>
      </c>
      <c r="E232" s="235" t="s">
        <v>444</v>
      </c>
      <c r="F232" s="267"/>
      <c r="G232" s="268"/>
      <c r="H232" s="235"/>
      <c r="I232" s="235"/>
      <c r="J232" s="237">
        <f>SUMIF(File1!$D$1:$D$2034,C232,File1!$H$1:$H$2034)</f>
        <v>7</v>
      </c>
      <c r="K232" s="237">
        <f>SUMIF(File1!$D$8:$D$2034,C232,File1!$I$8:$I$2034)</f>
        <v>0</v>
      </c>
      <c r="L232" s="237">
        <f t="shared" si="1"/>
        <v>7</v>
      </c>
      <c r="M232" s="237">
        <f>SUMIF(File1!$D$3:$D$1800,C232,File1!$K$3:$L$1800)</f>
        <v>0</v>
      </c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</row>
    <row r="233" spans="1:31" ht="13.2">
      <c r="A233" s="246"/>
      <c r="B233" s="236">
        <v>195</v>
      </c>
      <c r="C233" s="235" t="s">
        <v>1015</v>
      </c>
      <c r="D233" s="235" t="s">
        <v>1016</v>
      </c>
      <c r="E233" s="235" t="s">
        <v>444</v>
      </c>
      <c r="F233" s="267"/>
      <c r="G233" s="268"/>
      <c r="H233" s="235"/>
      <c r="I233" s="235"/>
      <c r="J233" s="237">
        <f>SUMIF(File1!$D$1:$D$2034,C233,File1!$H$1:$H$2034)</f>
        <v>6</v>
      </c>
      <c r="K233" s="237">
        <f>SUMIF(File1!$D$8:$D$2034,C233,File1!$I$8:$I$2034)</f>
        <v>0</v>
      </c>
      <c r="L233" s="237">
        <f t="shared" si="1"/>
        <v>6</v>
      </c>
      <c r="M233" s="237">
        <f>SUMIF(File1!$D$3:$D$1800,C233,File1!$K$3:$L$1800)</f>
        <v>0</v>
      </c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</row>
    <row r="234" spans="1:31" ht="13.2">
      <c r="A234" s="246"/>
      <c r="B234" s="236">
        <v>196</v>
      </c>
      <c r="C234" s="235" t="s">
        <v>1017</v>
      </c>
      <c r="D234" s="235" t="s">
        <v>1018</v>
      </c>
      <c r="E234" s="235" t="s">
        <v>444</v>
      </c>
      <c r="F234" s="267"/>
      <c r="G234" s="268"/>
      <c r="H234" s="235"/>
      <c r="I234" s="235"/>
      <c r="J234" s="237">
        <f>SUMIF(File1!$D$1:$D$2034,C234,File1!$H$1:$H$2034)</f>
        <v>6</v>
      </c>
      <c r="K234" s="237">
        <f>SUMIF(File1!$D$8:$D$2034,C234,File1!$I$8:$I$2034)</f>
        <v>0</v>
      </c>
      <c r="L234" s="237">
        <f t="shared" si="1"/>
        <v>6</v>
      </c>
      <c r="M234" s="237">
        <f>SUMIF(File1!$D$3:$D$1800,C234,File1!$K$3:$L$1800)</f>
        <v>0</v>
      </c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</row>
    <row r="235" spans="1:31" ht="13.2">
      <c r="A235" s="246"/>
      <c r="B235" s="236">
        <v>197</v>
      </c>
      <c r="C235" s="235" t="s">
        <v>1019</v>
      </c>
      <c r="D235" s="235" t="s">
        <v>1020</v>
      </c>
      <c r="E235" s="235" t="s">
        <v>444</v>
      </c>
      <c r="F235" s="267"/>
      <c r="G235" s="268"/>
      <c r="H235" s="235"/>
      <c r="I235" s="235"/>
      <c r="J235" s="237">
        <f>SUMIF(File1!$D$1:$D$2034,C235,File1!$H$1:$H$2034)</f>
        <v>6</v>
      </c>
      <c r="K235" s="237">
        <f>SUMIF(File1!$D$8:$D$2034,C235,File1!$I$8:$I$2034)</f>
        <v>0</v>
      </c>
      <c r="L235" s="237">
        <f t="shared" si="1"/>
        <v>6</v>
      </c>
      <c r="M235" s="237">
        <f>SUMIF(File1!$D$3:$D$1800,C235,File1!$K$3:$L$1800)</f>
        <v>0</v>
      </c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</row>
    <row r="236" spans="1:31" ht="13.2">
      <c r="A236" s="246"/>
      <c r="B236" s="236">
        <v>198</v>
      </c>
      <c r="C236" s="235" t="s">
        <v>1021</v>
      </c>
      <c r="D236" s="235" t="s">
        <v>1022</v>
      </c>
      <c r="E236" s="235" t="s">
        <v>444</v>
      </c>
      <c r="F236" s="267"/>
      <c r="G236" s="268"/>
      <c r="H236" s="235"/>
      <c r="I236" s="235"/>
      <c r="J236" s="237">
        <f>SUMIF(File1!$D$1:$D$2034,C236,File1!$H$1:$H$2034)</f>
        <v>6</v>
      </c>
      <c r="K236" s="237">
        <f>SUMIF(File1!$D$8:$D$2034,C236,File1!$I$8:$I$2034)</f>
        <v>0</v>
      </c>
      <c r="L236" s="237">
        <f t="shared" si="1"/>
        <v>6</v>
      </c>
      <c r="M236" s="237">
        <f>SUMIF(File1!$D$3:$D$1800,C236,File1!$K$3:$L$1800)</f>
        <v>0</v>
      </c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</row>
    <row r="237" spans="1:31" ht="13.2">
      <c r="A237" s="246"/>
      <c r="B237" s="236">
        <v>199</v>
      </c>
      <c r="C237" s="235" t="s">
        <v>1023</v>
      </c>
      <c r="D237" s="235" t="s">
        <v>1024</v>
      </c>
      <c r="E237" s="235" t="s">
        <v>444</v>
      </c>
      <c r="F237" s="267"/>
      <c r="G237" s="268"/>
      <c r="H237" s="235"/>
      <c r="I237" s="235"/>
      <c r="J237" s="237">
        <f>SUMIF(File1!$D$1:$D$2034,C237,File1!$H$1:$H$2034)</f>
        <v>6</v>
      </c>
      <c r="K237" s="237">
        <f>SUMIF(File1!$D$8:$D$2034,C237,File1!$I$8:$I$2034)</f>
        <v>0</v>
      </c>
      <c r="L237" s="237">
        <f t="shared" si="1"/>
        <v>6</v>
      </c>
      <c r="M237" s="237">
        <f>SUMIF(File1!$D$3:$D$1800,C237,File1!$K$3:$L$1800)</f>
        <v>0</v>
      </c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</row>
    <row r="238" spans="1:31" ht="13.2">
      <c r="A238" s="246"/>
      <c r="B238" s="235"/>
      <c r="C238" s="235" t="s">
        <v>1025</v>
      </c>
      <c r="D238" s="235" t="s">
        <v>1026</v>
      </c>
      <c r="E238" s="235" t="s">
        <v>444</v>
      </c>
      <c r="F238" s="267"/>
      <c r="G238" s="268"/>
      <c r="H238" s="235"/>
      <c r="I238" s="235"/>
      <c r="J238" s="237">
        <f>SUMIF(File1!$D$1:$D$2034,C238,File1!$H$1:$H$2034)</f>
        <v>9</v>
      </c>
      <c r="K238" s="237">
        <f>SUMIF(File1!$D$8:$D$2034,C238,File1!$I$8:$I$2034)</f>
        <v>0</v>
      </c>
      <c r="L238" s="237">
        <f t="shared" si="1"/>
        <v>9</v>
      </c>
      <c r="M238" s="237">
        <f>SUMIF(File1!$D$3:$D$1800,C238,File1!$K$3:$L$1800)</f>
        <v>0</v>
      </c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</row>
    <row r="239" spans="1:31" ht="13.2">
      <c r="A239" s="246"/>
      <c r="B239" s="235"/>
      <c r="C239" s="235" t="s">
        <v>1027</v>
      </c>
      <c r="D239" s="235" t="s">
        <v>1028</v>
      </c>
      <c r="E239" s="235" t="s">
        <v>444</v>
      </c>
      <c r="F239" s="267"/>
      <c r="G239" s="268"/>
      <c r="H239" s="235"/>
      <c r="I239" s="235"/>
      <c r="J239" s="237">
        <f>SUMIF(File1!$D$1:$D$2034,C239,File1!$H$1:$H$2034)</f>
        <v>9</v>
      </c>
      <c r="K239" s="237">
        <f>SUMIF(File1!$D$8:$D$2034,C239,File1!$I$8:$I$2034)</f>
        <v>0</v>
      </c>
      <c r="L239" s="237">
        <f t="shared" si="1"/>
        <v>9</v>
      </c>
      <c r="M239" s="237">
        <f>SUMIF(File1!$D$3:$D$1800,C239,File1!$K$3:$L$1800)</f>
        <v>0</v>
      </c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</row>
    <row r="240" spans="1:31" ht="13.2">
      <c r="A240" s="246"/>
      <c r="B240" s="235"/>
      <c r="C240" s="235" t="s">
        <v>1029</v>
      </c>
      <c r="D240" s="235" t="s">
        <v>1030</v>
      </c>
      <c r="E240" s="235" t="s">
        <v>444</v>
      </c>
      <c r="F240" s="267"/>
      <c r="G240" s="268"/>
      <c r="H240" s="235"/>
      <c r="I240" s="235"/>
      <c r="J240" s="237">
        <f>SUMIF(File1!$D$1:$D$2034,C240,File1!$H$1:$H$2034)</f>
        <v>9</v>
      </c>
      <c r="K240" s="237">
        <f>SUMIF(File1!$D$8:$D$2034,C240,File1!$I$8:$I$2034)</f>
        <v>0</v>
      </c>
      <c r="L240" s="237">
        <f t="shared" si="1"/>
        <v>9</v>
      </c>
      <c r="M240" s="237">
        <f>SUMIF(File1!$D$3:$D$1800,C240,File1!$K$3:$L$1800)</f>
        <v>0</v>
      </c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</row>
    <row r="241" spans="1:31" ht="13.2">
      <c r="A241" s="246"/>
      <c r="B241" s="236">
        <v>200</v>
      </c>
      <c r="C241" s="235" t="s">
        <v>1031</v>
      </c>
      <c r="D241" s="235" t="s">
        <v>1032</v>
      </c>
      <c r="E241" s="235" t="s">
        <v>444</v>
      </c>
      <c r="F241" s="267"/>
      <c r="G241" s="268"/>
      <c r="H241" s="235"/>
      <c r="I241" s="235"/>
      <c r="J241" s="237">
        <f>SUMIF(File1!$D$1:$D$2034,C241,File1!$H$1:$H$2034)</f>
        <v>9</v>
      </c>
      <c r="K241" s="237">
        <f>SUMIF(File1!$D$8:$D$2034,C241,File1!$I$8:$I$2034)</f>
        <v>0</v>
      </c>
      <c r="L241" s="237">
        <f t="shared" si="1"/>
        <v>9</v>
      </c>
      <c r="M241" s="237">
        <f>SUMIF(File1!$D$3:$D$1800,C241,File1!$K$3:$L$1800)</f>
        <v>0</v>
      </c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</row>
    <row r="242" spans="1:31" ht="13.2">
      <c r="A242" s="246"/>
      <c r="B242" s="236">
        <v>201</v>
      </c>
      <c r="C242" s="235" t="s">
        <v>1033</v>
      </c>
      <c r="D242" s="235" t="s">
        <v>1034</v>
      </c>
      <c r="E242" s="235" t="s">
        <v>444</v>
      </c>
      <c r="F242" s="267"/>
      <c r="G242" s="268"/>
      <c r="H242" s="235"/>
      <c r="I242" s="235"/>
      <c r="J242" s="237">
        <f>SUMIF(File1!$D$1:$D$2034,C242,File1!$H$1:$H$2034)</f>
        <v>9</v>
      </c>
      <c r="K242" s="237">
        <f>SUMIF(File1!$D$8:$D$2034,C242,File1!$I$8:$I$2034)</f>
        <v>0</v>
      </c>
      <c r="L242" s="237">
        <f t="shared" si="1"/>
        <v>9</v>
      </c>
      <c r="M242" s="237">
        <f>SUMIF(File1!$D$3:$D$1800,C242,File1!$K$3:$L$1800)</f>
        <v>0</v>
      </c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</row>
    <row r="243" spans="1:31" ht="13.2">
      <c r="A243" s="246"/>
      <c r="B243" s="236">
        <v>203</v>
      </c>
      <c r="C243" s="235" t="s">
        <v>1035</v>
      </c>
      <c r="D243" s="235" t="s">
        <v>1036</v>
      </c>
      <c r="E243" s="235" t="s">
        <v>1037</v>
      </c>
      <c r="F243" s="265">
        <v>1.45</v>
      </c>
      <c r="G243" s="238">
        <f t="shared" ref="G243:G280" si="31">F243*3510+1000</f>
        <v>6089.5</v>
      </c>
      <c r="H243" s="237">
        <f t="shared" ref="H243:H280" si="32">G243*2</f>
        <v>12179</v>
      </c>
      <c r="I243" s="235"/>
      <c r="J243" s="237">
        <f>SUMIF(File1!$D$1:$D$2034,C243,File1!$H$1:$H$2034)</f>
        <v>5</v>
      </c>
      <c r="K243" s="237">
        <f>SUMIF(File1!$D$8:$D$2034,C243,File1!$I$8:$I$2034)</f>
        <v>2</v>
      </c>
      <c r="L243" s="237">
        <f t="shared" si="1"/>
        <v>3</v>
      </c>
      <c r="M243" s="237">
        <f>SUMIF(File1!$D$3:$D$1800,C243,File1!$K$3:$L$1800)</f>
        <v>17000</v>
      </c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</row>
    <row r="244" spans="1:31" ht="13.2">
      <c r="A244" s="246"/>
      <c r="B244" s="236">
        <v>204</v>
      </c>
      <c r="C244" s="235" t="s">
        <v>1038</v>
      </c>
      <c r="D244" s="235" t="s">
        <v>1039</v>
      </c>
      <c r="E244" s="235" t="s">
        <v>1037</v>
      </c>
      <c r="F244" s="265">
        <v>1.45</v>
      </c>
      <c r="G244" s="238">
        <f t="shared" si="31"/>
        <v>6089.5</v>
      </c>
      <c r="H244" s="237">
        <f t="shared" si="32"/>
        <v>12179</v>
      </c>
      <c r="I244" s="235"/>
      <c r="J244" s="237">
        <f>SUMIF(File1!$D$1:$D$2034,C244,File1!$H$1:$H$2034)</f>
        <v>5</v>
      </c>
      <c r="K244" s="237">
        <f>SUMIF(File1!$D$8:$D$2034,C244,File1!$I$8:$I$2034)</f>
        <v>1</v>
      </c>
      <c r="L244" s="237">
        <f t="shared" si="1"/>
        <v>4</v>
      </c>
      <c r="M244" s="237">
        <f>SUMIF(File1!$D$3:$D$1800,C244,File1!$K$3:$L$1800)</f>
        <v>12000</v>
      </c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</row>
    <row r="245" spans="1:31" ht="13.2">
      <c r="A245" s="246"/>
      <c r="B245" s="236">
        <v>205</v>
      </c>
      <c r="C245" s="235" t="s">
        <v>1040</v>
      </c>
      <c r="D245" s="235" t="s">
        <v>1041</v>
      </c>
      <c r="E245" s="235" t="s">
        <v>1037</v>
      </c>
      <c r="F245" s="265">
        <v>1.45</v>
      </c>
      <c r="G245" s="238">
        <f t="shared" si="31"/>
        <v>6089.5</v>
      </c>
      <c r="H245" s="237">
        <f t="shared" si="32"/>
        <v>12179</v>
      </c>
      <c r="I245" s="235"/>
      <c r="J245" s="237">
        <f>SUMIF(File1!$D$1:$D$2034,C245,File1!$H$1:$H$2034)</f>
        <v>5</v>
      </c>
      <c r="K245" s="237">
        <f>SUMIF(File1!$D$8:$D$2034,C245,File1!$I$8:$I$2034)</f>
        <v>2</v>
      </c>
      <c r="L245" s="237">
        <f t="shared" si="1"/>
        <v>3</v>
      </c>
      <c r="M245" s="237">
        <f>SUMIF(File1!$D$3:$D$1800,C245,File1!$K$3:$L$1800)</f>
        <v>22000</v>
      </c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</row>
    <row r="246" spans="1:31" ht="13.2">
      <c r="A246" s="246"/>
      <c r="B246" s="236">
        <v>206</v>
      </c>
      <c r="C246" s="235" t="s">
        <v>1042</v>
      </c>
      <c r="D246" s="235" t="s">
        <v>1043</v>
      </c>
      <c r="E246" s="235" t="s">
        <v>1037</v>
      </c>
      <c r="F246" s="265">
        <v>1.45</v>
      </c>
      <c r="G246" s="238">
        <f t="shared" si="31"/>
        <v>6089.5</v>
      </c>
      <c r="H246" s="237">
        <f t="shared" si="32"/>
        <v>12179</v>
      </c>
      <c r="I246" s="235"/>
      <c r="J246" s="237">
        <f>SUMIF(File1!$D$1:$D$2034,C246,File1!$H$1:$H$2034)</f>
        <v>5</v>
      </c>
      <c r="K246" s="237">
        <f>SUMIF(File1!$D$8:$D$2034,C246,File1!$I$8:$I$2034)</f>
        <v>1</v>
      </c>
      <c r="L246" s="237">
        <f t="shared" si="1"/>
        <v>4</v>
      </c>
      <c r="M246" s="237">
        <f>SUMIF(File1!$D$3:$D$1800,C246,File1!$K$3:$L$1800)</f>
        <v>6000</v>
      </c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</row>
    <row r="247" spans="1:31" ht="13.2">
      <c r="A247" s="246"/>
      <c r="B247" s="236">
        <v>207</v>
      </c>
      <c r="C247" s="235" t="s">
        <v>1044</v>
      </c>
      <c r="D247" s="235" t="s">
        <v>1045</v>
      </c>
      <c r="E247" s="235" t="s">
        <v>1037</v>
      </c>
      <c r="F247" s="265">
        <v>1.45</v>
      </c>
      <c r="G247" s="238">
        <f t="shared" si="31"/>
        <v>6089.5</v>
      </c>
      <c r="H247" s="237">
        <f t="shared" si="32"/>
        <v>12179</v>
      </c>
      <c r="I247" s="235"/>
      <c r="J247" s="237">
        <f>SUMIF(File1!$D$1:$D$2034,C247,File1!$H$1:$H$2034)</f>
        <v>5</v>
      </c>
      <c r="K247" s="237">
        <f>SUMIF(File1!$D$8:$D$2034,C247,File1!$I$8:$I$2034)</f>
        <v>1</v>
      </c>
      <c r="L247" s="237">
        <f t="shared" si="1"/>
        <v>4</v>
      </c>
      <c r="M247" s="237">
        <f>SUMIF(File1!$D$3:$D$1800,C247,File1!$K$3:$L$1800)</f>
        <v>11000</v>
      </c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</row>
    <row r="248" spans="1:31" ht="13.2">
      <c r="A248" s="246"/>
      <c r="B248" s="236">
        <v>208</v>
      </c>
      <c r="C248" s="235" t="s">
        <v>1046</v>
      </c>
      <c r="D248" s="235" t="s">
        <v>1047</v>
      </c>
      <c r="E248" s="235" t="s">
        <v>1037</v>
      </c>
      <c r="F248" s="265">
        <v>1.05</v>
      </c>
      <c r="G248" s="238">
        <f t="shared" si="31"/>
        <v>4685.5</v>
      </c>
      <c r="H248" s="237">
        <f t="shared" si="32"/>
        <v>9371</v>
      </c>
      <c r="I248" s="235"/>
      <c r="J248" s="237">
        <f>SUMIF(File1!$D$1:$D$2034,C248,File1!$H$1:$H$2034)</f>
        <v>3</v>
      </c>
      <c r="K248" s="237">
        <f>SUMIF(File1!$D$8:$D$2034,C248,File1!$I$8:$I$2034)</f>
        <v>0</v>
      </c>
      <c r="L248" s="237">
        <f t="shared" si="1"/>
        <v>3</v>
      </c>
      <c r="M248" s="237">
        <f>SUMIF(File1!$D$3:$D$1800,C248,File1!$K$3:$L$1800)</f>
        <v>0</v>
      </c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</row>
    <row r="249" spans="1:31" ht="13.2">
      <c r="A249" s="246"/>
      <c r="B249" s="236">
        <v>209</v>
      </c>
      <c r="C249" s="235" t="s">
        <v>1048</v>
      </c>
      <c r="D249" s="235" t="s">
        <v>1049</v>
      </c>
      <c r="E249" s="235" t="s">
        <v>1037</v>
      </c>
      <c r="F249" s="265">
        <v>1.05</v>
      </c>
      <c r="G249" s="238">
        <f t="shared" si="31"/>
        <v>4685.5</v>
      </c>
      <c r="H249" s="237">
        <f t="shared" si="32"/>
        <v>9371</v>
      </c>
      <c r="I249" s="235"/>
      <c r="J249" s="237">
        <f>SUMIF(File1!$D$1:$D$2034,C249,File1!$H$1:$H$2034)</f>
        <v>3</v>
      </c>
      <c r="K249" s="237">
        <f>SUMIF(File1!$D$8:$D$2034,C249,File1!$I$8:$I$2034)</f>
        <v>3</v>
      </c>
      <c r="L249" s="237">
        <f t="shared" si="1"/>
        <v>0</v>
      </c>
      <c r="M249" s="237">
        <f>SUMIF(File1!$D$3:$D$1800,C249,File1!$K$3:$L$1800)</f>
        <v>24000</v>
      </c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</row>
    <row r="250" spans="1:31" ht="13.2">
      <c r="A250" s="246"/>
      <c r="B250" s="236">
        <v>210</v>
      </c>
      <c r="C250" s="235" t="s">
        <v>1050</v>
      </c>
      <c r="D250" s="235" t="s">
        <v>1051</v>
      </c>
      <c r="E250" s="235" t="s">
        <v>1037</v>
      </c>
      <c r="F250" s="265">
        <v>1.05</v>
      </c>
      <c r="G250" s="238">
        <f t="shared" si="31"/>
        <v>4685.5</v>
      </c>
      <c r="H250" s="237">
        <f t="shared" si="32"/>
        <v>9371</v>
      </c>
      <c r="I250" s="235"/>
      <c r="J250" s="237">
        <f>SUMIF(File1!$D$1:$D$2034,C250,File1!$H$1:$H$2034)</f>
        <v>3</v>
      </c>
      <c r="K250" s="237">
        <f>SUMIF(File1!$D$8:$D$2034,C250,File1!$I$8:$I$2034)</f>
        <v>1</v>
      </c>
      <c r="L250" s="237">
        <f t="shared" si="1"/>
        <v>2</v>
      </c>
      <c r="M250" s="237">
        <f>SUMIF(File1!$D$3:$D$1800,C250,File1!$K$3:$L$1800)</f>
        <v>6000</v>
      </c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</row>
    <row r="251" spans="1:31" ht="13.2">
      <c r="A251" s="246"/>
      <c r="B251" s="236">
        <v>211</v>
      </c>
      <c r="C251" s="235" t="s">
        <v>1052</v>
      </c>
      <c r="D251" s="235" t="s">
        <v>1053</v>
      </c>
      <c r="E251" s="235" t="s">
        <v>1037</v>
      </c>
      <c r="F251" s="265">
        <v>1.05</v>
      </c>
      <c r="G251" s="238">
        <f t="shared" si="31"/>
        <v>4685.5</v>
      </c>
      <c r="H251" s="237">
        <f t="shared" si="32"/>
        <v>9371</v>
      </c>
      <c r="I251" s="235"/>
      <c r="J251" s="237">
        <f>SUMIF(File1!$D$1:$D$2034,C251,File1!$H$1:$H$2034)</f>
        <v>3</v>
      </c>
      <c r="K251" s="237">
        <f>SUMIF(File1!$D$8:$D$2034,C251,File1!$I$8:$I$2034)</f>
        <v>1</v>
      </c>
      <c r="L251" s="237">
        <f t="shared" si="1"/>
        <v>2</v>
      </c>
      <c r="M251" s="237">
        <f>SUMIF(File1!$D$3:$D$1800,C251,File1!$K$3:$L$1800)</f>
        <v>6707</v>
      </c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</row>
    <row r="252" spans="1:31" ht="13.2">
      <c r="A252" s="246"/>
      <c r="B252" s="236">
        <v>212</v>
      </c>
      <c r="C252" s="235" t="s">
        <v>1054</v>
      </c>
      <c r="D252" s="235" t="s">
        <v>1055</v>
      </c>
      <c r="E252" s="235" t="s">
        <v>1037</v>
      </c>
      <c r="F252" s="265">
        <v>1.05</v>
      </c>
      <c r="G252" s="238">
        <f t="shared" si="31"/>
        <v>4685.5</v>
      </c>
      <c r="H252" s="237">
        <f t="shared" si="32"/>
        <v>9371</v>
      </c>
      <c r="I252" s="235"/>
      <c r="J252" s="237">
        <f>SUMIF(File1!$D$1:$D$2034,C252,File1!$H$1:$H$2034)</f>
        <v>3</v>
      </c>
      <c r="K252" s="237">
        <f>SUMIF(File1!$D$8:$D$2034,C252,File1!$I$8:$I$2034)</f>
        <v>2</v>
      </c>
      <c r="L252" s="237">
        <f t="shared" si="1"/>
        <v>1</v>
      </c>
      <c r="M252" s="237">
        <f>SUMIF(File1!$D$3:$D$1800,C252,File1!$K$3:$L$1800)</f>
        <v>9000</v>
      </c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</row>
    <row r="253" spans="1:31" ht="13.2">
      <c r="A253" s="246"/>
      <c r="B253" s="236">
        <v>213</v>
      </c>
      <c r="C253" s="235" t="s">
        <v>1056</v>
      </c>
      <c r="D253" s="235" t="s">
        <v>1057</v>
      </c>
      <c r="E253" s="235" t="s">
        <v>1037</v>
      </c>
      <c r="F253" s="265">
        <v>1</v>
      </c>
      <c r="G253" s="238">
        <f t="shared" si="31"/>
        <v>4510</v>
      </c>
      <c r="H253" s="237">
        <f t="shared" si="32"/>
        <v>9020</v>
      </c>
      <c r="I253" s="235"/>
      <c r="J253" s="237">
        <f>SUMIF(File1!$D$1:$D$2034,C253,File1!$H$1:$H$2034)</f>
        <v>5</v>
      </c>
      <c r="K253" s="237">
        <f>SUMIF(File1!$D$8:$D$2034,C253,File1!$I$8:$I$2034)</f>
        <v>1</v>
      </c>
      <c r="L253" s="237">
        <f t="shared" si="1"/>
        <v>4</v>
      </c>
      <c r="M253" s="237">
        <f>SUMIF(File1!$D$3:$D$1800,C253,File1!$K$3:$L$1800)</f>
        <v>8000</v>
      </c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</row>
    <row r="254" spans="1:31" ht="13.2">
      <c r="A254" s="246"/>
      <c r="B254" s="236">
        <v>214</v>
      </c>
      <c r="C254" s="235" t="s">
        <v>1058</v>
      </c>
      <c r="D254" s="235" t="s">
        <v>1059</v>
      </c>
      <c r="E254" s="235" t="s">
        <v>1037</v>
      </c>
      <c r="F254" s="265">
        <v>1</v>
      </c>
      <c r="G254" s="238">
        <f t="shared" si="31"/>
        <v>4510</v>
      </c>
      <c r="H254" s="237">
        <f t="shared" si="32"/>
        <v>9020</v>
      </c>
      <c r="I254" s="235"/>
      <c r="J254" s="237">
        <f>SUMIF(File1!$D$1:$D$2034,C254,File1!$H$1:$H$2034)</f>
        <v>3</v>
      </c>
      <c r="K254" s="237">
        <f>SUMIF(File1!$D$8:$D$2034,C254,File1!$I$8:$I$2034)</f>
        <v>0</v>
      </c>
      <c r="L254" s="237">
        <f t="shared" si="1"/>
        <v>3</v>
      </c>
      <c r="M254" s="237">
        <f>SUMIF(File1!$D$3:$D$1800,C254,File1!$K$3:$L$1800)</f>
        <v>0</v>
      </c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</row>
    <row r="255" spans="1:31" ht="13.2">
      <c r="A255" s="246"/>
      <c r="B255" s="236">
        <v>215</v>
      </c>
      <c r="C255" s="235" t="s">
        <v>1060</v>
      </c>
      <c r="D255" s="235" t="s">
        <v>1061</v>
      </c>
      <c r="E255" s="235" t="s">
        <v>1037</v>
      </c>
      <c r="F255" s="265">
        <v>1</v>
      </c>
      <c r="G255" s="238">
        <f t="shared" si="31"/>
        <v>4510</v>
      </c>
      <c r="H255" s="237">
        <f t="shared" si="32"/>
        <v>9020</v>
      </c>
      <c r="I255" s="235"/>
      <c r="J255" s="237">
        <f>SUMIF(File1!$D$1:$D$2034,C255,File1!$H$1:$H$2034)</f>
        <v>5</v>
      </c>
      <c r="K255" s="237">
        <f>SUMIF(File1!$D$8:$D$2034,C255,File1!$I$8:$I$2034)</f>
        <v>1</v>
      </c>
      <c r="L255" s="237">
        <f t="shared" si="1"/>
        <v>4</v>
      </c>
      <c r="M255" s="237">
        <f>SUMIF(File1!$D$3:$D$1800,C255,File1!$K$3:$L$1800)</f>
        <v>8000</v>
      </c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</row>
    <row r="256" spans="1:31" ht="13.2">
      <c r="A256" s="246"/>
      <c r="B256" s="236">
        <v>216</v>
      </c>
      <c r="C256" s="235" t="s">
        <v>1062</v>
      </c>
      <c r="D256" s="235" t="s">
        <v>1063</v>
      </c>
      <c r="E256" s="235" t="s">
        <v>1037</v>
      </c>
      <c r="F256" s="265">
        <v>1</v>
      </c>
      <c r="G256" s="238">
        <f t="shared" si="31"/>
        <v>4510</v>
      </c>
      <c r="H256" s="237">
        <f t="shared" si="32"/>
        <v>9020</v>
      </c>
      <c r="I256" s="235"/>
      <c r="J256" s="237">
        <f>SUMIF(File1!$D$1:$D$2034,C256,File1!$H$1:$H$2034)</f>
        <v>5</v>
      </c>
      <c r="K256" s="237">
        <f>SUMIF(File1!$D$8:$D$2034,C256,File1!$I$8:$I$2034)</f>
        <v>5</v>
      </c>
      <c r="L256" s="237">
        <f t="shared" si="1"/>
        <v>0</v>
      </c>
      <c r="M256" s="237">
        <f>SUMIF(File1!$D$3:$D$1800,C256,File1!$K$3:$L$1800)</f>
        <v>40000</v>
      </c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</row>
    <row r="257" spans="1:31" ht="13.2">
      <c r="A257" s="246"/>
      <c r="B257" s="236">
        <v>217</v>
      </c>
      <c r="C257" s="235" t="s">
        <v>1064</v>
      </c>
      <c r="D257" s="235" t="s">
        <v>1065</v>
      </c>
      <c r="E257" s="235" t="s">
        <v>1037</v>
      </c>
      <c r="F257" s="265">
        <v>0.89</v>
      </c>
      <c r="G257" s="238">
        <f t="shared" si="31"/>
        <v>4123.8999999999996</v>
      </c>
      <c r="H257" s="237">
        <f t="shared" si="32"/>
        <v>8247.7999999999993</v>
      </c>
      <c r="I257" s="235"/>
      <c r="J257" s="237">
        <f>SUMIF(File1!$D$1:$D$2034,C257,File1!$H$1:$H$2034)</f>
        <v>6</v>
      </c>
      <c r="K257" s="237">
        <f>SUMIF(File1!$D$8:$D$2034,C257,File1!$I$8:$I$2034)</f>
        <v>0</v>
      </c>
      <c r="L257" s="237">
        <f t="shared" si="1"/>
        <v>6</v>
      </c>
      <c r="M257" s="237">
        <f>SUMIF(File1!$D$3:$D$1800,C257,File1!$K$3:$L$1800)</f>
        <v>0</v>
      </c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</row>
    <row r="258" spans="1:31" ht="13.2">
      <c r="A258" s="246"/>
      <c r="B258" s="236">
        <v>218</v>
      </c>
      <c r="C258" s="235" t="s">
        <v>1066</v>
      </c>
      <c r="D258" s="235" t="s">
        <v>1067</v>
      </c>
      <c r="E258" s="235" t="s">
        <v>1037</v>
      </c>
      <c r="F258" s="265">
        <v>0.89</v>
      </c>
      <c r="G258" s="238">
        <f t="shared" si="31"/>
        <v>4123.8999999999996</v>
      </c>
      <c r="H258" s="237">
        <f t="shared" si="32"/>
        <v>8247.7999999999993</v>
      </c>
      <c r="I258" s="235"/>
      <c r="J258" s="237">
        <f>SUMIF(File1!$D$1:$D$2034,C258,File1!$H$1:$H$2034)</f>
        <v>6</v>
      </c>
      <c r="K258" s="237">
        <f>SUMIF(File1!$D$8:$D$2034,C258,File1!$I$8:$I$2034)</f>
        <v>0</v>
      </c>
      <c r="L258" s="237">
        <f t="shared" ref="L258:L403" si="33">J258-K258</f>
        <v>6</v>
      </c>
      <c r="M258" s="237">
        <f>SUMIF(File1!$D$3:$D$1800,C258,File1!$K$3:$L$1800)</f>
        <v>0</v>
      </c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</row>
    <row r="259" spans="1:31" ht="13.2">
      <c r="A259" s="246"/>
      <c r="B259" s="236">
        <v>219</v>
      </c>
      <c r="C259" s="235" t="s">
        <v>1068</v>
      </c>
      <c r="D259" s="235" t="s">
        <v>1069</v>
      </c>
      <c r="E259" s="235" t="s">
        <v>1037</v>
      </c>
      <c r="F259" s="265">
        <v>0.89</v>
      </c>
      <c r="G259" s="238">
        <f t="shared" si="31"/>
        <v>4123.8999999999996</v>
      </c>
      <c r="H259" s="237">
        <f t="shared" si="32"/>
        <v>8247.7999999999993</v>
      </c>
      <c r="I259" s="235"/>
      <c r="J259" s="237">
        <f>SUMIF(File1!$D$1:$D$2034,C259,File1!$H$1:$H$2034)</f>
        <v>6</v>
      </c>
      <c r="K259" s="237">
        <f>SUMIF(File1!$D$8:$D$2034,C259,File1!$I$8:$I$2034)</f>
        <v>1</v>
      </c>
      <c r="L259" s="237">
        <f t="shared" si="33"/>
        <v>5</v>
      </c>
      <c r="M259" s="237">
        <f>SUMIF(File1!$D$3:$D$1800,C259,File1!$K$3:$L$1800)</f>
        <v>10656</v>
      </c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</row>
    <row r="260" spans="1:31" ht="13.2">
      <c r="A260" s="246"/>
      <c r="B260" s="236">
        <v>220</v>
      </c>
      <c r="C260" s="235" t="s">
        <v>1070</v>
      </c>
      <c r="D260" s="235" t="s">
        <v>1071</v>
      </c>
      <c r="E260" s="235" t="s">
        <v>1037</v>
      </c>
      <c r="F260" s="265">
        <v>0.89</v>
      </c>
      <c r="G260" s="238">
        <f t="shared" si="31"/>
        <v>4123.8999999999996</v>
      </c>
      <c r="H260" s="237">
        <f t="shared" si="32"/>
        <v>8247.7999999999993</v>
      </c>
      <c r="I260" s="235"/>
      <c r="J260" s="237">
        <f>SUMIF(File1!$D$1:$D$2034,C260,File1!$H$1:$H$2034)</f>
        <v>6</v>
      </c>
      <c r="K260" s="237">
        <f>SUMIF(File1!$D$8:$D$2034,C260,File1!$I$8:$I$2034)</f>
        <v>0</v>
      </c>
      <c r="L260" s="237">
        <f t="shared" si="33"/>
        <v>6</v>
      </c>
      <c r="M260" s="237">
        <f>SUMIF(File1!$D$3:$D$1800,C260,File1!$K$3:$L$1800)</f>
        <v>0</v>
      </c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</row>
    <row r="261" spans="1:31" ht="13.2">
      <c r="A261" s="246"/>
      <c r="B261" s="236">
        <v>221</v>
      </c>
      <c r="C261" s="235" t="s">
        <v>1072</v>
      </c>
      <c r="D261" s="235" t="s">
        <v>1073</v>
      </c>
      <c r="E261" s="235" t="s">
        <v>1037</v>
      </c>
      <c r="F261" s="265">
        <v>0.89</v>
      </c>
      <c r="G261" s="238">
        <f t="shared" si="31"/>
        <v>4123.8999999999996</v>
      </c>
      <c r="H261" s="237">
        <f t="shared" si="32"/>
        <v>8247.7999999999993</v>
      </c>
      <c r="I261" s="235"/>
      <c r="J261" s="237">
        <f>SUMIF(File1!$D$1:$D$2034,C261,File1!$H$1:$H$2034)</f>
        <v>6</v>
      </c>
      <c r="K261" s="237">
        <f>SUMIF(File1!$D$8:$D$2034,C261,File1!$I$8:$I$2034)</f>
        <v>2</v>
      </c>
      <c r="L261" s="237">
        <f t="shared" si="33"/>
        <v>4</v>
      </c>
      <c r="M261" s="237">
        <f>SUMIF(File1!$D$3:$D$1800,C261,File1!$K$3:$L$1800)</f>
        <v>16336</v>
      </c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</row>
    <row r="262" spans="1:31" ht="13.2">
      <c r="A262" s="246"/>
      <c r="B262" s="236">
        <v>222</v>
      </c>
      <c r="C262" s="235" t="s">
        <v>1074</v>
      </c>
      <c r="D262" s="235" t="s">
        <v>1075</v>
      </c>
      <c r="E262" s="235" t="s">
        <v>1037</v>
      </c>
      <c r="F262" s="265">
        <v>0.8</v>
      </c>
      <c r="G262" s="238">
        <f t="shared" si="31"/>
        <v>3808</v>
      </c>
      <c r="H262" s="237">
        <f t="shared" si="32"/>
        <v>7616</v>
      </c>
      <c r="I262" s="235"/>
      <c r="J262" s="237">
        <f>SUMIF(File1!$D$1:$D$2034,C262,File1!$H$1:$H$2034)</f>
        <v>4</v>
      </c>
      <c r="K262" s="237">
        <f>SUMIF(File1!$D$8:$D$2034,C262,File1!$I$8:$I$2034)</f>
        <v>0</v>
      </c>
      <c r="L262" s="237">
        <f t="shared" si="33"/>
        <v>4</v>
      </c>
      <c r="M262" s="237">
        <f>SUMIF(File1!$D$3:$D$1800,C262,File1!$K$3:$L$1800)</f>
        <v>0</v>
      </c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</row>
    <row r="263" spans="1:31" ht="13.2">
      <c r="A263" s="246"/>
      <c r="B263" s="236">
        <v>223</v>
      </c>
      <c r="C263" s="235" t="s">
        <v>1076</v>
      </c>
      <c r="D263" s="235" t="s">
        <v>1077</v>
      </c>
      <c r="E263" s="235" t="s">
        <v>1037</v>
      </c>
      <c r="F263" s="265">
        <v>0.8</v>
      </c>
      <c r="G263" s="238">
        <f t="shared" si="31"/>
        <v>3808</v>
      </c>
      <c r="H263" s="237">
        <f t="shared" si="32"/>
        <v>7616</v>
      </c>
      <c r="I263" s="235"/>
      <c r="J263" s="237">
        <f>SUMIF(File1!$D$1:$D$2034,C263,File1!$H$1:$H$2034)</f>
        <v>4</v>
      </c>
      <c r="K263" s="237">
        <f>SUMIF(File1!$D$8:$D$2034,C263,File1!$I$8:$I$2034)</f>
        <v>1</v>
      </c>
      <c r="L263" s="237">
        <f t="shared" si="33"/>
        <v>3</v>
      </c>
      <c r="M263" s="237">
        <f>SUMIF(File1!$D$3:$D$1800,C263,File1!$K$3:$L$1800)</f>
        <v>8633</v>
      </c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</row>
    <row r="264" spans="1:31" ht="13.2">
      <c r="A264" s="246"/>
      <c r="B264" s="236">
        <v>224</v>
      </c>
      <c r="C264" s="235" t="s">
        <v>1078</v>
      </c>
      <c r="D264" s="235" t="s">
        <v>1079</v>
      </c>
      <c r="E264" s="235" t="s">
        <v>1037</v>
      </c>
      <c r="F264" s="265">
        <v>0.8</v>
      </c>
      <c r="G264" s="238">
        <f t="shared" si="31"/>
        <v>3808</v>
      </c>
      <c r="H264" s="237">
        <f t="shared" si="32"/>
        <v>7616</v>
      </c>
      <c r="I264" s="235"/>
      <c r="J264" s="237">
        <f>SUMIF(File1!$D$1:$D$2034,C264,File1!$H$1:$H$2034)</f>
        <v>4</v>
      </c>
      <c r="K264" s="237">
        <f>SUMIF(File1!$D$8:$D$2034,C264,File1!$I$8:$I$2034)</f>
        <v>2</v>
      </c>
      <c r="L264" s="237">
        <f t="shared" si="33"/>
        <v>2</v>
      </c>
      <c r="M264" s="237">
        <f>SUMIF(File1!$D$3:$D$1800,C264,File1!$K$3:$L$1800)</f>
        <v>8264</v>
      </c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</row>
    <row r="265" spans="1:31" ht="13.2">
      <c r="A265" s="246"/>
      <c r="B265" s="236">
        <v>225</v>
      </c>
      <c r="C265" s="235" t="s">
        <v>1080</v>
      </c>
      <c r="D265" s="235" t="s">
        <v>1081</v>
      </c>
      <c r="E265" s="235" t="s">
        <v>1037</v>
      </c>
      <c r="F265" s="265">
        <v>0.8</v>
      </c>
      <c r="G265" s="238">
        <f t="shared" si="31"/>
        <v>3808</v>
      </c>
      <c r="H265" s="237">
        <f t="shared" si="32"/>
        <v>7616</v>
      </c>
      <c r="I265" s="235"/>
      <c r="J265" s="237">
        <f>SUMIF(File1!$D$1:$D$2034,C265,File1!$H$1:$H$2034)</f>
        <v>4</v>
      </c>
      <c r="K265" s="237">
        <f>SUMIF(File1!$D$8:$D$2034,C265,File1!$I$8:$I$2034)</f>
        <v>0</v>
      </c>
      <c r="L265" s="237">
        <f t="shared" si="33"/>
        <v>4</v>
      </c>
      <c r="M265" s="237">
        <f>SUMIF(File1!$D$3:$D$1800,C265,File1!$K$3:$L$1800)</f>
        <v>0</v>
      </c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</row>
    <row r="266" spans="1:31" ht="13.2">
      <c r="A266" s="246"/>
      <c r="B266" s="236">
        <v>226</v>
      </c>
      <c r="C266" s="235" t="s">
        <v>1082</v>
      </c>
      <c r="D266" s="235" t="s">
        <v>1083</v>
      </c>
      <c r="E266" s="235" t="s">
        <v>1037</v>
      </c>
      <c r="F266" s="265">
        <v>0.8</v>
      </c>
      <c r="G266" s="238">
        <f t="shared" si="31"/>
        <v>3808</v>
      </c>
      <c r="H266" s="237">
        <f t="shared" si="32"/>
        <v>7616</v>
      </c>
      <c r="I266" s="235"/>
      <c r="J266" s="237">
        <f>SUMIF(File1!$D$1:$D$2034,C266,File1!$H$1:$H$2034)</f>
        <v>4</v>
      </c>
      <c r="K266" s="237">
        <f>SUMIF(File1!$D$8:$D$2034,C266,File1!$I$8:$I$2034)</f>
        <v>0</v>
      </c>
      <c r="L266" s="237">
        <f t="shared" si="33"/>
        <v>4</v>
      </c>
      <c r="M266" s="237">
        <f>SUMIF(File1!$D$3:$D$1800,C266,File1!$K$3:$L$1800)</f>
        <v>0</v>
      </c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</row>
    <row r="267" spans="1:31" ht="13.2">
      <c r="A267" s="246"/>
      <c r="B267" s="236">
        <v>227</v>
      </c>
      <c r="C267" s="235" t="s">
        <v>1084</v>
      </c>
      <c r="D267" s="235" t="s">
        <v>1085</v>
      </c>
      <c r="E267" s="235" t="s">
        <v>1037</v>
      </c>
      <c r="F267" s="265">
        <v>0.85</v>
      </c>
      <c r="G267" s="238">
        <f t="shared" si="31"/>
        <v>3983.5</v>
      </c>
      <c r="H267" s="237">
        <f t="shared" si="32"/>
        <v>7967</v>
      </c>
      <c r="I267" s="235"/>
      <c r="J267" s="237">
        <f>SUMIF(File1!$D$1:$D$2034,C267,File1!$H$1:$H$2034)</f>
        <v>4</v>
      </c>
      <c r="K267" s="237">
        <f>SUMIF(File1!$D$8:$D$2034,C267,File1!$I$8:$I$2034)</f>
        <v>0</v>
      </c>
      <c r="L267" s="237">
        <f t="shared" si="33"/>
        <v>4</v>
      </c>
      <c r="M267" s="237">
        <f>SUMIF(File1!$D$3:$D$1800,C267,File1!$K$3:$L$1800)</f>
        <v>0</v>
      </c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</row>
    <row r="268" spans="1:31" ht="13.2">
      <c r="A268" s="246"/>
      <c r="B268" s="236">
        <v>228</v>
      </c>
      <c r="C268" s="235" t="s">
        <v>1086</v>
      </c>
      <c r="D268" s="235" t="s">
        <v>1087</v>
      </c>
      <c r="E268" s="235" t="s">
        <v>1037</v>
      </c>
      <c r="F268" s="265">
        <v>0.85</v>
      </c>
      <c r="G268" s="238">
        <f t="shared" si="31"/>
        <v>3983.5</v>
      </c>
      <c r="H268" s="237">
        <f t="shared" si="32"/>
        <v>7967</v>
      </c>
      <c r="I268" s="235"/>
      <c r="J268" s="237">
        <f>SUMIF(File1!$D$1:$D$2034,C268,File1!$H$1:$H$2034)</f>
        <v>4</v>
      </c>
      <c r="K268" s="237">
        <f>SUMIF(File1!$D$8:$D$2034,C268,File1!$I$8:$I$2034)</f>
        <v>0</v>
      </c>
      <c r="L268" s="237">
        <f t="shared" si="33"/>
        <v>4</v>
      </c>
      <c r="M268" s="237">
        <f>SUMIF(File1!$D$3:$D$1800,C268,File1!$K$3:$L$1800)</f>
        <v>0</v>
      </c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</row>
    <row r="269" spans="1:31" ht="13.2">
      <c r="A269" s="246"/>
      <c r="B269" s="236">
        <v>229</v>
      </c>
      <c r="C269" s="235" t="s">
        <v>1088</v>
      </c>
      <c r="D269" s="235" t="s">
        <v>1089</v>
      </c>
      <c r="E269" s="235" t="s">
        <v>1037</v>
      </c>
      <c r="F269" s="265">
        <v>0.85</v>
      </c>
      <c r="G269" s="238">
        <f t="shared" si="31"/>
        <v>3983.5</v>
      </c>
      <c r="H269" s="237">
        <f t="shared" si="32"/>
        <v>7967</v>
      </c>
      <c r="I269" s="235"/>
      <c r="J269" s="237">
        <f>SUMIF(File1!$D$1:$D$2034,C269,File1!$H$1:$H$2034)</f>
        <v>4</v>
      </c>
      <c r="K269" s="237">
        <f>SUMIF(File1!$D$8:$D$2034,C269,File1!$I$8:$I$2034)</f>
        <v>0</v>
      </c>
      <c r="L269" s="237">
        <f t="shared" si="33"/>
        <v>4</v>
      </c>
      <c r="M269" s="237">
        <f>SUMIF(File1!$D$3:$D$1800,C269,File1!$K$3:$L$1800)</f>
        <v>0</v>
      </c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</row>
    <row r="270" spans="1:31" ht="13.2">
      <c r="A270" s="246"/>
      <c r="B270" s="236">
        <v>230</v>
      </c>
      <c r="C270" s="235" t="s">
        <v>1090</v>
      </c>
      <c r="D270" s="235" t="s">
        <v>1091</v>
      </c>
      <c r="E270" s="235" t="s">
        <v>1037</v>
      </c>
      <c r="F270" s="265">
        <v>0.85</v>
      </c>
      <c r="G270" s="238">
        <f t="shared" si="31"/>
        <v>3983.5</v>
      </c>
      <c r="H270" s="237">
        <f t="shared" si="32"/>
        <v>7967</v>
      </c>
      <c r="I270" s="235"/>
      <c r="J270" s="237">
        <f>SUMIF(File1!$D$1:$D$2034,C270,File1!$H$1:$H$2034)</f>
        <v>4</v>
      </c>
      <c r="K270" s="237">
        <f>SUMIF(File1!$D$8:$D$2034,C270,File1!$I$8:$I$2034)</f>
        <v>0</v>
      </c>
      <c r="L270" s="237">
        <f t="shared" si="33"/>
        <v>4</v>
      </c>
      <c r="M270" s="237">
        <f>SUMIF(File1!$D$3:$D$1800,C270,File1!$K$3:$L$1800)</f>
        <v>0</v>
      </c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</row>
    <row r="271" spans="1:31" ht="13.2">
      <c r="A271" s="246"/>
      <c r="B271" s="236">
        <v>231</v>
      </c>
      <c r="C271" s="235" t="s">
        <v>1092</v>
      </c>
      <c r="D271" s="235" t="s">
        <v>1093</v>
      </c>
      <c r="E271" s="235" t="s">
        <v>1037</v>
      </c>
      <c r="F271" s="265">
        <v>0.85</v>
      </c>
      <c r="G271" s="238">
        <f t="shared" si="31"/>
        <v>3983.5</v>
      </c>
      <c r="H271" s="237">
        <f t="shared" si="32"/>
        <v>7967</v>
      </c>
      <c r="I271" s="235"/>
      <c r="J271" s="237">
        <f>SUMIF(File1!$D$1:$D$2034,C271,File1!$H$1:$H$2034)</f>
        <v>4</v>
      </c>
      <c r="K271" s="237">
        <f>SUMIF(File1!$D$8:$D$2034,C271,File1!$I$8:$I$2034)</f>
        <v>0</v>
      </c>
      <c r="L271" s="237">
        <f t="shared" si="33"/>
        <v>4</v>
      </c>
      <c r="M271" s="237">
        <f>SUMIF(File1!$D$3:$D$1800,C271,File1!$K$3:$L$1800)</f>
        <v>0</v>
      </c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</row>
    <row r="272" spans="1:31" ht="13.2">
      <c r="A272" s="246"/>
      <c r="B272" s="236">
        <v>232</v>
      </c>
      <c r="C272" s="235" t="s">
        <v>1094</v>
      </c>
      <c r="D272" s="235" t="s">
        <v>1095</v>
      </c>
      <c r="E272" s="235" t="s">
        <v>1037</v>
      </c>
      <c r="F272" s="265">
        <v>1.9</v>
      </c>
      <c r="G272" s="238">
        <f t="shared" si="31"/>
        <v>7669</v>
      </c>
      <c r="H272" s="237">
        <f t="shared" si="32"/>
        <v>15338</v>
      </c>
      <c r="I272" s="235"/>
      <c r="J272" s="237">
        <f>SUMIF(File1!$D$1:$D$2034,C272,File1!$H$1:$H$2034)</f>
        <v>3</v>
      </c>
      <c r="K272" s="237">
        <f>SUMIF(File1!$D$8:$D$2034,C272,File1!$I$8:$I$2034)</f>
        <v>0</v>
      </c>
      <c r="L272" s="237">
        <f t="shared" si="33"/>
        <v>3</v>
      </c>
      <c r="M272" s="237">
        <f>SUMIF(File1!$D$3:$D$1800,C272,File1!$K$3:$L$1800)</f>
        <v>0</v>
      </c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</row>
    <row r="273" spans="1:31" ht="13.2">
      <c r="A273" s="246"/>
      <c r="B273" s="236">
        <v>233</v>
      </c>
      <c r="C273" s="235" t="s">
        <v>1096</v>
      </c>
      <c r="D273" s="235" t="s">
        <v>1097</v>
      </c>
      <c r="E273" s="235" t="s">
        <v>1037</v>
      </c>
      <c r="F273" s="265">
        <v>1.9</v>
      </c>
      <c r="G273" s="238">
        <f t="shared" si="31"/>
        <v>7669</v>
      </c>
      <c r="H273" s="237">
        <f t="shared" si="32"/>
        <v>15338</v>
      </c>
      <c r="I273" s="235"/>
      <c r="J273" s="237">
        <f>SUMIF(File1!$D$1:$D$2034,C273,File1!$H$1:$H$2034)</f>
        <v>3</v>
      </c>
      <c r="K273" s="237">
        <f>SUMIF(File1!$D$8:$D$2034,C273,File1!$I$8:$I$2034)</f>
        <v>0</v>
      </c>
      <c r="L273" s="237">
        <f t="shared" si="33"/>
        <v>3</v>
      </c>
      <c r="M273" s="237">
        <f>SUMIF(File1!$D$3:$D$1800,C273,File1!$K$3:$L$1800)</f>
        <v>0</v>
      </c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</row>
    <row r="274" spans="1:31" ht="13.2">
      <c r="A274" s="246"/>
      <c r="B274" s="236">
        <v>234</v>
      </c>
      <c r="C274" s="235" t="s">
        <v>1098</v>
      </c>
      <c r="D274" s="235" t="s">
        <v>1099</v>
      </c>
      <c r="E274" s="235" t="s">
        <v>1037</v>
      </c>
      <c r="F274" s="265">
        <v>1.9</v>
      </c>
      <c r="G274" s="238">
        <f t="shared" si="31"/>
        <v>7669</v>
      </c>
      <c r="H274" s="237">
        <f t="shared" si="32"/>
        <v>15338</v>
      </c>
      <c r="I274" s="235"/>
      <c r="J274" s="237">
        <f>SUMIF(File1!$D$1:$D$2034,C274,File1!$H$1:$H$2034)</f>
        <v>3</v>
      </c>
      <c r="K274" s="237">
        <f>SUMIF(File1!$D$8:$D$2034,C274,File1!$I$8:$I$2034)</f>
        <v>0</v>
      </c>
      <c r="L274" s="237">
        <f t="shared" si="33"/>
        <v>3</v>
      </c>
      <c r="M274" s="237">
        <f>SUMIF(File1!$D$3:$D$1800,C274,File1!$K$3:$L$1800)</f>
        <v>0</v>
      </c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</row>
    <row r="275" spans="1:31" ht="13.2">
      <c r="A275" s="246"/>
      <c r="B275" s="236">
        <v>235</v>
      </c>
      <c r="C275" s="235" t="s">
        <v>1100</v>
      </c>
      <c r="D275" s="235" t="s">
        <v>1101</v>
      </c>
      <c r="E275" s="235" t="s">
        <v>1037</v>
      </c>
      <c r="F275" s="265">
        <v>1.9</v>
      </c>
      <c r="G275" s="238">
        <f t="shared" si="31"/>
        <v>7669</v>
      </c>
      <c r="H275" s="237">
        <f t="shared" si="32"/>
        <v>15338</v>
      </c>
      <c r="I275" s="235"/>
      <c r="J275" s="237">
        <f>SUMIF(File1!$D$1:$D$2034,C275,File1!$H$1:$H$2034)</f>
        <v>3</v>
      </c>
      <c r="K275" s="237">
        <f>SUMIF(File1!$D$8:$D$2034,C275,File1!$I$8:$I$2034)</f>
        <v>0</v>
      </c>
      <c r="L275" s="237">
        <f t="shared" si="33"/>
        <v>3</v>
      </c>
      <c r="M275" s="237">
        <f>SUMIF(File1!$D$3:$D$1800,C275,File1!$K$3:$L$1800)</f>
        <v>0</v>
      </c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</row>
    <row r="276" spans="1:31" ht="13.2">
      <c r="A276" s="246"/>
      <c r="B276" s="236">
        <v>236</v>
      </c>
      <c r="C276" s="235" t="s">
        <v>1102</v>
      </c>
      <c r="D276" s="235" t="s">
        <v>1103</v>
      </c>
      <c r="E276" s="235" t="s">
        <v>1037</v>
      </c>
      <c r="F276" s="265">
        <f t="shared" ref="F276:F280" si="34">12.4/5</f>
        <v>2.48</v>
      </c>
      <c r="G276" s="238">
        <f t="shared" si="31"/>
        <v>9704.7999999999993</v>
      </c>
      <c r="H276" s="237">
        <f t="shared" si="32"/>
        <v>19409.599999999999</v>
      </c>
      <c r="I276" s="235"/>
      <c r="J276" s="237">
        <f>SUMIF(File1!$D$1:$D$2034,C276,File1!$H$1:$H$2034)</f>
        <v>5</v>
      </c>
      <c r="K276" s="237">
        <f>SUMIF(File1!$D$8:$D$2034,C276,File1!$I$8:$I$2034)</f>
        <v>0</v>
      </c>
      <c r="L276" s="237">
        <f t="shared" si="33"/>
        <v>5</v>
      </c>
      <c r="M276" s="237">
        <f>SUMIF(File1!$D$3:$D$1800,C276,File1!$K$3:$L$1800)</f>
        <v>0</v>
      </c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</row>
    <row r="277" spans="1:31" ht="13.2">
      <c r="A277" s="246"/>
      <c r="B277" s="236">
        <v>237</v>
      </c>
      <c r="C277" s="235" t="s">
        <v>1104</v>
      </c>
      <c r="D277" s="235" t="s">
        <v>1105</v>
      </c>
      <c r="E277" s="235" t="s">
        <v>1037</v>
      </c>
      <c r="F277" s="265">
        <f t="shared" si="34"/>
        <v>2.48</v>
      </c>
      <c r="G277" s="238">
        <f t="shared" si="31"/>
        <v>9704.7999999999993</v>
      </c>
      <c r="H277" s="237">
        <f t="shared" si="32"/>
        <v>19409.599999999999</v>
      </c>
      <c r="I277" s="235"/>
      <c r="J277" s="237">
        <f>SUMIF(File1!$D$1:$D$2034,C277,File1!$H$1:$H$2034)</f>
        <v>5</v>
      </c>
      <c r="K277" s="237">
        <f>SUMIF(File1!$D$8:$D$2034,C277,File1!$I$8:$I$2034)</f>
        <v>0</v>
      </c>
      <c r="L277" s="237">
        <f t="shared" si="33"/>
        <v>5</v>
      </c>
      <c r="M277" s="237">
        <f>SUMIF(File1!$D$3:$D$1800,C277,File1!$K$3:$L$1800)</f>
        <v>0</v>
      </c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</row>
    <row r="278" spans="1:31" ht="13.2">
      <c r="A278" s="246"/>
      <c r="B278" s="236">
        <v>238</v>
      </c>
      <c r="C278" s="235" t="s">
        <v>1106</v>
      </c>
      <c r="D278" s="235" t="s">
        <v>1107</v>
      </c>
      <c r="E278" s="235" t="s">
        <v>1037</v>
      </c>
      <c r="F278" s="265">
        <f t="shared" si="34"/>
        <v>2.48</v>
      </c>
      <c r="G278" s="238">
        <f t="shared" si="31"/>
        <v>9704.7999999999993</v>
      </c>
      <c r="H278" s="237">
        <f t="shared" si="32"/>
        <v>19409.599999999999</v>
      </c>
      <c r="I278" s="235"/>
      <c r="J278" s="237">
        <f>SUMIF(File1!$D$1:$D$2034,C278,File1!$H$1:$H$2034)</f>
        <v>5</v>
      </c>
      <c r="K278" s="237">
        <f>SUMIF(File1!$D$8:$D$2034,C278,File1!$I$8:$I$2034)</f>
        <v>0</v>
      </c>
      <c r="L278" s="237">
        <f t="shared" si="33"/>
        <v>5</v>
      </c>
      <c r="M278" s="237">
        <f>SUMIF(File1!$D$3:$D$1800,C278,File1!$K$3:$L$1800)</f>
        <v>0</v>
      </c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</row>
    <row r="279" spans="1:31" ht="13.2">
      <c r="A279" s="246"/>
      <c r="B279" s="236">
        <v>239</v>
      </c>
      <c r="C279" s="235" t="s">
        <v>1108</v>
      </c>
      <c r="D279" s="235" t="s">
        <v>1099</v>
      </c>
      <c r="E279" s="235" t="s">
        <v>1037</v>
      </c>
      <c r="F279" s="265">
        <f t="shared" si="34"/>
        <v>2.48</v>
      </c>
      <c r="G279" s="238">
        <f t="shared" si="31"/>
        <v>9704.7999999999993</v>
      </c>
      <c r="H279" s="237">
        <f t="shared" si="32"/>
        <v>19409.599999999999</v>
      </c>
      <c r="I279" s="235"/>
      <c r="J279" s="237">
        <f>SUMIF(File1!$D$1:$D$2034,C279,File1!$H$1:$H$2034)</f>
        <v>5</v>
      </c>
      <c r="K279" s="237">
        <f>SUMIF(File1!$D$8:$D$2034,C279,File1!$I$8:$I$2034)</f>
        <v>1</v>
      </c>
      <c r="L279" s="237">
        <f t="shared" si="33"/>
        <v>4</v>
      </c>
      <c r="M279" s="237">
        <f>SUMIF(File1!$D$3:$D$1800,C279,File1!$K$3:$L$1800)</f>
        <v>18000</v>
      </c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</row>
    <row r="280" spans="1:31" ht="13.2">
      <c r="A280" s="246"/>
      <c r="B280" s="236">
        <v>240</v>
      </c>
      <c r="C280" s="235" t="s">
        <v>2148</v>
      </c>
      <c r="D280" s="235" t="s">
        <v>1110</v>
      </c>
      <c r="E280" s="235" t="s">
        <v>1037</v>
      </c>
      <c r="F280" s="265">
        <f t="shared" si="34"/>
        <v>2.48</v>
      </c>
      <c r="G280" s="238">
        <f t="shared" si="31"/>
        <v>9704.7999999999993</v>
      </c>
      <c r="H280" s="237">
        <f t="shared" si="32"/>
        <v>19409.599999999999</v>
      </c>
      <c r="I280" s="235"/>
      <c r="J280" s="237">
        <f>SUMIF(File1!$D$1:$D$2034,C280,File1!$H$1:$H$2034)</f>
        <v>5</v>
      </c>
      <c r="K280" s="237">
        <f>SUMIF(File1!$D$8:$D$2034,C280,File1!$I$8:$I$2034)</f>
        <v>2</v>
      </c>
      <c r="L280" s="237">
        <f t="shared" si="33"/>
        <v>3</v>
      </c>
      <c r="M280" s="237">
        <f>SUMIF(File1!$D$3:$D$1800,C280,File1!$K$3:$L$1800)</f>
        <v>33680.199999999997</v>
      </c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</row>
    <row r="281" spans="1:31" ht="13.2">
      <c r="A281" s="246"/>
      <c r="B281" s="236">
        <v>241</v>
      </c>
      <c r="C281" s="235"/>
      <c r="D281" s="235"/>
      <c r="E281" s="235"/>
      <c r="F281" s="267"/>
      <c r="G281" s="268"/>
      <c r="H281" s="235"/>
      <c r="I281" s="235"/>
      <c r="J281" s="237">
        <f>SUMIF(File1!$D$1:$D$2034,C281,File1!$H$1:$H$2034)</f>
        <v>0</v>
      </c>
      <c r="K281" s="237">
        <f>SUMIF(File1!$D$8:$D$2034,C281,File1!$I$8:$I$2034)</f>
        <v>0</v>
      </c>
      <c r="L281" s="237">
        <f t="shared" si="33"/>
        <v>0</v>
      </c>
      <c r="M281" s="237">
        <f>SUMIF(File1!$D$3:$D$1800,C281,File1!$K$3:$L$1800)</f>
        <v>0</v>
      </c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</row>
    <row r="282" spans="1:31" ht="13.2">
      <c r="A282" s="246"/>
      <c r="B282" s="236">
        <v>242</v>
      </c>
      <c r="C282" s="235"/>
      <c r="D282" s="235"/>
      <c r="E282" s="235"/>
      <c r="F282" s="267"/>
      <c r="G282" s="268"/>
      <c r="H282" s="235"/>
      <c r="I282" s="235"/>
      <c r="J282" s="237">
        <f>SUMIF(File1!$D$1:$D$2034,C282,File1!$H$1:$H$2034)</f>
        <v>0</v>
      </c>
      <c r="K282" s="237">
        <f>SUMIF(File1!$D$8:$D$2034,C282,File1!$I$8:$I$2034)</f>
        <v>0</v>
      </c>
      <c r="L282" s="237">
        <f t="shared" si="33"/>
        <v>0</v>
      </c>
      <c r="M282" s="237">
        <f>SUMIF(File1!$D$3:$D$1800,C282,File1!$K$3:$L$1800)</f>
        <v>0</v>
      </c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</row>
    <row r="283" spans="1:31" ht="13.2">
      <c r="A283" s="246"/>
      <c r="B283" s="236">
        <v>243</v>
      </c>
      <c r="C283" s="235"/>
      <c r="D283" s="235"/>
      <c r="E283" s="235"/>
      <c r="F283" s="267"/>
      <c r="G283" s="268"/>
      <c r="H283" s="235"/>
      <c r="I283" s="235"/>
      <c r="J283" s="237">
        <f>SUMIF(File1!$D$1:$D$2034,C283,File1!$H$1:$H$2034)</f>
        <v>0</v>
      </c>
      <c r="K283" s="237">
        <f>SUMIF(File1!$D$8:$D$2034,C283,File1!$I$8:$I$2034)</f>
        <v>0</v>
      </c>
      <c r="L283" s="237">
        <f t="shared" si="33"/>
        <v>0</v>
      </c>
      <c r="M283" s="237">
        <f>SUMIF(File1!$D$3:$D$1800,C283,File1!$K$3:$L$1800)</f>
        <v>0</v>
      </c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</row>
    <row r="284" spans="1:31" ht="13.2">
      <c r="A284" s="246"/>
      <c r="B284" s="236">
        <v>244</v>
      </c>
      <c r="C284" s="235"/>
      <c r="D284" s="235"/>
      <c r="E284" s="235"/>
      <c r="F284" s="267"/>
      <c r="G284" s="268"/>
      <c r="H284" s="235"/>
      <c r="I284" s="235"/>
      <c r="J284" s="237">
        <f>SUMIF(File1!$D$1:$D$2034,C284,File1!$H$1:$H$2034)</f>
        <v>0</v>
      </c>
      <c r="K284" s="237">
        <f>SUMIF(File1!$D$8:$D$2034,C284,File1!$I$8:$I$2034)</f>
        <v>0</v>
      </c>
      <c r="L284" s="237">
        <f t="shared" si="33"/>
        <v>0</v>
      </c>
      <c r="M284" s="237">
        <f>SUMIF(File1!$D$3:$D$1800,C284,File1!$K$3:$L$1800)</f>
        <v>0</v>
      </c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</row>
    <row r="285" spans="1:31" ht="13.2">
      <c r="A285" s="246"/>
      <c r="B285" s="236">
        <v>245</v>
      </c>
      <c r="C285" s="235"/>
      <c r="D285" s="235"/>
      <c r="E285" s="235"/>
      <c r="F285" s="267"/>
      <c r="G285" s="268"/>
      <c r="H285" s="235"/>
      <c r="I285" s="235"/>
      <c r="J285" s="237">
        <f>SUMIF(File1!$D$1:$D$2034,C285,File1!$H$1:$H$2034)</f>
        <v>0</v>
      </c>
      <c r="K285" s="237">
        <f>SUMIF(File1!$D$8:$D$2034,C285,File1!$I$8:$I$2034)</f>
        <v>0</v>
      </c>
      <c r="L285" s="237">
        <f t="shared" si="33"/>
        <v>0</v>
      </c>
      <c r="M285" s="237">
        <f>SUMIF(File1!$D$3:$D$1800,C285,File1!$K$3:$L$1800)</f>
        <v>0</v>
      </c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</row>
    <row r="286" spans="1:31" ht="13.2">
      <c r="A286" s="246"/>
      <c r="B286" s="236">
        <v>246</v>
      </c>
      <c r="C286" s="235"/>
      <c r="D286" s="235"/>
      <c r="E286" s="235"/>
      <c r="F286" s="267"/>
      <c r="G286" s="268"/>
      <c r="H286" s="235"/>
      <c r="I286" s="235"/>
      <c r="J286" s="237">
        <f>SUMIF(File1!$D$1:$D$2034,C286,File1!$H$1:$H$2034)</f>
        <v>0</v>
      </c>
      <c r="K286" s="237">
        <f>SUMIF(File1!$D$8:$D$2034,C286,File1!$I$8:$I$2034)</f>
        <v>0</v>
      </c>
      <c r="L286" s="237">
        <f t="shared" si="33"/>
        <v>0</v>
      </c>
      <c r="M286" s="237">
        <f>SUMIF(File1!$D$3:$D$1800,C286,File1!$K$3:$L$1800)</f>
        <v>0</v>
      </c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</row>
    <row r="287" spans="1:31" ht="13.2">
      <c r="A287" s="246"/>
      <c r="B287" s="236">
        <v>247</v>
      </c>
      <c r="C287" s="235"/>
      <c r="D287" s="235"/>
      <c r="E287" s="235"/>
      <c r="F287" s="267"/>
      <c r="G287" s="268"/>
      <c r="H287" s="235"/>
      <c r="I287" s="235"/>
      <c r="J287" s="237">
        <f>SUMIF(File1!$D$1:$D$2034,C287,File1!$H$1:$H$2034)</f>
        <v>0</v>
      </c>
      <c r="K287" s="237">
        <f>SUMIF(File1!$D$8:$D$2034,C287,File1!$I$8:$I$2034)</f>
        <v>0</v>
      </c>
      <c r="L287" s="237">
        <f t="shared" si="33"/>
        <v>0</v>
      </c>
      <c r="M287" s="237">
        <f>SUMIF(File1!$D$3:$D$1800,C287,File1!$K$3:$L$1800)</f>
        <v>0</v>
      </c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</row>
    <row r="288" spans="1:31" ht="13.2">
      <c r="A288" s="246"/>
      <c r="B288" s="236">
        <v>248</v>
      </c>
      <c r="C288" s="235"/>
      <c r="D288" s="235"/>
      <c r="E288" s="235"/>
      <c r="F288" s="267"/>
      <c r="G288" s="268"/>
      <c r="H288" s="235"/>
      <c r="I288" s="235"/>
      <c r="J288" s="237">
        <f>SUMIF(File1!$D$1:$D$2034,C288,File1!$H$1:$H$2034)</f>
        <v>0</v>
      </c>
      <c r="K288" s="237">
        <f>SUMIF(File1!$D$8:$D$2034,C288,File1!$I$8:$I$2034)</f>
        <v>0</v>
      </c>
      <c r="L288" s="237">
        <f t="shared" si="33"/>
        <v>0</v>
      </c>
      <c r="M288" s="237">
        <f>SUMIF(File1!$D$3:$D$1800,C288,File1!$K$3:$L$1800)</f>
        <v>0</v>
      </c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</row>
    <row r="289" spans="1:31" ht="13.2">
      <c r="A289" s="246"/>
      <c r="B289" s="236">
        <v>249</v>
      </c>
      <c r="C289" s="235"/>
      <c r="D289" s="235"/>
      <c r="E289" s="235"/>
      <c r="F289" s="267"/>
      <c r="G289" s="268"/>
      <c r="H289" s="235"/>
      <c r="I289" s="235"/>
      <c r="J289" s="237">
        <f>SUMIF(File1!$D$1:$D$2034,C289,File1!$H$1:$H$2034)</f>
        <v>0</v>
      </c>
      <c r="K289" s="237">
        <f>SUMIF(File1!$D$8:$D$2034,C289,File1!$I$8:$I$2034)</f>
        <v>0</v>
      </c>
      <c r="L289" s="237">
        <f t="shared" si="33"/>
        <v>0</v>
      </c>
      <c r="M289" s="237">
        <f>SUMIF(File1!$D$3:$D$1800,C289,File1!$K$3:$L$1800)</f>
        <v>0</v>
      </c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</row>
    <row r="290" spans="1:31" ht="13.2">
      <c r="A290" s="246"/>
      <c r="B290" s="236">
        <v>250</v>
      </c>
      <c r="C290" s="235"/>
      <c r="D290" s="235"/>
      <c r="E290" s="235"/>
      <c r="F290" s="267"/>
      <c r="G290" s="268"/>
      <c r="H290" s="235"/>
      <c r="I290" s="235"/>
      <c r="J290" s="237">
        <f>SUMIF(File1!$D$1:$D$2034,C290,File1!$H$1:$H$2034)</f>
        <v>0</v>
      </c>
      <c r="K290" s="237">
        <f>SUMIF(File1!$D$8:$D$2034,C290,File1!$I$8:$I$2034)</f>
        <v>0</v>
      </c>
      <c r="L290" s="237">
        <f t="shared" si="33"/>
        <v>0</v>
      </c>
      <c r="M290" s="237">
        <f>SUMIF(File1!$D$3:$D$1800,C290,File1!$K$3:$L$1800)</f>
        <v>0</v>
      </c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</row>
    <row r="291" spans="1:31" ht="13.2">
      <c r="A291" s="246"/>
      <c r="B291" s="236">
        <v>251</v>
      </c>
      <c r="C291" s="235"/>
      <c r="D291" s="235"/>
      <c r="E291" s="235"/>
      <c r="F291" s="267"/>
      <c r="G291" s="268"/>
      <c r="H291" s="235"/>
      <c r="I291" s="235"/>
      <c r="J291" s="237">
        <f>SUMIF(File1!$D$1:$D$2034,C291,File1!$H$1:$H$2034)</f>
        <v>0</v>
      </c>
      <c r="K291" s="237">
        <f>SUMIF(File1!$D$8:$D$2034,C291,File1!$I$8:$I$2034)</f>
        <v>0</v>
      </c>
      <c r="L291" s="237">
        <f t="shared" si="33"/>
        <v>0</v>
      </c>
      <c r="M291" s="237">
        <f>SUMIF(File1!$D$3:$D$1800,C291,File1!$K$3:$L$1800)</f>
        <v>0</v>
      </c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</row>
    <row r="292" spans="1:31" ht="13.2">
      <c r="A292" s="246"/>
      <c r="B292" s="236">
        <v>252</v>
      </c>
      <c r="C292" s="235"/>
      <c r="D292" s="235"/>
      <c r="E292" s="235"/>
      <c r="F292" s="267"/>
      <c r="G292" s="268"/>
      <c r="H292" s="235"/>
      <c r="I292" s="235"/>
      <c r="J292" s="237">
        <f>SUMIF(File1!$D$1:$D$2034,C292,File1!$H$1:$H$2034)</f>
        <v>0</v>
      </c>
      <c r="K292" s="237">
        <f>SUMIF(File1!$D$8:$D$2034,C292,File1!$I$8:$I$2034)</f>
        <v>0</v>
      </c>
      <c r="L292" s="237">
        <f t="shared" si="33"/>
        <v>0</v>
      </c>
      <c r="M292" s="237">
        <f>SUMIF(File1!$D$3:$D$1800,C292,File1!$K$3:$L$1800)</f>
        <v>0</v>
      </c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</row>
    <row r="293" spans="1:31" ht="13.2">
      <c r="A293" s="246"/>
      <c r="B293" s="236">
        <v>253</v>
      </c>
      <c r="C293" s="235"/>
      <c r="D293" s="235"/>
      <c r="E293" s="235"/>
      <c r="F293" s="267"/>
      <c r="G293" s="268"/>
      <c r="H293" s="235"/>
      <c r="I293" s="235"/>
      <c r="J293" s="237">
        <f>SUMIF(File1!$D$1:$D$2034,C293,File1!$H$1:$H$2034)</f>
        <v>0</v>
      </c>
      <c r="K293" s="237">
        <f>SUMIF(File1!$D$8:$D$2034,C293,File1!$I$8:$I$2034)</f>
        <v>0</v>
      </c>
      <c r="L293" s="237">
        <f t="shared" si="33"/>
        <v>0</v>
      </c>
      <c r="M293" s="237">
        <f>SUMIF(File1!$D$3:$D$1800,C293,File1!$K$3:$L$1800)</f>
        <v>0</v>
      </c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</row>
    <row r="294" spans="1:31" ht="13.2">
      <c r="A294" s="246"/>
      <c r="B294" s="236">
        <v>254</v>
      </c>
      <c r="C294" s="235"/>
      <c r="D294" s="235"/>
      <c r="E294" s="235"/>
      <c r="F294" s="267"/>
      <c r="G294" s="268"/>
      <c r="H294" s="235"/>
      <c r="I294" s="235"/>
      <c r="J294" s="237">
        <f>SUMIF(File1!$D$1:$D$2034,C294,File1!$H$1:$H$2034)</f>
        <v>0</v>
      </c>
      <c r="K294" s="237">
        <f>SUMIF(File1!$D$8:$D$2034,C294,File1!$I$8:$I$2034)</f>
        <v>0</v>
      </c>
      <c r="L294" s="237">
        <f t="shared" si="33"/>
        <v>0</v>
      </c>
      <c r="M294" s="237">
        <f>SUMIF(File1!$D$3:$D$1800,C294,File1!$K$3:$L$1800)</f>
        <v>0</v>
      </c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</row>
    <row r="295" spans="1:31" ht="13.2">
      <c r="A295" s="246"/>
      <c r="B295" s="236">
        <v>255</v>
      </c>
      <c r="C295" s="235"/>
      <c r="D295" s="235"/>
      <c r="E295" s="235"/>
      <c r="F295" s="267"/>
      <c r="G295" s="268"/>
      <c r="H295" s="235"/>
      <c r="I295" s="235"/>
      <c r="J295" s="237">
        <f>SUMIF(File1!$D$1:$D$2034,C295,File1!$H$1:$H$2034)</f>
        <v>0</v>
      </c>
      <c r="K295" s="237">
        <f>SUMIF(File1!$D$8:$D$2034,C295,File1!$I$8:$I$2034)</f>
        <v>0</v>
      </c>
      <c r="L295" s="237">
        <f t="shared" si="33"/>
        <v>0</v>
      </c>
      <c r="M295" s="237">
        <f>SUMIF(File1!$D$3:$D$1800,C295,File1!$K$3:$L$1800)</f>
        <v>0</v>
      </c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</row>
    <row r="296" spans="1:31" ht="13.2">
      <c r="A296" s="246"/>
      <c r="B296" s="236">
        <v>256</v>
      </c>
      <c r="C296" s="235"/>
      <c r="D296" s="235"/>
      <c r="E296" s="235"/>
      <c r="F296" s="267"/>
      <c r="G296" s="268"/>
      <c r="H296" s="235"/>
      <c r="I296" s="235"/>
      <c r="J296" s="237">
        <f>SUMIF(File1!$D$1:$D$2034,C296,File1!$H$1:$H$2034)</f>
        <v>0</v>
      </c>
      <c r="K296" s="237">
        <f>SUMIF(File1!$D$8:$D$2034,C296,File1!$I$8:$I$2034)</f>
        <v>0</v>
      </c>
      <c r="L296" s="237">
        <f t="shared" si="33"/>
        <v>0</v>
      </c>
      <c r="M296" s="237">
        <f>SUMIF(File1!$D$3:$D$1800,C296,File1!$K$3:$L$1800)</f>
        <v>0</v>
      </c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</row>
    <row r="297" spans="1:31" ht="13.2">
      <c r="A297" s="246"/>
      <c r="B297" s="236">
        <v>257</v>
      </c>
      <c r="C297" s="235"/>
      <c r="D297" s="235"/>
      <c r="E297" s="235"/>
      <c r="F297" s="267"/>
      <c r="G297" s="268"/>
      <c r="H297" s="235"/>
      <c r="I297" s="235"/>
      <c r="J297" s="237">
        <f>SUMIF(File1!$D$1:$D$2034,C297,File1!$H$1:$H$2034)</f>
        <v>0</v>
      </c>
      <c r="K297" s="237">
        <f>SUMIF(File1!$D$8:$D$2034,C297,File1!$I$8:$I$2034)</f>
        <v>0</v>
      </c>
      <c r="L297" s="237">
        <f t="shared" si="33"/>
        <v>0</v>
      </c>
      <c r="M297" s="237">
        <f>SUMIF(File1!$D$3:$D$1800,C297,File1!$K$3:$L$1800)</f>
        <v>0</v>
      </c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</row>
    <row r="298" spans="1:31" ht="13.2">
      <c r="A298" s="246"/>
      <c r="B298" s="236">
        <v>258</v>
      </c>
      <c r="C298" s="235"/>
      <c r="D298" s="235"/>
      <c r="E298" s="235"/>
      <c r="F298" s="267"/>
      <c r="G298" s="268"/>
      <c r="H298" s="235"/>
      <c r="I298" s="235"/>
      <c r="J298" s="237">
        <f>SUMIF(File1!$D$1:$D$2034,C298,File1!$H$1:$H$2034)</f>
        <v>0</v>
      </c>
      <c r="K298" s="237">
        <f>SUMIF(File1!$D$8:$D$2034,C298,File1!$I$8:$I$2034)</f>
        <v>0</v>
      </c>
      <c r="L298" s="237">
        <f t="shared" si="33"/>
        <v>0</v>
      </c>
      <c r="M298" s="237">
        <f>SUMIF(File1!$D$3:$D$1800,C298,File1!$K$3:$L$1800)</f>
        <v>0</v>
      </c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</row>
    <row r="299" spans="1:31" ht="13.2">
      <c r="A299" s="246"/>
      <c r="B299" s="236">
        <v>259</v>
      </c>
      <c r="C299" s="235"/>
      <c r="D299" s="235"/>
      <c r="E299" s="235"/>
      <c r="F299" s="267"/>
      <c r="G299" s="268"/>
      <c r="H299" s="235"/>
      <c r="I299" s="235"/>
      <c r="J299" s="237">
        <f>SUMIF(File1!$D$1:$D$2034,C299,File1!$H$1:$H$2034)</f>
        <v>0</v>
      </c>
      <c r="K299" s="237">
        <f>SUMIF(File1!$D$8:$D$2034,C299,File1!$I$8:$I$2034)</f>
        <v>0</v>
      </c>
      <c r="L299" s="237">
        <f t="shared" si="33"/>
        <v>0</v>
      </c>
      <c r="M299" s="237">
        <f>SUMIF(File1!$D$3:$D$1800,C299,File1!$K$3:$L$1800)</f>
        <v>0</v>
      </c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</row>
    <row r="300" spans="1:31" ht="13.2">
      <c r="A300" s="246"/>
      <c r="B300" s="236">
        <v>260</v>
      </c>
      <c r="C300" s="235"/>
      <c r="D300" s="235"/>
      <c r="E300" s="235"/>
      <c r="F300" s="267"/>
      <c r="G300" s="268"/>
      <c r="H300" s="235"/>
      <c r="I300" s="235"/>
      <c r="J300" s="237">
        <f>SUMIF(File1!$D$1:$D$2034,C300,File1!$H$1:$H$2034)</f>
        <v>0</v>
      </c>
      <c r="K300" s="237">
        <f>SUMIF(File1!$D$8:$D$2034,C300,File1!$I$8:$I$2034)</f>
        <v>0</v>
      </c>
      <c r="L300" s="237">
        <f t="shared" si="33"/>
        <v>0</v>
      </c>
      <c r="M300" s="237">
        <f>SUMIF(File1!$D$3:$D$1800,C300,File1!$K$3:$L$1800)</f>
        <v>0</v>
      </c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</row>
    <row r="301" spans="1:31" ht="13.2">
      <c r="A301" s="246"/>
      <c r="B301" s="236">
        <v>261</v>
      </c>
      <c r="C301" s="235"/>
      <c r="D301" s="235"/>
      <c r="E301" s="235"/>
      <c r="F301" s="267"/>
      <c r="G301" s="268"/>
      <c r="H301" s="235"/>
      <c r="I301" s="235"/>
      <c r="J301" s="237">
        <f>SUMIF(File1!$D$1:$D$2034,C301,File1!$H$1:$H$2034)</f>
        <v>0</v>
      </c>
      <c r="K301" s="237">
        <f>SUMIF(File1!$D$8:$D$2034,C301,File1!$I$8:$I$2034)</f>
        <v>0</v>
      </c>
      <c r="L301" s="237">
        <f t="shared" si="33"/>
        <v>0</v>
      </c>
      <c r="M301" s="237">
        <f>SUMIF(File1!$D$3:$D$1800,C301,File1!$K$3:$L$1800)</f>
        <v>0</v>
      </c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</row>
    <row r="302" spans="1:31" ht="13.2">
      <c r="A302" s="246"/>
      <c r="B302" s="236">
        <v>262</v>
      </c>
      <c r="C302" s="235"/>
      <c r="D302" s="235"/>
      <c r="E302" s="235"/>
      <c r="F302" s="267"/>
      <c r="G302" s="268"/>
      <c r="H302" s="235"/>
      <c r="I302" s="235"/>
      <c r="J302" s="237">
        <f>SUMIF(File1!$D$1:$D$2034,C302,File1!$H$1:$H$2034)</f>
        <v>0</v>
      </c>
      <c r="K302" s="237">
        <f>SUMIF(File1!$D$8:$D$2034,C302,File1!$I$8:$I$2034)</f>
        <v>0</v>
      </c>
      <c r="L302" s="237">
        <f t="shared" si="33"/>
        <v>0</v>
      </c>
      <c r="M302" s="237">
        <f>SUMIF(File1!$D$3:$D$1800,C302,File1!$K$3:$L$1800)</f>
        <v>0</v>
      </c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</row>
    <row r="303" spans="1:31" ht="13.2">
      <c r="A303" s="246"/>
      <c r="B303" s="236">
        <v>263</v>
      </c>
      <c r="C303" s="235"/>
      <c r="D303" s="235"/>
      <c r="E303" s="235"/>
      <c r="F303" s="267"/>
      <c r="G303" s="268"/>
      <c r="H303" s="235"/>
      <c r="I303" s="235"/>
      <c r="J303" s="237">
        <f>SUMIF(File1!$D$1:$D$2034,C303,File1!$H$1:$H$2034)</f>
        <v>0</v>
      </c>
      <c r="K303" s="237">
        <f>SUMIF(File1!$D$8:$D$2034,C303,File1!$I$8:$I$2034)</f>
        <v>0</v>
      </c>
      <c r="L303" s="237">
        <f t="shared" si="33"/>
        <v>0</v>
      </c>
      <c r="M303" s="237">
        <f>SUMIF(File1!$D$3:$D$1800,C303,File1!$K$3:$L$1800)</f>
        <v>0</v>
      </c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</row>
    <row r="304" spans="1:31" ht="13.2">
      <c r="A304" s="246"/>
      <c r="B304" s="236">
        <v>264</v>
      </c>
      <c r="C304" s="235"/>
      <c r="D304" s="235"/>
      <c r="E304" s="235"/>
      <c r="F304" s="267"/>
      <c r="G304" s="268"/>
      <c r="H304" s="235"/>
      <c r="I304" s="235"/>
      <c r="J304" s="237">
        <f>SUMIF(File1!$D$1:$D$2034,C304,File1!$H$1:$H$2034)</f>
        <v>0</v>
      </c>
      <c r="K304" s="237">
        <f>SUMIF(File1!$D$8:$D$2034,C304,File1!$I$8:$I$2034)</f>
        <v>0</v>
      </c>
      <c r="L304" s="237">
        <f t="shared" si="33"/>
        <v>0</v>
      </c>
      <c r="M304" s="237">
        <f>SUMIF(File1!$D$3:$D$1800,C304,File1!$K$3:$L$1800)</f>
        <v>0</v>
      </c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</row>
    <row r="305" spans="1:31" ht="13.2">
      <c r="A305" s="246"/>
      <c r="B305" s="236">
        <v>265</v>
      </c>
      <c r="C305" s="235"/>
      <c r="D305" s="235"/>
      <c r="E305" s="235"/>
      <c r="F305" s="267"/>
      <c r="G305" s="268"/>
      <c r="H305" s="235"/>
      <c r="I305" s="235"/>
      <c r="J305" s="237">
        <f>SUMIF(File1!$D$1:$D$2034,C305,File1!$H$1:$H$2034)</f>
        <v>0</v>
      </c>
      <c r="K305" s="237">
        <f>SUMIF(File1!$D$8:$D$2034,C305,File1!$I$8:$I$2034)</f>
        <v>0</v>
      </c>
      <c r="L305" s="237">
        <f t="shared" si="33"/>
        <v>0</v>
      </c>
      <c r="M305" s="237">
        <f>SUMIF(File1!$D$3:$D$1800,C305,File1!$K$3:$L$1800)</f>
        <v>0</v>
      </c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</row>
    <row r="306" spans="1:31" ht="13.2">
      <c r="A306" s="246"/>
      <c r="B306" s="236">
        <v>266</v>
      </c>
      <c r="C306" s="235"/>
      <c r="D306" s="235"/>
      <c r="E306" s="235"/>
      <c r="F306" s="267"/>
      <c r="G306" s="268"/>
      <c r="H306" s="235"/>
      <c r="I306" s="235"/>
      <c r="J306" s="237">
        <f>SUMIF(File1!$D$1:$D$2034,C306,File1!$H$1:$H$2034)</f>
        <v>0</v>
      </c>
      <c r="K306" s="237">
        <f>SUMIF(File1!$D$8:$D$2034,C306,File1!$I$8:$I$2034)</f>
        <v>0</v>
      </c>
      <c r="L306" s="237">
        <f t="shared" si="33"/>
        <v>0</v>
      </c>
      <c r="M306" s="237">
        <f>SUMIF(File1!$D$3:$D$1800,C306,File1!$K$3:$L$1800)</f>
        <v>0</v>
      </c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</row>
    <row r="307" spans="1:31" ht="13.2">
      <c r="A307" s="246"/>
      <c r="B307" s="236">
        <v>267</v>
      </c>
      <c r="C307" s="126"/>
      <c r="D307" s="126"/>
      <c r="E307" s="126"/>
      <c r="F307" s="271"/>
      <c r="G307" s="272"/>
      <c r="H307" s="126"/>
      <c r="I307" s="246"/>
      <c r="J307" s="237">
        <f>SUMIF(File1!$D$1:$D$2034,C307,File1!$H$1:$H$2034)</f>
        <v>0</v>
      </c>
      <c r="K307" s="237">
        <f>SUMIF(File1!$D$8:$D$2034,C307,File1!$I$8:$I$2034)</f>
        <v>0</v>
      </c>
      <c r="L307" s="237">
        <f t="shared" si="33"/>
        <v>0</v>
      </c>
      <c r="M307" s="237">
        <f>SUMIF(File1!$D$3:$D$1800,C307,File1!$K$3:$L$1800)</f>
        <v>0</v>
      </c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</row>
    <row r="308" spans="1:31" ht="13.2">
      <c r="A308" s="246"/>
      <c r="B308" s="236">
        <v>268</v>
      </c>
      <c r="C308" s="126"/>
      <c r="D308" s="126"/>
      <c r="E308" s="126"/>
      <c r="F308" s="271"/>
      <c r="G308" s="272"/>
      <c r="H308" s="126"/>
      <c r="I308" s="246"/>
      <c r="J308" s="237">
        <f>SUMIF(File1!$D$1:$D$2034,C308,File1!$H$1:$H$2034)</f>
        <v>0</v>
      </c>
      <c r="K308" s="237">
        <f>SUMIF(File1!$D$8:$D$2034,C308,File1!$I$8:$I$2034)</f>
        <v>0</v>
      </c>
      <c r="L308" s="237">
        <f t="shared" si="33"/>
        <v>0</v>
      </c>
      <c r="M308" s="237">
        <f>SUMIF(File1!$D$3:$D$1800,C308,File1!$K$3:$L$1800)</f>
        <v>0</v>
      </c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</row>
    <row r="309" spans="1:31" ht="13.2">
      <c r="A309" s="246"/>
      <c r="B309" s="236">
        <v>269</v>
      </c>
      <c r="C309" s="126"/>
      <c r="D309" s="126"/>
      <c r="E309" s="126"/>
      <c r="F309" s="271"/>
      <c r="G309" s="272"/>
      <c r="H309" s="126"/>
      <c r="I309" s="246"/>
      <c r="J309" s="237">
        <f>SUMIF(File1!$D$1:$D$2034,C309,File1!$H$1:$H$2034)</f>
        <v>0</v>
      </c>
      <c r="K309" s="237">
        <f>SUMIF(File1!$D$8:$D$2034,C309,File1!$I$8:$I$2034)</f>
        <v>0</v>
      </c>
      <c r="L309" s="237">
        <f t="shared" si="33"/>
        <v>0</v>
      </c>
      <c r="M309" s="237">
        <f>SUMIF(File1!$D$3:$D$1800,C309,File1!$K$3:$L$1800)</f>
        <v>0</v>
      </c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</row>
    <row r="310" spans="1:31" ht="13.2">
      <c r="A310" s="246"/>
      <c r="B310" s="236">
        <v>270</v>
      </c>
      <c r="C310" s="126"/>
      <c r="D310" s="126"/>
      <c r="E310" s="126"/>
      <c r="F310" s="271"/>
      <c r="G310" s="272"/>
      <c r="H310" s="126"/>
      <c r="I310" s="246"/>
      <c r="J310" s="237">
        <f>SUMIF(File1!$D$1:$D$2034,C310,File1!$H$1:$H$2034)</f>
        <v>0</v>
      </c>
      <c r="K310" s="237">
        <f>SUMIF(File1!$D$8:$D$2034,C310,File1!$I$8:$I$2034)</f>
        <v>0</v>
      </c>
      <c r="L310" s="237">
        <f t="shared" si="33"/>
        <v>0</v>
      </c>
      <c r="M310" s="237">
        <f>SUMIF(File1!$D$3:$D$1800,C310,File1!$K$3:$L$1800)</f>
        <v>0</v>
      </c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</row>
    <row r="311" spans="1:31" ht="13.2">
      <c r="A311" s="246"/>
      <c r="B311" s="236">
        <v>271</v>
      </c>
      <c r="C311" s="126"/>
      <c r="D311" s="126"/>
      <c r="E311" s="126"/>
      <c r="F311" s="271"/>
      <c r="G311" s="272"/>
      <c r="H311" s="126"/>
      <c r="I311" s="246"/>
      <c r="J311" s="237">
        <f>SUMIF(File1!$D$1:$D$2034,C311,File1!$H$1:$H$2034)</f>
        <v>0</v>
      </c>
      <c r="K311" s="237">
        <f>SUMIF(File1!$D$8:$D$2034,C311,File1!$I$8:$I$2034)</f>
        <v>0</v>
      </c>
      <c r="L311" s="237">
        <f t="shared" si="33"/>
        <v>0</v>
      </c>
      <c r="M311" s="237">
        <f>SUMIF(File1!$D$3:$D$1800,C311,File1!$K$3:$L$1800)</f>
        <v>0</v>
      </c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</row>
    <row r="312" spans="1:31" ht="13.2">
      <c r="A312" s="246"/>
      <c r="B312" s="236">
        <v>272</v>
      </c>
      <c r="C312" s="126"/>
      <c r="D312" s="126"/>
      <c r="E312" s="126"/>
      <c r="F312" s="271"/>
      <c r="G312" s="272"/>
      <c r="H312" s="126"/>
      <c r="I312" s="246"/>
      <c r="J312" s="237">
        <f>SUMIF(File1!$D$1:$D$2034,C312,File1!$H$1:$H$2034)</f>
        <v>0</v>
      </c>
      <c r="K312" s="237">
        <f>SUMIF(File1!$D$8:$D$2034,C312,File1!$I$8:$I$2034)</f>
        <v>0</v>
      </c>
      <c r="L312" s="237">
        <f t="shared" si="33"/>
        <v>0</v>
      </c>
      <c r="M312" s="237">
        <f>SUMIF(File1!$D$3:$D$1800,C312,File1!$K$3:$L$1800)</f>
        <v>0</v>
      </c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</row>
    <row r="313" spans="1:31" ht="13.2">
      <c r="A313" s="246"/>
      <c r="B313" s="236">
        <v>273</v>
      </c>
      <c r="C313" s="126"/>
      <c r="D313" s="126"/>
      <c r="E313" s="126"/>
      <c r="F313" s="271"/>
      <c r="G313" s="272"/>
      <c r="H313" s="126"/>
      <c r="I313" s="246"/>
      <c r="J313" s="237">
        <f>SUMIF(File1!$D$1:$D$2034,C313,File1!$H$1:$H$2034)</f>
        <v>0</v>
      </c>
      <c r="K313" s="237">
        <f>SUMIF(File1!$D$8:$D$2034,C313,File1!$I$8:$I$2034)</f>
        <v>0</v>
      </c>
      <c r="L313" s="237">
        <f t="shared" si="33"/>
        <v>0</v>
      </c>
      <c r="M313" s="237">
        <f>SUMIF(File1!$D$3:$D$1800,C313,File1!$K$3:$L$1800)</f>
        <v>0</v>
      </c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</row>
    <row r="314" spans="1:31" ht="13.2">
      <c r="A314" s="246"/>
      <c r="B314" s="236">
        <v>274</v>
      </c>
      <c r="C314" s="126"/>
      <c r="D314" s="126"/>
      <c r="E314" s="126"/>
      <c r="F314" s="271"/>
      <c r="G314" s="272"/>
      <c r="H314" s="126"/>
      <c r="I314" s="246"/>
      <c r="J314" s="237">
        <f>SUMIF(File1!$D$1:$D$2034,C314,File1!$H$1:$H$2034)</f>
        <v>0</v>
      </c>
      <c r="K314" s="237">
        <f>SUMIF(File1!$D$8:$D$2034,C314,File1!$I$8:$I$2034)</f>
        <v>0</v>
      </c>
      <c r="L314" s="237">
        <f t="shared" si="33"/>
        <v>0</v>
      </c>
      <c r="M314" s="237">
        <f>SUMIF(File1!$D$3:$D$1800,C314,File1!$K$3:$L$1800)</f>
        <v>0</v>
      </c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</row>
    <row r="315" spans="1:31" ht="13.2">
      <c r="A315" s="246"/>
      <c r="B315" s="236">
        <v>275</v>
      </c>
      <c r="C315" s="126"/>
      <c r="D315" s="126"/>
      <c r="E315" s="126"/>
      <c r="F315" s="271"/>
      <c r="G315" s="272"/>
      <c r="H315" s="126"/>
      <c r="I315" s="246"/>
      <c r="J315" s="237">
        <f>SUMIF(File1!$D$1:$D$2034,C315,File1!$H$1:$H$2034)</f>
        <v>0</v>
      </c>
      <c r="K315" s="237">
        <f>SUMIF(File1!$D$8:$D$2034,C315,File1!$I$8:$I$2034)</f>
        <v>0</v>
      </c>
      <c r="L315" s="237">
        <f t="shared" si="33"/>
        <v>0</v>
      </c>
      <c r="M315" s="237">
        <f>SUMIF(File1!$D$3:$D$1800,C315,File1!$K$3:$L$1800)</f>
        <v>0</v>
      </c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</row>
    <row r="316" spans="1:31" ht="13.2">
      <c r="A316" s="246"/>
      <c r="B316" s="236">
        <v>276</v>
      </c>
      <c r="C316" s="126"/>
      <c r="D316" s="126"/>
      <c r="E316" s="126"/>
      <c r="F316" s="271"/>
      <c r="G316" s="272"/>
      <c r="H316" s="126"/>
      <c r="I316" s="246"/>
      <c r="J316" s="237">
        <f>SUMIF(File1!$D$1:$D$2034,C316,File1!$H$1:$H$2034)</f>
        <v>0</v>
      </c>
      <c r="K316" s="237">
        <f>SUMIF(File1!$D$8:$D$2034,C316,File1!$I$8:$I$2034)</f>
        <v>0</v>
      </c>
      <c r="L316" s="237">
        <f t="shared" si="33"/>
        <v>0</v>
      </c>
      <c r="M316" s="237">
        <f>SUMIF(File1!$D$3:$D$1800,C316,File1!$K$3:$L$1800)</f>
        <v>0</v>
      </c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</row>
    <row r="317" spans="1:31" ht="13.2">
      <c r="A317" s="246"/>
      <c r="B317" s="236">
        <v>277</v>
      </c>
      <c r="C317" s="126"/>
      <c r="D317" s="126"/>
      <c r="E317" s="126"/>
      <c r="F317" s="271"/>
      <c r="G317" s="272"/>
      <c r="H317" s="126"/>
      <c r="I317" s="246"/>
      <c r="J317" s="237">
        <f>SUMIF(File1!$D$1:$D$2034,C317,File1!$H$1:$H$2034)</f>
        <v>0</v>
      </c>
      <c r="K317" s="237">
        <f>SUMIF(File1!$D$8:$D$2034,C317,File1!$I$8:$I$2034)</f>
        <v>0</v>
      </c>
      <c r="L317" s="237">
        <f t="shared" si="33"/>
        <v>0</v>
      </c>
      <c r="M317" s="237">
        <f>SUMIF(File1!$D$3:$D$1800,C317,File1!$K$3:$L$1800)</f>
        <v>0</v>
      </c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</row>
    <row r="318" spans="1:31" ht="13.2">
      <c r="A318" s="126"/>
      <c r="B318" s="126"/>
      <c r="C318" s="126"/>
      <c r="D318" s="126"/>
      <c r="E318" s="126"/>
      <c r="F318" s="271"/>
      <c r="G318" s="272"/>
      <c r="H318" s="126"/>
      <c r="I318" s="246"/>
      <c r="J318" s="237">
        <f>SUMIF(File1!$D$1:$D$2034,C318,File1!$H$1:$H$2034)</f>
        <v>0</v>
      </c>
      <c r="K318" s="237">
        <f>SUMIF(File1!$D$8:$D$2034,C318,File1!$I$8:$I$2034)</f>
        <v>0</v>
      </c>
      <c r="L318" s="237">
        <f t="shared" si="33"/>
        <v>0</v>
      </c>
      <c r="M318" s="237">
        <f>SUMIF(File1!$D$3:$D$1800,C318,File1!$K$3:$L$1800)</f>
        <v>0</v>
      </c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</row>
    <row r="319" spans="1:31" ht="13.2">
      <c r="A319" s="126"/>
      <c r="B319" s="126"/>
      <c r="C319" s="126"/>
      <c r="D319" s="126"/>
      <c r="E319" s="126"/>
      <c r="F319" s="271"/>
      <c r="G319" s="272"/>
      <c r="H319" s="126"/>
      <c r="I319" s="246"/>
      <c r="J319" s="237">
        <f>SUMIF(File1!$D$1:$D$2034,C319,File1!$H$1:$H$2034)</f>
        <v>0</v>
      </c>
      <c r="K319" s="237">
        <f>SUMIF(File1!$D$8:$D$2034,C319,File1!$I$8:$I$2034)</f>
        <v>0</v>
      </c>
      <c r="L319" s="237">
        <f t="shared" si="33"/>
        <v>0</v>
      </c>
      <c r="M319" s="237">
        <f>SUMIF(File1!$D$3:$D$1800,C319,File1!$K$3:$L$1800)</f>
        <v>0</v>
      </c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</row>
    <row r="320" spans="1:31" ht="13.2">
      <c r="A320" s="126"/>
      <c r="B320" s="126"/>
      <c r="C320" s="126"/>
      <c r="D320" s="126"/>
      <c r="E320" s="126"/>
      <c r="F320" s="271"/>
      <c r="G320" s="272"/>
      <c r="H320" s="126"/>
      <c r="I320" s="246"/>
      <c r="J320" s="237">
        <f>SUMIF(File1!$D$1:$D$2034,C320,File1!$H$1:$H$2034)</f>
        <v>0</v>
      </c>
      <c r="K320" s="237">
        <f>SUMIF(File1!$D$8:$D$2034,C320,File1!$I$8:$I$2034)</f>
        <v>0</v>
      </c>
      <c r="L320" s="237">
        <f t="shared" si="33"/>
        <v>0</v>
      </c>
      <c r="M320" s="237">
        <f>SUMIF(File1!$D$3:$D$1800,C320,File1!$K$3:$L$1800)</f>
        <v>0</v>
      </c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</row>
    <row r="321" spans="1:31" ht="13.2">
      <c r="A321" s="126"/>
      <c r="B321" s="126"/>
      <c r="C321" s="126"/>
      <c r="D321" s="126"/>
      <c r="E321" s="126"/>
      <c r="F321" s="271"/>
      <c r="G321" s="272"/>
      <c r="H321" s="126"/>
      <c r="I321" s="246"/>
      <c r="J321" s="237">
        <f>SUMIF(File1!$D$1:$D$2034,C321,File1!$H$1:$H$2034)</f>
        <v>0</v>
      </c>
      <c r="K321" s="237">
        <f>SUMIF(File1!$D$8:$D$2034,C321,File1!$I$8:$I$2034)</f>
        <v>0</v>
      </c>
      <c r="L321" s="237">
        <f t="shared" si="33"/>
        <v>0</v>
      </c>
      <c r="M321" s="237">
        <f>SUMIF(File1!$D$3:$D$1800,C321,File1!$K$3:$L$1800)</f>
        <v>0</v>
      </c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</row>
    <row r="322" spans="1:31" ht="13.2">
      <c r="A322" s="126"/>
      <c r="B322" s="126"/>
      <c r="C322" s="126"/>
      <c r="D322" s="126"/>
      <c r="E322" s="126"/>
      <c r="F322" s="271"/>
      <c r="G322" s="272"/>
      <c r="H322" s="126"/>
      <c r="I322" s="246"/>
      <c r="J322" s="237">
        <f>SUMIF(File1!$D$1:$D$2034,C322,File1!$H$1:$H$2034)</f>
        <v>0</v>
      </c>
      <c r="K322" s="237">
        <f>SUMIF(File1!$D$8:$D$2034,C322,File1!$I$8:$I$2034)</f>
        <v>0</v>
      </c>
      <c r="L322" s="237">
        <f t="shared" si="33"/>
        <v>0</v>
      </c>
      <c r="M322" s="237">
        <f>SUMIF(File1!$D$3:$D$1800,C322,File1!$K$3:$L$1800)</f>
        <v>0</v>
      </c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</row>
    <row r="323" spans="1:31" ht="13.2">
      <c r="A323" s="126"/>
      <c r="B323" s="126"/>
      <c r="C323" s="126"/>
      <c r="D323" s="126"/>
      <c r="E323" s="126"/>
      <c r="F323" s="271"/>
      <c r="G323" s="272"/>
      <c r="H323" s="126"/>
      <c r="I323" s="246"/>
      <c r="J323" s="237">
        <f>SUMIF(File1!$D$1:$D$2034,C323,File1!$H$1:$H$2034)</f>
        <v>0</v>
      </c>
      <c r="K323" s="237">
        <f>SUMIF(File1!$D$8:$D$2034,C323,File1!$I$8:$I$2034)</f>
        <v>0</v>
      </c>
      <c r="L323" s="237">
        <f t="shared" si="33"/>
        <v>0</v>
      </c>
      <c r="M323" s="237">
        <f>SUMIF(File1!$D$3:$D$1800,C323,File1!$K$3:$L$1800)</f>
        <v>0</v>
      </c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</row>
    <row r="324" spans="1:31" ht="13.2">
      <c r="A324" s="126"/>
      <c r="B324" s="126"/>
      <c r="C324" s="126"/>
      <c r="D324" s="126"/>
      <c r="E324" s="126"/>
      <c r="F324" s="271"/>
      <c r="G324" s="272"/>
      <c r="H324" s="126"/>
      <c r="I324" s="246"/>
      <c r="J324" s="237">
        <f>SUMIF(File1!$D$1:$D$2034,C324,File1!$H$1:$H$2034)</f>
        <v>0</v>
      </c>
      <c r="K324" s="237">
        <f>SUMIF(File1!$D$8:$D$2034,C324,File1!$I$8:$I$2034)</f>
        <v>0</v>
      </c>
      <c r="L324" s="237">
        <f t="shared" si="33"/>
        <v>0</v>
      </c>
      <c r="M324" s="237">
        <f>SUMIF(File1!$D$3:$D$1800,C324,File1!$K$3:$L$1800)</f>
        <v>0</v>
      </c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</row>
    <row r="325" spans="1:31" ht="13.2">
      <c r="A325" s="126"/>
      <c r="B325" s="126"/>
      <c r="C325" s="126"/>
      <c r="D325" s="126"/>
      <c r="E325" s="126"/>
      <c r="F325" s="271"/>
      <c r="G325" s="272"/>
      <c r="H325" s="126"/>
      <c r="I325" s="246"/>
      <c r="J325" s="237">
        <f>SUMIF(File1!$D$1:$D$2034,C325,File1!$H$1:$H$2034)</f>
        <v>0</v>
      </c>
      <c r="K325" s="237">
        <f>SUMIF(File1!$D$8:$D$2034,C325,File1!$I$8:$I$2034)</f>
        <v>0</v>
      </c>
      <c r="L325" s="237">
        <f t="shared" si="33"/>
        <v>0</v>
      </c>
      <c r="M325" s="237">
        <f>SUMIF(File1!$D$3:$D$1800,C325,File1!$K$3:$L$1800)</f>
        <v>0</v>
      </c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</row>
    <row r="326" spans="1:31" ht="13.2">
      <c r="A326" s="126"/>
      <c r="B326" s="126"/>
      <c r="C326" s="126"/>
      <c r="D326" s="126"/>
      <c r="E326" s="126"/>
      <c r="F326" s="271"/>
      <c r="G326" s="272"/>
      <c r="H326" s="126"/>
      <c r="I326" s="246"/>
      <c r="J326" s="237">
        <f>SUMIF(File1!$D$1:$D$2034,C326,File1!$H$1:$H$2034)</f>
        <v>0</v>
      </c>
      <c r="K326" s="237">
        <f>SUMIF(File1!$D$8:$D$2034,C326,File1!$I$8:$I$2034)</f>
        <v>0</v>
      </c>
      <c r="L326" s="237">
        <f t="shared" si="33"/>
        <v>0</v>
      </c>
      <c r="M326" s="237">
        <f>SUMIF(File1!$D$3:$D$1800,C326,File1!$K$3:$L$1800)</f>
        <v>0</v>
      </c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</row>
    <row r="327" spans="1:31" ht="13.2">
      <c r="A327" s="126"/>
      <c r="B327" s="126"/>
      <c r="C327" s="126"/>
      <c r="D327" s="126"/>
      <c r="E327" s="126"/>
      <c r="F327" s="271"/>
      <c r="G327" s="272"/>
      <c r="H327" s="126"/>
      <c r="I327" s="246"/>
      <c r="J327" s="237">
        <f>SUMIF(File1!$D$1:$D$2034,C327,File1!$H$1:$H$2034)</f>
        <v>0</v>
      </c>
      <c r="K327" s="237">
        <f>SUMIF(File1!$D$8:$D$2034,C327,File1!$I$8:$I$2034)</f>
        <v>0</v>
      </c>
      <c r="L327" s="237">
        <f t="shared" si="33"/>
        <v>0</v>
      </c>
      <c r="M327" s="237">
        <f>SUMIF(File1!$D$3:$D$1800,C327,File1!$K$3:$L$1800)</f>
        <v>0</v>
      </c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</row>
    <row r="328" spans="1:31" ht="13.2">
      <c r="A328" s="126"/>
      <c r="B328" s="126"/>
      <c r="C328" s="126"/>
      <c r="D328" s="126"/>
      <c r="E328" s="126"/>
      <c r="F328" s="271"/>
      <c r="G328" s="272"/>
      <c r="H328" s="126"/>
      <c r="I328" s="246"/>
      <c r="J328" s="237">
        <f>SUMIF(File1!$D$1:$D$2034,C328,File1!$H$1:$H$2034)</f>
        <v>0</v>
      </c>
      <c r="K328" s="237">
        <f>SUMIF(File1!$D$8:$D$2034,C328,File1!$I$8:$I$2034)</f>
        <v>0</v>
      </c>
      <c r="L328" s="237">
        <f t="shared" si="33"/>
        <v>0</v>
      </c>
      <c r="M328" s="237">
        <f>SUMIF(File1!$D$3:$D$1800,C328,File1!$K$3:$L$1800)</f>
        <v>0</v>
      </c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</row>
    <row r="329" spans="1:31" ht="13.2">
      <c r="A329" s="126"/>
      <c r="B329" s="126"/>
      <c r="C329" s="126"/>
      <c r="D329" s="126"/>
      <c r="E329" s="126"/>
      <c r="F329" s="271"/>
      <c r="G329" s="272"/>
      <c r="H329" s="126"/>
      <c r="I329" s="246"/>
      <c r="J329" s="237">
        <f>SUMIF(File1!$D$1:$D$2034,C329,File1!$H$1:$H$2034)</f>
        <v>0</v>
      </c>
      <c r="K329" s="237">
        <f>SUMIF(File1!$D$8:$D$2034,C329,File1!$I$8:$I$2034)</f>
        <v>0</v>
      </c>
      <c r="L329" s="237">
        <f t="shared" si="33"/>
        <v>0</v>
      </c>
      <c r="M329" s="237">
        <f>SUMIF(File1!$D$3:$D$1800,C329,File1!$K$3:$L$1800)</f>
        <v>0</v>
      </c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</row>
    <row r="330" spans="1:31" ht="13.2">
      <c r="A330" s="126"/>
      <c r="B330" s="126"/>
      <c r="C330" s="126"/>
      <c r="D330" s="126"/>
      <c r="E330" s="126"/>
      <c r="F330" s="271"/>
      <c r="G330" s="272"/>
      <c r="H330" s="126"/>
      <c r="I330" s="246"/>
      <c r="J330" s="237">
        <f>SUMIF(File1!$D$1:$D$2034,C330,File1!$H$1:$H$2034)</f>
        <v>0</v>
      </c>
      <c r="K330" s="237">
        <f>SUMIF(File1!$D$8:$D$2034,C330,File1!$I$8:$I$2034)</f>
        <v>0</v>
      </c>
      <c r="L330" s="237">
        <f t="shared" si="33"/>
        <v>0</v>
      </c>
      <c r="M330" s="237">
        <f>SUMIF(File1!$D$3:$D$1800,C330,File1!$K$3:$L$1800)</f>
        <v>0</v>
      </c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</row>
    <row r="331" spans="1:31" ht="13.2">
      <c r="A331" s="126"/>
      <c r="B331" s="126"/>
      <c r="C331" s="126"/>
      <c r="D331" s="126"/>
      <c r="E331" s="126"/>
      <c r="F331" s="271"/>
      <c r="G331" s="272"/>
      <c r="H331" s="126"/>
      <c r="I331" s="246"/>
      <c r="J331" s="237">
        <f>SUMIF(File1!$D$1:$D$2034,C331,File1!$H$1:$H$2034)</f>
        <v>0</v>
      </c>
      <c r="K331" s="237">
        <f>SUMIF(File1!$D$8:$D$2034,C331,File1!$I$8:$I$2034)</f>
        <v>0</v>
      </c>
      <c r="L331" s="237">
        <f t="shared" si="33"/>
        <v>0</v>
      </c>
      <c r="M331" s="237">
        <f>SUMIF(File1!$D$3:$D$1800,C331,File1!$K$3:$L$1800)</f>
        <v>0</v>
      </c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</row>
    <row r="332" spans="1:31" ht="13.2">
      <c r="A332" s="126"/>
      <c r="B332" s="126"/>
      <c r="C332" s="126"/>
      <c r="D332" s="126"/>
      <c r="E332" s="126"/>
      <c r="F332" s="271"/>
      <c r="G332" s="272"/>
      <c r="H332" s="126"/>
      <c r="I332" s="246"/>
      <c r="J332" s="237">
        <f>SUMIF(File1!$D$1:$D$2034,C332,File1!$H$1:$H$2034)</f>
        <v>0</v>
      </c>
      <c r="K332" s="237">
        <f>SUMIF(File1!$D$8:$D$2034,C332,File1!$I$8:$I$2034)</f>
        <v>0</v>
      </c>
      <c r="L332" s="237">
        <f t="shared" si="33"/>
        <v>0</v>
      </c>
      <c r="M332" s="237">
        <f>SUMIF(File1!$D$3:$D$1800,C332,File1!$K$3:$L$1800)</f>
        <v>0</v>
      </c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</row>
    <row r="333" spans="1:31" ht="13.2">
      <c r="A333" s="126"/>
      <c r="B333" s="126"/>
      <c r="C333" s="126"/>
      <c r="D333" s="126"/>
      <c r="E333" s="126"/>
      <c r="F333" s="271"/>
      <c r="G333" s="272"/>
      <c r="H333" s="126"/>
      <c r="I333" s="246"/>
      <c r="J333" s="237">
        <f>SUMIF(File1!$D$1:$D$2034,C333,File1!$H$1:$H$2034)</f>
        <v>0</v>
      </c>
      <c r="K333" s="237">
        <f>SUMIF(File1!$D$8:$D$2034,C333,File1!$I$8:$I$2034)</f>
        <v>0</v>
      </c>
      <c r="L333" s="237">
        <f t="shared" si="33"/>
        <v>0</v>
      </c>
      <c r="M333" s="237">
        <f>SUMIF(File1!$D$3:$D$1800,C333,File1!$K$3:$L$1800)</f>
        <v>0</v>
      </c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</row>
    <row r="334" spans="1:31" ht="13.2">
      <c r="A334" s="126"/>
      <c r="B334" s="126"/>
      <c r="C334" s="126"/>
      <c r="D334" s="126"/>
      <c r="E334" s="126"/>
      <c r="F334" s="271"/>
      <c r="G334" s="272"/>
      <c r="H334" s="126"/>
      <c r="I334" s="246"/>
      <c r="J334" s="237">
        <f>SUMIF(File1!$D$1:$D$2034,C334,File1!$H$1:$H$2034)</f>
        <v>0</v>
      </c>
      <c r="K334" s="237">
        <f>SUMIF(File1!$D$8:$D$2034,C334,File1!$I$8:$I$2034)</f>
        <v>0</v>
      </c>
      <c r="L334" s="237">
        <f t="shared" si="33"/>
        <v>0</v>
      </c>
      <c r="M334" s="237">
        <f>SUMIF(File1!$D$3:$D$1800,C334,File1!$K$3:$L$1800)</f>
        <v>0</v>
      </c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</row>
    <row r="335" spans="1:31" ht="13.2">
      <c r="A335" s="126"/>
      <c r="B335" s="126"/>
      <c r="C335" s="126"/>
      <c r="D335" s="126"/>
      <c r="E335" s="126"/>
      <c r="F335" s="271"/>
      <c r="G335" s="272"/>
      <c r="H335" s="126"/>
      <c r="I335" s="246"/>
      <c r="J335" s="237">
        <f>SUMIF(File1!$D$1:$D$2034,C335,File1!$H$1:$H$2034)</f>
        <v>0</v>
      </c>
      <c r="K335" s="237">
        <f>SUMIF(File1!$D$8:$D$2034,C335,File1!$I$8:$I$2034)</f>
        <v>0</v>
      </c>
      <c r="L335" s="237">
        <f t="shared" si="33"/>
        <v>0</v>
      </c>
      <c r="M335" s="237">
        <f>SUMIF(File1!$D$3:$D$1800,C335,File1!$K$3:$L$1800)</f>
        <v>0</v>
      </c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</row>
    <row r="336" spans="1:31" ht="13.2">
      <c r="A336" s="126"/>
      <c r="B336" s="126"/>
      <c r="C336" s="126"/>
      <c r="D336" s="126"/>
      <c r="E336" s="126"/>
      <c r="F336" s="271"/>
      <c r="G336" s="272"/>
      <c r="H336" s="126"/>
      <c r="I336" s="246"/>
      <c r="J336" s="237">
        <f>SUMIF(File1!$D$1:$D$2034,C336,File1!$H$1:$H$2034)</f>
        <v>0</v>
      </c>
      <c r="K336" s="237">
        <f>SUMIF(File1!$D$8:$D$2034,C336,File1!$I$8:$I$2034)</f>
        <v>0</v>
      </c>
      <c r="L336" s="237">
        <f t="shared" si="33"/>
        <v>0</v>
      </c>
      <c r="M336" s="237">
        <f>SUMIF(File1!$D$3:$D$1800,C336,File1!$K$3:$L$1800)</f>
        <v>0</v>
      </c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</row>
    <row r="337" spans="1:31" ht="13.2">
      <c r="A337" s="126"/>
      <c r="B337" s="126"/>
      <c r="C337" s="126"/>
      <c r="D337" s="126"/>
      <c r="E337" s="126"/>
      <c r="F337" s="271"/>
      <c r="G337" s="272"/>
      <c r="H337" s="126"/>
      <c r="I337" s="126"/>
      <c r="J337" s="237">
        <f>SUMIF(File1!$D$1:$D$2034,C337,File1!$H$1:$H$2034)</f>
        <v>0</v>
      </c>
      <c r="K337" s="237">
        <f>SUMIF(File1!$D$8:$D$2034,C337,File1!$I$8:$I$2034)</f>
        <v>0</v>
      </c>
      <c r="L337" s="237">
        <f t="shared" si="33"/>
        <v>0</v>
      </c>
      <c r="M337" s="237">
        <f>SUMIF(File1!$D$3:$D$1800,C337,File1!$K$3:$L$1800)</f>
        <v>0</v>
      </c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</row>
    <row r="338" spans="1:31" ht="13.2">
      <c r="A338" s="126"/>
      <c r="B338" s="126"/>
      <c r="C338" s="126"/>
      <c r="D338" s="126"/>
      <c r="E338" s="126"/>
      <c r="F338" s="271"/>
      <c r="G338" s="272"/>
      <c r="H338" s="126"/>
      <c r="I338" s="126"/>
      <c r="J338" s="237">
        <f>SUMIF(File1!$D$1:$D$2034,C338,File1!$H$1:$H$2034)</f>
        <v>0</v>
      </c>
      <c r="K338" s="237">
        <f>SUMIF(File1!$D$8:$D$2034,C338,File1!$I$8:$I$2034)</f>
        <v>0</v>
      </c>
      <c r="L338" s="237">
        <f t="shared" si="33"/>
        <v>0</v>
      </c>
      <c r="M338" s="237">
        <f>SUMIF(File1!$D$3:$D$1800,C338,File1!$K$3:$L$1800)</f>
        <v>0</v>
      </c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</row>
    <row r="339" spans="1:31" ht="13.2">
      <c r="A339" s="126"/>
      <c r="B339" s="126"/>
      <c r="C339" s="126"/>
      <c r="D339" s="126"/>
      <c r="E339" s="126"/>
      <c r="F339" s="271"/>
      <c r="G339" s="272"/>
      <c r="H339" s="126"/>
      <c r="I339" s="126"/>
      <c r="J339" s="237">
        <f>SUMIF(File1!$D$1:$D$2034,C339,File1!$H$1:$H$2034)</f>
        <v>0</v>
      </c>
      <c r="K339" s="237">
        <f>SUMIF(File1!$D$8:$D$2034,C339,File1!$I$8:$I$2034)</f>
        <v>0</v>
      </c>
      <c r="L339" s="237">
        <f t="shared" si="33"/>
        <v>0</v>
      </c>
      <c r="M339" s="237">
        <f>SUMIF(File1!$D$3:$D$1800,C339,File1!$K$3:$L$1800)</f>
        <v>0</v>
      </c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</row>
    <row r="340" spans="1:31" ht="13.2">
      <c r="A340" s="126"/>
      <c r="B340" s="126"/>
      <c r="C340" s="126"/>
      <c r="D340" s="126"/>
      <c r="E340" s="126"/>
      <c r="F340" s="271"/>
      <c r="G340" s="272"/>
      <c r="H340" s="126"/>
      <c r="I340" s="126"/>
      <c r="J340" s="237">
        <f>SUMIF(File1!$D$1:$D$2034,C340,File1!$H$1:$H$2034)</f>
        <v>0</v>
      </c>
      <c r="K340" s="237">
        <f>SUMIF(File1!$D$8:$D$2034,C340,File1!$I$8:$I$2034)</f>
        <v>0</v>
      </c>
      <c r="L340" s="237">
        <f t="shared" si="33"/>
        <v>0</v>
      </c>
      <c r="M340" s="237">
        <f>SUMIF(File1!$D$3:$D$1800,C340,File1!$K$3:$L$1800)</f>
        <v>0</v>
      </c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</row>
    <row r="341" spans="1:31" ht="13.2">
      <c r="A341" s="126"/>
      <c r="B341" s="126"/>
      <c r="C341" s="126"/>
      <c r="D341" s="126"/>
      <c r="E341" s="126"/>
      <c r="F341" s="271"/>
      <c r="G341" s="272"/>
      <c r="H341" s="126"/>
      <c r="I341" s="126"/>
      <c r="J341" s="237">
        <f>SUMIF(File1!$D$1:$D$2034,C341,File1!$H$1:$H$2034)</f>
        <v>0</v>
      </c>
      <c r="K341" s="237">
        <f>SUMIF(File1!$D$8:$D$2034,C341,File1!$I$8:$I$2034)</f>
        <v>0</v>
      </c>
      <c r="L341" s="237">
        <f t="shared" si="33"/>
        <v>0</v>
      </c>
      <c r="M341" s="237">
        <f>SUMIF(File1!$D$3:$D$1800,C341,File1!$K$3:$L$1800)</f>
        <v>0</v>
      </c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</row>
    <row r="342" spans="1:31" ht="13.2">
      <c r="A342" s="126"/>
      <c r="B342" s="126"/>
      <c r="C342" s="126"/>
      <c r="D342" s="126"/>
      <c r="E342" s="126"/>
      <c r="F342" s="271"/>
      <c r="G342" s="272"/>
      <c r="H342" s="126"/>
      <c r="I342" s="126"/>
      <c r="J342" s="237">
        <f>SUMIF(File1!$D$1:$D$2034,C342,File1!$H$1:$H$2034)</f>
        <v>0</v>
      </c>
      <c r="K342" s="237">
        <f>SUMIF(File1!$D$8:$D$2034,C342,File1!$I$8:$I$2034)</f>
        <v>0</v>
      </c>
      <c r="L342" s="237">
        <f t="shared" si="33"/>
        <v>0</v>
      </c>
      <c r="M342" s="237">
        <f>SUMIF(File1!$D$3:$D$1800,C342,File1!$K$3:$L$1800)</f>
        <v>0</v>
      </c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</row>
    <row r="343" spans="1:31" ht="13.2">
      <c r="A343" s="126"/>
      <c r="B343" s="126"/>
      <c r="C343" s="126"/>
      <c r="D343" s="126"/>
      <c r="E343" s="126"/>
      <c r="F343" s="271"/>
      <c r="G343" s="272"/>
      <c r="H343" s="126"/>
      <c r="I343" s="126"/>
      <c r="J343" s="237">
        <f>SUMIF(File1!$D$1:$D$2034,C343,File1!$H$1:$H$2034)</f>
        <v>0</v>
      </c>
      <c r="K343" s="237">
        <f>SUMIF(File1!$D$8:$D$2034,C343,File1!$I$8:$I$2034)</f>
        <v>0</v>
      </c>
      <c r="L343" s="237">
        <f t="shared" si="33"/>
        <v>0</v>
      </c>
      <c r="M343" s="237">
        <f>SUMIF(File1!$D$3:$D$1800,C343,File1!$K$3:$L$1800)</f>
        <v>0</v>
      </c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</row>
    <row r="344" spans="1:31" ht="13.2">
      <c r="A344" s="126"/>
      <c r="B344" s="126"/>
      <c r="C344" s="126"/>
      <c r="D344" s="126"/>
      <c r="E344" s="126"/>
      <c r="F344" s="271"/>
      <c r="G344" s="272"/>
      <c r="H344" s="126"/>
      <c r="I344" s="126"/>
      <c r="J344" s="237">
        <f>SUMIF(File1!$D$1:$D$2034,C344,File1!$H$1:$H$2034)</f>
        <v>0</v>
      </c>
      <c r="K344" s="237">
        <f>SUMIF(File1!$D$8:$D$2034,C344,File1!$I$8:$I$2034)</f>
        <v>0</v>
      </c>
      <c r="L344" s="237">
        <f t="shared" si="33"/>
        <v>0</v>
      </c>
      <c r="M344" s="237">
        <f>SUMIF(File1!$D$3:$D$1800,C344,File1!$K$3:$L$1800)</f>
        <v>0</v>
      </c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</row>
    <row r="345" spans="1:31" ht="13.2">
      <c r="A345" s="126"/>
      <c r="B345" s="126"/>
      <c r="C345" s="126"/>
      <c r="D345" s="126"/>
      <c r="E345" s="126"/>
      <c r="F345" s="271"/>
      <c r="G345" s="272"/>
      <c r="H345" s="126"/>
      <c r="I345" s="126"/>
      <c r="J345" s="237">
        <f>SUMIF(File1!$D$1:$D$2034,C345,File1!$H$1:$H$2034)</f>
        <v>0</v>
      </c>
      <c r="K345" s="237">
        <f>SUMIF(File1!$D$8:$D$2034,C345,File1!$I$8:$I$2034)</f>
        <v>0</v>
      </c>
      <c r="L345" s="237">
        <f t="shared" si="33"/>
        <v>0</v>
      </c>
      <c r="M345" s="237">
        <f>SUMIF(File1!$D$3:$D$1800,C345,File1!$K$3:$L$1800)</f>
        <v>0</v>
      </c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</row>
    <row r="346" spans="1:31" ht="13.2">
      <c r="A346" s="126"/>
      <c r="B346" s="126"/>
      <c r="C346" s="126"/>
      <c r="D346" s="126"/>
      <c r="E346" s="126"/>
      <c r="F346" s="271"/>
      <c r="G346" s="272"/>
      <c r="H346" s="126"/>
      <c r="I346" s="126"/>
      <c r="J346" s="237">
        <f>SUMIF(File1!$D$1:$D$2034,C346,File1!$H$1:$H$2034)</f>
        <v>0</v>
      </c>
      <c r="K346" s="237">
        <f>SUMIF(File1!$D$8:$D$2034,C346,File1!$I$8:$I$2034)</f>
        <v>0</v>
      </c>
      <c r="L346" s="237">
        <f t="shared" si="33"/>
        <v>0</v>
      </c>
      <c r="M346" s="237">
        <f>SUMIF(File1!$D$3:$D$1800,C346,File1!$K$3:$L$1800)</f>
        <v>0</v>
      </c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</row>
    <row r="347" spans="1:31" ht="13.2">
      <c r="A347" s="126"/>
      <c r="B347" s="126"/>
      <c r="C347" s="126"/>
      <c r="D347" s="126"/>
      <c r="E347" s="126"/>
      <c r="F347" s="271"/>
      <c r="G347" s="272"/>
      <c r="H347" s="126"/>
      <c r="I347" s="126"/>
      <c r="J347" s="237">
        <f>SUMIF(File1!$D$1:$D$2034,C347,File1!$H$1:$H$2034)</f>
        <v>0</v>
      </c>
      <c r="K347" s="237">
        <f>SUMIF(File1!$D$8:$D$2034,C347,File1!$I$8:$I$2034)</f>
        <v>0</v>
      </c>
      <c r="L347" s="237">
        <f t="shared" si="33"/>
        <v>0</v>
      </c>
      <c r="M347" s="237">
        <f>SUMIF(File1!$D$3:$D$1800,C347,File1!$K$3:$L$1800)</f>
        <v>0</v>
      </c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</row>
    <row r="348" spans="1:31" ht="13.2">
      <c r="A348" s="126"/>
      <c r="B348" s="126"/>
      <c r="C348" s="126"/>
      <c r="D348" s="126"/>
      <c r="E348" s="126"/>
      <c r="F348" s="271"/>
      <c r="G348" s="272"/>
      <c r="H348" s="126"/>
      <c r="I348" s="126"/>
      <c r="J348" s="237">
        <f>SUMIF(File1!$D$1:$D$2034,C348,File1!$H$1:$H$2034)</f>
        <v>0</v>
      </c>
      <c r="K348" s="237">
        <f>SUMIF(File1!$D$8:$D$2034,C348,File1!$I$8:$I$2034)</f>
        <v>0</v>
      </c>
      <c r="L348" s="237">
        <f t="shared" si="33"/>
        <v>0</v>
      </c>
      <c r="M348" s="237">
        <f>SUMIF(File1!$D$3:$D$1800,C348,File1!$K$3:$L$1800)</f>
        <v>0</v>
      </c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</row>
    <row r="349" spans="1:31" ht="13.2">
      <c r="A349" s="126"/>
      <c r="B349" s="126"/>
      <c r="C349" s="126"/>
      <c r="D349" s="126"/>
      <c r="E349" s="126"/>
      <c r="F349" s="271"/>
      <c r="G349" s="272"/>
      <c r="H349" s="126"/>
      <c r="I349" s="126"/>
      <c r="J349" s="237">
        <f>SUMIF(File1!$D$1:$D$2034,C349,File1!$H$1:$H$2034)</f>
        <v>0</v>
      </c>
      <c r="K349" s="237">
        <f>SUMIF(File1!$D$8:$D$2034,C349,File1!$I$8:$I$2034)</f>
        <v>0</v>
      </c>
      <c r="L349" s="237">
        <f t="shared" si="33"/>
        <v>0</v>
      </c>
      <c r="M349" s="237">
        <f>SUMIF(File1!$D$3:$D$1800,C349,File1!$K$3:$L$1800)</f>
        <v>0</v>
      </c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</row>
    <row r="350" spans="1:31" ht="13.2">
      <c r="A350" s="126"/>
      <c r="B350" s="126"/>
      <c r="C350" s="126"/>
      <c r="D350" s="126"/>
      <c r="E350" s="126"/>
      <c r="F350" s="271"/>
      <c r="G350" s="272"/>
      <c r="H350" s="126"/>
      <c r="I350" s="126"/>
      <c r="J350" s="237">
        <f>SUMIF(File1!$D$1:$D$2034,C350,File1!$H$1:$H$2034)</f>
        <v>0</v>
      </c>
      <c r="K350" s="237">
        <f>SUMIF(File1!$D$8:$D$2034,C350,File1!$I$8:$I$2034)</f>
        <v>0</v>
      </c>
      <c r="L350" s="237">
        <f t="shared" si="33"/>
        <v>0</v>
      </c>
      <c r="M350" s="237">
        <f>SUMIF(File1!$D$3:$D$1800,C350,File1!$K$3:$L$1800)</f>
        <v>0</v>
      </c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</row>
    <row r="351" spans="1:31" ht="13.2">
      <c r="A351" s="126"/>
      <c r="B351" s="126"/>
      <c r="C351" s="126"/>
      <c r="D351" s="126"/>
      <c r="E351" s="126"/>
      <c r="F351" s="271"/>
      <c r="G351" s="272"/>
      <c r="H351" s="126"/>
      <c r="I351" s="126"/>
      <c r="J351" s="237">
        <f>SUMIF(File1!$D$1:$D$2034,C351,File1!$H$1:$H$2034)</f>
        <v>0</v>
      </c>
      <c r="K351" s="237">
        <f>SUMIF(File1!$D$8:$D$2034,C351,File1!$I$8:$I$2034)</f>
        <v>0</v>
      </c>
      <c r="L351" s="237">
        <f t="shared" si="33"/>
        <v>0</v>
      </c>
      <c r="M351" s="237">
        <f>SUMIF(File1!$D$3:$D$1800,C351,File1!$K$3:$L$1800)</f>
        <v>0</v>
      </c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</row>
    <row r="352" spans="1:31" ht="13.2">
      <c r="A352" s="126"/>
      <c r="B352" s="126"/>
      <c r="C352" s="126"/>
      <c r="D352" s="126"/>
      <c r="E352" s="126"/>
      <c r="F352" s="271"/>
      <c r="G352" s="272"/>
      <c r="H352" s="126"/>
      <c r="I352" s="126"/>
      <c r="J352" s="237">
        <f>SUMIF(File1!$D$1:$D$2034,C352,File1!$H$1:$H$2034)</f>
        <v>0</v>
      </c>
      <c r="K352" s="237">
        <f>SUMIF(File1!$D$8:$D$2034,C352,File1!$I$8:$I$2034)</f>
        <v>0</v>
      </c>
      <c r="L352" s="237">
        <f t="shared" si="33"/>
        <v>0</v>
      </c>
      <c r="M352" s="237">
        <f>SUMIF(File1!$D$3:$D$1800,C352,File1!$K$3:$L$1800)</f>
        <v>0</v>
      </c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</row>
    <row r="353" spans="1:31" ht="13.2">
      <c r="A353" s="126"/>
      <c r="B353" s="126"/>
      <c r="C353" s="126"/>
      <c r="D353" s="126"/>
      <c r="E353" s="126"/>
      <c r="F353" s="271"/>
      <c r="G353" s="272"/>
      <c r="H353" s="126"/>
      <c r="I353" s="126"/>
      <c r="J353" s="237">
        <f>SUMIF(File1!$D$1:$D$2034,C353,File1!$H$1:$H$2034)</f>
        <v>0</v>
      </c>
      <c r="K353" s="237">
        <f>SUMIF(File1!$D$8:$D$2034,C353,File1!$I$8:$I$2034)</f>
        <v>0</v>
      </c>
      <c r="L353" s="237">
        <f t="shared" si="33"/>
        <v>0</v>
      </c>
      <c r="M353" s="237">
        <f>SUMIF(File1!$D$3:$D$1800,C353,File1!$K$3:$L$1800)</f>
        <v>0</v>
      </c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</row>
    <row r="354" spans="1:31" ht="13.2">
      <c r="A354" s="126"/>
      <c r="B354" s="126"/>
      <c r="C354" s="126"/>
      <c r="D354" s="126"/>
      <c r="E354" s="126"/>
      <c r="F354" s="271"/>
      <c r="G354" s="272"/>
      <c r="H354" s="126"/>
      <c r="I354" s="126"/>
      <c r="J354" s="237">
        <f>SUMIF(File1!$D$1:$D$2034,C354,File1!$H$1:$H$2034)</f>
        <v>0</v>
      </c>
      <c r="K354" s="237">
        <f>SUMIF(File1!$D$8:$D$2034,C354,File1!$I$8:$I$2034)</f>
        <v>0</v>
      </c>
      <c r="L354" s="237">
        <f t="shared" si="33"/>
        <v>0</v>
      </c>
      <c r="M354" s="237">
        <f>SUMIF(File1!$D$3:$D$1800,C354,File1!$K$3:$L$1800)</f>
        <v>0</v>
      </c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</row>
    <row r="355" spans="1:31" ht="13.2">
      <c r="A355" s="126"/>
      <c r="B355" s="126"/>
      <c r="C355" s="126"/>
      <c r="D355" s="126"/>
      <c r="E355" s="126"/>
      <c r="F355" s="271"/>
      <c r="G355" s="272"/>
      <c r="H355" s="126"/>
      <c r="I355" s="126"/>
      <c r="J355" s="237">
        <f>SUMIF(File1!$D$1:$D$2034,C355,File1!$H$1:$H$2034)</f>
        <v>0</v>
      </c>
      <c r="K355" s="237">
        <f>SUMIF(File1!$D$8:$D$2034,C355,File1!$I$8:$I$2034)</f>
        <v>0</v>
      </c>
      <c r="L355" s="237">
        <f t="shared" si="33"/>
        <v>0</v>
      </c>
      <c r="M355" s="237">
        <f>SUMIF(File1!$D$3:$D$1800,C355,File1!$K$3:$L$1800)</f>
        <v>0</v>
      </c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</row>
    <row r="356" spans="1:31" ht="13.2">
      <c r="A356" s="126"/>
      <c r="B356" s="126"/>
      <c r="C356" s="126"/>
      <c r="D356" s="126"/>
      <c r="E356" s="126"/>
      <c r="F356" s="271"/>
      <c r="G356" s="272"/>
      <c r="H356" s="126"/>
      <c r="I356" s="126"/>
      <c r="J356" s="237">
        <f>SUMIF(File1!$D$1:$D$2034,C356,File1!$H$1:$H$2034)</f>
        <v>0</v>
      </c>
      <c r="K356" s="237">
        <f>SUMIF(File1!$D$8:$D$2034,C356,File1!$I$8:$I$2034)</f>
        <v>0</v>
      </c>
      <c r="L356" s="237">
        <f t="shared" si="33"/>
        <v>0</v>
      </c>
      <c r="M356" s="237">
        <f>SUMIF(File1!$D$3:$D$1800,C356,File1!$K$3:$L$1800)</f>
        <v>0</v>
      </c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</row>
    <row r="357" spans="1:31" ht="13.2">
      <c r="A357" s="126"/>
      <c r="B357" s="126"/>
      <c r="C357" s="126"/>
      <c r="D357" s="126"/>
      <c r="E357" s="126"/>
      <c r="F357" s="271"/>
      <c r="G357" s="272"/>
      <c r="H357" s="126"/>
      <c r="I357" s="126"/>
      <c r="J357" s="237">
        <f>SUMIF(File1!$D$1:$D$2034,C357,File1!$H$1:$H$2034)</f>
        <v>0</v>
      </c>
      <c r="K357" s="237">
        <f>SUMIF(File1!$D$8:$D$2034,C357,File1!$I$8:$I$2034)</f>
        <v>0</v>
      </c>
      <c r="L357" s="237">
        <f t="shared" si="33"/>
        <v>0</v>
      </c>
      <c r="M357" s="237">
        <f>SUMIF(File1!$D$3:$D$1800,C357,File1!$K$3:$L$1800)</f>
        <v>0</v>
      </c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</row>
    <row r="358" spans="1:31" ht="13.2">
      <c r="A358" s="126"/>
      <c r="B358" s="126"/>
      <c r="C358" s="126"/>
      <c r="D358" s="126"/>
      <c r="E358" s="126"/>
      <c r="F358" s="271"/>
      <c r="G358" s="272"/>
      <c r="H358" s="126"/>
      <c r="I358" s="126"/>
      <c r="J358" s="237">
        <f>SUMIF(File1!$D$1:$D$2034,C358,File1!$H$1:$H$2034)</f>
        <v>0</v>
      </c>
      <c r="K358" s="237">
        <f>SUMIF(File1!$D$8:$D$2034,C358,File1!$I$8:$I$2034)</f>
        <v>0</v>
      </c>
      <c r="L358" s="237">
        <f t="shared" si="33"/>
        <v>0</v>
      </c>
      <c r="M358" s="237">
        <f>SUMIF(File1!$D$3:$D$1800,C358,File1!$K$3:$L$1800)</f>
        <v>0</v>
      </c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</row>
    <row r="359" spans="1:31" ht="13.2">
      <c r="A359" s="126"/>
      <c r="B359" s="126"/>
      <c r="C359" s="126"/>
      <c r="D359" s="126"/>
      <c r="E359" s="126"/>
      <c r="F359" s="271"/>
      <c r="G359" s="272"/>
      <c r="H359" s="126"/>
      <c r="I359" s="126"/>
      <c r="J359" s="237">
        <f>SUMIF(File1!$D$1:$D$2034,C359,File1!$H$1:$H$2034)</f>
        <v>0</v>
      </c>
      <c r="K359" s="237">
        <f>SUMIF(File1!$D$8:$D$2034,C359,File1!$I$8:$I$2034)</f>
        <v>0</v>
      </c>
      <c r="L359" s="237">
        <f t="shared" si="33"/>
        <v>0</v>
      </c>
      <c r="M359" s="237">
        <f>SUMIF(File1!$D$3:$D$1800,C359,File1!$K$3:$L$1800)</f>
        <v>0</v>
      </c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</row>
    <row r="360" spans="1:31" ht="13.2">
      <c r="A360" s="126"/>
      <c r="B360" s="126"/>
      <c r="C360" s="126"/>
      <c r="D360" s="126"/>
      <c r="E360" s="126"/>
      <c r="F360" s="271"/>
      <c r="G360" s="272"/>
      <c r="H360" s="126"/>
      <c r="I360" s="126"/>
      <c r="J360" s="237">
        <f>SUMIF(File1!$D$1:$D$2034,C360,File1!$H$1:$H$2034)</f>
        <v>0</v>
      </c>
      <c r="K360" s="237">
        <f>SUMIF(File1!$D$8:$D$2034,C360,File1!$I$8:$I$2034)</f>
        <v>0</v>
      </c>
      <c r="L360" s="237">
        <f t="shared" si="33"/>
        <v>0</v>
      </c>
      <c r="M360" s="237">
        <f>SUMIF(File1!$D$3:$D$1800,C360,File1!$K$3:$L$1800)</f>
        <v>0</v>
      </c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</row>
    <row r="361" spans="1:31" ht="13.2">
      <c r="A361" s="126"/>
      <c r="B361" s="126"/>
      <c r="C361" s="126"/>
      <c r="D361" s="126"/>
      <c r="E361" s="126"/>
      <c r="F361" s="271"/>
      <c r="G361" s="272"/>
      <c r="H361" s="126"/>
      <c r="I361" s="126"/>
      <c r="J361" s="237">
        <f>SUMIF(File1!$D$1:$D$2034,C361,File1!$H$1:$H$2034)</f>
        <v>0</v>
      </c>
      <c r="K361" s="237">
        <f>SUMIF(File1!$D$8:$D$2034,C361,File1!$I$8:$I$2034)</f>
        <v>0</v>
      </c>
      <c r="L361" s="237">
        <f t="shared" si="33"/>
        <v>0</v>
      </c>
      <c r="M361" s="237">
        <f>SUMIF(File1!$D$3:$D$1800,C361,File1!$K$3:$L$1800)</f>
        <v>0</v>
      </c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</row>
    <row r="362" spans="1:31" ht="13.2">
      <c r="A362" s="126"/>
      <c r="B362" s="126"/>
      <c r="C362" s="126"/>
      <c r="D362" s="126"/>
      <c r="E362" s="126"/>
      <c r="F362" s="271"/>
      <c r="G362" s="272"/>
      <c r="H362" s="126"/>
      <c r="I362" s="126"/>
      <c r="J362" s="237">
        <f>SUMIF(File1!$D$1:$D$2034,C362,File1!$H$1:$H$2034)</f>
        <v>0</v>
      </c>
      <c r="K362" s="237">
        <f>SUMIF(File1!$D$8:$D$2034,C362,File1!$I$8:$I$2034)</f>
        <v>0</v>
      </c>
      <c r="L362" s="237">
        <f t="shared" si="33"/>
        <v>0</v>
      </c>
      <c r="M362" s="237">
        <f>SUMIF(File1!$D$3:$D$1800,C362,File1!$K$3:$L$1800)</f>
        <v>0</v>
      </c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</row>
    <row r="363" spans="1:31" ht="13.2">
      <c r="A363" s="126"/>
      <c r="B363" s="126"/>
      <c r="C363" s="126"/>
      <c r="D363" s="126"/>
      <c r="E363" s="126"/>
      <c r="F363" s="271"/>
      <c r="G363" s="272"/>
      <c r="H363" s="126"/>
      <c r="I363" s="126"/>
      <c r="J363" s="237">
        <f>SUMIF(File1!$D$1:$D$2034,C363,File1!$H$1:$H$2034)</f>
        <v>0</v>
      </c>
      <c r="K363" s="237">
        <f>SUMIF(File1!$D$8:$D$2034,C363,File1!$I$8:$I$2034)</f>
        <v>0</v>
      </c>
      <c r="L363" s="237">
        <f t="shared" si="33"/>
        <v>0</v>
      </c>
      <c r="M363" s="237">
        <f>SUMIF(File1!$D$3:$D$1800,C363,File1!$K$3:$L$1800)</f>
        <v>0</v>
      </c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</row>
    <row r="364" spans="1:31" ht="13.2">
      <c r="A364" s="126"/>
      <c r="B364" s="126"/>
      <c r="C364" s="126"/>
      <c r="D364" s="126"/>
      <c r="E364" s="126"/>
      <c r="F364" s="271"/>
      <c r="G364" s="272"/>
      <c r="H364" s="126"/>
      <c r="I364" s="126"/>
      <c r="J364" s="237">
        <f>SUMIF(File1!$D$1:$D$2034,C364,File1!$H$1:$H$2034)</f>
        <v>0</v>
      </c>
      <c r="K364" s="237">
        <f>SUMIF(File1!$D$8:$D$2034,C364,File1!$I$8:$I$2034)</f>
        <v>0</v>
      </c>
      <c r="L364" s="237">
        <f t="shared" si="33"/>
        <v>0</v>
      </c>
      <c r="M364" s="237">
        <f>SUMIF(File1!$D$3:$D$1800,C364,File1!$K$3:$L$1800)</f>
        <v>0</v>
      </c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</row>
    <row r="365" spans="1:31" ht="13.2">
      <c r="A365" s="126"/>
      <c r="B365" s="126"/>
      <c r="C365" s="126"/>
      <c r="D365" s="126"/>
      <c r="E365" s="126"/>
      <c r="F365" s="271"/>
      <c r="G365" s="272"/>
      <c r="H365" s="126"/>
      <c r="I365" s="126"/>
      <c r="J365" s="237">
        <f>SUMIF(File1!$D$1:$D$2034,C365,File1!$H$1:$H$2034)</f>
        <v>0</v>
      </c>
      <c r="K365" s="237">
        <f>SUMIF(File1!$D$8:$D$2034,C365,File1!$I$8:$I$2034)</f>
        <v>0</v>
      </c>
      <c r="L365" s="237">
        <f t="shared" si="33"/>
        <v>0</v>
      </c>
      <c r="M365" s="237">
        <f>SUMIF(File1!$D$3:$D$1800,C365,File1!$K$3:$L$1800)</f>
        <v>0</v>
      </c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</row>
    <row r="366" spans="1:31" ht="13.2">
      <c r="A366" s="126"/>
      <c r="B366" s="126"/>
      <c r="C366" s="126"/>
      <c r="D366" s="126"/>
      <c r="E366" s="126"/>
      <c r="F366" s="271"/>
      <c r="G366" s="272"/>
      <c r="H366" s="126"/>
      <c r="I366" s="126"/>
      <c r="J366" s="237">
        <f>SUMIF(File1!$D$1:$D$2034,C366,File1!$H$1:$H$2034)</f>
        <v>0</v>
      </c>
      <c r="K366" s="237">
        <f>SUMIF(File1!$D$8:$D$2034,C366,File1!$I$8:$I$2034)</f>
        <v>0</v>
      </c>
      <c r="L366" s="237">
        <f t="shared" si="33"/>
        <v>0</v>
      </c>
      <c r="M366" s="237">
        <f>SUMIF(File1!$D$3:$D$1800,C366,File1!$K$3:$L$1800)</f>
        <v>0</v>
      </c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</row>
    <row r="367" spans="1:31" ht="13.2">
      <c r="A367" s="126"/>
      <c r="B367" s="126"/>
      <c r="C367" s="126"/>
      <c r="D367" s="126"/>
      <c r="E367" s="126"/>
      <c r="F367" s="271"/>
      <c r="G367" s="272"/>
      <c r="H367" s="126"/>
      <c r="I367" s="126"/>
      <c r="J367" s="237">
        <f>SUMIF(File1!$D$1:$D$2034,C367,File1!$H$1:$H$2034)</f>
        <v>0</v>
      </c>
      <c r="K367" s="237">
        <f>SUMIF(File1!$D$8:$D$2034,C367,File1!$I$8:$I$2034)</f>
        <v>0</v>
      </c>
      <c r="L367" s="237">
        <f t="shared" si="33"/>
        <v>0</v>
      </c>
      <c r="M367" s="237">
        <f>SUMIF(File1!$D$3:$D$1800,C367,File1!$K$3:$L$1800)</f>
        <v>0</v>
      </c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</row>
    <row r="368" spans="1:31" ht="13.2">
      <c r="A368" s="126"/>
      <c r="B368" s="126"/>
      <c r="C368" s="126"/>
      <c r="D368" s="126"/>
      <c r="E368" s="126"/>
      <c r="F368" s="271"/>
      <c r="G368" s="272"/>
      <c r="H368" s="126"/>
      <c r="I368" s="126"/>
      <c r="J368" s="237">
        <f>SUMIF(File1!$D$1:$D$2034,C368,File1!$H$1:$H$2034)</f>
        <v>0</v>
      </c>
      <c r="K368" s="237">
        <f>SUMIF(File1!$D$8:$D$2034,C368,File1!$I$8:$I$2034)</f>
        <v>0</v>
      </c>
      <c r="L368" s="237">
        <f t="shared" si="33"/>
        <v>0</v>
      </c>
      <c r="M368" s="237">
        <f>SUMIF(File1!$D$3:$D$1800,C368,File1!$K$3:$L$1800)</f>
        <v>0</v>
      </c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</row>
    <row r="369" spans="1:31" ht="13.2">
      <c r="A369" s="126"/>
      <c r="B369" s="126"/>
      <c r="C369" s="126"/>
      <c r="D369" s="126"/>
      <c r="E369" s="126"/>
      <c r="F369" s="271"/>
      <c r="G369" s="272"/>
      <c r="H369" s="126"/>
      <c r="I369" s="126"/>
      <c r="J369" s="237">
        <f>SUMIF(File1!$D$1:$D$2034,C369,File1!$H$1:$H$2034)</f>
        <v>0</v>
      </c>
      <c r="K369" s="237">
        <f>SUMIF(File1!$D$8:$D$2034,C369,File1!$I$8:$I$2034)</f>
        <v>0</v>
      </c>
      <c r="L369" s="237">
        <f t="shared" si="33"/>
        <v>0</v>
      </c>
      <c r="M369" s="237">
        <f>SUMIF(File1!$D$3:$D$1800,C369,File1!$K$3:$L$1800)</f>
        <v>0</v>
      </c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</row>
    <row r="370" spans="1:31" ht="13.2">
      <c r="A370" s="126"/>
      <c r="B370" s="126"/>
      <c r="C370" s="126"/>
      <c r="D370" s="126"/>
      <c r="E370" s="126"/>
      <c r="F370" s="271"/>
      <c r="G370" s="272"/>
      <c r="H370" s="126"/>
      <c r="I370" s="126"/>
      <c r="J370" s="237">
        <f>SUMIF(File1!$D$1:$D$2034,C370,File1!$H$1:$H$2034)</f>
        <v>0</v>
      </c>
      <c r="K370" s="237">
        <f>SUMIF(File1!$D$8:$D$2034,C370,File1!$I$8:$I$2034)</f>
        <v>0</v>
      </c>
      <c r="L370" s="237">
        <f t="shared" si="33"/>
        <v>0</v>
      </c>
      <c r="M370" s="237">
        <f>SUMIF(File1!$D$3:$D$1800,C370,File1!$K$3:$L$1800)</f>
        <v>0</v>
      </c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</row>
    <row r="371" spans="1:31" ht="13.2">
      <c r="A371" s="126"/>
      <c r="B371" s="126"/>
      <c r="C371" s="126"/>
      <c r="D371" s="126"/>
      <c r="E371" s="126"/>
      <c r="F371" s="271"/>
      <c r="G371" s="272"/>
      <c r="H371" s="126"/>
      <c r="I371" s="126"/>
      <c r="J371" s="237">
        <f>SUMIF(File1!$D$1:$D$2034,C371,File1!$H$1:$H$2034)</f>
        <v>0</v>
      </c>
      <c r="K371" s="237">
        <f>SUMIF(File1!$D$8:$D$2034,C371,File1!$I$8:$I$2034)</f>
        <v>0</v>
      </c>
      <c r="L371" s="237">
        <f t="shared" si="33"/>
        <v>0</v>
      </c>
      <c r="M371" s="237">
        <f>SUMIF(File1!$D$3:$D$1800,C371,File1!$K$3:$L$1800)</f>
        <v>0</v>
      </c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</row>
    <row r="372" spans="1:31" ht="13.2">
      <c r="A372" s="126"/>
      <c r="B372" s="126"/>
      <c r="C372" s="126"/>
      <c r="D372" s="126"/>
      <c r="E372" s="126"/>
      <c r="F372" s="271"/>
      <c r="G372" s="272"/>
      <c r="H372" s="126"/>
      <c r="I372" s="126"/>
      <c r="J372" s="237">
        <f>SUMIF(File1!$D$1:$D$2034,C372,File1!$H$1:$H$2034)</f>
        <v>0</v>
      </c>
      <c r="K372" s="237">
        <f>SUMIF(File1!$D$8:$D$2034,C372,File1!$I$8:$I$2034)</f>
        <v>0</v>
      </c>
      <c r="L372" s="237">
        <f t="shared" si="33"/>
        <v>0</v>
      </c>
      <c r="M372" s="237">
        <f>SUMIF(File1!$D$3:$D$1800,C372,File1!$K$3:$L$1800)</f>
        <v>0</v>
      </c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</row>
    <row r="373" spans="1:31" ht="13.2">
      <c r="A373" s="126"/>
      <c r="B373" s="126"/>
      <c r="C373" s="126"/>
      <c r="D373" s="126"/>
      <c r="E373" s="126"/>
      <c r="F373" s="271"/>
      <c r="G373" s="272"/>
      <c r="H373" s="126"/>
      <c r="I373" s="126"/>
      <c r="J373" s="237">
        <f>SUMIF(File1!$D$1:$D$2034,C373,File1!$H$1:$H$2034)</f>
        <v>0</v>
      </c>
      <c r="K373" s="237">
        <f>SUMIF(File1!$D$8:$D$2034,C373,File1!$I$8:$I$2034)</f>
        <v>0</v>
      </c>
      <c r="L373" s="237">
        <f t="shared" si="33"/>
        <v>0</v>
      </c>
      <c r="M373" s="237">
        <f>SUMIF(File1!$D$3:$D$1800,C373,File1!$K$3:$L$1800)</f>
        <v>0</v>
      </c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</row>
    <row r="374" spans="1:31" ht="13.2">
      <c r="A374" s="126"/>
      <c r="B374" s="126"/>
      <c r="C374" s="126"/>
      <c r="D374" s="126"/>
      <c r="E374" s="126"/>
      <c r="F374" s="271"/>
      <c r="G374" s="272"/>
      <c r="H374" s="126"/>
      <c r="I374" s="126"/>
      <c r="J374" s="237">
        <f>SUMIF(File1!$D$1:$D$2034,C374,File1!$H$1:$H$2034)</f>
        <v>0</v>
      </c>
      <c r="K374" s="237">
        <f>SUMIF(File1!$D$8:$D$2034,C374,File1!$I$8:$I$2034)</f>
        <v>0</v>
      </c>
      <c r="L374" s="237">
        <f t="shared" si="33"/>
        <v>0</v>
      </c>
      <c r="M374" s="237">
        <f>SUMIF(File1!$D$3:$D$1800,C374,File1!$K$3:$L$1800)</f>
        <v>0</v>
      </c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</row>
    <row r="375" spans="1:31" ht="13.2">
      <c r="A375" s="126"/>
      <c r="B375" s="126"/>
      <c r="C375" s="126"/>
      <c r="D375" s="126"/>
      <c r="E375" s="126"/>
      <c r="F375" s="271"/>
      <c r="G375" s="272"/>
      <c r="H375" s="126"/>
      <c r="I375" s="126"/>
      <c r="J375" s="237">
        <f>SUMIF(File1!$D$1:$D$2034,C375,File1!$H$1:$H$2034)</f>
        <v>0</v>
      </c>
      <c r="K375" s="237">
        <f>SUMIF(File1!$D$8:$D$2034,C375,File1!$I$8:$I$2034)</f>
        <v>0</v>
      </c>
      <c r="L375" s="237">
        <f t="shared" si="33"/>
        <v>0</v>
      </c>
      <c r="M375" s="237">
        <f>SUMIF(File1!$D$3:$D$1800,C375,File1!$K$3:$L$1800)</f>
        <v>0</v>
      </c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</row>
    <row r="376" spans="1:31" ht="13.2">
      <c r="A376" s="126"/>
      <c r="B376" s="126"/>
      <c r="C376" s="126"/>
      <c r="D376" s="126"/>
      <c r="E376" s="126"/>
      <c r="F376" s="271"/>
      <c r="G376" s="272"/>
      <c r="H376" s="126"/>
      <c r="I376" s="126"/>
      <c r="J376" s="237">
        <f>SUMIF(File1!$D$1:$D$2034,C376,File1!$H$1:$H$2034)</f>
        <v>0</v>
      </c>
      <c r="K376" s="237">
        <f>SUMIF(File1!$D$8:$D$2034,C376,File1!$I$8:$I$2034)</f>
        <v>0</v>
      </c>
      <c r="L376" s="237">
        <f t="shared" si="33"/>
        <v>0</v>
      </c>
      <c r="M376" s="237">
        <f>SUMIF(File1!$D$3:$D$1800,C376,File1!$K$3:$L$1800)</f>
        <v>0</v>
      </c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</row>
    <row r="377" spans="1:31" ht="13.2">
      <c r="A377" s="126"/>
      <c r="B377" s="126"/>
      <c r="C377" s="126"/>
      <c r="D377" s="126"/>
      <c r="E377" s="126"/>
      <c r="F377" s="271"/>
      <c r="G377" s="272"/>
      <c r="H377" s="126"/>
      <c r="I377" s="126"/>
      <c r="J377" s="237">
        <f>SUMIF(File1!$D$1:$D$2034,C377,File1!$H$1:$H$2034)</f>
        <v>0</v>
      </c>
      <c r="K377" s="237">
        <f>SUMIF(File1!$D$8:$D$2034,C377,File1!$I$8:$I$2034)</f>
        <v>0</v>
      </c>
      <c r="L377" s="237">
        <f t="shared" si="33"/>
        <v>0</v>
      </c>
      <c r="M377" s="237">
        <f>SUMIF(File1!$D$3:$D$1800,C377,File1!$K$3:$L$1800)</f>
        <v>0</v>
      </c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</row>
    <row r="378" spans="1:31" ht="13.2">
      <c r="A378" s="126"/>
      <c r="B378" s="126"/>
      <c r="C378" s="126"/>
      <c r="D378" s="126"/>
      <c r="E378" s="126"/>
      <c r="F378" s="271"/>
      <c r="G378" s="272"/>
      <c r="H378" s="126"/>
      <c r="I378" s="126"/>
      <c r="J378" s="237">
        <f>SUMIF(File1!$D$1:$D$2034,C378,File1!$H$1:$H$2034)</f>
        <v>0</v>
      </c>
      <c r="K378" s="237">
        <f>SUMIF(File1!$D$8:$D$2034,C378,File1!$I$8:$I$2034)</f>
        <v>0</v>
      </c>
      <c r="L378" s="237">
        <f t="shared" si="33"/>
        <v>0</v>
      </c>
      <c r="M378" s="237">
        <f>SUMIF(File1!$D$3:$D$1800,C378,File1!$K$3:$L$1800)</f>
        <v>0</v>
      </c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</row>
    <row r="379" spans="1:31" ht="13.2">
      <c r="A379" s="126"/>
      <c r="B379" s="126"/>
      <c r="C379" s="126"/>
      <c r="D379" s="126"/>
      <c r="E379" s="126"/>
      <c r="F379" s="271"/>
      <c r="G379" s="272"/>
      <c r="H379" s="126"/>
      <c r="I379" s="126"/>
      <c r="J379" s="237">
        <f>SUMIF(File1!$D$1:$D$2034,C379,File1!$H$1:$H$2034)</f>
        <v>0</v>
      </c>
      <c r="K379" s="237">
        <f>SUMIF(File1!$D$8:$D$2034,C379,File1!$I$8:$I$2034)</f>
        <v>0</v>
      </c>
      <c r="L379" s="237">
        <f t="shared" si="33"/>
        <v>0</v>
      </c>
      <c r="M379" s="237">
        <f>SUMIF(File1!$D$3:$D$1800,C379,File1!$K$3:$L$1800)</f>
        <v>0</v>
      </c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</row>
    <row r="380" spans="1:31" ht="13.2">
      <c r="A380" s="126"/>
      <c r="B380" s="126"/>
      <c r="C380" s="126"/>
      <c r="D380" s="126"/>
      <c r="E380" s="126"/>
      <c r="F380" s="271"/>
      <c r="G380" s="272"/>
      <c r="H380" s="126"/>
      <c r="I380" s="126"/>
      <c r="J380" s="237">
        <f>SUMIF(File1!$D$1:$D$2034,C380,File1!$H$1:$H$2034)</f>
        <v>0</v>
      </c>
      <c r="K380" s="237">
        <f>SUMIF(File1!$D$8:$D$2034,C380,File1!$I$8:$I$2034)</f>
        <v>0</v>
      </c>
      <c r="L380" s="237">
        <f t="shared" si="33"/>
        <v>0</v>
      </c>
      <c r="M380" s="237">
        <f>SUMIF(File1!$D$3:$D$1800,C380,File1!$K$3:$L$1800)</f>
        <v>0</v>
      </c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</row>
    <row r="381" spans="1:31" ht="13.2">
      <c r="A381" s="126"/>
      <c r="B381" s="126"/>
      <c r="C381" s="126"/>
      <c r="D381" s="126"/>
      <c r="E381" s="126"/>
      <c r="F381" s="271"/>
      <c r="G381" s="272"/>
      <c r="H381" s="126"/>
      <c r="I381" s="126"/>
      <c r="J381" s="237">
        <f>SUMIF(File1!$D$1:$D$2034,C381,File1!$H$1:$H$2034)</f>
        <v>0</v>
      </c>
      <c r="K381" s="237">
        <f>SUMIF(File1!$D$8:$D$2034,C381,File1!$I$8:$I$2034)</f>
        <v>0</v>
      </c>
      <c r="L381" s="237">
        <f t="shared" si="33"/>
        <v>0</v>
      </c>
      <c r="M381" s="237">
        <f>SUMIF(File1!$D$3:$D$1800,C381,File1!$K$3:$L$1800)</f>
        <v>0</v>
      </c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</row>
    <row r="382" spans="1:31" ht="13.2">
      <c r="A382" s="126"/>
      <c r="B382" s="126"/>
      <c r="C382" s="126"/>
      <c r="D382" s="126"/>
      <c r="E382" s="126"/>
      <c r="F382" s="271"/>
      <c r="G382" s="272"/>
      <c r="H382" s="126"/>
      <c r="I382" s="126"/>
      <c r="J382" s="237">
        <f>SUMIF(File1!$D$1:$D$2034,C382,File1!$H$1:$H$2034)</f>
        <v>0</v>
      </c>
      <c r="K382" s="237">
        <f>SUMIF(File1!$D$8:$D$2034,C382,File1!$I$8:$I$2034)</f>
        <v>0</v>
      </c>
      <c r="L382" s="237">
        <f t="shared" si="33"/>
        <v>0</v>
      </c>
      <c r="M382" s="237">
        <f>SUMIF(File1!$D$3:$D$1800,C382,File1!$K$3:$L$1800)</f>
        <v>0</v>
      </c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</row>
    <row r="383" spans="1:31" ht="13.2">
      <c r="A383" s="126"/>
      <c r="B383" s="126"/>
      <c r="C383" s="126"/>
      <c r="D383" s="126"/>
      <c r="E383" s="126"/>
      <c r="F383" s="271"/>
      <c r="G383" s="272"/>
      <c r="H383" s="126"/>
      <c r="I383" s="126"/>
      <c r="J383" s="237">
        <f>SUMIF(File1!$D$1:$D$2034,C383,File1!$H$1:$H$2034)</f>
        <v>0</v>
      </c>
      <c r="K383" s="237">
        <f>SUMIF(File1!$D$8:$D$2034,C383,File1!$I$8:$I$2034)</f>
        <v>0</v>
      </c>
      <c r="L383" s="237">
        <f t="shared" si="33"/>
        <v>0</v>
      </c>
      <c r="M383" s="237">
        <f>SUMIF(File1!$D$3:$D$1800,C383,File1!$K$3:$L$1800)</f>
        <v>0</v>
      </c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</row>
    <row r="384" spans="1:31" ht="13.2">
      <c r="A384" s="126"/>
      <c r="B384" s="126"/>
      <c r="C384" s="126"/>
      <c r="D384" s="126"/>
      <c r="E384" s="126"/>
      <c r="F384" s="271"/>
      <c r="G384" s="272"/>
      <c r="H384" s="126"/>
      <c r="I384" s="126"/>
      <c r="J384" s="237">
        <f>SUMIF(File1!$D$1:$D$2034,C384,File1!$H$1:$H$2034)</f>
        <v>0</v>
      </c>
      <c r="K384" s="237">
        <f>SUMIF(File1!$D$8:$D$2034,C384,File1!$I$8:$I$2034)</f>
        <v>0</v>
      </c>
      <c r="L384" s="237">
        <f t="shared" si="33"/>
        <v>0</v>
      </c>
      <c r="M384" s="237">
        <f>SUMIF(File1!$D$3:$D$1800,C384,File1!$K$3:$L$1800)</f>
        <v>0</v>
      </c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</row>
    <row r="385" spans="1:31" ht="13.2">
      <c r="A385" s="126"/>
      <c r="B385" s="126"/>
      <c r="C385" s="126"/>
      <c r="D385" s="126"/>
      <c r="E385" s="126"/>
      <c r="F385" s="271"/>
      <c r="G385" s="272"/>
      <c r="H385" s="126"/>
      <c r="I385" s="126"/>
      <c r="J385" s="237">
        <f>SUMIF(File1!$D$1:$D$2034,C385,File1!$H$1:$H$2034)</f>
        <v>0</v>
      </c>
      <c r="K385" s="237">
        <f>SUMIF(File1!$D$8:$D$2034,C385,File1!$I$8:$I$2034)</f>
        <v>0</v>
      </c>
      <c r="L385" s="237">
        <f t="shared" si="33"/>
        <v>0</v>
      </c>
      <c r="M385" s="237">
        <f>SUMIF(File1!$D$3:$D$1800,C385,File1!$K$3:$L$1800)</f>
        <v>0</v>
      </c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</row>
    <row r="386" spans="1:31" ht="13.2">
      <c r="A386" s="126"/>
      <c r="B386" s="126"/>
      <c r="C386" s="126"/>
      <c r="D386" s="126"/>
      <c r="E386" s="126"/>
      <c r="F386" s="271"/>
      <c r="G386" s="272"/>
      <c r="H386" s="126"/>
      <c r="I386" s="126"/>
      <c r="J386" s="237">
        <f>SUMIF(File1!$D$1:$D$2034,C386,File1!$H$1:$H$2034)</f>
        <v>0</v>
      </c>
      <c r="K386" s="237">
        <f>SUMIF(File1!$D$8:$D$2034,C386,File1!$I$8:$I$2034)</f>
        <v>0</v>
      </c>
      <c r="L386" s="237">
        <f t="shared" si="33"/>
        <v>0</v>
      </c>
      <c r="M386" s="237">
        <f>SUMIF(File1!$D$3:$D$1800,C386,File1!$K$3:$L$1800)</f>
        <v>0</v>
      </c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</row>
    <row r="387" spans="1:31" ht="13.2">
      <c r="A387" s="126"/>
      <c r="B387" s="126"/>
      <c r="C387" s="126"/>
      <c r="D387" s="126"/>
      <c r="E387" s="126"/>
      <c r="F387" s="271"/>
      <c r="G387" s="272"/>
      <c r="H387" s="126"/>
      <c r="I387" s="126"/>
      <c r="J387" s="237">
        <f>SUMIF(File1!$D$1:$D$2034,C387,File1!$H$1:$H$2034)</f>
        <v>0</v>
      </c>
      <c r="K387" s="237">
        <f>SUMIF(File1!$D$8:$D$2034,C387,File1!$I$8:$I$2034)</f>
        <v>0</v>
      </c>
      <c r="L387" s="237">
        <f t="shared" si="33"/>
        <v>0</v>
      </c>
      <c r="M387" s="237">
        <f>SUMIF(File1!$D$3:$D$1800,C387,File1!$K$3:$L$1800)</f>
        <v>0</v>
      </c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</row>
    <row r="388" spans="1:31" ht="13.2">
      <c r="A388" s="126"/>
      <c r="B388" s="126"/>
      <c r="C388" s="126"/>
      <c r="D388" s="126"/>
      <c r="E388" s="126"/>
      <c r="F388" s="271"/>
      <c r="G388" s="272"/>
      <c r="H388" s="126"/>
      <c r="I388" s="126"/>
      <c r="J388" s="237">
        <f>SUMIF(File1!$D$1:$D$2034,C388,File1!$H$1:$H$2034)</f>
        <v>0</v>
      </c>
      <c r="K388" s="237">
        <f>SUMIF(File1!$D$8:$D$2034,C388,File1!$I$8:$I$2034)</f>
        <v>0</v>
      </c>
      <c r="L388" s="237">
        <f t="shared" si="33"/>
        <v>0</v>
      </c>
      <c r="M388" s="237">
        <f>SUMIF(File1!$D$3:$D$1800,C388,File1!$K$3:$L$1800)</f>
        <v>0</v>
      </c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</row>
    <row r="389" spans="1:31" ht="13.2">
      <c r="A389" s="126"/>
      <c r="B389" s="126"/>
      <c r="C389" s="126"/>
      <c r="D389" s="126"/>
      <c r="E389" s="126"/>
      <c r="F389" s="271"/>
      <c r="G389" s="272"/>
      <c r="H389" s="126"/>
      <c r="I389" s="126"/>
      <c r="J389" s="237">
        <f>SUMIF(File1!$D$1:$D$2034,C389,File1!$H$1:$H$2034)</f>
        <v>0</v>
      </c>
      <c r="K389" s="237">
        <f>SUMIF(File1!$D$8:$D$2034,C389,File1!$I$8:$I$2034)</f>
        <v>0</v>
      </c>
      <c r="L389" s="237">
        <f t="shared" si="33"/>
        <v>0</v>
      </c>
      <c r="M389" s="237">
        <f>SUMIF(File1!$D$3:$D$1800,C389,File1!$K$3:$L$1800)</f>
        <v>0</v>
      </c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</row>
    <row r="390" spans="1:31" ht="13.2">
      <c r="A390" s="126"/>
      <c r="B390" s="126"/>
      <c r="C390" s="126"/>
      <c r="D390" s="126"/>
      <c r="E390" s="126"/>
      <c r="F390" s="271"/>
      <c r="G390" s="272"/>
      <c r="H390" s="126"/>
      <c r="I390" s="126"/>
      <c r="J390" s="237">
        <f>SUMIF(File1!$D$1:$D$2034,C390,File1!$H$1:$H$2034)</f>
        <v>0</v>
      </c>
      <c r="K390" s="237">
        <f>SUMIF(File1!$D$8:$D$2034,C390,File1!$I$8:$I$2034)</f>
        <v>0</v>
      </c>
      <c r="L390" s="237">
        <f t="shared" si="33"/>
        <v>0</v>
      </c>
      <c r="M390" s="237">
        <f>SUMIF(File1!$D$3:$D$1800,C390,File1!$K$3:$L$1800)</f>
        <v>0</v>
      </c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</row>
    <row r="391" spans="1:31" ht="13.2">
      <c r="A391" s="126"/>
      <c r="B391" s="126"/>
      <c r="C391" s="126"/>
      <c r="D391" s="126"/>
      <c r="E391" s="126"/>
      <c r="F391" s="271"/>
      <c r="G391" s="272"/>
      <c r="H391" s="126"/>
      <c r="I391" s="126"/>
      <c r="J391" s="237">
        <f>SUMIF(File1!$D$1:$D$2034,C391,File1!$H$1:$H$2034)</f>
        <v>0</v>
      </c>
      <c r="K391" s="237">
        <f>SUMIF(File1!$D$8:$D$2034,C391,File1!$I$8:$I$2034)</f>
        <v>0</v>
      </c>
      <c r="L391" s="237">
        <f t="shared" si="33"/>
        <v>0</v>
      </c>
      <c r="M391" s="237">
        <f>SUMIF(File1!$D$3:$D$1800,C391,File1!$K$3:$L$1800)</f>
        <v>0</v>
      </c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</row>
    <row r="392" spans="1:31" ht="13.2">
      <c r="A392" s="126"/>
      <c r="B392" s="126"/>
      <c r="C392" s="126"/>
      <c r="D392" s="126"/>
      <c r="E392" s="126"/>
      <c r="F392" s="271"/>
      <c r="G392" s="272"/>
      <c r="H392" s="126"/>
      <c r="I392" s="126"/>
      <c r="J392" s="237">
        <f>SUMIF(File1!$D$1:$D$2034,C392,File1!$H$1:$H$2034)</f>
        <v>0</v>
      </c>
      <c r="K392" s="237">
        <f>SUMIF(File1!$D$8:$D$2034,C392,File1!$I$8:$I$2034)</f>
        <v>0</v>
      </c>
      <c r="L392" s="237">
        <f t="shared" si="33"/>
        <v>0</v>
      </c>
      <c r="M392" s="237">
        <f>SUMIF(File1!$D$3:$D$1800,C392,File1!$K$3:$L$1800)</f>
        <v>0</v>
      </c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</row>
    <row r="393" spans="1:31" ht="13.2">
      <c r="A393" s="126"/>
      <c r="B393" s="126"/>
      <c r="C393" s="126"/>
      <c r="D393" s="126"/>
      <c r="E393" s="126"/>
      <c r="F393" s="271"/>
      <c r="G393" s="272"/>
      <c r="H393" s="126"/>
      <c r="I393" s="126"/>
      <c r="J393" s="237">
        <f>SUMIF(File1!$D$1:$D$2034,C393,File1!$H$1:$H$2034)</f>
        <v>0</v>
      </c>
      <c r="K393" s="237">
        <f>SUMIF(File1!$D$8:$D$2034,C393,File1!$I$8:$I$2034)</f>
        <v>0</v>
      </c>
      <c r="L393" s="237">
        <f t="shared" si="33"/>
        <v>0</v>
      </c>
      <c r="M393" s="237">
        <f>SUMIF(File1!$D$3:$D$1800,C393,File1!$K$3:$L$1800)</f>
        <v>0</v>
      </c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</row>
    <row r="394" spans="1:31" ht="13.2">
      <c r="A394" s="126"/>
      <c r="B394" s="126"/>
      <c r="C394" s="126"/>
      <c r="D394" s="126"/>
      <c r="E394" s="126"/>
      <c r="F394" s="271"/>
      <c r="G394" s="272"/>
      <c r="H394" s="126"/>
      <c r="I394" s="126"/>
      <c r="J394" s="237">
        <f>SUMIF(File1!$D$1:$D$2034,C394,File1!$H$1:$H$2034)</f>
        <v>0</v>
      </c>
      <c r="K394" s="237">
        <f>SUMIF(File1!$D$8:$D$2034,C394,File1!$I$8:$I$2034)</f>
        <v>0</v>
      </c>
      <c r="L394" s="237">
        <f t="shared" si="33"/>
        <v>0</v>
      </c>
      <c r="M394" s="237">
        <f>SUMIF(File1!$D$3:$D$1800,C394,File1!$K$3:$L$1800)</f>
        <v>0</v>
      </c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</row>
    <row r="395" spans="1:31" ht="13.2">
      <c r="A395" s="126"/>
      <c r="B395" s="126"/>
      <c r="C395" s="126"/>
      <c r="D395" s="126"/>
      <c r="E395" s="126"/>
      <c r="F395" s="271"/>
      <c r="G395" s="272"/>
      <c r="H395" s="126"/>
      <c r="I395" s="126"/>
      <c r="J395" s="237">
        <f>SUMIF(File1!$D$1:$D$2034,C395,File1!$H$1:$H$2034)</f>
        <v>0</v>
      </c>
      <c r="K395" s="237">
        <f>SUMIF(File1!$D$8:$D$2034,C395,File1!$I$8:$I$2034)</f>
        <v>0</v>
      </c>
      <c r="L395" s="237">
        <f t="shared" si="33"/>
        <v>0</v>
      </c>
      <c r="M395" s="237">
        <f>SUMIF(File1!$D$3:$D$1800,C395,File1!$K$3:$L$1800)</f>
        <v>0</v>
      </c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</row>
    <row r="396" spans="1:31" ht="13.2">
      <c r="A396" s="126"/>
      <c r="B396" s="126"/>
      <c r="C396" s="126"/>
      <c r="D396" s="126"/>
      <c r="E396" s="126"/>
      <c r="F396" s="271"/>
      <c r="G396" s="272"/>
      <c r="H396" s="126"/>
      <c r="I396" s="126"/>
      <c r="J396" s="237">
        <f>SUMIF(File1!$D$1:$D$2034,C396,File1!$H$1:$H$2034)</f>
        <v>0</v>
      </c>
      <c r="K396" s="237">
        <f>SUMIF(File1!$D$8:$D$2034,C396,File1!$I$8:$I$2034)</f>
        <v>0</v>
      </c>
      <c r="L396" s="237">
        <f t="shared" si="33"/>
        <v>0</v>
      </c>
      <c r="M396" s="237">
        <f>SUMIF(File1!$D$3:$D$1800,C396,File1!$K$3:$L$1800)</f>
        <v>0</v>
      </c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</row>
    <row r="397" spans="1:31" ht="13.2">
      <c r="A397" s="126"/>
      <c r="B397" s="126"/>
      <c r="C397" s="126"/>
      <c r="D397" s="126"/>
      <c r="E397" s="126"/>
      <c r="F397" s="271"/>
      <c r="G397" s="272"/>
      <c r="H397" s="126"/>
      <c r="I397" s="126"/>
      <c r="J397" s="237">
        <f>SUMIF(File1!$D$1:$D$2034,C397,File1!$H$1:$H$2034)</f>
        <v>0</v>
      </c>
      <c r="K397" s="237">
        <f>SUMIF(File1!$D$8:$D$2034,C397,File1!$I$8:$I$2034)</f>
        <v>0</v>
      </c>
      <c r="L397" s="237">
        <f t="shared" si="33"/>
        <v>0</v>
      </c>
      <c r="M397" s="237">
        <f>SUMIF(File1!$D$3:$D$1800,C397,File1!$K$3:$L$1800)</f>
        <v>0</v>
      </c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</row>
    <row r="398" spans="1:31" ht="13.2">
      <c r="A398" s="126"/>
      <c r="B398" s="126"/>
      <c r="C398" s="126"/>
      <c r="D398" s="126"/>
      <c r="E398" s="126"/>
      <c r="F398" s="271"/>
      <c r="G398" s="272"/>
      <c r="H398" s="126"/>
      <c r="I398" s="126"/>
      <c r="J398" s="237">
        <f>SUMIF(File1!$D$1:$D$2034,C398,File1!$H$1:$H$2034)</f>
        <v>0</v>
      </c>
      <c r="K398" s="237">
        <f>SUMIF(File1!$D$8:$D$2034,C398,File1!$I$8:$I$2034)</f>
        <v>0</v>
      </c>
      <c r="L398" s="237">
        <f t="shared" si="33"/>
        <v>0</v>
      </c>
      <c r="M398" s="237">
        <f>SUMIF(File1!$D$3:$D$1800,C398,File1!$K$3:$L$1800)</f>
        <v>0</v>
      </c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</row>
    <row r="399" spans="1:31" ht="13.2">
      <c r="A399" s="126"/>
      <c r="B399" s="126"/>
      <c r="C399" s="126"/>
      <c r="D399" s="126"/>
      <c r="E399" s="126"/>
      <c r="F399" s="271"/>
      <c r="G399" s="272"/>
      <c r="H399" s="126"/>
      <c r="I399" s="126"/>
      <c r="J399" s="237">
        <f>SUMIF(File1!$D$1:$D$2034,C399,File1!$H$1:$H$2034)</f>
        <v>0</v>
      </c>
      <c r="K399" s="237">
        <f>SUMIF(File1!$D$8:$D$2034,C399,File1!$I$8:$I$2034)</f>
        <v>0</v>
      </c>
      <c r="L399" s="237">
        <f t="shared" si="33"/>
        <v>0</v>
      </c>
      <c r="M399" s="237">
        <f>SUMIF(File1!$D$3:$D$1800,C399,File1!$K$3:$L$1800)</f>
        <v>0</v>
      </c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</row>
    <row r="400" spans="1:31" ht="13.2">
      <c r="A400" s="126"/>
      <c r="B400" s="126"/>
      <c r="C400" s="126"/>
      <c r="D400" s="126"/>
      <c r="E400" s="126"/>
      <c r="F400" s="271"/>
      <c r="G400" s="272"/>
      <c r="H400" s="126"/>
      <c r="I400" s="126"/>
      <c r="J400" s="237">
        <f>SUMIF(File1!$D$1:$D$2034,C400,File1!$H$1:$H$2034)</f>
        <v>0</v>
      </c>
      <c r="K400" s="237">
        <f>SUMIF(File1!$D$8:$D$2034,C400,File1!$I$8:$I$2034)</f>
        <v>0</v>
      </c>
      <c r="L400" s="237">
        <f t="shared" si="33"/>
        <v>0</v>
      </c>
      <c r="M400" s="237">
        <f>SUMIF(File1!$D$3:$D$1800,C400,File1!$K$3:$L$1800)</f>
        <v>0</v>
      </c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</row>
    <row r="401" spans="1:31" ht="13.2">
      <c r="A401" s="126"/>
      <c r="B401" s="126"/>
      <c r="C401" s="126"/>
      <c r="D401" s="126"/>
      <c r="E401" s="126"/>
      <c r="F401" s="271"/>
      <c r="G401" s="272"/>
      <c r="H401" s="126"/>
      <c r="I401" s="126"/>
      <c r="J401" s="237">
        <f>SUMIF(File1!$D$1:$D$2034,C401,File1!$H$1:$H$2034)</f>
        <v>0</v>
      </c>
      <c r="K401" s="237">
        <f>SUMIF(File1!$D$8:$D$2034,C401,File1!$I$8:$I$2034)</f>
        <v>0</v>
      </c>
      <c r="L401" s="237">
        <f t="shared" si="33"/>
        <v>0</v>
      </c>
      <c r="M401" s="237">
        <f>SUMIF(File1!$D$3:$D$1800,C401,File1!$K$3:$L$1800)</f>
        <v>0</v>
      </c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</row>
    <row r="402" spans="1:31" ht="13.2">
      <c r="A402" s="126"/>
      <c r="B402" s="126"/>
      <c r="C402" s="126"/>
      <c r="D402" s="126"/>
      <c r="E402" s="126"/>
      <c r="F402" s="271"/>
      <c r="G402" s="272"/>
      <c r="H402" s="126"/>
      <c r="I402" s="126"/>
      <c r="J402" s="237">
        <f>SUMIF(File1!$D$1:$D$2034,C402,File1!$H$1:$H$2034)</f>
        <v>0</v>
      </c>
      <c r="K402" s="237">
        <f>SUMIF(File1!$D$8:$D$2034,C402,File1!$I$8:$I$2034)</f>
        <v>0</v>
      </c>
      <c r="L402" s="237">
        <f t="shared" si="33"/>
        <v>0</v>
      </c>
      <c r="M402" s="237">
        <f>SUMIF(File1!$D$3:$D$1800,C402,File1!$K$3:$L$1800)</f>
        <v>0</v>
      </c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</row>
    <row r="403" spans="1:31" ht="13.2">
      <c r="A403" s="126"/>
      <c r="B403" s="126"/>
      <c r="C403" s="126"/>
      <c r="D403" s="126"/>
      <c r="E403" s="126"/>
      <c r="F403" s="271"/>
      <c r="G403" s="272"/>
      <c r="H403" s="126"/>
      <c r="I403" s="126"/>
      <c r="J403" s="237">
        <f>SUMIF(File1!$D$1:$D$2034,C403,File1!$H$1:$H$2034)</f>
        <v>0</v>
      </c>
      <c r="K403" s="237">
        <f>SUMIF(File1!$D$8:$D$2034,C403,File1!$I$8:$I$2034)</f>
        <v>0</v>
      </c>
      <c r="L403" s="237">
        <f t="shared" si="33"/>
        <v>0</v>
      </c>
      <c r="M403" s="237">
        <f>SUMIF(File1!$D$3:$D$1800,C403,File1!$K$3:$L$1800)</f>
        <v>0</v>
      </c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</row>
    <row r="404" spans="1:31" ht="13.2">
      <c r="A404" s="126"/>
      <c r="B404" s="126"/>
      <c r="C404" s="126"/>
      <c r="D404" s="126"/>
      <c r="E404" s="126"/>
      <c r="F404" s="271"/>
      <c r="G404" s="272"/>
      <c r="H404" s="126"/>
      <c r="I404" s="126"/>
      <c r="J404" s="126"/>
      <c r="K404" s="126"/>
      <c r="L404" s="246"/>
      <c r="M404" s="235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</row>
    <row r="405" spans="1:31" ht="13.2">
      <c r="A405" s="126"/>
      <c r="B405" s="126"/>
      <c r="C405" s="126"/>
      <c r="D405" s="126"/>
      <c r="E405" s="126"/>
      <c r="F405" s="271"/>
      <c r="G405" s="272"/>
      <c r="H405" s="126"/>
      <c r="I405" s="126"/>
      <c r="J405" s="126"/>
      <c r="K405" s="126"/>
      <c r="L405" s="246"/>
      <c r="M405" s="235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</row>
    <row r="406" spans="1:31" ht="13.2">
      <c r="A406" s="126"/>
      <c r="B406" s="126"/>
      <c r="C406" s="126"/>
      <c r="D406" s="126"/>
      <c r="E406" s="126"/>
      <c r="F406" s="271"/>
      <c r="G406" s="272"/>
      <c r="H406" s="126"/>
      <c r="I406" s="126"/>
      <c r="J406" s="126"/>
      <c r="K406" s="126"/>
      <c r="L406" s="246"/>
      <c r="M406" s="235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</row>
    <row r="407" spans="1:31" ht="13.2">
      <c r="A407" s="126"/>
      <c r="B407" s="126"/>
      <c r="C407" s="126"/>
      <c r="D407" s="126"/>
      <c r="E407" s="126"/>
      <c r="F407" s="271"/>
      <c r="G407" s="272"/>
      <c r="H407" s="126"/>
      <c r="I407" s="126"/>
      <c r="J407" s="126"/>
      <c r="K407" s="126"/>
      <c r="L407" s="246"/>
      <c r="M407" s="235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</row>
    <row r="408" spans="1:31" ht="13.2">
      <c r="A408" s="126"/>
      <c r="B408" s="126"/>
      <c r="C408" s="126"/>
      <c r="D408" s="126"/>
      <c r="E408" s="126"/>
      <c r="F408" s="271"/>
      <c r="G408" s="272"/>
      <c r="H408" s="126"/>
      <c r="I408" s="126"/>
      <c r="J408" s="126"/>
      <c r="K408" s="126"/>
      <c r="L408" s="246"/>
      <c r="M408" s="235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</row>
    <row r="409" spans="1:31" ht="13.2">
      <c r="A409" s="126"/>
      <c r="B409" s="126"/>
      <c r="C409" s="126"/>
      <c r="D409" s="126"/>
      <c r="E409" s="126"/>
      <c r="F409" s="271"/>
      <c r="G409" s="272"/>
      <c r="H409" s="126"/>
      <c r="I409" s="126"/>
      <c r="J409" s="126"/>
      <c r="K409" s="126"/>
      <c r="L409" s="246"/>
      <c r="M409" s="235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</row>
    <row r="410" spans="1:31" ht="13.2">
      <c r="A410" s="126"/>
      <c r="B410" s="126"/>
      <c r="C410" s="126"/>
      <c r="D410" s="126"/>
      <c r="E410" s="126"/>
      <c r="F410" s="271"/>
      <c r="G410" s="272"/>
      <c r="H410" s="126"/>
      <c r="I410" s="126"/>
      <c r="J410" s="126"/>
      <c r="K410" s="126"/>
      <c r="L410" s="246"/>
      <c r="M410" s="235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</row>
    <row r="411" spans="1:31" ht="13.2">
      <c r="A411" s="126"/>
      <c r="B411" s="126"/>
      <c r="C411" s="126"/>
      <c r="D411" s="126"/>
      <c r="E411" s="126"/>
      <c r="F411" s="271"/>
      <c r="G411" s="272"/>
      <c r="H411" s="126"/>
      <c r="I411" s="126"/>
      <c r="J411" s="126"/>
      <c r="K411" s="126"/>
      <c r="L411" s="246"/>
      <c r="M411" s="235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</row>
    <row r="412" spans="1:31" ht="13.2">
      <c r="A412" s="126"/>
      <c r="B412" s="126"/>
      <c r="C412" s="126"/>
      <c r="D412" s="126"/>
      <c r="E412" s="126"/>
      <c r="F412" s="271"/>
      <c r="G412" s="272"/>
      <c r="H412" s="126"/>
      <c r="I412" s="126"/>
      <c r="J412" s="126"/>
      <c r="K412" s="126"/>
      <c r="L412" s="246"/>
      <c r="M412" s="235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</row>
    <row r="413" spans="1:31" ht="13.2">
      <c r="A413" s="126"/>
      <c r="B413" s="126"/>
      <c r="C413" s="126"/>
      <c r="D413" s="126"/>
      <c r="E413" s="126"/>
      <c r="F413" s="271"/>
      <c r="G413" s="272"/>
      <c r="H413" s="126"/>
      <c r="I413" s="126"/>
      <c r="J413" s="126"/>
      <c r="K413" s="126"/>
      <c r="L413" s="246"/>
      <c r="M413" s="235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</row>
    <row r="414" spans="1:31" ht="13.2">
      <c r="A414" s="126"/>
      <c r="B414" s="126"/>
      <c r="C414" s="126"/>
      <c r="D414" s="126"/>
      <c r="E414" s="126"/>
      <c r="F414" s="271"/>
      <c r="G414" s="272"/>
      <c r="H414" s="126"/>
      <c r="I414" s="126"/>
      <c r="J414" s="126"/>
      <c r="K414" s="126"/>
      <c r="L414" s="246"/>
      <c r="M414" s="235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</row>
    <row r="415" spans="1:31" ht="13.2">
      <c r="A415" s="126"/>
      <c r="B415" s="126"/>
      <c r="C415" s="126"/>
      <c r="D415" s="126"/>
      <c r="E415" s="126"/>
      <c r="F415" s="271"/>
      <c r="G415" s="272"/>
      <c r="H415" s="126"/>
      <c r="I415" s="126"/>
      <c r="J415" s="126"/>
      <c r="K415" s="126"/>
      <c r="L415" s="246"/>
      <c r="M415" s="235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</row>
    <row r="416" spans="1:31" ht="13.2">
      <c r="A416" s="126"/>
      <c r="B416" s="126"/>
      <c r="C416" s="126"/>
      <c r="D416" s="126"/>
      <c r="E416" s="126"/>
      <c r="F416" s="271"/>
      <c r="G416" s="272"/>
      <c r="H416" s="126"/>
      <c r="I416" s="126"/>
      <c r="J416" s="126"/>
      <c r="K416" s="126"/>
      <c r="L416" s="246"/>
      <c r="M416" s="235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</row>
    <row r="417" spans="1:31" ht="13.2">
      <c r="A417" s="126"/>
      <c r="B417" s="126"/>
      <c r="C417" s="126"/>
      <c r="D417" s="126"/>
      <c r="E417" s="126"/>
      <c r="F417" s="271"/>
      <c r="G417" s="272"/>
      <c r="H417" s="126"/>
      <c r="I417" s="126"/>
      <c r="J417" s="126"/>
      <c r="K417" s="126"/>
      <c r="L417" s="246"/>
      <c r="M417" s="235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</row>
    <row r="418" spans="1:31" ht="13.2">
      <c r="A418" s="126"/>
      <c r="B418" s="126"/>
      <c r="C418" s="126"/>
      <c r="D418" s="126"/>
      <c r="E418" s="126"/>
      <c r="F418" s="271"/>
      <c r="G418" s="272"/>
      <c r="H418" s="126"/>
      <c r="I418" s="126"/>
      <c r="J418" s="126"/>
      <c r="K418" s="126"/>
      <c r="L418" s="246"/>
      <c r="M418" s="235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</row>
    <row r="419" spans="1:31" ht="13.2">
      <c r="A419" s="126"/>
      <c r="B419" s="126"/>
      <c r="C419" s="126"/>
      <c r="D419" s="126"/>
      <c r="E419" s="126"/>
      <c r="F419" s="271"/>
      <c r="G419" s="272"/>
      <c r="H419" s="126"/>
      <c r="I419" s="126"/>
      <c r="J419" s="126"/>
      <c r="K419" s="126"/>
      <c r="L419" s="246"/>
      <c r="M419" s="235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</row>
    <row r="420" spans="1:31" ht="13.2">
      <c r="A420" s="126"/>
      <c r="B420" s="126"/>
      <c r="C420" s="126"/>
      <c r="D420" s="126"/>
      <c r="E420" s="126"/>
      <c r="F420" s="271"/>
      <c r="G420" s="272"/>
      <c r="H420" s="126"/>
      <c r="I420" s="126"/>
      <c r="J420" s="126"/>
      <c r="K420" s="126"/>
      <c r="L420" s="246"/>
      <c r="M420" s="235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</row>
    <row r="421" spans="1:31" ht="13.2">
      <c r="A421" s="126"/>
      <c r="B421" s="126"/>
      <c r="C421" s="126"/>
      <c r="D421" s="126"/>
      <c r="E421" s="126"/>
      <c r="F421" s="271"/>
      <c r="G421" s="272"/>
      <c r="H421" s="126"/>
      <c r="I421" s="126"/>
      <c r="J421" s="126"/>
      <c r="K421" s="126"/>
      <c r="L421" s="246"/>
      <c r="M421" s="235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</row>
    <row r="422" spans="1:31" ht="13.2">
      <c r="A422" s="126"/>
      <c r="B422" s="126"/>
      <c r="C422" s="126"/>
      <c r="D422" s="126"/>
      <c r="E422" s="126"/>
      <c r="F422" s="271"/>
      <c r="G422" s="272"/>
      <c r="H422" s="126"/>
      <c r="I422" s="126"/>
      <c r="J422" s="126"/>
      <c r="K422" s="126"/>
      <c r="L422" s="246"/>
      <c r="M422" s="235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</row>
    <row r="423" spans="1:31" ht="13.2">
      <c r="A423" s="126"/>
      <c r="B423" s="126"/>
      <c r="C423" s="126"/>
      <c r="D423" s="126"/>
      <c r="E423" s="126"/>
      <c r="F423" s="271"/>
      <c r="G423" s="272"/>
      <c r="H423" s="126"/>
      <c r="I423" s="126"/>
      <c r="J423" s="126"/>
      <c r="K423" s="126"/>
      <c r="L423" s="246"/>
      <c r="M423" s="235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</row>
    <row r="424" spans="1:31" ht="13.2">
      <c r="A424" s="126"/>
      <c r="B424" s="126"/>
      <c r="C424" s="126"/>
      <c r="D424" s="126"/>
      <c r="E424" s="126"/>
      <c r="F424" s="271"/>
      <c r="G424" s="272"/>
      <c r="H424" s="126"/>
      <c r="I424" s="126"/>
      <c r="J424" s="126"/>
      <c r="K424" s="126"/>
      <c r="L424" s="246"/>
      <c r="M424" s="235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</row>
    <row r="425" spans="1:31" ht="13.2">
      <c r="A425" s="126"/>
      <c r="B425" s="126"/>
      <c r="C425" s="126"/>
      <c r="D425" s="126"/>
      <c r="E425" s="126"/>
      <c r="F425" s="271"/>
      <c r="G425" s="272"/>
      <c r="H425" s="126"/>
      <c r="I425" s="126"/>
      <c r="J425" s="126"/>
      <c r="K425" s="126"/>
      <c r="L425" s="246"/>
      <c r="M425" s="235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</row>
    <row r="426" spans="1:31" ht="13.2">
      <c r="A426" s="126"/>
      <c r="B426" s="126"/>
      <c r="C426" s="126"/>
      <c r="D426" s="126"/>
      <c r="E426" s="126"/>
      <c r="F426" s="271"/>
      <c r="G426" s="272"/>
      <c r="H426" s="126"/>
      <c r="I426" s="126"/>
      <c r="J426" s="126"/>
      <c r="K426" s="126"/>
      <c r="L426" s="246"/>
      <c r="M426" s="235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</row>
    <row r="427" spans="1:31" ht="13.2">
      <c r="A427" s="126"/>
      <c r="B427" s="126"/>
      <c r="C427" s="126"/>
      <c r="D427" s="126"/>
      <c r="E427" s="126"/>
      <c r="F427" s="271"/>
      <c r="G427" s="272"/>
      <c r="H427" s="126"/>
      <c r="I427" s="126"/>
      <c r="J427" s="126"/>
      <c r="K427" s="126"/>
      <c r="L427" s="246"/>
      <c r="M427" s="235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</row>
    <row r="428" spans="1:31" ht="13.2">
      <c r="A428" s="126"/>
      <c r="B428" s="126"/>
      <c r="C428" s="126"/>
      <c r="D428" s="126"/>
      <c r="E428" s="126"/>
      <c r="F428" s="271"/>
      <c r="G428" s="272"/>
      <c r="H428" s="126"/>
      <c r="I428" s="126"/>
      <c r="J428" s="126"/>
      <c r="K428" s="126"/>
      <c r="L428" s="246"/>
      <c r="M428" s="235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</row>
    <row r="429" spans="1:31" ht="13.2">
      <c r="A429" s="126"/>
      <c r="B429" s="126"/>
      <c r="C429" s="126"/>
      <c r="D429" s="126"/>
      <c r="E429" s="126"/>
      <c r="F429" s="271"/>
      <c r="G429" s="272"/>
      <c r="H429" s="126"/>
      <c r="I429" s="126"/>
      <c r="J429" s="126"/>
      <c r="K429" s="126"/>
      <c r="L429" s="246"/>
      <c r="M429" s="235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</row>
    <row r="430" spans="1:31" ht="13.2">
      <c r="A430" s="126"/>
      <c r="B430" s="126"/>
      <c r="C430" s="126"/>
      <c r="D430" s="126"/>
      <c r="E430" s="126"/>
      <c r="F430" s="271"/>
      <c r="G430" s="272"/>
      <c r="H430" s="126"/>
      <c r="I430" s="126"/>
      <c r="J430" s="126"/>
      <c r="K430" s="126"/>
      <c r="L430" s="246"/>
      <c r="M430" s="235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</row>
    <row r="431" spans="1:31" ht="13.2">
      <c r="A431" s="126"/>
      <c r="B431" s="126"/>
      <c r="C431" s="126"/>
      <c r="D431" s="126"/>
      <c r="E431" s="126"/>
      <c r="F431" s="271"/>
      <c r="G431" s="272"/>
      <c r="H431" s="126"/>
      <c r="I431" s="126"/>
      <c r="J431" s="126"/>
      <c r="K431" s="126"/>
      <c r="L431" s="246"/>
      <c r="M431" s="235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</row>
    <row r="432" spans="1:31" ht="13.2">
      <c r="A432" s="126"/>
      <c r="B432" s="126"/>
      <c r="C432" s="126"/>
      <c r="D432" s="126"/>
      <c r="E432" s="126"/>
      <c r="F432" s="271"/>
      <c r="G432" s="272"/>
      <c r="H432" s="126"/>
      <c r="I432" s="126"/>
      <c r="J432" s="126"/>
      <c r="K432" s="126"/>
      <c r="L432" s="246"/>
      <c r="M432" s="235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</row>
    <row r="433" spans="1:31" ht="13.2">
      <c r="A433" s="126"/>
      <c r="B433" s="126"/>
      <c r="C433" s="126"/>
      <c r="D433" s="126"/>
      <c r="E433" s="126"/>
      <c r="F433" s="271"/>
      <c r="G433" s="272"/>
      <c r="H433" s="126"/>
      <c r="I433" s="126"/>
      <c r="J433" s="126"/>
      <c r="K433" s="126"/>
      <c r="L433" s="246"/>
      <c r="M433" s="235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</row>
    <row r="434" spans="1:31" ht="13.2">
      <c r="A434" s="126"/>
      <c r="B434" s="126"/>
      <c r="C434" s="126"/>
      <c r="D434" s="126"/>
      <c r="E434" s="126"/>
      <c r="F434" s="271"/>
      <c r="G434" s="272"/>
      <c r="H434" s="126"/>
      <c r="I434" s="126"/>
      <c r="J434" s="126"/>
      <c r="K434" s="126"/>
      <c r="L434" s="246"/>
      <c r="M434" s="235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</row>
    <row r="435" spans="1:31" ht="13.2">
      <c r="A435" s="126"/>
      <c r="B435" s="126"/>
      <c r="C435" s="126"/>
      <c r="D435" s="126"/>
      <c r="E435" s="126"/>
      <c r="F435" s="271"/>
      <c r="G435" s="272"/>
      <c r="H435" s="126"/>
      <c r="I435" s="126"/>
      <c r="J435" s="126"/>
      <c r="K435" s="126"/>
      <c r="L435" s="246"/>
      <c r="M435" s="235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</row>
    <row r="436" spans="1:31" ht="13.2">
      <c r="A436" s="126"/>
      <c r="B436" s="126"/>
      <c r="C436" s="126"/>
      <c r="D436" s="126"/>
      <c r="E436" s="126"/>
      <c r="F436" s="271"/>
      <c r="G436" s="272"/>
      <c r="H436" s="126"/>
      <c r="I436" s="126"/>
      <c r="J436" s="126"/>
      <c r="K436" s="126"/>
      <c r="L436" s="246"/>
      <c r="M436" s="235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</row>
    <row r="437" spans="1:31" ht="13.2">
      <c r="A437" s="126"/>
      <c r="B437" s="126"/>
      <c r="C437" s="126"/>
      <c r="D437" s="126"/>
      <c r="E437" s="126"/>
      <c r="F437" s="271"/>
      <c r="G437" s="272"/>
      <c r="H437" s="126"/>
      <c r="I437" s="126"/>
      <c r="J437" s="126"/>
      <c r="K437" s="126"/>
      <c r="L437" s="246"/>
      <c r="M437" s="235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</row>
    <row r="438" spans="1:31" ht="13.2">
      <c r="A438" s="126"/>
      <c r="B438" s="126"/>
      <c r="C438" s="126"/>
      <c r="D438" s="126"/>
      <c r="E438" s="126"/>
      <c r="F438" s="271"/>
      <c r="G438" s="272"/>
      <c r="H438" s="126"/>
      <c r="I438" s="126"/>
      <c r="J438" s="126"/>
      <c r="K438" s="126"/>
      <c r="L438" s="246"/>
      <c r="M438" s="235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</row>
    <row r="439" spans="1:31" ht="13.2">
      <c r="A439" s="126"/>
      <c r="B439" s="126"/>
      <c r="C439" s="126"/>
      <c r="D439" s="126"/>
      <c r="E439" s="126"/>
      <c r="F439" s="271"/>
      <c r="G439" s="272"/>
      <c r="H439" s="126"/>
      <c r="I439" s="126"/>
      <c r="J439" s="126"/>
      <c r="K439" s="126"/>
      <c r="L439" s="246"/>
      <c r="M439" s="235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</row>
    <row r="440" spans="1:31" ht="13.2">
      <c r="A440" s="126"/>
      <c r="B440" s="126"/>
      <c r="C440" s="126"/>
      <c r="D440" s="126"/>
      <c r="E440" s="126"/>
      <c r="F440" s="271"/>
      <c r="G440" s="272"/>
      <c r="H440" s="126"/>
      <c r="I440" s="126"/>
      <c r="J440" s="126"/>
      <c r="K440" s="126"/>
      <c r="L440" s="246"/>
      <c r="M440" s="235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</row>
    <row r="441" spans="1:31" ht="13.2">
      <c r="A441" s="126"/>
      <c r="B441" s="126"/>
      <c r="C441" s="126"/>
      <c r="D441" s="126"/>
      <c r="E441" s="126"/>
      <c r="F441" s="271"/>
      <c r="G441" s="272"/>
      <c r="H441" s="126"/>
      <c r="I441" s="126"/>
      <c r="J441" s="126"/>
      <c r="K441" s="126"/>
      <c r="L441" s="246"/>
      <c r="M441" s="235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</row>
    <row r="442" spans="1:31" ht="13.2">
      <c r="A442" s="126"/>
      <c r="B442" s="126"/>
      <c r="C442" s="126"/>
      <c r="D442" s="126"/>
      <c r="E442" s="126"/>
      <c r="F442" s="271"/>
      <c r="G442" s="272"/>
      <c r="H442" s="126"/>
      <c r="I442" s="126"/>
      <c r="J442" s="126"/>
      <c r="K442" s="126"/>
      <c r="L442" s="246"/>
      <c r="M442" s="235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</row>
    <row r="443" spans="1:31" ht="13.2">
      <c r="A443" s="126"/>
      <c r="B443" s="126"/>
      <c r="C443" s="126"/>
      <c r="D443" s="126"/>
      <c r="E443" s="126"/>
      <c r="F443" s="271"/>
      <c r="G443" s="272"/>
      <c r="H443" s="126"/>
      <c r="I443" s="126"/>
      <c r="J443" s="126"/>
      <c r="K443" s="126"/>
      <c r="L443" s="246"/>
      <c r="M443" s="235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</row>
    <row r="444" spans="1:31" ht="13.2">
      <c r="A444" s="126"/>
      <c r="B444" s="126"/>
      <c r="C444" s="126"/>
      <c r="D444" s="126"/>
      <c r="E444" s="126"/>
      <c r="F444" s="271"/>
      <c r="G444" s="272"/>
      <c r="H444" s="126"/>
      <c r="I444" s="126"/>
      <c r="J444" s="126"/>
      <c r="K444" s="126"/>
      <c r="L444" s="246"/>
      <c r="M444" s="235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</row>
    <row r="445" spans="1:31" ht="13.2">
      <c r="A445" s="126"/>
      <c r="B445" s="126"/>
      <c r="C445" s="126"/>
      <c r="D445" s="126"/>
      <c r="E445" s="126"/>
      <c r="F445" s="271"/>
      <c r="G445" s="272"/>
      <c r="H445" s="126"/>
      <c r="I445" s="126"/>
      <c r="J445" s="126"/>
      <c r="K445" s="126"/>
      <c r="L445" s="246"/>
      <c r="M445" s="235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</row>
    <row r="446" spans="1:31" ht="13.2">
      <c r="A446" s="126"/>
      <c r="B446" s="126"/>
      <c r="C446" s="126"/>
      <c r="D446" s="126"/>
      <c r="E446" s="126"/>
      <c r="F446" s="271"/>
      <c r="G446" s="272"/>
      <c r="H446" s="126"/>
      <c r="I446" s="126"/>
      <c r="J446" s="126"/>
      <c r="K446" s="126"/>
      <c r="L446" s="246"/>
      <c r="M446" s="235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</row>
    <row r="447" spans="1:31" ht="13.2">
      <c r="A447" s="126"/>
      <c r="B447" s="126"/>
      <c r="C447" s="126"/>
      <c r="D447" s="126"/>
      <c r="E447" s="126"/>
      <c r="F447" s="271"/>
      <c r="G447" s="272"/>
      <c r="H447" s="126"/>
      <c r="I447" s="126"/>
      <c r="J447" s="126"/>
      <c r="K447" s="126"/>
      <c r="L447" s="246"/>
      <c r="M447" s="235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</row>
    <row r="448" spans="1:31" ht="13.2">
      <c r="A448" s="126"/>
      <c r="B448" s="126"/>
      <c r="C448" s="126"/>
      <c r="D448" s="126"/>
      <c r="E448" s="126"/>
      <c r="F448" s="271"/>
      <c r="G448" s="272"/>
      <c r="H448" s="126"/>
      <c r="I448" s="126"/>
      <c r="J448" s="126"/>
      <c r="K448" s="126"/>
      <c r="L448" s="246"/>
      <c r="M448" s="235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</row>
    <row r="449" spans="1:31" ht="13.2">
      <c r="A449" s="126"/>
      <c r="B449" s="126"/>
      <c r="C449" s="126"/>
      <c r="D449" s="126"/>
      <c r="E449" s="126"/>
      <c r="F449" s="271"/>
      <c r="G449" s="272"/>
      <c r="H449" s="126"/>
      <c r="I449" s="126"/>
      <c r="J449" s="126"/>
      <c r="K449" s="126"/>
      <c r="L449" s="246"/>
      <c r="M449" s="235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</row>
    <row r="450" spans="1:31" ht="13.2">
      <c r="A450" s="126"/>
      <c r="B450" s="126"/>
      <c r="C450" s="126"/>
      <c r="D450" s="126"/>
      <c r="E450" s="126"/>
      <c r="F450" s="271"/>
      <c r="G450" s="272"/>
      <c r="H450" s="126"/>
      <c r="I450" s="126"/>
      <c r="J450" s="126"/>
      <c r="K450" s="126"/>
      <c r="L450" s="246"/>
      <c r="M450" s="235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</row>
    <row r="451" spans="1:31" ht="13.2">
      <c r="A451" s="126"/>
      <c r="B451" s="126"/>
      <c r="C451" s="126"/>
      <c r="D451" s="126"/>
      <c r="E451" s="126"/>
      <c r="F451" s="271"/>
      <c r="G451" s="272"/>
      <c r="H451" s="126"/>
      <c r="I451" s="126"/>
      <c r="J451" s="126"/>
      <c r="K451" s="126"/>
      <c r="L451" s="246"/>
      <c r="M451" s="235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</row>
    <row r="452" spans="1:31" ht="13.2">
      <c r="A452" s="126"/>
      <c r="B452" s="126"/>
      <c r="C452" s="126"/>
      <c r="D452" s="126"/>
      <c r="E452" s="126"/>
      <c r="F452" s="271"/>
      <c r="G452" s="272"/>
      <c r="H452" s="126"/>
      <c r="I452" s="126"/>
      <c r="J452" s="126"/>
      <c r="K452" s="126"/>
      <c r="L452" s="246"/>
      <c r="M452" s="235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</row>
    <row r="453" spans="1:31" ht="13.2">
      <c r="A453" s="126"/>
      <c r="B453" s="126"/>
      <c r="C453" s="126"/>
      <c r="D453" s="126"/>
      <c r="E453" s="126"/>
      <c r="F453" s="271"/>
      <c r="G453" s="272"/>
      <c r="H453" s="126"/>
      <c r="I453" s="126"/>
      <c r="J453" s="126"/>
      <c r="K453" s="126"/>
      <c r="L453" s="246"/>
      <c r="M453" s="235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</row>
    <row r="454" spans="1:31" ht="13.2">
      <c r="A454" s="126"/>
      <c r="B454" s="126"/>
      <c r="C454" s="126"/>
      <c r="D454" s="126"/>
      <c r="E454" s="126"/>
      <c r="F454" s="271"/>
      <c r="G454" s="272"/>
      <c r="H454" s="126"/>
      <c r="I454" s="126"/>
      <c r="J454" s="126"/>
      <c r="K454" s="126"/>
      <c r="L454" s="246"/>
      <c r="M454" s="235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</row>
    <row r="455" spans="1:31" ht="13.2">
      <c r="A455" s="126"/>
      <c r="B455" s="126"/>
      <c r="C455" s="126"/>
      <c r="D455" s="126"/>
      <c r="E455" s="126"/>
      <c r="F455" s="271"/>
      <c r="G455" s="272"/>
      <c r="H455" s="126"/>
      <c r="I455" s="126"/>
      <c r="J455" s="126"/>
      <c r="K455" s="126"/>
      <c r="L455" s="246"/>
      <c r="M455" s="235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</row>
    <row r="456" spans="1:31" ht="13.2">
      <c r="A456" s="126"/>
      <c r="B456" s="126"/>
      <c r="C456" s="126"/>
      <c r="D456" s="126"/>
      <c r="E456" s="126"/>
      <c r="F456" s="271"/>
      <c r="G456" s="272"/>
      <c r="H456" s="126"/>
      <c r="I456" s="126"/>
      <c r="J456" s="126"/>
      <c r="K456" s="126"/>
      <c r="L456" s="246"/>
      <c r="M456" s="235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</row>
    <row r="457" spans="1:31" ht="13.2">
      <c r="A457" s="126"/>
      <c r="B457" s="126"/>
      <c r="C457" s="126"/>
      <c r="D457" s="126"/>
      <c r="E457" s="126"/>
      <c r="F457" s="271"/>
      <c r="G457" s="272"/>
      <c r="H457" s="126"/>
      <c r="I457" s="126"/>
      <c r="J457" s="126"/>
      <c r="K457" s="126"/>
      <c r="L457" s="246"/>
      <c r="M457" s="235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</row>
    <row r="458" spans="1:31" ht="13.2">
      <c r="A458" s="126"/>
      <c r="B458" s="126"/>
      <c r="C458" s="126"/>
      <c r="D458" s="126"/>
      <c r="E458" s="126"/>
      <c r="F458" s="271"/>
      <c r="G458" s="272"/>
      <c r="H458" s="126"/>
      <c r="I458" s="126"/>
      <c r="J458" s="126"/>
      <c r="K458" s="126"/>
      <c r="L458" s="246"/>
      <c r="M458" s="235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</row>
    <row r="459" spans="1:31" ht="13.2">
      <c r="A459" s="126"/>
      <c r="B459" s="126"/>
      <c r="C459" s="126"/>
      <c r="D459" s="126"/>
      <c r="E459" s="126"/>
      <c r="F459" s="271"/>
      <c r="G459" s="272"/>
      <c r="H459" s="126"/>
      <c r="I459" s="126"/>
      <c r="J459" s="126"/>
      <c r="K459" s="126"/>
      <c r="L459" s="246"/>
      <c r="M459" s="235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</row>
    <row r="460" spans="1:31" ht="13.2">
      <c r="A460" s="126"/>
      <c r="B460" s="126"/>
      <c r="C460" s="126"/>
      <c r="D460" s="126"/>
      <c r="E460" s="126"/>
      <c r="F460" s="271"/>
      <c r="G460" s="272"/>
      <c r="H460" s="126"/>
      <c r="I460" s="126"/>
      <c r="J460" s="126"/>
      <c r="K460" s="126"/>
      <c r="L460" s="246"/>
      <c r="M460" s="235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</row>
    <row r="461" spans="1:31" ht="13.2">
      <c r="A461" s="126"/>
      <c r="B461" s="126"/>
      <c r="C461" s="126"/>
      <c r="D461" s="126"/>
      <c r="E461" s="126"/>
      <c r="F461" s="271"/>
      <c r="G461" s="272"/>
      <c r="H461" s="126"/>
      <c r="I461" s="126"/>
      <c r="J461" s="126"/>
      <c r="K461" s="126"/>
      <c r="L461" s="246"/>
      <c r="M461" s="235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</row>
    <row r="462" spans="1:31" ht="13.2">
      <c r="A462" s="126"/>
      <c r="B462" s="126"/>
      <c r="C462" s="126"/>
      <c r="D462" s="126"/>
      <c r="E462" s="126"/>
      <c r="F462" s="271"/>
      <c r="G462" s="272"/>
      <c r="H462" s="126"/>
      <c r="I462" s="126"/>
      <c r="J462" s="126"/>
      <c r="K462" s="126"/>
      <c r="L462" s="246"/>
      <c r="M462" s="235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</row>
    <row r="463" spans="1:31" ht="13.2">
      <c r="A463" s="126"/>
      <c r="B463" s="126"/>
      <c r="C463" s="126"/>
      <c r="D463" s="126"/>
      <c r="E463" s="126"/>
      <c r="F463" s="271"/>
      <c r="G463" s="272"/>
      <c r="H463" s="126"/>
      <c r="I463" s="126"/>
      <c r="J463" s="126"/>
      <c r="K463" s="126"/>
      <c r="L463" s="246"/>
      <c r="M463" s="235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</row>
    <row r="464" spans="1:31" ht="13.2">
      <c r="A464" s="126"/>
      <c r="B464" s="126"/>
      <c r="C464" s="126"/>
      <c r="D464" s="126"/>
      <c r="E464" s="126"/>
      <c r="F464" s="271"/>
      <c r="G464" s="272"/>
      <c r="H464" s="126"/>
      <c r="I464" s="126"/>
      <c r="J464" s="126"/>
      <c r="K464" s="126"/>
      <c r="L464" s="246"/>
      <c r="M464" s="235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</row>
    <row r="465" spans="1:31" ht="13.2">
      <c r="A465" s="126"/>
      <c r="B465" s="126"/>
      <c r="C465" s="126"/>
      <c r="D465" s="126"/>
      <c r="E465" s="126"/>
      <c r="F465" s="271"/>
      <c r="G465" s="272"/>
      <c r="H465" s="126"/>
      <c r="I465" s="126"/>
      <c r="J465" s="126"/>
      <c r="K465" s="126"/>
      <c r="L465" s="246"/>
      <c r="M465" s="235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</row>
    <row r="466" spans="1:31" ht="13.2">
      <c r="A466" s="126"/>
      <c r="B466" s="126"/>
      <c r="C466" s="126"/>
      <c r="D466" s="126"/>
      <c r="E466" s="126"/>
      <c r="F466" s="271"/>
      <c r="G466" s="272"/>
      <c r="H466" s="126"/>
      <c r="I466" s="126"/>
      <c r="J466" s="126"/>
      <c r="K466" s="126"/>
      <c r="L466" s="246"/>
      <c r="M466" s="235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</row>
    <row r="467" spans="1:31" ht="13.2">
      <c r="A467" s="126"/>
      <c r="B467" s="126"/>
      <c r="C467" s="126"/>
      <c r="D467" s="126"/>
      <c r="E467" s="126"/>
      <c r="F467" s="271"/>
      <c r="G467" s="272"/>
      <c r="H467" s="126"/>
      <c r="I467" s="126"/>
      <c r="J467" s="126"/>
      <c r="K467" s="126"/>
      <c r="L467" s="246"/>
      <c r="M467" s="235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</row>
    <row r="468" spans="1:31" ht="13.2">
      <c r="A468" s="126"/>
      <c r="B468" s="126"/>
      <c r="C468" s="126"/>
      <c r="D468" s="126"/>
      <c r="E468" s="126"/>
      <c r="F468" s="271"/>
      <c r="G468" s="272"/>
      <c r="H468" s="126"/>
      <c r="I468" s="126"/>
      <c r="J468" s="126"/>
      <c r="K468" s="126"/>
      <c r="L468" s="246"/>
      <c r="M468" s="235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</row>
    <row r="469" spans="1:31" ht="13.2">
      <c r="A469" s="126"/>
      <c r="B469" s="126"/>
      <c r="C469" s="126"/>
      <c r="D469" s="126"/>
      <c r="E469" s="126"/>
      <c r="F469" s="271"/>
      <c r="G469" s="272"/>
      <c r="H469" s="126"/>
      <c r="I469" s="126"/>
      <c r="J469" s="126"/>
      <c r="K469" s="126"/>
      <c r="L469" s="246"/>
      <c r="M469" s="235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</row>
    <row r="470" spans="1:31" ht="13.2">
      <c r="A470" s="126"/>
      <c r="B470" s="126"/>
      <c r="C470" s="126"/>
      <c r="D470" s="126"/>
      <c r="E470" s="126"/>
      <c r="F470" s="271"/>
      <c r="G470" s="272"/>
      <c r="H470" s="126"/>
      <c r="I470" s="126"/>
      <c r="J470" s="126"/>
      <c r="K470" s="126"/>
      <c r="L470" s="246"/>
      <c r="M470" s="235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</row>
    <row r="471" spans="1:31" ht="13.2">
      <c r="A471" s="126"/>
      <c r="B471" s="126"/>
      <c r="C471" s="126"/>
      <c r="D471" s="126"/>
      <c r="E471" s="126"/>
      <c r="F471" s="271"/>
      <c r="G471" s="272"/>
      <c r="H471" s="126"/>
      <c r="I471" s="126"/>
      <c r="J471" s="126"/>
      <c r="K471" s="126"/>
      <c r="L471" s="246"/>
      <c r="M471" s="235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</row>
    <row r="472" spans="1:31" ht="13.2">
      <c r="A472" s="126"/>
      <c r="B472" s="126"/>
      <c r="C472" s="126"/>
      <c r="D472" s="126"/>
      <c r="E472" s="126"/>
      <c r="F472" s="271"/>
      <c r="G472" s="272"/>
      <c r="H472" s="126"/>
      <c r="I472" s="126"/>
      <c r="J472" s="126"/>
      <c r="K472" s="126"/>
      <c r="L472" s="246"/>
      <c r="M472" s="235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</row>
    <row r="473" spans="1:31" ht="13.2">
      <c r="A473" s="126"/>
      <c r="B473" s="126"/>
      <c r="C473" s="126"/>
      <c r="D473" s="126"/>
      <c r="E473" s="126"/>
      <c r="F473" s="271"/>
      <c r="G473" s="272"/>
      <c r="H473" s="126"/>
      <c r="I473" s="126"/>
      <c r="J473" s="126"/>
      <c r="K473" s="126"/>
      <c r="L473" s="246"/>
      <c r="M473" s="235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</row>
    <row r="474" spans="1:31" ht="13.2">
      <c r="A474" s="126"/>
      <c r="B474" s="126"/>
      <c r="C474" s="126"/>
      <c r="D474" s="126"/>
      <c r="E474" s="126"/>
      <c r="F474" s="271"/>
      <c r="G474" s="272"/>
      <c r="H474" s="126"/>
      <c r="I474" s="126"/>
      <c r="J474" s="126"/>
      <c r="K474" s="126"/>
      <c r="L474" s="246"/>
      <c r="M474" s="235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</row>
    <row r="475" spans="1:31" ht="13.2">
      <c r="A475" s="126"/>
      <c r="B475" s="126"/>
      <c r="C475" s="126"/>
      <c r="D475" s="126"/>
      <c r="E475" s="126"/>
      <c r="F475" s="271"/>
      <c r="G475" s="272"/>
      <c r="H475" s="126"/>
      <c r="I475" s="126"/>
      <c r="J475" s="126"/>
      <c r="K475" s="126"/>
      <c r="L475" s="246"/>
      <c r="M475" s="235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</row>
    <row r="476" spans="1:31" ht="13.2">
      <c r="A476" s="126"/>
      <c r="B476" s="126"/>
      <c r="C476" s="126"/>
      <c r="D476" s="126"/>
      <c r="E476" s="126"/>
      <c r="F476" s="271"/>
      <c r="G476" s="272"/>
      <c r="H476" s="126"/>
      <c r="I476" s="126"/>
      <c r="J476" s="126"/>
      <c r="K476" s="126"/>
      <c r="L476" s="246"/>
      <c r="M476" s="235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</row>
    <row r="477" spans="1:31" ht="13.2">
      <c r="A477" s="126"/>
      <c r="B477" s="126"/>
      <c r="C477" s="126"/>
      <c r="D477" s="126"/>
      <c r="E477" s="126"/>
      <c r="F477" s="271"/>
      <c r="G477" s="272"/>
      <c r="H477" s="126"/>
      <c r="I477" s="126"/>
      <c r="J477" s="126"/>
      <c r="K477" s="126"/>
      <c r="L477" s="246"/>
      <c r="M477" s="235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</row>
    <row r="478" spans="1:31" ht="13.2">
      <c r="A478" s="126"/>
      <c r="B478" s="126"/>
      <c r="C478" s="126"/>
      <c r="D478" s="126"/>
      <c r="E478" s="126"/>
      <c r="F478" s="271"/>
      <c r="G478" s="272"/>
      <c r="H478" s="126"/>
      <c r="I478" s="126"/>
      <c r="J478" s="126"/>
      <c r="K478" s="126"/>
      <c r="L478" s="246"/>
      <c r="M478" s="235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</row>
    <row r="479" spans="1:31" ht="13.2">
      <c r="A479" s="126"/>
      <c r="B479" s="126"/>
      <c r="C479" s="126"/>
      <c r="D479" s="126"/>
      <c r="E479" s="126"/>
      <c r="F479" s="271"/>
      <c r="G479" s="272"/>
      <c r="H479" s="126"/>
      <c r="I479" s="126"/>
      <c r="J479" s="126"/>
      <c r="K479" s="126"/>
      <c r="L479" s="246"/>
      <c r="M479" s="235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</row>
    <row r="480" spans="1:31" ht="13.2">
      <c r="A480" s="126"/>
      <c r="B480" s="126"/>
      <c r="C480" s="126"/>
      <c r="D480" s="126"/>
      <c r="E480" s="126"/>
      <c r="F480" s="271"/>
      <c r="G480" s="272"/>
      <c r="H480" s="126"/>
      <c r="I480" s="126"/>
      <c r="J480" s="126"/>
      <c r="K480" s="126"/>
      <c r="L480" s="246"/>
      <c r="M480" s="235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</row>
    <row r="481" spans="1:31" ht="13.2">
      <c r="A481" s="126"/>
      <c r="B481" s="126"/>
      <c r="C481" s="126"/>
      <c r="D481" s="126"/>
      <c r="E481" s="126"/>
      <c r="F481" s="271"/>
      <c r="G481" s="272"/>
      <c r="H481" s="126"/>
      <c r="I481" s="126"/>
      <c r="J481" s="126"/>
      <c r="K481" s="126"/>
      <c r="L481" s="246"/>
      <c r="M481" s="235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</row>
    <row r="482" spans="1:31" ht="13.2">
      <c r="A482" s="126"/>
      <c r="B482" s="126"/>
      <c r="C482" s="126"/>
      <c r="D482" s="126"/>
      <c r="E482" s="126"/>
      <c r="F482" s="271"/>
      <c r="G482" s="272"/>
      <c r="H482" s="126"/>
      <c r="I482" s="126"/>
      <c r="J482" s="126"/>
      <c r="K482" s="126"/>
      <c r="L482" s="246"/>
      <c r="M482" s="235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</row>
    <row r="483" spans="1:31" ht="13.2">
      <c r="A483" s="126"/>
      <c r="B483" s="126"/>
      <c r="C483" s="126"/>
      <c r="D483" s="126"/>
      <c r="E483" s="126"/>
      <c r="F483" s="271"/>
      <c r="G483" s="272"/>
      <c r="H483" s="126"/>
      <c r="I483" s="126"/>
      <c r="J483" s="126"/>
      <c r="K483" s="126"/>
      <c r="L483" s="246"/>
      <c r="M483" s="235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</row>
    <row r="484" spans="1:31" ht="13.2">
      <c r="A484" s="126"/>
      <c r="B484" s="126"/>
      <c r="C484" s="126"/>
      <c r="D484" s="126"/>
      <c r="E484" s="126"/>
      <c r="F484" s="271"/>
      <c r="G484" s="272"/>
      <c r="H484" s="126"/>
      <c r="I484" s="126"/>
      <c r="J484" s="126"/>
      <c r="K484" s="126"/>
      <c r="L484" s="246"/>
      <c r="M484" s="235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</row>
    <row r="485" spans="1:31" ht="13.2">
      <c r="A485" s="126"/>
      <c r="B485" s="126"/>
      <c r="C485" s="126"/>
      <c r="D485" s="126"/>
      <c r="E485" s="126"/>
      <c r="F485" s="271"/>
      <c r="G485" s="272"/>
      <c r="H485" s="126"/>
      <c r="I485" s="126"/>
      <c r="J485" s="126"/>
      <c r="K485" s="126"/>
      <c r="L485" s="246"/>
      <c r="M485" s="235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</row>
    <row r="486" spans="1:31" ht="13.2">
      <c r="A486" s="126"/>
      <c r="B486" s="126"/>
      <c r="C486" s="126"/>
      <c r="D486" s="126"/>
      <c r="E486" s="126"/>
      <c r="F486" s="271"/>
      <c r="G486" s="272"/>
      <c r="H486" s="126"/>
      <c r="I486" s="126"/>
      <c r="J486" s="126"/>
      <c r="K486" s="126"/>
      <c r="L486" s="246"/>
      <c r="M486" s="235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</row>
    <row r="487" spans="1:31" ht="13.2">
      <c r="A487" s="126"/>
      <c r="B487" s="126"/>
      <c r="C487" s="126"/>
      <c r="D487" s="126"/>
      <c r="E487" s="126"/>
      <c r="F487" s="271"/>
      <c r="G487" s="272"/>
      <c r="H487" s="126"/>
      <c r="I487" s="126"/>
      <c r="J487" s="126"/>
      <c r="K487" s="126"/>
      <c r="L487" s="246"/>
      <c r="M487" s="235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</row>
    <row r="488" spans="1:31" ht="13.2">
      <c r="A488" s="126"/>
      <c r="B488" s="126"/>
      <c r="C488" s="126"/>
      <c r="D488" s="126"/>
      <c r="E488" s="126"/>
      <c r="F488" s="271"/>
      <c r="G488" s="272"/>
      <c r="H488" s="126"/>
      <c r="I488" s="126"/>
      <c r="J488" s="126"/>
      <c r="K488" s="126"/>
      <c r="L488" s="246"/>
      <c r="M488" s="235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</row>
    <row r="489" spans="1:31" ht="13.2">
      <c r="A489" s="126"/>
      <c r="B489" s="126"/>
      <c r="C489" s="126"/>
      <c r="D489" s="126"/>
      <c r="E489" s="126"/>
      <c r="F489" s="271"/>
      <c r="G489" s="272"/>
      <c r="H489" s="126"/>
      <c r="I489" s="126"/>
      <c r="J489" s="126"/>
      <c r="K489" s="126"/>
      <c r="L489" s="246"/>
      <c r="M489" s="235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</row>
    <row r="490" spans="1:31" ht="13.2">
      <c r="A490" s="126"/>
      <c r="B490" s="126"/>
      <c r="C490" s="126"/>
      <c r="D490" s="126"/>
      <c r="E490" s="126"/>
      <c r="F490" s="271"/>
      <c r="G490" s="272"/>
      <c r="H490" s="126"/>
      <c r="I490" s="126"/>
      <c r="J490" s="126"/>
      <c r="K490" s="126"/>
      <c r="L490" s="246"/>
      <c r="M490" s="235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</row>
    <row r="491" spans="1:31" ht="13.2">
      <c r="A491" s="126"/>
      <c r="B491" s="126"/>
      <c r="C491" s="126"/>
      <c r="D491" s="126"/>
      <c r="E491" s="126"/>
      <c r="F491" s="271"/>
      <c r="G491" s="272"/>
      <c r="H491" s="126"/>
      <c r="I491" s="126"/>
      <c r="J491" s="126"/>
      <c r="K491" s="126"/>
      <c r="L491" s="246"/>
      <c r="M491" s="235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</row>
    <row r="492" spans="1:31" ht="13.2">
      <c r="A492" s="126"/>
      <c r="B492" s="126"/>
      <c r="C492" s="126"/>
      <c r="D492" s="126"/>
      <c r="E492" s="126"/>
      <c r="F492" s="271"/>
      <c r="G492" s="272"/>
      <c r="H492" s="126"/>
      <c r="I492" s="126"/>
      <c r="J492" s="126"/>
      <c r="K492" s="126"/>
      <c r="L492" s="246"/>
      <c r="M492" s="235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</row>
    <row r="493" spans="1:31" ht="13.2">
      <c r="A493" s="126"/>
      <c r="B493" s="126"/>
      <c r="C493" s="126"/>
      <c r="D493" s="126"/>
      <c r="E493" s="126"/>
      <c r="F493" s="271"/>
      <c r="G493" s="272"/>
      <c r="H493" s="126"/>
      <c r="I493" s="126"/>
      <c r="J493" s="126"/>
      <c r="K493" s="126"/>
      <c r="L493" s="246"/>
      <c r="M493" s="235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</row>
    <row r="494" spans="1:31" ht="13.2">
      <c r="A494" s="126"/>
      <c r="B494" s="126"/>
      <c r="C494" s="126"/>
      <c r="D494" s="126"/>
      <c r="E494" s="126"/>
      <c r="F494" s="271"/>
      <c r="G494" s="272"/>
      <c r="H494" s="126"/>
      <c r="I494" s="126"/>
      <c r="J494" s="126"/>
      <c r="K494" s="126"/>
      <c r="L494" s="246"/>
      <c r="M494" s="235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</row>
    <row r="495" spans="1:31" ht="13.2">
      <c r="A495" s="126"/>
      <c r="B495" s="126"/>
      <c r="C495" s="126"/>
      <c r="D495" s="126"/>
      <c r="E495" s="126"/>
      <c r="F495" s="271"/>
      <c r="G495" s="272"/>
      <c r="H495" s="126"/>
      <c r="I495" s="126"/>
      <c r="J495" s="126"/>
      <c r="K495" s="126"/>
      <c r="L495" s="246"/>
      <c r="M495" s="235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</row>
    <row r="496" spans="1:31" ht="13.2">
      <c r="A496" s="126"/>
      <c r="B496" s="126"/>
      <c r="C496" s="126"/>
      <c r="D496" s="126"/>
      <c r="E496" s="126"/>
      <c r="F496" s="271"/>
      <c r="G496" s="272"/>
      <c r="H496" s="126"/>
      <c r="I496" s="126"/>
      <c r="J496" s="126"/>
      <c r="K496" s="126"/>
      <c r="L496" s="246"/>
      <c r="M496" s="235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</row>
    <row r="497" spans="1:31" ht="13.2">
      <c r="A497" s="126"/>
      <c r="B497" s="126"/>
      <c r="C497" s="126"/>
      <c r="D497" s="126"/>
      <c r="E497" s="126"/>
      <c r="F497" s="271"/>
      <c r="G497" s="272"/>
      <c r="H497" s="126"/>
      <c r="I497" s="126"/>
      <c r="J497" s="126"/>
      <c r="K497" s="126"/>
      <c r="L497" s="246"/>
      <c r="M497" s="235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</row>
    <row r="498" spans="1:31" ht="13.2">
      <c r="A498" s="126"/>
      <c r="B498" s="126"/>
      <c r="C498" s="126"/>
      <c r="D498" s="126"/>
      <c r="E498" s="126"/>
      <c r="F498" s="271"/>
      <c r="G498" s="272"/>
      <c r="H498" s="126"/>
      <c r="I498" s="126"/>
      <c r="J498" s="126"/>
      <c r="K498" s="126"/>
      <c r="L498" s="246"/>
      <c r="M498" s="235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</row>
    <row r="499" spans="1:31" ht="13.2">
      <c r="A499" s="126"/>
      <c r="B499" s="126"/>
      <c r="C499" s="126"/>
      <c r="D499" s="126"/>
      <c r="E499" s="126"/>
      <c r="F499" s="271"/>
      <c r="G499" s="272"/>
      <c r="H499" s="126"/>
      <c r="I499" s="126"/>
      <c r="J499" s="126"/>
      <c r="K499" s="126"/>
      <c r="L499" s="246"/>
      <c r="M499" s="235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</row>
    <row r="500" spans="1:31" ht="13.2">
      <c r="A500" s="126"/>
      <c r="B500" s="126"/>
      <c r="C500" s="126"/>
      <c r="D500" s="126"/>
      <c r="E500" s="126"/>
      <c r="F500" s="271"/>
      <c r="G500" s="272"/>
      <c r="H500" s="126"/>
      <c r="I500" s="126"/>
      <c r="J500" s="126"/>
      <c r="K500" s="126"/>
      <c r="L500" s="246"/>
      <c r="M500" s="235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</row>
    <row r="501" spans="1:31" ht="13.2">
      <c r="A501" s="126"/>
      <c r="B501" s="126"/>
      <c r="C501" s="126"/>
      <c r="D501" s="126"/>
      <c r="E501" s="126"/>
      <c r="F501" s="271"/>
      <c r="G501" s="272"/>
      <c r="H501" s="126"/>
      <c r="I501" s="126"/>
      <c r="J501" s="126"/>
      <c r="K501" s="126"/>
      <c r="L501" s="246"/>
      <c r="M501" s="235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</row>
    <row r="502" spans="1:31" ht="13.2">
      <c r="A502" s="126"/>
      <c r="B502" s="126"/>
      <c r="C502" s="126"/>
      <c r="D502" s="126"/>
      <c r="E502" s="126"/>
      <c r="F502" s="271"/>
      <c r="G502" s="272"/>
      <c r="H502" s="126"/>
      <c r="I502" s="126"/>
      <c r="J502" s="126"/>
      <c r="K502" s="126"/>
      <c r="L502" s="246"/>
      <c r="M502" s="235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</row>
    <row r="503" spans="1:31" ht="13.2">
      <c r="A503" s="126"/>
      <c r="B503" s="126"/>
      <c r="C503" s="126"/>
      <c r="D503" s="126"/>
      <c r="E503" s="126"/>
      <c r="F503" s="271"/>
      <c r="G503" s="272"/>
      <c r="H503" s="126"/>
      <c r="I503" s="126"/>
      <c r="J503" s="126"/>
      <c r="K503" s="126"/>
      <c r="L503" s="246"/>
      <c r="M503" s="235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</row>
    <row r="504" spans="1:31" ht="13.2">
      <c r="A504" s="126"/>
      <c r="B504" s="126"/>
      <c r="C504" s="126"/>
      <c r="D504" s="126"/>
      <c r="E504" s="126"/>
      <c r="F504" s="271"/>
      <c r="G504" s="272"/>
      <c r="H504" s="126"/>
      <c r="I504" s="126"/>
      <c r="J504" s="126"/>
      <c r="K504" s="126"/>
      <c r="L504" s="246"/>
      <c r="M504" s="235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</row>
    <row r="505" spans="1:31" ht="13.2">
      <c r="A505" s="126"/>
      <c r="B505" s="126"/>
      <c r="C505" s="126"/>
      <c r="D505" s="126"/>
      <c r="E505" s="126"/>
      <c r="F505" s="271"/>
      <c r="G505" s="272"/>
      <c r="H505" s="126"/>
      <c r="I505" s="126"/>
      <c r="J505" s="126"/>
      <c r="K505" s="126"/>
      <c r="L505" s="246"/>
      <c r="M505" s="235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</row>
    <row r="506" spans="1:31" ht="13.2">
      <c r="A506" s="126"/>
      <c r="B506" s="126"/>
      <c r="C506" s="126"/>
      <c r="D506" s="126"/>
      <c r="E506" s="126"/>
      <c r="F506" s="271"/>
      <c r="G506" s="272"/>
      <c r="H506" s="126"/>
      <c r="I506" s="126"/>
      <c r="J506" s="126"/>
      <c r="K506" s="126"/>
      <c r="L506" s="246"/>
      <c r="M506" s="235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</row>
    <row r="507" spans="1:31" ht="13.2">
      <c r="A507" s="126"/>
      <c r="B507" s="126"/>
      <c r="C507" s="126"/>
      <c r="D507" s="126"/>
      <c r="E507" s="126"/>
      <c r="F507" s="271"/>
      <c r="G507" s="272"/>
      <c r="H507" s="126"/>
      <c r="I507" s="126"/>
      <c r="J507" s="126"/>
      <c r="K507" s="126"/>
      <c r="L507" s="246"/>
      <c r="M507" s="235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</row>
    <row r="508" spans="1:31" ht="13.2">
      <c r="A508" s="126"/>
      <c r="B508" s="126"/>
      <c r="C508" s="126"/>
      <c r="D508" s="126"/>
      <c r="E508" s="126"/>
      <c r="F508" s="271"/>
      <c r="G508" s="272"/>
      <c r="H508" s="126"/>
      <c r="I508" s="126"/>
      <c r="J508" s="126"/>
      <c r="K508" s="126"/>
      <c r="L508" s="246"/>
      <c r="M508" s="235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</row>
    <row r="509" spans="1:31" ht="13.2">
      <c r="A509" s="126"/>
      <c r="B509" s="126"/>
      <c r="C509" s="126"/>
      <c r="D509" s="126"/>
      <c r="E509" s="126"/>
      <c r="F509" s="271"/>
      <c r="G509" s="272"/>
      <c r="H509" s="126"/>
      <c r="I509" s="126"/>
      <c r="J509" s="126"/>
      <c r="K509" s="126"/>
      <c r="L509" s="246"/>
      <c r="M509" s="235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</row>
    <row r="510" spans="1:31" ht="13.2">
      <c r="A510" s="126"/>
      <c r="B510" s="126"/>
      <c r="C510" s="126"/>
      <c r="D510" s="126"/>
      <c r="E510" s="126"/>
      <c r="F510" s="271"/>
      <c r="G510" s="272"/>
      <c r="H510" s="126"/>
      <c r="I510" s="126"/>
      <c r="J510" s="126"/>
      <c r="K510" s="126"/>
      <c r="L510" s="246"/>
      <c r="M510" s="235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</row>
    <row r="511" spans="1:31" ht="13.2">
      <c r="A511" s="126"/>
      <c r="B511" s="126"/>
      <c r="C511" s="126"/>
      <c r="D511" s="126"/>
      <c r="E511" s="126"/>
      <c r="F511" s="271"/>
      <c r="G511" s="272"/>
      <c r="H511" s="126"/>
      <c r="I511" s="126"/>
      <c r="J511" s="126"/>
      <c r="K511" s="126"/>
      <c r="L511" s="246"/>
      <c r="M511" s="235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</row>
    <row r="512" spans="1:31" ht="13.2">
      <c r="A512" s="126"/>
      <c r="B512" s="126"/>
      <c r="C512" s="126"/>
      <c r="D512" s="126"/>
      <c r="E512" s="126"/>
      <c r="F512" s="271"/>
      <c r="G512" s="272"/>
      <c r="H512" s="126"/>
      <c r="I512" s="126"/>
      <c r="J512" s="126"/>
      <c r="K512" s="126"/>
      <c r="L512" s="246"/>
      <c r="M512" s="235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</row>
    <row r="513" spans="1:31" ht="13.2">
      <c r="A513" s="126"/>
      <c r="B513" s="126"/>
      <c r="C513" s="126"/>
      <c r="D513" s="126"/>
      <c r="E513" s="126"/>
      <c r="F513" s="271"/>
      <c r="G513" s="272"/>
      <c r="H513" s="126"/>
      <c r="I513" s="126"/>
      <c r="J513" s="126"/>
      <c r="K513" s="126"/>
      <c r="L513" s="246"/>
      <c r="M513" s="235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</row>
    <row r="514" spans="1:31" ht="13.2">
      <c r="A514" s="126"/>
      <c r="B514" s="126"/>
      <c r="C514" s="126"/>
      <c r="D514" s="126"/>
      <c r="E514" s="126"/>
      <c r="F514" s="271"/>
      <c r="G514" s="272"/>
      <c r="H514" s="126"/>
      <c r="I514" s="126"/>
      <c r="J514" s="126"/>
      <c r="K514" s="126"/>
      <c r="L514" s="246"/>
      <c r="M514" s="235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</row>
    <row r="515" spans="1:31" ht="13.2">
      <c r="A515" s="126"/>
      <c r="B515" s="126"/>
      <c r="C515" s="126"/>
      <c r="D515" s="126"/>
      <c r="E515" s="126"/>
      <c r="F515" s="271"/>
      <c r="G515" s="272"/>
      <c r="H515" s="126"/>
      <c r="I515" s="126"/>
      <c r="J515" s="126"/>
      <c r="K515" s="126"/>
      <c r="L515" s="246"/>
      <c r="M515" s="235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</row>
    <row r="516" spans="1:31" ht="13.2">
      <c r="A516" s="126"/>
      <c r="B516" s="126"/>
      <c r="C516" s="126"/>
      <c r="D516" s="126"/>
      <c r="E516" s="126"/>
      <c r="F516" s="271"/>
      <c r="G516" s="272"/>
      <c r="H516" s="126"/>
      <c r="I516" s="126"/>
      <c r="J516" s="126"/>
      <c r="K516" s="126"/>
      <c r="L516" s="246"/>
      <c r="M516" s="235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</row>
    <row r="517" spans="1:31" ht="13.2">
      <c r="A517" s="126"/>
      <c r="B517" s="126"/>
      <c r="C517" s="126"/>
      <c r="D517" s="126"/>
      <c r="E517" s="126"/>
      <c r="F517" s="271"/>
      <c r="G517" s="272"/>
      <c r="H517" s="126"/>
      <c r="I517" s="126"/>
      <c r="J517" s="126"/>
      <c r="K517" s="126"/>
      <c r="L517" s="246"/>
      <c r="M517" s="235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</row>
    <row r="518" spans="1:31" ht="13.2">
      <c r="A518" s="126"/>
      <c r="B518" s="126"/>
      <c r="C518" s="126"/>
      <c r="D518" s="126"/>
      <c r="E518" s="126"/>
      <c r="F518" s="271"/>
      <c r="G518" s="272"/>
      <c r="H518" s="126"/>
      <c r="I518" s="126"/>
      <c r="J518" s="126"/>
      <c r="K518" s="126"/>
      <c r="L518" s="246"/>
      <c r="M518" s="235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</row>
    <row r="519" spans="1:31" ht="13.2">
      <c r="A519" s="126"/>
      <c r="B519" s="126"/>
      <c r="C519" s="126"/>
      <c r="D519" s="126"/>
      <c r="E519" s="126"/>
      <c r="F519" s="271"/>
      <c r="G519" s="272"/>
      <c r="H519" s="126"/>
      <c r="I519" s="126"/>
      <c r="J519" s="126"/>
      <c r="K519" s="126"/>
      <c r="L519" s="246"/>
      <c r="M519" s="235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</row>
    <row r="520" spans="1:31" ht="13.2">
      <c r="A520" s="126"/>
      <c r="B520" s="126"/>
      <c r="C520" s="126"/>
      <c r="D520" s="126"/>
      <c r="E520" s="126"/>
      <c r="F520" s="271"/>
      <c r="G520" s="272"/>
      <c r="H520" s="126"/>
      <c r="I520" s="126"/>
      <c r="J520" s="126"/>
      <c r="K520" s="126"/>
      <c r="L520" s="246"/>
      <c r="M520" s="235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</row>
    <row r="521" spans="1:31" ht="13.2">
      <c r="A521" s="126"/>
      <c r="B521" s="126"/>
      <c r="C521" s="126"/>
      <c r="D521" s="126"/>
      <c r="E521" s="126"/>
      <c r="F521" s="271"/>
      <c r="G521" s="272"/>
      <c r="H521" s="126"/>
      <c r="I521" s="126"/>
      <c r="J521" s="126"/>
      <c r="K521" s="126"/>
      <c r="L521" s="246"/>
      <c r="M521" s="235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</row>
    <row r="522" spans="1:31" ht="13.2">
      <c r="A522" s="126"/>
      <c r="B522" s="126"/>
      <c r="C522" s="126"/>
      <c r="D522" s="126"/>
      <c r="E522" s="126"/>
      <c r="F522" s="271"/>
      <c r="G522" s="272"/>
      <c r="H522" s="126"/>
      <c r="I522" s="126"/>
      <c r="J522" s="126"/>
      <c r="K522" s="126"/>
      <c r="L522" s="246"/>
      <c r="M522" s="235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</row>
    <row r="523" spans="1:31" ht="13.2">
      <c r="A523" s="126"/>
      <c r="B523" s="126"/>
      <c r="C523" s="126"/>
      <c r="D523" s="126"/>
      <c r="E523" s="126"/>
      <c r="F523" s="271"/>
      <c r="G523" s="272"/>
      <c r="H523" s="126"/>
      <c r="I523" s="126"/>
      <c r="J523" s="126"/>
      <c r="K523" s="126"/>
      <c r="L523" s="246"/>
      <c r="M523" s="235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</row>
    <row r="524" spans="1:31" ht="13.2">
      <c r="A524" s="126"/>
      <c r="B524" s="126"/>
      <c r="C524" s="126"/>
      <c r="D524" s="126"/>
      <c r="E524" s="126"/>
      <c r="F524" s="271"/>
      <c r="G524" s="272"/>
      <c r="H524" s="126"/>
      <c r="I524" s="126"/>
      <c r="J524" s="126"/>
      <c r="K524" s="126"/>
      <c r="L524" s="246"/>
      <c r="M524" s="235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</row>
    <row r="525" spans="1:31" ht="13.2">
      <c r="A525" s="126"/>
      <c r="B525" s="126"/>
      <c r="C525" s="126"/>
      <c r="D525" s="126"/>
      <c r="E525" s="126"/>
      <c r="F525" s="271"/>
      <c r="G525" s="272"/>
      <c r="H525" s="126"/>
      <c r="I525" s="126"/>
      <c r="J525" s="126"/>
      <c r="K525" s="126"/>
      <c r="L525" s="246"/>
      <c r="M525" s="235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</row>
    <row r="526" spans="1:31" ht="13.2">
      <c r="A526" s="126"/>
      <c r="B526" s="126"/>
      <c r="C526" s="126"/>
      <c r="D526" s="126"/>
      <c r="E526" s="126"/>
      <c r="F526" s="271"/>
      <c r="G526" s="272"/>
      <c r="H526" s="126"/>
      <c r="I526" s="126"/>
      <c r="J526" s="126"/>
      <c r="K526" s="126"/>
      <c r="L526" s="246"/>
      <c r="M526" s="235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</row>
    <row r="527" spans="1:31" ht="13.2">
      <c r="A527" s="126"/>
      <c r="B527" s="126"/>
      <c r="C527" s="126"/>
      <c r="D527" s="126"/>
      <c r="E527" s="126"/>
      <c r="F527" s="271"/>
      <c r="G527" s="272"/>
      <c r="H527" s="126"/>
      <c r="I527" s="126"/>
      <c r="J527" s="126"/>
      <c r="K527" s="126"/>
      <c r="L527" s="246"/>
      <c r="M527" s="235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</row>
    <row r="528" spans="1:31" ht="13.2">
      <c r="A528" s="126"/>
      <c r="B528" s="126"/>
      <c r="C528" s="126"/>
      <c r="D528" s="126"/>
      <c r="E528" s="126"/>
      <c r="F528" s="271"/>
      <c r="G528" s="272"/>
      <c r="H528" s="126"/>
      <c r="I528" s="126"/>
      <c r="J528" s="126"/>
      <c r="K528" s="126"/>
      <c r="L528" s="246"/>
      <c r="M528" s="235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</row>
    <row r="529" spans="1:31" ht="13.2">
      <c r="A529" s="126"/>
      <c r="B529" s="126"/>
      <c r="C529" s="126"/>
      <c r="D529" s="126"/>
      <c r="E529" s="126"/>
      <c r="F529" s="271"/>
      <c r="G529" s="272"/>
      <c r="H529" s="126"/>
      <c r="I529" s="126"/>
      <c r="J529" s="126"/>
      <c r="K529" s="126"/>
      <c r="L529" s="246"/>
      <c r="M529" s="235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</row>
    <row r="530" spans="1:31" ht="13.2">
      <c r="A530" s="126"/>
      <c r="B530" s="126"/>
      <c r="C530" s="126"/>
      <c r="D530" s="126"/>
      <c r="E530" s="126"/>
      <c r="F530" s="271"/>
      <c r="G530" s="272"/>
      <c r="H530" s="126"/>
      <c r="I530" s="126"/>
      <c r="J530" s="126"/>
      <c r="K530" s="126"/>
      <c r="L530" s="246"/>
      <c r="M530" s="235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</row>
    <row r="531" spans="1:31" ht="13.2">
      <c r="A531" s="126"/>
      <c r="B531" s="126"/>
      <c r="C531" s="126"/>
      <c r="D531" s="126"/>
      <c r="E531" s="126"/>
      <c r="F531" s="271"/>
      <c r="G531" s="272"/>
      <c r="H531" s="126"/>
      <c r="I531" s="126"/>
      <c r="J531" s="126"/>
      <c r="K531" s="126"/>
      <c r="L531" s="246"/>
      <c r="M531" s="235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</row>
    <row r="532" spans="1:31" ht="13.2">
      <c r="A532" s="126"/>
      <c r="B532" s="126"/>
      <c r="C532" s="126"/>
      <c r="D532" s="126"/>
      <c r="E532" s="126"/>
      <c r="F532" s="271"/>
      <c r="G532" s="272"/>
      <c r="H532" s="126"/>
      <c r="I532" s="126"/>
      <c r="J532" s="126"/>
      <c r="K532" s="126"/>
      <c r="L532" s="246"/>
      <c r="M532" s="235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</row>
    <row r="533" spans="1:31" ht="13.2">
      <c r="A533" s="126"/>
      <c r="B533" s="126"/>
      <c r="C533" s="126"/>
      <c r="D533" s="126"/>
      <c r="E533" s="126"/>
      <c r="F533" s="271"/>
      <c r="G533" s="272"/>
      <c r="H533" s="126"/>
      <c r="I533" s="126"/>
      <c r="J533" s="126"/>
      <c r="K533" s="126"/>
      <c r="L533" s="246"/>
      <c r="M533" s="235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</row>
    <row r="534" spans="1:31" ht="13.2">
      <c r="A534" s="126"/>
      <c r="B534" s="126"/>
      <c r="C534" s="126"/>
      <c r="D534" s="126"/>
      <c r="E534" s="126"/>
      <c r="F534" s="271"/>
      <c r="G534" s="272"/>
      <c r="H534" s="126"/>
      <c r="I534" s="126"/>
      <c r="J534" s="126"/>
      <c r="K534" s="126"/>
      <c r="L534" s="246"/>
      <c r="M534" s="235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</row>
    <row r="535" spans="1:31" ht="13.2">
      <c r="A535" s="126"/>
      <c r="B535" s="126"/>
      <c r="C535" s="126"/>
      <c r="D535" s="126"/>
      <c r="E535" s="126"/>
      <c r="F535" s="271"/>
      <c r="G535" s="272"/>
      <c r="H535" s="126"/>
      <c r="I535" s="126"/>
      <c r="J535" s="126"/>
      <c r="K535" s="126"/>
      <c r="L535" s="246"/>
      <c r="M535" s="235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</row>
    <row r="536" spans="1:31" ht="13.2">
      <c r="A536" s="126"/>
      <c r="B536" s="126"/>
      <c r="C536" s="126"/>
      <c r="D536" s="126"/>
      <c r="E536" s="126"/>
      <c r="F536" s="271"/>
      <c r="G536" s="272"/>
      <c r="H536" s="126"/>
      <c r="I536" s="126"/>
      <c r="J536" s="126"/>
      <c r="K536" s="126"/>
      <c r="L536" s="246"/>
      <c r="M536" s="235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</row>
    <row r="537" spans="1:31" ht="13.2">
      <c r="A537" s="126"/>
      <c r="B537" s="126"/>
      <c r="C537" s="126"/>
      <c r="D537" s="126"/>
      <c r="E537" s="126"/>
      <c r="F537" s="271"/>
      <c r="G537" s="272"/>
      <c r="H537" s="126"/>
      <c r="I537" s="126"/>
      <c r="J537" s="126"/>
      <c r="K537" s="126"/>
      <c r="L537" s="246"/>
      <c r="M537" s="235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</row>
    <row r="538" spans="1:31" ht="13.2">
      <c r="A538" s="126"/>
      <c r="B538" s="126"/>
      <c r="C538" s="126"/>
      <c r="D538" s="126"/>
      <c r="E538" s="126"/>
      <c r="F538" s="271"/>
      <c r="G538" s="272"/>
      <c r="H538" s="126"/>
      <c r="I538" s="126"/>
      <c r="J538" s="126"/>
      <c r="K538" s="126"/>
      <c r="L538" s="246"/>
      <c r="M538" s="235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</row>
    <row r="539" spans="1:31" ht="13.2">
      <c r="A539" s="126"/>
      <c r="B539" s="126"/>
      <c r="C539" s="126"/>
      <c r="D539" s="126"/>
      <c r="E539" s="126"/>
      <c r="F539" s="271"/>
      <c r="G539" s="272"/>
      <c r="H539" s="126"/>
      <c r="I539" s="126"/>
      <c r="J539" s="126"/>
      <c r="K539" s="126"/>
      <c r="L539" s="246"/>
      <c r="M539" s="235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</row>
    <row r="540" spans="1:31" ht="13.2">
      <c r="A540" s="126"/>
      <c r="B540" s="126"/>
      <c r="C540" s="126"/>
      <c r="D540" s="126"/>
      <c r="E540" s="126"/>
      <c r="F540" s="271"/>
      <c r="G540" s="272"/>
      <c r="H540" s="126"/>
      <c r="I540" s="126"/>
      <c r="J540" s="126"/>
      <c r="K540" s="126"/>
      <c r="L540" s="246"/>
      <c r="M540" s="235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</row>
    <row r="541" spans="1:31" ht="13.2">
      <c r="A541" s="126"/>
      <c r="B541" s="126"/>
      <c r="C541" s="126"/>
      <c r="D541" s="126"/>
      <c r="E541" s="126"/>
      <c r="F541" s="271"/>
      <c r="G541" s="272"/>
      <c r="H541" s="126"/>
      <c r="I541" s="126"/>
      <c r="J541" s="126"/>
      <c r="K541" s="126"/>
      <c r="L541" s="246"/>
      <c r="M541" s="235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</row>
    <row r="542" spans="1:31" ht="13.2">
      <c r="A542" s="126"/>
      <c r="B542" s="126"/>
      <c r="C542" s="126"/>
      <c r="D542" s="126"/>
      <c r="E542" s="126"/>
      <c r="F542" s="271"/>
      <c r="G542" s="272"/>
      <c r="H542" s="126"/>
      <c r="I542" s="126"/>
      <c r="J542" s="126"/>
      <c r="K542" s="126"/>
      <c r="L542" s="246"/>
      <c r="M542" s="235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</row>
    <row r="543" spans="1:31" ht="13.2">
      <c r="A543" s="126"/>
      <c r="B543" s="126"/>
      <c r="C543" s="126"/>
      <c r="D543" s="126"/>
      <c r="E543" s="126"/>
      <c r="F543" s="271"/>
      <c r="G543" s="272"/>
      <c r="H543" s="126"/>
      <c r="I543" s="126"/>
      <c r="J543" s="126"/>
      <c r="K543" s="126"/>
      <c r="L543" s="246"/>
      <c r="M543" s="235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</row>
    <row r="544" spans="1:31" ht="13.2">
      <c r="A544" s="126"/>
      <c r="B544" s="126"/>
      <c r="C544" s="126"/>
      <c r="D544" s="126"/>
      <c r="E544" s="126"/>
      <c r="F544" s="271"/>
      <c r="G544" s="272"/>
      <c r="H544" s="126"/>
      <c r="I544" s="126"/>
      <c r="J544" s="126"/>
      <c r="K544" s="126"/>
      <c r="L544" s="246"/>
      <c r="M544" s="235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</row>
    <row r="545" spans="1:31" ht="13.2">
      <c r="A545" s="126"/>
      <c r="B545" s="126"/>
      <c r="C545" s="126"/>
      <c r="D545" s="126"/>
      <c r="E545" s="126"/>
      <c r="F545" s="271"/>
      <c r="G545" s="272"/>
      <c r="H545" s="126"/>
      <c r="I545" s="126"/>
      <c r="J545" s="126"/>
      <c r="K545" s="126"/>
      <c r="L545" s="246"/>
      <c r="M545" s="235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</row>
    <row r="546" spans="1:31" ht="13.2">
      <c r="A546" s="126"/>
      <c r="B546" s="126"/>
      <c r="C546" s="126"/>
      <c r="D546" s="126"/>
      <c r="E546" s="126"/>
      <c r="F546" s="271"/>
      <c r="G546" s="272"/>
      <c r="H546" s="126"/>
      <c r="I546" s="126"/>
      <c r="J546" s="126"/>
      <c r="K546" s="126"/>
      <c r="L546" s="246"/>
      <c r="M546" s="235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</row>
    <row r="547" spans="1:31" ht="13.2">
      <c r="A547" s="126"/>
      <c r="B547" s="126"/>
      <c r="C547" s="126"/>
      <c r="D547" s="126"/>
      <c r="E547" s="126"/>
      <c r="F547" s="271"/>
      <c r="G547" s="272"/>
      <c r="H547" s="126"/>
      <c r="I547" s="126"/>
      <c r="J547" s="126"/>
      <c r="K547" s="126"/>
      <c r="L547" s="246"/>
      <c r="M547" s="235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</row>
    <row r="548" spans="1:31" ht="13.2">
      <c r="A548" s="126"/>
      <c r="B548" s="126"/>
      <c r="C548" s="126"/>
      <c r="D548" s="126"/>
      <c r="E548" s="126"/>
      <c r="F548" s="271"/>
      <c r="G548" s="272"/>
      <c r="H548" s="126"/>
      <c r="I548" s="126"/>
      <c r="J548" s="126"/>
      <c r="K548" s="126"/>
      <c r="L548" s="246"/>
      <c r="M548" s="235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</row>
    <row r="549" spans="1:31" ht="13.2">
      <c r="A549" s="126"/>
      <c r="B549" s="126"/>
      <c r="C549" s="126"/>
      <c r="D549" s="126"/>
      <c r="E549" s="126"/>
      <c r="F549" s="271"/>
      <c r="G549" s="272"/>
      <c r="H549" s="126"/>
      <c r="I549" s="126"/>
      <c r="J549" s="126"/>
      <c r="K549" s="126"/>
      <c r="L549" s="246"/>
      <c r="M549" s="235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</row>
    <row r="550" spans="1:31" ht="13.2">
      <c r="A550" s="126"/>
      <c r="B550" s="126"/>
      <c r="C550" s="126"/>
      <c r="D550" s="126"/>
      <c r="E550" s="126"/>
      <c r="F550" s="271"/>
      <c r="G550" s="272"/>
      <c r="H550" s="126"/>
      <c r="I550" s="126"/>
      <c r="J550" s="126"/>
      <c r="K550" s="126"/>
      <c r="L550" s="246"/>
      <c r="M550" s="235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</row>
    <row r="551" spans="1:31" ht="13.2">
      <c r="A551" s="126"/>
      <c r="B551" s="126"/>
      <c r="C551" s="126"/>
      <c r="D551" s="126"/>
      <c r="E551" s="126"/>
      <c r="F551" s="271"/>
      <c r="G551" s="272"/>
      <c r="H551" s="126"/>
      <c r="I551" s="126"/>
      <c r="J551" s="126"/>
      <c r="K551" s="126"/>
      <c r="L551" s="246"/>
      <c r="M551" s="235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</row>
    <row r="552" spans="1:31" ht="13.2">
      <c r="A552" s="126"/>
      <c r="B552" s="126"/>
      <c r="C552" s="126"/>
      <c r="D552" s="126"/>
      <c r="E552" s="126"/>
      <c r="F552" s="271"/>
      <c r="G552" s="272"/>
      <c r="H552" s="126"/>
      <c r="I552" s="126"/>
      <c r="J552" s="126"/>
      <c r="K552" s="126"/>
      <c r="L552" s="246"/>
      <c r="M552" s="235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</row>
    <row r="553" spans="1:31" ht="13.2">
      <c r="A553" s="126"/>
      <c r="B553" s="126"/>
      <c r="C553" s="126"/>
      <c r="D553" s="126"/>
      <c r="E553" s="126"/>
      <c r="F553" s="271"/>
      <c r="G553" s="272"/>
      <c r="H553" s="126"/>
      <c r="I553" s="126"/>
      <c r="J553" s="126"/>
      <c r="K553" s="126"/>
      <c r="L553" s="246"/>
      <c r="M553" s="235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</row>
    <row r="554" spans="1:31" ht="13.2">
      <c r="A554" s="126"/>
      <c r="B554" s="126"/>
      <c r="C554" s="126"/>
      <c r="D554" s="126"/>
      <c r="E554" s="126"/>
      <c r="F554" s="271"/>
      <c r="G554" s="272"/>
      <c r="H554" s="126"/>
      <c r="I554" s="126"/>
      <c r="J554" s="126"/>
      <c r="K554" s="126"/>
      <c r="L554" s="246"/>
      <c r="M554" s="235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</row>
    <row r="555" spans="1:31" ht="13.2">
      <c r="A555" s="126"/>
      <c r="B555" s="126"/>
      <c r="C555" s="126"/>
      <c r="D555" s="126"/>
      <c r="E555" s="126"/>
      <c r="F555" s="271"/>
      <c r="G555" s="272"/>
      <c r="H555" s="126"/>
      <c r="I555" s="126"/>
      <c r="J555" s="126"/>
      <c r="K555" s="126"/>
      <c r="L555" s="246"/>
      <c r="M555" s="235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</row>
    <row r="556" spans="1:31" ht="13.2">
      <c r="A556" s="126"/>
      <c r="B556" s="126"/>
      <c r="C556" s="126"/>
      <c r="D556" s="126"/>
      <c r="E556" s="126"/>
      <c r="F556" s="271"/>
      <c r="G556" s="272"/>
      <c r="H556" s="126"/>
      <c r="I556" s="126"/>
      <c r="J556" s="126"/>
      <c r="K556" s="126"/>
      <c r="L556" s="246"/>
      <c r="M556" s="235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</row>
    <row r="557" spans="1:31" ht="13.2">
      <c r="A557" s="126"/>
      <c r="B557" s="126"/>
      <c r="C557" s="126"/>
      <c r="D557" s="126"/>
      <c r="E557" s="126"/>
      <c r="F557" s="271"/>
      <c r="G557" s="272"/>
      <c r="H557" s="126"/>
      <c r="I557" s="126"/>
      <c r="J557" s="126"/>
      <c r="K557" s="126"/>
      <c r="L557" s="246"/>
      <c r="M557" s="235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</row>
    <row r="558" spans="1:31" ht="13.2">
      <c r="A558" s="126"/>
      <c r="B558" s="126"/>
      <c r="C558" s="126"/>
      <c r="D558" s="126"/>
      <c r="E558" s="126"/>
      <c r="F558" s="271"/>
      <c r="G558" s="272"/>
      <c r="H558" s="126"/>
      <c r="I558" s="126"/>
      <c r="J558" s="126"/>
      <c r="K558" s="126"/>
      <c r="L558" s="246"/>
      <c r="M558" s="235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</row>
    <row r="559" spans="1:31" ht="13.2">
      <c r="A559" s="126"/>
      <c r="B559" s="126"/>
      <c r="C559" s="126"/>
      <c r="D559" s="126"/>
      <c r="E559" s="126"/>
      <c r="F559" s="271"/>
      <c r="G559" s="272"/>
      <c r="H559" s="126"/>
      <c r="I559" s="126"/>
      <c r="J559" s="126"/>
      <c r="K559" s="126"/>
      <c r="L559" s="246"/>
      <c r="M559" s="235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</row>
    <row r="560" spans="1:31" ht="13.2">
      <c r="A560" s="126"/>
      <c r="B560" s="126"/>
      <c r="C560" s="126"/>
      <c r="D560" s="126"/>
      <c r="E560" s="126"/>
      <c r="F560" s="271"/>
      <c r="G560" s="272"/>
      <c r="H560" s="126"/>
      <c r="I560" s="126"/>
      <c r="J560" s="126"/>
      <c r="K560" s="126"/>
      <c r="L560" s="246"/>
      <c r="M560" s="235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</row>
    <row r="561" spans="1:31" ht="13.2">
      <c r="A561" s="126"/>
      <c r="B561" s="126"/>
      <c r="C561" s="126"/>
      <c r="D561" s="126"/>
      <c r="E561" s="126"/>
      <c r="F561" s="271"/>
      <c r="G561" s="272"/>
      <c r="H561" s="126"/>
      <c r="I561" s="126"/>
      <c r="J561" s="126"/>
      <c r="K561" s="126"/>
      <c r="L561" s="246"/>
      <c r="M561" s="235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</row>
    <row r="562" spans="1:31" ht="13.2">
      <c r="A562" s="126"/>
      <c r="B562" s="126"/>
      <c r="C562" s="126"/>
      <c r="D562" s="126"/>
      <c r="E562" s="126"/>
      <c r="F562" s="271"/>
      <c r="G562" s="272"/>
      <c r="H562" s="126"/>
      <c r="I562" s="126"/>
      <c r="J562" s="126"/>
      <c r="K562" s="126"/>
      <c r="L562" s="246"/>
      <c r="M562" s="235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</row>
    <row r="563" spans="1:31" ht="13.2">
      <c r="A563" s="126"/>
      <c r="B563" s="126"/>
      <c r="C563" s="126"/>
      <c r="D563" s="126"/>
      <c r="E563" s="126"/>
      <c r="F563" s="271"/>
      <c r="G563" s="272"/>
      <c r="H563" s="126"/>
      <c r="I563" s="126"/>
      <c r="J563" s="126"/>
      <c r="K563" s="126"/>
      <c r="L563" s="246"/>
      <c r="M563" s="235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</row>
    <row r="564" spans="1:31" ht="13.2">
      <c r="A564" s="126"/>
      <c r="B564" s="126"/>
      <c r="C564" s="126"/>
      <c r="D564" s="126"/>
      <c r="E564" s="126"/>
      <c r="F564" s="271"/>
      <c r="G564" s="272"/>
      <c r="H564" s="126"/>
      <c r="I564" s="126"/>
      <c r="J564" s="126"/>
      <c r="K564" s="126"/>
      <c r="L564" s="246"/>
      <c r="M564" s="235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</row>
    <row r="565" spans="1:31" ht="13.2">
      <c r="A565" s="126"/>
      <c r="B565" s="126"/>
      <c r="C565" s="126"/>
      <c r="D565" s="126"/>
      <c r="E565" s="126"/>
      <c r="F565" s="271"/>
      <c r="G565" s="272"/>
      <c r="H565" s="126"/>
      <c r="I565" s="126"/>
      <c r="J565" s="126"/>
      <c r="K565" s="126"/>
      <c r="L565" s="246"/>
      <c r="M565" s="235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</row>
    <row r="566" spans="1:31" ht="13.2">
      <c r="A566" s="126"/>
      <c r="B566" s="126"/>
      <c r="C566" s="126"/>
      <c r="D566" s="126"/>
      <c r="E566" s="126"/>
      <c r="F566" s="271"/>
      <c r="G566" s="272"/>
      <c r="H566" s="126"/>
      <c r="I566" s="126"/>
      <c r="J566" s="126"/>
      <c r="K566" s="126"/>
      <c r="L566" s="246"/>
      <c r="M566" s="235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</row>
    <row r="567" spans="1:31" ht="13.2">
      <c r="A567" s="126"/>
      <c r="B567" s="126"/>
      <c r="C567" s="126"/>
      <c r="D567" s="126"/>
      <c r="E567" s="126"/>
      <c r="F567" s="271"/>
      <c r="G567" s="272"/>
      <c r="H567" s="126"/>
      <c r="I567" s="126"/>
      <c r="J567" s="126"/>
      <c r="K567" s="126"/>
      <c r="L567" s="246"/>
      <c r="M567" s="235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</row>
    <row r="568" spans="1:31" ht="13.2">
      <c r="A568" s="126"/>
      <c r="B568" s="126"/>
      <c r="C568" s="126"/>
      <c r="D568" s="126"/>
      <c r="E568" s="126"/>
      <c r="F568" s="271"/>
      <c r="G568" s="272"/>
      <c r="H568" s="126"/>
      <c r="I568" s="126"/>
      <c r="J568" s="126"/>
      <c r="K568" s="126"/>
      <c r="L568" s="246"/>
      <c r="M568" s="235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</row>
    <row r="569" spans="1:31" ht="13.2">
      <c r="A569" s="126"/>
      <c r="B569" s="126"/>
      <c r="C569" s="126"/>
      <c r="D569" s="126"/>
      <c r="E569" s="126"/>
      <c r="F569" s="271"/>
      <c r="G569" s="272"/>
      <c r="H569" s="126"/>
      <c r="I569" s="126"/>
      <c r="J569" s="126"/>
      <c r="K569" s="126"/>
      <c r="L569" s="246"/>
      <c r="M569" s="235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</row>
    <row r="570" spans="1:31" ht="13.2">
      <c r="A570" s="126"/>
      <c r="B570" s="126"/>
      <c r="C570" s="126"/>
      <c r="D570" s="126"/>
      <c r="E570" s="126"/>
      <c r="F570" s="271"/>
      <c r="G570" s="272"/>
      <c r="H570" s="126"/>
      <c r="I570" s="126"/>
      <c r="J570" s="126"/>
      <c r="K570" s="126"/>
      <c r="L570" s="246"/>
      <c r="M570" s="235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</row>
    <row r="571" spans="1:31" ht="13.2">
      <c r="A571" s="126"/>
      <c r="B571" s="126"/>
      <c r="C571" s="126"/>
      <c r="D571" s="126"/>
      <c r="E571" s="126"/>
      <c r="F571" s="271"/>
      <c r="G571" s="272"/>
      <c r="H571" s="126"/>
      <c r="I571" s="126"/>
      <c r="J571" s="126"/>
      <c r="K571" s="126"/>
      <c r="L571" s="246"/>
      <c r="M571" s="235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</row>
    <row r="572" spans="1:31" ht="13.2">
      <c r="A572" s="126"/>
      <c r="B572" s="126"/>
      <c r="C572" s="126"/>
      <c r="D572" s="126"/>
      <c r="E572" s="126"/>
      <c r="F572" s="271"/>
      <c r="G572" s="272"/>
      <c r="H572" s="126"/>
      <c r="I572" s="126"/>
      <c r="J572" s="126"/>
      <c r="K572" s="126"/>
      <c r="L572" s="246"/>
      <c r="M572" s="235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</row>
    <row r="573" spans="1:31" ht="13.2">
      <c r="A573" s="126"/>
      <c r="B573" s="126"/>
      <c r="C573" s="126"/>
      <c r="D573" s="126"/>
      <c r="E573" s="126"/>
      <c r="F573" s="271"/>
      <c r="G573" s="272"/>
      <c r="H573" s="126"/>
      <c r="I573" s="126"/>
      <c r="J573" s="126"/>
      <c r="K573" s="126"/>
      <c r="L573" s="246"/>
      <c r="M573" s="235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</row>
    <row r="574" spans="1:31" ht="13.2">
      <c r="A574" s="126"/>
      <c r="B574" s="126"/>
      <c r="C574" s="126"/>
      <c r="D574" s="126"/>
      <c r="E574" s="126"/>
      <c r="F574" s="271"/>
      <c r="G574" s="272"/>
      <c r="H574" s="126"/>
      <c r="I574" s="126"/>
      <c r="J574" s="126"/>
      <c r="K574" s="126"/>
      <c r="L574" s="246"/>
      <c r="M574" s="235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</row>
    <row r="575" spans="1:31" ht="13.2">
      <c r="A575" s="126"/>
      <c r="B575" s="126"/>
      <c r="C575" s="126"/>
      <c r="D575" s="126"/>
      <c r="E575" s="126"/>
      <c r="F575" s="271"/>
      <c r="G575" s="272"/>
      <c r="H575" s="126"/>
      <c r="I575" s="126"/>
      <c r="J575" s="126"/>
      <c r="K575" s="126"/>
      <c r="L575" s="246"/>
      <c r="M575" s="235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</row>
    <row r="576" spans="1:31" ht="13.2">
      <c r="A576" s="126"/>
      <c r="B576" s="126"/>
      <c r="C576" s="126"/>
      <c r="D576" s="126"/>
      <c r="E576" s="126"/>
      <c r="F576" s="271"/>
      <c r="G576" s="272"/>
      <c r="H576" s="126"/>
      <c r="I576" s="126"/>
      <c r="J576" s="126"/>
      <c r="K576" s="126"/>
      <c r="L576" s="246"/>
      <c r="M576" s="235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</row>
    <row r="577" spans="1:31" ht="13.2">
      <c r="A577" s="126"/>
      <c r="B577" s="126"/>
      <c r="C577" s="126"/>
      <c r="D577" s="126"/>
      <c r="E577" s="126"/>
      <c r="F577" s="271"/>
      <c r="G577" s="272"/>
      <c r="H577" s="126"/>
      <c r="I577" s="126"/>
      <c r="J577" s="126"/>
      <c r="K577" s="126"/>
      <c r="L577" s="246"/>
      <c r="M577" s="235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</row>
    <row r="578" spans="1:31" ht="13.2">
      <c r="A578" s="126"/>
      <c r="B578" s="126"/>
      <c r="C578" s="126"/>
      <c r="D578" s="126"/>
      <c r="E578" s="126"/>
      <c r="F578" s="271"/>
      <c r="G578" s="272"/>
      <c r="H578" s="126"/>
      <c r="I578" s="126"/>
      <c r="J578" s="126"/>
      <c r="K578" s="126"/>
      <c r="L578" s="246"/>
      <c r="M578" s="235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</row>
    <row r="579" spans="1:31" ht="13.2">
      <c r="A579" s="126"/>
      <c r="B579" s="126"/>
      <c r="C579" s="126"/>
      <c r="D579" s="126"/>
      <c r="E579" s="126"/>
      <c r="F579" s="271"/>
      <c r="G579" s="272"/>
      <c r="H579" s="126"/>
      <c r="I579" s="126"/>
      <c r="J579" s="126"/>
      <c r="K579" s="126"/>
      <c r="L579" s="246"/>
      <c r="M579" s="235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</row>
    <row r="580" spans="1:31" ht="13.2">
      <c r="A580" s="126"/>
      <c r="B580" s="126"/>
      <c r="C580" s="126"/>
      <c r="D580" s="126"/>
      <c r="E580" s="126"/>
      <c r="F580" s="271"/>
      <c r="G580" s="272"/>
      <c r="H580" s="126"/>
      <c r="I580" s="126"/>
      <c r="J580" s="126"/>
      <c r="K580" s="126"/>
      <c r="L580" s="246"/>
      <c r="M580" s="235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</row>
    <row r="581" spans="1:31" ht="13.2">
      <c r="A581" s="126"/>
      <c r="B581" s="126"/>
      <c r="C581" s="126"/>
      <c r="D581" s="126"/>
      <c r="E581" s="126"/>
      <c r="F581" s="271"/>
      <c r="G581" s="272"/>
      <c r="H581" s="126"/>
      <c r="I581" s="126"/>
      <c r="J581" s="126"/>
      <c r="K581" s="126"/>
      <c r="L581" s="246"/>
      <c r="M581" s="235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</row>
    <row r="582" spans="1:31" ht="13.2">
      <c r="A582" s="126"/>
      <c r="B582" s="126"/>
      <c r="C582" s="126"/>
      <c r="D582" s="126"/>
      <c r="E582" s="126"/>
      <c r="F582" s="271"/>
      <c r="G582" s="272"/>
      <c r="H582" s="126"/>
      <c r="I582" s="126"/>
      <c r="J582" s="126"/>
      <c r="K582" s="126"/>
      <c r="L582" s="246"/>
      <c r="M582" s="235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</row>
    <row r="583" spans="1:31" ht="13.2">
      <c r="A583" s="126"/>
      <c r="B583" s="126"/>
      <c r="C583" s="126"/>
      <c r="D583" s="126"/>
      <c r="E583" s="126"/>
      <c r="F583" s="271"/>
      <c r="G583" s="272"/>
      <c r="H583" s="126"/>
      <c r="I583" s="126"/>
      <c r="J583" s="126"/>
      <c r="K583" s="126"/>
      <c r="L583" s="246"/>
      <c r="M583" s="235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</row>
    <row r="584" spans="1:31" ht="13.2">
      <c r="A584" s="126"/>
      <c r="B584" s="126"/>
      <c r="C584" s="126"/>
      <c r="D584" s="126"/>
      <c r="E584" s="126"/>
      <c r="F584" s="271"/>
      <c r="G584" s="272"/>
      <c r="H584" s="126"/>
      <c r="I584" s="126"/>
      <c r="J584" s="126"/>
      <c r="K584" s="126"/>
      <c r="L584" s="246"/>
      <c r="M584" s="235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</row>
    <row r="585" spans="1:31" ht="13.2">
      <c r="A585" s="126"/>
      <c r="B585" s="126"/>
      <c r="C585" s="126"/>
      <c r="D585" s="126"/>
      <c r="E585" s="126"/>
      <c r="F585" s="271"/>
      <c r="G585" s="272"/>
      <c r="H585" s="126"/>
      <c r="I585" s="126"/>
      <c r="J585" s="126"/>
      <c r="K585" s="126"/>
      <c r="L585" s="246"/>
      <c r="M585" s="235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</row>
    <row r="586" spans="1:31" ht="13.2">
      <c r="A586" s="126"/>
      <c r="B586" s="126"/>
      <c r="C586" s="126"/>
      <c r="D586" s="126"/>
      <c r="E586" s="126"/>
      <c r="F586" s="271"/>
      <c r="G586" s="272"/>
      <c r="H586" s="126"/>
      <c r="I586" s="126"/>
      <c r="J586" s="126"/>
      <c r="K586" s="126"/>
      <c r="L586" s="246"/>
      <c r="M586" s="235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</row>
    <row r="587" spans="1:31" ht="13.2">
      <c r="A587" s="126"/>
      <c r="B587" s="126"/>
      <c r="C587" s="126"/>
      <c r="D587" s="126"/>
      <c r="E587" s="126"/>
      <c r="F587" s="271"/>
      <c r="G587" s="272"/>
      <c r="H587" s="126"/>
      <c r="I587" s="126"/>
      <c r="J587" s="126"/>
      <c r="K587" s="126"/>
      <c r="L587" s="246"/>
      <c r="M587" s="235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</row>
    <row r="588" spans="1:31" ht="13.2">
      <c r="A588" s="126"/>
      <c r="B588" s="126"/>
      <c r="C588" s="126"/>
      <c r="D588" s="126"/>
      <c r="E588" s="126"/>
      <c r="F588" s="271"/>
      <c r="G588" s="272"/>
      <c r="H588" s="126"/>
      <c r="I588" s="126"/>
      <c r="J588" s="126"/>
      <c r="K588" s="126"/>
      <c r="L588" s="246"/>
      <c r="M588" s="235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</row>
    <row r="589" spans="1:31" ht="13.2">
      <c r="A589" s="126"/>
      <c r="B589" s="126"/>
      <c r="C589" s="126"/>
      <c r="D589" s="126"/>
      <c r="E589" s="126"/>
      <c r="F589" s="271"/>
      <c r="G589" s="272"/>
      <c r="H589" s="126"/>
      <c r="I589" s="126"/>
      <c r="J589" s="126"/>
      <c r="K589" s="126"/>
      <c r="L589" s="246"/>
      <c r="M589" s="235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</row>
    <row r="590" spans="1:31" ht="13.2">
      <c r="A590" s="126"/>
      <c r="B590" s="126"/>
      <c r="C590" s="126"/>
      <c r="D590" s="126"/>
      <c r="E590" s="126"/>
      <c r="F590" s="271"/>
      <c r="G590" s="272"/>
      <c r="H590" s="126"/>
      <c r="I590" s="126"/>
      <c r="J590" s="126"/>
      <c r="K590" s="126"/>
      <c r="L590" s="246"/>
      <c r="M590" s="235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</row>
    <row r="591" spans="1:31" ht="13.2">
      <c r="A591" s="126"/>
      <c r="B591" s="126"/>
      <c r="C591" s="126"/>
      <c r="D591" s="126"/>
      <c r="E591" s="126"/>
      <c r="F591" s="271"/>
      <c r="G591" s="272"/>
      <c r="H591" s="126"/>
      <c r="I591" s="126"/>
      <c r="J591" s="126"/>
      <c r="K591" s="126"/>
      <c r="L591" s="246"/>
      <c r="M591" s="235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</row>
    <row r="592" spans="1:31" ht="13.2">
      <c r="A592" s="126"/>
      <c r="B592" s="126"/>
      <c r="C592" s="126"/>
      <c r="D592" s="126"/>
      <c r="E592" s="126"/>
      <c r="F592" s="271"/>
      <c r="G592" s="272"/>
      <c r="H592" s="126"/>
      <c r="I592" s="126"/>
      <c r="J592" s="126"/>
      <c r="K592" s="126"/>
      <c r="L592" s="246"/>
      <c r="M592" s="235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</row>
    <row r="593" spans="1:31" ht="13.2">
      <c r="A593" s="126"/>
      <c r="B593" s="126"/>
      <c r="C593" s="126"/>
      <c r="D593" s="126"/>
      <c r="E593" s="126"/>
      <c r="F593" s="271"/>
      <c r="G593" s="272"/>
      <c r="H593" s="126"/>
      <c r="I593" s="126"/>
      <c r="J593" s="126"/>
      <c r="K593" s="126"/>
      <c r="L593" s="246"/>
      <c r="M593" s="235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</row>
    <row r="594" spans="1:31" ht="13.2">
      <c r="A594" s="126"/>
      <c r="B594" s="126"/>
      <c r="C594" s="126"/>
      <c r="D594" s="126"/>
      <c r="E594" s="126"/>
      <c r="F594" s="271"/>
      <c r="G594" s="272"/>
      <c r="H594" s="126"/>
      <c r="I594" s="126"/>
      <c r="J594" s="126"/>
      <c r="K594" s="126"/>
      <c r="L594" s="246"/>
      <c r="M594" s="235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</row>
    <row r="595" spans="1:31" ht="13.2">
      <c r="A595" s="126"/>
      <c r="B595" s="126"/>
      <c r="C595" s="126"/>
      <c r="D595" s="126"/>
      <c r="E595" s="126"/>
      <c r="F595" s="271"/>
      <c r="G595" s="272"/>
      <c r="H595" s="126"/>
      <c r="I595" s="126"/>
      <c r="J595" s="126"/>
      <c r="K595" s="126"/>
      <c r="L595" s="246"/>
      <c r="M595" s="235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</row>
    <row r="596" spans="1:31" ht="13.2">
      <c r="A596" s="126"/>
      <c r="B596" s="126"/>
      <c r="C596" s="126"/>
      <c r="D596" s="126"/>
      <c r="E596" s="126"/>
      <c r="F596" s="271"/>
      <c r="G596" s="272"/>
      <c r="H596" s="126"/>
      <c r="I596" s="126"/>
      <c r="J596" s="126"/>
      <c r="K596" s="126"/>
      <c r="L596" s="246"/>
      <c r="M596" s="235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</row>
    <row r="597" spans="1:31" ht="13.2">
      <c r="A597" s="126"/>
      <c r="B597" s="126"/>
      <c r="C597" s="126"/>
      <c r="D597" s="126"/>
      <c r="E597" s="126"/>
      <c r="F597" s="271"/>
      <c r="G597" s="272"/>
      <c r="H597" s="126"/>
      <c r="I597" s="126"/>
      <c r="J597" s="126"/>
      <c r="K597" s="126"/>
      <c r="L597" s="246"/>
      <c r="M597" s="235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</row>
    <row r="598" spans="1:31" ht="13.2">
      <c r="A598" s="126"/>
      <c r="B598" s="126"/>
      <c r="C598" s="126"/>
      <c r="D598" s="126"/>
      <c r="E598" s="126"/>
      <c r="F598" s="271"/>
      <c r="G598" s="272"/>
      <c r="H598" s="126"/>
      <c r="I598" s="126"/>
      <c r="J598" s="126"/>
      <c r="K598" s="126"/>
      <c r="L598" s="246"/>
      <c r="M598" s="235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</row>
    <row r="599" spans="1:31" ht="13.2">
      <c r="A599" s="126"/>
      <c r="B599" s="126"/>
      <c r="C599" s="126"/>
      <c r="D599" s="126"/>
      <c r="E599" s="126"/>
      <c r="F599" s="271"/>
      <c r="G599" s="272"/>
      <c r="H599" s="126"/>
      <c r="I599" s="126"/>
      <c r="J599" s="126"/>
      <c r="K599" s="126"/>
      <c r="L599" s="246"/>
      <c r="M599" s="235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</row>
    <row r="600" spans="1:31" ht="13.2">
      <c r="A600" s="126"/>
      <c r="B600" s="126"/>
      <c r="C600" s="126"/>
      <c r="D600" s="126"/>
      <c r="E600" s="126"/>
      <c r="F600" s="271"/>
      <c r="G600" s="272"/>
      <c r="H600" s="126"/>
      <c r="I600" s="126"/>
      <c r="J600" s="126"/>
      <c r="K600" s="126"/>
      <c r="L600" s="246"/>
      <c r="M600" s="235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</row>
    <row r="601" spans="1:31" ht="13.2">
      <c r="A601" s="126"/>
      <c r="B601" s="126"/>
      <c r="C601" s="126"/>
      <c r="D601" s="126"/>
      <c r="E601" s="126"/>
      <c r="F601" s="271"/>
      <c r="G601" s="272"/>
      <c r="H601" s="126"/>
      <c r="I601" s="126"/>
      <c r="J601" s="126"/>
      <c r="K601" s="126"/>
      <c r="L601" s="246"/>
      <c r="M601" s="235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</row>
    <row r="602" spans="1:31" ht="13.2">
      <c r="A602" s="126"/>
      <c r="B602" s="126"/>
      <c r="C602" s="126"/>
      <c r="D602" s="126"/>
      <c r="E602" s="126"/>
      <c r="F602" s="271"/>
      <c r="G602" s="272"/>
      <c r="H602" s="126"/>
      <c r="I602" s="126"/>
      <c r="J602" s="126"/>
      <c r="K602" s="126"/>
      <c r="L602" s="246"/>
      <c r="M602" s="235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</row>
    <row r="603" spans="1:31" ht="13.2">
      <c r="A603" s="126"/>
      <c r="B603" s="126"/>
      <c r="C603" s="126"/>
      <c r="D603" s="126"/>
      <c r="E603" s="126"/>
      <c r="F603" s="271"/>
      <c r="G603" s="272"/>
      <c r="H603" s="126"/>
      <c r="I603" s="126"/>
      <c r="J603" s="126"/>
      <c r="K603" s="126"/>
      <c r="L603" s="246"/>
      <c r="M603" s="235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</row>
    <row r="604" spans="1:31" ht="13.2">
      <c r="A604" s="126"/>
      <c r="B604" s="126"/>
      <c r="C604" s="126"/>
      <c r="D604" s="126"/>
      <c r="E604" s="126"/>
      <c r="F604" s="271"/>
      <c r="G604" s="272"/>
      <c r="H604" s="126"/>
      <c r="I604" s="126"/>
      <c r="J604" s="126"/>
      <c r="K604" s="126"/>
      <c r="L604" s="246"/>
      <c r="M604" s="235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</row>
    <row r="605" spans="1:31" ht="13.2">
      <c r="A605" s="126"/>
      <c r="B605" s="126"/>
      <c r="C605" s="126"/>
      <c r="D605" s="126"/>
      <c r="E605" s="126"/>
      <c r="F605" s="271"/>
      <c r="G605" s="272"/>
      <c r="H605" s="126"/>
      <c r="I605" s="126"/>
      <c r="J605" s="126"/>
      <c r="K605" s="126"/>
      <c r="L605" s="246"/>
      <c r="M605" s="235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</row>
    <row r="606" spans="1:31" ht="13.2">
      <c r="A606" s="126"/>
      <c r="B606" s="126"/>
      <c r="C606" s="126"/>
      <c r="D606" s="126"/>
      <c r="E606" s="126"/>
      <c r="F606" s="271"/>
      <c r="G606" s="272"/>
      <c r="H606" s="126"/>
      <c r="I606" s="126"/>
      <c r="J606" s="126"/>
      <c r="K606" s="126"/>
      <c r="L606" s="246"/>
      <c r="M606" s="235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</row>
    <row r="607" spans="1:31" ht="13.2">
      <c r="A607" s="126"/>
      <c r="B607" s="126"/>
      <c r="C607" s="126"/>
      <c r="D607" s="126"/>
      <c r="E607" s="126"/>
      <c r="F607" s="271"/>
      <c r="G607" s="272"/>
      <c r="H607" s="126"/>
      <c r="I607" s="126"/>
      <c r="J607" s="126"/>
      <c r="K607" s="126"/>
      <c r="L607" s="246"/>
      <c r="M607" s="235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</row>
    <row r="608" spans="1:31" ht="13.2">
      <c r="A608" s="126"/>
      <c r="B608" s="126"/>
      <c r="C608" s="126"/>
      <c r="D608" s="126"/>
      <c r="E608" s="126"/>
      <c r="F608" s="271"/>
      <c r="G608" s="272"/>
      <c r="H608" s="126"/>
      <c r="I608" s="126"/>
      <c r="J608" s="126"/>
      <c r="K608" s="126"/>
      <c r="L608" s="246"/>
      <c r="M608" s="235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</row>
    <row r="609" spans="1:31" ht="13.2">
      <c r="A609" s="126"/>
      <c r="B609" s="126"/>
      <c r="C609" s="126"/>
      <c r="D609" s="126"/>
      <c r="E609" s="126"/>
      <c r="F609" s="271"/>
      <c r="G609" s="272"/>
      <c r="H609" s="126"/>
      <c r="I609" s="126"/>
      <c r="J609" s="126"/>
      <c r="K609" s="126"/>
      <c r="L609" s="246"/>
      <c r="M609" s="235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</row>
    <row r="610" spans="1:31" ht="13.2">
      <c r="A610" s="126"/>
      <c r="B610" s="126"/>
      <c r="C610" s="126"/>
      <c r="D610" s="126"/>
      <c r="E610" s="126"/>
      <c r="F610" s="271"/>
      <c r="G610" s="272"/>
      <c r="H610" s="126"/>
      <c r="I610" s="126"/>
      <c r="J610" s="126"/>
      <c r="K610" s="126"/>
      <c r="L610" s="246"/>
      <c r="M610" s="235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</row>
    <row r="611" spans="1:31" ht="13.2">
      <c r="A611" s="126"/>
      <c r="B611" s="126"/>
      <c r="C611" s="126"/>
      <c r="D611" s="126"/>
      <c r="E611" s="126"/>
      <c r="F611" s="271"/>
      <c r="G611" s="272"/>
      <c r="H611" s="126"/>
      <c r="I611" s="126"/>
      <c r="J611" s="126"/>
      <c r="K611" s="126"/>
      <c r="L611" s="246"/>
      <c r="M611" s="235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</row>
    <row r="612" spans="1:31" ht="13.2">
      <c r="A612" s="126"/>
      <c r="B612" s="126"/>
      <c r="C612" s="126"/>
      <c r="D612" s="126"/>
      <c r="E612" s="126"/>
      <c r="F612" s="271"/>
      <c r="G612" s="272"/>
      <c r="H612" s="126"/>
      <c r="I612" s="126"/>
      <c r="J612" s="126"/>
      <c r="K612" s="126"/>
      <c r="L612" s="246"/>
      <c r="M612" s="235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</row>
    <row r="613" spans="1:31" ht="13.2">
      <c r="A613" s="126"/>
      <c r="B613" s="126"/>
      <c r="C613" s="126"/>
      <c r="D613" s="126"/>
      <c r="E613" s="126"/>
      <c r="F613" s="271"/>
      <c r="G613" s="272"/>
      <c r="H613" s="126"/>
      <c r="I613" s="126"/>
      <c r="J613" s="126"/>
      <c r="K613" s="126"/>
      <c r="L613" s="246"/>
      <c r="M613" s="235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</row>
    <row r="614" spans="1:31" ht="13.2">
      <c r="A614" s="126"/>
      <c r="B614" s="126"/>
      <c r="C614" s="126"/>
      <c r="D614" s="126"/>
      <c r="E614" s="126"/>
      <c r="F614" s="271"/>
      <c r="G614" s="272"/>
      <c r="H614" s="126"/>
      <c r="I614" s="126"/>
      <c r="J614" s="126"/>
      <c r="K614" s="126"/>
      <c r="L614" s="246"/>
      <c r="M614" s="235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</row>
    <row r="615" spans="1:31" ht="13.2">
      <c r="A615" s="126"/>
      <c r="B615" s="126"/>
      <c r="C615" s="126"/>
      <c r="D615" s="126"/>
      <c r="E615" s="126"/>
      <c r="F615" s="271"/>
      <c r="G615" s="272"/>
      <c r="H615" s="126"/>
      <c r="I615" s="126"/>
      <c r="J615" s="126"/>
      <c r="K615" s="126"/>
      <c r="L615" s="246"/>
      <c r="M615" s="235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</row>
    <row r="616" spans="1:31" ht="13.2">
      <c r="A616" s="126"/>
      <c r="B616" s="126"/>
      <c r="C616" s="126"/>
      <c r="D616" s="126"/>
      <c r="E616" s="126"/>
      <c r="F616" s="271"/>
      <c r="G616" s="272"/>
      <c r="H616" s="126"/>
      <c r="I616" s="126"/>
      <c r="J616" s="126"/>
      <c r="K616" s="126"/>
      <c r="L616" s="246"/>
      <c r="M616" s="235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</row>
    <row r="617" spans="1:31" ht="13.2">
      <c r="A617" s="126"/>
      <c r="B617" s="126"/>
      <c r="C617" s="126"/>
      <c r="D617" s="126"/>
      <c r="E617" s="126"/>
      <c r="F617" s="271"/>
      <c r="G617" s="272"/>
      <c r="H617" s="126"/>
      <c r="I617" s="126"/>
      <c r="J617" s="126"/>
      <c r="K617" s="126"/>
      <c r="L617" s="246"/>
      <c r="M617" s="235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</row>
    <row r="618" spans="1:31" ht="13.2">
      <c r="A618" s="126"/>
      <c r="B618" s="126"/>
      <c r="C618" s="126"/>
      <c r="D618" s="126"/>
      <c r="E618" s="126"/>
      <c r="F618" s="271"/>
      <c r="G618" s="272"/>
      <c r="H618" s="126"/>
      <c r="I618" s="126"/>
      <c r="J618" s="126"/>
      <c r="K618" s="126"/>
      <c r="L618" s="246"/>
      <c r="M618" s="235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</row>
    <row r="619" spans="1:31" ht="13.2">
      <c r="A619" s="126"/>
      <c r="B619" s="126"/>
      <c r="C619" s="126"/>
      <c r="D619" s="126"/>
      <c r="E619" s="126"/>
      <c r="F619" s="271"/>
      <c r="G619" s="272"/>
      <c r="H619" s="126"/>
      <c r="I619" s="126"/>
      <c r="J619" s="126"/>
      <c r="K619" s="126"/>
      <c r="L619" s="246"/>
      <c r="M619" s="235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</row>
    <row r="620" spans="1:31" ht="13.2">
      <c r="A620" s="126"/>
      <c r="B620" s="126"/>
      <c r="C620" s="126"/>
      <c r="D620" s="126"/>
      <c r="E620" s="126"/>
      <c r="F620" s="271"/>
      <c r="G620" s="272"/>
      <c r="H620" s="126"/>
      <c r="I620" s="126"/>
      <c r="J620" s="126"/>
      <c r="K620" s="126"/>
      <c r="L620" s="246"/>
      <c r="M620" s="235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</row>
    <row r="621" spans="1:31" ht="13.2">
      <c r="A621" s="126"/>
      <c r="B621" s="126"/>
      <c r="C621" s="126"/>
      <c r="D621" s="126"/>
      <c r="E621" s="126"/>
      <c r="F621" s="271"/>
      <c r="G621" s="272"/>
      <c r="H621" s="126"/>
      <c r="I621" s="126"/>
      <c r="J621" s="126"/>
      <c r="K621" s="126"/>
      <c r="L621" s="246"/>
      <c r="M621" s="235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</row>
    <row r="622" spans="1:31" ht="13.2">
      <c r="A622" s="126"/>
      <c r="B622" s="126"/>
      <c r="C622" s="126"/>
      <c r="D622" s="126"/>
      <c r="E622" s="126"/>
      <c r="F622" s="271"/>
      <c r="G622" s="272"/>
      <c r="H622" s="126"/>
      <c r="I622" s="126"/>
      <c r="J622" s="126"/>
      <c r="K622" s="126"/>
      <c r="L622" s="246"/>
      <c r="M622" s="235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</row>
    <row r="623" spans="1:31" ht="13.2">
      <c r="A623" s="126"/>
      <c r="B623" s="126"/>
      <c r="C623" s="126"/>
      <c r="D623" s="126"/>
      <c r="E623" s="126"/>
      <c r="F623" s="271"/>
      <c r="G623" s="272"/>
      <c r="H623" s="126"/>
      <c r="I623" s="126"/>
      <c r="J623" s="126"/>
      <c r="K623" s="126"/>
      <c r="L623" s="246"/>
      <c r="M623" s="235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</row>
    <row r="624" spans="1:31" ht="13.2">
      <c r="A624" s="126"/>
      <c r="B624" s="126"/>
      <c r="C624" s="126"/>
      <c r="D624" s="126"/>
      <c r="E624" s="126"/>
      <c r="F624" s="271"/>
      <c r="G624" s="272"/>
      <c r="H624" s="126"/>
      <c r="I624" s="126"/>
      <c r="J624" s="126"/>
      <c r="K624" s="126"/>
      <c r="L624" s="246"/>
      <c r="M624" s="235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</row>
    <row r="625" spans="1:31" ht="13.2">
      <c r="A625" s="126"/>
      <c r="B625" s="126"/>
      <c r="C625" s="126"/>
      <c r="D625" s="126"/>
      <c r="E625" s="126"/>
      <c r="F625" s="271"/>
      <c r="G625" s="272"/>
      <c r="H625" s="126"/>
      <c r="I625" s="126"/>
      <c r="J625" s="126"/>
      <c r="K625" s="126"/>
      <c r="L625" s="246"/>
      <c r="M625" s="235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</row>
    <row r="626" spans="1:31" ht="13.2">
      <c r="A626" s="126"/>
      <c r="B626" s="126"/>
      <c r="C626" s="126"/>
      <c r="D626" s="126"/>
      <c r="E626" s="126"/>
      <c r="F626" s="271"/>
      <c r="G626" s="272"/>
      <c r="H626" s="126"/>
      <c r="I626" s="126"/>
      <c r="J626" s="126"/>
      <c r="K626" s="126"/>
      <c r="L626" s="246"/>
      <c r="M626" s="235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</row>
    <row r="627" spans="1:31" ht="13.2">
      <c r="A627" s="126"/>
      <c r="B627" s="126"/>
      <c r="C627" s="126"/>
      <c r="D627" s="126"/>
      <c r="E627" s="126"/>
      <c r="F627" s="271"/>
      <c r="G627" s="272"/>
      <c r="H627" s="126"/>
      <c r="I627" s="126"/>
      <c r="J627" s="126"/>
      <c r="K627" s="126"/>
      <c r="L627" s="246"/>
      <c r="M627" s="235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</row>
    <row r="628" spans="1:31" ht="13.2">
      <c r="A628" s="126"/>
      <c r="B628" s="126"/>
      <c r="C628" s="126"/>
      <c r="D628" s="126"/>
      <c r="E628" s="126"/>
      <c r="F628" s="271"/>
      <c r="G628" s="272"/>
      <c r="H628" s="126"/>
      <c r="I628" s="126"/>
      <c r="J628" s="126"/>
      <c r="K628" s="126"/>
      <c r="L628" s="246"/>
      <c r="M628" s="235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</row>
    <row r="629" spans="1:31" ht="13.2">
      <c r="A629" s="126"/>
      <c r="B629" s="126"/>
      <c r="C629" s="126"/>
      <c r="D629" s="126"/>
      <c r="E629" s="126"/>
      <c r="F629" s="271"/>
      <c r="G629" s="272"/>
      <c r="H629" s="126"/>
      <c r="I629" s="126"/>
      <c r="J629" s="126"/>
      <c r="K629" s="126"/>
      <c r="L629" s="246"/>
      <c r="M629" s="235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</row>
    <row r="630" spans="1:31" ht="13.2">
      <c r="A630" s="126"/>
      <c r="B630" s="126"/>
      <c r="C630" s="126"/>
      <c r="D630" s="126"/>
      <c r="E630" s="126"/>
      <c r="F630" s="271"/>
      <c r="G630" s="272"/>
      <c r="H630" s="126"/>
      <c r="I630" s="126"/>
      <c r="J630" s="126"/>
      <c r="K630" s="126"/>
      <c r="L630" s="246"/>
      <c r="M630" s="235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</row>
    <row r="631" spans="1:31" ht="13.2">
      <c r="A631" s="126"/>
      <c r="B631" s="126"/>
      <c r="C631" s="126"/>
      <c r="D631" s="126"/>
      <c r="E631" s="126"/>
      <c r="F631" s="271"/>
      <c r="G631" s="272"/>
      <c r="H631" s="126"/>
      <c r="I631" s="126"/>
      <c r="J631" s="126"/>
      <c r="K631" s="126"/>
      <c r="L631" s="246"/>
      <c r="M631" s="235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</row>
    <row r="632" spans="1:31" ht="13.2">
      <c r="A632" s="126"/>
      <c r="B632" s="126"/>
      <c r="C632" s="126"/>
      <c r="D632" s="126"/>
      <c r="E632" s="126"/>
      <c r="F632" s="271"/>
      <c r="G632" s="272"/>
      <c r="H632" s="126"/>
      <c r="I632" s="126"/>
      <c r="J632" s="126"/>
      <c r="K632" s="126"/>
      <c r="L632" s="246"/>
      <c r="M632" s="235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</row>
    <row r="633" spans="1:31" ht="13.2">
      <c r="A633" s="126"/>
      <c r="B633" s="126"/>
      <c r="C633" s="126"/>
      <c r="D633" s="126"/>
      <c r="E633" s="126"/>
      <c r="F633" s="271"/>
      <c r="G633" s="272"/>
      <c r="H633" s="126"/>
      <c r="I633" s="126"/>
      <c r="J633" s="126"/>
      <c r="K633" s="126"/>
      <c r="L633" s="246"/>
      <c r="M633" s="235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</row>
    <row r="634" spans="1:31" ht="13.2">
      <c r="A634" s="126"/>
      <c r="B634" s="126"/>
      <c r="C634" s="126"/>
      <c r="D634" s="126"/>
      <c r="E634" s="126"/>
      <c r="F634" s="271"/>
      <c r="G634" s="272"/>
      <c r="H634" s="126"/>
      <c r="I634" s="126"/>
      <c r="J634" s="126"/>
      <c r="K634" s="126"/>
      <c r="L634" s="246"/>
      <c r="M634" s="235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</row>
    <row r="635" spans="1:31" ht="13.2">
      <c r="A635" s="126"/>
      <c r="B635" s="126"/>
      <c r="C635" s="126"/>
      <c r="D635" s="126"/>
      <c r="E635" s="126"/>
      <c r="F635" s="271"/>
      <c r="G635" s="272"/>
      <c r="H635" s="126"/>
      <c r="I635" s="126"/>
      <c r="J635" s="126"/>
      <c r="K635" s="126"/>
      <c r="L635" s="246"/>
      <c r="M635" s="235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</row>
    <row r="636" spans="1:31" ht="13.2">
      <c r="A636" s="126"/>
      <c r="B636" s="126"/>
      <c r="C636" s="126"/>
      <c r="D636" s="126"/>
      <c r="E636" s="126"/>
      <c r="F636" s="271"/>
      <c r="G636" s="272"/>
      <c r="H636" s="126"/>
      <c r="I636" s="126"/>
      <c r="J636" s="126"/>
      <c r="K636" s="126"/>
      <c r="L636" s="246"/>
      <c r="M636" s="235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</row>
    <row r="637" spans="1:31" ht="13.2">
      <c r="A637" s="126"/>
      <c r="B637" s="126"/>
      <c r="C637" s="126"/>
      <c r="D637" s="126"/>
      <c r="E637" s="126"/>
      <c r="F637" s="271"/>
      <c r="G637" s="272"/>
      <c r="H637" s="126"/>
      <c r="I637" s="126"/>
      <c r="J637" s="126"/>
      <c r="K637" s="126"/>
      <c r="L637" s="246"/>
      <c r="M637" s="235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</row>
    <row r="638" spans="1:31" ht="13.2">
      <c r="A638" s="126"/>
      <c r="B638" s="126"/>
      <c r="C638" s="126"/>
      <c r="D638" s="126"/>
      <c r="E638" s="126"/>
      <c r="F638" s="271"/>
      <c r="G638" s="272"/>
      <c r="H638" s="126"/>
      <c r="I638" s="126"/>
      <c r="J638" s="126"/>
      <c r="K638" s="126"/>
      <c r="L638" s="246"/>
      <c r="M638" s="235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</row>
    <row r="639" spans="1:31" ht="13.2">
      <c r="A639" s="126"/>
      <c r="B639" s="126"/>
      <c r="C639" s="126"/>
      <c r="D639" s="126"/>
      <c r="E639" s="126"/>
      <c r="F639" s="271"/>
      <c r="G639" s="272"/>
      <c r="H639" s="126"/>
      <c r="I639" s="126"/>
      <c r="J639" s="126"/>
      <c r="K639" s="126"/>
      <c r="L639" s="246"/>
      <c r="M639" s="235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</row>
    <row r="640" spans="1:31" ht="13.2">
      <c r="A640" s="126"/>
      <c r="B640" s="126"/>
      <c r="C640" s="126"/>
      <c r="D640" s="126"/>
      <c r="E640" s="126"/>
      <c r="F640" s="271"/>
      <c r="G640" s="272"/>
      <c r="H640" s="126"/>
      <c r="I640" s="126"/>
      <c r="J640" s="126"/>
      <c r="K640" s="126"/>
      <c r="L640" s="246"/>
      <c r="M640" s="235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</row>
    <row r="641" spans="1:31" ht="13.2">
      <c r="A641" s="126"/>
      <c r="B641" s="126"/>
      <c r="C641" s="126"/>
      <c r="D641" s="126"/>
      <c r="E641" s="126"/>
      <c r="F641" s="271"/>
      <c r="G641" s="272"/>
      <c r="H641" s="126"/>
      <c r="I641" s="126"/>
      <c r="J641" s="126"/>
      <c r="K641" s="126"/>
      <c r="L641" s="246"/>
      <c r="M641" s="235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</row>
    <row r="642" spans="1:31" ht="13.2">
      <c r="A642" s="126"/>
      <c r="B642" s="126"/>
      <c r="C642" s="126"/>
      <c r="D642" s="126"/>
      <c r="E642" s="126"/>
      <c r="F642" s="271"/>
      <c r="G642" s="272"/>
      <c r="H642" s="126"/>
      <c r="I642" s="126"/>
      <c r="J642" s="126"/>
      <c r="K642" s="126"/>
      <c r="L642" s="246"/>
      <c r="M642" s="235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</row>
    <row r="643" spans="1:31" ht="13.2">
      <c r="A643" s="126"/>
      <c r="B643" s="126"/>
      <c r="C643" s="126"/>
      <c r="D643" s="126"/>
      <c r="E643" s="126"/>
      <c r="F643" s="271"/>
      <c r="G643" s="272"/>
      <c r="H643" s="126"/>
      <c r="I643" s="126"/>
      <c r="J643" s="126"/>
      <c r="K643" s="126"/>
      <c r="L643" s="246"/>
      <c r="M643" s="235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</row>
    <row r="644" spans="1:31" ht="13.2">
      <c r="A644" s="126"/>
      <c r="B644" s="126"/>
      <c r="C644" s="126"/>
      <c r="D644" s="126"/>
      <c r="E644" s="126"/>
      <c r="F644" s="271"/>
      <c r="G644" s="272"/>
      <c r="H644" s="126"/>
      <c r="I644" s="126"/>
      <c r="J644" s="126"/>
      <c r="K644" s="126"/>
      <c r="L644" s="246"/>
      <c r="M644" s="235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</row>
    <row r="645" spans="1:31" ht="13.2">
      <c r="A645" s="126"/>
      <c r="B645" s="126"/>
      <c r="C645" s="126"/>
      <c r="D645" s="126"/>
      <c r="E645" s="126"/>
      <c r="F645" s="271"/>
      <c r="G645" s="272"/>
      <c r="H645" s="126"/>
      <c r="I645" s="126"/>
      <c r="J645" s="126"/>
      <c r="K645" s="126"/>
      <c r="L645" s="246"/>
      <c r="M645" s="235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</row>
    <row r="646" spans="1:31" ht="13.2">
      <c r="A646" s="126"/>
      <c r="B646" s="126"/>
      <c r="C646" s="126"/>
      <c r="D646" s="126"/>
      <c r="E646" s="126"/>
      <c r="F646" s="271"/>
      <c r="G646" s="272"/>
      <c r="H646" s="126"/>
      <c r="I646" s="126"/>
      <c r="J646" s="126"/>
      <c r="K646" s="126"/>
      <c r="L646" s="246"/>
      <c r="M646" s="235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</row>
    <row r="647" spans="1:31" ht="13.2">
      <c r="A647" s="126"/>
      <c r="B647" s="126"/>
      <c r="C647" s="126"/>
      <c r="D647" s="126"/>
      <c r="E647" s="126"/>
      <c r="F647" s="271"/>
      <c r="G647" s="272"/>
      <c r="H647" s="126"/>
      <c r="I647" s="126"/>
      <c r="J647" s="126"/>
      <c r="K647" s="126"/>
      <c r="L647" s="246"/>
      <c r="M647" s="235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</row>
    <row r="648" spans="1:31" ht="13.2">
      <c r="A648" s="126"/>
      <c r="B648" s="126"/>
      <c r="C648" s="126"/>
      <c r="D648" s="126"/>
      <c r="E648" s="126"/>
      <c r="F648" s="271"/>
      <c r="G648" s="272"/>
      <c r="H648" s="126"/>
      <c r="I648" s="126"/>
      <c r="J648" s="126"/>
      <c r="K648" s="126"/>
      <c r="L648" s="246"/>
      <c r="M648" s="235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</row>
    <row r="649" spans="1:31" ht="13.2">
      <c r="A649" s="126"/>
      <c r="B649" s="126"/>
      <c r="C649" s="126"/>
      <c r="D649" s="126"/>
      <c r="E649" s="126"/>
      <c r="F649" s="271"/>
      <c r="G649" s="272"/>
      <c r="H649" s="126"/>
      <c r="I649" s="126"/>
      <c r="J649" s="126"/>
      <c r="K649" s="126"/>
      <c r="L649" s="246"/>
      <c r="M649" s="235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</row>
    <row r="650" spans="1:31" ht="13.2">
      <c r="A650" s="126"/>
      <c r="B650" s="126"/>
      <c r="C650" s="126"/>
      <c r="D650" s="126"/>
      <c r="E650" s="126"/>
      <c r="F650" s="271"/>
      <c r="G650" s="272"/>
      <c r="H650" s="126"/>
      <c r="I650" s="126"/>
      <c r="J650" s="126"/>
      <c r="K650" s="126"/>
      <c r="L650" s="246"/>
      <c r="M650" s="235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</row>
    <row r="651" spans="1:31" ht="13.2">
      <c r="A651" s="126"/>
      <c r="B651" s="126"/>
      <c r="C651" s="126"/>
      <c r="D651" s="126"/>
      <c r="E651" s="126"/>
      <c r="F651" s="271"/>
      <c r="G651" s="272"/>
      <c r="H651" s="126"/>
      <c r="I651" s="126"/>
      <c r="J651" s="126"/>
      <c r="K651" s="126"/>
      <c r="L651" s="246"/>
      <c r="M651" s="235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</row>
    <row r="652" spans="1:31" ht="13.2">
      <c r="A652" s="126"/>
      <c r="B652" s="126"/>
      <c r="C652" s="126"/>
      <c r="D652" s="126"/>
      <c r="E652" s="126"/>
      <c r="F652" s="271"/>
      <c r="G652" s="272"/>
      <c r="H652" s="126"/>
      <c r="I652" s="126"/>
      <c r="J652" s="126"/>
      <c r="K652" s="126"/>
      <c r="L652" s="246"/>
      <c r="M652" s="235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</row>
    <row r="653" spans="1:31" ht="13.2">
      <c r="A653" s="126"/>
      <c r="B653" s="126"/>
      <c r="C653" s="126"/>
      <c r="D653" s="126"/>
      <c r="E653" s="126"/>
      <c r="F653" s="271"/>
      <c r="G653" s="272"/>
      <c r="H653" s="126"/>
      <c r="I653" s="126"/>
      <c r="J653" s="126"/>
      <c r="K653" s="126"/>
      <c r="L653" s="246"/>
      <c r="M653" s="235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</row>
    <row r="654" spans="1:31" ht="13.2">
      <c r="A654" s="126"/>
      <c r="B654" s="126"/>
      <c r="C654" s="126"/>
      <c r="D654" s="126"/>
      <c r="E654" s="126"/>
      <c r="F654" s="271"/>
      <c r="G654" s="272"/>
      <c r="H654" s="126"/>
      <c r="I654" s="126"/>
      <c r="J654" s="126"/>
      <c r="K654" s="126"/>
      <c r="L654" s="246"/>
      <c r="M654" s="235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</row>
    <row r="655" spans="1:31" ht="13.2">
      <c r="A655" s="126"/>
      <c r="B655" s="126"/>
      <c r="C655" s="126"/>
      <c r="D655" s="126"/>
      <c r="E655" s="126"/>
      <c r="F655" s="271"/>
      <c r="G655" s="272"/>
      <c r="H655" s="126"/>
      <c r="I655" s="126"/>
      <c r="J655" s="126"/>
      <c r="K655" s="126"/>
      <c r="L655" s="246"/>
      <c r="M655" s="235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</row>
    <row r="656" spans="1:31" ht="13.2">
      <c r="A656" s="126"/>
      <c r="B656" s="126"/>
      <c r="C656" s="126"/>
      <c r="D656" s="126"/>
      <c r="E656" s="126"/>
      <c r="F656" s="271"/>
      <c r="G656" s="272"/>
      <c r="H656" s="126"/>
      <c r="I656" s="126"/>
      <c r="J656" s="126"/>
      <c r="K656" s="126"/>
      <c r="L656" s="246"/>
      <c r="M656" s="235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</row>
    <row r="657" spans="1:31" ht="13.2">
      <c r="A657" s="126"/>
      <c r="B657" s="126"/>
      <c r="C657" s="126"/>
      <c r="D657" s="126"/>
      <c r="E657" s="126"/>
      <c r="F657" s="271"/>
      <c r="G657" s="272"/>
      <c r="H657" s="126"/>
      <c r="I657" s="126"/>
      <c r="J657" s="126"/>
      <c r="K657" s="126"/>
      <c r="L657" s="246"/>
      <c r="M657" s="235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</row>
    <row r="658" spans="1:31" ht="13.2">
      <c r="A658" s="126"/>
      <c r="B658" s="126"/>
      <c r="C658" s="126"/>
      <c r="D658" s="126"/>
      <c r="E658" s="126"/>
      <c r="F658" s="271"/>
      <c r="G658" s="272"/>
      <c r="H658" s="126"/>
      <c r="I658" s="126"/>
      <c r="J658" s="126"/>
      <c r="K658" s="126"/>
      <c r="L658" s="246"/>
      <c r="M658" s="235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</row>
    <row r="659" spans="1:31" ht="13.2">
      <c r="A659" s="126"/>
      <c r="B659" s="126"/>
      <c r="C659" s="126"/>
      <c r="D659" s="126"/>
      <c r="E659" s="126"/>
      <c r="F659" s="271"/>
      <c r="G659" s="272"/>
      <c r="H659" s="126"/>
      <c r="I659" s="126"/>
      <c r="J659" s="126"/>
      <c r="K659" s="126"/>
      <c r="L659" s="246"/>
      <c r="M659" s="235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</row>
    <row r="660" spans="1:31" ht="13.2">
      <c r="A660" s="126"/>
      <c r="B660" s="126"/>
      <c r="C660" s="126"/>
      <c r="D660" s="126"/>
      <c r="E660" s="126"/>
      <c r="F660" s="271"/>
      <c r="G660" s="272"/>
      <c r="H660" s="126"/>
      <c r="I660" s="126"/>
      <c r="J660" s="126"/>
      <c r="K660" s="126"/>
      <c r="L660" s="246"/>
      <c r="M660" s="235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</row>
    <row r="661" spans="1:31" ht="13.2">
      <c r="A661" s="126"/>
      <c r="B661" s="126"/>
      <c r="C661" s="126"/>
      <c r="D661" s="126"/>
      <c r="E661" s="126"/>
      <c r="F661" s="271"/>
      <c r="G661" s="272"/>
      <c r="H661" s="126"/>
      <c r="I661" s="126"/>
      <c r="J661" s="126"/>
      <c r="K661" s="126"/>
      <c r="L661" s="246"/>
      <c r="M661" s="235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</row>
    <row r="662" spans="1:31" ht="13.2">
      <c r="A662" s="126"/>
      <c r="B662" s="126"/>
      <c r="C662" s="126"/>
      <c r="D662" s="126"/>
      <c r="E662" s="126"/>
      <c r="F662" s="271"/>
      <c r="G662" s="272"/>
      <c r="H662" s="126"/>
      <c r="I662" s="126"/>
      <c r="J662" s="126"/>
      <c r="K662" s="126"/>
      <c r="L662" s="246"/>
      <c r="M662" s="235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</row>
    <row r="663" spans="1:31" ht="13.2">
      <c r="A663" s="126"/>
      <c r="B663" s="126"/>
      <c r="C663" s="126"/>
      <c r="D663" s="126"/>
      <c r="E663" s="126"/>
      <c r="F663" s="271"/>
      <c r="G663" s="272"/>
      <c r="H663" s="126"/>
      <c r="I663" s="126"/>
      <c r="J663" s="126"/>
      <c r="K663" s="126"/>
      <c r="L663" s="246"/>
      <c r="M663" s="235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</row>
    <row r="664" spans="1:31" ht="13.2">
      <c r="A664" s="126"/>
      <c r="B664" s="126"/>
      <c r="C664" s="126"/>
      <c r="D664" s="126"/>
      <c r="E664" s="126"/>
      <c r="F664" s="271"/>
      <c r="G664" s="272"/>
      <c r="H664" s="126"/>
      <c r="I664" s="126"/>
      <c r="J664" s="126"/>
      <c r="K664" s="126"/>
      <c r="L664" s="246"/>
      <c r="M664" s="235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</row>
    <row r="665" spans="1:31" ht="13.2">
      <c r="A665" s="126"/>
      <c r="B665" s="126"/>
      <c r="C665" s="126"/>
      <c r="D665" s="126"/>
      <c r="E665" s="126"/>
      <c r="F665" s="271"/>
      <c r="G665" s="272"/>
      <c r="H665" s="126"/>
      <c r="I665" s="126"/>
      <c r="J665" s="126"/>
      <c r="K665" s="126"/>
      <c r="L665" s="246"/>
      <c r="M665" s="235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</row>
    <row r="666" spans="1:31" ht="13.2">
      <c r="A666" s="126"/>
      <c r="B666" s="126"/>
      <c r="C666" s="126"/>
      <c r="D666" s="126"/>
      <c r="E666" s="126"/>
      <c r="F666" s="271"/>
      <c r="G666" s="272"/>
      <c r="H666" s="126"/>
      <c r="I666" s="126"/>
      <c r="J666" s="126"/>
      <c r="K666" s="126"/>
      <c r="L666" s="246"/>
      <c r="M666" s="235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</row>
    <row r="667" spans="1:31" ht="13.2">
      <c r="A667" s="126"/>
      <c r="B667" s="126"/>
      <c r="C667" s="126"/>
      <c r="D667" s="126"/>
      <c r="E667" s="126"/>
      <c r="F667" s="271"/>
      <c r="G667" s="272"/>
      <c r="H667" s="126"/>
      <c r="I667" s="126"/>
      <c r="J667" s="126"/>
      <c r="K667" s="126"/>
      <c r="L667" s="246"/>
      <c r="M667" s="235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</row>
    <row r="668" spans="1:31" ht="13.2">
      <c r="A668" s="126"/>
      <c r="B668" s="126"/>
      <c r="C668" s="126"/>
      <c r="D668" s="126"/>
      <c r="E668" s="126"/>
      <c r="F668" s="271"/>
      <c r="G668" s="272"/>
      <c r="H668" s="126"/>
      <c r="I668" s="126"/>
      <c r="J668" s="126"/>
      <c r="K668" s="126"/>
      <c r="L668" s="246"/>
      <c r="M668" s="235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</row>
    <row r="669" spans="1:31" ht="13.2">
      <c r="A669" s="126"/>
      <c r="B669" s="126"/>
      <c r="C669" s="126"/>
      <c r="D669" s="126"/>
      <c r="E669" s="126"/>
      <c r="F669" s="271"/>
      <c r="G669" s="272"/>
      <c r="H669" s="126"/>
      <c r="I669" s="126"/>
      <c r="J669" s="126"/>
      <c r="K669" s="126"/>
      <c r="L669" s="246"/>
      <c r="M669" s="235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</row>
    <row r="670" spans="1:31" ht="13.2">
      <c r="A670" s="126"/>
      <c r="B670" s="126"/>
      <c r="C670" s="126"/>
      <c r="D670" s="126"/>
      <c r="E670" s="126"/>
      <c r="F670" s="271"/>
      <c r="G670" s="272"/>
      <c r="H670" s="126"/>
      <c r="I670" s="126"/>
      <c r="J670" s="126"/>
      <c r="K670" s="126"/>
      <c r="L670" s="246"/>
      <c r="M670" s="235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</row>
    <row r="671" spans="1:31" ht="13.2">
      <c r="A671" s="126"/>
      <c r="B671" s="126"/>
      <c r="C671" s="126"/>
      <c r="D671" s="126"/>
      <c r="E671" s="126"/>
      <c r="F671" s="271"/>
      <c r="G671" s="272"/>
      <c r="H671" s="126"/>
      <c r="I671" s="126"/>
      <c r="J671" s="126"/>
      <c r="K671" s="126"/>
      <c r="L671" s="246"/>
      <c r="M671" s="235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</row>
    <row r="672" spans="1:31" ht="13.2">
      <c r="A672" s="126"/>
      <c r="B672" s="126"/>
      <c r="C672" s="126"/>
      <c r="D672" s="126"/>
      <c r="E672" s="126"/>
      <c r="F672" s="271"/>
      <c r="G672" s="272"/>
      <c r="H672" s="126"/>
      <c r="I672" s="126"/>
      <c r="J672" s="126"/>
      <c r="K672" s="126"/>
      <c r="L672" s="246"/>
      <c r="M672" s="235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</row>
    <row r="673" spans="1:31" ht="13.2">
      <c r="A673" s="126"/>
      <c r="B673" s="126"/>
      <c r="C673" s="126"/>
      <c r="D673" s="126"/>
      <c r="E673" s="126"/>
      <c r="F673" s="271"/>
      <c r="G673" s="272"/>
      <c r="H673" s="126"/>
      <c r="I673" s="126"/>
      <c r="J673" s="126"/>
      <c r="K673" s="126"/>
      <c r="L673" s="246"/>
      <c r="M673" s="235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</row>
    <row r="674" spans="1:31" ht="13.2">
      <c r="A674" s="126"/>
      <c r="B674" s="126"/>
      <c r="C674" s="126"/>
      <c r="D674" s="126"/>
      <c r="E674" s="126"/>
      <c r="F674" s="271"/>
      <c r="G674" s="272"/>
      <c r="H674" s="126"/>
      <c r="I674" s="126"/>
      <c r="J674" s="126"/>
      <c r="K674" s="126"/>
      <c r="L674" s="246"/>
      <c r="M674" s="235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</row>
    <row r="675" spans="1:31" ht="13.2">
      <c r="A675" s="126"/>
      <c r="B675" s="126"/>
      <c r="C675" s="126"/>
      <c r="D675" s="126"/>
      <c r="E675" s="126"/>
      <c r="F675" s="271"/>
      <c r="G675" s="272"/>
      <c r="H675" s="126"/>
      <c r="I675" s="126"/>
      <c r="J675" s="126"/>
      <c r="K675" s="126"/>
      <c r="L675" s="246"/>
      <c r="M675" s="235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</row>
    <row r="676" spans="1:31" ht="13.2">
      <c r="A676" s="126"/>
      <c r="B676" s="126"/>
      <c r="C676" s="126"/>
      <c r="D676" s="126"/>
      <c r="E676" s="126"/>
      <c r="F676" s="271"/>
      <c r="G676" s="272"/>
      <c r="H676" s="126"/>
      <c r="I676" s="126"/>
      <c r="J676" s="126"/>
      <c r="K676" s="126"/>
      <c r="L676" s="246"/>
      <c r="M676" s="235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</row>
    <row r="677" spans="1:31" ht="13.2">
      <c r="A677" s="126"/>
      <c r="B677" s="126"/>
      <c r="C677" s="126"/>
      <c r="D677" s="126"/>
      <c r="E677" s="126"/>
      <c r="F677" s="271"/>
      <c r="G677" s="272"/>
      <c r="H677" s="126"/>
      <c r="I677" s="126"/>
      <c r="J677" s="126"/>
      <c r="K677" s="126"/>
      <c r="L677" s="246"/>
      <c r="M677" s="235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</row>
    <row r="678" spans="1:31" ht="13.2">
      <c r="A678" s="126"/>
      <c r="B678" s="126"/>
      <c r="C678" s="126"/>
      <c r="D678" s="126"/>
      <c r="E678" s="126"/>
      <c r="F678" s="271"/>
      <c r="G678" s="272"/>
      <c r="H678" s="126"/>
      <c r="I678" s="126"/>
      <c r="J678" s="126"/>
      <c r="K678" s="126"/>
      <c r="L678" s="246"/>
      <c r="M678" s="235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</row>
    <row r="679" spans="1:31" ht="13.2">
      <c r="A679" s="126"/>
      <c r="B679" s="126"/>
      <c r="C679" s="126"/>
      <c r="D679" s="126"/>
      <c r="E679" s="126"/>
      <c r="F679" s="271"/>
      <c r="G679" s="272"/>
      <c r="H679" s="126"/>
      <c r="I679" s="126"/>
      <c r="J679" s="126"/>
      <c r="K679" s="126"/>
      <c r="L679" s="246"/>
      <c r="M679" s="235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</row>
    <row r="680" spans="1:31" ht="13.2">
      <c r="A680" s="126"/>
      <c r="B680" s="126"/>
      <c r="C680" s="126"/>
      <c r="D680" s="126"/>
      <c r="E680" s="126"/>
      <c r="F680" s="271"/>
      <c r="G680" s="272"/>
      <c r="H680" s="126"/>
      <c r="I680" s="126"/>
      <c r="J680" s="126"/>
      <c r="K680" s="126"/>
      <c r="L680" s="246"/>
      <c r="M680" s="235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</row>
    <row r="681" spans="1:31" ht="13.2">
      <c r="A681" s="126"/>
      <c r="B681" s="126"/>
      <c r="C681" s="126"/>
      <c r="D681" s="126"/>
      <c r="E681" s="126"/>
      <c r="F681" s="271"/>
      <c r="G681" s="272"/>
      <c r="H681" s="126"/>
      <c r="I681" s="126"/>
      <c r="J681" s="126"/>
      <c r="K681" s="126"/>
      <c r="L681" s="246"/>
      <c r="M681" s="235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</row>
    <row r="682" spans="1:31" ht="13.2">
      <c r="A682" s="126"/>
      <c r="B682" s="126"/>
      <c r="C682" s="126"/>
      <c r="D682" s="126"/>
      <c r="E682" s="126"/>
      <c r="F682" s="271"/>
      <c r="G682" s="272"/>
      <c r="H682" s="126"/>
      <c r="I682" s="126"/>
      <c r="J682" s="126"/>
      <c r="K682" s="126"/>
      <c r="L682" s="246"/>
      <c r="M682" s="235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</row>
    <row r="683" spans="1:31" ht="13.2">
      <c r="A683" s="126"/>
      <c r="B683" s="126"/>
      <c r="C683" s="126"/>
      <c r="D683" s="126"/>
      <c r="E683" s="126"/>
      <c r="F683" s="271"/>
      <c r="G683" s="272"/>
      <c r="H683" s="126"/>
      <c r="I683" s="126"/>
      <c r="J683" s="126"/>
      <c r="K683" s="126"/>
      <c r="L683" s="246"/>
      <c r="M683" s="235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</row>
    <row r="684" spans="1:31" ht="13.2">
      <c r="A684" s="126"/>
      <c r="B684" s="126"/>
      <c r="C684" s="126"/>
      <c r="D684" s="126"/>
      <c r="E684" s="126"/>
      <c r="F684" s="271"/>
      <c r="G684" s="272"/>
      <c r="H684" s="126"/>
      <c r="I684" s="126"/>
      <c r="J684" s="126"/>
      <c r="K684" s="126"/>
      <c r="L684" s="246"/>
      <c r="M684" s="235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</row>
    <row r="685" spans="1:31" ht="13.2">
      <c r="A685" s="126"/>
      <c r="B685" s="126"/>
      <c r="C685" s="126"/>
      <c r="D685" s="126"/>
      <c r="E685" s="126"/>
      <c r="F685" s="271"/>
      <c r="G685" s="272"/>
      <c r="H685" s="126"/>
      <c r="I685" s="126"/>
      <c r="J685" s="126"/>
      <c r="K685" s="126"/>
      <c r="L685" s="246"/>
      <c r="M685" s="235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</row>
    <row r="686" spans="1:31" ht="13.2">
      <c r="A686" s="126"/>
      <c r="B686" s="126"/>
      <c r="C686" s="126"/>
      <c r="D686" s="126"/>
      <c r="E686" s="126"/>
      <c r="F686" s="271"/>
      <c r="G686" s="272"/>
      <c r="H686" s="126"/>
      <c r="I686" s="126"/>
      <c r="J686" s="126"/>
      <c r="K686" s="126"/>
      <c r="L686" s="246"/>
      <c r="M686" s="235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</row>
    <row r="687" spans="1:31" ht="13.2">
      <c r="A687" s="126"/>
      <c r="B687" s="126"/>
      <c r="C687" s="126"/>
      <c r="D687" s="126"/>
      <c r="E687" s="126"/>
      <c r="F687" s="271"/>
      <c r="G687" s="272"/>
      <c r="H687" s="126"/>
      <c r="I687" s="126"/>
      <c r="J687" s="126"/>
      <c r="K687" s="126"/>
      <c r="L687" s="246"/>
      <c r="M687" s="235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</row>
    <row r="688" spans="1:31" ht="13.2">
      <c r="A688" s="126"/>
      <c r="B688" s="126"/>
      <c r="C688" s="126"/>
      <c r="D688" s="126"/>
      <c r="E688" s="126"/>
      <c r="F688" s="271"/>
      <c r="G688" s="272"/>
      <c r="H688" s="126"/>
      <c r="I688" s="126"/>
      <c r="J688" s="126"/>
      <c r="K688" s="126"/>
      <c r="L688" s="246"/>
      <c r="M688" s="235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</row>
    <row r="689" spans="1:31" ht="13.2">
      <c r="A689" s="126"/>
      <c r="B689" s="126"/>
      <c r="C689" s="126"/>
      <c r="D689" s="126"/>
      <c r="E689" s="126"/>
      <c r="F689" s="271"/>
      <c r="G689" s="272"/>
      <c r="H689" s="126"/>
      <c r="I689" s="126"/>
      <c r="J689" s="126"/>
      <c r="K689" s="126"/>
      <c r="L689" s="246"/>
      <c r="M689" s="235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</row>
    <row r="690" spans="1:31" ht="13.2">
      <c r="A690" s="126"/>
      <c r="B690" s="126"/>
      <c r="C690" s="126"/>
      <c r="D690" s="126"/>
      <c r="E690" s="126"/>
      <c r="F690" s="271"/>
      <c r="G690" s="272"/>
      <c r="H690" s="126"/>
      <c r="I690" s="126"/>
      <c r="J690" s="126"/>
      <c r="K690" s="126"/>
      <c r="L690" s="246"/>
      <c r="M690" s="235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</row>
    <row r="691" spans="1:31" ht="13.2">
      <c r="A691" s="126"/>
      <c r="B691" s="126"/>
      <c r="C691" s="126"/>
      <c r="D691" s="126"/>
      <c r="E691" s="126"/>
      <c r="F691" s="271"/>
      <c r="G691" s="272"/>
      <c r="H691" s="126"/>
      <c r="I691" s="126"/>
      <c r="J691" s="126"/>
      <c r="K691" s="126"/>
      <c r="L691" s="246"/>
      <c r="M691" s="235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</row>
    <row r="692" spans="1:31" ht="13.2">
      <c r="A692" s="126"/>
      <c r="B692" s="126"/>
      <c r="C692" s="126"/>
      <c r="D692" s="126"/>
      <c r="E692" s="126"/>
      <c r="F692" s="271"/>
      <c r="G692" s="272"/>
      <c r="H692" s="126"/>
      <c r="I692" s="126"/>
      <c r="J692" s="126"/>
      <c r="K692" s="126"/>
      <c r="L692" s="246"/>
      <c r="M692" s="235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</row>
    <row r="693" spans="1:31" ht="13.2">
      <c r="A693" s="126"/>
      <c r="B693" s="126"/>
      <c r="C693" s="126"/>
      <c r="D693" s="126"/>
      <c r="E693" s="126"/>
      <c r="F693" s="271"/>
      <c r="G693" s="272"/>
      <c r="H693" s="126"/>
      <c r="I693" s="126"/>
      <c r="J693" s="126"/>
      <c r="K693" s="126"/>
      <c r="L693" s="246"/>
      <c r="M693" s="235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</row>
    <row r="694" spans="1:31" ht="13.2">
      <c r="A694" s="126"/>
      <c r="B694" s="126"/>
      <c r="C694" s="126"/>
      <c r="D694" s="126"/>
      <c r="E694" s="126"/>
      <c r="F694" s="271"/>
      <c r="G694" s="272"/>
      <c r="H694" s="126"/>
      <c r="I694" s="126"/>
      <c r="J694" s="126"/>
      <c r="K694" s="126"/>
      <c r="L694" s="246"/>
      <c r="M694" s="235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</row>
    <row r="695" spans="1:31" ht="13.2">
      <c r="A695" s="126"/>
      <c r="B695" s="126"/>
      <c r="C695" s="126"/>
      <c r="D695" s="126"/>
      <c r="E695" s="126"/>
      <c r="F695" s="271"/>
      <c r="G695" s="272"/>
      <c r="H695" s="126"/>
      <c r="I695" s="126"/>
      <c r="J695" s="126"/>
      <c r="K695" s="126"/>
      <c r="L695" s="246"/>
      <c r="M695" s="235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</row>
    <row r="696" spans="1:31" ht="13.2">
      <c r="A696" s="126"/>
      <c r="B696" s="126"/>
      <c r="C696" s="126"/>
      <c r="D696" s="126"/>
      <c r="E696" s="126"/>
      <c r="F696" s="271"/>
      <c r="G696" s="272"/>
      <c r="H696" s="126"/>
      <c r="I696" s="126"/>
      <c r="J696" s="126"/>
      <c r="K696" s="126"/>
      <c r="L696" s="246"/>
      <c r="M696" s="235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</row>
    <row r="697" spans="1:31" ht="13.2">
      <c r="A697" s="126"/>
      <c r="B697" s="126"/>
      <c r="C697" s="126"/>
      <c r="D697" s="126"/>
      <c r="E697" s="126"/>
      <c r="F697" s="271"/>
      <c r="G697" s="272"/>
      <c r="H697" s="126"/>
      <c r="I697" s="126"/>
      <c r="J697" s="126"/>
      <c r="K697" s="126"/>
      <c r="L697" s="246"/>
      <c r="M697" s="235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</row>
    <row r="698" spans="1:31" ht="13.2">
      <c r="A698" s="126"/>
      <c r="B698" s="126"/>
      <c r="C698" s="126"/>
      <c r="D698" s="126"/>
      <c r="E698" s="126"/>
      <c r="F698" s="271"/>
      <c r="G698" s="272"/>
      <c r="H698" s="126"/>
      <c r="I698" s="126"/>
      <c r="J698" s="126"/>
      <c r="K698" s="126"/>
      <c r="L698" s="246"/>
      <c r="M698" s="235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</row>
    <row r="699" spans="1:31" ht="13.2">
      <c r="A699" s="126"/>
      <c r="B699" s="126"/>
      <c r="C699" s="126"/>
      <c r="D699" s="126"/>
      <c r="E699" s="126"/>
      <c r="F699" s="271"/>
      <c r="G699" s="272"/>
      <c r="H699" s="126"/>
      <c r="I699" s="126"/>
      <c r="J699" s="126"/>
      <c r="K699" s="126"/>
      <c r="L699" s="246"/>
      <c r="M699" s="235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</row>
    <row r="700" spans="1:31" ht="13.2">
      <c r="A700" s="126"/>
      <c r="B700" s="126"/>
      <c r="C700" s="126"/>
      <c r="D700" s="126"/>
      <c r="E700" s="126"/>
      <c r="F700" s="271"/>
      <c r="G700" s="272"/>
      <c r="H700" s="126"/>
      <c r="I700" s="126"/>
      <c r="J700" s="126"/>
      <c r="K700" s="126"/>
      <c r="L700" s="246"/>
      <c r="M700" s="235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</row>
    <row r="701" spans="1:31" ht="13.2">
      <c r="A701" s="126"/>
      <c r="B701" s="126"/>
      <c r="C701" s="126"/>
      <c r="D701" s="126"/>
      <c r="E701" s="126"/>
      <c r="F701" s="271"/>
      <c r="G701" s="272"/>
      <c r="H701" s="126"/>
      <c r="I701" s="126"/>
      <c r="J701" s="126"/>
      <c r="K701" s="126"/>
      <c r="L701" s="246"/>
      <c r="M701" s="235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</row>
    <row r="702" spans="1:31" ht="13.2">
      <c r="A702" s="126"/>
      <c r="B702" s="126"/>
      <c r="C702" s="126"/>
      <c r="D702" s="126"/>
      <c r="E702" s="126"/>
      <c r="F702" s="271"/>
      <c r="G702" s="272"/>
      <c r="H702" s="126"/>
      <c r="I702" s="126"/>
      <c r="J702" s="126"/>
      <c r="K702" s="126"/>
      <c r="L702" s="246"/>
      <c r="M702" s="235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</row>
    <row r="703" spans="1:31" ht="13.2">
      <c r="A703" s="126"/>
      <c r="B703" s="126"/>
      <c r="C703" s="126"/>
      <c r="D703" s="126"/>
      <c r="E703" s="126"/>
      <c r="F703" s="271"/>
      <c r="G703" s="272"/>
      <c r="H703" s="126"/>
      <c r="I703" s="126"/>
      <c r="J703" s="126"/>
      <c r="K703" s="126"/>
      <c r="L703" s="246"/>
      <c r="M703" s="235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</row>
    <row r="704" spans="1:31" ht="13.2">
      <c r="A704" s="126"/>
      <c r="B704" s="126"/>
      <c r="C704" s="126"/>
      <c r="D704" s="126"/>
      <c r="E704" s="126"/>
      <c r="F704" s="271"/>
      <c r="G704" s="272"/>
      <c r="H704" s="126"/>
      <c r="I704" s="126"/>
      <c r="J704" s="126"/>
      <c r="K704" s="126"/>
      <c r="L704" s="246"/>
      <c r="M704" s="235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</row>
    <row r="705" spans="1:31" ht="13.2">
      <c r="A705" s="126"/>
      <c r="B705" s="126"/>
      <c r="C705" s="126"/>
      <c r="D705" s="126"/>
      <c r="E705" s="126"/>
      <c r="F705" s="271"/>
      <c r="G705" s="272"/>
      <c r="H705" s="126"/>
      <c r="I705" s="126"/>
      <c r="J705" s="126"/>
      <c r="K705" s="126"/>
      <c r="L705" s="246"/>
      <c r="M705" s="235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</row>
    <row r="706" spans="1:31" ht="13.2">
      <c r="A706" s="126"/>
      <c r="B706" s="126"/>
      <c r="C706" s="126"/>
      <c r="D706" s="126"/>
      <c r="E706" s="126"/>
      <c r="F706" s="271"/>
      <c r="G706" s="272"/>
      <c r="H706" s="126"/>
      <c r="I706" s="126"/>
      <c r="J706" s="126"/>
      <c r="K706" s="126"/>
      <c r="L706" s="246"/>
      <c r="M706" s="235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</row>
    <row r="707" spans="1:31" ht="13.2">
      <c r="A707" s="126"/>
      <c r="B707" s="126"/>
      <c r="C707" s="126"/>
      <c r="D707" s="126"/>
      <c r="E707" s="126"/>
      <c r="F707" s="271"/>
      <c r="G707" s="272"/>
      <c r="H707" s="126"/>
      <c r="I707" s="126"/>
      <c r="J707" s="126"/>
      <c r="K707" s="126"/>
      <c r="L707" s="246"/>
      <c r="M707" s="235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</row>
    <row r="708" spans="1:31" ht="13.2">
      <c r="A708" s="126"/>
      <c r="B708" s="126"/>
      <c r="C708" s="126"/>
      <c r="D708" s="126"/>
      <c r="E708" s="126"/>
      <c r="F708" s="271"/>
      <c r="G708" s="272"/>
      <c r="H708" s="126"/>
      <c r="I708" s="126"/>
      <c r="J708" s="126"/>
      <c r="K708" s="126"/>
      <c r="L708" s="246"/>
      <c r="M708" s="235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</row>
    <row r="709" spans="1:31" ht="13.2">
      <c r="A709" s="126"/>
      <c r="B709" s="126"/>
      <c r="C709" s="126"/>
      <c r="D709" s="126"/>
      <c r="E709" s="126"/>
      <c r="F709" s="271"/>
      <c r="G709" s="272"/>
      <c r="H709" s="126"/>
      <c r="I709" s="126"/>
      <c r="J709" s="126"/>
      <c r="K709" s="126"/>
      <c r="L709" s="246"/>
      <c r="M709" s="235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</row>
    <row r="710" spans="1:31" ht="13.2">
      <c r="A710" s="126"/>
      <c r="B710" s="126"/>
      <c r="C710" s="126"/>
      <c r="D710" s="126"/>
      <c r="E710" s="126"/>
      <c r="F710" s="271"/>
      <c r="G710" s="272"/>
      <c r="H710" s="126"/>
      <c r="I710" s="126"/>
      <c r="J710" s="126"/>
      <c r="K710" s="126"/>
      <c r="L710" s="246"/>
      <c r="M710" s="235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</row>
    <row r="711" spans="1:31" ht="13.2">
      <c r="A711" s="126"/>
      <c r="B711" s="126"/>
      <c r="C711" s="126"/>
      <c r="D711" s="126"/>
      <c r="E711" s="126"/>
      <c r="F711" s="271"/>
      <c r="G711" s="272"/>
      <c r="H711" s="126"/>
      <c r="I711" s="126"/>
      <c r="J711" s="126"/>
      <c r="K711" s="126"/>
      <c r="L711" s="246"/>
      <c r="M711" s="235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</row>
    <row r="712" spans="1:31" ht="13.2">
      <c r="A712" s="126"/>
      <c r="B712" s="126"/>
      <c r="C712" s="126"/>
      <c r="D712" s="126"/>
      <c r="E712" s="126"/>
      <c r="F712" s="271"/>
      <c r="G712" s="272"/>
      <c r="H712" s="126"/>
      <c r="I712" s="126"/>
      <c r="J712" s="126"/>
      <c r="K712" s="126"/>
      <c r="L712" s="246"/>
      <c r="M712" s="235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</row>
    <row r="713" spans="1:31" ht="13.2">
      <c r="A713" s="126"/>
      <c r="B713" s="126"/>
      <c r="C713" s="126"/>
      <c r="D713" s="126"/>
      <c r="E713" s="126"/>
      <c r="F713" s="271"/>
      <c r="G713" s="272"/>
      <c r="H713" s="126"/>
      <c r="I713" s="126"/>
      <c r="J713" s="126"/>
      <c r="K713" s="126"/>
      <c r="L713" s="246"/>
      <c r="M713" s="235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</row>
    <row r="714" spans="1:31" ht="13.2">
      <c r="A714" s="126"/>
      <c r="B714" s="126"/>
      <c r="C714" s="126"/>
      <c r="D714" s="126"/>
      <c r="E714" s="126"/>
      <c r="F714" s="271"/>
      <c r="G714" s="272"/>
      <c r="H714" s="126"/>
      <c r="I714" s="126"/>
      <c r="J714" s="126"/>
      <c r="K714" s="126"/>
      <c r="L714" s="246"/>
      <c r="M714" s="235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</row>
    <row r="715" spans="1:31" ht="13.2">
      <c r="A715" s="126"/>
      <c r="B715" s="126"/>
      <c r="C715" s="126"/>
      <c r="D715" s="126"/>
      <c r="E715" s="126"/>
      <c r="F715" s="271"/>
      <c r="G715" s="272"/>
      <c r="H715" s="126"/>
      <c r="I715" s="126"/>
      <c r="J715" s="126"/>
      <c r="K715" s="126"/>
      <c r="L715" s="246"/>
      <c r="M715" s="235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</row>
    <row r="716" spans="1:31" ht="13.2">
      <c r="A716" s="126"/>
      <c r="B716" s="126"/>
      <c r="C716" s="126"/>
      <c r="D716" s="126"/>
      <c r="E716" s="126"/>
      <c r="F716" s="271"/>
      <c r="G716" s="272"/>
      <c r="H716" s="126"/>
      <c r="I716" s="126"/>
      <c r="J716" s="126"/>
      <c r="K716" s="126"/>
      <c r="L716" s="246"/>
      <c r="M716" s="235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</row>
    <row r="717" spans="1:31" ht="13.2">
      <c r="A717" s="126"/>
      <c r="B717" s="126"/>
      <c r="C717" s="126"/>
      <c r="D717" s="126"/>
      <c r="E717" s="126"/>
      <c r="F717" s="271"/>
      <c r="G717" s="272"/>
      <c r="H717" s="126"/>
      <c r="I717" s="126"/>
      <c r="J717" s="126"/>
      <c r="K717" s="126"/>
      <c r="L717" s="246"/>
      <c r="M717" s="235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</row>
    <row r="718" spans="1:31" ht="13.2">
      <c r="A718" s="126"/>
      <c r="B718" s="126"/>
      <c r="C718" s="126"/>
      <c r="D718" s="126"/>
      <c r="E718" s="126"/>
      <c r="F718" s="271"/>
      <c r="G718" s="272"/>
      <c r="H718" s="126"/>
      <c r="I718" s="126"/>
      <c r="J718" s="126"/>
      <c r="K718" s="126"/>
      <c r="L718" s="246"/>
      <c r="M718" s="235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</row>
    <row r="719" spans="1:31" ht="13.2">
      <c r="A719" s="126"/>
      <c r="B719" s="126"/>
      <c r="C719" s="126"/>
      <c r="D719" s="126"/>
      <c r="E719" s="126"/>
      <c r="F719" s="271"/>
      <c r="G719" s="272"/>
      <c r="H719" s="126"/>
      <c r="I719" s="126"/>
      <c r="J719" s="126"/>
      <c r="K719" s="126"/>
      <c r="L719" s="246"/>
      <c r="M719" s="235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</row>
    <row r="720" spans="1:31" ht="13.2">
      <c r="A720" s="126"/>
      <c r="B720" s="126"/>
      <c r="C720" s="126"/>
      <c r="D720" s="126"/>
      <c r="E720" s="126"/>
      <c r="F720" s="271"/>
      <c r="G720" s="272"/>
      <c r="H720" s="126"/>
      <c r="I720" s="126"/>
      <c r="J720" s="126"/>
      <c r="K720" s="126"/>
      <c r="L720" s="246"/>
      <c r="M720" s="235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</row>
    <row r="721" spans="1:31" ht="13.2">
      <c r="A721" s="126"/>
      <c r="B721" s="126"/>
      <c r="C721" s="126"/>
      <c r="D721" s="126"/>
      <c r="E721" s="126"/>
      <c r="F721" s="271"/>
      <c r="G721" s="272"/>
      <c r="H721" s="126"/>
      <c r="I721" s="126"/>
      <c r="J721" s="126"/>
      <c r="K721" s="126"/>
      <c r="L721" s="246"/>
      <c r="M721" s="235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</row>
    <row r="722" spans="1:31" ht="13.2">
      <c r="A722" s="126"/>
      <c r="B722" s="126"/>
      <c r="C722" s="126"/>
      <c r="D722" s="126"/>
      <c r="E722" s="126"/>
      <c r="F722" s="271"/>
      <c r="G722" s="272"/>
      <c r="H722" s="126"/>
      <c r="I722" s="126"/>
      <c r="J722" s="126"/>
      <c r="K722" s="126"/>
      <c r="L722" s="246"/>
      <c r="M722" s="235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</row>
    <row r="723" spans="1:31" ht="13.2">
      <c r="A723" s="126"/>
      <c r="B723" s="126"/>
      <c r="C723" s="126"/>
      <c r="D723" s="126"/>
      <c r="E723" s="126"/>
      <c r="F723" s="271"/>
      <c r="G723" s="272"/>
      <c r="H723" s="126"/>
      <c r="I723" s="126"/>
      <c r="J723" s="126"/>
      <c r="K723" s="126"/>
      <c r="L723" s="246"/>
      <c r="M723" s="235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</row>
    <row r="724" spans="1:31" ht="13.2">
      <c r="A724" s="126"/>
      <c r="B724" s="126"/>
      <c r="C724" s="126"/>
      <c r="D724" s="126"/>
      <c r="E724" s="126"/>
      <c r="F724" s="271"/>
      <c r="G724" s="272"/>
      <c r="H724" s="126"/>
      <c r="I724" s="126"/>
      <c r="J724" s="126"/>
      <c r="K724" s="126"/>
      <c r="L724" s="246"/>
      <c r="M724" s="235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</row>
    <row r="725" spans="1:31" ht="13.2">
      <c r="A725" s="126"/>
      <c r="B725" s="126"/>
      <c r="C725" s="126"/>
      <c r="D725" s="126"/>
      <c r="E725" s="126"/>
      <c r="F725" s="271"/>
      <c r="G725" s="272"/>
      <c r="H725" s="126"/>
      <c r="I725" s="126"/>
      <c r="J725" s="126"/>
      <c r="K725" s="126"/>
      <c r="L725" s="246"/>
      <c r="M725" s="235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</row>
    <row r="726" spans="1:31" ht="13.2">
      <c r="A726" s="126"/>
      <c r="B726" s="126"/>
      <c r="C726" s="126"/>
      <c r="D726" s="126"/>
      <c r="E726" s="126"/>
      <c r="F726" s="271"/>
      <c r="G726" s="272"/>
      <c r="H726" s="126"/>
      <c r="I726" s="126"/>
      <c r="J726" s="126"/>
      <c r="K726" s="126"/>
      <c r="L726" s="246"/>
      <c r="M726" s="235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</row>
    <row r="727" spans="1:31" ht="13.2">
      <c r="A727" s="126"/>
      <c r="B727" s="126"/>
      <c r="C727" s="126"/>
      <c r="D727" s="126"/>
      <c r="E727" s="126"/>
      <c r="F727" s="271"/>
      <c r="G727" s="272"/>
      <c r="H727" s="126"/>
      <c r="I727" s="126"/>
      <c r="J727" s="126"/>
      <c r="K727" s="126"/>
      <c r="L727" s="246"/>
      <c r="M727" s="235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</row>
    <row r="728" spans="1:31" ht="13.2">
      <c r="A728" s="126"/>
      <c r="B728" s="126"/>
      <c r="C728" s="126"/>
      <c r="D728" s="126"/>
      <c r="E728" s="126"/>
      <c r="F728" s="271"/>
      <c r="G728" s="272"/>
      <c r="H728" s="126"/>
      <c r="I728" s="126"/>
      <c r="J728" s="126"/>
      <c r="K728" s="126"/>
      <c r="L728" s="246"/>
      <c r="M728" s="235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</row>
    <row r="729" spans="1:31" ht="13.2">
      <c r="A729" s="126"/>
      <c r="B729" s="126"/>
      <c r="C729" s="126"/>
      <c r="D729" s="126"/>
      <c r="E729" s="126"/>
      <c r="F729" s="271"/>
      <c r="G729" s="272"/>
      <c r="H729" s="126"/>
      <c r="I729" s="126"/>
      <c r="J729" s="126"/>
      <c r="K729" s="126"/>
      <c r="L729" s="246"/>
      <c r="M729" s="235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</row>
    <row r="730" spans="1:31" ht="13.2">
      <c r="A730" s="126"/>
      <c r="B730" s="126"/>
      <c r="C730" s="126"/>
      <c r="D730" s="126"/>
      <c r="E730" s="126"/>
      <c r="F730" s="271"/>
      <c r="G730" s="272"/>
      <c r="H730" s="126"/>
      <c r="I730" s="126"/>
      <c r="J730" s="126"/>
      <c r="K730" s="126"/>
      <c r="L730" s="246"/>
      <c r="M730" s="235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</row>
    <row r="731" spans="1:31" ht="13.2">
      <c r="A731" s="126"/>
      <c r="B731" s="126"/>
      <c r="C731" s="126"/>
      <c r="D731" s="126"/>
      <c r="E731" s="126"/>
      <c r="F731" s="271"/>
      <c r="G731" s="272"/>
      <c r="H731" s="126"/>
      <c r="I731" s="126"/>
      <c r="J731" s="126"/>
      <c r="K731" s="126"/>
      <c r="L731" s="246"/>
      <c r="M731" s="235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</row>
    <row r="732" spans="1:31" ht="13.2">
      <c r="A732" s="126"/>
      <c r="B732" s="126"/>
      <c r="C732" s="126"/>
      <c r="D732" s="126"/>
      <c r="E732" s="126"/>
      <c r="F732" s="271"/>
      <c r="G732" s="272"/>
      <c r="H732" s="126"/>
      <c r="I732" s="126"/>
      <c r="J732" s="126"/>
      <c r="K732" s="126"/>
      <c r="L732" s="246"/>
      <c r="M732" s="235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</row>
    <row r="733" spans="1:31" ht="13.2">
      <c r="A733" s="126"/>
      <c r="B733" s="126"/>
      <c r="C733" s="126"/>
      <c r="D733" s="126"/>
      <c r="E733" s="126"/>
      <c r="F733" s="271"/>
      <c r="G733" s="272"/>
      <c r="H733" s="126"/>
      <c r="I733" s="126"/>
      <c r="J733" s="126"/>
      <c r="K733" s="126"/>
      <c r="L733" s="246"/>
      <c r="M733" s="235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</row>
    <row r="734" spans="1:31" ht="13.2">
      <c r="A734" s="126"/>
      <c r="B734" s="126"/>
      <c r="C734" s="126"/>
      <c r="D734" s="126"/>
      <c r="E734" s="126"/>
      <c r="F734" s="271"/>
      <c r="G734" s="272"/>
      <c r="H734" s="126"/>
      <c r="I734" s="126"/>
      <c r="J734" s="126"/>
      <c r="K734" s="126"/>
      <c r="L734" s="246"/>
      <c r="M734" s="235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</row>
    <row r="735" spans="1:31" ht="13.2">
      <c r="A735" s="126"/>
      <c r="B735" s="126"/>
      <c r="C735" s="126"/>
      <c r="D735" s="126"/>
      <c r="E735" s="126"/>
      <c r="F735" s="271"/>
      <c r="G735" s="272"/>
      <c r="H735" s="126"/>
      <c r="I735" s="126"/>
      <c r="J735" s="126"/>
      <c r="K735" s="126"/>
      <c r="L735" s="246"/>
      <c r="M735" s="235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</row>
    <row r="736" spans="1:31" ht="13.2">
      <c r="A736" s="126"/>
      <c r="B736" s="126"/>
      <c r="C736" s="126"/>
      <c r="D736" s="126"/>
      <c r="E736" s="126"/>
      <c r="F736" s="271"/>
      <c r="G736" s="272"/>
      <c r="H736" s="126"/>
      <c r="I736" s="126"/>
      <c r="J736" s="126"/>
      <c r="K736" s="126"/>
      <c r="L736" s="246"/>
      <c r="M736" s="235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</row>
    <row r="737" spans="1:31" ht="13.2">
      <c r="A737" s="126"/>
      <c r="B737" s="126"/>
      <c r="C737" s="126"/>
      <c r="D737" s="126"/>
      <c r="E737" s="126"/>
      <c r="F737" s="271"/>
      <c r="G737" s="272"/>
      <c r="H737" s="126"/>
      <c r="I737" s="126"/>
      <c r="J737" s="126"/>
      <c r="K737" s="126"/>
      <c r="L737" s="246"/>
      <c r="M737" s="235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</row>
    <row r="738" spans="1:31" ht="13.2">
      <c r="A738" s="126"/>
      <c r="B738" s="126"/>
      <c r="C738" s="126"/>
      <c r="D738" s="126"/>
      <c r="E738" s="126"/>
      <c r="F738" s="271"/>
      <c r="G738" s="272"/>
      <c r="H738" s="126"/>
      <c r="I738" s="126"/>
      <c r="J738" s="126"/>
      <c r="K738" s="126"/>
      <c r="L738" s="246"/>
      <c r="M738" s="235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</row>
    <row r="739" spans="1:31" ht="13.2">
      <c r="A739" s="126"/>
      <c r="B739" s="126"/>
      <c r="C739" s="126"/>
      <c r="D739" s="126"/>
      <c r="E739" s="126"/>
      <c r="F739" s="271"/>
      <c r="G739" s="272"/>
      <c r="H739" s="126"/>
      <c r="I739" s="126"/>
      <c r="J739" s="126"/>
      <c r="K739" s="126"/>
      <c r="L739" s="246"/>
      <c r="M739" s="235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</row>
    <row r="740" spans="1:31" ht="13.2">
      <c r="A740" s="126"/>
      <c r="B740" s="126"/>
      <c r="C740" s="126"/>
      <c r="D740" s="126"/>
      <c r="E740" s="126"/>
      <c r="F740" s="271"/>
      <c r="G740" s="272"/>
      <c r="H740" s="126"/>
      <c r="I740" s="126"/>
      <c r="J740" s="126"/>
      <c r="K740" s="126"/>
      <c r="L740" s="246"/>
      <c r="M740" s="235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</row>
    <row r="741" spans="1:31" ht="13.2">
      <c r="A741" s="126"/>
      <c r="B741" s="126"/>
      <c r="C741" s="126"/>
      <c r="D741" s="126"/>
      <c r="E741" s="126"/>
      <c r="F741" s="271"/>
      <c r="G741" s="272"/>
      <c r="H741" s="126"/>
      <c r="I741" s="126"/>
      <c r="J741" s="126"/>
      <c r="K741" s="126"/>
      <c r="L741" s="246"/>
      <c r="M741" s="235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</row>
    <row r="742" spans="1:31" ht="13.2">
      <c r="A742" s="126"/>
      <c r="B742" s="126"/>
      <c r="C742" s="126"/>
      <c r="D742" s="126"/>
      <c r="E742" s="126"/>
      <c r="F742" s="271"/>
      <c r="G742" s="272"/>
      <c r="H742" s="126"/>
      <c r="I742" s="126"/>
      <c r="J742" s="126"/>
      <c r="K742" s="126"/>
      <c r="L742" s="246"/>
      <c r="M742" s="235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</row>
    <row r="743" spans="1:31" ht="13.2">
      <c r="A743" s="126"/>
      <c r="B743" s="126"/>
      <c r="C743" s="126"/>
      <c r="D743" s="126"/>
      <c r="E743" s="126"/>
      <c r="F743" s="271"/>
      <c r="G743" s="272"/>
      <c r="H743" s="126"/>
      <c r="I743" s="126"/>
      <c r="J743" s="126"/>
      <c r="K743" s="126"/>
      <c r="L743" s="246"/>
      <c r="M743" s="235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</row>
    <row r="744" spans="1:31" ht="13.2">
      <c r="A744" s="126"/>
      <c r="B744" s="126"/>
      <c r="C744" s="126"/>
      <c r="D744" s="126"/>
      <c r="E744" s="126"/>
      <c r="F744" s="271"/>
      <c r="G744" s="272"/>
      <c r="H744" s="126"/>
      <c r="I744" s="126"/>
      <c r="J744" s="126"/>
      <c r="K744" s="126"/>
      <c r="L744" s="246"/>
      <c r="M744" s="235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</row>
    <row r="745" spans="1:31" ht="13.2">
      <c r="A745" s="126"/>
      <c r="B745" s="126"/>
      <c r="C745" s="126"/>
      <c r="D745" s="126"/>
      <c r="E745" s="126"/>
      <c r="F745" s="271"/>
      <c r="G745" s="272"/>
      <c r="H745" s="126"/>
      <c r="I745" s="126"/>
      <c r="J745" s="126"/>
      <c r="K745" s="126"/>
      <c r="L745" s="246"/>
      <c r="M745" s="235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</row>
    <row r="746" spans="1:31" ht="13.2">
      <c r="A746" s="126"/>
      <c r="B746" s="126"/>
      <c r="C746" s="126"/>
      <c r="D746" s="126"/>
      <c r="E746" s="126"/>
      <c r="F746" s="271"/>
      <c r="G746" s="272"/>
      <c r="H746" s="126"/>
      <c r="I746" s="126"/>
      <c r="J746" s="126"/>
      <c r="K746" s="126"/>
      <c r="L746" s="246"/>
      <c r="M746" s="235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</row>
    <row r="747" spans="1:31" ht="13.2">
      <c r="A747" s="126"/>
      <c r="B747" s="126"/>
      <c r="C747" s="126"/>
      <c r="D747" s="126"/>
      <c r="E747" s="126"/>
      <c r="F747" s="271"/>
      <c r="G747" s="272"/>
      <c r="H747" s="126"/>
      <c r="I747" s="126"/>
      <c r="J747" s="126"/>
      <c r="K747" s="126"/>
      <c r="L747" s="246"/>
      <c r="M747" s="235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</row>
    <row r="748" spans="1:31" ht="13.2">
      <c r="A748" s="126"/>
      <c r="B748" s="126"/>
      <c r="C748" s="126"/>
      <c r="D748" s="126"/>
      <c r="E748" s="126"/>
      <c r="F748" s="271"/>
      <c r="G748" s="272"/>
      <c r="H748" s="126"/>
      <c r="I748" s="126"/>
      <c r="J748" s="126"/>
      <c r="K748" s="126"/>
      <c r="L748" s="246"/>
      <c r="M748" s="235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</row>
    <row r="749" spans="1:31" ht="13.2">
      <c r="A749" s="126"/>
      <c r="B749" s="126"/>
      <c r="C749" s="126"/>
      <c r="D749" s="126"/>
      <c r="E749" s="126"/>
      <c r="F749" s="271"/>
      <c r="G749" s="272"/>
      <c r="H749" s="126"/>
      <c r="I749" s="126"/>
      <c r="J749" s="126"/>
      <c r="K749" s="126"/>
      <c r="L749" s="246"/>
      <c r="M749" s="235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</row>
    <row r="750" spans="1:31" ht="13.2">
      <c r="A750" s="126"/>
      <c r="B750" s="126"/>
      <c r="C750" s="126"/>
      <c r="D750" s="126"/>
      <c r="E750" s="126"/>
      <c r="F750" s="271"/>
      <c r="G750" s="272"/>
      <c r="H750" s="126"/>
      <c r="I750" s="126"/>
      <c r="J750" s="126"/>
      <c r="K750" s="126"/>
      <c r="L750" s="246"/>
      <c r="M750" s="235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</row>
    <row r="751" spans="1:31" ht="13.2">
      <c r="A751" s="126"/>
      <c r="B751" s="126"/>
      <c r="C751" s="126"/>
      <c r="D751" s="126"/>
      <c r="E751" s="126"/>
      <c r="F751" s="271"/>
      <c r="G751" s="272"/>
      <c r="H751" s="126"/>
      <c r="I751" s="126"/>
      <c r="J751" s="126"/>
      <c r="K751" s="126"/>
      <c r="L751" s="246"/>
      <c r="M751" s="235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</row>
    <row r="752" spans="1:31" ht="13.2">
      <c r="A752" s="126"/>
      <c r="B752" s="126"/>
      <c r="C752" s="126"/>
      <c r="D752" s="126"/>
      <c r="E752" s="126"/>
      <c r="F752" s="271"/>
      <c r="G752" s="272"/>
      <c r="H752" s="126"/>
      <c r="I752" s="126"/>
      <c r="J752" s="126"/>
      <c r="K752" s="126"/>
      <c r="L752" s="246"/>
      <c r="M752" s="235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</row>
    <row r="753" spans="1:31" ht="13.2">
      <c r="A753" s="126"/>
      <c r="B753" s="126"/>
      <c r="C753" s="126"/>
      <c r="D753" s="126"/>
      <c r="E753" s="126"/>
      <c r="F753" s="271"/>
      <c r="G753" s="272"/>
      <c r="H753" s="126"/>
      <c r="I753" s="126"/>
      <c r="J753" s="126"/>
      <c r="K753" s="126"/>
      <c r="L753" s="246"/>
      <c r="M753" s="235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</row>
    <row r="754" spans="1:31" ht="13.2">
      <c r="A754" s="126"/>
      <c r="B754" s="126"/>
      <c r="C754" s="126"/>
      <c r="D754" s="126"/>
      <c r="E754" s="126"/>
      <c r="F754" s="271"/>
      <c r="G754" s="272"/>
      <c r="H754" s="126"/>
      <c r="I754" s="126"/>
      <c r="J754" s="126"/>
      <c r="K754" s="126"/>
      <c r="L754" s="246"/>
      <c r="M754" s="235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</row>
    <row r="755" spans="1:31" ht="13.2">
      <c r="A755" s="126"/>
      <c r="B755" s="126"/>
      <c r="C755" s="126"/>
      <c r="D755" s="126"/>
      <c r="E755" s="126"/>
      <c r="F755" s="271"/>
      <c r="G755" s="272"/>
      <c r="H755" s="126"/>
      <c r="I755" s="126"/>
      <c r="J755" s="126"/>
      <c r="K755" s="126"/>
      <c r="L755" s="246"/>
      <c r="M755" s="235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</row>
    <row r="756" spans="1:31" ht="13.2">
      <c r="A756" s="126"/>
      <c r="B756" s="126"/>
      <c r="C756" s="126"/>
      <c r="D756" s="126"/>
      <c r="E756" s="126"/>
      <c r="F756" s="271"/>
      <c r="G756" s="272"/>
      <c r="H756" s="126"/>
      <c r="I756" s="126"/>
      <c r="J756" s="126"/>
      <c r="K756" s="126"/>
      <c r="L756" s="246"/>
      <c r="M756" s="235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</row>
    <row r="757" spans="1:31" ht="13.2">
      <c r="A757" s="126"/>
      <c r="B757" s="126"/>
      <c r="C757" s="126"/>
      <c r="D757" s="126"/>
      <c r="E757" s="126"/>
      <c r="F757" s="271"/>
      <c r="G757" s="272"/>
      <c r="H757" s="126"/>
      <c r="I757" s="126"/>
      <c r="J757" s="126"/>
      <c r="K757" s="126"/>
      <c r="L757" s="246"/>
      <c r="M757" s="235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</row>
    <row r="758" spans="1:31" ht="13.2">
      <c r="A758" s="126"/>
      <c r="B758" s="126"/>
      <c r="C758" s="126"/>
      <c r="D758" s="126"/>
      <c r="E758" s="126"/>
      <c r="F758" s="271"/>
      <c r="G758" s="272"/>
      <c r="H758" s="126"/>
      <c r="I758" s="126"/>
      <c r="J758" s="126"/>
      <c r="K758" s="126"/>
      <c r="L758" s="246"/>
      <c r="M758" s="235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</row>
    <row r="759" spans="1:31" ht="13.2">
      <c r="A759" s="126"/>
      <c r="B759" s="126"/>
      <c r="C759" s="126"/>
      <c r="D759" s="126"/>
      <c r="E759" s="126"/>
      <c r="F759" s="271"/>
      <c r="G759" s="272"/>
      <c r="H759" s="126"/>
      <c r="I759" s="126"/>
      <c r="J759" s="126"/>
      <c r="K759" s="126"/>
      <c r="L759" s="246"/>
      <c r="M759" s="235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</row>
    <row r="760" spans="1:31" ht="13.2">
      <c r="A760" s="126"/>
      <c r="B760" s="126"/>
      <c r="C760" s="126"/>
      <c r="D760" s="126"/>
      <c r="E760" s="126"/>
      <c r="F760" s="271"/>
      <c r="G760" s="272"/>
      <c r="H760" s="126"/>
      <c r="I760" s="126"/>
      <c r="J760" s="126"/>
      <c r="K760" s="126"/>
      <c r="L760" s="246"/>
      <c r="M760" s="235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</row>
    <row r="761" spans="1:31" ht="13.2">
      <c r="A761" s="126"/>
      <c r="B761" s="126"/>
      <c r="C761" s="126"/>
      <c r="D761" s="126"/>
      <c r="E761" s="126"/>
      <c r="F761" s="271"/>
      <c r="G761" s="272"/>
      <c r="H761" s="126"/>
      <c r="I761" s="126"/>
      <c r="J761" s="126"/>
      <c r="K761" s="126"/>
      <c r="L761" s="246"/>
      <c r="M761" s="235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</row>
    <row r="762" spans="1:31" ht="13.2">
      <c r="A762" s="126"/>
      <c r="B762" s="126"/>
      <c r="C762" s="126"/>
      <c r="D762" s="126"/>
      <c r="E762" s="126"/>
      <c r="F762" s="271"/>
      <c r="G762" s="272"/>
      <c r="H762" s="126"/>
      <c r="I762" s="126"/>
      <c r="J762" s="126"/>
      <c r="K762" s="126"/>
      <c r="L762" s="246"/>
      <c r="M762" s="235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</row>
    <row r="763" spans="1:31" ht="13.2">
      <c r="A763" s="126"/>
      <c r="B763" s="126"/>
      <c r="C763" s="126"/>
      <c r="D763" s="126"/>
      <c r="E763" s="126"/>
      <c r="F763" s="271"/>
      <c r="G763" s="272"/>
      <c r="H763" s="126"/>
      <c r="I763" s="126"/>
      <c r="J763" s="126"/>
      <c r="K763" s="126"/>
      <c r="L763" s="246"/>
      <c r="M763" s="235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</row>
    <row r="764" spans="1:31" ht="13.2">
      <c r="A764" s="126"/>
      <c r="B764" s="126"/>
      <c r="C764" s="126"/>
      <c r="D764" s="126"/>
      <c r="E764" s="126"/>
      <c r="F764" s="271"/>
      <c r="G764" s="272"/>
      <c r="H764" s="126"/>
      <c r="I764" s="126"/>
      <c r="J764" s="126"/>
      <c r="K764" s="126"/>
      <c r="L764" s="246"/>
      <c r="M764" s="235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</row>
    <row r="765" spans="1:31" ht="13.2">
      <c r="A765" s="126"/>
      <c r="B765" s="126"/>
      <c r="C765" s="126"/>
      <c r="D765" s="126"/>
      <c r="E765" s="126"/>
      <c r="F765" s="271"/>
      <c r="G765" s="272"/>
      <c r="H765" s="126"/>
      <c r="I765" s="126"/>
      <c r="J765" s="126"/>
      <c r="K765" s="126"/>
      <c r="L765" s="246"/>
      <c r="M765" s="235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</row>
    <row r="766" spans="1:31" ht="13.2">
      <c r="A766" s="126"/>
      <c r="B766" s="126"/>
      <c r="C766" s="126"/>
      <c r="D766" s="126"/>
      <c r="E766" s="126"/>
      <c r="F766" s="271"/>
      <c r="G766" s="272"/>
      <c r="H766" s="126"/>
      <c r="I766" s="126"/>
      <c r="J766" s="126"/>
      <c r="K766" s="126"/>
      <c r="L766" s="246"/>
      <c r="M766" s="235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</row>
    <row r="767" spans="1:31" ht="13.2">
      <c r="A767" s="126"/>
      <c r="B767" s="126"/>
      <c r="C767" s="126"/>
      <c r="D767" s="126"/>
      <c r="E767" s="126"/>
      <c r="F767" s="271"/>
      <c r="G767" s="272"/>
      <c r="H767" s="126"/>
      <c r="I767" s="126"/>
      <c r="J767" s="126"/>
      <c r="K767" s="126"/>
      <c r="L767" s="246"/>
      <c r="M767" s="235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</row>
    <row r="768" spans="1:31" ht="13.2">
      <c r="A768" s="126"/>
      <c r="B768" s="126"/>
      <c r="C768" s="126"/>
      <c r="D768" s="126"/>
      <c r="E768" s="126"/>
      <c r="F768" s="271"/>
      <c r="G768" s="272"/>
      <c r="H768" s="126"/>
      <c r="I768" s="126"/>
      <c r="J768" s="126"/>
      <c r="K768" s="126"/>
      <c r="L768" s="246"/>
      <c r="M768" s="235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</row>
    <row r="769" spans="1:31" ht="13.2">
      <c r="A769" s="126"/>
      <c r="B769" s="126"/>
      <c r="C769" s="126"/>
      <c r="D769" s="126"/>
      <c r="E769" s="126"/>
      <c r="F769" s="271"/>
      <c r="G769" s="272"/>
      <c r="H769" s="126"/>
      <c r="I769" s="126"/>
      <c r="J769" s="126"/>
      <c r="K769" s="126"/>
      <c r="L769" s="246"/>
      <c r="M769" s="235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</row>
    <row r="770" spans="1:31" ht="13.2">
      <c r="A770" s="126"/>
      <c r="B770" s="126"/>
      <c r="C770" s="126"/>
      <c r="D770" s="126"/>
      <c r="E770" s="126"/>
      <c r="F770" s="271"/>
      <c r="G770" s="272"/>
      <c r="H770" s="126"/>
      <c r="I770" s="126"/>
      <c r="J770" s="126"/>
      <c r="K770" s="126"/>
      <c r="L770" s="246"/>
      <c r="M770" s="235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</row>
    <row r="771" spans="1:31" ht="13.2">
      <c r="A771" s="126"/>
      <c r="B771" s="126"/>
      <c r="C771" s="126"/>
      <c r="D771" s="126"/>
      <c r="E771" s="126"/>
      <c r="F771" s="271"/>
      <c r="G771" s="272"/>
      <c r="H771" s="126"/>
      <c r="I771" s="126"/>
      <c r="J771" s="126"/>
      <c r="K771" s="126"/>
      <c r="L771" s="246"/>
      <c r="M771" s="235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</row>
    <row r="772" spans="1:31" ht="13.2">
      <c r="A772" s="126"/>
      <c r="B772" s="126"/>
      <c r="C772" s="126"/>
      <c r="D772" s="126"/>
      <c r="E772" s="126"/>
      <c r="F772" s="271"/>
      <c r="G772" s="272"/>
      <c r="H772" s="126"/>
      <c r="I772" s="126"/>
      <c r="J772" s="126"/>
      <c r="K772" s="126"/>
      <c r="L772" s="246"/>
      <c r="M772" s="235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</row>
    <row r="773" spans="1:31" ht="13.2">
      <c r="A773" s="126"/>
      <c r="B773" s="126"/>
      <c r="C773" s="126"/>
      <c r="D773" s="126"/>
      <c r="E773" s="126"/>
      <c r="F773" s="271"/>
      <c r="G773" s="272"/>
      <c r="H773" s="126"/>
      <c r="I773" s="126"/>
      <c r="J773" s="126"/>
      <c r="K773" s="126"/>
      <c r="L773" s="246"/>
      <c r="M773" s="235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</row>
    <row r="774" spans="1:31" ht="13.2">
      <c r="A774" s="126"/>
      <c r="B774" s="126"/>
      <c r="C774" s="126"/>
      <c r="D774" s="126"/>
      <c r="E774" s="126"/>
      <c r="F774" s="271"/>
      <c r="G774" s="272"/>
      <c r="H774" s="126"/>
      <c r="I774" s="126"/>
      <c r="J774" s="126"/>
      <c r="K774" s="126"/>
      <c r="L774" s="246"/>
      <c r="M774" s="235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</row>
    <row r="775" spans="1:31" ht="13.2">
      <c r="A775" s="126"/>
      <c r="B775" s="126"/>
      <c r="C775" s="126"/>
      <c r="D775" s="126"/>
      <c r="E775" s="126"/>
      <c r="F775" s="271"/>
      <c r="G775" s="272"/>
      <c r="H775" s="126"/>
      <c r="I775" s="126"/>
      <c r="J775" s="126"/>
      <c r="K775" s="126"/>
      <c r="L775" s="246"/>
      <c r="M775" s="235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</row>
    <row r="776" spans="1:31" ht="13.2">
      <c r="A776" s="126"/>
      <c r="B776" s="126"/>
      <c r="C776" s="126"/>
      <c r="D776" s="126"/>
      <c r="E776" s="126"/>
      <c r="F776" s="271"/>
      <c r="G776" s="272"/>
      <c r="H776" s="126"/>
      <c r="I776" s="126"/>
      <c r="J776" s="126"/>
      <c r="K776" s="126"/>
      <c r="L776" s="246"/>
      <c r="M776" s="235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</row>
    <row r="777" spans="1:31" ht="13.2">
      <c r="A777" s="126"/>
      <c r="B777" s="126"/>
      <c r="C777" s="126"/>
      <c r="D777" s="126"/>
      <c r="E777" s="126"/>
      <c r="F777" s="271"/>
      <c r="G777" s="272"/>
      <c r="H777" s="126"/>
      <c r="I777" s="126"/>
      <c r="J777" s="126"/>
      <c r="K777" s="126"/>
      <c r="L777" s="246"/>
      <c r="M777" s="235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</row>
    <row r="778" spans="1:31" ht="13.2">
      <c r="A778" s="126"/>
      <c r="B778" s="126"/>
      <c r="C778" s="126"/>
      <c r="D778" s="126"/>
      <c r="E778" s="126"/>
      <c r="F778" s="271"/>
      <c r="G778" s="272"/>
      <c r="H778" s="126"/>
      <c r="I778" s="126"/>
      <c r="J778" s="126"/>
      <c r="K778" s="126"/>
      <c r="L778" s="246"/>
      <c r="M778" s="235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</row>
    <row r="779" spans="1:31" ht="13.2">
      <c r="A779" s="126"/>
      <c r="B779" s="126"/>
      <c r="C779" s="126"/>
      <c r="D779" s="126"/>
      <c r="E779" s="126"/>
      <c r="F779" s="271"/>
      <c r="G779" s="272"/>
      <c r="H779" s="126"/>
      <c r="I779" s="126"/>
      <c r="J779" s="126"/>
      <c r="K779" s="126"/>
      <c r="L779" s="246"/>
      <c r="M779" s="235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</row>
    <row r="780" spans="1:31" ht="13.2">
      <c r="A780" s="126"/>
      <c r="B780" s="126"/>
      <c r="C780" s="126"/>
      <c r="D780" s="126"/>
      <c r="E780" s="126"/>
      <c r="F780" s="271"/>
      <c r="G780" s="272"/>
      <c r="H780" s="126"/>
      <c r="I780" s="126"/>
      <c r="J780" s="126"/>
      <c r="K780" s="126"/>
      <c r="L780" s="246"/>
      <c r="M780" s="235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</row>
    <row r="781" spans="1:31" ht="13.2">
      <c r="A781" s="126"/>
      <c r="B781" s="126"/>
      <c r="C781" s="126"/>
      <c r="D781" s="126"/>
      <c r="E781" s="126"/>
      <c r="F781" s="271"/>
      <c r="G781" s="272"/>
      <c r="H781" s="126"/>
      <c r="I781" s="126"/>
      <c r="J781" s="126"/>
      <c r="K781" s="126"/>
      <c r="L781" s="246"/>
      <c r="M781" s="235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</row>
    <row r="782" spans="1:31" ht="13.2">
      <c r="A782" s="126"/>
      <c r="B782" s="126"/>
      <c r="C782" s="126"/>
      <c r="D782" s="126"/>
      <c r="E782" s="126"/>
      <c r="F782" s="271"/>
      <c r="G782" s="272"/>
      <c r="H782" s="126"/>
      <c r="I782" s="126"/>
      <c r="J782" s="126"/>
      <c r="K782" s="126"/>
      <c r="L782" s="246"/>
      <c r="M782" s="235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</row>
    <row r="783" spans="1:31" ht="13.2">
      <c r="A783" s="126"/>
      <c r="B783" s="126"/>
      <c r="C783" s="126"/>
      <c r="D783" s="126"/>
      <c r="E783" s="126"/>
      <c r="F783" s="271"/>
      <c r="G783" s="272"/>
      <c r="H783" s="126"/>
      <c r="I783" s="126"/>
      <c r="J783" s="126"/>
      <c r="K783" s="126"/>
      <c r="L783" s="246"/>
      <c r="M783" s="235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</row>
    <row r="784" spans="1:31" ht="13.2">
      <c r="A784" s="126"/>
      <c r="B784" s="126"/>
      <c r="C784" s="126"/>
      <c r="D784" s="126"/>
      <c r="E784" s="126"/>
      <c r="F784" s="271"/>
      <c r="G784" s="272"/>
      <c r="H784" s="126"/>
      <c r="I784" s="126"/>
      <c r="J784" s="126"/>
      <c r="K784" s="126"/>
      <c r="L784" s="246"/>
      <c r="M784" s="235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</row>
    <row r="785" spans="1:31" ht="13.2">
      <c r="A785" s="126"/>
      <c r="B785" s="126"/>
      <c r="C785" s="126"/>
      <c r="D785" s="126"/>
      <c r="E785" s="126"/>
      <c r="F785" s="271"/>
      <c r="G785" s="272"/>
      <c r="H785" s="126"/>
      <c r="I785" s="126"/>
      <c r="J785" s="126"/>
      <c r="K785" s="126"/>
      <c r="L785" s="246"/>
      <c r="M785" s="235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</row>
    <row r="786" spans="1:31" ht="13.2">
      <c r="A786" s="126"/>
      <c r="B786" s="126"/>
      <c r="C786" s="126"/>
      <c r="D786" s="126"/>
      <c r="E786" s="126"/>
      <c r="F786" s="271"/>
      <c r="G786" s="272"/>
      <c r="H786" s="126"/>
      <c r="I786" s="126"/>
      <c r="J786" s="126"/>
      <c r="K786" s="126"/>
      <c r="L786" s="246"/>
      <c r="M786" s="235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</row>
    <row r="787" spans="1:31" ht="13.2">
      <c r="A787" s="126"/>
      <c r="B787" s="126"/>
      <c r="C787" s="126"/>
      <c r="D787" s="126"/>
      <c r="E787" s="126"/>
      <c r="F787" s="271"/>
      <c r="G787" s="272"/>
      <c r="H787" s="126"/>
      <c r="I787" s="126"/>
      <c r="J787" s="126"/>
      <c r="K787" s="126"/>
      <c r="L787" s="246"/>
      <c r="M787" s="235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</row>
    <row r="788" spans="1:31" ht="13.2">
      <c r="A788" s="126"/>
      <c r="B788" s="126"/>
      <c r="C788" s="126"/>
      <c r="D788" s="126"/>
      <c r="E788" s="126"/>
      <c r="F788" s="271"/>
      <c r="G788" s="272"/>
      <c r="H788" s="126"/>
      <c r="I788" s="126"/>
      <c r="J788" s="126"/>
      <c r="K788" s="126"/>
      <c r="L788" s="246"/>
      <c r="M788" s="235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</row>
    <row r="789" spans="1:31" ht="13.2">
      <c r="A789" s="126"/>
      <c r="B789" s="126"/>
      <c r="C789" s="126"/>
      <c r="D789" s="126"/>
      <c r="E789" s="126"/>
      <c r="F789" s="271"/>
      <c r="G789" s="272"/>
      <c r="H789" s="126"/>
      <c r="I789" s="126"/>
      <c r="J789" s="126"/>
      <c r="K789" s="126"/>
      <c r="L789" s="246"/>
      <c r="M789" s="235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</row>
    <row r="790" spans="1:31" ht="13.2">
      <c r="A790" s="126"/>
      <c r="B790" s="126"/>
      <c r="C790" s="126"/>
      <c r="D790" s="126"/>
      <c r="E790" s="126"/>
      <c r="F790" s="271"/>
      <c r="G790" s="272"/>
      <c r="H790" s="126"/>
      <c r="I790" s="126"/>
      <c r="J790" s="126"/>
      <c r="K790" s="126"/>
      <c r="L790" s="246"/>
      <c r="M790" s="235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</row>
    <row r="791" spans="1:31" ht="13.2">
      <c r="A791" s="126"/>
      <c r="B791" s="126"/>
      <c r="C791" s="126"/>
      <c r="D791" s="126"/>
      <c r="E791" s="126"/>
      <c r="F791" s="271"/>
      <c r="G791" s="272"/>
      <c r="H791" s="126"/>
      <c r="I791" s="126"/>
      <c r="J791" s="126"/>
      <c r="K791" s="126"/>
      <c r="L791" s="246"/>
      <c r="M791" s="235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</row>
    <row r="792" spans="1:31" ht="13.2">
      <c r="A792" s="126"/>
      <c r="B792" s="126"/>
      <c r="C792" s="126"/>
      <c r="D792" s="126"/>
      <c r="E792" s="126"/>
      <c r="F792" s="271"/>
      <c r="G792" s="272"/>
      <c r="H792" s="126"/>
      <c r="I792" s="126"/>
      <c r="J792" s="126"/>
      <c r="K792" s="126"/>
      <c r="L792" s="246"/>
      <c r="M792" s="235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</row>
    <row r="793" spans="1:31" ht="13.2">
      <c r="A793" s="126"/>
      <c r="B793" s="126"/>
      <c r="C793" s="126"/>
      <c r="D793" s="126"/>
      <c r="E793" s="126"/>
      <c r="F793" s="271"/>
      <c r="G793" s="272"/>
      <c r="H793" s="126"/>
      <c r="I793" s="126"/>
      <c r="J793" s="126"/>
      <c r="K793" s="126"/>
      <c r="L793" s="246"/>
      <c r="M793" s="235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</row>
    <row r="794" spans="1:31" ht="13.2">
      <c r="A794" s="126"/>
      <c r="B794" s="126"/>
      <c r="C794" s="126"/>
      <c r="D794" s="126"/>
      <c r="E794" s="126"/>
      <c r="F794" s="271"/>
      <c r="G794" s="272"/>
      <c r="H794" s="126"/>
      <c r="I794" s="126"/>
      <c r="J794" s="126"/>
      <c r="K794" s="126"/>
      <c r="L794" s="246"/>
      <c r="M794" s="235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</row>
    <row r="795" spans="1:31" ht="13.2">
      <c r="A795" s="126"/>
      <c r="B795" s="126"/>
      <c r="C795" s="126"/>
      <c r="D795" s="126"/>
      <c r="E795" s="126"/>
      <c r="F795" s="271"/>
      <c r="G795" s="272"/>
      <c r="H795" s="126"/>
      <c r="I795" s="126"/>
      <c r="J795" s="126"/>
      <c r="K795" s="126"/>
      <c r="L795" s="246"/>
      <c r="M795" s="235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</row>
    <row r="796" spans="1:31" ht="13.2">
      <c r="A796" s="126"/>
      <c r="B796" s="126"/>
      <c r="C796" s="126"/>
      <c r="D796" s="126"/>
      <c r="E796" s="126"/>
      <c r="F796" s="271"/>
      <c r="G796" s="272"/>
      <c r="H796" s="126"/>
      <c r="I796" s="126"/>
      <c r="J796" s="126"/>
      <c r="K796" s="126"/>
      <c r="L796" s="246"/>
      <c r="M796" s="235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</row>
    <row r="797" spans="1:31" ht="13.2">
      <c r="A797" s="126"/>
      <c r="B797" s="126"/>
      <c r="C797" s="126"/>
      <c r="D797" s="126"/>
      <c r="E797" s="126"/>
      <c r="F797" s="271"/>
      <c r="G797" s="272"/>
      <c r="H797" s="126"/>
      <c r="I797" s="126"/>
      <c r="J797" s="126"/>
      <c r="K797" s="126"/>
      <c r="L797" s="246"/>
      <c r="M797" s="235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</row>
    <row r="798" spans="1:31" ht="13.2">
      <c r="A798" s="126"/>
      <c r="B798" s="126"/>
      <c r="C798" s="126"/>
      <c r="D798" s="126"/>
      <c r="E798" s="126"/>
      <c r="F798" s="271"/>
      <c r="G798" s="272"/>
      <c r="H798" s="126"/>
      <c r="I798" s="126"/>
      <c r="J798" s="126"/>
      <c r="K798" s="126"/>
      <c r="L798" s="246"/>
      <c r="M798" s="235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</row>
    <row r="799" spans="1:31" ht="13.2">
      <c r="A799" s="126"/>
      <c r="B799" s="126"/>
      <c r="C799" s="126"/>
      <c r="D799" s="126"/>
      <c r="E799" s="126"/>
      <c r="F799" s="271"/>
      <c r="G799" s="272"/>
      <c r="H799" s="126"/>
      <c r="I799" s="126"/>
      <c r="J799" s="126"/>
      <c r="K799" s="126"/>
      <c r="L799" s="246"/>
      <c r="M799" s="235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</row>
    <row r="800" spans="1:31" ht="13.2">
      <c r="A800" s="126"/>
      <c r="B800" s="126"/>
      <c r="C800" s="126"/>
      <c r="D800" s="126"/>
      <c r="E800" s="126"/>
      <c r="F800" s="271"/>
      <c r="G800" s="272"/>
      <c r="H800" s="126"/>
      <c r="I800" s="126"/>
      <c r="J800" s="126"/>
      <c r="K800" s="126"/>
      <c r="L800" s="246"/>
      <c r="M800" s="235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</row>
    <row r="801" spans="1:31" ht="13.2">
      <c r="A801" s="126"/>
      <c r="B801" s="126"/>
      <c r="C801" s="126"/>
      <c r="D801" s="126"/>
      <c r="E801" s="126"/>
      <c r="F801" s="271"/>
      <c r="G801" s="272"/>
      <c r="H801" s="126"/>
      <c r="I801" s="126"/>
      <c r="J801" s="126"/>
      <c r="K801" s="126"/>
      <c r="L801" s="246"/>
      <c r="M801" s="235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</row>
    <row r="802" spans="1:31" ht="13.2">
      <c r="A802" s="126"/>
      <c r="B802" s="126"/>
      <c r="C802" s="126"/>
      <c r="D802" s="126"/>
      <c r="E802" s="126"/>
      <c r="F802" s="271"/>
      <c r="G802" s="272"/>
      <c r="H802" s="126"/>
      <c r="I802" s="126"/>
      <c r="J802" s="126"/>
      <c r="K802" s="126"/>
      <c r="L802" s="246"/>
      <c r="M802" s="235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</row>
    <row r="803" spans="1:31" ht="13.2">
      <c r="A803" s="126"/>
      <c r="B803" s="126"/>
      <c r="C803" s="126"/>
      <c r="D803" s="126"/>
      <c r="E803" s="126"/>
      <c r="F803" s="271"/>
      <c r="G803" s="272"/>
      <c r="H803" s="126"/>
      <c r="I803" s="126"/>
      <c r="J803" s="126"/>
      <c r="K803" s="126"/>
      <c r="L803" s="246"/>
      <c r="M803" s="235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</row>
    <row r="804" spans="1:31" ht="13.2">
      <c r="A804" s="126"/>
      <c r="B804" s="126"/>
      <c r="C804" s="126"/>
      <c r="D804" s="126"/>
      <c r="E804" s="126"/>
      <c r="F804" s="271"/>
      <c r="G804" s="272"/>
      <c r="H804" s="126"/>
      <c r="I804" s="126"/>
      <c r="J804" s="126"/>
      <c r="K804" s="126"/>
      <c r="L804" s="246"/>
      <c r="M804" s="235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</row>
    <row r="805" spans="1:31" ht="13.2">
      <c r="A805" s="126"/>
      <c r="B805" s="126"/>
      <c r="C805" s="126"/>
      <c r="D805" s="126"/>
      <c r="E805" s="126"/>
      <c r="F805" s="271"/>
      <c r="G805" s="272"/>
      <c r="H805" s="126"/>
      <c r="I805" s="126"/>
      <c r="J805" s="126"/>
      <c r="K805" s="126"/>
      <c r="L805" s="246"/>
      <c r="M805" s="235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</row>
    <row r="806" spans="1:31" ht="13.2">
      <c r="A806" s="126"/>
      <c r="B806" s="126"/>
      <c r="C806" s="126"/>
      <c r="D806" s="126"/>
      <c r="E806" s="126"/>
      <c r="F806" s="271"/>
      <c r="G806" s="272"/>
      <c r="H806" s="126"/>
      <c r="I806" s="126"/>
      <c r="J806" s="126"/>
      <c r="K806" s="126"/>
      <c r="L806" s="246"/>
      <c r="M806" s="235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</row>
    <row r="807" spans="1:31" ht="13.2">
      <c r="A807" s="126"/>
      <c r="B807" s="126"/>
      <c r="C807" s="126"/>
      <c r="D807" s="126"/>
      <c r="E807" s="126"/>
      <c r="F807" s="271"/>
      <c r="G807" s="272"/>
      <c r="H807" s="126"/>
      <c r="I807" s="126"/>
      <c r="J807" s="126"/>
      <c r="K807" s="126"/>
      <c r="L807" s="246"/>
      <c r="M807" s="235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</row>
    <row r="808" spans="1:31" ht="13.2">
      <c r="A808" s="126"/>
      <c r="B808" s="126"/>
      <c r="C808" s="126"/>
      <c r="D808" s="126"/>
      <c r="E808" s="126"/>
      <c r="F808" s="271"/>
      <c r="G808" s="272"/>
      <c r="H808" s="126"/>
      <c r="I808" s="126"/>
      <c r="J808" s="126"/>
      <c r="K808" s="126"/>
      <c r="L808" s="246"/>
      <c r="M808" s="235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</row>
    <row r="809" spans="1:31" ht="13.2">
      <c r="A809" s="126"/>
      <c r="B809" s="126"/>
      <c r="C809" s="126"/>
      <c r="D809" s="126"/>
      <c r="E809" s="126"/>
      <c r="F809" s="271"/>
      <c r="G809" s="272"/>
      <c r="H809" s="126"/>
      <c r="I809" s="126"/>
      <c r="J809" s="126"/>
      <c r="K809" s="126"/>
      <c r="L809" s="246"/>
      <c r="M809" s="235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</row>
    <row r="810" spans="1:31" ht="13.2">
      <c r="A810" s="126"/>
      <c r="B810" s="126"/>
      <c r="C810" s="126"/>
      <c r="D810" s="126"/>
      <c r="E810" s="126"/>
      <c r="F810" s="271"/>
      <c r="G810" s="272"/>
      <c r="H810" s="126"/>
      <c r="I810" s="126"/>
      <c r="J810" s="126"/>
      <c r="K810" s="126"/>
      <c r="L810" s="246"/>
      <c r="M810" s="235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</row>
    <row r="811" spans="1:31" ht="13.2">
      <c r="A811" s="126"/>
      <c r="B811" s="126"/>
      <c r="C811" s="126"/>
      <c r="D811" s="126"/>
      <c r="E811" s="126"/>
      <c r="F811" s="271"/>
      <c r="G811" s="272"/>
      <c r="H811" s="126"/>
      <c r="I811" s="126"/>
      <c r="J811" s="126"/>
      <c r="K811" s="126"/>
      <c r="L811" s="246"/>
      <c r="M811" s="235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</row>
    <row r="812" spans="1:31" ht="13.2">
      <c r="A812" s="126"/>
      <c r="B812" s="126"/>
      <c r="C812" s="126"/>
      <c r="D812" s="126"/>
      <c r="E812" s="126"/>
      <c r="F812" s="271"/>
      <c r="G812" s="272"/>
      <c r="H812" s="126"/>
      <c r="I812" s="126"/>
      <c r="J812" s="126"/>
      <c r="K812" s="126"/>
      <c r="L812" s="246"/>
      <c r="M812" s="235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</row>
    <row r="813" spans="1:31" ht="13.2">
      <c r="A813" s="126"/>
      <c r="B813" s="126"/>
      <c r="C813" s="126"/>
      <c r="D813" s="126"/>
      <c r="E813" s="126"/>
      <c r="F813" s="271"/>
      <c r="G813" s="272"/>
      <c r="H813" s="126"/>
      <c r="I813" s="126"/>
      <c r="J813" s="126"/>
      <c r="K813" s="126"/>
      <c r="L813" s="246"/>
      <c r="M813" s="235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</row>
    <row r="814" spans="1:31" ht="13.2">
      <c r="A814" s="126"/>
      <c r="B814" s="126"/>
      <c r="C814" s="126"/>
      <c r="D814" s="126"/>
      <c r="E814" s="126"/>
      <c r="F814" s="271"/>
      <c r="G814" s="272"/>
      <c r="H814" s="126"/>
      <c r="I814" s="126"/>
      <c r="J814" s="126"/>
      <c r="K814" s="126"/>
      <c r="L814" s="246"/>
      <c r="M814" s="235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</row>
    <row r="815" spans="1:31" ht="13.2">
      <c r="A815" s="126"/>
      <c r="B815" s="126"/>
      <c r="C815" s="126"/>
      <c r="D815" s="126"/>
      <c r="E815" s="126"/>
      <c r="F815" s="271"/>
      <c r="G815" s="272"/>
      <c r="H815" s="126"/>
      <c r="I815" s="126"/>
      <c r="J815" s="126"/>
      <c r="K815" s="126"/>
      <c r="L815" s="246"/>
      <c r="M815" s="235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</row>
    <row r="816" spans="1:31" ht="13.2">
      <c r="A816" s="126"/>
      <c r="B816" s="126"/>
      <c r="C816" s="126"/>
      <c r="D816" s="126"/>
      <c r="E816" s="126"/>
      <c r="F816" s="271"/>
      <c r="G816" s="272"/>
      <c r="H816" s="126"/>
      <c r="I816" s="126"/>
      <c r="J816" s="126"/>
      <c r="K816" s="126"/>
      <c r="L816" s="246"/>
      <c r="M816" s="235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</row>
    <row r="817" spans="1:31" ht="13.2">
      <c r="A817" s="126"/>
      <c r="B817" s="126"/>
      <c r="C817" s="126"/>
      <c r="D817" s="126"/>
      <c r="E817" s="126"/>
      <c r="F817" s="271"/>
      <c r="G817" s="272"/>
      <c r="H817" s="126"/>
      <c r="I817" s="126"/>
      <c r="J817" s="126"/>
      <c r="K817" s="126"/>
      <c r="L817" s="246"/>
      <c r="M817" s="235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</row>
    <row r="818" spans="1:31" ht="13.2">
      <c r="A818" s="126"/>
      <c r="B818" s="126"/>
      <c r="C818" s="126"/>
      <c r="D818" s="126"/>
      <c r="E818" s="126"/>
      <c r="F818" s="271"/>
      <c r="G818" s="272"/>
      <c r="H818" s="126"/>
      <c r="I818" s="126"/>
      <c r="J818" s="126"/>
      <c r="K818" s="126"/>
      <c r="L818" s="246"/>
      <c r="M818" s="235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</row>
    <row r="819" spans="1:31" ht="13.2">
      <c r="A819" s="126"/>
      <c r="B819" s="126"/>
      <c r="C819" s="126"/>
      <c r="D819" s="126"/>
      <c r="E819" s="126"/>
      <c r="F819" s="271"/>
      <c r="G819" s="272"/>
      <c r="H819" s="126"/>
      <c r="I819" s="126"/>
      <c r="J819" s="126"/>
      <c r="K819" s="126"/>
      <c r="L819" s="246"/>
      <c r="M819" s="235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</row>
    <row r="820" spans="1:31" ht="13.2">
      <c r="A820" s="126"/>
      <c r="B820" s="126"/>
      <c r="C820" s="126"/>
      <c r="D820" s="126"/>
      <c r="E820" s="126"/>
      <c r="F820" s="271"/>
      <c r="G820" s="272"/>
      <c r="H820" s="126"/>
      <c r="I820" s="126"/>
      <c r="J820" s="126"/>
      <c r="K820" s="126"/>
      <c r="L820" s="246"/>
      <c r="M820" s="235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</row>
    <row r="821" spans="1:31" ht="13.2">
      <c r="A821" s="126"/>
      <c r="B821" s="126"/>
      <c r="C821" s="126"/>
      <c r="D821" s="126"/>
      <c r="E821" s="126"/>
      <c r="F821" s="271"/>
      <c r="G821" s="272"/>
      <c r="H821" s="126"/>
      <c r="I821" s="126"/>
      <c r="J821" s="126"/>
      <c r="K821" s="126"/>
      <c r="L821" s="246"/>
      <c r="M821" s="235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</row>
    <row r="822" spans="1:31" ht="13.2">
      <c r="A822" s="126"/>
      <c r="B822" s="126"/>
      <c r="C822" s="126"/>
      <c r="D822" s="126"/>
      <c r="E822" s="126"/>
      <c r="F822" s="271"/>
      <c r="G822" s="272"/>
      <c r="H822" s="126"/>
      <c r="I822" s="126"/>
      <c r="J822" s="126"/>
      <c r="K822" s="126"/>
      <c r="L822" s="246"/>
      <c r="M822" s="235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</row>
    <row r="823" spans="1:31" ht="13.2">
      <c r="A823" s="126"/>
      <c r="B823" s="126"/>
      <c r="C823" s="126"/>
      <c r="D823" s="126"/>
      <c r="E823" s="126"/>
      <c r="F823" s="271"/>
      <c r="G823" s="272"/>
      <c r="H823" s="126"/>
      <c r="I823" s="126"/>
      <c r="J823" s="126"/>
      <c r="K823" s="126"/>
      <c r="L823" s="246"/>
      <c r="M823" s="235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</row>
    <row r="824" spans="1:31" ht="13.2">
      <c r="A824" s="126"/>
      <c r="B824" s="126"/>
      <c r="C824" s="126"/>
      <c r="D824" s="126"/>
      <c r="E824" s="126"/>
      <c r="F824" s="271"/>
      <c r="G824" s="272"/>
      <c r="H824" s="126"/>
      <c r="I824" s="126"/>
      <c r="J824" s="126"/>
      <c r="K824" s="126"/>
      <c r="L824" s="246"/>
      <c r="M824" s="235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</row>
    <row r="825" spans="1:31" ht="13.2">
      <c r="A825" s="126"/>
      <c r="B825" s="126"/>
      <c r="C825" s="126"/>
      <c r="D825" s="126"/>
      <c r="E825" s="126"/>
      <c r="F825" s="271"/>
      <c r="G825" s="272"/>
      <c r="H825" s="126"/>
      <c r="I825" s="126"/>
      <c r="J825" s="126"/>
      <c r="K825" s="126"/>
      <c r="L825" s="246"/>
      <c r="M825" s="235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</row>
    <row r="826" spans="1:31" ht="13.2">
      <c r="A826" s="126"/>
      <c r="B826" s="126"/>
      <c r="C826" s="126"/>
      <c r="D826" s="126"/>
      <c r="E826" s="126"/>
      <c r="F826" s="271"/>
      <c r="G826" s="272"/>
      <c r="H826" s="126"/>
      <c r="I826" s="126"/>
      <c r="J826" s="126"/>
      <c r="K826" s="126"/>
      <c r="L826" s="246"/>
      <c r="M826" s="235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</row>
    <row r="827" spans="1:31" ht="13.2">
      <c r="A827" s="126"/>
      <c r="B827" s="126"/>
      <c r="C827" s="126"/>
      <c r="D827" s="126"/>
      <c r="E827" s="126"/>
      <c r="F827" s="271"/>
      <c r="G827" s="272"/>
      <c r="H827" s="126"/>
      <c r="I827" s="126"/>
      <c r="J827" s="126"/>
      <c r="K827" s="126"/>
      <c r="L827" s="246"/>
      <c r="M827" s="235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</row>
    <row r="828" spans="1:31" ht="13.2">
      <c r="A828" s="126"/>
      <c r="B828" s="126"/>
      <c r="C828" s="126"/>
      <c r="D828" s="126"/>
      <c r="E828" s="126"/>
      <c r="F828" s="271"/>
      <c r="G828" s="272"/>
      <c r="H828" s="126"/>
      <c r="I828" s="126"/>
      <c r="J828" s="126"/>
      <c r="K828" s="126"/>
      <c r="L828" s="246"/>
      <c r="M828" s="235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</row>
    <row r="829" spans="1:31" ht="13.2">
      <c r="A829" s="126"/>
      <c r="B829" s="126"/>
      <c r="C829" s="126"/>
      <c r="D829" s="126"/>
      <c r="E829" s="126"/>
      <c r="F829" s="271"/>
      <c r="G829" s="272"/>
      <c r="H829" s="126"/>
      <c r="I829" s="126"/>
      <c r="J829" s="126"/>
      <c r="K829" s="126"/>
      <c r="L829" s="246"/>
      <c r="M829" s="235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</row>
    <row r="830" spans="1:31" ht="13.2">
      <c r="A830" s="126"/>
      <c r="B830" s="126"/>
      <c r="C830" s="126"/>
      <c r="D830" s="126"/>
      <c r="E830" s="126"/>
      <c r="F830" s="271"/>
      <c r="G830" s="272"/>
      <c r="H830" s="126"/>
      <c r="I830" s="126"/>
      <c r="J830" s="126"/>
      <c r="K830" s="126"/>
      <c r="L830" s="246"/>
      <c r="M830" s="235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</row>
    <row r="831" spans="1:31" ht="13.2">
      <c r="A831" s="126"/>
      <c r="B831" s="126"/>
      <c r="C831" s="126"/>
      <c r="D831" s="126"/>
      <c r="E831" s="126"/>
      <c r="F831" s="271"/>
      <c r="G831" s="272"/>
      <c r="H831" s="126"/>
      <c r="I831" s="126"/>
      <c r="J831" s="126"/>
      <c r="K831" s="126"/>
      <c r="L831" s="246"/>
      <c r="M831" s="235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</row>
    <row r="832" spans="1:31" ht="13.2">
      <c r="A832" s="126"/>
      <c r="B832" s="126"/>
      <c r="C832" s="126"/>
      <c r="D832" s="126"/>
      <c r="E832" s="126"/>
      <c r="F832" s="271"/>
      <c r="G832" s="272"/>
      <c r="H832" s="126"/>
      <c r="I832" s="126"/>
      <c r="J832" s="126"/>
      <c r="K832" s="126"/>
      <c r="L832" s="246"/>
      <c r="M832" s="235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</row>
    <row r="833" spans="1:31" ht="13.2">
      <c r="A833" s="126"/>
      <c r="B833" s="126"/>
      <c r="C833" s="126"/>
      <c r="D833" s="126"/>
      <c r="E833" s="126"/>
      <c r="F833" s="271"/>
      <c r="G833" s="272"/>
      <c r="H833" s="126"/>
      <c r="I833" s="126"/>
      <c r="J833" s="126"/>
      <c r="K833" s="126"/>
      <c r="L833" s="246"/>
      <c r="M833" s="235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</row>
    <row r="834" spans="1:31" ht="13.2">
      <c r="A834" s="126"/>
      <c r="B834" s="126"/>
      <c r="C834" s="126"/>
      <c r="D834" s="126"/>
      <c r="E834" s="126"/>
      <c r="F834" s="271"/>
      <c r="G834" s="272"/>
      <c r="H834" s="126"/>
      <c r="I834" s="126"/>
      <c r="J834" s="126"/>
      <c r="K834" s="126"/>
      <c r="L834" s="246"/>
      <c r="M834" s="235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</row>
    <row r="835" spans="1:31" ht="13.2">
      <c r="A835" s="126"/>
      <c r="B835" s="126"/>
      <c r="C835" s="126"/>
      <c r="D835" s="126"/>
      <c r="E835" s="126"/>
      <c r="F835" s="271"/>
      <c r="G835" s="272"/>
      <c r="H835" s="126"/>
      <c r="I835" s="126"/>
      <c r="J835" s="126"/>
      <c r="K835" s="126"/>
      <c r="L835" s="246"/>
      <c r="M835" s="235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</row>
    <row r="836" spans="1:31" ht="13.2">
      <c r="A836" s="126"/>
      <c r="B836" s="126"/>
      <c r="C836" s="126"/>
      <c r="D836" s="126"/>
      <c r="E836" s="126"/>
      <c r="F836" s="271"/>
      <c r="G836" s="272"/>
      <c r="H836" s="126"/>
      <c r="I836" s="126"/>
      <c r="J836" s="126"/>
      <c r="K836" s="126"/>
      <c r="L836" s="246"/>
      <c r="M836" s="235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</row>
    <row r="837" spans="1:31" ht="13.2">
      <c r="A837" s="126"/>
      <c r="B837" s="126"/>
      <c r="C837" s="126"/>
      <c r="D837" s="126"/>
      <c r="E837" s="126"/>
      <c r="F837" s="271"/>
      <c r="G837" s="272"/>
      <c r="H837" s="126"/>
      <c r="I837" s="126"/>
      <c r="J837" s="126"/>
      <c r="K837" s="126"/>
      <c r="L837" s="246"/>
      <c r="M837" s="235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</row>
    <row r="838" spans="1:31" ht="13.2">
      <c r="A838" s="126"/>
      <c r="B838" s="126"/>
      <c r="C838" s="126"/>
      <c r="D838" s="126"/>
      <c r="E838" s="126"/>
      <c r="F838" s="271"/>
      <c r="G838" s="272"/>
      <c r="H838" s="126"/>
      <c r="I838" s="126"/>
      <c r="J838" s="126"/>
      <c r="K838" s="126"/>
      <c r="L838" s="246"/>
      <c r="M838" s="235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</row>
    <row r="839" spans="1:31" ht="13.2">
      <c r="A839" s="126"/>
      <c r="B839" s="126"/>
      <c r="C839" s="126"/>
      <c r="D839" s="126"/>
      <c r="E839" s="126"/>
      <c r="F839" s="271"/>
      <c r="G839" s="272"/>
      <c r="H839" s="126"/>
      <c r="I839" s="126"/>
      <c r="J839" s="126"/>
      <c r="K839" s="126"/>
      <c r="L839" s="246"/>
      <c r="M839" s="235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</row>
    <row r="840" spans="1:31" ht="13.2">
      <c r="A840" s="126"/>
      <c r="B840" s="126"/>
      <c r="C840" s="126"/>
      <c r="D840" s="126"/>
      <c r="E840" s="126"/>
      <c r="F840" s="271"/>
      <c r="G840" s="272"/>
      <c r="H840" s="126"/>
      <c r="I840" s="126"/>
      <c r="J840" s="126"/>
      <c r="K840" s="126"/>
      <c r="L840" s="246"/>
      <c r="M840" s="235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</row>
    <row r="841" spans="1:31" ht="13.2">
      <c r="A841" s="126"/>
      <c r="B841" s="126"/>
      <c r="C841" s="126"/>
      <c r="D841" s="126"/>
      <c r="E841" s="126"/>
      <c r="F841" s="271"/>
      <c r="G841" s="272"/>
      <c r="H841" s="126"/>
      <c r="I841" s="126"/>
      <c r="J841" s="126"/>
      <c r="K841" s="126"/>
      <c r="L841" s="246"/>
      <c r="M841" s="235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</row>
    <row r="842" spans="1:31" ht="13.2">
      <c r="A842" s="126"/>
      <c r="B842" s="126"/>
      <c r="C842" s="126"/>
      <c r="D842" s="126"/>
      <c r="E842" s="126"/>
      <c r="F842" s="271"/>
      <c r="G842" s="272"/>
      <c r="H842" s="126"/>
      <c r="I842" s="126"/>
      <c r="J842" s="126"/>
      <c r="K842" s="126"/>
      <c r="L842" s="246"/>
      <c r="M842" s="235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</row>
    <row r="843" spans="1:31" ht="13.2">
      <c r="A843" s="126"/>
      <c r="B843" s="126"/>
      <c r="C843" s="126"/>
      <c r="D843" s="126"/>
      <c r="E843" s="126"/>
      <c r="F843" s="271"/>
      <c r="G843" s="272"/>
      <c r="H843" s="126"/>
      <c r="I843" s="126"/>
      <c r="J843" s="126"/>
      <c r="K843" s="126"/>
      <c r="L843" s="246"/>
      <c r="M843" s="235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</row>
    <row r="844" spans="1:31" ht="13.2">
      <c r="A844" s="126"/>
      <c r="B844" s="126"/>
      <c r="C844" s="126"/>
      <c r="D844" s="126"/>
      <c r="E844" s="126"/>
      <c r="F844" s="271"/>
      <c r="G844" s="272"/>
      <c r="H844" s="126"/>
      <c r="I844" s="126"/>
      <c r="J844" s="126"/>
      <c r="K844" s="126"/>
      <c r="L844" s="246"/>
      <c r="M844" s="235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</row>
    <row r="845" spans="1:31" ht="13.2">
      <c r="A845" s="126"/>
      <c r="B845" s="126"/>
      <c r="C845" s="126"/>
      <c r="D845" s="126"/>
      <c r="E845" s="126"/>
      <c r="F845" s="271"/>
      <c r="G845" s="272"/>
      <c r="H845" s="126"/>
      <c r="I845" s="126"/>
      <c r="J845" s="126"/>
      <c r="K845" s="126"/>
      <c r="L845" s="246"/>
      <c r="M845" s="235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</row>
    <row r="846" spans="1:31" ht="13.2">
      <c r="A846" s="126"/>
      <c r="B846" s="126"/>
      <c r="C846" s="126"/>
      <c r="D846" s="126"/>
      <c r="E846" s="126"/>
      <c r="F846" s="271"/>
      <c r="G846" s="272"/>
      <c r="H846" s="126"/>
      <c r="I846" s="126"/>
      <c r="J846" s="126"/>
      <c r="K846" s="126"/>
      <c r="L846" s="246"/>
      <c r="M846" s="235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</row>
    <row r="847" spans="1:31" ht="13.2">
      <c r="A847" s="126"/>
      <c r="B847" s="126"/>
      <c r="C847" s="126"/>
      <c r="D847" s="126"/>
      <c r="E847" s="126"/>
      <c r="F847" s="271"/>
      <c r="G847" s="272"/>
      <c r="H847" s="126"/>
      <c r="I847" s="126"/>
      <c r="J847" s="126"/>
      <c r="K847" s="126"/>
      <c r="L847" s="246"/>
      <c r="M847" s="235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</row>
    <row r="848" spans="1:31" ht="13.2">
      <c r="A848" s="126"/>
      <c r="B848" s="126"/>
      <c r="C848" s="126"/>
      <c r="D848" s="126"/>
      <c r="E848" s="126"/>
      <c r="F848" s="271"/>
      <c r="G848" s="272"/>
      <c r="H848" s="126"/>
      <c r="I848" s="126"/>
      <c r="J848" s="126"/>
      <c r="K848" s="126"/>
      <c r="L848" s="246"/>
      <c r="M848" s="235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</row>
    <row r="849" spans="1:31" ht="13.2">
      <c r="A849" s="126"/>
      <c r="B849" s="126"/>
      <c r="C849" s="126"/>
      <c r="D849" s="126"/>
      <c r="E849" s="126"/>
      <c r="F849" s="271"/>
      <c r="G849" s="272"/>
      <c r="H849" s="126"/>
      <c r="I849" s="126"/>
      <c r="J849" s="126"/>
      <c r="K849" s="126"/>
      <c r="L849" s="246"/>
      <c r="M849" s="235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</row>
    <row r="850" spans="1:31" ht="13.2">
      <c r="A850" s="126"/>
      <c r="B850" s="126"/>
      <c r="C850" s="126"/>
      <c r="D850" s="126"/>
      <c r="E850" s="126"/>
      <c r="F850" s="271"/>
      <c r="G850" s="272"/>
      <c r="H850" s="126"/>
      <c r="I850" s="126"/>
      <c r="J850" s="126"/>
      <c r="K850" s="126"/>
      <c r="L850" s="246"/>
      <c r="M850" s="235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</row>
    <row r="851" spans="1:31" ht="13.2">
      <c r="A851" s="126"/>
      <c r="B851" s="126"/>
      <c r="C851" s="126"/>
      <c r="D851" s="126"/>
      <c r="E851" s="126"/>
      <c r="F851" s="271"/>
      <c r="G851" s="272"/>
      <c r="H851" s="126"/>
      <c r="I851" s="126"/>
      <c r="J851" s="126"/>
      <c r="K851" s="126"/>
      <c r="L851" s="246"/>
      <c r="M851" s="235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</row>
    <row r="852" spans="1:31" ht="13.2">
      <c r="A852" s="126"/>
      <c r="B852" s="126"/>
      <c r="C852" s="126"/>
      <c r="D852" s="126"/>
      <c r="E852" s="126"/>
      <c r="F852" s="271"/>
      <c r="G852" s="272"/>
      <c r="H852" s="126"/>
      <c r="I852" s="126"/>
      <c r="J852" s="126"/>
      <c r="K852" s="126"/>
      <c r="L852" s="246"/>
      <c r="M852" s="235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</row>
    <row r="853" spans="1:31" ht="13.2">
      <c r="A853" s="126"/>
      <c r="B853" s="126"/>
      <c r="C853" s="126"/>
      <c r="D853" s="126"/>
      <c r="E853" s="126"/>
      <c r="F853" s="271"/>
      <c r="G853" s="272"/>
      <c r="H853" s="126"/>
      <c r="I853" s="126"/>
      <c r="J853" s="126"/>
      <c r="K853" s="126"/>
      <c r="L853" s="246"/>
      <c r="M853" s="235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</row>
    <row r="854" spans="1:31" ht="13.2">
      <c r="A854" s="126"/>
      <c r="B854" s="126"/>
      <c r="C854" s="126"/>
      <c r="D854" s="126"/>
      <c r="E854" s="126"/>
      <c r="F854" s="271"/>
      <c r="G854" s="272"/>
      <c r="H854" s="126"/>
      <c r="I854" s="126"/>
      <c r="J854" s="126"/>
      <c r="K854" s="126"/>
      <c r="L854" s="246"/>
      <c r="M854" s="235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</row>
    <row r="855" spans="1:31" ht="13.2">
      <c r="A855" s="126"/>
      <c r="B855" s="126"/>
      <c r="C855" s="126"/>
      <c r="D855" s="126"/>
      <c r="E855" s="126"/>
      <c r="F855" s="271"/>
      <c r="G855" s="272"/>
      <c r="H855" s="126"/>
      <c r="I855" s="126"/>
      <c r="J855" s="126"/>
      <c r="K855" s="126"/>
      <c r="L855" s="246"/>
      <c r="M855" s="235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</row>
    <row r="856" spans="1:31" ht="13.2">
      <c r="A856" s="126"/>
      <c r="B856" s="126"/>
      <c r="C856" s="126"/>
      <c r="D856" s="126"/>
      <c r="E856" s="126"/>
      <c r="F856" s="271"/>
      <c r="G856" s="272"/>
      <c r="H856" s="126"/>
      <c r="I856" s="126"/>
      <c r="J856" s="126"/>
      <c r="K856" s="126"/>
      <c r="L856" s="246"/>
      <c r="M856" s="235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</row>
    <row r="857" spans="1:31" ht="13.2">
      <c r="A857" s="126"/>
      <c r="B857" s="126"/>
      <c r="C857" s="126"/>
      <c r="D857" s="126"/>
      <c r="E857" s="126"/>
      <c r="F857" s="271"/>
      <c r="G857" s="272"/>
      <c r="H857" s="126"/>
      <c r="I857" s="126"/>
      <c r="J857" s="126"/>
      <c r="K857" s="126"/>
      <c r="L857" s="246"/>
      <c r="M857" s="235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</row>
    <row r="858" spans="1:31" ht="13.2">
      <c r="A858" s="126"/>
      <c r="B858" s="126"/>
      <c r="C858" s="126"/>
      <c r="D858" s="126"/>
      <c r="E858" s="126"/>
      <c r="F858" s="271"/>
      <c r="G858" s="272"/>
      <c r="H858" s="126"/>
      <c r="I858" s="126"/>
      <c r="J858" s="126"/>
      <c r="K858" s="126"/>
      <c r="L858" s="246"/>
      <c r="M858" s="235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</row>
    <row r="859" spans="1:31" ht="13.2">
      <c r="A859" s="126"/>
      <c r="B859" s="126"/>
      <c r="C859" s="126"/>
      <c r="D859" s="126"/>
      <c r="E859" s="126"/>
      <c r="F859" s="271"/>
      <c r="G859" s="272"/>
      <c r="H859" s="126"/>
      <c r="I859" s="126"/>
      <c r="J859" s="126"/>
      <c r="K859" s="126"/>
      <c r="L859" s="246"/>
      <c r="M859" s="235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</row>
    <row r="860" spans="1:31" ht="13.2">
      <c r="A860" s="126"/>
      <c r="B860" s="126"/>
      <c r="C860" s="126"/>
      <c r="D860" s="126"/>
      <c r="E860" s="126"/>
      <c r="F860" s="271"/>
      <c r="G860" s="272"/>
      <c r="H860" s="126"/>
      <c r="I860" s="126"/>
      <c r="J860" s="126"/>
      <c r="K860" s="126"/>
      <c r="L860" s="246"/>
      <c r="M860" s="235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</row>
    <row r="861" spans="1:31" ht="13.2">
      <c r="A861" s="126"/>
      <c r="B861" s="126"/>
      <c r="C861" s="126"/>
      <c r="D861" s="126"/>
      <c r="E861" s="126"/>
      <c r="F861" s="271"/>
      <c r="G861" s="272"/>
      <c r="H861" s="126"/>
      <c r="I861" s="126"/>
      <c r="J861" s="126"/>
      <c r="K861" s="126"/>
      <c r="L861" s="246"/>
      <c r="M861" s="235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</row>
    <row r="862" spans="1:31" ht="13.2">
      <c r="A862" s="126"/>
      <c r="B862" s="126"/>
      <c r="C862" s="126"/>
      <c r="D862" s="126"/>
      <c r="E862" s="126"/>
      <c r="F862" s="271"/>
      <c r="G862" s="272"/>
      <c r="H862" s="126"/>
      <c r="I862" s="126"/>
      <c r="J862" s="126"/>
      <c r="K862" s="126"/>
      <c r="L862" s="246"/>
      <c r="M862" s="235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</row>
    <row r="863" spans="1:31" ht="13.2">
      <c r="A863" s="126"/>
      <c r="B863" s="126"/>
      <c r="C863" s="126"/>
      <c r="D863" s="126"/>
      <c r="E863" s="126"/>
      <c r="F863" s="271"/>
      <c r="G863" s="272"/>
      <c r="H863" s="126"/>
      <c r="I863" s="126"/>
      <c r="J863" s="126"/>
      <c r="K863" s="126"/>
      <c r="L863" s="246"/>
      <c r="M863" s="235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</row>
    <row r="864" spans="1:31" ht="13.2">
      <c r="A864" s="126"/>
      <c r="B864" s="126"/>
      <c r="C864" s="126"/>
      <c r="D864" s="126"/>
      <c r="E864" s="126"/>
      <c r="F864" s="271"/>
      <c r="G864" s="272"/>
      <c r="H864" s="126"/>
      <c r="I864" s="126"/>
      <c r="J864" s="126"/>
      <c r="K864" s="126"/>
      <c r="L864" s="246"/>
      <c r="M864" s="235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</row>
    <row r="865" spans="1:31" ht="13.2">
      <c r="A865" s="126"/>
      <c r="B865" s="126"/>
      <c r="C865" s="126"/>
      <c r="D865" s="126"/>
      <c r="E865" s="126"/>
      <c r="F865" s="271"/>
      <c r="G865" s="272"/>
      <c r="H865" s="126"/>
      <c r="I865" s="126"/>
      <c r="J865" s="126"/>
      <c r="K865" s="126"/>
      <c r="L865" s="246"/>
      <c r="M865" s="235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</row>
    <row r="866" spans="1:31" ht="13.2">
      <c r="A866" s="126"/>
      <c r="B866" s="126"/>
      <c r="C866" s="126"/>
      <c r="D866" s="126"/>
      <c r="E866" s="126"/>
      <c r="F866" s="271"/>
      <c r="G866" s="272"/>
      <c r="H866" s="126"/>
      <c r="I866" s="126"/>
      <c r="J866" s="126"/>
      <c r="K866" s="126"/>
      <c r="L866" s="246"/>
      <c r="M866" s="235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</row>
    <row r="867" spans="1:31" ht="13.2">
      <c r="A867" s="126"/>
      <c r="B867" s="126"/>
      <c r="C867" s="126"/>
      <c r="D867" s="126"/>
      <c r="E867" s="126"/>
      <c r="F867" s="271"/>
      <c r="G867" s="272"/>
      <c r="H867" s="126"/>
      <c r="I867" s="126"/>
      <c r="J867" s="126"/>
      <c r="K867" s="126"/>
      <c r="L867" s="246"/>
      <c r="M867" s="235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</row>
    <row r="868" spans="1:31" ht="13.2">
      <c r="A868" s="126"/>
      <c r="B868" s="126"/>
      <c r="C868" s="126"/>
      <c r="D868" s="126"/>
      <c r="E868" s="126"/>
      <c r="F868" s="271"/>
      <c r="G868" s="272"/>
      <c r="H868" s="126"/>
      <c r="I868" s="126"/>
      <c r="J868" s="126"/>
      <c r="K868" s="126"/>
      <c r="L868" s="246"/>
      <c r="M868" s="235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</row>
    <row r="869" spans="1:31" ht="13.2">
      <c r="A869" s="126"/>
      <c r="B869" s="126"/>
      <c r="C869" s="126"/>
      <c r="D869" s="126"/>
      <c r="E869" s="126"/>
      <c r="F869" s="271"/>
      <c r="G869" s="272"/>
      <c r="H869" s="126"/>
      <c r="I869" s="126"/>
      <c r="J869" s="126"/>
      <c r="K869" s="126"/>
      <c r="L869" s="246"/>
      <c r="M869" s="235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</row>
    <row r="870" spans="1:31" ht="13.2">
      <c r="A870" s="126"/>
      <c r="B870" s="126"/>
      <c r="C870" s="126"/>
      <c r="D870" s="126"/>
      <c r="E870" s="126"/>
      <c r="F870" s="271"/>
      <c r="G870" s="272"/>
      <c r="H870" s="126"/>
      <c r="I870" s="126"/>
      <c r="J870" s="126"/>
      <c r="K870" s="126"/>
      <c r="L870" s="246"/>
      <c r="M870" s="235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</row>
    <row r="871" spans="1:31" ht="13.2">
      <c r="A871" s="126"/>
      <c r="B871" s="126"/>
      <c r="C871" s="126"/>
      <c r="D871" s="126"/>
      <c r="E871" s="126"/>
      <c r="F871" s="271"/>
      <c r="G871" s="272"/>
      <c r="H871" s="126"/>
      <c r="I871" s="126"/>
      <c r="J871" s="126"/>
      <c r="K871" s="126"/>
      <c r="L871" s="246"/>
      <c r="M871" s="235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</row>
    <row r="872" spans="1:31" ht="13.2">
      <c r="A872" s="126"/>
      <c r="B872" s="126"/>
      <c r="C872" s="126"/>
      <c r="D872" s="126"/>
      <c r="E872" s="126"/>
      <c r="F872" s="271"/>
      <c r="G872" s="272"/>
      <c r="H872" s="126"/>
      <c r="I872" s="126"/>
      <c r="J872" s="126"/>
      <c r="K872" s="126"/>
      <c r="L872" s="246"/>
      <c r="M872" s="235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</row>
    <row r="873" spans="1:31" ht="13.2">
      <c r="A873" s="126"/>
      <c r="B873" s="126"/>
      <c r="C873" s="126"/>
      <c r="D873" s="126"/>
      <c r="E873" s="126"/>
      <c r="F873" s="271"/>
      <c r="G873" s="272"/>
      <c r="H873" s="126"/>
      <c r="I873" s="126"/>
      <c r="J873" s="126"/>
      <c r="K873" s="126"/>
      <c r="L873" s="246"/>
      <c r="M873" s="235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</row>
    <row r="874" spans="1:31" ht="13.2">
      <c r="A874" s="126"/>
      <c r="B874" s="126"/>
      <c r="C874" s="126"/>
      <c r="D874" s="126"/>
      <c r="E874" s="126"/>
      <c r="F874" s="271"/>
      <c r="G874" s="272"/>
      <c r="H874" s="126"/>
      <c r="I874" s="126"/>
      <c r="J874" s="126"/>
      <c r="K874" s="126"/>
      <c r="L874" s="246"/>
      <c r="M874" s="235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</row>
    <row r="875" spans="1:31" ht="13.2">
      <c r="A875" s="126"/>
      <c r="B875" s="126"/>
      <c r="C875" s="126"/>
      <c r="D875" s="126"/>
      <c r="E875" s="126"/>
      <c r="F875" s="271"/>
      <c r="G875" s="272"/>
      <c r="H875" s="126"/>
      <c r="I875" s="126"/>
      <c r="J875" s="126"/>
      <c r="K875" s="126"/>
      <c r="L875" s="246"/>
      <c r="M875" s="235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</row>
    <row r="876" spans="1:31" ht="13.2">
      <c r="A876" s="126"/>
      <c r="B876" s="126"/>
      <c r="C876" s="126"/>
      <c r="D876" s="126"/>
      <c r="E876" s="126"/>
      <c r="F876" s="271"/>
      <c r="G876" s="272"/>
      <c r="H876" s="126"/>
      <c r="I876" s="126"/>
      <c r="J876" s="126"/>
      <c r="K876" s="126"/>
      <c r="L876" s="246"/>
      <c r="M876" s="235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</row>
    <row r="877" spans="1:31" ht="13.2">
      <c r="A877" s="126"/>
      <c r="B877" s="126"/>
      <c r="C877" s="126"/>
      <c r="D877" s="126"/>
      <c r="E877" s="126"/>
      <c r="F877" s="271"/>
      <c r="G877" s="272"/>
      <c r="H877" s="126"/>
      <c r="I877" s="126"/>
      <c r="J877" s="126"/>
      <c r="K877" s="126"/>
      <c r="L877" s="246"/>
      <c r="M877" s="235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</row>
    <row r="878" spans="1:31" ht="13.2">
      <c r="A878" s="126"/>
      <c r="B878" s="126"/>
      <c r="C878" s="126"/>
      <c r="D878" s="126"/>
      <c r="E878" s="126"/>
      <c r="F878" s="271"/>
      <c r="G878" s="272"/>
      <c r="H878" s="126"/>
      <c r="I878" s="126"/>
      <c r="J878" s="126"/>
      <c r="K878" s="126"/>
      <c r="L878" s="246"/>
      <c r="M878" s="235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</row>
    <row r="879" spans="1:31" ht="13.2">
      <c r="A879" s="126"/>
      <c r="B879" s="126"/>
      <c r="C879" s="126"/>
      <c r="D879" s="126"/>
      <c r="E879" s="126"/>
      <c r="F879" s="271"/>
      <c r="G879" s="272"/>
      <c r="H879" s="126"/>
      <c r="I879" s="126"/>
      <c r="J879" s="126"/>
      <c r="K879" s="126"/>
      <c r="L879" s="246"/>
      <c r="M879" s="235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</row>
    <row r="880" spans="1:31" ht="13.2">
      <c r="A880" s="126"/>
      <c r="B880" s="126"/>
      <c r="C880" s="126"/>
      <c r="D880" s="126"/>
      <c r="E880" s="126"/>
      <c r="F880" s="271"/>
      <c r="G880" s="272"/>
      <c r="H880" s="126"/>
      <c r="I880" s="126"/>
      <c r="J880" s="126"/>
      <c r="K880" s="126"/>
      <c r="L880" s="246"/>
      <c r="M880" s="235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</row>
    <row r="881" spans="1:31" ht="13.2">
      <c r="A881" s="126"/>
      <c r="B881" s="126"/>
      <c r="C881" s="126"/>
      <c r="D881" s="126"/>
      <c r="E881" s="126"/>
      <c r="F881" s="271"/>
      <c r="G881" s="272"/>
      <c r="H881" s="126"/>
      <c r="I881" s="126"/>
      <c r="J881" s="126"/>
      <c r="K881" s="126"/>
      <c r="L881" s="246"/>
      <c r="M881" s="235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</row>
    <row r="882" spans="1:31" ht="13.2">
      <c r="A882" s="126"/>
      <c r="B882" s="126"/>
      <c r="C882" s="126"/>
      <c r="D882" s="126"/>
      <c r="E882" s="126"/>
      <c r="F882" s="271"/>
      <c r="G882" s="272"/>
      <c r="H882" s="126"/>
      <c r="I882" s="126"/>
      <c r="J882" s="126"/>
      <c r="K882" s="126"/>
      <c r="L882" s="246"/>
      <c r="M882" s="235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</row>
    <row r="883" spans="1:31" ht="13.2">
      <c r="A883" s="126"/>
      <c r="B883" s="126"/>
      <c r="C883" s="126"/>
      <c r="D883" s="126"/>
      <c r="E883" s="126"/>
      <c r="F883" s="271"/>
      <c r="G883" s="272"/>
      <c r="H883" s="126"/>
      <c r="I883" s="126"/>
      <c r="J883" s="126"/>
      <c r="K883" s="126"/>
      <c r="L883" s="246"/>
      <c r="M883" s="235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</row>
    <row r="884" spans="1:31" ht="13.2">
      <c r="A884" s="126"/>
      <c r="B884" s="126"/>
      <c r="C884" s="126"/>
      <c r="D884" s="126"/>
      <c r="E884" s="126"/>
      <c r="F884" s="271"/>
      <c r="G884" s="272"/>
      <c r="H884" s="126"/>
      <c r="I884" s="126"/>
      <c r="J884" s="126"/>
      <c r="K884" s="126"/>
      <c r="L884" s="246"/>
      <c r="M884" s="235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</row>
    <row r="885" spans="1:31" ht="13.2">
      <c r="A885" s="126"/>
      <c r="B885" s="126"/>
      <c r="C885" s="126"/>
      <c r="D885" s="126"/>
      <c r="E885" s="126"/>
      <c r="F885" s="271"/>
      <c r="G885" s="272"/>
      <c r="H885" s="126"/>
      <c r="I885" s="126"/>
      <c r="J885" s="126"/>
      <c r="K885" s="126"/>
      <c r="L885" s="246"/>
      <c r="M885" s="235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</row>
    <row r="886" spans="1:31" ht="13.2">
      <c r="A886" s="126"/>
      <c r="B886" s="126"/>
      <c r="C886" s="126"/>
      <c r="D886" s="126"/>
      <c r="E886" s="126"/>
      <c r="F886" s="271"/>
      <c r="G886" s="272"/>
      <c r="H886" s="126"/>
      <c r="I886" s="126"/>
      <c r="J886" s="126"/>
      <c r="K886" s="126"/>
      <c r="L886" s="246"/>
      <c r="M886" s="235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</row>
    <row r="887" spans="1:31" ht="13.2">
      <c r="A887" s="126"/>
      <c r="B887" s="126"/>
      <c r="C887" s="126"/>
      <c r="D887" s="126"/>
      <c r="E887" s="126"/>
      <c r="F887" s="271"/>
      <c r="G887" s="272"/>
      <c r="H887" s="126"/>
      <c r="I887" s="126"/>
      <c r="J887" s="126"/>
      <c r="K887" s="126"/>
      <c r="L887" s="246"/>
      <c r="M887" s="235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</row>
    <row r="888" spans="1:31" ht="13.2">
      <c r="A888" s="126"/>
      <c r="B888" s="126"/>
      <c r="C888" s="126"/>
      <c r="D888" s="126"/>
      <c r="E888" s="126"/>
      <c r="F888" s="271"/>
      <c r="G888" s="272"/>
      <c r="H888" s="126"/>
      <c r="I888" s="126"/>
      <c r="J888" s="126"/>
      <c r="K888" s="126"/>
      <c r="L888" s="246"/>
      <c r="M888" s="235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</row>
    <row r="889" spans="1:31" ht="13.2">
      <c r="A889" s="126"/>
      <c r="B889" s="126"/>
      <c r="C889" s="126"/>
      <c r="D889" s="126"/>
      <c r="E889" s="126"/>
      <c r="F889" s="271"/>
      <c r="G889" s="272"/>
      <c r="H889" s="126"/>
      <c r="I889" s="126"/>
      <c r="J889" s="126"/>
      <c r="K889" s="126"/>
      <c r="L889" s="246"/>
      <c r="M889" s="235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</row>
    <row r="890" spans="1:31" ht="13.2">
      <c r="A890" s="126"/>
      <c r="B890" s="126"/>
      <c r="C890" s="126"/>
      <c r="D890" s="126"/>
      <c r="E890" s="126"/>
      <c r="F890" s="271"/>
      <c r="G890" s="272"/>
      <c r="H890" s="126"/>
      <c r="I890" s="126"/>
      <c r="J890" s="126"/>
      <c r="K890" s="126"/>
      <c r="L890" s="246"/>
      <c r="M890" s="235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</row>
    <row r="891" spans="1:31" ht="13.2">
      <c r="A891" s="126"/>
      <c r="B891" s="126"/>
      <c r="C891" s="126"/>
      <c r="D891" s="126"/>
      <c r="E891" s="126"/>
      <c r="F891" s="271"/>
      <c r="G891" s="272"/>
      <c r="H891" s="126"/>
      <c r="I891" s="126"/>
      <c r="J891" s="126"/>
      <c r="K891" s="126"/>
      <c r="L891" s="246"/>
      <c r="M891" s="235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</row>
    <row r="892" spans="1:31" ht="13.2">
      <c r="A892" s="126"/>
      <c r="B892" s="126"/>
      <c r="C892" s="126"/>
      <c r="D892" s="126"/>
      <c r="E892" s="126"/>
      <c r="F892" s="271"/>
      <c r="G892" s="272"/>
      <c r="H892" s="126"/>
      <c r="I892" s="126"/>
      <c r="J892" s="126"/>
      <c r="K892" s="126"/>
      <c r="L892" s="246"/>
      <c r="M892" s="235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</row>
    <row r="893" spans="1:31" ht="13.2">
      <c r="A893" s="126"/>
      <c r="B893" s="126"/>
      <c r="C893" s="126"/>
      <c r="D893" s="126"/>
      <c r="E893" s="126"/>
      <c r="F893" s="271"/>
      <c r="G893" s="272"/>
      <c r="H893" s="126"/>
      <c r="I893" s="126"/>
      <c r="J893" s="126"/>
      <c r="K893" s="126"/>
      <c r="L893" s="246"/>
      <c r="M893" s="235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</row>
    <row r="894" spans="1:31" ht="13.2">
      <c r="A894" s="126"/>
      <c r="B894" s="126"/>
      <c r="C894" s="126"/>
      <c r="D894" s="126"/>
      <c r="E894" s="126"/>
      <c r="F894" s="271"/>
      <c r="G894" s="272"/>
      <c r="H894" s="126"/>
      <c r="I894" s="126"/>
      <c r="J894" s="126"/>
      <c r="K894" s="126"/>
      <c r="L894" s="246"/>
      <c r="M894" s="235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</row>
    <row r="895" spans="1:31" ht="13.2">
      <c r="A895" s="126"/>
      <c r="B895" s="126"/>
      <c r="C895" s="126"/>
      <c r="D895" s="126"/>
      <c r="E895" s="126"/>
      <c r="F895" s="271"/>
      <c r="G895" s="272"/>
      <c r="H895" s="126"/>
      <c r="I895" s="126"/>
      <c r="J895" s="126"/>
      <c r="K895" s="126"/>
      <c r="L895" s="246"/>
      <c r="M895" s="235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</row>
    <row r="896" spans="1:31" ht="13.2">
      <c r="A896" s="126"/>
      <c r="B896" s="126"/>
      <c r="C896" s="126"/>
      <c r="D896" s="126"/>
      <c r="E896" s="126"/>
      <c r="F896" s="271"/>
      <c r="G896" s="272"/>
      <c r="H896" s="126"/>
      <c r="I896" s="126"/>
      <c r="J896" s="126"/>
      <c r="K896" s="126"/>
      <c r="L896" s="246"/>
      <c r="M896" s="235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</row>
    <row r="897" spans="1:31" ht="13.2">
      <c r="A897" s="126"/>
      <c r="B897" s="126"/>
      <c r="C897" s="126"/>
      <c r="D897" s="126"/>
      <c r="E897" s="126"/>
      <c r="F897" s="271"/>
      <c r="G897" s="272"/>
      <c r="H897" s="126"/>
      <c r="I897" s="126"/>
      <c r="J897" s="126"/>
      <c r="K897" s="126"/>
      <c r="L897" s="246"/>
      <c r="M897" s="235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</row>
    <row r="898" spans="1:31" ht="13.2">
      <c r="A898" s="126"/>
      <c r="B898" s="126"/>
      <c r="C898" s="126"/>
      <c r="D898" s="126"/>
      <c r="E898" s="126"/>
      <c r="F898" s="271"/>
      <c r="G898" s="272"/>
      <c r="H898" s="126"/>
      <c r="I898" s="126"/>
      <c r="J898" s="126"/>
      <c r="K898" s="126"/>
      <c r="L898" s="246"/>
      <c r="M898" s="235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</row>
    <row r="899" spans="1:31" ht="13.2">
      <c r="A899" s="126"/>
      <c r="B899" s="126"/>
      <c r="C899" s="126"/>
      <c r="D899" s="126"/>
      <c r="E899" s="126"/>
      <c r="F899" s="271"/>
      <c r="G899" s="272"/>
      <c r="H899" s="126"/>
      <c r="I899" s="126"/>
      <c r="J899" s="126"/>
      <c r="K899" s="126"/>
      <c r="L899" s="246"/>
      <c r="M899" s="235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</row>
    <row r="900" spans="1:31" ht="13.2">
      <c r="A900" s="126"/>
      <c r="B900" s="126"/>
      <c r="C900" s="126"/>
      <c r="D900" s="126"/>
      <c r="E900" s="126"/>
      <c r="F900" s="271"/>
      <c r="G900" s="272"/>
      <c r="H900" s="126"/>
      <c r="I900" s="126"/>
      <c r="J900" s="126"/>
      <c r="K900" s="126"/>
      <c r="L900" s="246"/>
      <c r="M900" s="235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</row>
    <row r="901" spans="1:31" ht="13.2">
      <c r="A901" s="126"/>
      <c r="B901" s="126"/>
      <c r="C901" s="126"/>
      <c r="D901" s="126"/>
      <c r="E901" s="126"/>
      <c r="F901" s="271"/>
      <c r="G901" s="272"/>
      <c r="H901" s="126"/>
      <c r="I901" s="126"/>
      <c r="J901" s="126"/>
      <c r="K901" s="126"/>
      <c r="L901" s="246"/>
      <c r="M901" s="235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</row>
    <row r="902" spans="1:31" ht="13.2">
      <c r="A902" s="126"/>
      <c r="B902" s="126"/>
      <c r="C902" s="126"/>
      <c r="D902" s="126"/>
      <c r="E902" s="126"/>
      <c r="F902" s="271"/>
      <c r="G902" s="272"/>
      <c r="H902" s="126"/>
      <c r="I902" s="126"/>
      <c r="J902" s="126"/>
      <c r="K902" s="126"/>
      <c r="L902" s="246"/>
      <c r="M902" s="235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</row>
    <row r="903" spans="1:31" ht="13.2">
      <c r="A903" s="126"/>
      <c r="B903" s="126"/>
      <c r="C903" s="126"/>
      <c r="D903" s="126"/>
      <c r="E903" s="126"/>
      <c r="F903" s="271"/>
      <c r="G903" s="272"/>
      <c r="H903" s="126"/>
      <c r="I903" s="126"/>
      <c r="J903" s="126"/>
      <c r="K903" s="126"/>
      <c r="L903" s="246"/>
      <c r="M903" s="235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</row>
    <row r="904" spans="1:31" ht="13.2">
      <c r="A904" s="126"/>
      <c r="B904" s="126"/>
      <c r="C904" s="126"/>
      <c r="D904" s="126"/>
      <c r="E904" s="126"/>
      <c r="F904" s="271"/>
      <c r="G904" s="272"/>
      <c r="H904" s="126"/>
      <c r="I904" s="126"/>
      <c r="J904" s="126"/>
      <c r="K904" s="126"/>
      <c r="L904" s="246"/>
      <c r="M904" s="235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</row>
    <row r="905" spans="1:31" ht="13.2">
      <c r="A905" s="126"/>
      <c r="B905" s="126"/>
      <c r="C905" s="126"/>
      <c r="D905" s="126"/>
      <c r="E905" s="126"/>
      <c r="F905" s="271"/>
      <c r="G905" s="272"/>
      <c r="H905" s="126"/>
      <c r="I905" s="126"/>
      <c r="J905" s="126"/>
      <c r="K905" s="126"/>
      <c r="L905" s="246"/>
      <c r="M905" s="235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</row>
    <row r="906" spans="1:31" ht="13.2">
      <c r="A906" s="126"/>
      <c r="B906" s="126"/>
      <c r="C906" s="126"/>
      <c r="D906" s="126"/>
      <c r="E906" s="126"/>
      <c r="F906" s="271"/>
      <c r="G906" s="272"/>
      <c r="H906" s="126"/>
      <c r="I906" s="126"/>
      <c r="J906" s="126"/>
      <c r="K906" s="126"/>
      <c r="L906" s="246"/>
      <c r="M906" s="235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</row>
    <row r="907" spans="1:31" ht="13.2">
      <c r="A907" s="126"/>
      <c r="B907" s="126"/>
      <c r="C907" s="126"/>
      <c r="D907" s="126"/>
      <c r="E907" s="126"/>
      <c r="F907" s="271"/>
      <c r="G907" s="272"/>
      <c r="H907" s="126"/>
      <c r="I907" s="126"/>
      <c r="J907" s="126"/>
      <c r="K907" s="126"/>
      <c r="L907" s="246"/>
      <c r="M907" s="235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</row>
    <row r="908" spans="1:31" ht="13.2">
      <c r="A908" s="126"/>
      <c r="B908" s="126"/>
      <c r="C908" s="126"/>
      <c r="D908" s="126"/>
      <c r="E908" s="126"/>
      <c r="F908" s="271"/>
      <c r="G908" s="272"/>
      <c r="H908" s="126"/>
      <c r="I908" s="126"/>
      <c r="J908" s="126"/>
      <c r="K908" s="126"/>
      <c r="L908" s="246"/>
      <c r="M908" s="235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</row>
    <row r="909" spans="1:31" ht="13.2">
      <c r="A909" s="126"/>
      <c r="B909" s="126"/>
      <c r="C909" s="126"/>
      <c r="D909" s="126"/>
      <c r="E909" s="126"/>
      <c r="F909" s="271"/>
      <c r="G909" s="272"/>
      <c r="H909" s="126"/>
      <c r="I909" s="126"/>
      <c r="J909" s="126"/>
      <c r="K909" s="126"/>
      <c r="L909" s="246"/>
      <c r="M909" s="235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</row>
    <row r="910" spans="1:31" ht="13.2">
      <c r="A910" s="126"/>
      <c r="B910" s="126"/>
      <c r="C910" s="126"/>
      <c r="D910" s="126"/>
      <c r="E910" s="126"/>
      <c r="F910" s="271"/>
      <c r="G910" s="272"/>
      <c r="H910" s="126"/>
      <c r="I910" s="126"/>
      <c r="J910" s="126"/>
      <c r="K910" s="126"/>
      <c r="L910" s="246"/>
      <c r="M910" s="235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</row>
    <row r="911" spans="1:31" ht="13.2">
      <c r="A911" s="126"/>
      <c r="B911" s="126"/>
      <c r="C911" s="126"/>
      <c r="D911" s="126"/>
      <c r="E911" s="126"/>
      <c r="F911" s="271"/>
      <c r="G911" s="272"/>
      <c r="H911" s="126"/>
      <c r="I911" s="126"/>
      <c r="J911" s="126"/>
      <c r="K911" s="126"/>
      <c r="L911" s="246"/>
      <c r="M911" s="235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</row>
    <row r="912" spans="1:31" ht="13.2">
      <c r="A912" s="126"/>
      <c r="B912" s="126"/>
      <c r="C912" s="126"/>
      <c r="D912" s="126"/>
      <c r="E912" s="126"/>
      <c r="F912" s="271"/>
      <c r="G912" s="272"/>
      <c r="H912" s="126"/>
      <c r="I912" s="126"/>
      <c r="J912" s="126"/>
      <c r="K912" s="126"/>
      <c r="L912" s="246"/>
      <c r="M912" s="235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</row>
    <row r="913" spans="1:31" ht="13.2">
      <c r="A913" s="126"/>
      <c r="B913" s="126"/>
      <c r="C913" s="126"/>
      <c r="D913" s="126"/>
      <c r="E913" s="126"/>
      <c r="F913" s="271"/>
      <c r="G913" s="272"/>
      <c r="H913" s="126"/>
      <c r="I913" s="126"/>
      <c r="J913" s="126"/>
      <c r="K913" s="126"/>
      <c r="L913" s="246"/>
      <c r="M913" s="235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</row>
    <row r="914" spans="1:31" ht="13.2">
      <c r="A914" s="126"/>
      <c r="B914" s="126"/>
      <c r="C914" s="126"/>
      <c r="D914" s="126"/>
      <c r="E914" s="126"/>
      <c r="F914" s="271"/>
      <c r="G914" s="272"/>
      <c r="H914" s="126"/>
      <c r="I914" s="126"/>
      <c r="J914" s="126"/>
      <c r="K914" s="126"/>
      <c r="L914" s="246"/>
      <c r="M914" s="235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</row>
    <row r="915" spans="1:31" ht="13.2">
      <c r="A915" s="126"/>
      <c r="B915" s="126"/>
      <c r="C915" s="126"/>
      <c r="D915" s="126"/>
      <c r="E915" s="126"/>
      <c r="F915" s="271"/>
      <c r="G915" s="272"/>
      <c r="H915" s="126"/>
      <c r="I915" s="126"/>
      <c r="J915" s="126"/>
      <c r="K915" s="126"/>
      <c r="L915" s="246"/>
      <c r="M915" s="235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</row>
    <row r="916" spans="1:31" ht="13.2">
      <c r="A916" s="126"/>
      <c r="B916" s="126"/>
      <c r="C916" s="126"/>
      <c r="D916" s="126"/>
      <c r="E916" s="126"/>
      <c r="F916" s="271"/>
      <c r="G916" s="272"/>
      <c r="H916" s="126"/>
      <c r="I916" s="126"/>
      <c r="J916" s="126"/>
      <c r="K916" s="126"/>
      <c r="L916" s="246"/>
      <c r="M916" s="235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</row>
    <row r="917" spans="1:31" ht="13.2">
      <c r="A917" s="126"/>
      <c r="B917" s="126"/>
      <c r="C917" s="126"/>
      <c r="D917" s="126"/>
      <c r="E917" s="126"/>
      <c r="F917" s="271"/>
      <c r="G917" s="272"/>
      <c r="H917" s="126"/>
      <c r="I917" s="126"/>
      <c r="J917" s="126"/>
      <c r="K917" s="126"/>
      <c r="L917" s="246"/>
      <c r="M917" s="235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</row>
    <row r="918" spans="1:31" ht="13.2">
      <c r="A918" s="126"/>
      <c r="B918" s="126"/>
      <c r="C918" s="126"/>
      <c r="D918" s="126"/>
      <c r="E918" s="126"/>
      <c r="F918" s="271"/>
      <c r="G918" s="272"/>
      <c r="H918" s="126"/>
      <c r="I918" s="126"/>
      <c r="J918" s="126"/>
      <c r="K918" s="126"/>
      <c r="L918" s="246"/>
      <c r="M918" s="235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</row>
    <row r="919" spans="1:31" ht="13.2">
      <c r="A919" s="126"/>
      <c r="B919" s="126"/>
      <c r="C919" s="126"/>
      <c r="D919" s="126"/>
      <c r="E919" s="126"/>
      <c r="F919" s="271"/>
      <c r="G919" s="272"/>
      <c r="H919" s="126"/>
      <c r="I919" s="126"/>
      <c r="J919" s="126"/>
      <c r="K919" s="126"/>
      <c r="L919" s="246"/>
      <c r="M919" s="235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</row>
    <row r="920" spans="1:31" ht="13.2">
      <c r="A920" s="126"/>
      <c r="B920" s="126"/>
      <c r="C920" s="126"/>
      <c r="D920" s="126"/>
      <c r="E920" s="126"/>
      <c r="F920" s="271"/>
      <c r="G920" s="272"/>
      <c r="H920" s="126"/>
      <c r="I920" s="126"/>
      <c r="J920" s="126"/>
      <c r="K920" s="126"/>
      <c r="L920" s="246"/>
      <c r="M920" s="235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</row>
    <row r="921" spans="1:31" ht="13.2">
      <c r="A921" s="126"/>
      <c r="B921" s="126"/>
      <c r="C921" s="126"/>
      <c r="D921" s="126"/>
      <c r="E921" s="126"/>
      <c r="F921" s="271"/>
      <c r="G921" s="272"/>
      <c r="H921" s="126"/>
      <c r="I921" s="126"/>
      <c r="J921" s="126"/>
      <c r="K921" s="126"/>
      <c r="L921" s="246"/>
      <c r="M921" s="235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</row>
    <row r="922" spans="1:31" ht="13.2">
      <c r="A922" s="126"/>
      <c r="B922" s="126"/>
      <c r="C922" s="126"/>
      <c r="D922" s="126"/>
      <c r="E922" s="126"/>
      <c r="F922" s="271"/>
      <c r="G922" s="272"/>
      <c r="H922" s="126"/>
      <c r="I922" s="126"/>
      <c r="J922" s="126"/>
      <c r="K922" s="126"/>
      <c r="L922" s="246"/>
      <c r="M922" s="235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</row>
    <row r="923" spans="1:31" ht="13.2">
      <c r="A923" s="126"/>
      <c r="B923" s="126"/>
      <c r="C923" s="126"/>
      <c r="D923" s="126"/>
      <c r="E923" s="126"/>
      <c r="F923" s="271"/>
      <c r="G923" s="272"/>
      <c r="H923" s="126"/>
      <c r="I923" s="126"/>
      <c r="J923" s="126"/>
      <c r="K923" s="126"/>
      <c r="L923" s="246"/>
      <c r="M923" s="235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</row>
    <row r="924" spans="1:31" ht="13.2">
      <c r="A924" s="126"/>
      <c r="B924" s="126"/>
      <c r="C924" s="126"/>
      <c r="D924" s="126"/>
      <c r="E924" s="126"/>
      <c r="F924" s="271"/>
      <c r="G924" s="272"/>
      <c r="H924" s="126"/>
      <c r="I924" s="126"/>
      <c r="J924" s="126"/>
      <c r="K924" s="126"/>
      <c r="L924" s="246"/>
      <c r="M924" s="235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</row>
    <row r="925" spans="1:31" ht="13.2">
      <c r="A925" s="126"/>
      <c r="B925" s="126"/>
      <c r="C925" s="126"/>
      <c r="D925" s="126"/>
      <c r="E925" s="126"/>
      <c r="F925" s="271"/>
      <c r="G925" s="272"/>
      <c r="H925" s="126"/>
      <c r="I925" s="126"/>
      <c r="J925" s="126"/>
      <c r="K925" s="126"/>
      <c r="L925" s="246"/>
      <c r="M925" s="235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</row>
    <row r="926" spans="1:31" ht="13.2">
      <c r="A926" s="126"/>
      <c r="B926" s="126"/>
      <c r="C926" s="126"/>
      <c r="D926" s="126"/>
      <c r="E926" s="126"/>
      <c r="F926" s="271"/>
      <c r="G926" s="272"/>
      <c r="H926" s="126"/>
      <c r="I926" s="126"/>
      <c r="J926" s="126"/>
      <c r="K926" s="126"/>
      <c r="L926" s="246"/>
      <c r="M926" s="235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</row>
    <row r="927" spans="1:31" ht="13.2">
      <c r="A927" s="126"/>
      <c r="B927" s="126"/>
      <c r="C927" s="126"/>
      <c r="D927" s="126"/>
      <c r="E927" s="126"/>
      <c r="F927" s="271"/>
      <c r="G927" s="272"/>
      <c r="H927" s="126"/>
      <c r="I927" s="126"/>
      <c r="J927" s="126"/>
      <c r="K927" s="126"/>
      <c r="L927" s="246"/>
      <c r="M927" s="235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</row>
    <row r="928" spans="1:31" ht="13.2">
      <c r="A928" s="126"/>
      <c r="B928" s="126"/>
      <c r="C928" s="126"/>
      <c r="D928" s="126"/>
      <c r="E928" s="126"/>
      <c r="F928" s="271"/>
      <c r="G928" s="272"/>
      <c r="H928" s="126"/>
      <c r="I928" s="126"/>
      <c r="J928" s="126"/>
      <c r="K928" s="126"/>
      <c r="L928" s="246"/>
      <c r="M928" s="235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</row>
    <row r="929" spans="1:31" ht="13.2">
      <c r="A929" s="126"/>
      <c r="B929" s="126"/>
      <c r="C929" s="126"/>
      <c r="D929" s="126"/>
      <c r="E929" s="126"/>
      <c r="F929" s="271"/>
      <c r="G929" s="272"/>
      <c r="H929" s="126"/>
      <c r="I929" s="126"/>
      <c r="J929" s="126"/>
      <c r="K929" s="126"/>
      <c r="L929" s="246"/>
      <c r="M929" s="235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</row>
    <row r="930" spans="1:31" ht="13.2">
      <c r="A930" s="126"/>
      <c r="B930" s="126"/>
      <c r="C930" s="126"/>
      <c r="D930" s="126"/>
      <c r="E930" s="126"/>
      <c r="F930" s="271"/>
      <c r="G930" s="272"/>
      <c r="H930" s="126"/>
      <c r="I930" s="126"/>
      <c r="J930" s="126"/>
      <c r="K930" s="126"/>
      <c r="L930" s="246"/>
      <c r="M930" s="235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</row>
    <row r="931" spans="1:31" ht="13.2">
      <c r="A931" s="126"/>
      <c r="B931" s="126"/>
      <c r="C931" s="126"/>
      <c r="D931" s="126"/>
      <c r="E931" s="126"/>
      <c r="F931" s="271"/>
      <c r="G931" s="272"/>
      <c r="H931" s="126"/>
      <c r="I931" s="126"/>
      <c r="J931" s="126"/>
      <c r="K931" s="126"/>
      <c r="L931" s="246"/>
      <c r="M931" s="235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</row>
    <row r="932" spans="1:31" ht="13.2">
      <c r="A932" s="126"/>
      <c r="B932" s="126"/>
      <c r="C932" s="126"/>
      <c r="D932" s="126"/>
      <c r="E932" s="126"/>
      <c r="F932" s="271"/>
      <c r="G932" s="272"/>
      <c r="H932" s="126"/>
      <c r="I932" s="126"/>
      <c r="J932" s="126"/>
      <c r="K932" s="126"/>
      <c r="L932" s="246"/>
      <c r="M932" s="235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</row>
    <row r="933" spans="1:31" ht="13.2">
      <c r="A933" s="126"/>
      <c r="B933" s="126"/>
      <c r="C933" s="126"/>
      <c r="D933" s="126"/>
      <c r="E933" s="126"/>
      <c r="F933" s="271"/>
      <c r="G933" s="272"/>
      <c r="H933" s="126"/>
      <c r="I933" s="126"/>
      <c r="J933" s="126"/>
      <c r="K933" s="126"/>
      <c r="L933" s="246"/>
      <c r="M933" s="235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</row>
    <row r="934" spans="1:31" ht="13.2">
      <c r="A934" s="126"/>
      <c r="B934" s="126"/>
      <c r="C934" s="126"/>
      <c r="D934" s="126"/>
      <c r="E934" s="126"/>
      <c r="F934" s="271"/>
      <c r="G934" s="272"/>
      <c r="H934" s="126"/>
      <c r="I934" s="126"/>
      <c r="J934" s="126"/>
      <c r="K934" s="126"/>
      <c r="L934" s="246"/>
      <c r="M934" s="235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</row>
    <row r="935" spans="1:31" ht="13.2">
      <c r="A935" s="126"/>
      <c r="B935" s="126"/>
      <c r="C935" s="126"/>
      <c r="D935" s="126"/>
      <c r="E935" s="126"/>
      <c r="F935" s="271"/>
      <c r="G935" s="272"/>
      <c r="H935" s="126"/>
      <c r="I935" s="126"/>
      <c r="J935" s="126"/>
      <c r="K935" s="126"/>
      <c r="L935" s="246"/>
      <c r="M935" s="235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</row>
    <row r="936" spans="1:31" ht="13.2">
      <c r="A936" s="126"/>
      <c r="B936" s="126"/>
      <c r="C936" s="126"/>
      <c r="D936" s="126"/>
      <c r="E936" s="126"/>
      <c r="F936" s="271"/>
      <c r="G936" s="272"/>
      <c r="H936" s="126"/>
      <c r="I936" s="126"/>
      <c r="J936" s="126"/>
      <c r="K936" s="126"/>
      <c r="L936" s="246"/>
      <c r="M936" s="235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</row>
    <row r="937" spans="1:31" ht="13.2">
      <c r="A937" s="126"/>
      <c r="B937" s="126"/>
      <c r="C937" s="126"/>
      <c r="D937" s="126"/>
      <c r="E937" s="126"/>
      <c r="F937" s="271"/>
      <c r="G937" s="272"/>
      <c r="H937" s="126"/>
      <c r="I937" s="126"/>
      <c r="J937" s="126"/>
      <c r="K937" s="126"/>
      <c r="L937" s="246"/>
      <c r="M937" s="235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</row>
    <row r="938" spans="1:31" ht="13.2">
      <c r="A938" s="126"/>
      <c r="B938" s="126"/>
      <c r="C938" s="126"/>
      <c r="D938" s="126"/>
      <c r="E938" s="126"/>
      <c r="F938" s="271"/>
      <c r="G938" s="272"/>
      <c r="H938" s="126"/>
      <c r="I938" s="126"/>
      <c r="J938" s="126"/>
      <c r="K938" s="126"/>
      <c r="L938" s="246"/>
      <c r="M938" s="235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</row>
    <row r="939" spans="1:31" ht="13.2">
      <c r="A939" s="126"/>
      <c r="B939" s="126"/>
      <c r="C939" s="126"/>
      <c r="D939" s="126"/>
      <c r="E939" s="126"/>
      <c r="F939" s="271"/>
      <c r="G939" s="272"/>
      <c r="H939" s="126"/>
      <c r="I939" s="126"/>
      <c r="J939" s="126"/>
      <c r="K939" s="126"/>
      <c r="L939" s="246"/>
      <c r="M939" s="235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</row>
    <row r="940" spans="1:31" ht="13.2">
      <c r="A940" s="126"/>
      <c r="B940" s="126"/>
      <c r="C940" s="126"/>
      <c r="D940" s="126"/>
      <c r="E940" s="126"/>
      <c r="F940" s="271"/>
      <c r="G940" s="272"/>
      <c r="H940" s="126"/>
      <c r="I940" s="126"/>
      <c r="J940" s="126"/>
      <c r="K940" s="126"/>
      <c r="L940" s="246"/>
      <c r="M940" s="235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</row>
    <row r="941" spans="1:31" ht="13.2">
      <c r="A941" s="126"/>
      <c r="B941" s="126"/>
      <c r="C941" s="126"/>
      <c r="D941" s="126"/>
      <c r="E941" s="126"/>
      <c r="F941" s="271"/>
      <c r="G941" s="272"/>
      <c r="H941" s="126"/>
      <c r="I941" s="126"/>
      <c r="J941" s="126"/>
      <c r="K941" s="126"/>
      <c r="L941" s="246"/>
      <c r="M941" s="235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</row>
    <row r="942" spans="1:31" ht="13.2">
      <c r="A942" s="126"/>
      <c r="B942" s="126"/>
      <c r="C942" s="126"/>
      <c r="D942" s="126"/>
      <c r="E942" s="126"/>
      <c r="F942" s="271"/>
      <c r="G942" s="272"/>
      <c r="H942" s="126"/>
      <c r="I942" s="126"/>
      <c r="J942" s="126"/>
      <c r="K942" s="126"/>
      <c r="L942" s="246"/>
      <c r="M942" s="235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</row>
    <row r="943" spans="1:31" ht="13.2">
      <c r="A943" s="126"/>
      <c r="B943" s="126"/>
      <c r="C943" s="126"/>
      <c r="D943" s="126"/>
      <c r="E943" s="126"/>
      <c r="F943" s="271"/>
      <c r="G943" s="272"/>
      <c r="H943" s="126"/>
      <c r="I943" s="126"/>
      <c r="J943" s="126"/>
      <c r="K943" s="126"/>
      <c r="L943" s="246"/>
      <c r="M943" s="235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</row>
    <row r="944" spans="1:31" ht="13.2">
      <c r="A944" s="126"/>
      <c r="B944" s="126"/>
      <c r="C944" s="126"/>
      <c r="D944" s="126"/>
      <c r="E944" s="126"/>
      <c r="F944" s="271"/>
      <c r="G944" s="272"/>
      <c r="H944" s="126"/>
      <c r="I944" s="126"/>
      <c r="J944" s="126"/>
      <c r="K944" s="126"/>
      <c r="L944" s="246"/>
      <c r="M944" s="235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</row>
    <row r="945" spans="1:31" ht="13.2">
      <c r="A945" s="126"/>
      <c r="B945" s="126"/>
      <c r="C945" s="126"/>
      <c r="D945" s="126"/>
      <c r="E945" s="126"/>
      <c r="F945" s="271"/>
      <c r="G945" s="272"/>
      <c r="H945" s="126"/>
      <c r="I945" s="126"/>
      <c r="J945" s="126"/>
      <c r="K945" s="126"/>
      <c r="L945" s="246"/>
      <c r="M945" s="235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</row>
    <row r="946" spans="1:31" ht="13.2">
      <c r="A946" s="126"/>
      <c r="B946" s="126"/>
      <c r="C946" s="126"/>
      <c r="D946" s="126"/>
      <c r="E946" s="126"/>
      <c r="F946" s="271"/>
      <c r="G946" s="272"/>
      <c r="H946" s="126"/>
      <c r="I946" s="126"/>
      <c r="J946" s="126"/>
      <c r="K946" s="126"/>
      <c r="L946" s="246"/>
      <c r="M946" s="235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</row>
    <row r="947" spans="1:31" ht="13.2">
      <c r="A947" s="126"/>
      <c r="B947" s="126"/>
      <c r="C947" s="126"/>
      <c r="D947" s="126"/>
      <c r="E947" s="126"/>
      <c r="F947" s="271"/>
      <c r="G947" s="272"/>
      <c r="H947" s="126"/>
      <c r="I947" s="126"/>
      <c r="J947" s="126"/>
      <c r="K947" s="126"/>
      <c r="L947" s="246"/>
      <c r="M947" s="235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</row>
    <row r="948" spans="1:31" ht="13.2">
      <c r="A948" s="126"/>
      <c r="B948" s="126"/>
      <c r="C948" s="126"/>
      <c r="D948" s="126"/>
      <c r="E948" s="126"/>
      <c r="F948" s="271"/>
      <c r="G948" s="272"/>
      <c r="H948" s="126"/>
      <c r="I948" s="126"/>
      <c r="J948" s="126"/>
      <c r="K948" s="126"/>
      <c r="L948" s="246"/>
      <c r="M948" s="235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</row>
    <row r="949" spans="1:31" ht="13.2">
      <c r="A949" s="126"/>
      <c r="B949" s="126"/>
      <c r="C949" s="126"/>
      <c r="D949" s="126"/>
      <c r="E949" s="126"/>
      <c r="F949" s="271"/>
      <c r="G949" s="272"/>
      <c r="H949" s="126"/>
      <c r="I949" s="126"/>
      <c r="J949" s="126"/>
      <c r="K949" s="126"/>
      <c r="L949" s="246"/>
      <c r="M949" s="235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</row>
    <row r="950" spans="1:31" ht="13.2">
      <c r="A950" s="126"/>
      <c r="B950" s="126"/>
      <c r="C950" s="126"/>
      <c r="D950" s="126"/>
      <c r="E950" s="126"/>
      <c r="F950" s="271"/>
      <c r="G950" s="272"/>
      <c r="H950" s="126"/>
      <c r="I950" s="126"/>
      <c r="J950" s="126"/>
      <c r="K950" s="126"/>
      <c r="L950" s="246"/>
      <c r="M950" s="235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</row>
    <row r="951" spans="1:31" ht="13.2">
      <c r="A951" s="126"/>
      <c r="B951" s="126"/>
      <c r="C951" s="126"/>
      <c r="D951" s="126"/>
      <c r="E951" s="126"/>
      <c r="F951" s="271"/>
      <c r="G951" s="272"/>
      <c r="H951" s="126"/>
      <c r="I951" s="126"/>
      <c r="J951" s="126"/>
      <c r="K951" s="126"/>
      <c r="L951" s="246"/>
      <c r="M951" s="235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</row>
    <row r="952" spans="1:31" ht="13.2">
      <c r="A952" s="126"/>
      <c r="B952" s="126"/>
      <c r="C952" s="126"/>
      <c r="D952" s="126"/>
      <c r="E952" s="126"/>
      <c r="F952" s="271"/>
      <c r="G952" s="272"/>
      <c r="H952" s="126"/>
      <c r="I952" s="126"/>
      <c r="J952" s="126"/>
      <c r="K952" s="126"/>
      <c r="L952" s="246"/>
      <c r="M952" s="235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</row>
    <row r="953" spans="1:31" ht="13.2">
      <c r="A953" s="126"/>
      <c r="B953" s="126"/>
      <c r="C953" s="126"/>
      <c r="D953" s="126"/>
      <c r="E953" s="126"/>
      <c r="F953" s="271"/>
      <c r="G953" s="272"/>
      <c r="H953" s="126"/>
      <c r="I953" s="126"/>
      <c r="J953" s="126"/>
      <c r="K953" s="126"/>
      <c r="L953" s="246"/>
      <c r="M953" s="235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</row>
    <row r="954" spans="1:31" ht="13.2">
      <c r="A954" s="126"/>
      <c r="B954" s="126"/>
      <c r="C954" s="126"/>
      <c r="D954" s="126"/>
      <c r="E954" s="126"/>
      <c r="F954" s="271"/>
      <c r="G954" s="272"/>
      <c r="H954" s="126"/>
      <c r="I954" s="126"/>
      <c r="J954" s="126"/>
      <c r="K954" s="126"/>
      <c r="L954" s="246"/>
      <c r="M954" s="235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</row>
    <row r="955" spans="1:31" ht="13.2">
      <c r="A955" s="126"/>
      <c r="B955" s="126"/>
      <c r="C955" s="126"/>
      <c r="D955" s="126"/>
      <c r="E955" s="126"/>
      <c r="F955" s="271"/>
      <c r="G955" s="272"/>
      <c r="H955" s="126"/>
      <c r="I955" s="126"/>
      <c r="J955" s="126"/>
      <c r="K955" s="126"/>
      <c r="L955" s="246"/>
      <c r="M955" s="235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</row>
    <row r="956" spans="1:31" ht="13.2">
      <c r="A956" s="126"/>
      <c r="B956" s="126"/>
      <c r="C956" s="126"/>
      <c r="D956" s="126"/>
      <c r="E956" s="126"/>
      <c r="F956" s="271"/>
      <c r="G956" s="272"/>
      <c r="H956" s="126"/>
      <c r="I956" s="126"/>
      <c r="J956" s="126"/>
      <c r="K956" s="126"/>
      <c r="L956" s="246"/>
      <c r="M956" s="235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</row>
    <row r="957" spans="1:31" ht="13.2">
      <c r="A957" s="126"/>
      <c r="B957" s="126"/>
      <c r="C957" s="126"/>
      <c r="D957" s="126"/>
      <c r="E957" s="126"/>
      <c r="F957" s="271"/>
      <c r="G957" s="272"/>
      <c r="H957" s="126"/>
      <c r="I957" s="126"/>
      <c r="J957" s="126"/>
      <c r="K957" s="126"/>
      <c r="L957" s="246"/>
      <c r="M957" s="235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</row>
    <row r="958" spans="1:31" ht="13.2">
      <c r="A958" s="126"/>
      <c r="B958" s="126"/>
      <c r="C958" s="126"/>
      <c r="D958" s="126"/>
      <c r="E958" s="126"/>
      <c r="F958" s="271"/>
      <c r="G958" s="272"/>
      <c r="H958" s="126"/>
      <c r="I958" s="126"/>
      <c r="J958" s="126"/>
      <c r="K958" s="126"/>
      <c r="L958" s="246"/>
      <c r="M958" s="235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</row>
    <row r="959" spans="1:31" ht="13.2">
      <c r="A959" s="126"/>
      <c r="B959" s="126"/>
      <c r="C959" s="126"/>
      <c r="D959" s="126"/>
      <c r="E959" s="126"/>
      <c r="F959" s="271"/>
      <c r="G959" s="272"/>
      <c r="H959" s="126"/>
      <c r="I959" s="126"/>
      <c r="J959" s="126"/>
      <c r="K959" s="126"/>
      <c r="L959" s="246"/>
      <c r="M959" s="235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</row>
    <row r="960" spans="1:31" ht="13.2">
      <c r="A960" s="126"/>
      <c r="B960" s="126"/>
      <c r="C960" s="126"/>
      <c r="D960" s="126"/>
      <c r="E960" s="126"/>
      <c r="F960" s="271"/>
      <c r="G960" s="272"/>
      <c r="H960" s="126"/>
      <c r="I960" s="126"/>
      <c r="J960" s="126"/>
      <c r="K960" s="126"/>
      <c r="L960" s="246"/>
      <c r="M960" s="235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</row>
    <row r="961" spans="1:31" ht="13.2">
      <c r="A961" s="126"/>
      <c r="B961" s="126"/>
      <c r="C961" s="126"/>
      <c r="D961" s="126"/>
      <c r="E961" s="126"/>
      <c r="F961" s="271"/>
      <c r="G961" s="272"/>
      <c r="H961" s="126"/>
      <c r="I961" s="126"/>
      <c r="J961" s="126"/>
      <c r="K961" s="126"/>
      <c r="L961" s="246"/>
      <c r="M961" s="235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</row>
    <row r="962" spans="1:31" ht="13.2">
      <c r="A962" s="126"/>
      <c r="B962" s="126"/>
      <c r="C962" s="126"/>
      <c r="D962" s="126"/>
      <c r="E962" s="126"/>
      <c r="F962" s="271"/>
      <c r="G962" s="272"/>
      <c r="H962" s="126"/>
      <c r="I962" s="126"/>
      <c r="J962" s="126"/>
      <c r="K962" s="126"/>
      <c r="L962" s="246"/>
      <c r="M962" s="235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</row>
    <row r="963" spans="1:31" ht="13.2">
      <c r="A963" s="126"/>
      <c r="B963" s="126"/>
      <c r="C963" s="126"/>
      <c r="D963" s="126"/>
      <c r="E963" s="126"/>
      <c r="F963" s="271"/>
      <c r="G963" s="272"/>
      <c r="H963" s="126"/>
      <c r="I963" s="126"/>
      <c r="J963" s="126"/>
      <c r="K963" s="126"/>
      <c r="L963" s="246"/>
      <c r="M963" s="235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</row>
    <row r="964" spans="1:31" ht="13.2">
      <c r="A964" s="126"/>
      <c r="B964" s="126"/>
      <c r="C964" s="126"/>
      <c r="D964" s="126"/>
      <c r="E964" s="126"/>
      <c r="F964" s="271"/>
      <c r="G964" s="272"/>
      <c r="H964" s="126"/>
      <c r="I964" s="126"/>
      <c r="J964" s="126"/>
      <c r="K964" s="126"/>
      <c r="L964" s="246"/>
      <c r="M964" s="235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</row>
    <row r="965" spans="1:31" ht="13.2">
      <c r="A965" s="126"/>
      <c r="B965" s="126"/>
      <c r="C965" s="126"/>
      <c r="D965" s="126"/>
      <c r="E965" s="126"/>
      <c r="F965" s="271"/>
      <c r="G965" s="272"/>
      <c r="H965" s="126"/>
      <c r="I965" s="126"/>
      <c r="J965" s="126"/>
      <c r="K965" s="126"/>
      <c r="L965" s="246"/>
      <c r="M965" s="235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</row>
    <row r="966" spans="1:31" ht="13.2">
      <c r="A966" s="126"/>
      <c r="B966" s="126"/>
      <c r="C966" s="126"/>
      <c r="D966" s="126"/>
      <c r="E966" s="126"/>
      <c r="F966" s="271"/>
      <c r="G966" s="272"/>
      <c r="H966" s="126"/>
      <c r="I966" s="126"/>
      <c r="J966" s="126"/>
      <c r="K966" s="126"/>
      <c r="L966" s="246"/>
      <c r="M966" s="235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</row>
    <row r="967" spans="1:31" ht="13.2">
      <c r="A967" s="126"/>
      <c r="B967" s="126"/>
      <c r="C967" s="126"/>
      <c r="D967" s="126"/>
      <c r="E967" s="126"/>
      <c r="F967" s="271"/>
      <c r="G967" s="272"/>
      <c r="H967" s="126"/>
      <c r="I967" s="126"/>
      <c r="J967" s="126"/>
      <c r="K967" s="126"/>
      <c r="L967" s="246"/>
      <c r="M967" s="235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</row>
    <row r="968" spans="1:31" ht="13.2">
      <c r="A968" s="126"/>
      <c r="B968" s="126"/>
      <c r="C968" s="126"/>
      <c r="D968" s="126"/>
      <c r="E968" s="126"/>
      <c r="F968" s="271"/>
      <c r="G968" s="272"/>
      <c r="H968" s="126"/>
      <c r="I968" s="126"/>
      <c r="J968" s="126"/>
      <c r="K968" s="126"/>
      <c r="L968" s="246"/>
      <c r="M968" s="235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</row>
    <row r="969" spans="1:31" ht="13.2">
      <c r="A969" s="126"/>
      <c r="B969" s="126"/>
      <c r="C969" s="126"/>
      <c r="D969" s="126"/>
      <c r="E969" s="126"/>
      <c r="F969" s="271"/>
      <c r="G969" s="272"/>
      <c r="H969" s="126"/>
      <c r="I969" s="126"/>
      <c r="J969" s="126"/>
      <c r="K969" s="126"/>
      <c r="L969" s="246"/>
      <c r="M969" s="235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</row>
    <row r="970" spans="1:31" ht="13.2">
      <c r="A970" s="126"/>
      <c r="B970" s="126"/>
      <c r="C970" s="126"/>
      <c r="D970" s="126"/>
      <c r="E970" s="126"/>
      <c r="F970" s="271"/>
      <c r="G970" s="272"/>
      <c r="H970" s="126"/>
      <c r="I970" s="126"/>
      <c r="J970" s="126"/>
      <c r="K970" s="126"/>
      <c r="L970" s="246"/>
      <c r="M970" s="235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</row>
    <row r="971" spans="1:31" ht="13.2">
      <c r="A971" s="126"/>
      <c r="B971" s="126"/>
      <c r="C971" s="126"/>
      <c r="D971" s="126"/>
      <c r="E971" s="126"/>
      <c r="F971" s="271"/>
      <c r="G971" s="272"/>
      <c r="H971" s="126"/>
      <c r="I971" s="126"/>
      <c r="J971" s="126"/>
      <c r="K971" s="126"/>
      <c r="L971" s="246"/>
      <c r="M971" s="235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</row>
    <row r="972" spans="1:31" ht="13.2">
      <c r="A972" s="126"/>
      <c r="B972" s="126"/>
      <c r="C972" s="126"/>
      <c r="D972" s="126"/>
      <c r="E972" s="126"/>
      <c r="F972" s="271"/>
      <c r="G972" s="272"/>
      <c r="H972" s="126"/>
      <c r="I972" s="126"/>
      <c r="J972" s="126"/>
      <c r="K972" s="126"/>
      <c r="L972" s="246"/>
      <c r="M972" s="235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</row>
    <row r="973" spans="1:31" ht="13.2">
      <c r="A973" s="126"/>
      <c r="B973" s="126"/>
      <c r="C973" s="126"/>
      <c r="D973" s="126"/>
      <c r="E973" s="126"/>
      <c r="F973" s="271"/>
      <c r="G973" s="272"/>
      <c r="H973" s="126"/>
      <c r="I973" s="126"/>
      <c r="J973" s="126"/>
      <c r="K973" s="126"/>
      <c r="L973" s="246"/>
      <c r="M973" s="235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</row>
    <row r="974" spans="1:31" ht="13.2">
      <c r="A974" s="126"/>
      <c r="B974" s="126"/>
      <c r="C974" s="126"/>
      <c r="D974" s="126"/>
      <c r="E974" s="126"/>
      <c r="F974" s="271"/>
      <c r="G974" s="272"/>
      <c r="H974" s="126"/>
      <c r="I974" s="126"/>
      <c r="J974" s="126"/>
      <c r="K974" s="126"/>
      <c r="L974" s="246"/>
      <c r="M974" s="235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</row>
    <row r="975" spans="1:31" ht="13.2">
      <c r="A975" s="126"/>
      <c r="B975" s="126"/>
      <c r="C975" s="126"/>
      <c r="D975" s="126"/>
      <c r="E975" s="126"/>
      <c r="F975" s="271"/>
      <c r="G975" s="272"/>
      <c r="H975" s="126"/>
      <c r="I975" s="126"/>
      <c r="J975" s="126"/>
      <c r="K975" s="126"/>
      <c r="L975" s="246"/>
      <c r="M975" s="235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</row>
    <row r="976" spans="1:31" ht="13.2">
      <c r="A976" s="126"/>
      <c r="B976" s="126"/>
      <c r="C976" s="126"/>
      <c r="D976" s="126"/>
      <c r="E976" s="126"/>
      <c r="F976" s="271"/>
      <c r="G976" s="272"/>
      <c r="H976" s="126"/>
      <c r="I976" s="126"/>
      <c r="J976" s="126"/>
      <c r="K976" s="126"/>
      <c r="L976" s="246"/>
      <c r="M976" s="235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</row>
    <row r="977" spans="1:31" ht="13.2">
      <c r="A977" s="126"/>
      <c r="B977" s="126"/>
      <c r="C977" s="126"/>
      <c r="D977" s="126"/>
      <c r="E977" s="126"/>
      <c r="F977" s="271"/>
      <c r="G977" s="272"/>
      <c r="H977" s="126"/>
      <c r="I977" s="126"/>
      <c r="J977" s="126"/>
      <c r="K977" s="126"/>
      <c r="L977" s="246"/>
      <c r="M977" s="235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</row>
    <row r="978" spans="1:31" ht="13.2">
      <c r="A978" s="126"/>
      <c r="B978" s="126"/>
      <c r="C978" s="126"/>
      <c r="D978" s="126"/>
      <c r="E978" s="126"/>
      <c r="F978" s="271"/>
      <c r="G978" s="272"/>
      <c r="H978" s="126"/>
      <c r="I978" s="126"/>
      <c r="J978" s="126"/>
      <c r="K978" s="126"/>
      <c r="L978" s="246"/>
      <c r="M978" s="235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</row>
    <row r="979" spans="1:31" ht="13.2">
      <c r="A979" s="126"/>
      <c r="B979" s="126"/>
      <c r="C979" s="126"/>
      <c r="D979" s="126"/>
      <c r="E979" s="126"/>
      <c r="F979" s="271"/>
      <c r="G979" s="272"/>
      <c r="H979" s="126"/>
      <c r="I979" s="126"/>
      <c r="J979" s="126"/>
      <c r="K979" s="126"/>
      <c r="L979" s="246"/>
      <c r="M979" s="235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</row>
    <row r="980" spans="1:31" ht="13.2">
      <c r="A980" s="126"/>
      <c r="B980" s="126"/>
      <c r="C980" s="126"/>
      <c r="D980" s="126"/>
      <c r="E980" s="126"/>
      <c r="F980" s="271"/>
      <c r="G980" s="272"/>
      <c r="H980" s="126"/>
      <c r="I980" s="126"/>
      <c r="J980" s="126"/>
      <c r="K980" s="126"/>
      <c r="L980" s="246"/>
      <c r="M980" s="235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</row>
    <row r="981" spans="1:31" ht="13.2">
      <c r="A981" s="126"/>
      <c r="B981" s="126"/>
      <c r="C981" s="126"/>
      <c r="D981" s="126"/>
      <c r="E981" s="126"/>
      <c r="F981" s="271"/>
      <c r="G981" s="272"/>
      <c r="H981" s="126"/>
      <c r="I981" s="126"/>
      <c r="J981" s="126"/>
      <c r="K981" s="126"/>
      <c r="L981" s="246"/>
      <c r="M981" s="235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</row>
    <row r="982" spans="1:31" ht="13.2">
      <c r="A982" s="126"/>
      <c r="B982" s="126"/>
      <c r="C982" s="126"/>
      <c r="D982" s="126"/>
      <c r="E982" s="126"/>
      <c r="F982" s="271"/>
      <c r="G982" s="272"/>
      <c r="H982" s="126"/>
      <c r="I982" s="126"/>
      <c r="J982" s="126"/>
      <c r="K982" s="126"/>
      <c r="L982" s="246"/>
      <c r="M982" s="235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</row>
    <row r="983" spans="1:31" ht="13.2">
      <c r="A983" s="126"/>
      <c r="B983" s="126"/>
      <c r="C983" s="126"/>
      <c r="D983" s="126"/>
      <c r="E983" s="126"/>
      <c r="F983" s="271"/>
      <c r="G983" s="272"/>
      <c r="H983" s="126"/>
      <c r="I983" s="126"/>
      <c r="J983" s="126"/>
      <c r="K983" s="126"/>
      <c r="L983" s="246"/>
      <c r="M983" s="235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</row>
    <row r="984" spans="1:31" ht="13.2">
      <c r="A984" s="126"/>
      <c r="B984" s="126"/>
      <c r="C984" s="126"/>
      <c r="D984" s="126"/>
      <c r="E984" s="126"/>
      <c r="F984" s="271"/>
      <c r="G984" s="272"/>
      <c r="H984" s="126"/>
      <c r="I984" s="126"/>
      <c r="J984" s="126"/>
      <c r="K984" s="126"/>
      <c r="L984" s="246"/>
      <c r="M984" s="235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</row>
    <row r="985" spans="1:31" ht="13.2">
      <c r="A985" s="126"/>
      <c r="B985" s="126"/>
      <c r="C985" s="126"/>
      <c r="D985" s="126"/>
      <c r="E985" s="126"/>
      <c r="F985" s="271"/>
      <c r="G985" s="272"/>
      <c r="H985" s="126"/>
      <c r="I985" s="126"/>
      <c r="J985" s="126"/>
      <c r="K985" s="126"/>
      <c r="L985" s="246"/>
      <c r="M985" s="235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</row>
    <row r="986" spans="1:31" ht="13.2">
      <c r="A986" s="126"/>
      <c r="B986" s="126"/>
      <c r="C986" s="126"/>
      <c r="D986" s="126"/>
      <c r="E986" s="126"/>
      <c r="F986" s="271"/>
      <c r="G986" s="272"/>
      <c r="H986" s="126"/>
      <c r="I986" s="126"/>
      <c r="J986" s="126"/>
      <c r="K986" s="126"/>
      <c r="L986" s="246"/>
      <c r="M986" s="235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</row>
    <row r="987" spans="1:31" ht="13.2">
      <c r="A987" s="126"/>
      <c r="B987" s="126"/>
      <c r="C987" s="126"/>
      <c r="D987" s="126"/>
      <c r="E987" s="126"/>
      <c r="F987" s="271"/>
      <c r="G987" s="272"/>
      <c r="H987" s="126"/>
      <c r="I987" s="126"/>
      <c r="J987" s="126"/>
      <c r="K987" s="126"/>
      <c r="L987" s="246"/>
      <c r="M987" s="235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</row>
    <row r="988" spans="1:31" ht="13.2">
      <c r="A988" s="126"/>
      <c r="B988" s="126"/>
      <c r="C988" s="126"/>
      <c r="D988" s="126"/>
      <c r="E988" s="126"/>
      <c r="F988" s="271"/>
      <c r="G988" s="272"/>
      <c r="H988" s="126"/>
      <c r="I988" s="126"/>
      <c r="J988" s="126"/>
      <c r="K988" s="126"/>
      <c r="L988" s="246"/>
      <c r="M988" s="235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</row>
    <row r="989" spans="1:31" ht="13.2">
      <c r="A989" s="126"/>
      <c r="B989" s="126"/>
      <c r="C989" s="126"/>
      <c r="D989" s="126"/>
      <c r="E989" s="126"/>
      <c r="F989" s="271"/>
      <c r="G989" s="272"/>
      <c r="H989" s="126"/>
      <c r="I989" s="126"/>
      <c r="J989" s="126"/>
      <c r="K989" s="126"/>
      <c r="L989" s="246"/>
      <c r="M989" s="235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</row>
    <row r="990" spans="1:31" ht="13.2">
      <c r="A990" s="126"/>
      <c r="B990" s="126"/>
      <c r="C990" s="126"/>
      <c r="D990" s="126"/>
      <c r="E990" s="126"/>
      <c r="F990" s="271"/>
      <c r="G990" s="272"/>
      <c r="H990" s="126"/>
      <c r="I990" s="126"/>
      <c r="J990" s="126"/>
      <c r="K990" s="126"/>
      <c r="L990" s="246"/>
      <c r="M990" s="235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</row>
    <row r="991" spans="1:31" ht="13.2">
      <c r="A991" s="126"/>
      <c r="B991" s="126"/>
      <c r="C991" s="126"/>
      <c r="D991" s="126"/>
      <c r="E991" s="126"/>
      <c r="F991" s="271"/>
      <c r="G991" s="272"/>
      <c r="H991" s="126"/>
      <c r="I991" s="126"/>
      <c r="J991" s="126"/>
      <c r="K991" s="126"/>
      <c r="L991" s="246"/>
      <c r="M991" s="235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</row>
    <row r="992" spans="1:31" ht="13.2">
      <c r="A992" s="126"/>
      <c r="B992" s="126"/>
      <c r="C992" s="126"/>
      <c r="D992" s="126"/>
      <c r="E992" s="126"/>
      <c r="F992" s="271"/>
      <c r="G992" s="272"/>
      <c r="H992" s="126"/>
      <c r="I992" s="126"/>
      <c r="J992" s="126"/>
      <c r="K992" s="126"/>
      <c r="L992" s="246"/>
      <c r="M992" s="235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</row>
    <row r="993" spans="1:31" ht="13.2">
      <c r="A993" s="126"/>
      <c r="B993" s="126"/>
      <c r="C993" s="126"/>
      <c r="D993" s="126"/>
      <c r="E993" s="126"/>
      <c r="F993" s="271"/>
      <c r="G993" s="272"/>
      <c r="H993" s="126"/>
      <c r="I993" s="126"/>
      <c r="J993" s="126"/>
      <c r="K993" s="126"/>
      <c r="L993" s="246"/>
      <c r="M993" s="235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</row>
    <row r="994" spans="1:31" ht="13.2">
      <c r="A994" s="126"/>
      <c r="B994" s="126"/>
      <c r="C994" s="126"/>
      <c r="D994" s="126"/>
      <c r="E994" s="126"/>
      <c r="F994" s="271"/>
      <c r="G994" s="272"/>
      <c r="H994" s="126"/>
      <c r="I994" s="126"/>
      <c r="J994" s="126"/>
      <c r="K994" s="126"/>
      <c r="L994" s="246"/>
      <c r="M994" s="235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</row>
    <row r="995" spans="1:31" ht="13.2">
      <c r="A995" s="126"/>
      <c r="B995" s="126"/>
      <c r="C995" s="126"/>
      <c r="D995" s="126"/>
      <c r="E995" s="126"/>
      <c r="F995" s="271"/>
      <c r="G995" s="272"/>
      <c r="H995" s="126"/>
      <c r="I995" s="126"/>
      <c r="J995" s="126"/>
      <c r="K995" s="126"/>
      <c r="L995" s="246"/>
      <c r="M995" s="235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</row>
    <row r="996" spans="1:31" ht="13.2">
      <c r="A996" s="126"/>
      <c r="B996" s="126"/>
      <c r="C996" s="126"/>
      <c r="D996" s="126"/>
      <c r="E996" s="126"/>
      <c r="F996" s="271"/>
      <c r="G996" s="272"/>
      <c r="H996" s="126"/>
      <c r="I996" s="126"/>
      <c r="J996" s="126"/>
      <c r="K996" s="126"/>
      <c r="L996" s="246"/>
      <c r="M996" s="235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</row>
    <row r="997" spans="1:31" ht="13.2">
      <c r="A997" s="126"/>
      <c r="B997" s="126"/>
      <c r="C997" s="126"/>
      <c r="D997" s="126"/>
      <c r="E997" s="126"/>
      <c r="F997" s="271"/>
      <c r="G997" s="272"/>
      <c r="H997" s="126"/>
      <c r="I997" s="126"/>
      <c r="J997" s="126"/>
      <c r="K997" s="126"/>
      <c r="L997" s="246"/>
      <c r="M997" s="235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</row>
    <row r="998" spans="1:31" ht="13.2">
      <c r="A998" s="126"/>
      <c r="B998" s="126"/>
      <c r="C998" s="126"/>
      <c r="D998" s="126"/>
      <c r="E998" s="126"/>
      <c r="F998" s="271"/>
      <c r="G998" s="272"/>
      <c r="H998" s="126"/>
      <c r="I998" s="126"/>
      <c r="J998" s="126"/>
      <c r="K998" s="126"/>
      <c r="L998" s="246"/>
      <c r="M998" s="235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</row>
    <row r="999" spans="1:31" ht="13.2">
      <c r="A999" s="126"/>
      <c r="B999" s="126"/>
      <c r="C999" s="126"/>
      <c r="D999" s="126"/>
      <c r="E999" s="126"/>
      <c r="F999" s="271"/>
      <c r="G999" s="272"/>
      <c r="H999" s="126"/>
      <c r="I999" s="126"/>
      <c r="J999" s="126"/>
      <c r="K999" s="126"/>
      <c r="L999" s="246"/>
      <c r="M999" s="235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</row>
    <row r="1000" spans="1:31" ht="13.2">
      <c r="A1000" s="126"/>
      <c r="B1000" s="126"/>
      <c r="C1000" s="126"/>
      <c r="D1000" s="126"/>
      <c r="E1000" s="126"/>
      <c r="F1000" s="271"/>
      <c r="G1000" s="272"/>
      <c r="H1000" s="126"/>
      <c r="I1000" s="126"/>
      <c r="J1000" s="126"/>
      <c r="K1000" s="126"/>
      <c r="L1000" s="246"/>
      <c r="M1000" s="235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</row>
    <row r="1001" spans="1:31" ht="13.2">
      <c r="A1001" s="126"/>
      <c r="B1001" s="126"/>
      <c r="C1001" s="126"/>
      <c r="D1001" s="126"/>
      <c r="E1001" s="126"/>
      <c r="F1001" s="271"/>
      <c r="G1001" s="272"/>
      <c r="H1001" s="126"/>
      <c r="I1001" s="126"/>
      <c r="J1001" s="126"/>
      <c r="K1001" s="126"/>
      <c r="L1001" s="246"/>
      <c r="M1001" s="235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  <c r="AB1001" s="126"/>
      <c r="AC1001" s="126"/>
      <c r="AD1001" s="126"/>
      <c r="AE1001" s="126"/>
    </row>
    <row r="1002" spans="1:31" ht="13.2">
      <c r="A1002" s="126"/>
      <c r="B1002" s="126"/>
      <c r="C1002" s="126"/>
      <c r="D1002" s="126"/>
      <c r="E1002" s="126"/>
      <c r="F1002" s="271"/>
      <c r="G1002" s="272"/>
      <c r="H1002" s="126"/>
      <c r="I1002" s="126"/>
      <c r="J1002" s="126"/>
      <c r="K1002" s="126"/>
      <c r="L1002" s="246"/>
      <c r="M1002" s="235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  <c r="AB1002" s="126"/>
      <c r="AC1002" s="126"/>
      <c r="AD1002" s="126"/>
      <c r="AE1002" s="126"/>
    </row>
    <row r="1003" spans="1:31" ht="13.2">
      <c r="A1003" s="126"/>
      <c r="B1003" s="126"/>
      <c r="C1003" s="126"/>
      <c r="D1003" s="126"/>
      <c r="E1003" s="126"/>
      <c r="F1003" s="271"/>
      <c r="G1003" s="272"/>
      <c r="H1003" s="126"/>
      <c r="I1003" s="126"/>
      <c r="J1003" s="126"/>
      <c r="K1003" s="126"/>
      <c r="L1003" s="246"/>
      <c r="M1003" s="235"/>
      <c r="N1003" s="126"/>
      <c r="O1003" s="126"/>
      <c r="P1003" s="126"/>
      <c r="Q1003" s="126"/>
      <c r="R1003" s="126"/>
      <c r="S1003" s="126"/>
      <c r="T1003" s="126"/>
      <c r="U1003" s="126"/>
      <c r="V1003" s="126"/>
      <c r="W1003" s="126"/>
      <c r="X1003" s="126"/>
      <c r="Y1003" s="126"/>
      <c r="Z1003" s="126"/>
      <c r="AA1003" s="126"/>
      <c r="AB1003" s="126"/>
      <c r="AC1003" s="126"/>
      <c r="AD1003" s="126"/>
      <c r="AE1003" s="126"/>
    </row>
    <row r="1004" spans="1:31" ht="13.2">
      <c r="A1004" s="126"/>
      <c r="B1004" s="126"/>
      <c r="C1004" s="126"/>
      <c r="D1004" s="126"/>
      <c r="E1004" s="126"/>
      <c r="F1004" s="271"/>
      <c r="G1004" s="272"/>
      <c r="H1004" s="126"/>
      <c r="I1004" s="126"/>
      <c r="J1004" s="126"/>
      <c r="K1004" s="126"/>
      <c r="L1004" s="246"/>
      <c r="M1004" s="235"/>
      <c r="N1004" s="126"/>
      <c r="O1004" s="126"/>
      <c r="P1004" s="126"/>
      <c r="Q1004" s="126"/>
      <c r="R1004" s="126"/>
      <c r="S1004" s="126"/>
      <c r="T1004" s="126"/>
      <c r="U1004" s="126"/>
      <c r="V1004" s="126"/>
      <c r="W1004" s="126"/>
      <c r="X1004" s="126"/>
      <c r="Y1004" s="126"/>
      <c r="Z1004" s="126"/>
      <c r="AA1004" s="126"/>
      <c r="AB1004" s="126"/>
      <c r="AC1004" s="126"/>
      <c r="AD1004" s="126"/>
      <c r="AE1004" s="126"/>
    </row>
    <row r="1005" spans="1:31" ht="13.2">
      <c r="A1005" s="126"/>
      <c r="B1005" s="126"/>
      <c r="C1005" s="126"/>
      <c r="D1005" s="126"/>
      <c r="E1005" s="126"/>
      <c r="F1005" s="271"/>
      <c r="G1005" s="272"/>
      <c r="H1005" s="126"/>
      <c r="I1005" s="126"/>
      <c r="J1005" s="126"/>
      <c r="K1005" s="126"/>
      <c r="L1005" s="246"/>
      <c r="M1005" s="235"/>
      <c r="N1005" s="126"/>
      <c r="O1005" s="126"/>
      <c r="P1005" s="126"/>
      <c r="Q1005" s="126"/>
      <c r="R1005" s="126"/>
      <c r="S1005" s="126"/>
      <c r="T1005" s="126"/>
      <c r="U1005" s="126"/>
      <c r="V1005" s="126"/>
      <c r="W1005" s="126"/>
      <c r="X1005" s="126"/>
      <c r="Y1005" s="126"/>
      <c r="Z1005" s="126"/>
      <c r="AA1005" s="126"/>
      <c r="AB1005" s="126"/>
      <c r="AC1005" s="126"/>
      <c r="AD1005" s="126"/>
      <c r="AE1005" s="126"/>
    </row>
    <row r="1006" spans="1:31" ht="13.2">
      <c r="A1006" s="126"/>
      <c r="B1006" s="126"/>
      <c r="C1006" s="126"/>
      <c r="D1006" s="126"/>
      <c r="E1006" s="126"/>
      <c r="F1006" s="271"/>
      <c r="G1006" s="272"/>
      <c r="H1006" s="126"/>
      <c r="I1006" s="126"/>
      <c r="J1006" s="126"/>
      <c r="K1006" s="126"/>
      <c r="L1006" s="246"/>
      <c r="M1006" s="235"/>
      <c r="N1006" s="126"/>
      <c r="O1006" s="126"/>
      <c r="P1006" s="126"/>
      <c r="Q1006" s="126"/>
      <c r="R1006" s="126"/>
      <c r="S1006" s="126"/>
      <c r="T1006" s="126"/>
      <c r="U1006" s="126"/>
      <c r="V1006" s="126"/>
      <c r="W1006" s="126"/>
      <c r="X1006" s="126"/>
      <c r="Y1006" s="126"/>
      <c r="Z1006" s="126"/>
      <c r="AA1006" s="126"/>
      <c r="AB1006" s="126"/>
      <c r="AC1006" s="126"/>
      <c r="AD1006" s="126"/>
      <c r="AE1006" s="126"/>
    </row>
    <row r="1007" spans="1:31" ht="13.2">
      <c r="A1007" s="126"/>
      <c r="B1007" s="126"/>
      <c r="C1007" s="126"/>
      <c r="D1007" s="126"/>
      <c r="E1007" s="126"/>
      <c r="F1007" s="271"/>
      <c r="G1007" s="272"/>
      <c r="H1007" s="126"/>
      <c r="I1007" s="126"/>
      <c r="J1007" s="126"/>
      <c r="K1007" s="126"/>
      <c r="L1007" s="246"/>
      <c r="M1007" s="235"/>
      <c r="N1007" s="126"/>
      <c r="O1007" s="126"/>
      <c r="P1007" s="126"/>
      <c r="Q1007" s="126"/>
      <c r="R1007" s="126"/>
      <c r="S1007" s="126"/>
      <c r="T1007" s="126"/>
      <c r="U1007" s="126"/>
      <c r="V1007" s="126"/>
      <c r="W1007" s="126"/>
      <c r="X1007" s="126"/>
      <c r="Y1007" s="126"/>
      <c r="Z1007" s="126"/>
      <c r="AA1007" s="126"/>
      <c r="AB1007" s="126"/>
      <c r="AC1007" s="126"/>
      <c r="AD1007" s="126"/>
      <c r="AE1007" s="126"/>
    </row>
    <row r="1008" spans="1:31" ht="13.2">
      <c r="A1008" s="126"/>
      <c r="B1008" s="126"/>
      <c r="C1008" s="126"/>
      <c r="D1008" s="126"/>
      <c r="E1008" s="126"/>
      <c r="F1008" s="271"/>
      <c r="G1008" s="272"/>
      <c r="H1008" s="126"/>
      <c r="I1008" s="126"/>
      <c r="J1008" s="126"/>
      <c r="K1008" s="126"/>
      <c r="L1008" s="246"/>
      <c r="M1008" s="235"/>
      <c r="N1008" s="126"/>
      <c r="O1008" s="126"/>
      <c r="P1008" s="126"/>
      <c r="Q1008" s="126"/>
      <c r="R1008" s="126"/>
      <c r="S1008" s="126"/>
      <c r="T1008" s="126"/>
      <c r="U1008" s="126"/>
      <c r="V1008" s="126"/>
      <c r="W1008" s="126"/>
      <c r="X1008" s="126"/>
      <c r="Y1008" s="126"/>
      <c r="Z1008" s="126"/>
      <c r="AA1008" s="126"/>
      <c r="AB1008" s="126"/>
      <c r="AC1008" s="126"/>
      <c r="AD1008" s="126"/>
      <c r="AE1008" s="126"/>
    </row>
    <row r="1009" spans="1:31" ht="13.2">
      <c r="A1009" s="126"/>
      <c r="B1009" s="126"/>
      <c r="C1009" s="126"/>
      <c r="D1009" s="126"/>
      <c r="E1009" s="126"/>
      <c r="F1009" s="271"/>
      <c r="G1009" s="272"/>
      <c r="H1009" s="126"/>
      <c r="I1009" s="126"/>
      <c r="J1009" s="126"/>
      <c r="K1009" s="126"/>
      <c r="L1009" s="246"/>
      <c r="M1009" s="235"/>
      <c r="N1009" s="126"/>
      <c r="O1009" s="126"/>
      <c r="P1009" s="126"/>
      <c r="Q1009" s="126"/>
      <c r="R1009" s="126"/>
      <c r="S1009" s="126"/>
      <c r="T1009" s="126"/>
      <c r="U1009" s="126"/>
      <c r="V1009" s="126"/>
      <c r="W1009" s="126"/>
      <c r="X1009" s="126"/>
      <c r="Y1009" s="126"/>
      <c r="Z1009" s="126"/>
      <c r="AA1009" s="126"/>
      <c r="AB1009" s="126"/>
      <c r="AC1009" s="126"/>
      <c r="AD1009" s="126"/>
      <c r="AE1009" s="126"/>
    </row>
    <row r="1010" spans="1:31" ht="13.2">
      <c r="A1010" s="126"/>
      <c r="B1010" s="126"/>
      <c r="C1010" s="126"/>
      <c r="D1010" s="126"/>
      <c r="E1010" s="126"/>
      <c r="F1010" s="271"/>
      <c r="G1010" s="272"/>
      <c r="H1010" s="126"/>
      <c r="I1010" s="126"/>
      <c r="J1010" s="126"/>
      <c r="K1010" s="126"/>
      <c r="L1010" s="246"/>
      <c r="M1010" s="235"/>
      <c r="N1010" s="126"/>
      <c r="O1010" s="126"/>
      <c r="P1010" s="126"/>
      <c r="Q1010" s="126"/>
      <c r="R1010" s="126"/>
      <c r="S1010" s="126"/>
      <c r="T1010" s="126"/>
      <c r="U1010" s="126"/>
      <c r="V1010" s="126"/>
      <c r="W1010" s="126"/>
      <c r="X1010" s="126"/>
      <c r="Y1010" s="126"/>
      <c r="Z1010" s="126"/>
      <c r="AA1010" s="126"/>
      <c r="AB1010" s="126"/>
      <c r="AC1010" s="126"/>
      <c r="AD1010" s="126"/>
      <c r="AE1010" s="126"/>
    </row>
    <row r="1011" spans="1:31" ht="13.2">
      <c r="A1011" s="126"/>
      <c r="B1011" s="126"/>
      <c r="C1011" s="126"/>
      <c r="D1011" s="126"/>
      <c r="E1011" s="126"/>
      <c r="F1011" s="271"/>
      <c r="G1011" s="272"/>
      <c r="H1011" s="126"/>
      <c r="I1011" s="126"/>
      <c r="J1011" s="126"/>
      <c r="K1011" s="126"/>
      <c r="L1011" s="246"/>
      <c r="M1011" s="235"/>
      <c r="N1011" s="126"/>
      <c r="O1011" s="126"/>
      <c r="P1011" s="126"/>
      <c r="Q1011" s="126"/>
      <c r="R1011" s="126"/>
      <c r="S1011" s="126"/>
      <c r="T1011" s="126"/>
      <c r="U1011" s="126"/>
      <c r="V1011" s="126"/>
      <c r="W1011" s="126"/>
      <c r="X1011" s="126"/>
      <c r="Y1011" s="126"/>
      <c r="Z1011" s="126"/>
      <c r="AA1011" s="126"/>
      <c r="AB1011" s="126"/>
      <c r="AC1011" s="126"/>
      <c r="AD1011" s="126"/>
      <c r="AE1011" s="126"/>
    </row>
    <row r="1012" spans="1:31" ht="13.2">
      <c r="A1012" s="126"/>
      <c r="B1012" s="126"/>
      <c r="C1012" s="126"/>
      <c r="D1012" s="126"/>
      <c r="E1012" s="126"/>
      <c r="F1012" s="271"/>
      <c r="G1012" s="272"/>
      <c r="H1012" s="126"/>
      <c r="I1012" s="126"/>
      <c r="J1012" s="126"/>
      <c r="K1012" s="126"/>
      <c r="L1012" s="246"/>
      <c r="M1012" s="235"/>
      <c r="N1012" s="126"/>
      <c r="O1012" s="126"/>
      <c r="P1012" s="126"/>
      <c r="Q1012" s="126"/>
      <c r="R1012" s="126"/>
      <c r="S1012" s="126"/>
      <c r="T1012" s="126"/>
      <c r="U1012" s="126"/>
      <c r="V1012" s="126"/>
      <c r="W1012" s="126"/>
      <c r="X1012" s="126"/>
      <c r="Y1012" s="126"/>
      <c r="Z1012" s="126"/>
      <c r="AA1012" s="126"/>
      <c r="AB1012" s="126"/>
      <c r="AC1012" s="126"/>
      <c r="AD1012" s="126"/>
      <c r="AE1012" s="126"/>
    </row>
    <row r="1013" spans="1:31" ht="13.2">
      <c r="A1013" s="126"/>
      <c r="B1013" s="126"/>
      <c r="C1013" s="126"/>
      <c r="D1013" s="126"/>
      <c r="E1013" s="126"/>
      <c r="F1013" s="271"/>
      <c r="G1013" s="272"/>
      <c r="H1013" s="126"/>
      <c r="I1013" s="126"/>
      <c r="J1013" s="126"/>
      <c r="K1013" s="126"/>
      <c r="L1013" s="246"/>
      <c r="M1013" s="235"/>
      <c r="N1013" s="126"/>
      <c r="O1013" s="126"/>
      <c r="P1013" s="126"/>
      <c r="Q1013" s="126"/>
      <c r="R1013" s="126"/>
      <c r="S1013" s="126"/>
      <c r="T1013" s="126"/>
      <c r="U1013" s="126"/>
      <c r="V1013" s="126"/>
      <c r="W1013" s="126"/>
      <c r="X1013" s="126"/>
      <c r="Y1013" s="126"/>
      <c r="Z1013" s="126"/>
      <c r="AA1013" s="126"/>
      <c r="AB1013" s="126"/>
      <c r="AC1013" s="126"/>
      <c r="AD1013" s="126"/>
      <c r="AE1013" s="126"/>
    </row>
    <row r="1014" spans="1:31" ht="13.2">
      <c r="A1014" s="126"/>
      <c r="B1014" s="126"/>
      <c r="C1014" s="126"/>
      <c r="D1014" s="126"/>
      <c r="E1014" s="126"/>
      <c r="F1014" s="271"/>
      <c r="G1014" s="272"/>
      <c r="H1014" s="126"/>
      <c r="I1014" s="126"/>
      <c r="J1014" s="126"/>
      <c r="K1014" s="126"/>
      <c r="L1014" s="246"/>
      <c r="M1014" s="235"/>
      <c r="N1014" s="126"/>
      <c r="O1014" s="126"/>
      <c r="P1014" s="126"/>
      <c r="Q1014" s="126"/>
      <c r="R1014" s="126"/>
      <c r="S1014" s="126"/>
      <c r="T1014" s="126"/>
      <c r="U1014" s="126"/>
      <c r="V1014" s="126"/>
      <c r="W1014" s="126"/>
      <c r="X1014" s="126"/>
      <c r="Y1014" s="126"/>
      <c r="Z1014" s="126"/>
      <c r="AA1014" s="126"/>
      <c r="AB1014" s="126"/>
      <c r="AC1014" s="126"/>
      <c r="AD1014" s="126"/>
      <c r="AE1014" s="126"/>
    </row>
    <row r="1015" spans="1:31" ht="13.2">
      <c r="A1015" s="126"/>
      <c r="B1015" s="126"/>
      <c r="C1015" s="126"/>
      <c r="D1015" s="126"/>
      <c r="E1015" s="126"/>
      <c r="F1015" s="271"/>
      <c r="G1015" s="272"/>
      <c r="H1015" s="126"/>
      <c r="I1015" s="126"/>
      <c r="J1015" s="126"/>
      <c r="K1015" s="126"/>
      <c r="L1015" s="246"/>
      <c r="M1015" s="235"/>
      <c r="N1015" s="126"/>
      <c r="O1015" s="126"/>
      <c r="P1015" s="126"/>
      <c r="Q1015" s="126"/>
      <c r="R1015" s="126"/>
      <c r="S1015" s="126"/>
      <c r="T1015" s="126"/>
      <c r="U1015" s="126"/>
      <c r="V1015" s="126"/>
      <c r="W1015" s="126"/>
      <c r="X1015" s="126"/>
      <c r="Y1015" s="126"/>
      <c r="Z1015" s="126"/>
      <c r="AA1015" s="126"/>
      <c r="AB1015" s="126"/>
      <c r="AC1015" s="126"/>
      <c r="AD1015" s="126"/>
      <c r="AE1015" s="126"/>
    </row>
    <row r="1016" spans="1:31" ht="13.2">
      <c r="A1016" s="126"/>
      <c r="B1016" s="126"/>
      <c r="C1016" s="126"/>
      <c r="D1016" s="126"/>
      <c r="E1016" s="126"/>
      <c r="F1016" s="271"/>
      <c r="G1016" s="272"/>
      <c r="H1016" s="126"/>
      <c r="I1016" s="126"/>
      <c r="J1016" s="126"/>
      <c r="K1016" s="126"/>
      <c r="L1016" s="246"/>
      <c r="M1016" s="235"/>
      <c r="N1016" s="126"/>
      <c r="O1016" s="126"/>
      <c r="P1016" s="126"/>
      <c r="Q1016" s="126"/>
      <c r="R1016" s="126"/>
      <c r="S1016" s="126"/>
      <c r="T1016" s="126"/>
      <c r="U1016" s="126"/>
      <c r="V1016" s="126"/>
      <c r="W1016" s="126"/>
      <c r="X1016" s="126"/>
      <c r="Y1016" s="126"/>
      <c r="Z1016" s="126"/>
      <c r="AA1016" s="126"/>
      <c r="AB1016" s="126"/>
      <c r="AC1016" s="126"/>
      <c r="AD1016" s="126"/>
      <c r="AE1016" s="126"/>
    </row>
    <row r="1017" spans="1:31" ht="13.2">
      <c r="A1017" s="126"/>
      <c r="B1017" s="126"/>
      <c r="C1017" s="126"/>
      <c r="D1017" s="126"/>
      <c r="E1017" s="126"/>
      <c r="F1017" s="271"/>
      <c r="G1017" s="272"/>
      <c r="H1017" s="126"/>
      <c r="I1017" s="126"/>
      <c r="J1017" s="126"/>
      <c r="K1017" s="126"/>
      <c r="L1017" s="246"/>
      <c r="M1017" s="235"/>
      <c r="N1017" s="126"/>
      <c r="O1017" s="126"/>
      <c r="P1017" s="126"/>
      <c r="Q1017" s="126"/>
      <c r="R1017" s="126"/>
      <c r="S1017" s="126"/>
      <c r="T1017" s="126"/>
      <c r="U1017" s="126"/>
      <c r="V1017" s="126"/>
      <c r="W1017" s="126"/>
      <c r="X1017" s="126"/>
      <c r="Y1017" s="126"/>
      <c r="Z1017" s="126"/>
      <c r="AA1017" s="126"/>
      <c r="AB1017" s="126"/>
      <c r="AC1017" s="126"/>
      <c r="AD1017" s="126"/>
      <c r="AE1017" s="126"/>
    </row>
    <row r="1018" spans="1:31" ht="13.2">
      <c r="A1018" s="126"/>
      <c r="B1018" s="126"/>
      <c r="C1018" s="126"/>
      <c r="D1018" s="126"/>
      <c r="E1018" s="126"/>
      <c r="F1018" s="271"/>
      <c r="G1018" s="272"/>
      <c r="H1018" s="126"/>
      <c r="I1018" s="126"/>
      <c r="J1018" s="126"/>
      <c r="K1018" s="126"/>
      <c r="L1018" s="246"/>
      <c r="M1018" s="235"/>
      <c r="N1018" s="126"/>
      <c r="O1018" s="126"/>
      <c r="P1018" s="126"/>
      <c r="Q1018" s="126"/>
      <c r="R1018" s="126"/>
      <c r="S1018" s="126"/>
      <c r="T1018" s="126"/>
      <c r="U1018" s="126"/>
      <c r="V1018" s="126"/>
      <c r="W1018" s="126"/>
      <c r="X1018" s="126"/>
      <c r="Y1018" s="126"/>
      <c r="Z1018" s="126"/>
      <c r="AA1018" s="126"/>
      <c r="AB1018" s="126"/>
      <c r="AC1018" s="126"/>
      <c r="AD1018" s="126"/>
      <c r="AE1018" s="126"/>
    </row>
    <row r="1019" spans="1:31" ht="13.2">
      <c r="A1019" s="126"/>
      <c r="B1019" s="126"/>
      <c r="C1019" s="126"/>
      <c r="D1019" s="126"/>
      <c r="E1019" s="126"/>
      <c r="F1019" s="271"/>
      <c r="G1019" s="272"/>
      <c r="H1019" s="126"/>
      <c r="I1019" s="126"/>
      <c r="J1019" s="126"/>
      <c r="K1019" s="126"/>
      <c r="L1019" s="246"/>
      <c r="M1019" s="235"/>
      <c r="N1019" s="126"/>
      <c r="O1019" s="126"/>
      <c r="P1019" s="126"/>
      <c r="Q1019" s="126"/>
      <c r="R1019" s="126"/>
      <c r="S1019" s="126"/>
      <c r="T1019" s="126"/>
      <c r="U1019" s="126"/>
      <c r="V1019" s="126"/>
      <c r="W1019" s="126"/>
      <c r="X1019" s="126"/>
      <c r="Y1019" s="126"/>
      <c r="Z1019" s="126"/>
      <c r="AA1019" s="126"/>
      <c r="AB1019" s="126"/>
      <c r="AC1019" s="126"/>
      <c r="AD1019" s="126"/>
      <c r="AE1019" s="126"/>
    </row>
    <row r="1020" spans="1:31" ht="13.2">
      <c r="A1020" s="126"/>
      <c r="B1020" s="126"/>
      <c r="C1020" s="126"/>
      <c r="D1020" s="126"/>
      <c r="E1020" s="126"/>
      <c r="F1020" s="271"/>
      <c r="G1020" s="272"/>
      <c r="H1020" s="126"/>
      <c r="I1020" s="126"/>
      <c r="J1020" s="126"/>
      <c r="K1020" s="126"/>
      <c r="L1020" s="246"/>
      <c r="M1020" s="235"/>
      <c r="N1020" s="126"/>
      <c r="O1020" s="126"/>
      <c r="P1020" s="126"/>
      <c r="Q1020" s="126"/>
      <c r="R1020" s="126"/>
      <c r="S1020" s="126"/>
      <c r="T1020" s="126"/>
      <c r="U1020" s="126"/>
      <c r="V1020" s="126"/>
      <c r="W1020" s="126"/>
      <c r="X1020" s="126"/>
      <c r="Y1020" s="126"/>
      <c r="Z1020" s="126"/>
      <c r="AA1020" s="126"/>
      <c r="AB1020" s="126"/>
      <c r="AC1020" s="126"/>
      <c r="AD1020" s="126"/>
      <c r="AE1020" s="126"/>
    </row>
    <row r="1021" spans="1:31" ht="13.2">
      <c r="A1021" s="126"/>
      <c r="B1021" s="126"/>
      <c r="C1021" s="126"/>
      <c r="D1021" s="126"/>
      <c r="E1021" s="126"/>
      <c r="F1021" s="271"/>
      <c r="G1021" s="272"/>
      <c r="H1021" s="126"/>
      <c r="I1021" s="126"/>
      <c r="J1021" s="126"/>
      <c r="K1021" s="126"/>
      <c r="L1021" s="246"/>
      <c r="M1021" s="235"/>
      <c r="N1021" s="126"/>
      <c r="O1021" s="126"/>
      <c r="P1021" s="126"/>
      <c r="Q1021" s="126"/>
      <c r="R1021" s="126"/>
      <c r="S1021" s="126"/>
      <c r="T1021" s="126"/>
      <c r="U1021" s="126"/>
      <c r="V1021" s="126"/>
      <c r="W1021" s="126"/>
      <c r="X1021" s="126"/>
      <c r="Y1021" s="126"/>
      <c r="Z1021" s="126"/>
      <c r="AA1021" s="126"/>
      <c r="AB1021" s="126"/>
      <c r="AC1021" s="126"/>
      <c r="AD1021" s="126"/>
      <c r="AE1021" s="126"/>
    </row>
    <row r="1022" spans="1:31" ht="13.2">
      <c r="A1022" s="126"/>
      <c r="B1022" s="126"/>
      <c r="C1022" s="126"/>
      <c r="D1022" s="126"/>
      <c r="E1022" s="126"/>
      <c r="F1022" s="271"/>
      <c r="G1022" s="272"/>
      <c r="H1022" s="126"/>
      <c r="I1022" s="126"/>
      <c r="J1022" s="126"/>
      <c r="K1022" s="126"/>
      <c r="L1022" s="246"/>
      <c r="M1022" s="235"/>
      <c r="N1022" s="126"/>
      <c r="O1022" s="126"/>
      <c r="P1022" s="126"/>
      <c r="Q1022" s="126"/>
      <c r="R1022" s="126"/>
      <c r="S1022" s="126"/>
      <c r="T1022" s="126"/>
      <c r="U1022" s="126"/>
      <c r="V1022" s="126"/>
      <c r="W1022" s="126"/>
      <c r="X1022" s="126"/>
      <c r="Y1022" s="126"/>
      <c r="Z1022" s="126"/>
      <c r="AA1022" s="126"/>
      <c r="AB1022" s="126"/>
      <c r="AC1022" s="126"/>
      <c r="AD1022" s="126"/>
      <c r="AE1022" s="126"/>
    </row>
    <row r="1023" spans="1:31" ht="13.2">
      <c r="A1023" s="126"/>
      <c r="B1023" s="126"/>
      <c r="C1023" s="126"/>
      <c r="D1023" s="126"/>
      <c r="E1023" s="126"/>
      <c r="F1023" s="271"/>
      <c r="G1023" s="272"/>
      <c r="H1023" s="126"/>
      <c r="I1023" s="126"/>
      <c r="J1023" s="126"/>
      <c r="K1023" s="126"/>
      <c r="L1023" s="246"/>
      <c r="M1023" s="235"/>
      <c r="N1023" s="126"/>
      <c r="O1023" s="126"/>
      <c r="P1023" s="126"/>
      <c r="Q1023" s="126"/>
      <c r="R1023" s="126"/>
      <c r="S1023" s="126"/>
      <c r="T1023" s="126"/>
      <c r="U1023" s="126"/>
      <c r="V1023" s="126"/>
      <c r="W1023" s="126"/>
      <c r="X1023" s="126"/>
      <c r="Y1023" s="126"/>
      <c r="Z1023" s="126"/>
      <c r="AA1023" s="126"/>
      <c r="AB1023" s="126"/>
      <c r="AC1023" s="126"/>
      <c r="AD1023" s="126"/>
      <c r="AE1023" s="126"/>
    </row>
    <row r="1024" spans="1:31" ht="13.2">
      <c r="A1024" s="126"/>
      <c r="B1024" s="126"/>
      <c r="C1024" s="126"/>
      <c r="D1024" s="126"/>
      <c r="E1024" s="126"/>
      <c r="F1024" s="271"/>
      <c r="G1024" s="272"/>
      <c r="H1024" s="126"/>
      <c r="I1024" s="126"/>
      <c r="J1024" s="126"/>
      <c r="K1024" s="126"/>
      <c r="L1024" s="246"/>
      <c r="M1024" s="235"/>
      <c r="N1024" s="126"/>
      <c r="O1024" s="126"/>
      <c r="P1024" s="126"/>
      <c r="Q1024" s="126"/>
      <c r="R1024" s="126"/>
      <c r="S1024" s="126"/>
      <c r="T1024" s="126"/>
      <c r="U1024" s="126"/>
      <c r="V1024" s="126"/>
      <c r="W1024" s="126"/>
      <c r="X1024" s="126"/>
      <c r="Y1024" s="126"/>
      <c r="Z1024" s="126"/>
      <c r="AA1024" s="126"/>
      <c r="AB1024" s="126"/>
      <c r="AC1024" s="126"/>
      <c r="AD1024" s="126"/>
      <c r="AE1024" s="126"/>
    </row>
    <row r="1025" spans="1:31" ht="13.2">
      <c r="A1025" s="126"/>
      <c r="B1025" s="126"/>
      <c r="C1025" s="126"/>
      <c r="D1025" s="126"/>
      <c r="E1025" s="126"/>
      <c r="F1025" s="271"/>
      <c r="G1025" s="272"/>
      <c r="H1025" s="126"/>
      <c r="I1025" s="126"/>
      <c r="J1025" s="126"/>
      <c r="K1025" s="126"/>
      <c r="L1025" s="246"/>
      <c r="M1025" s="235"/>
      <c r="N1025" s="126"/>
      <c r="O1025" s="126"/>
      <c r="P1025" s="126"/>
      <c r="Q1025" s="126"/>
      <c r="R1025" s="126"/>
      <c r="S1025" s="126"/>
      <c r="T1025" s="126"/>
      <c r="U1025" s="126"/>
      <c r="V1025" s="126"/>
      <c r="W1025" s="126"/>
      <c r="X1025" s="126"/>
      <c r="Y1025" s="126"/>
      <c r="Z1025" s="126"/>
      <c r="AA1025" s="126"/>
      <c r="AB1025" s="126"/>
      <c r="AC1025" s="126"/>
      <c r="AD1025" s="126"/>
      <c r="AE1025" s="126"/>
    </row>
    <row r="1026" spans="1:31" ht="13.2">
      <c r="A1026" s="126"/>
      <c r="B1026" s="126"/>
      <c r="C1026" s="126"/>
      <c r="D1026" s="126"/>
      <c r="E1026" s="126"/>
      <c r="F1026" s="271"/>
      <c r="G1026" s="272"/>
      <c r="H1026" s="126"/>
      <c r="I1026" s="126"/>
      <c r="J1026" s="126"/>
      <c r="K1026" s="126"/>
      <c r="L1026" s="246"/>
      <c r="M1026" s="235"/>
      <c r="N1026" s="126"/>
      <c r="O1026" s="126"/>
      <c r="P1026" s="126"/>
      <c r="Q1026" s="126"/>
      <c r="R1026" s="126"/>
      <c r="S1026" s="126"/>
      <c r="T1026" s="126"/>
      <c r="U1026" s="126"/>
      <c r="V1026" s="126"/>
      <c r="W1026" s="126"/>
      <c r="X1026" s="126"/>
      <c r="Y1026" s="126"/>
      <c r="Z1026" s="126"/>
      <c r="AA1026" s="126"/>
      <c r="AB1026" s="126"/>
      <c r="AC1026" s="126"/>
      <c r="AD1026" s="126"/>
      <c r="AE1026" s="126"/>
    </row>
    <row r="1027" spans="1:31" ht="13.2">
      <c r="A1027" s="126"/>
      <c r="B1027" s="126"/>
      <c r="C1027" s="126"/>
      <c r="D1027" s="126"/>
      <c r="E1027" s="126"/>
      <c r="F1027" s="271"/>
      <c r="G1027" s="272"/>
      <c r="H1027" s="126"/>
      <c r="I1027" s="126"/>
      <c r="J1027" s="126"/>
      <c r="K1027" s="126"/>
      <c r="L1027" s="246"/>
      <c r="M1027" s="235"/>
      <c r="N1027" s="126"/>
      <c r="O1027" s="126"/>
      <c r="P1027" s="126"/>
      <c r="Q1027" s="126"/>
      <c r="R1027" s="126"/>
      <c r="S1027" s="126"/>
      <c r="T1027" s="126"/>
      <c r="U1027" s="126"/>
      <c r="V1027" s="126"/>
      <c r="W1027" s="126"/>
      <c r="X1027" s="126"/>
      <c r="Y1027" s="126"/>
      <c r="Z1027" s="126"/>
      <c r="AA1027" s="126"/>
      <c r="AB1027" s="126"/>
      <c r="AC1027" s="126"/>
      <c r="AD1027" s="126"/>
      <c r="AE1027" s="126"/>
    </row>
    <row r="1028" spans="1:31" ht="13.2">
      <c r="A1028" s="126"/>
      <c r="B1028" s="126"/>
      <c r="C1028" s="126"/>
      <c r="D1028" s="126"/>
      <c r="E1028" s="126"/>
      <c r="F1028" s="271"/>
      <c r="G1028" s="272"/>
      <c r="H1028" s="126"/>
      <c r="I1028" s="126"/>
      <c r="J1028" s="126"/>
      <c r="K1028" s="126"/>
      <c r="L1028" s="246"/>
      <c r="M1028" s="235"/>
      <c r="N1028" s="126"/>
      <c r="O1028" s="126"/>
      <c r="P1028" s="126"/>
      <c r="Q1028" s="126"/>
      <c r="R1028" s="126"/>
      <c r="S1028" s="126"/>
      <c r="T1028" s="126"/>
      <c r="U1028" s="126"/>
      <c r="V1028" s="126"/>
      <c r="W1028" s="126"/>
      <c r="X1028" s="126"/>
      <c r="Y1028" s="126"/>
      <c r="Z1028" s="126"/>
      <c r="AA1028" s="126"/>
      <c r="AB1028" s="126"/>
      <c r="AC1028" s="126"/>
      <c r="AD1028" s="126"/>
      <c r="AE1028" s="126"/>
    </row>
    <row r="1029" spans="1:31" ht="13.2">
      <c r="A1029" s="126"/>
      <c r="B1029" s="126"/>
      <c r="C1029" s="126"/>
      <c r="D1029" s="126"/>
      <c r="E1029" s="126"/>
      <c r="F1029" s="271"/>
      <c r="G1029" s="272"/>
      <c r="H1029" s="126"/>
      <c r="I1029" s="126"/>
      <c r="J1029" s="126"/>
      <c r="K1029" s="126"/>
      <c r="L1029" s="246"/>
      <c r="M1029" s="235"/>
      <c r="N1029" s="126"/>
      <c r="O1029" s="126"/>
      <c r="P1029" s="126"/>
      <c r="Q1029" s="126"/>
      <c r="R1029" s="126"/>
      <c r="S1029" s="126"/>
      <c r="T1029" s="126"/>
      <c r="U1029" s="126"/>
      <c r="V1029" s="126"/>
      <c r="W1029" s="126"/>
      <c r="X1029" s="126"/>
      <c r="Y1029" s="126"/>
      <c r="Z1029" s="126"/>
      <c r="AA1029" s="126"/>
      <c r="AB1029" s="126"/>
      <c r="AC1029" s="126"/>
      <c r="AD1029" s="126"/>
      <c r="AE1029" s="126"/>
    </row>
    <row r="1030" spans="1:31" ht="13.2">
      <c r="A1030" s="126"/>
      <c r="B1030" s="126"/>
      <c r="C1030" s="126"/>
      <c r="D1030" s="126"/>
      <c r="E1030" s="126"/>
      <c r="F1030" s="271"/>
      <c r="G1030" s="272"/>
      <c r="H1030" s="126"/>
      <c r="I1030" s="126"/>
      <c r="J1030" s="126"/>
      <c r="K1030" s="126"/>
      <c r="L1030" s="246"/>
      <c r="M1030" s="235"/>
      <c r="N1030" s="126"/>
      <c r="O1030" s="126"/>
      <c r="P1030" s="126"/>
      <c r="Q1030" s="126"/>
      <c r="R1030" s="126"/>
      <c r="S1030" s="126"/>
      <c r="T1030" s="126"/>
      <c r="U1030" s="126"/>
      <c r="V1030" s="126"/>
      <c r="W1030" s="126"/>
      <c r="X1030" s="126"/>
      <c r="Y1030" s="126"/>
      <c r="Z1030" s="126"/>
      <c r="AA1030" s="126"/>
      <c r="AB1030" s="126"/>
      <c r="AC1030" s="126"/>
      <c r="AD1030" s="126"/>
      <c r="AE1030" s="126"/>
    </row>
    <row r="1031" spans="1:31" ht="13.2">
      <c r="A1031" s="126"/>
      <c r="B1031" s="126"/>
      <c r="C1031" s="126"/>
      <c r="D1031" s="126"/>
      <c r="E1031" s="126"/>
      <c r="F1031" s="271"/>
      <c r="G1031" s="272"/>
      <c r="H1031" s="126"/>
      <c r="I1031" s="126"/>
      <c r="J1031" s="126"/>
      <c r="K1031" s="126"/>
      <c r="L1031" s="246"/>
      <c r="M1031" s="235"/>
      <c r="N1031" s="126"/>
      <c r="O1031" s="126"/>
      <c r="P1031" s="126"/>
      <c r="Q1031" s="126"/>
      <c r="R1031" s="126"/>
      <c r="S1031" s="126"/>
      <c r="T1031" s="126"/>
      <c r="U1031" s="126"/>
      <c r="V1031" s="126"/>
      <c r="W1031" s="126"/>
      <c r="X1031" s="126"/>
      <c r="Y1031" s="126"/>
      <c r="Z1031" s="126"/>
      <c r="AA1031" s="126"/>
      <c r="AB1031" s="126"/>
      <c r="AC1031" s="126"/>
      <c r="AD1031" s="126"/>
      <c r="AE1031" s="126"/>
    </row>
    <row r="1032" spans="1:31" ht="13.2">
      <c r="A1032" s="126"/>
      <c r="B1032" s="126"/>
      <c r="C1032" s="126"/>
      <c r="D1032" s="126"/>
      <c r="E1032" s="126"/>
      <c r="F1032" s="271"/>
      <c r="G1032" s="272"/>
      <c r="H1032" s="126"/>
      <c r="I1032" s="126"/>
      <c r="J1032" s="126"/>
      <c r="K1032" s="126"/>
      <c r="L1032" s="246"/>
      <c r="M1032" s="235"/>
      <c r="N1032" s="126"/>
      <c r="O1032" s="126"/>
      <c r="P1032" s="126"/>
      <c r="Q1032" s="126"/>
      <c r="R1032" s="126"/>
      <c r="S1032" s="126"/>
      <c r="T1032" s="126"/>
      <c r="U1032" s="126"/>
      <c r="V1032" s="126"/>
      <c r="W1032" s="126"/>
      <c r="X1032" s="126"/>
      <c r="Y1032" s="126"/>
      <c r="Z1032" s="126"/>
      <c r="AA1032" s="126"/>
      <c r="AB1032" s="126"/>
      <c r="AC1032" s="126"/>
      <c r="AD1032" s="126"/>
      <c r="AE1032" s="126"/>
    </row>
    <row r="1033" spans="1:31" ht="13.2">
      <c r="A1033" s="126"/>
      <c r="B1033" s="126"/>
      <c r="C1033" s="126"/>
      <c r="D1033" s="126"/>
      <c r="E1033" s="126"/>
      <c r="F1033" s="271"/>
      <c r="G1033" s="272"/>
      <c r="H1033" s="126"/>
      <c r="I1033" s="126"/>
      <c r="J1033" s="126"/>
      <c r="K1033" s="126"/>
      <c r="L1033" s="246"/>
      <c r="M1033" s="235"/>
      <c r="N1033" s="126"/>
      <c r="O1033" s="126"/>
      <c r="P1033" s="126"/>
      <c r="Q1033" s="126"/>
      <c r="R1033" s="126"/>
      <c r="S1033" s="126"/>
      <c r="T1033" s="126"/>
      <c r="U1033" s="126"/>
      <c r="V1033" s="126"/>
      <c r="W1033" s="126"/>
      <c r="X1033" s="126"/>
      <c r="Y1033" s="126"/>
      <c r="Z1033" s="126"/>
      <c r="AA1033" s="126"/>
      <c r="AB1033" s="126"/>
      <c r="AC1033" s="126"/>
      <c r="AD1033" s="126"/>
      <c r="AE1033" s="126"/>
    </row>
    <row r="1034" spans="1:31" ht="13.2">
      <c r="A1034" s="126"/>
      <c r="B1034" s="126"/>
      <c r="C1034" s="126"/>
      <c r="D1034" s="126"/>
      <c r="E1034" s="126"/>
      <c r="F1034" s="271"/>
      <c r="G1034" s="272"/>
      <c r="H1034" s="126"/>
      <c r="I1034" s="126"/>
      <c r="J1034" s="126"/>
      <c r="K1034" s="126"/>
      <c r="L1034" s="246"/>
      <c r="M1034" s="235"/>
      <c r="N1034" s="126"/>
      <c r="O1034" s="126"/>
      <c r="P1034" s="126"/>
      <c r="Q1034" s="126"/>
      <c r="R1034" s="126"/>
      <c r="S1034" s="126"/>
      <c r="T1034" s="126"/>
      <c r="U1034" s="126"/>
      <c r="V1034" s="126"/>
      <c r="W1034" s="126"/>
      <c r="X1034" s="126"/>
      <c r="Y1034" s="126"/>
      <c r="Z1034" s="126"/>
      <c r="AA1034" s="126"/>
      <c r="AB1034" s="126"/>
      <c r="AC1034" s="126"/>
      <c r="AD1034" s="126"/>
      <c r="AE1034" s="126"/>
    </row>
    <row r="1035" spans="1:31" ht="13.2">
      <c r="A1035" s="126"/>
      <c r="B1035" s="126"/>
      <c r="C1035" s="126"/>
      <c r="D1035" s="126"/>
      <c r="E1035" s="126"/>
      <c r="F1035" s="271"/>
      <c r="G1035" s="272"/>
      <c r="H1035" s="126"/>
      <c r="I1035" s="126"/>
      <c r="J1035" s="126"/>
      <c r="K1035" s="126"/>
      <c r="L1035" s="246"/>
      <c r="M1035" s="235"/>
      <c r="N1035" s="126"/>
      <c r="O1035" s="126"/>
      <c r="P1035" s="126"/>
      <c r="Q1035" s="126"/>
      <c r="R1035" s="126"/>
      <c r="S1035" s="126"/>
      <c r="T1035" s="126"/>
      <c r="U1035" s="126"/>
      <c r="V1035" s="126"/>
      <c r="W1035" s="126"/>
      <c r="X1035" s="126"/>
      <c r="Y1035" s="126"/>
      <c r="Z1035" s="126"/>
      <c r="AA1035" s="126"/>
      <c r="AB1035" s="126"/>
      <c r="AC1035" s="126"/>
      <c r="AD1035" s="126"/>
      <c r="AE1035" s="126"/>
    </row>
    <row r="1036" spans="1:31" ht="13.2">
      <c r="A1036" s="126"/>
      <c r="B1036" s="126"/>
      <c r="C1036" s="126"/>
      <c r="D1036" s="126"/>
      <c r="E1036" s="126"/>
      <c r="F1036" s="271"/>
      <c r="G1036" s="272"/>
      <c r="H1036" s="126"/>
      <c r="I1036" s="126"/>
      <c r="J1036" s="126"/>
      <c r="K1036" s="126"/>
      <c r="L1036" s="246"/>
      <c r="M1036" s="235"/>
      <c r="N1036" s="126"/>
      <c r="O1036" s="126"/>
      <c r="P1036" s="126"/>
      <c r="Q1036" s="126"/>
      <c r="R1036" s="126"/>
      <c r="S1036" s="126"/>
      <c r="T1036" s="126"/>
      <c r="U1036" s="126"/>
      <c r="V1036" s="126"/>
      <c r="W1036" s="126"/>
      <c r="X1036" s="126"/>
      <c r="Y1036" s="126"/>
      <c r="Z1036" s="126"/>
      <c r="AA1036" s="126"/>
      <c r="AB1036" s="126"/>
      <c r="AC1036" s="126"/>
      <c r="AD1036" s="126"/>
      <c r="AE1036" s="126"/>
    </row>
    <row r="1037" spans="1:31" ht="13.2">
      <c r="A1037" s="126"/>
      <c r="B1037" s="126"/>
      <c r="C1037" s="126"/>
      <c r="D1037" s="126"/>
      <c r="E1037" s="126"/>
      <c r="F1037" s="271"/>
      <c r="G1037" s="272"/>
      <c r="H1037" s="126"/>
      <c r="I1037" s="126"/>
      <c r="J1037" s="126"/>
      <c r="K1037" s="126"/>
      <c r="L1037" s="246"/>
      <c r="M1037" s="235"/>
      <c r="N1037" s="126"/>
      <c r="O1037" s="126"/>
      <c r="P1037" s="126"/>
      <c r="Q1037" s="126"/>
      <c r="R1037" s="126"/>
      <c r="S1037" s="126"/>
      <c r="T1037" s="126"/>
      <c r="U1037" s="126"/>
      <c r="V1037" s="126"/>
      <c r="W1037" s="126"/>
      <c r="X1037" s="126"/>
      <c r="Y1037" s="126"/>
      <c r="Z1037" s="126"/>
      <c r="AA1037" s="126"/>
      <c r="AB1037" s="126"/>
      <c r="AC1037" s="126"/>
      <c r="AD1037" s="126"/>
      <c r="AE1037" s="126"/>
    </row>
    <row r="1038" spans="1:31" ht="13.2">
      <c r="A1038" s="126"/>
      <c r="B1038" s="126"/>
      <c r="C1038" s="126"/>
      <c r="D1038" s="126"/>
      <c r="E1038" s="126"/>
      <c r="F1038" s="271"/>
      <c r="G1038" s="272"/>
      <c r="H1038" s="126"/>
      <c r="I1038" s="126"/>
      <c r="J1038" s="126"/>
      <c r="K1038" s="126"/>
      <c r="L1038" s="246"/>
      <c r="M1038" s="235"/>
      <c r="N1038" s="126"/>
      <c r="O1038" s="126"/>
      <c r="P1038" s="126"/>
      <c r="Q1038" s="126"/>
      <c r="R1038" s="126"/>
      <c r="S1038" s="126"/>
      <c r="T1038" s="126"/>
      <c r="U1038" s="126"/>
      <c r="V1038" s="126"/>
      <c r="W1038" s="126"/>
      <c r="X1038" s="126"/>
      <c r="Y1038" s="126"/>
      <c r="Z1038" s="126"/>
      <c r="AA1038" s="126"/>
      <c r="AB1038" s="126"/>
      <c r="AC1038" s="126"/>
      <c r="AD1038" s="126"/>
      <c r="AE1038" s="126"/>
    </row>
    <row r="1039" spans="1:31" ht="13.2">
      <c r="A1039" s="126"/>
      <c r="B1039" s="126"/>
      <c r="C1039" s="126"/>
      <c r="D1039" s="126"/>
      <c r="E1039" s="126"/>
      <c r="F1039" s="271"/>
      <c r="G1039" s="272"/>
      <c r="H1039" s="126"/>
      <c r="I1039" s="126"/>
      <c r="J1039" s="126"/>
      <c r="K1039" s="126"/>
      <c r="L1039" s="246"/>
      <c r="M1039" s="235"/>
      <c r="N1039" s="126"/>
      <c r="O1039" s="126"/>
      <c r="P1039" s="126"/>
      <c r="Q1039" s="126"/>
      <c r="R1039" s="126"/>
      <c r="S1039" s="126"/>
      <c r="T1039" s="126"/>
      <c r="U1039" s="126"/>
      <c r="V1039" s="126"/>
      <c r="W1039" s="126"/>
      <c r="X1039" s="126"/>
      <c r="Y1039" s="126"/>
      <c r="Z1039" s="126"/>
      <c r="AA1039" s="126"/>
      <c r="AB1039" s="126"/>
      <c r="AC1039" s="126"/>
      <c r="AD1039" s="126"/>
      <c r="AE1039" s="126"/>
    </row>
    <row r="1040" spans="1:31" ht="13.2">
      <c r="A1040" s="126"/>
      <c r="B1040" s="126"/>
      <c r="C1040" s="126"/>
      <c r="D1040" s="126"/>
      <c r="E1040" s="126"/>
      <c r="F1040" s="271"/>
      <c r="G1040" s="272"/>
      <c r="H1040" s="126"/>
      <c r="I1040" s="126"/>
      <c r="J1040" s="126"/>
      <c r="K1040" s="126"/>
      <c r="L1040" s="246"/>
      <c r="M1040" s="235"/>
      <c r="N1040" s="126"/>
      <c r="O1040" s="126"/>
      <c r="P1040" s="126"/>
      <c r="Q1040" s="126"/>
      <c r="R1040" s="126"/>
      <c r="S1040" s="126"/>
      <c r="T1040" s="126"/>
      <c r="U1040" s="126"/>
      <c r="V1040" s="126"/>
      <c r="W1040" s="126"/>
      <c r="X1040" s="126"/>
      <c r="Y1040" s="126"/>
      <c r="Z1040" s="126"/>
      <c r="AA1040" s="126"/>
      <c r="AB1040" s="126"/>
      <c r="AC1040" s="126"/>
      <c r="AD1040" s="126"/>
      <c r="AE1040" s="126"/>
    </row>
    <row r="1041" spans="1:31" ht="13.2">
      <c r="A1041" s="126"/>
      <c r="B1041" s="126"/>
      <c r="C1041" s="126"/>
      <c r="D1041" s="126"/>
      <c r="E1041" s="126"/>
      <c r="F1041" s="271"/>
      <c r="G1041" s="272"/>
      <c r="H1041" s="126"/>
      <c r="I1041" s="126"/>
      <c r="J1041" s="126"/>
      <c r="K1041" s="126"/>
      <c r="L1041" s="246"/>
      <c r="M1041" s="235"/>
      <c r="N1041" s="126"/>
      <c r="O1041" s="126"/>
      <c r="P1041" s="126"/>
      <c r="Q1041" s="126"/>
      <c r="R1041" s="126"/>
      <c r="S1041" s="126"/>
      <c r="T1041" s="126"/>
      <c r="U1041" s="126"/>
      <c r="V1041" s="126"/>
      <c r="W1041" s="126"/>
      <c r="X1041" s="126"/>
      <c r="Y1041" s="126"/>
      <c r="Z1041" s="126"/>
      <c r="AA1041" s="126"/>
      <c r="AB1041" s="126"/>
      <c r="AC1041" s="126"/>
      <c r="AD1041" s="126"/>
      <c r="AE1041" s="126"/>
    </row>
    <row r="1042" spans="1:31" ht="13.2">
      <c r="A1042" s="126"/>
      <c r="B1042" s="126"/>
      <c r="C1042" s="126"/>
      <c r="D1042" s="126"/>
      <c r="E1042" s="126"/>
      <c r="F1042" s="271"/>
      <c r="G1042" s="272"/>
      <c r="H1042" s="126"/>
      <c r="I1042" s="126"/>
      <c r="J1042" s="126"/>
      <c r="K1042" s="126"/>
      <c r="L1042" s="246"/>
      <c r="M1042" s="235"/>
      <c r="N1042" s="126"/>
      <c r="O1042" s="126"/>
      <c r="P1042" s="126"/>
      <c r="Q1042" s="126"/>
      <c r="R1042" s="126"/>
      <c r="S1042" s="126"/>
      <c r="T1042" s="126"/>
      <c r="U1042" s="126"/>
      <c r="V1042" s="126"/>
      <c r="W1042" s="126"/>
      <c r="X1042" s="126"/>
      <c r="Y1042" s="126"/>
      <c r="Z1042" s="126"/>
      <c r="AA1042" s="126"/>
      <c r="AB1042" s="126"/>
      <c r="AC1042" s="126"/>
      <c r="AD1042" s="126"/>
      <c r="AE1042" s="126"/>
    </row>
    <row r="1043" spans="1:31" ht="13.2">
      <c r="A1043" s="126"/>
      <c r="B1043" s="126"/>
      <c r="C1043" s="126"/>
      <c r="D1043" s="126"/>
      <c r="E1043" s="126"/>
      <c r="F1043" s="271"/>
      <c r="G1043" s="272"/>
      <c r="H1043" s="126"/>
      <c r="I1043" s="126"/>
      <c r="J1043" s="126"/>
      <c r="K1043" s="126"/>
      <c r="L1043" s="246"/>
      <c r="M1043" s="235"/>
      <c r="N1043" s="126"/>
      <c r="O1043" s="126"/>
      <c r="P1043" s="126"/>
      <c r="Q1043" s="126"/>
      <c r="R1043" s="126"/>
      <c r="S1043" s="126"/>
      <c r="T1043" s="126"/>
      <c r="U1043" s="126"/>
      <c r="V1043" s="126"/>
      <c r="W1043" s="126"/>
      <c r="X1043" s="126"/>
      <c r="Y1043" s="126"/>
      <c r="Z1043" s="126"/>
      <c r="AA1043" s="126"/>
      <c r="AB1043" s="126"/>
      <c r="AC1043" s="126"/>
      <c r="AD1043" s="126"/>
      <c r="AE1043" s="126"/>
    </row>
    <row r="1044" spans="1:31" ht="13.2">
      <c r="A1044" s="126"/>
      <c r="B1044" s="126"/>
      <c r="C1044" s="126"/>
      <c r="D1044" s="126"/>
      <c r="E1044" s="126"/>
      <c r="F1044" s="271"/>
      <c r="G1044" s="272"/>
      <c r="H1044" s="126"/>
      <c r="I1044" s="126"/>
      <c r="J1044" s="126"/>
      <c r="K1044" s="126"/>
      <c r="L1044" s="246"/>
      <c r="M1044" s="235"/>
      <c r="N1044" s="126"/>
      <c r="O1044" s="126"/>
      <c r="P1044" s="126"/>
      <c r="Q1044" s="126"/>
      <c r="R1044" s="126"/>
      <c r="S1044" s="126"/>
      <c r="T1044" s="126"/>
      <c r="U1044" s="126"/>
      <c r="V1044" s="126"/>
      <c r="W1044" s="126"/>
      <c r="X1044" s="126"/>
      <c r="Y1044" s="126"/>
      <c r="Z1044" s="126"/>
      <c r="AA1044" s="126"/>
      <c r="AB1044" s="126"/>
      <c r="AC1044" s="126"/>
      <c r="AD1044" s="126"/>
      <c r="AE1044" s="126"/>
    </row>
    <row r="1045" spans="1:31" ht="13.2">
      <c r="A1045" s="126"/>
      <c r="B1045" s="126"/>
      <c r="C1045" s="126"/>
      <c r="D1045" s="126"/>
      <c r="E1045" s="126"/>
      <c r="F1045" s="271"/>
      <c r="G1045" s="272"/>
      <c r="H1045" s="126"/>
      <c r="I1045" s="126"/>
      <c r="J1045" s="126"/>
      <c r="K1045" s="126"/>
      <c r="L1045" s="246"/>
      <c r="M1045" s="235"/>
      <c r="N1045" s="126"/>
      <c r="O1045" s="126"/>
      <c r="P1045" s="126"/>
      <c r="Q1045" s="126"/>
      <c r="R1045" s="126"/>
      <c r="S1045" s="126"/>
      <c r="T1045" s="126"/>
      <c r="U1045" s="126"/>
      <c r="V1045" s="126"/>
      <c r="W1045" s="126"/>
      <c r="X1045" s="126"/>
      <c r="Y1045" s="126"/>
      <c r="Z1045" s="126"/>
      <c r="AA1045" s="126"/>
      <c r="AB1045" s="126"/>
      <c r="AC1045" s="126"/>
      <c r="AD1045" s="126"/>
      <c r="AE1045" s="126"/>
    </row>
    <row r="1046" spans="1:31" ht="13.2">
      <c r="A1046" s="126"/>
      <c r="B1046" s="126"/>
      <c r="C1046" s="126"/>
      <c r="D1046" s="126"/>
      <c r="E1046" s="126"/>
      <c r="F1046" s="271"/>
      <c r="G1046" s="272"/>
      <c r="H1046" s="126"/>
      <c r="I1046" s="126"/>
      <c r="J1046" s="126"/>
      <c r="K1046" s="126"/>
      <c r="L1046" s="246"/>
      <c r="M1046" s="235"/>
      <c r="N1046" s="126"/>
      <c r="O1046" s="126"/>
      <c r="P1046" s="126"/>
      <c r="Q1046" s="126"/>
      <c r="R1046" s="126"/>
      <c r="S1046" s="126"/>
      <c r="T1046" s="126"/>
      <c r="U1046" s="126"/>
      <c r="V1046" s="126"/>
      <c r="W1046" s="126"/>
      <c r="X1046" s="126"/>
      <c r="Y1046" s="126"/>
      <c r="Z1046" s="126"/>
      <c r="AA1046" s="126"/>
      <c r="AB1046" s="126"/>
      <c r="AC1046" s="126"/>
      <c r="AD1046" s="126"/>
      <c r="AE1046" s="126"/>
    </row>
    <row r="1047" spans="1:31" ht="13.2">
      <c r="A1047" s="126"/>
      <c r="B1047" s="126"/>
      <c r="C1047" s="126"/>
      <c r="D1047" s="126"/>
      <c r="E1047" s="126"/>
      <c r="F1047" s="271"/>
      <c r="G1047" s="272"/>
      <c r="H1047" s="126"/>
      <c r="I1047" s="126"/>
      <c r="J1047" s="126"/>
      <c r="K1047" s="126"/>
      <c r="L1047" s="246"/>
      <c r="M1047" s="235"/>
      <c r="N1047" s="126"/>
      <c r="O1047" s="126"/>
      <c r="P1047" s="126"/>
      <c r="Q1047" s="126"/>
      <c r="R1047" s="126"/>
      <c r="S1047" s="126"/>
      <c r="T1047" s="126"/>
      <c r="U1047" s="126"/>
      <c r="V1047" s="126"/>
      <c r="W1047" s="126"/>
      <c r="X1047" s="126"/>
      <c r="Y1047" s="126"/>
      <c r="Z1047" s="126"/>
      <c r="AA1047" s="126"/>
      <c r="AB1047" s="126"/>
      <c r="AC1047" s="126"/>
      <c r="AD1047" s="126"/>
      <c r="AE1047" s="126"/>
    </row>
    <row r="1048" spans="1:31" ht="13.2">
      <c r="A1048" s="126"/>
      <c r="B1048" s="126"/>
      <c r="C1048" s="126"/>
      <c r="D1048" s="126"/>
      <c r="E1048" s="126"/>
      <c r="F1048" s="271"/>
      <c r="G1048" s="272"/>
      <c r="H1048" s="126"/>
      <c r="I1048" s="126"/>
      <c r="J1048" s="126"/>
      <c r="K1048" s="126"/>
      <c r="L1048" s="246"/>
      <c r="M1048" s="235"/>
      <c r="N1048" s="126"/>
      <c r="O1048" s="126"/>
      <c r="P1048" s="126"/>
      <c r="Q1048" s="126"/>
      <c r="R1048" s="126"/>
      <c r="S1048" s="126"/>
      <c r="T1048" s="126"/>
      <c r="U1048" s="126"/>
      <c r="V1048" s="126"/>
      <c r="W1048" s="126"/>
      <c r="X1048" s="126"/>
      <c r="Y1048" s="126"/>
      <c r="Z1048" s="126"/>
      <c r="AA1048" s="126"/>
      <c r="AB1048" s="126"/>
      <c r="AC1048" s="126"/>
      <c r="AD1048" s="126"/>
      <c r="AE1048" s="126"/>
    </row>
    <row r="1049" spans="1:31" ht="13.2">
      <c r="A1049" s="126"/>
      <c r="B1049" s="126"/>
      <c r="C1049" s="126"/>
      <c r="D1049" s="126"/>
      <c r="E1049" s="126"/>
      <c r="F1049" s="271"/>
      <c r="G1049" s="272"/>
      <c r="H1049" s="126"/>
      <c r="I1049" s="126"/>
      <c r="J1049" s="126"/>
      <c r="K1049" s="126"/>
      <c r="L1049" s="246"/>
      <c r="M1049" s="235"/>
      <c r="N1049" s="126"/>
      <c r="O1049" s="126"/>
      <c r="P1049" s="126"/>
      <c r="Q1049" s="126"/>
      <c r="R1049" s="126"/>
      <c r="S1049" s="126"/>
      <c r="T1049" s="126"/>
      <c r="U1049" s="126"/>
      <c r="V1049" s="126"/>
      <c r="W1049" s="126"/>
      <c r="X1049" s="126"/>
      <c r="Y1049" s="126"/>
      <c r="Z1049" s="126"/>
      <c r="AA1049" s="126"/>
      <c r="AB1049" s="126"/>
      <c r="AC1049" s="126"/>
      <c r="AD1049" s="126"/>
      <c r="AE1049" s="126"/>
    </row>
    <row r="1050" spans="1:31" ht="13.2">
      <c r="A1050" s="126"/>
      <c r="B1050" s="126"/>
      <c r="C1050" s="126"/>
      <c r="D1050" s="126"/>
      <c r="E1050" s="126"/>
      <c r="F1050" s="271"/>
      <c r="G1050" s="272"/>
      <c r="H1050" s="126"/>
      <c r="I1050" s="126"/>
      <c r="J1050" s="126"/>
      <c r="K1050" s="126"/>
      <c r="L1050" s="246"/>
      <c r="M1050" s="235"/>
      <c r="N1050" s="126"/>
      <c r="O1050" s="126"/>
      <c r="P1050" s="126"/>
      <c r="Q1050" s="126"/>
      <c r="R1050" s="126"/>
      <c r="S1050" s="126"/>
      <c r="T1050" s="126"/>
      <c r="U1050" s="126"/>
      <c r="V1050" s="126"/>
      <c r="W1050" s="126"/>
      <c r="X1050" s="126"/>
      <c r="Y1050" s="126"/>
      <c r="Z1050" s="126"/>
      <c r="AA1050" s="126"/>
      <c r="AB1050" s="126"/>
      <c r="AC1050" s="126"/>
      <c r="AD1050" s="126"/>
      <c r="AE1050" s="126"/>
    </row>
    <row r="1051" spans="1:31" ht="13.2">
      <c r="A1051" s="126"/>
      <c r="B1051" s="126"/>
      <c r="C1051" s="126"/>
      <c r="D1051" s="126"/>
      <c r="E1051" s="126"/>
      <c r="F1051" s="271"/>
      <c r="G1051" s="272"/>
      <c r="H1051" s="126"/>
      <c r="I1051" s="126"/>
      <c r="J1051" s="126"/>
      <c r="K1051" s="126"/>
      <c r="L1051" s="246"/>
      <c r="M1051" s="235"/>
      <c r="N1051" s="126"/>
      <c r="O1051" s="126"/>
      <c r="P1051" s="126"/>
      <c r="Q1051" s="126"/>
      <c r="R1051" s="126"/>
      <c r="S1051" s="126"/>
      <c r="T1051" s="126"/>
      <c r="U1051" s="126"/>
      <c r="V1051" s="126"/>
      <c r="W1051" s="126"/>
      <c r="X1051" s="126"/>
      <c r="Y1051" s="126"/>
      <c r="Z1051" s="126"/>
      <c r="AA1051" s="126"/>
      <c r="AB1051" s="126"/>
      <c r="AC1051" s="126"/>
      <c r="AD1051" s="126"/>
      <c r="AE1051" s="126"/>
    </row>
    <row r="1052" spans="1:31" ht="13.2">
      <c r="A1052" s="126"/>
      <c r="B1052" s="126"/>
      <c r="C1052" s="126"/>
      <c r="D1052" s="126"/>
      <c r="E1052" s="126"/>
      <c r="F1052" s="271"/>
      <c r="G1052" s="272"/>
      <c r="H1052" s="126"/>
      <c r="I1052" s="126"/>
      <c r="J1052" s="126"/>
      <c r="K1052" s="126"/>
      <c r="L1052" s="246"/>
      <c r="M1052" s="235"/>
      <c r="N1052" s="126"/>
      <c r="O1052" s="126"/>
      <c r="P1052" s="126"/>
      <c r="Q1052" s="126"/>
      <c r="R1052" s="126"/>
      <c r="S1052" s="126"/>
      <c r="T1052" s="126"/>
      <c r="U1052" s="126"/>
      <c r="V1052" s="126"/>
      <c r="W1052" s="126"/>
      <c r="X1052" s="126"/>
      <c r="Y1052" s="126"/>
      <c r="Z1052" s="126"/>
      <c r="AA1052" s="126"/>
      <c r="AB1052" s="126"/>
      <c r="AC1052" s="126"/>
      <c r="AD1052" s="126"/>
      <c r="AE1052" s="126"/>
    </row>
    <row r="1053" spans="1:31" ht="13.2">
      <c r="A1053" s="126"/>
      <c r="B1053" s="126"/>
      <c r="C1053" s="126"/>
      <c r="D1053" s="126"/>
      <c r="E1053" s="126"/>
      <c r="F1053" s="271"/>
      <c r="G1053" s="272"/>
      <c r="H1053" s="126"/>
      <c r="I1053" s="126"/>
      <c r="J1053" s="126"/>
      <c r="K1053" s="126"/>
      <c r="L1053" s="246"/>
      <c r="M1053" s="235"/>
      <c r="N1053" s="126"/>
      <c r="O1053" s="126"/>
      <c r="P1053" s="126"/>
      <c r="Q1053" s="126"/>
      <c r="R1053" s="126"/>
      <c r="S1053" s="126"/>
      <c r="T1053" s="126"/>
      <c r="U1053" s="126"/>
      <c r="V1053" s="126"/>
      <c r="W1053" s="126"/>
      <c r="X1053" s="126"/>
      <c r="Y1053" s="126"/>
      <c r="Z1053" s="126"/>
      <c r="AA1053" s="126"/>
      <c r="AB1053" s="126"/>
      <c r="AC1053" s="126"/>
      <c r="AD1053" s="126"/>
      <c r="AE1053" s="126"/>
    </row>
    <row r="1054" spans="1:31" ht="13.2">
      <c r="A1054" s="126"/>
      <c r="B1054" s="126"/>
      <c r="C1054" s="126"/>
      <c r="D1054" s="126"/>
      <c r="E1054" s="126"/>
      <c r="F1054" s="271"/>
      <c r="G1054" s="272"/>
      <c r="H1054" s="126"/>
      <c r="I1054" s="126"/>
      <c r="J1054" s="126"/>
      <c r="K1054" s="126"/>
      <c r="L1054" s="246"/>
      <c r="M1054" s="235"/>
      <c r="N1054" s="126"/>
      <c r="O1054" s="126"/>
      <c r="P1054" s="126"/>
      <c r="Q1054" s="126"/>
      <c r="R1054" s="126"/>
      <c r="S1054" s="126"/>
      <c r="T1054" s="126"/>
      <c r="U1054" s="126"/>
      <c r="V1054" s="126"/>
      <c r="W1054" s="126"/>
      <c r="X1054" s="126"/>
      <c r="Y1054" s="126"/>
      <c r="Z1054" s="126"/>
      <c r="AA1054" s="126"/>
      <c r="AB1054" s="126"/>
      <c r="AC1054" s="126"/>
      <c r="AD1054" s="126"/>
      <c r="AE1054" s="126"/>
    </row>
    <row r="1055" spans="1:31" ht="13.2">
      <c r="A1055" s="126"/>
      <c r="B1055" s="126"/>
      <c r="C1055" s="126"/>
      <c r="D1055" s="126"/>
      <c r="E1055" s="126"/>
      <c r="F1055" s="271"/>
      <c r="G1055" s="272"/>
      <c r="H1055" s="126"/>
      <c r="I1055" s="126"/>
      <c r="J1055" s="126"/>
      <c r="K1055" s="126"/>
      <c r="L1055" s="246"/>
      <c r="M1055" s="235"/>
      <c r="N1055" s="126"/>
      <c r="O1055" s="126"/>
      <c r="P1055" s="126"/>
      <c r="Q1055" s="126"/>
      <c r="R1055" s="126"/>
      <c r="S1055" s="126"/>
      <c r="T1055" s="126"/>
      <c r="U1055" s="126"/>
      <c r="V1055" s="126"/>
      <c r="W1055" s="126"/>
      <c r="X1055" s="126"/>
      <c r="Y1055" s="126"/>
      <c r="Z1055" s="126"/>
      <c r="AA1055" s="126"/>
      <c r="AB1055" s="126"/>
      <c r="AC1055" s="126"/>
      <c r="AD1055" s="126"/>
      <c r="AE1055" s="126"/>
    </row>
    <row r="1056" spans="1:31" ht="13.2">
      <c r="A1056" s="126"/>
      <c r="B1056" s="126"/>
      <c r="C1056" s="126"/>
      <c r="D1056" s="126"/>
      <c r="E1056" s="126"/>
      <c r="F1056" s="271"/>
      <c r="G1056" s="272"/>
      <c r="H1056" s="126"/>
      <c r="I1056" s="126"/>
      <c r="J1056" s="126"/>
      <c r="K1056" s="126"/>
      <c r="L1056" s="246"/>
      <c r="M1056" s="235"/>
      <c r="N1056" s="126"/>
      <c r="O1056" s="126"/>
      <c r="P1056" s="126"/>
      <c r="Q1056" s="126"/>
      <c r="R1056" s="126"/>
      <c r="S1056" s="126"/>
      <c r="T1056" s="126"/>
      <c r="U1056" s="126"/>
      <c r="V1056" s="126"/>
      <c r="W1056" s="126"/>
      <c r="X1056" s="126"/>
      <c r="Y1056" s="126"/>
      <c r="Z1056" s="126"/>
      <c r="AA1056" s="126"/>
      <c r="AB1056" s="126"/>
      <c r="AC1056" s="126"/>
      <c r="AD1056" s="126"/>
      <c r="AE1056" s="126"/>
    </row>
    <row r="1057" spans="1:31" ht="13.2">
      <c r="A1057" s="126"/>
      <c r="B1057" s="126"/>
      <c r="C1057" s="126"/>
      <c r="D1057" s="126"/>
      <c r="E1057" s="126"/>
      <c r="F1057" s="271"/>
      <c r="G1057" s="272"/>
      <c r="H1057" s="126"/>
      <c r="I1057" s="126"/>
      <c r="J1057" s="126"/>
      <c r="K1057" s="126"/>
      <c r="L1057" s="246"/>
      <c r="M1057" s="235"/>
      <c r="N1057" s="126"/>
      <c r="O1057" s="126"/>
      <c r="P1057" s="126"/>
      <c r="Q1057" s="126"/>
      <c r="R1057" s="126"/>
      <c r="S1057" s="126"/>
      <c r="T1057" s="126"/>
      <c r="U1057" s="126"/>
      <c r="V1057" s="126"/>
      <c r="W1057" s="126"/>
      <c r="X1057" s="126"/>
      <c r="Y1057" s="126"/>
      <c r="Z1057" s="126"/>
      <c r="AA1057" s="126"/>
      <c r="AB1057" s="126"/>
      <c r="AC1057" s="126"/>
      <c r="AD1057" s="126"/>
      <c r="AE1057" s="126"/>
    </row>
    <row r="1058" spans="1:31" ht="13.2">
      <c r="A1058" s="126"/>
      <c r="B1058" s="126"/>
      <c r="C1058" s="126"/>
      <c r="D1058" s="126"/>
      <c r="E1058" s="126"/>
      <c r="F1058" s="271"/>
      <c r="G1058" s="272"/>
      <c r="H1058" s="126"/>
      <c r="I1058" s="126"/>
      <c r="J1058" s="126"/>
      <c r="K1058" s="126"/>
      <c r="L1058" s="246"/>
      <c r="M1058" s="235"/>
      <c r="N1058" s="126"/>
      <c r="O1058" s="126"/>
      <c r="P1058" s="126"/>
      <c r="Q1058" s="126"/>
      <c r="R1058" s="126"/>
      <c r="S1058" s="126"/>
      <c r="T1058" s="126"/>
      <c r="U1058" s="126"/>
      <c r="V1058" s="126"/>
      <c r="W1058" s="126"/>
      <c r="X1058" s="126"/>
      <c r="Y1058" s="126"/>
      <c r="Z1058" s="126"/>
      <c r="AA1058" s="126"/>
      <c r="AB1058" s="126"/>
      <c r="AC1058" s="126"/>
      <c r="AD1058" s="126"/>
      <c r="AE1058" s="126"/>
    </row>
    <row r="1059" spans="1:31" ht="13.2">
      <c r="A1059" s="126"/>
      <c r="B1059" s="126"/>
      <c r="C1059" s="126"/>
      <c r="D1059" s="126"/>
      <c r="E1059" s="126"/>
      <c r="F1059" s="271"/>
      <c r="G1059" s="272"/>
      <c r="H1059" s="126"/>
      <c r="I1059" s="126"/>
      <c r="J1059" s="126"/>
      <c r="K1059" s="126"/>
      <c r="L1059" s="246"/>
      <c r="M1059" s="235"/>
      <c r="N1059" s="126"/>
      <c r="O1059" s="126"/>
      <c r="P1059" s="126"/>
      <c r="Q1059" s="126"/>
      <c r="R1059" s="126"/>
      <c r="S1059" s="126"/>
      <c r="T1059" s="126"/>
      <c r="U1059" s="126"/>
      <c r="V1059" s="126"/>
      <c r="W1059" s="126"/>
      <c r="X1059" s="126"/>
      <c r="Y1059" s="126"/>
      <c r="Z1059" s="126"/>
      <c r="AA1059" s="126"/>
      <c r="AB1059" s="126"/>
      <c r="AC1059" s="126"/>
      <c r="AD1059" s="126"/>
      <c r="AE1059" s="126"/>
    </row>
    <row r="1060" spans="1:31" ht="13.2">
      <c r="A1060" s="126"/>
      <c r="B1060" s="126"/>
      <c r="C1060" s="126"/>
      <c r="D1060" s="126"/>
      <c r="E1060" s="126"/>
      <c r="F1060" s="271"/>
      <c r="G1060" s="272"/>
      <c r="H1060" s="126"/>
      <c r="I1060" s="126"/>
      <c r="J1060" s="126"/>
      <c r="K1060" s="126"/>
      <c r="L1060" s="246"/>
      <c r="M1060" s="235"/>
      <c r="N1060" s="126"/>
      <c r="O1060" s="126"/>
      <c r="P1060" s="126"/>
      <c r="Q1060" s="126"/>
      <c r="R1060" s="126"/>
      <c r="S1060" s="126"/>
      <c r="T1060" s="126"/>
      <c r="U1060" s="126"/>
      <c r="V1060" s="126"/>
      <c r="W1060" s="126"/>
      <c r="X1060" s="126"/>
      <c r="Y1060" s="126"/>
      <c r="Z1060" s="126"/>
      <c r="AA1060" s="126"/>
      <c r="AB1060" s="126"/>
      <c r="AC1060" s="126"/>
      <c r="AD1060" s="126"/>
      <c r="AE1060" s="126"/>
    </row>
    <row r="1061" spans="1:31" ht="13.2">
      <c r="A1061" s="126"/>
      <c r="B1061" s="126"/>
      <c r="C1061" s="126"/>
      <c r="D1061" s="126"/>
      <c r="E1061" s="126"/>
      <c r="F1061" s="271"/>
      <c r="G1061" s="272"/>
      <c r="H1061" s="126"/>
      <c r="I1061" s="126"/>
      <c r="J1061" s="126"/>
      <c r="K1061" s="126"/>
      <c r="L1061" s="246"/>
      <c r="M1061" s="235"/>
      <c r="N1061" s="126"/>
      <c r="O1061" s="126"/>
      <c r="P1061" s="126"/>
      <c r="Q1061" s="126"/>
      <c r="R1061" s="126"/>
      <c r="S1061" s="126"/>
      <c r="T1061" s="126"/>
      <c r="U1061" s="126"/>
      <c r="V1061" s="126"/>
      <c r="W1061" s="126"/>
      <c r="X1061" s="126"/>
      <c r="Y1061" s="126"/>
      <c r="Z1061" s="126"/>
      <c r="AA1061" s="126"/>
      <c r="AB1061" s="126"/>
      <c r="AC1061" s="126"/>
      <c r="AD1061" s="126"/>
      <c r="AE1061" s="126"/>
    </row>
    <row r="1062" spans="1:31" ht="13.2">
      <c r="A1062" s="126"/>
      <c r="B1062" s="126"/>
      <c r="C1062" s="126"/>
      <c r="D1062" s="126"/>
      <c r="E1062" s="126"/>
      <c r="F1062" s="271"/>
      <c r="G1062" s="272"/>
      <c r="H1062" s="126"/>
      <c r="I1062" s="126"/>
      <c r="J1062" s="126"/>
      <c r="K1062" s="126"/>
      <c r="L1062" s="246"/>
      <c r="M1062" s="235"/>
      <c r="N1062" s="126"/>
      <c r="O1062" s="126"/>
      <c r="P1062" s="126"/>
      <c r="Q1062" s="126"/>
      <c r="R1062" s="126"/>
      <c r="S1062" s="126"/>
      <c r="T1062" s="126"/>
      <c r="U1062" s="126"/>
      <c r="V1062" s="126"/>
      <c r="W1062" s="126"/>
      <c r="X1062" s="126"/>
      <c r="Y1062" s="126"/>
      <c r="Z1062" s="126"/>
      <c r="AA1062" s="126"/>
      <c r="AB1062" s="126"/>
      <c r="AC1062" s="126"/>
      <c r="AD1062" s="126"/>
      <c r="AE1062" s="126"/>
    </row>
    <row r="1063" spans="1:31" ht="13.2">
      <c r="A1063" s="126"/>
      <c r="B1063" s="126"/>
      <c r="C1063" s="126"/>
      <c r="D1063" s="126"/>
      <c r="E1063" s="126"/>
      <c r="F1063" s="271"/>
      <c r="G1063" s="272"/>
      <c r="H1063" s="126"/>
      <c r="I1063" s="126"/>
      <c r="J1063" s="126"/>
      <c r="K1063" s="126"/>
      <c r="L1063" s="246"/>
      <c r="M1063" s="235"/>
      <c r="N1063" s="126"/>
      <c r="O1063" s="126"/>
      <c r="P1063" s="126"/>
      <c r="Q1063" s="126"/>
      <c r="R1063" s="126"/>
      <c r="S1063" s="126"/>
      <c r="T1063" s="126"/>
      <c r="U1063" s="126"/>
      <c r="V1063" s="126"/>
      <c r="W1063" s="126"/>
      <c r="X1063" s="126"/>
      <c r="Y1063" s="126"/>
      <c r="Z1063" s="126"/>
      <c r="AA1063" s="126"/>
      <c r="AB1063" s="126"/>
      <c r="AC1063" s="126"/>
      <c r="AD1063" s="126"/>
      <c r="AE1063" s="126"/>
    </row>
    <row r="1064" spans="1:31" ht="13.2">
      <c r="A1064" s="126"/>
      <c r="B1064" s="126"/>
      <c r="C1064" s="126"/>
      <c r="D1064" s="126"/>
      <c r="E1064" s="126"/>
      <c r="F1064" s="271"/>
      <c r="G1064" s="272"/>
      <c r="H1064" s="126"/>
      <c r="I1064" s="126"/>
      <c r="J1064" s="126"/>
      <c r="K1064" s="126"/>
      <c r="L1064" s="246"/>
      <c r="M1064" s="235"/>
      <c r="N1064" s="126"/>
      <c r="O1064" s="126"/>
      <c r="P1064" s="126"/>
      <c r="Q1064" s="126"/>
      <c r="R1064" s="126"/>
      <c r="S1064" s="126"/>
      <c r="T1064" s="126"/>
      <c r="U1064" s="126"/>
      <c r="V1064" s="126"/>
      <c r="W1064" s="126"/>
      <c r="X1064" s="126"/>
      <c r="Y1064" s="126"/>
      <c r="Z1064" s="126"/>
      <c r="AA1064" s="126"/>
      <c r="AB1064" s="126"/>
      <c r="AC1064" s="126"/>
      <c r="AD1064" s="126"/>
      <c r="AE1064" s="126"/>
    </row>
    <row r="1065" spans="1:31" ht="13.2">
      <c r="A1065" s="126"/>
      <c r="B1065" s="126"/>
      <c r="C1065" s="126"/>
      <c r="D1065" s="126"/>
      <c r="E1065" s="126"/>
      <c r="F1065" s="271"/>
      <c r="G1065" s="272"/>
      <c r="H1065" s="126"/>
      <c r="I1065" s="126"/>
      <c r="J1065" s="126"/>
      <c r="K1065" s="126"/>
      <c r="L1065" s="246"/>
      <c r="M1065" s="235"/>
      <c r="N1065" s="126"/>
      <c r="O1065" s="126"/>
      <c r="P1065" s="126"/>
      <c r="Q1065" s="126"/>
      <c r="R1065" s="126"/>
      <c r="S1065" s="126"/>
      <c r="T1065" s="126"/>
      <c r="U1065" s="126"/>
      <c r="V1065" s="126"/>
      <c r="W1065" s="126"/>
      <c r="X1065" s="126"/>
      <c r="Y1065" s="126"/>
      <c r="Z1065" s="126"/>
      <c r="AA1065" s="126"/>
      <c r="AB1065" s="126"/>
      <c r="AC1065" s="126"/>
      <c r="AD1065" s="126"/>
      <c r="AE1065" s="126"/>
    </row>
    <row r="1066" spans="1:31" ht="13.2">
      <c r="A1066" s="126"/>
      <c r="B1066" s="126"/>
      <c r="C1066" s="126"/>
      <c r="D1066" s="126"/>
      <c r="E1066" s="126"/>
      <c r="F1066" s="271"/>
      <c r="G1066" s="272"/>
      <c r="H1066" s="126"/>
      <c r="I1066" s="126"/>
      <c r="J1066" s="126"/>
      <c r="K1066" s="126"/>
      <c r="L1066" s="246"/>
      <c r="M1066" s="235"/>
      <c r="N1066" s="126"/>
      <c r="O1066" s="126"/>
      <c r="P1066" s="126"/>
      <c r="Q1066" s="126"/>
      <c r="R1066" s="126"/>
      <c r="S1066" s="126"/>
      <c r="T1066" s="126"/>
      <c r="U1066" s="126"/>
      <c r="V1066" s="126"/>
      <c r="W1066" s="126"/>
      <c r="X1066" s="126"/>
      <c r="Y1066" s="126"/>
      <c r="Z1066" s="126"/>
      <c r="AA1066" s="126"/>
      <c r="AB1066" s="126"/>
      <c r="AC1066" s="126"/>
      <c r="AD1066" s="126"/>
      <c r="AE1066" s="126"/>
    </row>
    <row r="1067" spans="1:31" ht="13.2">
      <c r="A1067" s="126"/>
      <c r="B1067" s="126"/>
      <c r="C1067" s="126"/>
      <c r="D1067" s="126"/>
      <c r="E1067" s="126"/>
      <c r="F1067" s="271"/>
      <c r="G1067" s="272"/>
      <c r="H1067" s="126"/>
      <c r="I1067" s="126"/>
      <c r="J1067" s="126"/>
      <c r="K1067" s="126"/>
      <c r="L1067" s="246"/>
      <c r="M1067" s="235"/>
      <c r="N1067" s="126"/>
      <c r="O1067" s="126"/>
      <c r="P1067" s="126"/>
      <c r="Q1067" s="126"/>
      <c r="R1067" s="126"/>
      <c r="S1067" s="126"/>
      <c r="T1067" s="126"/>
      <c r="U1067" s="126"/>
      <c r="V1067" s="126"/>
      <c r="W1067" s="126"/>
      <c r="X1067" s="126"/>
      <c r="Y1067" s="126"/>
      <c r="Z1067" s="126"/>
      <c r="AA1067" s="126"/>
      <c r="AB1067" s="126"/>
      <c r="AC1067" s="126"/>
      <c r="AD1067" s="126"/>
      <c r="AE1067" s="126"/>
    </row>
    <row r="1068" spans="1:31" ht="13.2">
      <c r="A1068" s="126"/>
      <c r="B1068" s="126"/>
      <c r="C1068" s="126"/>
      <c r="D1068" s="126"/>
      <c r="E1068" s="126"/>
      <c r="F1068" s="271"/>
      <c r="G1068" s="272"/>
      <c r="H1068" s="126"/>
      <c r="I1068" s="126"/>
      <c r="J1068" s="126"/>
      <c r="K1068" s="126"/>
      <c r="L1068" s="246"/>
      <c r="M1068" s="235"/>
      <c r="N1068" s="126"/>
      <c r="O1068" s="126"/>
      <c r="P1068" s="126"/>
      <c r="Q1068" s="126"/>
      <c r="R1068" s="126"/>
      <c r="S1068" s="126"/>
      <c r="T1068" s="126"/>
      <c r="U1068" s="126"/>
      <c r="V1068" s="126"/>
      <c r="W1068" s="126"/>
      <c r="X1068" s="126"/>
      <c r="Y1068" s="126"/>
      <c r="Z1068" s="126"/>
      <c r="AA1068" s="126"/>
      <c r="AB1068" s="126"/>
      <c r="AC1068" s="126"/>
      <c r="AD1068" s="126"/>
      <c r="AE1068" s="126"/>
    </row>
    <row r="1069" spans="1:31" ht="13.2">
      <c r="A1069" s="126"/>
      <c r="B1069" s="126"/>
      <c r="C1069" s="126"/>
      <c r="D1069" s="126"/>
      <c r="E1069" s="126"/>
      <c r="F1069" s="271"/>
      <c r="G1069" s="272"/>
      <c r="H1069" s="126"/>
      <c r="I1069" s="126"/>
      <c r="J1069" s="126"/>
      <c r="K1069" s="126"/>
      <c r="L1069" s="246"/>
      <c r="M1069" s="235"/>
      <c r="N1069" s="126"/>
      <c r="O1069" s="126"/>
      <c r="P1069" s="126"/>
      <c r="Q1069" s="126"/>
      <c r="R1069" s="126"/>
      <c r="S1069" s="126"/>
      <c r="T1069" s="126"/>
      <c r="U1069" s="126"/>
      <c r="V1069" s="126"/>
      <c r="W1069" s="126"/>
      <c r="X1069" s="126"/>
      <c r="Y1069" s="126"/>
      <c r="Z1069" s="126"/>
      <c r="AA1069" s="126"/>
      <c r="AB1069" s="126"/>
      <c r="AC1069" s="126"/>
      <c r="AD1069" s="126"/>
      <c r="AE1069" s="126"/>
    </row>
    <row r="1070" spans="1:31" ht="13.2">
      <c r="A1070" s="126"/>
      <c r="B1070" s="126"/>
      <c r="C1070" s="126"/>
      <c r="D1070" s="126"/>
      <c r="E1070" s="126"/>
      <c r="F1070" s="271"/>
      <c r="G1070" s="272"/>
      <c r="H1070" s="126"/>
      <c r="I1070" s="126"/>
      <c r="J1070" s="126"/>
      <c r="K1070" s="126"/>
      <c r="L1070" s="246"/>
      <c r="M1070" s="235"/>
      <c r="N1070" s="126"/>
      <c r="O1070" s="126"/>
      <c r="P1070" s="126"/>
      <c r="Q1070" s="126"/>
      <c r="R1070" s="126"/>
      <c r="S1070" s="126"/>
      <c r="T1070" s="126"/>
      <c r="U1070" s="126"/>
      <c r="V1070" s="126"/>
      <c r="W1070" s="126"/>
      <c r="X1070" s="126"/>
      <c r="Y1070" s="126"/>
      <c r="Z1070" s="126"/>
      <c r="AA1070" s="126"/>
      <c r="AB1070" s="126"/>
      <c r="AC1070" s="126"/>
      <c r="AD1070" s="126"/>
      <c r="AE1070" s="126"/>
    </row>
    <row r="1071" spans="1:31" ht="13.2">
      <c r="A1071" s="126"/>
      <c r="B1071" s="126"/>
      <c r="C1071" s="126"/>
      <c r="D1071" s="126"/>
      <c r="E1071" s="126"/>
      <c r="F1071" s="271"/>
      <c r="G1071" s="272"/>
      <c r="H1071" s="126"/>
      <c r="I1071" s="126"/>
      <c r="J1071" s="126"/>
      <c r="K1071" s="126"/>
      <c r="L1071" s="246"/>
      <c r="M1071" s="235"/>
      <c r="N1071" s="126"/>
      <c r="O1071" s="126"/>
      <c r="P1071" s="126"/>
      <c r="Q1071" s="126"/>
      <c r="R1071" s="126"/>
      <c r="S1071" s="126"/>
      <c r="T1071" s="126"/>
      <c r="U1071" s="126"/>
      <c r="V1071" s="126"/>
      <c r="W1071" s="126"/>
      <c r="X1071" s="126"/>
      <c r="Y1071" s="126"/>
      <c r="Z1071" s="126"/>
      <c r="AA1071" s="126"/>
      <c r="AB1071" s="126"/>
      <c r="AC1071" s="126"/>
      <c r="AD1071" s="126"/>
      <c r="AE1071" s="126"/>
    </row>
    <row r="1072" spans="1:31" ht="13.2">
      <c r="A1072" s="126"/>
      <c r="B1072" s="126"/>
      <c r="C1072" s="126"/>
      <c r="D1072" s="126"/>
      <c r="E1072" s="126"/>
      <c r="F1072" s="271"/>
      <c r="G1072" s="272"/>
      <c r="H1072" s="126"/>
      <c r="I1072" s="126"/>
      <c r="J1072" s="126"/>
      <c r="K1072" s="126"/>
      <c r="L1072" s="246"/>
      <c r="M1072" s="235"/>
      <c r="N1072" s="126"/>
      <c r="O1072" s="126"/>
      <c r="P1072" s="126"/>
      <c r="Q1072" s="126"/>
      <c r="R1072" s="126"/>
      <c r="S1072" s="126"/>
      <c r="T1072" s="126"/>
      <c r="U1072" s="126"/>
      <c r="V1072" s="126"/>
      <c r="W1072" s="126"/>
      <c r="X1072" s="126"/>
      <c r="Y1072" s="126"/>
      <c r="Z1072" s="126"/>
      <c r="AA1072" s="126"/>
      <c r="AB1072" s="126"/>
      <c r="AC1072" s="126"/>
      <c r="AD1072" s="126"/>
      <c r="AE1072" s="126"/>
    </row>
    <row r="1073" spans="1:31" ht="13.2">
      <c r="A1073" s="126"/>
      <c r="B1073" s="126"/>
      <c r="C1073" s="126"/>
      <c r="D1073" s="126"/>
      <c r="E1073" s="126"/>
      <c r="F1073" s="271"/>
      <c r="G1073" s="272"/>
      <c r="H1073" s="126"/>
      <c r="I1073" s="126"/>
      <c r="J1073" s="126"/>
      <c r="K1073" s="126"/>
      <c r="L1073" s="246"/>
      <c r="M1073" s="235"/>
      <c r="N1073" s="126"/>
      <c r="O1073" s="126"/>
      <c r="P1073" s="126"/>
      <c r="Q1073" s="126"/>
      <c r="R1073" s="126"/>
      <c r="S1073" s="126"/>
      <c r="T1073" s="126"/>
      <c r="U1073" s="126"/>
      <c r="V1073" s="126"/>
      <c r="W1073" s="126"/>
      <c r="X1073" s="126"/>
      <c r="Y1073" s="126"/>
      <c r="Z1073" s="126"/>
      <c r="AA1073" s="126"/>
      <c r="AB1073" s="126"/>
      <c r="AC1073" s="126"/>
      <c r="AD1073" s="126"/>
      <c r="AE1073" s="126"/>
    </row>
    <row r="1074" spans="1:31" ht="13.2">
      <c r="A1074" s="126"/>
      <c r="B1074" s="126"/>
      <c r="C1074" s="126"/>
      <c r="D1074" s="126"/>
      <c r="E1074" s="126"/>
      <c r="F1074" s="271"/>
      <c r="G1074" s="272"/>
      <c r="H1074" s="126"/>
      <c r="I1074" s="126"/>
      <c r="J1074" s="126"/>
      <c r="K1074" s="126"/>
      <c r="L1074" s="246"/>
      <c r="M1074" s="235"/>
      <c r="N1074" s="126"/>
      <c r="O1074" s="126"/>
      <c r="P1074" s="126"/>
      <c r="Q1074" s="126"/>
      <c r="R1074" s="126"/>
      <c r="S1074" s="126"/>
      <c r="T1074" s="126"/>
      <c r="U1074" s="126"/>
      <c r="V1074" s="126"/>
      <c r="W1074" s="126"/>
      <c r="X1074" s="126"/>
      <c r="Y1074" s="126"/>
      <c r="Z1074" s="126"/>
      <c r="AA1074" s="126"/>
      <c r="AB1074" s="126"/>
      <c r="AC1074" s="126"/>
      <c r="AD1074" s="126"/>
      <c r="AE1074" s="126"/>
    </row>
    <row r="1075" spans="1:31" ht="13.2">
      <c r="A1075" s="126"/>
      <c r="B1075" s="126"/>
      <c r="C1075" s="126"/>
      <c r="D1075" s="126"/>
      <c r="E1075" s="126"/>
      <c r="F1075" s="271"/>
      <c r="G1075" s="272"/>
      <c r="H1075" s="126"/>
      <c r="I1075" s="126"/>
      <c r="J1075" s="126"/>
      <c r="K1075" s="126"/>
      <c r="L1075" s="246"/>
      <c r="M1075" s="235"/>
      <c r="N1075" s="126"/>
      <c r="O1075" s="126"/>
      <c r="P1075" s="126"/>
      <c r="Q1075" s="126"/>
      <c r="R1075" s="126"/>
      <c r="S1075" s="126"/>
      <c r="T1075" s="126"/>
      <c r="U1075" s="126"/>
      <c r="V1075" s="126"/>
      <c r="W1075" s="126"/>
      <c r="X1075" s="126"/>
      <c r="Y1075" s="126"/>
      <c r="Z1075" s="126"/>
      <c r="AA1075" s="126"/>
      <c r="AB1075" s="126"/>
      <c r="AC1075" s="126"/>
      <c r="AD1075" s="126"/>
      <c r="AE1075" s="126"/>
    </row>
    <row r="1076" spans="1:31" ht="13.2">
      <c r="A1076" s="126"/>
      <c r="B1076" s="126"/>
      <c r="C1076" s="126"/>
      <c r="D1076" s="126"/>
      <c r="E1076" s="126"/>
      <c r="F1076" s="271"/>
      <c r="G1076" s="272"/>
      <c r="H1076" s="126"/>
      <c r="I1076" s="126"/>
      <c r="J1076" s="126"/>
      <c r="K1076" s="126"/>
      <c r="L1076" s="246"/>
      <c r="M1076" s="235"/>
      <c r="N1076" s="126"/>
      <c r="O1076" s="126"/>
      <c r="P1076" s="126"/>
      <c r="Q1076" s="126"/>
      <c r="R1076" s="126"/>
      <c r="S1076" s="126"/>
      <c r="T1076" s="126"/>
      <c r="U1076" s="126"/>
      <c r="V1076" s="126"/>
      <c r="W1076" s="126"/>
      <c r="X1076" s="126"/>
      <c r="Y1076" s="126"/>
      <c r="Z1076" s="126"/>
      <c r="AA1076" s="126"/>
      <c r="AB1076" s="126"/>
      <c r="AC1076" s="126"/>
      <c r="AD1076" s="126"/>
      <c r="AE1076" s="126"/>
    </row>
    <row r="1077" spans="1:31" ht="13.2">
      <c r="A1077" s="126"/>
      <c r="B1077" s="126"/>
      <c r="C1077" s="126"/>
      <c r="D1077" s="126"/>
      <c r="E1077" s="126"/>
      <c r="F1077" s="271"/>
      <c r="G1077" s="272"/>
      <c r="H1077" s="126"/>
      <c r="I1077" s="126"/>
      <c r="J1077" s="126"/>
      <c r="K1077" s="126"/>
      <c r="L1077" s="246"/>
      <c r="M1077" s="235"/>
      <c r="N1077" s="126"/>
      <c r="O1077" s="126"/>
      <c r="P1077" s="126"/>
      <c r="Q1077" s="126"/>
      <c r="R1077" s="126"/>
      <c r="S1077" s="126"/>
      <c r="T1077" s="126"/>
      <c r="U1077" s="126"/>
      <c r="V1077" s="126"/>
      <c r="W1077" s="126"/>
      <c r="X1077" s="126"/>
      <c r="Y1077" s="126"/>
      <c r="Z1077" s="126"/>
      <c r="AA1077" s="126"/>
      <c r="AB1077" s="126"/>
      <c r="AC1077" s="126"/>
      <c r="AD1077" s="126"/>
      <c r="AE1077" s="126"/>
    </row>
    <row r="1078" spans="1:31" ht="13.2">
      <c r="A1078" s="126"/>
      <c r="B1078" s="126"/>
      <c r="C1078" s="126"/>
      <c r="D1078" s="126"/>
      <c r="E1078" s="126"/>
      <c r="F1078" s="271"/>
      <c r="G1078" s="272"/>
      <c r="H1078" s="126"/>
      <c r="I1078" s="126"/>
      <c r="J1078" s="126"/>
      <c r="K1078" s="126"/>
      <c r="L1078" s="246"/>
      <c r="M1078" s="235"/>
      <c r="N1078" s="126"/>
      <c r="O1078" s="126"/>
      <c r="P1078" s="126"/>
      <c r="Q1078" s="126"/>
      <c r="R1078" s="126"/>
      <c r="S1078" s="126"/>
      <c r="T1078" s="126"/>
      <c r="U1078" s="126"/>
      <c r="V1078" s="126"/>
      <c r="W1078" s="126"/>
      <c r="X1078" s="126"/>
      <c r="Y1078" s="126"/>
      <c r="Z1078" s="126"/>
      <c r="AA1078" s="126"/>
      <c r="AB1078" s="126"/>
      <c r="AC1078" s="126"/>
      <c r="AD1078" s="126"/>
      <c r="AE1078" s="126"/>
    </row>
    <row r="1079" spans="1:31" ht="13.2">
      <c r="A1079" s="126"/>
      <c r="B1079" s="126"/>
      <c r="C1079" s="126"/>
      <c r="D1079" s="126"/>
      <c r="E1079" s="126"/>
      <c r="F1079" s="271"/>
      <c r="G1079" s="272"/>
      <c r="H1079" s="126"/>
      <c r="I1079" s="126"/>
      <c r="J1079" s="126"/>
      <c r="K1079" s="126"/>
      <c r="L1079" s="246"/>
      <c r="M1079" s="235"/>
      <c r="N1079" s="126"/>
      <c r="O1079" s="126"/>
      <c r="P1079" s="126"/>
      <c r="Q1079" s="126"/>
      <c r="R1079" s="126"/>
      <c r="S1079" s="126"/>
      <c r="T1079" s="126"/>
      <c r="U1079" s="126"/>
      <c r="V1079" s="126"/>
      <c r="W1079" s="126"/>
      <c r="X1079" s="126"/>
      <c r="Y1079" s="126"/>
      <c r="Z1079" s="126"/>
      <c r="AA1079" s="126"/>
      <c r="AB1079" s="126"/>
      <c r="AC1079" s="126"/>
      <c r="AD1079" s="126"/>
      <c r="AE1079" s="126"/>
    </row>
    <row r="1080" spans="1:31" ht="13.2">
      <c r="A1080" s="126"/>
      <c r="B1080" s="126"/>
      <c r="C1080" s="126"/>
      <c r="D1080" s="126"/>
      <c r="E1080" s="126"/>
      <c r="F1080" s="271"/>
      <c r="G1080" s="272"/>
      <c r="H1080" s="126"/>
      <c r="I1080" s="126"/>
      <c r="J1080" s="126"/>
      <c r="K1080" s="126"/>
      <c r="L1080" s="246"/>
      <c r="M1080" s="235"/>
      <c r="N1080" s="126"/>
      <c r="O1080" s="126"/>
      <c r="P1080" s="126"/>
      <c r="Q1080" s="126"/>
      <c r="R1080" s="126"/>
      <c r="S1080" s="126"/>
      <c r="T1080" s="126"/>
      <c r="U1080" s="126"/>
      <c r="V1080" s="126"/>
      <c r="W1080" s="126"/>
      <c r="X1080" s="126"/>
      <c r="Y1080" s="126"/>
      <c r="Z1080" s="126"/>
      <c r="AA1080" s="126"/>
      <c r="AB1080" s="126"/>
      <c r="AC1080" s="126"/>
      <c r="AD1080" s="126"/>
      <c r="AE1080" s="126"/>
    </row>
    <row r="1081" spans="1:31" ht="13.2">
      <c r="A1081" s="126"/>
      <c r="B1081" s="126"/>
      <c r="C1081" s="126"/>
      <c r="D1081" s="126"/>
      <c r="E1081" s="126"/>
      <c r="F1081" s="271"/>
      <c r="G1081" s="272"/>
      <c r="H1081" s="126"/>
      <c r="I1081" s="126"/>
      <c r="J1081" s="126"/>
      <c r="K1081" s="126"/>
      <c r="L1081" s="246"/>
      <c r="M1081" s="235"/>
      <c r="N1081" s="126"/>
      <c r="O1081" s="126"/>
      <c r="P1081" s="126"/>
      <c r="Q1081" s="126"/>
      <c r="R1081" s="126"/>
      <c r="S1081" s="126"/>
      <c r="T1081" s="126"/>
      <c r="U1081" s="126"/>
      <c r="V1081" s="126"/>
      <c r="W1081" s="126"/>
      <c r="X1081" s="126"/>
      <c r="Y1081" s="126"/>
      <c r="Z1081" s="126"/>
      <c r="AA1081" s="126"/>
      <c r="AB1081" s="126"/>
      <c r="AC1081" s="126"/>
      <c r="AD1081" s="126"/>
      <c r="AE1081" s="126"/>
    </row>
    <row r="1082" spans="1:31" ht="13.2">
      <c r="A1082" s="126"/>
      <c r="B1082" s="126"/>
      <c r="C1082" s="126"/>
      <c r="D1082" s="126"/>
      <c r="E1082" s="126"/>
      <c r="F1082" s="271"/>
      <c r="G1082" s="272"/>
      <c r="H1082" s="126"/>
      <c r="I1082" s="126"/>
      <c r="J1082" s="126"/>
      <c r="K1082" s="126"/>
      <c r="L1082" s="246"/>
      <c r="M1082" s="235"/>
      <c r="N1082" s="126"/>
      <c r="O1082" s="126"/>
      <c r="P1082" s="126"/>
      <c r="Q1082" s="126"/>
      <c r="R1082" s="126"/>
      <c r="S1082" s="126"/>
      <c r="T1082" s="126"/>
      <c r="U1082" s="126"/>
      <c r="V1082" s="126"/>
      <c r="W1082" s="126"/>
      <c r="X1082" s="126"/>
      <c r="Y1082" s="126"/>
      <c r="Z1082" s="126"/>
      <c r="AA1082" s="126"/>
      <c r="AB1082" s="126"/>
      <c r="AC1082" s="126"/>
      <c r="AD1082" s="126"/>
      <c r="AE1082" s="126"/>
    </row>
    <row r="1083" spans="1:31" ht="13.2">
      <c r="A1083" s="126"/>
      <c r="B1083" s="126"/>
      <c r="C1083" s="126"/>
      <c r="D1083" s="126"/>
      <c r="E1083" s="126"/>
      <c r="F1083" s="271"/>
      <c r="G1083" s="272"/>
      <c r="H1083" s="126"/>
      <c r="I1083" s="126"/>
      <c r="J1083" s="126"/>
      <c r="K1083" s="126"/>
      <c r="L1083" s="246"/>
      <c r="M1083" s="235"/>
      <c r="N1083" s="126"/>
      <c r="O1083" s="126"/>
      <c r="P1083" s="126"/>
      <c r="Q1083" s="126"/>
      <c r="R1083" s="126"/>
      <c r="S1083" s="126"/>
      <c r="T1083" s="126"/>
      <c r="U1083" s="126"/>
      <c r="V1083" s="126"/>
      <c r="W1083" s="126"/>
      <c r="X1083" s="126"/>
      <c r="Y1083" s="126"/>
      <c r="Z1083" s="126"/>
      <c r="AA1083" s="126"/>
      <c r="AB1083" s="126"/>
      <c r="AC1083" s="126"/>
      <c r="AD1083" s="126"/>
      <c r="AE1083" s="126"/>
    </row>
    <row r="1084" spans="1:31" ht="13.2">
      <c r="A1084" s="126"/>
      <c r="B1084" s="126"/>
      <c r="C1084" s="126"/>
      <c r="D1084" s="126"/>
      <c r="E1084" s="126"/>
      <c r="F1084" s="271"/>
      <c r="G1084" s="272"/>
      <c r="H1084" s="126"/>
      <c r="I1084" s="126"/>
      <c r="J1084" s="126"/>
      <c r="K1084" s="126"/>
      <c r="L1084" s="246"/>
      <c r="M1084" s="235"/>
      <c r="N1084" s="126"/>
      <c r="O1084" s="126"/>
      <c r="P1084" s="126"/>
      <c r="Q1084" s="126"/>
      <c r="R1084" s="126"/>
      <c r="S1084" s="126"/>
      <c r="T1084" s="126"/>
      <c r="U1084" s="126"/>
      <c r="V1084" s="126"/>
      <c r="W1084" s="126"/>
      <c r="X1084" s="126"/>
      <c r="Y1084" s="126"/>
      <c r="Z1084" s="126"/>
      <c r="AA1084" s="126"/>
      <c r="AB1084" s="126"/>
      <c r="AC1084" s="126"/>
      <c r="AD1084" s="126"/>
      <c r="AE1084" s="126"/>
    </row>
    <row r="1085" spans="1:31" ht="13.2">
      <c r="A1085" s="126"/>
      <c r="B1085" s="126"/>
      <c r="C1085" s="126"/>
      <c r="D1085" s="126"/>
      <c r="E1085" s="126"/>
      <c r="F1085" s="271"/>
      <c r="G1085" s="272"/>
      <c r="H1085" s="126"/>
      <c r="I1085" s="126"/>
      <c r="J1085" s="126"/>
      <c r="K1085" s="126"/>
      <c r="L1085" s="246"/>
      <c r="M1085" s="235"/>
      <c r="N1085" s="126"/>
      <c r="O1085" s="126"/>
      <c r="P1085" s="126"/>
      <c r="Q1085" s="126"/>
      <c r="R1085" s="126"/>
      <c r="S1085" s="126"/>
      <c r="T1085" s="126"/>
      <c r="U1085" s="126"/>
      <c r="V1085" s="126"/>
      <c r="W1085" s="126"/>
      <c r="X1085" s="126"/>
      <c r="Y1085" s="126"/>
      <c r="Z1085" s="126"/>
      <c r="AA1085" s="126"/>
      <c r="AB1085" s="126"/>
      <c r="AC1085" s="126"/>
      <c r="AD1085" s="126"/>
      <c r="AE1085" s="126"/>
    </row>
    <row r="1086" spans="1:31" ht="13.2">
      <c r="A1086" s="126"/>
      <c r="B1086" s="126"/>
      <c r="C1086" s="126"/>
      <c r="D1086" s="126"/>
      <c r="E1086" s="126"/>
      <c r="F1086" s="271"/>
      <c r="G1086" s="272"/>
      <c r="H1086" s="126"/>
      <c r="I1086" s="126"/>
      <c r="J1086" s="126"/>
      <c r="K1086" s="126"/>
      <c r="L1086" s="246"/>
      <c r="M1086" s="235"/>
      <c r="N1086" s="126"/>
      <c r="O1086" s="126"/>
      <c r="P1086" s="126"/>
      <c r="Q1086" s="126"/>
      <c r="R1086" s="126"/>
      <c r="S1086" s="126"/>
      <c r="T1086" s="126"/>
      <c r="U1086" s="126"/>
      <c r="V1086" s="126"/>
      <c r="W1086" s="126"/>
      <c r="X1086" s="126"/>
      <c r="Y1086" s="126"/>
      <c r="Z1086" s="126"/>
      <c r="AA1086" s="126"/>
      <c r="AB1086" s="126"/>
      <c r="AC1086" s="126"/>
      <c r="AD1086" s="126"/>
      <c r="AE1086" s="126"/>
    </row>
    <row r="1087" spans="1:31" ht="13.2">
      <c r="A1087" s="126"/>
      <c r="B1087" s="126"/>
      <c r="C1087" s="126"/>
      <c r="D1087" s="126"/>
      <c r="E1087" s="126"/>
      <c r="F1087" s="271"/>
      <c r="G1087" s="272"/>
      <c r="H1087" s="126"/>
      <c r="I1087" s="126"/>
      <c r="J1087" s="126"/>
      <c r="K1087" s="126"/>
      <c r="L1087" s="246"/>
      <c r="M1087" s="235"/>
      <c r="N1087" s="126"/>
      <c r="O1087" s="126"/>
      <c r="P1087" s="126"/>
      <c r="Q1087" s="126"/>
      <c r="R1087" s="126"/>
      <c r="S1087" s="126"/>
      <c r="T1087" s="126"/>
      <c r="U1087" s="126"/>
      <c r="V1087" s="126"/>
      <c r="W1087" s="126"/>
      <c r="X1087" s="126"/>
      <c r="Y1087" s="126"/>
      <c r="Z1087" s="126"/>
      <c r="AA1087" s="126"/>
      <c r="AB1087" s="126"/>
      <c r="AC1087" s="126"/>
      <c r="AD1087" s="126"/>
      <c r="AE1087" s="126"/>
    </row>
    <row r="1088" spans="1:31" ht="13.2">
      <c r="A1088" s="126"/>
      <c r="B1088" s="126"/>
      <c r="C1088" s="126"/>
      <c r="D1088" s="126"/>
      <c r="E1088" s="126"/>
      <c r="F1088" s="271"/>
      <c r="G1088" s="272"/>
      <c r="H1088" s="126"/>
      <c r="I1088" s="126"/>
      <c r="J1088" s="126"/>
      <c r="K1088" s="126"/>
      <c r="L1088" s="246"/>
      <c r="M1088" s="235"/>
      <c r="N1088" s="126"/>
      <c r="O1088" s="126"/>
      <c r="P1088" s="126"/>
      <c r="Q1088" s="126"/>
      <c r="R1088" s="126"/>
      <c r="S1088" s="126"/>
      <c r="T1088" s="126"/>
      <c r="U1088" s="126"/>
      <c r="V1088" s="126"/>
      <c r="W1088" s="126"/>
      <c r="X1088" s="126"/>
      <c r="Y1088" s="126"/>
      <c r="Z1088" s="126"/>
      <c r="AA1088" s="126"/>
      <c r="AB1088" s="126"/>
      <c r="AC1088" s="126"/>
      <c r="AD1088" s="126"/>
      <c r="AE1088" s="126"/>
    </row>
    <row r="1089" spans="1:31" ht="13.2">
      <c r="A1089" s="126"/>
      <c r="B1089" s="126"/>
      <c r="C1089" s="126"/>
      <c r="D1089" s="126"/>
      <c r="E1089" s="126"/>
      <c r="F1089" s="271"/>
      <c r="G1089" s="272"/>
      <c r="H1089" s="126"/>
      <c r="I1089" s="126"/>
      <c r="J1089" s="126"/>
      <c r="K1089" s="126"/>
      <c r="L1089" s="246"/>
      <c r="M1089" s="235"/>
      <c r="N1089" s="126"/>
      <c r="O1089" s="126"/>
      <c r="P1089" s="126"/>
      <c r="Q1089" s="126"/>
      <c r="R1089" s="126"/>
      <c r="S1089" s="126"/>
      <c r="T1089" s="126"/>
      <c r="U1089" s="126"/>
      <c r="V1089" s="126"/>
      <c r="W1089" s="126"/>
      <c r="X1089" s="126"/>
      <c r="Y1089" s="126"/>
      <c r="Z1089" s="126"/>
      <c r="AA1089" s="126"/>
      <c r="AB1089" s="126"/>
      <c r="AC1089" s="126"/>
      <c r="AD1089" s="126"/>
      <c r="AE1089" s="126"/>
    </row>
    <row r="1090" spans="1:31" ht="13.2">
      <c r="A1090" s="126"/>
      <c r="B1090" s="126"/>
      <c r="C1090" s="126"/>
      <c r="D1090" s="126"/>
      <c r="E1090" s="126"/>
      <c r="F1090" s="271"/>
      <c r="G1090" s="272"/>
      <c r="H1090" s="126"/>
      <c r="I1090" s="126"/>
      <c r="J1090" s="126"/>
      <c r="K1090" s="126"/>
      <c r="L1090" s="246"/>
      <c r="M1090" s="235"/>
      <c r="N1090" s="126"/>
      <c r="O1090" s="126"/>
      <c r="P1090" s="126"/>
      <c r="Q1090" s="126"/>
      <c r="R1090" s="126"/>
      <c r="S1090" s="126"/>
      <c r="T1090" s="126"/>
      <c r="U1090" s="126"/>
      <c r="V1090" s="126"/>
      <c r="W1090" s="126"/>
      <c r="X1090" s="126"/>
      <c r="Y1090" s="126"/>
      <c r="Z1090" s="126"/>
      <c r="AA1090" s="126"/>
      <c r="AB1090" s="126"/>
      <c r="AC1090" s="126"/>
      <c r="AD1090" s="126"/>
      <c r="AE1090" s="126"/>
    </row>
    <row r="1091" spans="1:31" ht="13.2">
      <c r="A1091" s="126"/>
      <c r="B1091" s="126"/>
      <c r="C1091" s="126"/>
      <c r="D1091" s="126"/>
      <c r="E1091" s="126"/>
      <c r="F1091" s="271"/>
      <c r="G1091" s="272"/>
      <c r="H1091" s="126"/>
      <c r="I1091" s="126"/>
      <c r="J1091" s="126"/>
      <c r="K1091" s="126"/>
      <c r="L1091" s="246"/>
      <c r="M1091" s="235"/>
      <c r="N1091" s="126"/>
      <c r="O1091" s="126"/>
      <c r="P1091" s="126"/>
      <c r="Q1091" s="126"/>
      <c r="R1091" s="126"/>
      <c r="S1091" s="126"/>
      <c r="T1091" s="126"/>
      <c r="U1091" s="126"/>
      <c r="V1091" s="126"/>
      <c r="W1091" s="126"/>
      <c r="X1091" s="126"/>
      <c r="Y1091" s="126"/>
      <c r="Z1091" s="126"/>
      <c r="AA1091" s="126"/>
      <c r="AB1091" s="126"/>
      <c r="AC1091" s="126"/>
      <c r="AD1091" s="126"/>
      <c r="AE1091" s="126"/>
    </row>
    <row r="1092" spans="1:31" ht="13.2">
      <c r="A1092" s="126"/>
      <c r="B1092" s="126"/>
      <c r="C1092" s="126"/>
      <c r="D1092" s="126"/>
      <c r="E1092" s="126"/>
      <c r="F1092" s="271"/>
      <c r="G1092" s="272"/>
      <c r="H1092" s="126"/>
      <c r="I1092" s="126"/>
      <c r="J1092" s="126"/>
      <c r="K1092" s="126"/>
      <c r="L1092" s="246"/>
      <c r="M1092" s="235"/>
      <c r="N1092" s="126"/>
      <c r="O1092" s="126"/>
      <c r="P1092" s="126"/>
      <c r="Q1092" s="126"/>
      <c r="R1092" s="126"/>
      <c r="S1092" s="126"/>
      <c r="T1092" s="126"/>
      <c r="U1092" s="126"/>
      <c r="V1092" s="126"/>
      <c r="W1092" s="126"/>
      <c r="X1092" s="126"/>
      <c r="Y1092" s="126"/>
      <c r="Z1092" s="126"/>
      <c r="AA1092" s="126"/>
      <c r="AB1092" s="126"/>
      <c r="AC1092" s="126"/>
      <c r="AD1092" s="126"/>
      <c r="AE1092" s="126"/>
    </row>
    <row r="1093" spans="1:31" ht="13.2">
      <c r="A1093" s="126"/>
      <c r="B1093" s="126"/>
      <c r="C1093" s="126"/>
      <c r="D1093" s="126"/>
      <c r="E1093" s="126"/>
      <c r="F1093" s="271"/>
      <c r="G1093" s="272"/>
      <c r="H1093" s="126"/>
      <c r="I1093" s="126"/>
      <c r="J1093" s="126"/>
      <c r="K1093" s="126"/>
      <c r="L1093" s="246"/>
      <c r="M1093" s="235"/>
      <c r="N1093" s="126"/>
      <c r="O1093" s="126"/>
      <c r="P1093" s="126"/>
      <c r="Q1093" s="126"/>
      <c r="R1093" s="126"/>
      <c r="S1093" s="126"/>
      <c r="T1093" s="126"/>
      <c r="U1093" s="126"/>
      <c r="V1093" s="126"/>
      <c r="W1093" s="126"/>
      <c r="X1093" s="126"/>
      <c r="Y1093" s="126"/>
      <c r="Z1093" s="126"/>
      <c r="AA1093" s="126"/>
      <c r="AB1093" s="126"/>
      <c r="AC1093" s="126"/>
      <c r="AD1093" s="126"/>
      <c r="AE1093" s="126"/>
    </row>
    <row r="1094" spans="1:31" ht="13.2">
      <c r="A1094" s="126"/>
      <c r="B1094" s="126"/>
      <c r="C1094" s="126"/>
      <c r="D1094" s="126"/>
      <c r="E1094" s="126"/>
      <c r="F1094" s="271"/>
      <c r="G1094" s="272"/>
      <c r="H1094" s="126"/>
      <c r="I1094" s="126"/>
      <c r="J1094" s="126"/>
      <c r="K1094" s="126"/>
      <c r="L1094" s="246"/>
      <c r="M1094" s="235"/>
      <c r="N1094" s="126"/>
      <c r="O1094" s="126"/>
      <c r="P1094" s="126"/>
      <c r="Q1094" s="126"/>
      <c r="R1094" s="126"/>
      <c r="S1094" s="126"/>
      <c r="T1094" s="126"/>
      <c r="U1094" s="126"/>
      <c r="V1094" s="126"/>
      <c r="W1094" s="126"/>
      <c r="X1094" s="126"/>
      <c r="Y1094" s="126"/>
      <c r="Z1094" s="126"/>
      <c r="AA1094" s="126"/>
      <c r="AB1094" s="126"/>
      <c r="AC1094" s="126"/>
      <c r="AD1094" s="126"/>
      <c r="AE1094" s="126"/>
    </row>
    <row r="1095" spans="1:31" ht="13.2">
      <c r="A1095" s="126"/>
      <c r="B1095" s="126"/>
      <c r="C1095" s="126"/>
      <c r="D1095" s="126"/>
      <c r="E1095" s="126"/>
      <c r="F1095" s="271"/>
      <c r="G1095" s="272"/>
      <c r="H1095" s="126"/>
      <c r="I1095" s="126"/>
      <c r="J1095" s="126"/>
      <c r="K1095" s="126"/>
      <c r="L1095" s="246"/>
      <c r="M1095" s="235"/>
      <c r="N1095" s="126"/>
      <c r="O1095" s="126"/>
      <c r="P1095" s="126"/>
      <c r="Q1095" s="126"/>
      <c r="R1095" s="126"/>
      <c r="S1095" s="126"/>
      <c r="T1095" s="126"/>
      <c r="U1095" s="126"/>
      <c r="V1095" s="126"/>
      <c r="W1095" s="126"/>
      <c r="X1095" s="126"/>
      <c r="Y1095" s="126"/>
      <c r="Z1095" s="126"/>
      <c r="AA1095" s="126"/>
      <c r="AB1095" s="126"/>
      <c r="AC1095" s="126"/>
      <c r="AD1095" s="126"/>
      <c r="AE1095" s="126"/>
    </row>
    <row r="1096" spans="1:31" ht="13.2">
      <c r="A1096" s="126"/>
      <c r="B1096" s="126"/>
      <c r="C1096" s="126"/>
      <c r="D1096" s="126"/>
      <c r="E1096" s="126"/>
      <c r="F1096" s="271"/>
      <c r="G1096" s="272"/>
      <c r="H1096" s="126"/>
      <c r="I1096" s="126"/>
      <c r="J1096" s="126"/>
      <c r="K1096" s="126"/>
      <c r="L1096" s="246"/>
      <c r="M1096" s="235"/>
      <c r="N1096" s="126"/>
      <c r="O1096" s="126"/>
      <c r="P1096" s="126"/>
      <c r="Q1096" s="126"/>
      <c r="R1096" s="126"/>
      <c r="S1096" s="126"/>
      <c r="T1096" s="126"/>
      <c r="U1096" s="126"/>
      <c r="V1096" s="126"/>
      <c r="W1096" s="126"/>
      <c r="X1096" s="126"/>
      <c r="Y1096" s="126"/>
      <c r="Z1096" s="126"/>
      <c r="AA1096" s="126"/>
      <c r="AB1096" s="126"/>
      <c r="AC1096" s="126"/>
      <c r="AD1096" s="126"/>
      <c r="AE1096" s="126"/>
    </row>
    <row r="1097" spans="1:31" ht="13.2">
      <c r="A1097" s="126"/>
      <c r="B1097" s="126"/>
      <c r="C1097" s="126"/>
      <c r="D1097" s="126"/>
      <c r="E1097" s="126"/>
      <c r="F1097" s="271"/>
      <c r="G1097" s="272"/>
      <c r="H1097" s="126"/>
      <c r="I1097" s="126"/>
      <c r="J1097" s="126"/>
      <c r="K1097" s="126"/>
      <c r="L1097" s="246"/>
      <c r="M1097" s="235"/>
      <c r="N1097" s="126"/>
      <c r="O1097" s="126"/>
      <c r="P1097" s="126"/>
      <c r="Q1097" s="126"/>
      <c r="R1097" s="126"/>
      <c r="S1097" s="126"/>
      <c r="T1097" s="126"/>
      <c r="U1097" s="126"/>
      <c r="V1097" s="126"/>
      <c r="W1097" s="126"/>
      <c r="X1097" s="126"/>
      <c r="Y1097" s="126"/>
      <c r="Z1097" s="126"/>
      <c r="AA1097" s="126"/>
      <c r="AB1097" s="126"/>
      <c r="AC1097" s="126"/>
      <c r="AD1097" s="126"/>
      <c r="AE1097" s="126"/>
    </row>
    <row r="1098" spans="1:31" ht="13.2">
      <c r="A1098" s="126"/>
      <c r="B1098" s="126"/>
      <c r="C1098" s="126"/>
      <c r="D1098" s="126"/>
      <c r="E1098" s="126"/>
      <c r="F1098" s="271"/>
      <c r="G1098" s="272"/>
      <c r="H1098" s="126"/>
      <c r="I1098" s="126"/>
      <c r="J1098" s="126"/>
      <c r="K1098" s="126"/>
      <c r="L1098" s="246"/>
      <c r="M1098" s="235"/>
      <c r="N1098" s="126"/>
      <c r="O1098" s="126"/>
      <c r="P1098" s="126"/>
      <c r="Q1098" s="126"/>
      <c r="R1098" s="126"/>
      <c r="S1098" s="126"/>
      <c r="T1098" s="126"/>
      <c r="U1098" s="126"/>
      <c r="V1098" s="126"/>
      <c r="W1098" s="126"/>
      <c r="X1098" s="126"/>
      <c r="Y1098" s="126"/>
      <c r="Z1098" s="126"/>
      <c r="AA1098" s="126"/>
      <c r="AB1098" s="126"/>
      <c r="AC1098" s="126"/>
      <c r="AD1098" s="126"/>
      <c r="AE1098" s="126"/>
    </row>
    <row r="1099" spans="1:31" ht="13.2">
      <c r="A1099" s="126"/>
      <c r="B1099" s="126"/>
      <c r="C1099" s="126"/>
      <c r="D1099" s="126"/>
      <c r="E1099" s="126"/>
      <c r="F1099" s="271"/>
      <c r="G1099" s="272"/>
      <c r="H1099" s="126"/>
      <c r="I1099" s="126"/>
      <c r="J1099" s="126"/>
      <c r="K1099" s="126"/>
      <c r="L1099" s="246"/>
      <c r="M1099" s="235"/>
      <c r="N1099" s="126"/>
      <c r="O1099" s="126"/>
      <c r="P1099" s="126"/>
      <c r="Q1099" s="126"/>
      <c r="R1099" s="126"/>
      <c r="S1099" s="126"/>
      <c r="T1099" s="126"/>
      <c r="U1099" s="126"/>
      <c r="V1099" s="126"/>
      <c r="W1099" s="126"/>
      <c r="X1099" s="126"/>
      <c r="Y1099" s="126"/>
      <c r="Z1099" s="126"/>
      <c r="AA1099" s="126"/>
      <c r="AB1099" s="126"/>
      <c r="AC1099" s="126"/>
      <c r="AD1099" s="126"/>
      <c r="AE1099" s="126"/>
    </row>
    <row r="1100" spans="1:31" ht="13.2">
      <c r="A1100" s="126"/>
      <c r="B1100" s="126"/>
      <c r="C1100" s="126"/>
      <c r="D1100" s="126"/>
      <c r="E1100" s="126"/>
      <c r="F1100" s="271"/>
      <c r="G1100" s="272"/>
      <c r="H1100" s="126"/>
      <c r="I1100" s="126"/>
      <c r="J1100" s="126"/>
      <c r="K1100" s="126"/>
      <c r="L1100" s="246"/>
      <c r="M1100" s="235"/>
      <c r="N1100" s="126"/>
      <c r="O1100" s="126"/>
      <c r="P1100" s="126"/>
      <c r="Q1100" s="126"/>
      <c r="R1100" s="126"/>
      <c r="S1100" s="126"/>
      <c r="T1100" s="126"/>
      <c r="U1100" s="126"/>
      <c r="V1100" s="126"/>
      <c r="W1100" s="126"/>
      <c r="X1100" s="126"/>
      <c r="Y1100" s="126"/>
      <c r="Z1100" s="126"/>
      <c r="AA1100" s="126"/>
      <c r="AB1100" s="126"/>
      <c r="AC1100" s="126"/>
      <c r="AD1100" s="126"/>
      <c r="AE1100" s="126"/>
    </row>
    <row r="1101" spans="1:31" ht="13.2">
      <c r="A1101" s="126"/>
      <c r="B1101" s="126"/>
      <c r="C1101" s="126"/>
      <c r="D1101" s="126"/>
      <c r="E1101" s="126"/>
      <c r="F1101" s="271"/>
      <c r="G1101" s="272"/>
      <c r="H1101" s="126"/>
      <c r="I1101" s="126"/>
      <c r="J1101" s="126"/>
      <c r="K1101" s="126"/>
      <c r="L1101" s="246"/>
      <c r="M1101" s="235"/>
      <c r="N1101" s="126"/>
      <c r="O1101" s="126"/>
      <c r="P1101" s="126"/>
      <c r="Q1101" s="126"/>
      <c r="R1101" s="126"/>
      <c r="S1101" s="126"/>
      <c r="T1101" s="126"/>
      <c r="U1101" s="126"/>
      <c r="V1101" s="126"/>
      <c r="W1101" s="126"/>
      <c r="X1101" s="126"/>
      <c r="Y1101" s="126"/>
      <c r="Z1101" s="126"/>
      <c r="AA1101" s="126"/>
      <c r="AB1101" s="126"/>
      <c r="AC1101" s="126"/>
      <c r="AD1101" s="126"/>
      <c r="AE1101" s="126"/>
    </row>
    <row r="1102" spans="1:31" ht="13.2">
      <c r="A1102" s="126"/>
      <c r="B1102" s="126"/>
      <c r="C1102" s="126"/>
      <c r="D1102" s="126"/>
      <c r="E1102" s="126"/>
      <c r="F1102" s="271"/>
      <c r="G1102" s="272"/>
      <c r="H1102" s="126"/>
      <c r="I1102" s="126"/>
      <c r="J1102" s="126"/>
      <c r="K1102" s="126"/>
      <c r="L1102" s="246"/>
      <c r="M1102" s="235"/>
      <c r="N1102" s="126"/>
      <c r="O1102" s="126"/>
      <c r="P1102" s="126"/>
      <c r="Q1102" s="126"/>
      <c r="R1102" s="126"/>
      <c r="S1102" s="126"/>
      <c r="T1102" s="126"/>
      <c r="U1102" s="126"/>
      <c r="V1102" s="126"/>
      <c r="W1102" s="126"/>
      <c r="X1102" s="126"/>
      <c r="Y1102" s="126"/>
      <c r="Z1102" s="126"/>
      <c r="AA1102" s="126"/>
      <c r="AB1102" s="126"/>
      <c r="AC1102" s="126"/>
      <c r="AD1102" s="126"/>
      <c r="AE1102" s="126"/>
    </row>
    <row r="1103" spans="1:31" ht="13.2">
      <c r="A1103" s="126"/>
      <c r="B1103" s="126"/>
      <c r="C1103" s="126"/>
      <c r="D1103" s="126"/>
      <c r="E1103" s="126"/>
      <c r="F1103" s="271"/>
      <c r="G1103" s="272"/>
      <c r="H1103" s="126"/>
      <c r="I1103" s="126"/>
      <c r="J1103" s="126"/>
      <c r="K1103" s="126"/>
      <c r="L1103" s="246"/>
      <c r="M1103" s="235"/>
      <c r="N1103" s="126"/>
      <c r="O1103" s="126"/>
      <c r="P1103" s="126"/>
      <c r="Q1103" s="126"/>
      <c r="R1103" s="126"/>
      <c r="S1103" s="126"/>
      <c r="T1103" s="126"/>
      <c r="U1103" s="126"/>
      <c r="V1103" s="126"/>
      <c r="W1103" s="126"/>
      <c r="X1103" s="126"/>
      <c r="Y1103" s="126"/>
      <c r="Z1103" s="126"/>
      <c r="AA1103" s="126"/>
      <c r="AB1103" s="126"/>
      <c r="AC1103" s="126"/>
      <c r="AD1103" s="126"/>
      <c r="AE1103" s="126"/>
    </row>
    <row r="1104" spans="1:31" ht="13.2">
      <c r="A1104" s="126"/>
      <c r="B1104" s="126"/>
      <c r="C1104" s="126"/>
      <c r="D1104" s="126"/>
      <c r="E1104" s="126"/>
      <c r="F1104" s="271"/>
      <c r="G1104" s="272"/>
      <c r="H1104" s="126"/>
      <c r="I1104" s="126"/>
      <c r="J1104" s="126"/>
      <c r="K1104" s="126"/>
      <c r="L1104" s="246"/>
      <c r="M1104" s="235"/>
      <c r="N1104" s="126"/>
      <c r="O1104" s="126"/>
      <c r="P1104" s="126"/>
      <c r="Q1104" s="126"/>
      <c r="R1104" s="126"/>
      <c r="S1104" s="126"/>
      <c r="T1104" s="126"/>
      <c r="U1104" s="126"/>
      <c r="V1104" s="126"/>
      <c r="W1104" s="126"/>
      <c r="X1104" s="126"/>
      <c r="Y1104" s="126"/>
      <c r="Z1104" s="126"/>
      <c r="AA1104" s="126"/>
      <c r="AB1104" s="126"/>
      <c r="AC1104" s="126"/>
      <c r="AD1104" s="126"/>
      <c r="AE1104" s="126"/>
    </row>
    <row r="1105" spans="1:31" ht="13.2">
      <c r="A1105" s="126"/>
      <c r="B1105" s="126"/>
      <c r="C1105" s="126"/>
      <c r="D1105" s="126"/>
      <c r="E1105" s="126"/>
      <c r="F1105" s="271"/>
      <c r="G1105" s="272"/>
      <c r="H1105" s="126"/>
      <c r="I1105" s="126"/>
      <c r="J1105" s="126"/>
      <c r="K1105" s="126"/>
      <c r="L1105" s="246"/>
      <c r="M1105" s="235"/>
      <c r="N1105" s="126"/>
      <c r="O1105" s="126"/>
      <c r="P1105" s="126"/>
      <c r="Q1105" s="126"/>
      <c r="R1105" s="126"/>
      <c r="S1105" s="126"/>
      <c r="T1105" s="126"/>
      <c r="U1105" s="126"/>
      <c r="V1105" s="126"/>
      <c r="W1105" s="126"/>
      <c r="X1105" s="126"/>
      <c r="Y1105" s="126"/>
      <c r="Z1105" s="126"/>
      <c r="AA1105" s="126"/>
      <c r="AB1105" s="126"/>
      <c r="AC1105" s="126"/>
      <c r="AD1105" s="126"/>
      <c r="AE1105" s="126"/>
    </row>
    <row r="1106" spans="1:31" ht="13.2">
      <c r="A1106" s="126"/>
      <c r="B1106" s="126"/>
      <c r="C1106" s="126"/>
      <c r="D1106" s="126"/>
      <c r="E1106" s="126"/>
      <c r="F1106" s="271"/>
      <c r="G1106" s="272"/>
      <c r="H1106" s="126"/>
      <c r="I1106" s="126"/>
      <c r="J1106" s="126"/>
      <c r="K1106" s="126"/>
      <c r="L1106" s="246"/>
      <c r="M1106" s="235"/>
      <c r="N1106" s="126"/>
      <c r="O1106" s="126"/>
      <c r="P1106" s="126"/>
      <c r="Q1106" s="126"/>
      <c r="R1106" s="126"/>
      <c r="S1106" s="126"/>
      <c r="T1106" s="126"/>
      <c r="U1106" s="126"/>
      <c r="V1106" s="126"/>
      <c r="W1106" s="126"/>
      <c r="X1106" s="126"/>
      <c r="Y1106" s="126"/>
      <c r="Z1106" s="126"/>
      <c r="AA1106" s="126"/>
      <c r="AB1106" s="126"/>
      <c r="AC1106" s="126"/>
      <c r="AD1106" s="126"/>
      <c r="AE1106" s="126"/>
    </row>
    <row r="1107" spans="1:31" ht="13.2">
      <c r="A1107" s="126"/>
      <c r="B1107" s="126"/>
      <c r="C1107" s="126"/>
      <c r="D1107" s="126"/>
      <c r="E1107" s="126"/>
      <c r="F1107" s="271"/>
      <c r="G1107" s="272"/>
      <c r="H1107" s="126"/>
      <c r="I1107" s="126"/>
      <c r="J1107" s="126"/>
      <c r="K1107" s="126"/>
      <c r="L1107" s="246"/>
      <c r="M1107" s="235"/>
      <c r="N1107" s="126"/>
      <c r="O1107" s="126"/>
      <c r="P1107" s="126"/>
      <c r="Q1107" s="126"/>
      <c r="R1107" s="126"/>
      <c r="S1107" s="126"/>
      <c r="T1107" s="126"/>
      <c r="U1107" s="126"/>
      <c r="V1107" s="126"/>
      <c r="W1107" s="126"/>
      <c r="X1107" s="126"/>
      <c r="Y1107" s="126"/>
      <c r="Z1107" s="126"/>
      <c r="AA1107" s="126"/>
      <c r="AB1107" s="126"/>
      <c r="AC1107" s="126"/>
      <c r="AD1107" s="126"/>
      <c r="AE1107" s="126"/>
    </row>
    <row r="1108" spans="1:31" ht="13.2">
      <c r="A1108" s="126"/>
      <c r="B1108" s="126"/>
      <c r="C1108" s="126"/>
      <c r="D1108" s="126"/>
      <c r="E1108" s="126"/>
      <c r="F1108" s="271"/>
      <c r="G1108" s="272"/>
      <c r="H1108" s="126"/>
      <c r="I1108" s="126"/>
      <c r="J1108" s="126"/>
      <c r="K1108" s="126"/>
      <c r="L1108" s="246"/>
      <c r="M1108" s="235"/>
      <c r="N1108" s="126"/>
      <c r="O1108" s="126"/>
      <c r="P1108" s="126"/>
      <c r="Q1108" s="126"/>
      <c r="R1108" s="126"/>
      <c r="S1108" s="126"/>
      <c r="T1108" s="126"/>
      <c r="U1108" s="126"/>
      <c r="V1108" s="126"/>
      <c r="W1108" s="126"/>
      <c r="X1108" s="126"/>
      <c r="Y1108" s="126"/>
      <c r="Z1108" s="126"/>
      <c r="AA1108" s="126"/>
      <c r="AB1108" s="126"/>
      <c r="AC1108" s="126"/>
      <c r="AD1108" s="126"/>
      <c r="AE1108" s="126"/>
    </row>
    <row r="1109" spans="1:31" ht="13.2">
      <c r="A1109" s="126"/>
      <c r="B1109" s="126"/>
      <c r="C1109" s="126"/>
      <c r="D1109" s="126"/>
      <c r="E1109" s="126"/>
      <c r="F1109" s="271"/>
      <c r="G1109" s="272"/>
      <c r="H1109" s="126"/>
      <c r="I1109" s="126"/>
      <c r="J1109" s="126"/>
      <c r="K1109" s="126"/>
      <c r="L1109" s="246"/>
      <c r="M1109" s="235"/>
      <c r="N1109" s="126"/>
      <c r="O1109" s="126"/>
      <c r="P1109" s="126"/>
      <c r="Q1109" s="126"/>
      <c r="R1109" s="126"/>
      <c r="S1109" s="126"/>
      <c r="T1109" s="126"/>
      <c r="U1109" s="126"/>
      <c r="V1109" s="126"/>
      <c r="W1109" s="126"/>
      <c r="X1109" s="126"/>
      <c r="Y1109" s="126"/>
      <c r="Z1109" s="126"/>
      <c r="AA1109" s="126"/>
      <c r="AB1109" s="126"/>
      <c r="AC1109" s="126"/>
      <c r="AD1109" s="126"/>
      <c r="AE1109" s="126"/>
    </row>
    <row r="1110" spans="1:31" ht="13.2">
      <c r="A1110" s="126"/>
      <c r="B1110" s="126"/>
      <c r="C1110" s="126"/>
      <c r="D1110" s="126"/>
      <c r="E1110" s="126"/>
      <c r="F1110" s="271"/>
      <c r="G1110" s="272"/>
      <c r="H1110" s="126"/>
      <c r="I1110" s="126"/>
      <c r="J1110" s="126"/>
      <c r="K1110" s="126"/>
      <c r="L1110" s="246"/>
      <c r="M1110" s="235"/>
      <c r="N1110" s="126"/>
      <c r="O1110" s="126"/>
      <c r="P1110" s="126"/>
      <c r="Q1110" s="126"/>
      <c r="R1110" s="126"/>
      <c r="S1110" s="126"/>
      <c r="T1110" s="126"/>
      <c r="U1110" s="126"/>
      <c r="V1110" s="126"/>
      <c r="W1110" s="126"/>
      <c r="X1110" s="126"/>
      <c r="Y1110" s="126"/>
      <c r="Z1110" s="126"/>
      <c r="AA1110" s="126"/>
      <c r="AB1110" s="126"/>
      <c r="AC1110" s="126"/>
      <c r="AD1110" s="126"/>
      <c r="AE1110" s="126"/>
    </row>
    <row r="1111" spans="1:31" ht="13.2">
      <c r="A1111" s="126"/>
      <c r="B1111" s="126"/>
      <c r="C1111" s="126"/>
      <c r="D1111" s="126"/>
      <c r="E1111" s="126"/>
      <c r="F1111" s="271"/>
      <c r="G1111" s="272"/>
      <c r="H1111" s="126"/>
      <c r="I1111" s="126"/>
      <c r="J1111" s="126"/>
      <c r="K1111" s="126"/>
      <c r="L1111" s="246"/>
      <c r="M1111" s="235"/>
      <c r="N1111" s="126"/>
      <c r="O1111" s="126"/>
      <c r="P1111" s="126"/>
      <c r="Q1111" s="126"/>
      <c r="R1111" s="126"/>
      <c r="S1111" s="126"/>
      <c r="T1111" s="126"/>
      <c r="U1111" s="126"/>
      <c r="V1111" s="126"/>
      <c r="W1111" s="126"/>
      <c r="X1111" s="126"/>
      <c r="Y1111" s="126"/>
      <c r="Z1111" s="126"/>
      <c r="AA1111" s="126"/>
      <c r="AB1111" s="126"/>
      <c r="AC1111" s="126"/>
      <c r="AD1111" s="126"/>
      <c r="AE1111" s="126"/>
    </row>
    <row r="1112" spans="1:31" ht="13.2">
      <c r="A1112" s="126"/>
      <c r="B1112" s="126"/>
      <c r="C1112" s="126"/>
      <c r="D1112" s="126"/>
      <c r="E1112" s="126"/>
      <c r="F1112" s="271"/>
      <c r="G1112" s="272"/>
      <c r="H1112" s="126"/>
      <c r="I1112" s="126"/>
      <c r="J1112" s="126"/>
      <c r="K1112" s="126"/>
      <c r="L1112" s="246"/>
      <c r="M1112" s="235"/>
      <c r="N1112" s="126"/>
      <c r="O1112" s="126"/>
      <c r="P1112" s="126"/>
      <c r="Q1112" s="126"/>
      <c r="R1112" s="126"/>
      <c r="S1112" s="126"/>
      <c r="T1112" s="126"/>
      <c r="U1112" s="126"/>
      <c r="V1112" s="126"/>
      <c r="W1112" s="126"/>
      <c r="X1112" s="126"/>
      <c r="Y1112" s="126"/>
      <c r="Z1112" s="126"/>
      <c r="AA1112" s="126"/>
      <c r="AB1112" s="126"/>
      <c r="AC1112" s="126"/>
      <c r="AD1112" s="126"/>
      <c r="AE1112" s="126"/>
    </row>
    <row r="1113" spans="1:31" ht="13.2">
      <c r="A1113" s="126"/>
      <c r="B1113" s="126"/>
      <c r="C1113" s="126"/>
      <c r="D1113" s="126"/>
      <c r="E1113" s="126"/>
      <c r="F1113" s="271"/>
      <c r="G1113" s="272"/>
      <c r="H1113" s="126"/>
      <c r="I1113" s="126"/>
      <c r="J1113" s="126"/>
      <c r="K1113" s="126"/>
      <c r="L1113" s="246"/>
      <c r="M1113" s="235"/>
      <c r="N1113" s="126"/>
      <c r="O1113" s="126"/>
      <c r="P1113" s="126"/>
      <c r="Q1113" s="126"/>
      <c r="R1113" s="126"/>
      <c r="S1113" s="126"/>
      <c r="T1113" s="126"/>
      <c r="U1113" s="126"/>
      <c r="V1113" s="126"/>
      <c r="W1113" s="126"/>
      <c r="X1113" s="126"/>
      <c r="Y1113" s="126"/>
      <c r="Z1113" s="126"/>
      <c r="AA1113" s="126"/>
      <c r="AB1113" s="126"/>
      <c r="AC1113" s="126"/>
      <c r="AD1113" s="126"/>
      <c r="AE1113" s="126"/>
    </row>
    <row r="1114" spans="1:31" ht="13.2">
      <c r="A1114" s="126"/>
      <c r="B1114" s="126"/>
      <c r="C1114" s="126"/>
      <c r="D1114" s="126"/>
      <c r="E1114" s="126"/>
      <c r="F1114" s="271"/>
      <c r="G1114" s="272"/>
      <c r="H1114" s="126"/>
      <c r="I1114" s="126"/>
      <c r="J1114" s="126"/>
      <c r="K1114" s="126"/>
      <c r="L1114" s="246"/>
      <c r="M1114" s="235"/>
      <c r="N1114" s="126"/>
      <c r="O1114" s="126"/>
      <c r="P1114" s="126"/>
      <c r="Q1114" s="126"/>
      <c r="R1114" s="126"/>
      <c r="S1114" s="126"/>
      <c r="T1114" s="126"/>
      <c r="U1114" s="126"/>
      <c r="V1114" s="126"/>
      <c r="W1114" s="126"/>
      <c r="X1114" s="126"/>
      <c r="Y1114" s="126"/>
      <c r="Z1114" s="126"/>
      <c r="AA1114" s="126"/>
      <c r="AB1114" s="126"/>
      <c r="AC1114" s="126"/>
      <c r="AD1114" s="126"/>
      <c r="AE1114" s="126"/>
    </row>
    <row r="1115" spans="1:31" ht="13.2">
      <c r="A1115" s="126"/>
      <c r="B1115" s="126"/>
      <c r="C1115" s="126"/>
      <c r="D1115" s="126"/>
      <c r="E1115" s="126"/>
      <c r="F1115" s="271"/>
      <c r="G1115" s="272"/>
      <c r="H1115" s="126"/>
      <c r="I1115" s="126"/>
      <c r="J1115" s="126"/>
      <c r="K1115" s="126"/>
      <c r="L1115" s="246"/>
      <c r="M1115" s="235"/>
      <c r="N1115" s="126"/>
      <c r="O1115" s="126"/>
      <c r="P1115" s="126"/>
      <c r="Q1115" s="126"/>
      <c r="R1115" s="126"/>
      <c r="S1115" s="126"/>
      <c r="T1115" s="126"/>
      <c r="U1115" s="126"/>
      <c r="V1115" s="126"/>
      <c r="W1115" s="126"/>
      <c r="X1115" s="126"/>
      <c r="Y1115" s="126"/>
      <c r="Z1115" s="126"/>
      <c r="AA1115" s="126"/>
      <c r="AB1115" s="126"/>
      <c r="AC1115" s="126"/>
      <c r="AD1115" s="126"/>
      <c r="AE1115" s="126"/>
    </row>
    <row r="1116" spans="1:31" ht="13.2">
      <c r="A1116" s="126"/>
      <c r="B1116" s="126"/>
      <c r="C1116" s="126"/>
      <c r="D1116" s="126"/>
      <c r="E1116" s="126"/>
      <c r="F1116" s="271"/>
      <c r="G1116" s="272"/>
      <c r="H1116" s="126"/>
      <c r="I1116" s="126"/>
      <c r="J1116" s="126"/>
      <c r="K1116" s="126"/>
      <c r="L1116" s="246"/>
      <c r="M1116" s="235"/>
      <c r="N1116" s="126"/>
      <c r="O1116" s="126"/>
      <c r="P1116" s="126"/>
      <c r="Q1116" s="126"/>
      <c r="R1116" s="126"/>
      <c r="S1116" s="126"/>
      <c r="T1116" s="126"/>
      <c r="U1116" s="126"/>
      <c r="V1116" s="126"/>
      <c r="W1116" s="126"/>
      <c r="X1116" s="126"/>
      <c r="Y1116" s="126"/>
      <c r="Z1116" s="126"/>
      <c r="AA1116" s="126"/>
      <c r="AB1116" s="126"/>
      <c r="AC1116" s="126"/>
      <c r="AD1116" s="126"/>
      <c r="AE1116" s="126"/>
    </row>
    <row r="1117" spans="1:31" ht="13.2">
      <c r="A1117" s="126"/>
      <c r="B1117" s="126"/>
      <c r="C1117" s="126"/>
      <c r="D1117" s="126"/>
      <c r="E1117" s="126"/>
      <c r="F1117" s="271"/>
      <c r="G1117" s="272"/>
      <c r="H1117" s="126"/>
      <c r="I1117" s="126"/>
      <c r="J1117" s="126"/>
      <c r="K1117" s="126"/>
      <c r="L1117" s="246"/>
      <c r="M1117" s="235"/>
      <c r="N1117" s="126"/>
      <c r="O1117" s="126"/>
      <c r="P1117" s="126"/>
      <c r="Q1117" s="126"/>
      <c r="R1117" s="126"/>
      <c r="S1117" s="126"/>
      <c r="T1117" s="126"/>
      <c r="U1117" s="126"/>
      <c r="V1117" s="126"/>
      <c r="W1117" s="126"/>
      <c r="X1117" s="126"/>
      <c r="Y1117" s="126"/>
      <c r="Z1117" s="126"/>
      <c r="AA1117" s="126"/>
      <c r="AB1117" s="126"/>
      <c r="AC1117" s="126"/>
      <c r="AD1117" s="126"/>
      <c r="AE1117" s="126"/>
    </row>
    <row r="1118" spans="1:31" ht="13.2">
      <c r="A1118" s="126"/>
      <c r="B1118" s="126"/>
      <c r="C1118" s="126"/>
      <c r="D1118" s="126"/>
      <c r="E1118" s="126"/>
      <c r="F1118" s="271"/>
      <c r="G1118" s="272"/>
      <c r="H1118" s="126"/>
      <c r="I1118" s="126"/>
      <c r="J1118" s="126"/>
      <c r="K1118" s="126"/>
      <c r="L1118" s="246"/>
      <c r="M1118" s="235"/>
      <c r="N1118" s="126"/>
      <c r="O1118" s="126"/>
      <c r="P1118" s="126"/>
      <c r="Q1118" s="126"/>
      <c r="R1118" s="126"/>
      <c r="S1118" s="126"/>
      <c r="T1118" s="126"/>
      <c r="U1118" s="126"/>
      <c r="V1118" s="126"/>
      <c r="W1118" s="126"/>
      <c r="X1118" s="126"/>
      <c r="Y1118" s="126"/>
      <c r="Z1118" s="126"/>
      <c r="AA1118" s="126"/>
      <c r="AB1118" s="126"/>
      <c r="AC1118" s="126"/>
      <c r="AD1118" s="126"/>
      <c r="AE1118" s="126"/>
    </row>
  </sheetData>
  <mergeCells count="8">
    <mergeCell ref="A159:A180"/>
    <mergeCell ref="A181:A208"/>
    <mergeCell ref="A217:A222"/>
    <mergeCell ref="B1:L1"/>
    <mergeCell ref="A3:A16"/>
    <mergeCell ref="A17:A23"/>
    <mergeCell ref="A24:A37"/>
    <mergeCell ref="A38:A13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H1161"/>
  <sheetViews>
    <sheetView workbookViewId="0"/>
  </sheetViews>
  <sheetFormatPr defaultColWidth="12.6640625" defaultRowHeight="15.75" customHeight="1"/>
  <cols>
    <col min="3" max="3" width="15.109375" customWidth="1"/>
    <col min="4" max="4" width="35.109375" customWidth="1"/>
    <col min="9" max="11" width="18.21875" customWidth="1"/>
    <col min="12" max="12" width="15.44140625" customWidth="1"/>
    <col min="13" max="13" width="13.6640625" customWidth="1"/>
    <col min="15" max="15" width="16" customWidth="1"/>
  </cols>
  <sheetData>
    <row r="1" spans="1:16" ht="19.2">
      <c r="A1" s="92"/>
      <c r="B1" s="384" t="s">
        <v>380</v>
      </c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6"/>
      <c r="O1" s="273">
        <f>SUM(O3:O2043)</f>
        <v>33206109.799999993</v>
      </c>
      <c r="P1" s="274"/>
    </row>
    <row r="2" spans="1:16" ht="13.2">
      <c r="A2" s="94"/>
      <c r="B2" s="95" t="s">
        <v>335</v>
      </c>
      <c r="C2" s="94" t="s">
        <v>382</v>
      </c>
      <c r="D2" s="94" t="s">
        <v>383</v>
      </c>
      <c r="E2" s="94" t="s">
        <v>384</v>
      </c>
      <c r="F2" s="275" t="s">
        <v>2104</v>
      </c>
      <c r="G2" s="276" t="s">
        <v>2118</v>
      </c>
      <c r="H2" s="96" t="s">
        <v>385</v>
      </c>
      <c r="I2" s="99" t="s">
        <v>386</v>
      </c>
      <c r="J2" s="96" t="s">
        <v>387</v>
      </c>
      <c r="K2" s="96" t="s">
        <v>2187</v>
      </c>
      <c r="L2" s="94" t="s">
        <v>2156</v>
      </c>
      <c r="M2" s="94" t="s">
        <v>2157</v>
      </c>
      <c r="N2" s="94" t="s">
        <v>338</v>
      </c>
      <c r="O2" s="101" t="s">
        <v>2158</v>
      </c>
      <c r="P2" s="277"/>
    </row>
    <row r="3" spans="1:16" ht="13.2">
      <c r="A3" s="387" t="s">
        <v>391</v>
      </c>
      <c r="B3" s="101">
        <v>1</v>
      </c>
      <c r="C3" s="28" t="s">
        <v>392</v>
      </c>
      <c r="D3" s="28" t="s">
        <v>393</v>
      </c>
      <c r="E3" s="101" t="s">
        <v>394</v>
      </c>
      <c r="F3" s="278">
        <v>12.8</v>
      </c>
      <c r="G3" s="279">
        <f>F3*3550+5000</f>
        <v>50440</v>
      </c>
      <c r="H3" s="100">
        <v>91500</v>
      </c>
      <c r="I3" s="280">
        <f t="shared" ref="I3:I257" si="0">SUM(J3:K3)</f>
        <v>687482</v>
      </c>
      <c r="J3" s="104">
        <f>+ SUMIF('Doanh thu'!A:A, C3,'Doanh thu'!F:F)</f>
        <v>404600</v>
      </c>
      <c r="K3" s="100">
        <f>SUMIF('Xuất kho'!D:D, C3,'Xuất kho'!K:K)</f>
        <v>282882</v>
      </c>
      <c r="L3" s="28">
        <f>2+4</f>
        <v>6</v>
      </c>
      <c r="M3" s="30">
        <f>SUMIF('Xuất kho'!$D$8:$D$2955,C3,'Xuất kho'!$I$8:$I$2955)</f>
        <v>3</v>
      </c>
      <c r="N3" s="30">
        <f>L3-M3</f>
        <v>3</v>
      </c>
      <c r="O3" s="30">
        <f>SUMIF('Xuất kho'!$D$3:$D$2721,C3,'Xuất kho'!$K$3:$K$2721)</f>
        <v>282882</v>
      </c>
      <c r="P3" s="274"/>
    </row>
    <row r="4" spans="1:16" ht="13.2">
      <c r="A4" s="372"/>
      <c r="B4" s="101"/>
      <c r="C4" s="28" t="s">
        <v>395</v>
      </c>
      <c r="D4" s="28" t="s">
        <v>396</v>
      </c>
      <c r="E4" s="101" t="s">
        <v>394</v>
      </c>
      <c r="F4" s="278"/>
      <c r="G4" s="279"/>
      <c r="H4" s="100"/>
      <c r="I4" s="280">
        <f t="shared" si="0"/>
        <v>469200</v>
      </c>
      <c r="J4" s="104">
        <f>+ SUMIF('Doanh thu'!A:A, C4,'Doanh thu'!F:F)</f>
        <v>469200</v>
      </c>
      <c r="K4" s="100">
        <f>SUMIF('Xuất kho'!D:D, C4,'Xuất kho'!K:K)</f>
        <v>0</v>
      </c>
      <c r="L4" s="30"/>
      <c r="M4" s="30"/>
      <c r="N4" s="30"/>
      <c r="O4" s="30"/>
      <c r="P4" s="274"/>
    </row>
    <row r="5" spans="1:16" ht="13.2">
      <c r="A5" s="372"/>
      <c r="B5" s="101">
        <v>2</v>
      </c>
      <c r="C5" s="28" t="s">
        <v>397</v>
      </c>
      <c r="D5" s="28" t="s">
        <v>398</v>
      </c>
      <c r="E5" s="101" t="s">
        <v>394</v>
      </c>
      <c r="F5" s="278">
        <v>12.8</v>
      </c>
      <c r="G5" s="279">
        <f>F5*3550+5000</f>
        <v>50440</v>
      </c>
      <c r="H5" s="100">
        <v>101150</v>
      </c>
      <c r="I5" s="280">
        <f t="shared" si="0"/>
        <v>941780</v>
      </c>
      <c r="J5" s="104">
        <f>+ SUMIF('Doanh thu'!A:A, C5,'Doanh thu'!F:F)</f>
        <v>708050</v>
      </c>
      <c r="K5" s="100">
        <f>SUMIF('Xuất kho'!D:D, C5,'Xuất kho'!K:K)</f>
        <v>233730</v>
      </c>
      <c r="L5" s="30">
        <f>SUMIF('Xuất kho'!$D$1:$D$2955,C5,'Xuất kho'!$H$1:$H$2955)</f>
        <v>6</v>
      </c>
      <c r="M5" s="30">
        <f>SUMIF('Xuất kho'!$D$8:$D$2955,C5,'Xuất kho'!$I$8:$I$2955)</f>
        <v>3</v>
      </c>
      <c r="N5" s="30">
        <f>L5-M5</f>
        <v>3</v>
      </c>
      <c r="O5" s="30">
        <f>SUMIF('Xuất kho'!$D$3:$D$2721,C5,'Xuất kho'!$K$3:$K$2721)</f>
        <v>233730</v>
      </c>
      <c r="P5" s="274"/>
    </row>
    <row r="6" spans="1:16" ht="13.2">
      <c r="A6" s="372"/>
      <c r="B6" s="101"/>
      <c r="C6" s="28" t="s">
        <v>399</v>
      </c>
      <c r="D6" s="28" t="s">
        <v>400</v>
      </c>
      <c r="E6" s="101" t="s">
        <v>394</v>
      </c>
      <c r="F6" s="278"/>
      <c r="G6" s="279"/>
      <c r="H6" s="100"/>
      <c r="I6" s="280">
        <f t="shared" si="0"/>
        <v>234600</v>
      </c>
      <c r="J6" s="104">
        <f>+ SUMIF('Doanh thu'!A:A, C6,'Doanh thu'!F:F)</f>
        <v>234600</v>
      </c>
      <c r="K6" s="100">
        <f>SUMIF('Xuất kho'!D:D, C6,'Xuất kho'!K:K)</f>
        <v>0</v>
      </c>
      <c r="L6" s="30"/>
      <c r="M6" s="30"/>
      <c r="N6" s="30"/>
      <c r="O6" s="30"/>
      <c r="P6" s="274"/>
    </row>
    <row r="7" spans="1:16" ht="13.2">
      <c r="A7" s="372"/>
      <c r="B7" s="101">
        <v>3</v>
      </c>
      <c r="C7" s="28" t="s">
        <v>401</v>
      </c>
      <c r="D7" s="28" t="s">
        <v>2119</v>
      </c>
      <c r="E7" s="101" t="s">
        <v>394</v>
      </c>
      <c r="F7" s="278">
        <v>12.8</v>
      </c>
      <c r="G7" s="279">
        <f>F7*3550+5000</f>
        <v>50440</v>
      </c>
      <c r="H7" s="100">
        <v>91500</v>
      </c>
      <c r="I7" s="280">
        <f t="shared" si="0"/>
        <v>1037767</v>
      </c>
      <c r="J7" s="104">
        <f>+ SUMIF('Doanh thu'!A:A, C7,'Doanh thu'!F:F)</f>
        <v>708050</v>
      </c>
      <c r="K7" s="100">
        <f>SUMIF('Xuất kho'!D:D, C7,'Xuất kho'!K:K)</f>
        <v>329717</v>
      </c>
      <c r="L7" s="30">
        <f>SUMIF('Xuất kho'!$D$1:$D$2955,C7,'Xuất kho'!$H$1:$H$2955)</f>
        <v>6</v>
      </c>
      <c r="M7" s="30">
        <f>SUMIF('Xuất kho'!$D$8:$D$2955,C7,'Xuất kho'!$I$8:$I$2955)</f>
        <v>4</v>
      </c>
      <c r="N7" s="30">
        <f>L7-M7</f>
        <v>2</v>
      </c>
      <c r="O7" s="30">
        <f>SUMIF('Xuất kho'!$D$3:$D$2721,C7,'Xuất kho'!$K$3:$K$2721)</f>
        <v>329717</v>
      </c>
      <c r="P7" s="274"/>
    </row>
    <row r="8" spans="1:16" ht="13.2">
      <c r="A8" s="372"/>
      <c r="B8" s="101"/>
      <c r="C8" s="28" t="s">
        <v>403</v>
      </c>
      <c r="D8" s="28" t="s">
        <v>417</v>
      </c>
      <c r="E8" s="101" t="s">
        <v>394</v>
      </c>
      <c r="F8" s="278"/>
      <c r="G8" s="279"/>
      <c r="H8" s="100"/>
      <c r="I8" s="280">
        <f t="shared" si="0"/>
        <v>0</v>
      </c>
      <c r="J8" s="104">
        <f>+ SUMIF('Doanh thu'!A:A, C8,'Doanh thu'!F:F)</f>
        <v>0</v>
      </c>
      <c r="K8" s="100">
        <f>SUMIF('Xuất kho'!D:D, C8,'Xuất kho'!K:K)</f>
        <v>0</v>
      </c>
      <c r="L8" s="30"/>
      <c r="M8" s="30"/>
      <c r="N8" s="30"/>
      <c r="O8" s="30"/>
      <c r="P8" s="274"/>
    </row>
    <row r="9" spans="1:16" ht="13.2">
      <c r="A9" s="372"/>
      <c r="B9" s="101">
        <v>4</v>
      </c>
      <c r="C9" s="28" t="s">
        <v>405</v>
      </c>
      <c r="D9" s="28" t="s">
        <v>2120</v>
      </c>
      <c r="E9" s="101" t="s">
        <v>394</v>
      </c>
      <c r="F9" s="278">
        <v>12.8</v>
      </c>
      <c r="G9" s="279">
        <f t="shared" ref="G9:G11" si="1">F9*3550+5000</f>
        <v>50440</v>
      </c>
      <c r="H9" s="100">
        <v>91500</v>
      </c>
      <c r="I9" s="280">
        <f t="shared" si="0"/>
        <v>992218</v>
      </c>
      <c r="J9" s="104">
        <f>+ SUMIF('Doanh thu'!A:A, C9,'Doanh thu'!F:F)</f>
        <v>910350</v>
      </c>
      <c r="K9" s="100">
        <f>SUMIF('Xuất kho'!D:D, C9,'Xuất kho'!K:K)</f>
        <v>81868</v>
      </c>
      <c r="L9" s="30">
        <f>SUMIF('Xuất kho'!$D$1:$D$2955,C9,'Xuất kho'!$H$1:$H$2955)</f>
        <v>4</v>
      </c>
      <c r="M9" s="30">
        <f>SUMIF('Xuất kho'!$D$8:$D$2955,C9,'Xuất kho'!$I$8:$I$2955)</f>
        <v>1</v>
      </c>
      <c r="N9" s="30">
        <f t="shared" ref="N9:N11" si="2">L9-M9</f>
        <v>3</v>
      </c>
      <c r="O9" s="30">
        <f>SUMIF('Xuất kho'!$D$3:$D$2721,C9,'Xuất kho'!$K$3:$K$2721)</f>
        <v>81868</v>
      </c>
      <c r="P9" s="274"/>
    </row>
    <row r="10" spans="1:16" ht="13.2">
      <c r="A10" s="372"/>
      <c r="B10" s="101"/>
      <c r="C10" s="28" t="s">
        <v>407</v>
      </c>
      <c r="D10" s="28" t="s">
        <v>419</v>
      </c>
      <c r="E10" s="101" t="s">
        <v>394</v>
      </c>
      <c r="F10" s="278">
        <v>12.8</v>
      </c>
      <c r="G10" s="279">
        <f t="shared" si="1"/>
        <v>50440</v>
      </c>
      <c r="H10" s="100">
        <v>91500</v>
      </c>
      <c r="I10" s="280">
        <f t="shared" si="0"/>
        <v>312800</v>
      </c>
      <c r="J10" s="104">
        <f>+ SUMIF('Doanh thu'!A:A, C10,'Doanh thu'!F:F)</f>
        <v>312800</v>
      </c>
      <c r="K10" s="100">
        <f>SUMIF('Xuất kho'!D:D, C10,'Xuất kho'!K:K)</f>
        <v>0</v>
      </c>
      <c r="L10" s="30">
        <f>SUMIF('Xuất kho'!$D$1:$D$2955,C10,'Xuất kho'!$H$1:$H$2955)</f>
        <v>0</v>
      </c>
      <c r="M10" s="30">
        <f>SUMIF('Xuất kho'!$D$8:$D$2955,C10,'Xuất kho'!$I$8:$I$2955)</f>
        <v>0</v>
      </c>
      <c r="N10" s="30">
        <f t="shared" si="2"/>
        <v>0</v>
      </c>
      <c r="O10" s="30">
        <f>SUMIF('Xuất kho'!$D$3:$D$2721,C10,'Xuất kho'!$K$3:$K$2721)</f>
        <v>0</v>
      </c>
      <c r="P10" s="274"/>
    </row>
    <row r="11" spans="1:16" ht="13.2">
      <c r="A11" s="372"/>
      <c r="B11" s="101">
        <v>5</v>
      </c>
      <c r="C11" s="28" t="s">
        <v>409</v>
      </c>
      <c r="D11" s="28" t="s">
        <v>2121</v>
      </c>
      <c r="E11" s="101" t="s">
        <v>394</v>
      </c>
      <c r="F11" s="278">
        <v>12.8</v>
      </c>
      <c r="G11" s="279">
        <f t="shared" si="1"/>
        <v>50440</v>
      </c>
      <c r="H11" s="100">
        <v>101500</v>
      </c>
      <c r="I11" s="280">
        <f t="shared" si="0"/>
        <v>746920</v>
      </c>
      <c r="J11" s="104">
        <f>+ SUMIF('Doanh thu'!A:A, C11,'Doanh thu'!F:F)</f>
        <v>406000</v>
      </c>
      <c r="K11" s="100">
        <f>SUMIF('Xuất kho'!D:D, C11,'Xuất kho'!K:K)</f>
        <v>340920</v>
      </c>
      <c r="L11" s="30">
        <f>SUMIF('Xuất kho'!$D$1:$D$2955,C11,'Xuất kho'!$H$1:$H$2955)</f>
        <v>6</v>
      </c>
      <c r="M11" s="30">
        <f>SUMIF('Xuất kho'!$D$8:$D$2955,C11,'Xuất kho'!$I$8:$I$2955)</f>
        <v>4</v>
      </c>
      <c r="N11" s="30">
        <f t="shared" si="2"/>
        <v>2</v>
      </c>
      <c r="O11" s="30">
        <f>SUMIF('Xuất kho'!$D$3:$D$2721,C11,'Xuất kho'!$K$3:$K$2721)</f>
        <v>340920</v>
      </c>
      <c r="P11" s="274"/>
    </row>
    <row r="12" spans="1:16" ht="13.2">
      <c r="A12" s="372"/>
      <c r="B12" s="101"/>
      <c r="C12" s="28" t="s">
        <v>411</v>
      </c>
      <c r="D12" s="28" t="s">
        <v>421</v>
      </c>
      <c r="E12" s="101" t="s">
        <v>394</v>
      </c>
      <c r="F12" s="278"/>
      <c r="G12" s="279"/>
      <c r="H12" s="100"/>
      <c r="I12" s="280">
        <f t="shared" si="0"/>
        <v>156400</v>
      </c>
      <c r="J12" s="104">
        <f>+ SUMIF('Doanh thu'!A:A, C12,'Doanh thu'!F:F)</f>
        <v>156400</v>
      </c>
      <c r="K12" s="100">
        <f>SUMIF('Xuất kho'!D:D, C12,'Xuất kho'!K:K)</f>
        <v>0</v>
      </c>
      <c r="L12" s="30"/>
      <c r="M12" s="30"/>
      <c r="N12" s="30"/>
      <c r="O12" s="30"/>
      <c r="P12" s="274"/>
    </row>
    <row r="13" spans="1:16" ht="13.2">
      <c r="A13" s="372"/>
      <c r="B13" s="101">
        <v>6</v>
      </c>
      <c r="C13" s="28" t="s">
        <v>413</v>
      </c>
      <c r="D13" s="28" t="s">
        <v>396</v>
      </c>
      <c r="E13" s="101" t="s">
        <v>394</v>
      </c>
      <c r="F13" s="278">
        <v>10.8</v>
      </c>
      <c r="G13" s="279">
        <f t="shared" ref="G13:G17" si="3">F13*3550+5000</f>
        <v>43340</v>
      </c>
      <c r="H13" s="100">
        <f t="shared" ref="H13:H17" si="4">ROUND(G13*1.9,-3)</f>
        <v>82000</v>
      </c>
      <c r="I13" s="280">
        <f t="shared" si="0"/>
        <v>138000</v>
      </c>
      <c r="J13" s="104">
        <f>+ SUMIF('Doanh thu'!A:A, C13,'Doanh thu'!F:F)</f>
        <v>0</v>
      </c>
      <c r="K13" s="100">
        <f>SUMIF('Xuất kho'!D:D, C13,'Xuất kho'!K:K)</f>
        <v>138000</v>
      </c>
      <c r="L13" s="30">
        <f>SUMIF('Xuất kho'!$D$1:$D$2955,C13,'Xuất kho'!$H$1:$H$2955)</f>
        <v>3</v>
      </c>
      <c r="M13" s="30">
        <f>SUMIF('Xuất kho'!$D$8:$D$2955,C13,'Xuất kho'!$I$8:$I$2955)</f>
        <v>2</v>
      </c>
      <c r="N13" s="30">
        <f t="shared" ref="N13:N134" si="5">L13-M13</f>
        <v>1</v>
      </c>
      <c r="O13" s="30">
        <f>SUMIF('Xuất kho'!$D$3:$D$2721,C13,'Xuất kho'!$K$3:$K$2721)</f>
        <v>138000</v>
      </c>
      <c r="P13" s="274"/>
    </row>
    <row r="14" spans="1:16" ht="13.2">
      <c r="A14" s="372"/>
      <c r="B14" s="101">
        <v>7</v>
      </c>
      <c r="C14" s="28" t="s">
        <v>414</v>
      </c>
      <c r="D14" s="28" t="s">
        <v>415</v>
      </c>
      <c r="E14" s="101" t="s">
        <v>394</v>
      </c>
      <c r="F14" s="278">
        <v>10.8</v>
      </c>
      <c r="G14" s="279">
        <f t="shared" si="3"/>
        <v>43340</v>
      </c>
      <c r="H14" s="100">
        <f t="shared" si="4"/>
        <v>82000</v>
      </c>
      <c r="I14" s="280">
        <f t="shared" si="0"/>
        <v>270363</v>
      </c>
      <c r="J14" s="104">
        <f>+ SUMIF('Doanh thu'!A:A, C14,'Doanh thu'!F:F)</f>
        <v>0</v>
      </c>
      <c r="K14" s="100">
        <f>SUMIF('Xuất kho'!D:D, C14,'Xuất kho'!K:K)</f>
        <v>270363</v>
      </c>
      <c r="L14" s="30">
        <f>SUMIF('Xuất kho'!$D$1:$D$2955,C14,'Xuất kho'!$H$1:$H$2955)</f>
        <v>4</v>
      </c>
      <c r="M14" s="30">
        <f>SUMIF('Xuất kho'!$D$8:$D$2955,C14,'Xuất kho'!$I$8:$I$2955)</f>
        <v>4</v>
      </c>
      <c r="N14" s="30">
        <f t="shared" si="5"/>
        <v>0</v>
      </c>
      <c r="O14" s="30">
        <f>SUMIF('Xuất kho'!$D$3:$D$2721,C14,'Xuất kho'!$K$3:$K$2721)</f>
        <v>270363</v>
      </c>
      <c r="P14" s="274"/>
    </row>
    <row r="15" spans="1:16" ht="13.2">
      <c r="A15" s="372"/>
      <c r="B15" s="101">
        <v>8</v>
      </c>
      <c r="C15" s="28" t="s">
        <v>416</v>
      </c>
      <c r="D15" s="28" t="s">
        <v>417</v>
      </c>
      <c r="E15" s="101" t="s">
        <v>394</v>
      </c>
      <c r="F15" s="278">
        <v>10.8</v>
      </c>
      <c r="G15" s="279">
        <f t="shared" si="3"/>
        <v>43340</v>
      </c>
      <c r="H15" s="100">
        <f t="shared" si="4"/>
        <v>82000</v>
      </c>
      <c r="I15" s="280">
        <f t="shared" si="0"/>
        <v>60000</v>
      </c>
      <c r="J15" s="104">
        <f>+ SUMIF('Doanh thu'!A:A, C15,'Doanh thu'!F:F)</f>
        <v>0</v>
      </c>
      <c r="K15" s="100">
        <f>SUMIF('Xuất kho'!D:D, C15,'Xuất kho'!K:K)</f>
        <v>60000</v>
      </c>
      <c r="L15" s="30">
        <f>SUMIF('Xuất kho'!$D$1:$D$2955,C15,'Xuất kho'!$H$1:$H$2955)</f>
        <v>4</v>
      </c>
      <c r="M15" s="30">
        <f>SUMIF('Xuất kho'!$D$8:$D$2955,C15,'Xuất kho'!$I$8:$I$2955)</f>
        <v>1</v>
      </c>
      <c r="N15" s="30">
        <f t="shared" si="5"/>
        <v>3</v>
      </c>
      <c r="O15" s="30">
        <f>SUMIF('Xuất kho'!$D$3:$D$2721,C15,'Xuất kho'!$K$3:$K$2721)</f>
        <v>60000</v>
      </c>
      <c r="P15" s="274"/>
    </row>
    <row r="16" spans="1:16" ht="13.2">
      <c r="A16" s="372"/>
      <c r="B16" s="101">
        <v>9</v>
      </c>
      <c r="C16" s="28" t="s">
        <v>418</v>
      </c>
      <c r="D16" s="28" t="s">
        <v>419</v>
      </c>
      <c r="E16" s="101" t="s">
        <v>394</v>
      </c>
      <c r="F16" s="278">
        <v>10.8</v>
      </c>
      <c r="G16" s="279">
        <f t="shared" si="3"/>
        <v>43340</v>
      </c>
      <c r="H16" s="100">
        <f t="shared" si="4"/>
        <v>82000</v>
      </c>
      <c r="I16" s="280">
        <f t="shared" si="0"/>
        <v>153724</v>
      </c>
      <c r="J16" s="104">
        <f>+ SUMIF('Doanh thu'!A:A, C16,'Doanh thu'!F:F)</f>
        <v>0</v>
      </c>
      <c r="K16" s="100">
        <f>SUMIF('Xuất kho'!D:D, C16,'Xuất kho'!K:K)</f>
        <v>153724</v>
      </c>
      <c r="L16" s="30">
        <f>SUMIF('Xuất kho'!$D$1:$D$2955,C16,'Xuất kho'!$H$1:$H$2955)</f>
        <v>3</v>
      </c>
      <c r="M16" s="30">
        <f>SUMIF('Xuất kho'!$D$8:$D$2955,C16,'Xuất kho'!$I$8:$I$2955)</f>
        <v>2</v>
      </c>
      <c r="N16" s="30">
        <f t="shared" si="5"/>
        <v>1</v>
      </c>
      <c r="O16" s="30">
        <f>SUMIF('Xuất kho'!$D$3:$D$2721,C16,'Xuất kho'!$K$3:$K$2721)</f>
        <v>153724</v>
      </c>
      <c r="P16" s="274"/>
    </row>
    <row r="17" spans="1:16" ht="13.2">
      <c r="A17" s="372"/>
      <c r="B17" s="101">
        <v>10</v>
      </c>
      <c r="C17" s="28" t="s">
        <v>420</v>
      </c>
      <c r="D17" s="28" t="s">
        <v>421</v>
      </c>
      <c r="E17" s="101" t="s">
        <v>394</v>
      </c>
      <c r="F17" s="278">
        <v>10.8</v>
      </c>
      <c r="G17" s="279">
        <f t="shared" si="3"/>
        <v>43340</v>
      </c>
      <c r="H17" s="100">
        <f t="shared" si="4"/>
        <v>82000</v>
      </c>
      <c r="I17" s="280">
        <f t="shared" si="0"/>
        <v>289127</v>
      </c>
      <c r="J17" s="104">
        <f>+ SUMIF('Doanh thu'!A:A, C17,'Doanh thu'!F:F)</f>
        <v>0</v>
      </c>
      <c r="K17" s="100">
        <f>SUMIF('Xuất kho'!D:D, C17,'Xuất kho'!K:K)</f>
        <v>289127</v>
      </c>
      <c r="L17" s="30">
        <f>SUMIF('Xuất kho'!$D$1:$D$2955,C17,'Xuất kho'!$H$1:$H$2955)</f>
        <v>4</v>
      </c>
      <c r="M17" s="30">
        <f>SUMIF('Xuất kho'!$D$8:$D$2955,C17,'Xuất kho'!$I$8:$I$2955)</f>
        <v>4</v>
      </c>
      <c r="N17" s="30">
        <f t="shared" si="5"/>
        <v>0</v>
      </c>
      <c r="O17" s="30">
        <f>SUMIF('Xuất kho'!$D$3:$D$2721,C17,'Xuất kho'!$K$3:$K$2721)</f>
        <v>289127</v>
      </c>
      <c r="P17" s="274"/>
    </row>
    <row r="18" spans="1:16" ht="13.2">
      <c r="A18" s="372"/>
      <c r="B18" s="101">
        <v>11</v>
      </c>
      <c r="C18" s="45" t="s">
        <v>422</v>
      </c>
      <c r="D18" s="45" t="s">
        <v>423</v>
      </c>
      <c r="E18" s="105" t="s">
        <v>394</v>
      </c>
      <c r="F18" s="281">
        <v>9</v>
      </c>
      <c r="G18" s="282">
        <f t="shared" ref="G18:G21" si="6">F18*3510</f>
        <v>31590</v>
      </c>
      <c r="H18" s="100">
        <v>72250</v>
      </c>
      <c r="I18" s="280">
        <f t="shared" si="0"/>
        <v>578000</v>
      </c>
      <c r="J18" s="104">
        <f>+ SUMIF('Doanh thu'!A:A, C18,'Doanh thu'!F:F)</f>
        <v>578000</v>
      </c>
      <c r="K18" s="100">
        <f>SUMIF('Xuất kho'!D:D, C18,'Xuất kho'!K:K)</f>
        <v>0</v>
      </c>
      <c r="L18" s="30">
        <f>SUMIF('Xuất kho'!$D$1:$D$2955,C18,'Xuất kho'!$H$1:$H$2955)</f>
        <v>0</v>
      </c>
      <c r="M18" s="30">
        <f>SUMIF('Xuất kho'!$D$8:$D$2955,C18,'Xuất kho'!$I$8:$I$2955)</f>
        <v>0</v>
      </c>
      <c r="N18" s="30">
        <f t="shared" si="5"/>
        <v>0</v>
      </c>
      <c r="O18" s="30">
        <f>SUMIF('Xuất kho'!$D$3:$D$2721,C18,'Xuất kho'!$K$3:$K$2721)</f>
        <v>0</v>
      </c>
      <c r="P18" s="274"/>
    </row>
    <row r="19" spans="1:16" ht="13.2">
      <c r="A19" s="372"/>
      <c r="B19" s="101">
        <v>12</v>
      </c>
      <c r="C19" s="45" t="s">
        <v>424</v>
      </c>
      <c r="D19" s="45" t="s">
        <v>425</v>
      </c>
      <c r="E19" s="105" t="s">
        <v>394</v>
      </c>
      <c r="F19" s="281">
        <v>9</v>
      </c>
      <c r="G19" s="282">
        <f t="shared" si="6"/>
        <v>31590</v>
      </c>
      <c r="H19" s="100">
        <v>72250</v>
      </c>
      <c r="I19" s="280">
        <f t="shared" si="0"/>
        <v>602834</v>
      </c>
      <c r="J19" s="104">
        <f>+ SUMIF('Doanh thu'!A:A, C19,'Doanh thu'!F:F)</f>
        <v>361250</v>
      </c>
      <c r="K19" s="100">
        <f>SUMIF('Xuất kho'!D:D, C19,'Xuất kho'!K:K)</f>
        <v>241584</v>
      </c>
      <c r="L19" s="30">
        <f>SUMIF('Xuất kho'!$D$1:$D$2955,C19,'Xuất kho'!$H$1:$H$2955)</f>
        <v>0</v>
      </c>
      <c r="M19" s="30">
        <f>SUMIF('Xuất kho'!$D$8:$D$2955,C19,'Xuất kho'!$I$8:$I$2955)</f>
        <v>4</v>
      </c>
      <c r="N19" s="30">
        <f t="shared" si="5"/>
        <v>-4</v>
      </c>
      <c r="O19" s="30">
        <f>SUMIF('Xuất kho'!$D$3:$D$2721,C19,'Xuất kho'!$K$3:$K$2721)</f>
        <v>241584</v>
      </c>
      <c r="P19" s="274"/>
    </row>
    <row r="20" spans="1:16" ht="13.2">
      <c r="A20" s="372"/>
      <c r="B20" s="101">
        <v>13</v>
      </c>
      <c r="C20" s="45" t="s">
        <v>426</v>
      </c>
      <c r="D20" s="45" t="s">
        <v>427</v>
      </c>
      <c r="E20" s="105" t="s">
        <v>394</v>
      </c>
      <c r="F20" s="281">
        <v>9</v>
      </c>
      <c r="G20" s="282">
        <f t="shared" si="6"/>
        <v>31590</v>
      </c>
      <c r="H20" s="100">
        <v>72250</v>
      </c>
      <c r="I20" s="280">
        <f t="shared" si="0"/>
        <v>939250</v>
      </c>
      <c r="J20" s="104">
        <f>+ SUMIF('Doanh thu'!A:A, C20,'Doanh thu'!F:F)</f>
        <v>650250</v>
      </c>
      <c r="K20" s="100">
        <f>SUMIF('Xuất kho'!D:D, C20,'Xuất kho'!K:K)</f>
        <v>289000</v>
      </c>
      <c r="L20" s="30">
        <f>SUMIF('Xuất kho'!$D$1:$D$2955,C20,'Xuất kho'!$H$1:$H$2955)</f>
        <v>0</v>
      </c>
      <c r="M20" s="30">
        <f>SUMIF('Xuất kho'!$D$8:$D$2955,C20,'Xuất kho'!$I$8:$I$2955)</f>
        <v>4</v>
      </c>
      <c r="N20" s="30">
        <f t="shared" si="5"/>
        <v>-4</v>
      </c>
      <c r="O20" s="30">
        <f>SUMIF('Xuất kho'!$D$3:$D$2721,C20,'Xuất kho'!$K$3:$K$2721)</f>
        <v>289000</v>
      </c>
      <c r="P20" s="274"/>
    </row>
    <row r="21" spans="1:16" ht="13.2">
      <c r="A21" s="373"/>
      <c r="B21" s="101">
        <v>14</v>
      </c>
      <c r="C21" s="45" t="s">
        <v>428</v>
      </c>
      <c r="D21" s="45" t="s">
        <v>429</v>
      </c>
      <c r="E21" s="105" t="s">
        <v>394</v>
      </c>
      <c r="F21" s="281">
        <v>9</v>
      </c>
      <c r="G21" s="282">
        <f t="shared" si="6"/>
        <v>31590</v>
      </c>
      <c r="H21" s="100">
        <v>72250</v>
      </c>
      <c r="I21" s="280">
        <f t="shared" si="0"/>
        <v>0</v>
      </c>
      <c r="J21" s="104">
        <f>+ SUMIF('Doanh thu'!A:A, C21,'Doanh thu'!F:F)</f>
        <v>0</v>
      </c>
      <c r="K21" s="100">
        <f>SUMIF('Xuất kho'!D:D, C21,'Xuất kho'!K:K)</f>
        <v>0</v>
      </c>
      <c r="L21" s="30">
        <f>SUMIF('Xuất kho'!$D$1:$D$2955,C21,'Xuất kho'!$H$1:$H$2955)</f>
        <v>0</v>
      </c>
      <c r="M21" s="30">
        <f>SUMIF('Xuất kho'!$D$8:$D$2955,C21,'Xuất kho'!$I$8:$I$2955)</f>
        <v>0</v>
      </c>
      <c r="N21" s="30">
        <f t="shared" si="5"/>
        <v>0</v>
      </c>
      <c r="O21" s="30">
        <f>SUMIF('Xuất kho'!$D$3:$D$2721,C21,'Xuất kho'!$K$3:$K$2721)</f>
        <v>0</v>
      </c>
      <c r="P21" s="274"/>
    </row>
    <row r="22" spans="1:16" ht="13.2">
      <c r="A22" s="388" t="s">
        <v>430</v>
      </c>
      <c r="B22" s="101">
        <v>15</v>
      </c>
      <c r="C22" s="106" t="s">
        <v>431</v>
      </c>
      <c r="D22" s="106" t="s">
        <v>2122</v>
      </c>
      <c r="E22" s="107" t="s">
        <v>432</v>
      </c>
      <c r="F22" s="283">
        <v>1.85</v>
      </c>
      <c r="G22" s="284">
        <f t="shared" ref="G22:G23" si="7">F22*3550+600</f>
        <v>7167.5</v>
      </c>
      <c r="H22" s="108">
        <v>14500</v>
      </c>
      <c r="I22" s="280">
        <f t="shared" si="0"/>
        <v>675506.42857142864</v>
      </c>
      <c r="J22" s="104">
        <f>+ SUMIF('Doanh thu'!A:A, C22,'Doanh thu'!F:F)</f>
        <v>14500</v>
      </c>
      <c r="K22" s="100">
        <f>SUMIF('Xuất kho'!D:D, C22,'Xuất kho'!K:K)</f>
        <v>661006.42857142864</v>
      </c>
      <c r="L22" s="30">
        <f>SUMIF('Xuất kho'!$D$1:$D$2955,C22,'Xuất kho'!$H$1:$H$2955)</f>
        <v>50</v>
      </c>
      <c r="M22" s="30">
        <f>SUMIF('Xuất kho'!$D$8:$D$2955,C22,'Xuất kho'!$I$8:$I$2955)</f>
        <v>48</v>
      </c>
      <c r="N22" s="285">
        <f t="shared" si="5"/>
        <v>2</v>
      </c>
      <c r="O22" s="30">
        <f>SUMIF('Xuất kho'!$D$3:$D$2721,C22,'Xuất kho'!$K$3:$K$2721)</f>
        <v>661006.42857142864</v>
      </c>
      <c r="P22" s="274"/>
    </row>
    <row r="23" spans="1:16" ht="13.2">
      <c r="A23" s="372"/>
      <c r="B23" s="101">
        <v>16</v>
      </c>
      <c r="C23" s="106" t="s">
        <v>433</v>
      </c>
      <c r="D23" s="106" t="s">
        <v>2123</v>
      </c>
      <c r="E23" s="107" t="s">
        <v>432</v>
      </c>
      <c r="F23" s="283">
        <v>1.85</v>
      </c>
      <c r="G23" s="284">
        <f t="shared" si="7"/>
        <v>7167.5</v>
      </c>
      <c r="H23" s="108">
        <v>14500</v>
      </c>
      <c r="I23" s="280">
        <f t="shared" si="0"/>
        <v>730694.57142857136</v>
      </c>
      <c r="J23" s="104">
        <f>+ SUMIF('Doanh thu'!A:A, C23,'Doanh thu'!F:F)</f>
        <v>87000</v>
      </c>
      <c r="K23" s="100">
        <f>SUMIF('Xuất kho'!D:D, C23,'Xuất kho'!K:K)</f>
        <v>643694.57142857136</v>
      </c>
      <c r="L23" s="30">
        <f>SUMIF('Xuất kho'!$D$1:$D$2955,C23,'Xuất kho'!$H$1:$H$2955)</f>
        <v>50</v>
      </c>
      <c r="M23" s="30">
        <f>SUMIF('Xuất kho'!$D$8:$D$2955,C23,'Xuất kho'!$I$8:$I$2955)</f>
        <v>50</v>
      </c>
      <c r="N23" s="285">
        <f t="shared" si="5"/>
        <v>0</v>
      </c>
      <c r="O23" s="30">
        <f>SUMIF('Xuất kho'!$D$3:$D$2721,C23,'Xuất kho'!$K$3:$K$2721)</f>
        <v>643694.57142857136</v>
      </c>
      <c r="P23" s="274"/>
    </row>
    <row r="24" spans="1:16" ht="13.2">
      <c r="A24" s="372"/>
      <c r="B24" s="101">
        <v>17</v>
      </c>
      <c r="C24" s="106" t="s">
        <v>435</v>
      </c>
      <c r="D24" s="106" t="s">
        <v>2124</v>
      </c>
      <c r="E24" s="107" t="s">
        <v>436</v>
      </c>
      <c r="F24" s="283" t="s">
        <v>2160</v>
      </c>
      <c r="G24" s="286">
        <v>3860</v>
      </c>
      <c r="H24" s="108">
        <f t="shared" ref="H24:H28" si="8">G24*2</f>
        <v>7720</v>
      </c>
      <c r="I24" s="280">
        <f t="shared" si="0"/>
        <v>906506.56752136757</v>
      </c>
      <c r="J24" s="104">
        <f>+ SUMIF('Doanh thu'!A:A, C24,'Doanh thu'!F:F)</f>
        <v>203000</v>
      </c>
      <c r="K24" s="100">
        <f>SUMIF('Xuất kho'!D:D, C24,'Xuất kho'!K:K)</f>
        <v>703506.56752136757</v>
      </c>
      <c r="L24" s="30">
        <f>SUMIF('Xuất kho'!$D$1:$D$2955,C24,'Xuất kho'!$H$1:$H$2955)</f>
        <v>120</v>
      </c>
      <c r="M24" s="30">
        <f>SUMIF('Xuất kho'!$D$8:$D$2955,C24,'Xuất kho'!$I$8:$I$2955)</f>
        <v>126.33333333333333</v>
      </c>
      <c r="N24" s="285">
        <f t="shared" si="5"/>
        <v>-6.3333333333333286</v>
      </c>
      <c r="O24" s="30">
        <f>SUMIF('Xuất kho'!$D$3:$D$2721,C24,'Xuất kho'!$K$3:$K$2721)</f>
        <v>703506.56752136757</v>
      </c>
      <c r="P24" s="274"/>
    </row>
    <row r="25" spans="1:16" ht="13.2">
      <c r="A25" s="372"/>
      <c r="B25" s="101">
        <v>18</v>
      </c>
      <c r="C25" s="106" t="s">
        <v>437</v>
      </c>
      <c r="D25" s="106" t="s">
        <v>2125</v>
      </c>
      <c r="E25" s="107" t="s">
        <v>436</v>
      </c>
      <c r="F25" s="283" t="s">
        <v>2160</v>
      </c>
      <c r="G25" s="286">
        <v>3860</v>
      </c>
      <c r="H25" s="108">
        <f t="shared" si="8"/>
        <v>7720</v>
      </c>
      <c r="I25" s="280">
        <f t="shared" si="0"/>
        <v>650481.95641025645</v>
      </c>
      <c r="J25" s="104">
        <f>+ SUMIF('Doanh thu'!A:A, C25,'Doanh thu'!F:F)</f>
        <v>29000</v>
      </c>
      <c r="K25" s="100">
        <f>SUMIF('Xuất kho'!D:D, C25,'Xuất kho'!K:K)</f>
        <v>621481.95641025645</v>
      </c>
      <c r="L25" s="30">
        <f>SUMIF('Xuất kho'!$D$1:$D$2955,C25,'Xuất kho'!$H$1:$H$2955)</f>
        <v>120</v>
      </c>
      <c r="M25" s="30">
        <f>SUMIF('Xuất kho'!$D$8:$D$2955,C25,'Xuất kho'!$I$8:$I$2955)</f>
        <v>106.33333333333334</v>
      </c>
      <c r="N25" s="285">
        <f t="shared" si="5"/>
        <v>13.666666666666657</v>
      </c>
      <c r="O25" s="30">
        <f>SUMIF('Xuất kho'!$D$3:$D$2721,C25,'Xuất kho'!$K$3:$K$2721)</f>
        <v>621481.95641025645</v>
      </c>
      <c r="P25" s="274"/>
    </row>
    <row r="26" spans="1:16" ht="13.2">
      <c r="A26" s="372"/>
      <c r="B26" s="101">
        <v>19</v>
      </c>
      <c r="C26" s="106" t="s">
        <v>438</v>
      </c>
      <c r="D26" s="106" t="s">
        <v>2126</v>
      </c>
      <c r="E26" s="107" t="s">
        <v>436</v>
      </c>
      <c r="F26" s="283" t="s">
        <v>2160</v>
      </c>
      <c r="G26" s="286">
        <v>3860</v>
      </c>
      <c r="H26" s="108">
        <f t="shared" si="8"/>
        <v>7720</v>
      </c>
      <c r="I26" s="280">
        <f t="shared" si="0"/>
        <v>1002391.5290598292</v>
      </c>
      <c r="J26" s="104">
        <f>+ SUMIF('Doanh thu'!A:A, C26,'Doanh thu'!F:F)</f>
        <v>58000</v>
      </c>
      <c r="K26" s="100">
        <f>SUMIF('Xuất kho'!D:D, C26,'Xuất kho'!K:K)</f>
        <v>944391.52905982919</v>
      </c>
      <c r="L26" s="30">
        <f>SUMIF('Xuất kho'!$D$1:$D$2955,C26,'Xuất kho'!$H$1:$H$2955)</f>
        <v>120</v>
      </c>
      <c r="M26" s="30">
        <f>SUMIF('Xuất kho'!$D$8:$D$2955,C26,'Xuất kho'!$I$8:$I$2955)</f>
        <v>136.33333333333331</v>
      </c>
      <c r="N26" s="285">
        <f t="shared" si="5"/>
        <v>-16.333333333333314</v>
      </c>
      <c r="O26" s="30">
        <f>SUMIF('Xuất kho'!$D$3:$D$2721,C26,'Xuất kho'!$K$3:$K$2721)</f>
        <v>944391.52905982919</v>
      </c>
      <c r="P26" s="274"/>
    </row>
    <row r="27" spans="1:16" ht="13.2">
      <c r="A27" s="372"/>
      <c r="B27" s="101">
        <v>20</v>
      </c>
      <c r="C27" s="106" t="s">
        <v>439</v>
      </c>
      <c r="D27" s="106" t="s">
        <v>2127</v>
      </c>
      <c r="E27" s="107" t="s">
        <v>436</v>
      </c>
      <c r="F27" s="283" t="s">
        <v>2160</v>
      </c>
      <c r="G27" s="286">
        <v>3860</v>
      </c>
      <c r="H27" s="108">
        <f t="shared" si="8"/>
        <v>7720</v>
      </c>
      <c r="I27" s="280">
        <f t="shared" si="0"/>
        <v>901637.39572649566</v>
      </c>
      <c r="J27" s="104">
        <f>+ SUMIF('Doanh thu'!A:A, C27,'Doanh thu'!F:F)</f>
        <v>116000</v>
      </c>
      <c r="K27" s="100">
        <f>SUMIF('Xuất kho'!D:D, C27,'Xuất kho'!K:K)</f>
        <v>785637.39572649566</v>
      </c>
      <c r="L27" s="30">
        <f>SUMIF('Xuất kho'!$D$1:$D$2955,C27,'Xuất kho'!$H$1:$H$2955)</f>
        <v>120</v>
      </c>
      <c r="M27" s="30">
        <f>SUMIF('Xuất kho'!$D$8:$D$2955,C27,'Xuất kho'!$I$8:$I$2955)</f>
        <v>119.33333333333333</v>
      </c>
      <c r="N27" s="285">
        <f t="shared" si="5"/>
        <v>0.6666666666666714</v>
      </c>
      <c r="O27" s="30">
        <f>SUMIF('Xuất kho'!$D$3:$D$2721,C27,'Xuất kho'!$K$3:$K$2721)</f>
        <v>785637.39572649566</v>
      </c>
      <c r="P27" s="274"/>
    </row>
    <row r="28" spans="1:16" ht="13.2">
      <c r="A28" s="373"/>
      <c r="B28" s="101">
        <v>21</v>
      </c>
      <c r="C28" s="106" t="s">
        <v>440</v>
      </c>
      <c r="D28" s="106" t="s">
        <v>2128</v>
      </c>
      <c r="E28" s="107" t="s">
        <v>436</v>
      </c>
      <c r="F28" s="283" t="s">
        <v>2160</v>
      </c>
      <c r="G28" s="286">
        <v>3860</v>
      </c>
      <c r="H28" s="108">
        <f t="shared" si="8"/>
        <v>7720</v>
      </c>
      <c r="I28" s="280">
        <f t="shared" si="0"/>
        <v>755537.55128205137</v>
      </c>
      <c r="J28" s="104">
        <f>+ SUMIF('Doanh thu'!A:A, C28,'Doanh thu'!F:F)</f>
        <v>0</v>
      </c>
      <c r="K28" s="100">
        <f>SUMIF('Xuất kho'!D:D, C28,'Xuất kho'!K:K)</f>
        <v>755537.55128205137</v>
      </c>
      <c r="L28" s="30">
        <f>SUMIF('Xuất kho'!$D$1:$D$2955,C28,'Xuất kho'!$H$1:$H$2955)</f>
        <v>120</v>
      </c>
      <c r="M28" s="30">
        <f>SUMIF('Xuất kho'!$D$8:$D$2955,C28,'Xuất kho'!$I$8:$I$2955)</f>
        <v>117.33333333333333</v>
      </c>
      <c r="N28" s="285">
        <f t="shared" si="5"/>
        <v>2.6666666666666714</v>
      </c>
      <c r="O28" s="30">
        <f>SUMIF('Xuất kho'!$D$3:$D$2721,C28,'Xuất kho'!$K$3:$K$2721)</f>
        <v>755537.55128205137</v>
      </c>
      <c r="P28" s="274"/>
    </row>
    <row r="29" spans="1:16" ht="15" customHeight="1">
      <c r="A29" s="389" t="s">
        <v>441</v>
      </c>
      <c r="B29" s="109">
        <v>22</v>
      </c>
      <c r="C29" s="33" t="s">
        <v>442</v>
      </c>
      <c r="D29" s="33" t="s">
        <v>443</v>
      </c>
      <c r="E29" s="109" t="s">
        <v>444</v>
      </c>
      <c r="F29" s="287">
        <v>4.2</v>
      </c>
      <c r="G29" s="288">
        <f t="shared" ref="G29:G42" si="9">F29*3550+2000</f>
        <v>16910</v>
      </c>
      <c r="H29" s="110">
        <f t="shared" ref="H29:H42" si="10">ROUND(G29*2.3,-3)</f>
        <v>39000</v>
      </c>
      <c r="I29" s="280">
        <f t="shared" si="0"/>
        <v>0</v>
      </c>
      <c r="J29" s="104">
        <f>+ SUMIF('Doanh thu'!A:A, C29,'Doanh thu'!F:F)</f>
        <v>0</v>
      </c>
      <c r="K29" s="100">
        <f>SUMIF('Xuất kho'!D:D, C29,'Xuất kho'!K:K)</f>
        <v>0</v>
      </c>
      <c r="L29" s="32">
        <f>SUMIF('Xuất kho'!$D$1:$D$2955,C29,'Xuất kho'!$H$1:$H$2955)</f>
        <v>3</v>
      </c>
      <c r="M29" s="30">
        <f>SUMIF('Xuất kho'!$D$8:$D$2955,C29,'Xuất kho'!$I$8:$I$2955)</f>
        <v>0</v>
      </c>
      <c r="N29" s="32">
        <f t="shared" si="5"/>
        <v>3</v>
      </c>
      <c r="O29" s="30">
        <f>SUMIF('Xuất kho'!$D$3:$D$2721,C29,'Xuất kho'!$K$3:$K$2721)</f>
        <v>0</v>
      </c>
      <c r="P29" s="274"/>
    </row>
    <row r="30" spans="1:16" ht="15" customHeight="1">
      <c r="A30" s="372"/>
      <c r="B30" s="109">
        <v>23</v>
      </c>
      <c r="C30" s="33" t="s">
        <v>445</v>
      </c>
      <c r="D30" s="33" t="s">
        <v>446</v>
      </c>
      <c r="E30" s="109" t="s">
        <v>444</v>
      </c>
      <c r="F30" s="287">
        <v>4.2</v>
      </c>
      <c r="G30" s="288">
        <f t="shared" si="9"/>
        <v>16910</v>
      </c>
      <c r="H30" s="110">
        <f t="shared" si="10"/>
        <v>39000</v>
      </c>
      <c r="I30" s="280">
        <f t="shared" si="0"/>
        <v>0</v>
      </c>
      <c r="J30" s="104">
        <f>+ SUMIF('Doanh thu'!A:A, C30,'Doanh thu'!F:F)</f>
        <v>0</v>
      </c>
      <c r="K30" s="100">
        <f>SUMIF('Xuất kho'!D:D, C30,'Xuất kho'!K:K)</f>
        <v>0</v>
      </c>
      <c r="L30" s="32">
        <f>SUMIF('Xuất kho'!$D$1:$D$2955,C30,'Xuất kho'!$H$1:$H$2955)</f>
        <v>3</v>
      </c>
      <c r="M30" s="30">
        <f>SUMIF('Xuất kho'!$D$8:$D$2955,C30,'Xuất kho'!$I$8:$I$2955)</f>
        <v>0</v>
      </c>
      <c r="N30" s="32">
        <f t="shared" si="5"/>
        <v>3</v>
      </c>
      <c r="O30" s="30">
        <f>SUMIF('Xuất kho'!$D$3:$D$2721,C30,'Xuất kho'!$K$3:$K$2721)</f>
        <v>0</v>
      </c>
      <c r="P30" s="274"/>
    </row>
    <row r="31" spans="1:16" ht="15" customHeight="1">
      <c r="A31" s="372"/>
      <c r="B31" s="109">
        <v>24</v>
      </c>
      <c r="C31" s="33" t="s">
        <v>447</v>
      </c>
      <c r="D31" s="33" t="s">
        <v>448</v>
      </c>
      <c r="E31" s="109" t="s">
        <v>444</v>
      </c>
      <c r="F31" s="287">
        <v>2.2000000000000002</v>
      </c>
      <c r="G31" s="288">
        <f t="shared" si="9"/>
        <v>9810</v>
      </c>
      <c r="H31" s="110">
        <f t="shared" si="10"/>
        <v>23000</v>
      </c>
      <c r="I31" s="280">
        <f t="shared" si="0"/>
        <v>49800</v>
      </c>
      <c r="J31" s="104">
        <f>+ SUMIF('Doanh thu'!A:A, C31,'Doanh thu'!F:F)</f>
        <v>49800</v>
      </c>
      <c r="K31" s="100">
        <f>SUMIF('Xuất kho'!D:D, C31,'Xuất kho'!K:K)</f>
        <v>0</v>
      </c>
      <c r="L31" s="32">
        <f>SUMIF('Xuất kho'!$D$1:$D$2955,C31,'Xuất kho'!$H$1:$H$2955)</f>
        <v>3</v>
      </c>
      <c r="M31" s="30">
        <f>SUMIF('Xuất kho'!$D$8:$D$2955,C31,'Xuất kho'!$I$8:$I$2955)</f>
        <v>0</v>
      </c>
      <c r="N31" s="32">
        <f t="shared" si="5"/>
        <v>3</v>
      </c>
      <c r="O31" s="30">
        <f>SUMIF('Xuất kho'!$D$3:$D$2721,C31,'Xuất kho'!$K$3:$K$2721)</f>
        <v>0</v>
      </c>
      <c r="P31" s="274"/>
    </row>
    <row r="32" spans="1:16" ht="15" customHeight="1">
      <c r="A32" s="372"/>
      <c r="B32" s="109">
        <v>25</v>
      </c>
      <c r="C32" s="33" t="s">
        <v>449</v>
      </c>
      <c r="D32" s="33" t="s">
        <v>450</v>
      </c>
      <c r="E32" s="109" t="s">
        <v>444</v>
      </c>
      <c r="F32" s="287">
        <v>2.2000000000000002</v>
      </c>
      <c r="G32" s="288">
        <f t="shared" si="9"/>
        <v>9810</v>
      </c>
      <c r="H32" s="110">
        <f t="shared" si="10"/>
        <v>23000</v>
      </c>
      <c r="I32" s="280">
        <f t="shared" si="0"/>
        <v>24900</v>
      </c>
      <c r="J32" s="104">
        <f>+ SUMIF('Doanh thu'!A:A, C32,'Doanh thu'!F:F)</f>
        <v>24900</v>
      </c>
      <c r="K32" s="100">
        <f>SUMIF('Xuất kho'!D:D, C32,'Xuất kho'!K:K)</f>
        <v>0</v>
      </c>
      <c r="L32" s="32">
        <f>SUMIF('Xuất kho'!$D$1:$D$2955,C32,'Xuất kho'!$H$1:$H$2955)</f>
        <v>3</v>
      </c>
      <c r="M32" s="30">
        <f>SUMIF('Xuất kho'!$D$8:$D$2955,C32,'Xuất kho'!$I$8:$I$2955)</f>
        <v>0</v>
      </c>
      <c r="N32" s="32">
        <f t="shared" si="5"/>
        <v>3</v>
      </c>
      <c r="O32" s="30">
        <f>SUMIF('Xuất kho'!$D$3:$D$2721,C32,'Xuất kho'!$K$3:$K$2721)</f>
        <v>0</v>
      </c>
      <c r="P32" s="274"/>
    </row>
    <row r="33" spans="1:17" ht="15" customHeight="1">
      <c r="A33" s="372"/>
      <c r="B33" s="109">
        <v>26</v>
      </c>
      <c r="C33" s="33" t="s">
        <v>451</v>
      </c>
      <c r="D33" s="33" t="s">
        <v>452</v>
      </c>
      <c r="E33" s="109" t="s">
        <v>444</v>
      </c>
      <c r="F33" s="287">
        <v>2.2000000000000002</v>
      </c>
      <c r="G33" s="288">
        <f t="shared" si="9"/>
        <v>9810</v>
      </c>
      <c r="H33" s="110">
        <f t="shared" si="10"/>
        <v>23000</v>
      </c>
      <c r="I33" s="280">
        <f t="shared" si="0"/>
        <v>23900</v>
      </c>
      <c r="J33" s="104">
        <f>+ SUMIF('Doanh thu'!A:A, C33,'Doanh thu'!F:F)</f>
        <v>23900</v>
      </c>
      <c r="K33" s="100">
        <f>SUMIF('Xuất kho'!D:D, C33,'Xuất kho'!K:K)</f>
        <v>0</v>
      </c>
      <c r="L33" s="32">
        <f>SUMIF('Xuất kho'!$D$1:$D$2955,C33,'Xuất kho'!$H$1:$H$2955)</f>
        <v>3</v>
      </c>
      <c r="M33" s="30">
        <f>SUMIF('Xuất kho'!$D$8:$D$2955,C33,'Xuất kho'!$I$8:$I$2955)</f>
        <v>0</v>
      </c>
      <c r="N33" s="32">
        <f t="shared" si="5"/>
        <v>3</v>
      </c>
      <c r="O33" s="30">
        <f>SUMIF('Xuất kho'!$D$3:$D$2721,C33,'Xuất kho'!$K$3:$K$2721)</f>
        <v>0</v>
      </c>
      <c r="P33" s="274"/>
    </row>
    <row r="34" spans="1:17" ht="13.2">
      <c r="A34" s="372"/>
      <c r="B34" s="109">
        <v>27</v>
      </c>
      <c r="C34" s="33" t="s">
        <v>453</v>
      </c>
      <c r="D34" s="33" t="s">
        <v>454</v>
      </c>
      <c r="E34" s="109" t="s">
        <v>444</v>
      </c>
      <c r="F34" s="287">
        <v>2.2000000000000002</v>
      </c>
      <c r="G34" s="288">
        <f t="shared" si="9"/>
        <v>9810</v>
      </c>
      <c r="H34" s="110">
        <f t="shared" si="10"/>
        <v>23000</v>
      </c>
      <c r="I34" s="280">
        <f t="shared" si="0"/>
        <v>0</v>
      </c>
      <c r="J34" s="104">
        <f>+ SUMIF('Doanh thu'!A:A, C34,'Doanh thu'!F:F)</f>
        <v>0</v>
      </c>
      <c r="K34" s="100">
        <f>SUMIF('Xuất kho'!D:D, C34,'Xuất kho'!K:K)</f>
        <v>0</v>
      </c>
      <c r="L34" s="32">
        <f>SUMIF('Xuất kho'!$D$1:$D$2955,C34,'Xuất kho'!$H$1:$H$2955)</f>
        <v>3</v>
      </c>
      <c r="M34" s="30">
        <f>SUMIF('Xuất kho'!$D$8:$D$2955,C34,'Xuất kho'!$I$8:$I$2955)</f>
        <v>0</v>
      </c>
      <c r="N34" s="32">
        <f t="shared" si="5"/>
        <v>3</v>
      </c>
      <c r="O34" s="30">
        <f>SUMIF('Xuất kho'!$D$3:$D$2721,C34,'Xuất kho'!$K$3:$K$2721)</f>
        <v>0</v>
      </c>
      <c r="P34" s="274"/>
    </row>
    <row r="35" spans="1:17" ht="13.2">
      <c r="A35" s="372"/>
      <c r="B35" s="109">
        <v>28</v>
      </c>
      <c r="C35" s="33" t="s">
        <v>455</v>
      </c>
      <c r="D35" s="33" t="s">
        <v>456</v>
      </c>
      <c r="E35" s="109" t="s">
        <v>444</v>
      </c>
      <c r="F35" s="287">
        <v>2.8</v>
      </c>
      <c r="G35" s="288">
        <f t="shared" si="9"/>
        <v>11940</v>
      </c>
      <c r="H35" s="110">
        <f t="shared" si="10"/>
        <v>27000</v>
      </c>
      <c r="I35" s="280">
        <f t="shared" si="0"/>
        <v>49940</v>
      </c>
      <c r="J35" s="104">
        <f>+ SUMIF('Doanh thu'!A:A, C35,'Doanh thu'!F:F)</f>
        <v>0</v>
      </c>
      <c r="K35" s="100">
        <f>SUMIF('Xuất kho'!D:D, C35,'Xuất kho'!K:K)</f>
        <v>49940</v>
      </c>
      <c r="L35" s="32">
        <f>SUMIF('Xuất kho'!$D$1:$D$2955,C35,'Xuất kho'!$H$1:$H$2955)</f>
        <v>3</v>
      </c>
      <c r="M35" s="30">
        <f>SUMIF('Xuất kho'!$D$8:$D$2955,C35,'Xuất kho'!$I$8:$I$2955)</f>
        <v>2</v>
      </c>
      <c r="N35" s="32">
        <f t="shared" si="5"/>
        <v>1</v>
      </c>
      <c r="O35" s="30">
        <f>SUMIF('Xuất kho'!$D$3:$D$2721,C35,'Xuất kho'!$K$3:$K$2721)</f>
        <v>49940</v>
      </c>
      <c r="P35" s="274"/>
    </row>
    <row r="36" spans="1:17" ht="13.2">
      <c r="A36" s="372"/>
      <c r="B36" s="109">
        <v>29</v>
      </c>
      <c r="C36" s="33" t="s">
        <v>457</v>
      </c>
      <c r="D36" s="33" t="s">
        <v>458</v>
      </c>
      <c r="E36" s="109" t="s">
        <v>444</v>
      </c>
      <c r="F36" s="287">
        <v>3.7</v>
      </c>
      <c r="G36" s="288">
        <f t="shared" si="9"/>
        <v>15135</v>
      </c>
      <c r="H36" s="110">
        <f t="shared" si="10"/>
        <v>35000</v>
      </c>
      <c r="I36" s="280">
        <f t="shared" si="0"/>
        <v>51635</v>
      </c>
      <c r="J36" s="104">
        <f>+ SUMIF('Doanh thu'!A:A, C36,'Doanh thu'!F:F)</f>
        <v>0</v>
      </c>
      <c r="K36" s="100">
        <f>SUMIF('Xuất kho'!D:D, C36,'Xuất kho'!K:K)</f>
        <v>51635</v>
      </c>
      <c r="L36" s="32">
        <f>SUMIF('Xuất kho'!$D$1:$D$2955,C36,'Xuất kho'!$H$1:$H$2955)</f>
        <v>3</v>
      </c>
      <c r="M36" s="30">
        <f>SUMIF('Xuất kho'!$D$8:$D$2955,C36,'Xuất kho'!$I$8:$I$2955)</f>
        <v>2</v>
      </c>
      <c r="N36" s="32">
        <f t="shared" si="5"/>
        <v>1</v>
      </c>
      <c r="O36" s="30">
        <f>SUMIF('Xuất kho'!$D$3:$D$2721,C36,'Xuất kho'!$K$3:$K$2721)</f>
        <v>51635</v>
      </c>
      <c r="P36" s="274"/>
    </row>
    <row r="37" spans="1:17" ht="13.2">
      <c r="A37" s="372"/>
      <c r="B37" s="109">
        <v>30</v>
      </c>
      <c r="C37" s="33" t="s">
        <v>459</v>
      </c>
      <c r="D37" s="33" t="s">
        <v>460</v>
      </c>
      <c r="E37" s="109" t="s">
        <v>444</v>
      </c>
      <c r="F37" s="287">
        <v>3.8</v>
      </c>
      <c r="G37" s="288">
        <f t="shared" si="9"/>
        <v>15490</v>
      </c>
      <c r="H37" s="110">
        <f t="shared" si="10"/>
        <v>36000</v>
      </c>
      <c r="I37" s="280">
        <f t="shared" si="0"/>
        <v>37500</v>
      </c>
      <c r="J37" s="104">
        <f>+ SUMIF('Doanh thu'!A:A, C37,'Doanh thu'!F:F)</f>
        <v>0</v>
      </c>
      <c r="K37" s="100">
        <f>SUMIF('Xuất kho'!D:D, C37,'Xuất kho'!K:K)</f>
        <v>37500</v>
      </c>
      <c r="L37" s="32">
        <f>SUMIF('Xuất kho'!$D$1:$D$2955,C37,'Xuất kho'!$H$1:$H$2955)</f>
        <v>3</v>
      </c>
      <c r="M37" s="30">
        <f>SUMIF('Xuất kho'!$D$8:$D$2955,C37,'Xuất kho'!$I$8:$I$2955)</f>
        <v>1</v>
      </c>
      <c r="N37" s="32">
        <f t="shared" si="5"/>
        <v>2</v>
      </c>
      <c r="O37" s="30">
        <f>SUMIF('Xuất kho'!$D$3:$D$2721,C37,'Xuất kho'!$K$3:$K$2721)</f>
        <v>37500</v>
      </c>
      <c r="P37" s="274"/>
    </row>
    <row r="38" spans="1:17" ht="13.2">
      <c r="A38" s="372"/>
      <c r="B38" s="109">
        <v>31</v>
      </c>
      <c r="C38" s="33" t="s">
        <v>461</v>
      </c>
      <c r="D38" s="33" t="s">
        <v>462</v>
      </c>
      <c r="E38" s="109" t="s">
        <v>444</v>
      </c>
      <c r="F38" s="287">
        <v>2.2999999999999998</v>
      </c>
      <c r="G38" s="288">
        <f t="shared" si="9"/>
        <v>10165</v>
      </c>
      <c r="H38" s="110">
        <f t="shared" si="10"/>
        <v>23000</v>
      </c>
      <c r="I38" s="280">
        <f t="shared" si="0"/>
        <v>0</v>
      </c>
      <c r="J38" s="104">
        <f>+ SUMIF('Doanh thu'!A:A, C38,'Doanh thu'!F:F)</f>
        <v>0</v>
      </c>
      <c r="K38" s="100">
        <f>SUMIF('Xuất kho'!D:D, C38,'Xuất kho'!K:K)</f>
        <v>0</v>
      </c>
      <c r="L38" s="32">
        <f>SUMIF('Xuất kho'!$D$1:$D$2955,C38,'Xuất kho'!$H$1:$H$2955)</f>
        <v>3</v>
      </c>
      <c r="M38" s="30">
        <f>SUMIF('Xuất kho'!$D$8:$D$2955,C38,'Xuất kho'!$I$8:$I$2955)</f>
        <v>0</v>
      </c>
      <c r="N38" s="32">
        <f t="shared" si="5"/>
        <v>3</v>
      </c>
      <c r="O38" s="30">
        <f>SUMIF('Xuất kho'!$D$3:$D$2721,C38,'Xuất kho'!$K$3:$K$2721)</f>
        <v>0</v>
      </c>
      <c r="P38" s="274"/>
    </row>
    <row r="39" spans="1:17" ht="13.2">
      <c r="A39" s="372"/>
      <c r="B39" s="109">
        <v>32</v>
      </c>
      <c r="C39" s="33" t="s">
        <v>463</v>
      </c>
      <c r="D39" s="33" t="s">
        <v>464</v>
      </c>
      <c r="E39" s="109" t="s">
        <v>444</v>
      </c>
      <c r="F39" s="287">
        <v>2.2999999999999998</v>
      </c>
      <c r="G39" s="288">
        <f t="shared" si="9"/>
        <v>10165</v>
      </c>
      <c r="H39" s="110">
        <f t="shared" si="10"/>
        <v>23000</v>
      </c>
      <c r="I39" s="280">
        <f t="shared" si="0"/>
        <v>22900</v>
      </c>
      <c r="J39" s="104">
        <f>+ SUMIF('Doanh thu'!A:A, C39,'Doanh thu'!F:F)</f>
        <v>22900</v>
      </c>
      <c r="K39" s="100">
        <f>SUMIF('Xuất kho'!D:D, C39,'Xuất kho'!K:K)</f>
        <v>0</v>
      </c>
      <c r="L39" s="32">
        <f>SUMIF('Xuất kho'!$D$1:$D$2955,C39,'Xuất kho'!$H$1:$H$2955)</f>
        <v>3</v>
      </c>
      <c r="M39" s="30">
        <f>SUMIF('Xuất kho'!$D$8:$D$2955,C39,'Xuất kho'!$I$8:$I$2955)</f>
        <v>0</v>
      </c>
      <c r="N39" s="32">
        <f t="shared" si="5"/>
        <v>3</v>
      </c>
      <c r="O39" s="30">
        <f>SUMIF('Xuất kho'!$D$3:$D$2721,C39,'Xuất kho'!$K$3:$K$2721)</f>
        <v>0</v>
      </c>
      <c r="P39" s="274"/>
    </row>
    <row r="40" spans="1:17" ht="13.2">
      <c r="A40" s="372"/>
      <c r="B40" s="109">
        <v>33</v>
      </c>
      <c r="C40" s="33" t="s">
        <v>465</v>
      </c>
      <c r="D40" s="33" t="s">
        <v>466</v>
      </c>
      <c r="E40" s="109" t="s">
        <v>444</v>
      </c>
      <c r="F40" s="287">
        <v>1.2</v>
      </c>
      <c r="G40" s="288">
        <f t="shared" si="9"/>
        <v>6260</v>
      </c>
      <c r="H40" s="110">
        <f t="shared" si="10"/>
        <v>14000</v>
      </c>
      <c r="I40" s="280">
        <f t="shared" si="0"/>
        <v>26500</v>
      </c>
      <c r="J40" s="104">
        <f>+ SUMIF('Doanh thu'!A:A, C40,'Doanh thu'!F:F)</f>
        <v>26500</v>
      </c>
      <c r="K40" s="100">
        <f>SUMIF('Xuất kho'!D:D, C40,'Xuất kho'!K:K)</f>
        <v>0</v>
      </c>
      <c r="L40" s="32">
        <f>SUMIF('Xuất kho'!$D$1:$D$2955,C40,'Xuất kho'!$H$1:$H$2955)</f>
        <v>3</v>
      </c>
      <c r="M40" s="30">
        <f>SUMIF('Xuất kho'!$D$8:$D$2955,C40,'Xuất kho'!$I$8:$I$2955)</f>
        <v>0</v>
      </c>
      <c r="N40" s="32">
        <f t="shared" si="5"/>
        <v>3</v>
      </c>
      <c r="O40" s="30">
        <f>SUMIF('Xuất kho'!$D$3:$D$2721,C40,'Xuất kho'!$K$3:$K$2721)</f>
        <v>0</v>
      </c>
      <c r="P40" s="274"/>
    </row>
    <row r="41" spans="1:17" ht="13.2">
      <c r="A41" s="372"/>
      <c r="B41" s="109">
        <v>34</v>
      </c>
      <c r="C41" s="33" t="s">
        <v>467</v>
      </c>
      <c r="D41" s="33" t="s">
        <v>468</v>
      </c>
      <c r="E41" s="109" t="s">
        <v>444</v>
      </c>
      <c r="F41" s="287">
        <v>1.2</v>
      </c>
      <c r="G41" s="288">
        <f t="shared" si="9"/>
        <v>6260</v>
      </c>
      <c r="H41" s="110">
        <f t="shared" si="10"/>
        <v>14000</v>
      </c>
      <c r="I41" s="280">
        <f t="shared" si="0"/>
        <v>25000</v>
      </c>
      <c r="J41" s="104">
        <f>+ SUMIF('Doanh thu'!A:A, C41,'Doanh thu'!F:F)</f>
        <v>25000</v>
      </c>
      <c r="K41" s="100">
        <f>SUMIF('Xuất kho'!D:D, C41,'Xuất kho'!K:K)</f>
        <v>0</v>
      </c>
      <c r="L41" s="32">
        <f>SUMIF('Xuất kho'!$D$1:$D$2955,C41,'Xuất kho'!$H$1:$H$2955)</f>
        <v>3</v>
      </c>
      <c r="M41" s="30">
        <f>SUMIF('Xuất kho'!$D$8:$D$2955,C41,'Xuất kho'!$I$8:$I$2955)</f>
        <v>0</v>
      </c>
      <c r="N41" s="32">
        <f t="shared" si="5"/>
        <v>3</v>
      </c>
      <c r="O41" s="30">
        <f>SUMIF('Xuất kho'!$D$3:$D$2721,C41,'Xuất kho'!$K$3:$K$2721)</f>
        <v>0</v>
      </c>
      <c r="P41" s="274"/>
    </row>
    <row r="42" spans="1:17" ht="13.2">
      <c r="A42" s="373"/>
      <c r="B42" s="109">
        <v>35</v>
      </c>
      <c r="C42" s="33" t="s">
        <v>469</v>
      </c>
      <c r="D42" s="33" t="s">
        <v>470</v>
      </c>
      <c r="E42" s="109" t="s">
        <v>444</v>
      </c>
      <c r="F42" s="287">
        <v>3.5</v>
      </c>
      <c r="G42" s="288">
        <f t="shared" si="9"/>
        <v>14425</v>
      </c>
      <c r="H42" s="110">
        <f t="shared" si="10"/>
        <v>33000</v>
      </c>
      <c r="I42" s="280">
        <f t="shared" si="0"/>
        <v>69800</v>
      </c>
      <c r="J42" s="104">
        <f>+ SUMIF('Doanh thu'!A:A, C42,'Doanh thu'!F:F)</f>
        <v>34900</v>
      </c>
      <c r="K42" s="100">
        <f>SUMIF('Xuất kho'!D:D, C42,'Xuất kho'!K:K)</f>
        <v>34900</v>
      </c>
      <c r="L42" s="32">
        <f>SUMIF('Xuất kho'!$D$1:$D$2955,C42,'Xuất kho'!$H$1:$H$2955)</f>
        <v>3</v>
      </c>
      <c r="M42" s="30">
        <f>SUMIF('Xuất kho'!$D$8:$D$2955,C42,'Xuất kho'!$I$8:$I$2955)</f>
        <v>1</v>
      </c>
      <c r="N42" s="32">
        <f t="shared" si="5"/>
        <v>2</v>
      </c>
      <c r="O42" s="30">
        <f>SUMIF('Xuất kho'!$D$3:$D$2721,C42,'Xuất kho'!$K$3:$K$2721)</f>
        <v>34900</v>
      </c>
      <c r="P42" s="274"/>
    </row>
    <row r="43" spans="1:17" ht="13.2">
      <c r="A43" s="390" t="s">
        <v>471</v>
      </c>
      <c r="B43" s="111">
        <v>36</v>
      </c>
      <c r="C43" s="112" t="s">
        <v>472</v>
      </c>
      <c r="D43" s="112" t="s">
        <v>473</v>
      </c>
      <c r="E43" s="111" t="s">
        <v>444</v>
      </c>
      <c r="F43" s="289">
        <v>1.4</v>
      </c>
      <c r="G43" s="290">
        <f t="shared" ref="G43:G47" si="11">F43*3550+5000</f>
        <v>9970</v>
      </c>
      <c r="H43" s="113">
        <f>ROUND(G43*2.1,-3)</f>
        <v>21000</v>
      </c>
      <c r="I43" s="280">
        <f t="shared" si="0"/>
        <v>18475</v>
      </c>
      <c r="J43" s="104">
        <f>+ SUMIF('Doanh thu'!A:A, C43,'Doanh thu'!F:F)</f>
        <v>0</v>
      </c>
      <c r="K43" s="100">
        <f>SUMIF('Xuất kho'!D:D, C43,'Xuất kho'!K:K)</f>
        <v>18475</v>
      </c>
      <c r="L43" s="291">
        <f>SUMIF('Xuất kho'!$D$1:$D$2955,C43,'Xuất kho'!$H$1:$H$2955)</f>
        <v>4</v>
      </c>
      <c r="M43" s="30">
        <f>SUMIF('Xuất kho'!$D$8:$D$2955,C43,'Xuất kho'!$I$8:$I$2955)</f>
        <v>1</v>
      </c>
      <c r="N43" s="291">
        <f t="shared" si="5"/>
        <v>3</v>
      </c>
      <c r="O43" s="30">
        <f>SUMIF('Xuất kho'!$D$3:$D$2721,C43,'Xuất kho'!$K$3:$K$2721)</f>
        <v>18475</v>
      </c>
      <c r="P43" s="274"/>
      <c r="Q43" s="215">
        <f>SUM(P43:P68)</f>
        <v>0</v>
      </c>
    </row>
    <row r="44" spans="1:17" ht="13.2">
      <c r="A44" s="372"/>
      <c r="B44" s="111">
        <v>37</v>
      </c>
      <c r="C44" s="112" t="s">
        <v>474</v>
      </c>
      <c r="D44" s="112" t="s">
        <v>475</v>
      </c>
      <c r="E44" s="111" t="s">
        <v>444</v>
      </c>
      <c r="F44" s="289">
        <v>2.1</v>
      </c>
      <c r="G44" s="290">
        <f t="shared" si="11"/>
        <v>12455</v>
      </c>
      <c r="H44" s="113">
        <f t="shared" ref="H44:H47" si="12">ROUND(G44*2.3,-3)</f>
        <v>29000</v>
      </c>
      <c r="I44" s="280">
        <f t="shared" si="0"/>
        <v>31750</v>
      </c>
      <c r="J44" s="104">
        <f>+ SUMIF('Doanh thu'!A:A, C44,'Doanh thu'!F:F)</f>
        <v>0</v>
      </c>
      <c r="K44" s="100">
        <f>SUMIF('Xuất kho'!D:D, C44,'Xuất kho'!K:K)</f>
        <v>31750</v>
      </c>
      <c r="L44" s="291">
        <f>SUMIF('Xuất kho'!$D$1:$D$2955,C44,'Xuất kho'!$H$1:$H$2955)</f>
        <v>4</v>
      </c>
      <c r="M44" s="30">
        <f>SUMIF('Xuất kho'!$D$8:$D$2955,C44,'Xuất kho'!$I$8:$I$2955)</f>
        <v>2</v>
      </c>
      <c r="N44" s="291">
        <f t="shared" si="5"/>
        <v>2</v>
      </c>
      <c r="O44" s="30">
        <f>SUMIF('Xuất kho'!$D$3:$D$2721,C44,'Xuất kho'!$K$3:$K$2721)</f>
        <v>31750</v>
      </c>
      <c r="P44" s="274"/>
    </row>
    <row r="45" spans="1:17" ht="13.2">
      <c r="A45" s="372"/>
      <c r="B45" s="111">
        <v>38</v>
      </c>
      <c r="C45" s="112" t="s">
        <v>476</v>
      </c>
      <c r="D45" s="112" t="s">
        <v>477</v>
      </c>
      <c r="E45" s="111" t="s">
        <v>444</v>
      </c>
      <c r="F45" s="289">
        <v>2</v>
      </c>
      <c r="G45" s="290">
        <f t="shared" si="11"/>
        <v>12100</v>
      </c>
      <c r="H45" s="113">
        <f t="shared" si="12"/>
        <v>28000</v>
      </c>
      <c r="I45" s="280">
        <f t="shared" si="0"/>
        <v>30700</v>
      </c>
      <c r="J45" s="104">
        <f>+ SUMIF('Doanh thu'!A:A, C45,'Doanh thu'!F:F)</f>
        <v>0</v>
      </c>
      <c r="K45" s="100">
        <f>SUMIF('Xuất kho'!D:D, C45,'Xuất kho'!K:K)</f>
        <v>30700</v>
      </c>
      <c r="L45" s="291">
        <f>SUMIF('Xuất kho'!$D$1:$D$2955,C45,'Xuất kho'!$H$1:$H$2955)</f>
        <v>4</v>
      </c>
      <c r="M45" s="30">
        <f>SUMIF('Xuất kho'!$D$8:$D$2955,C45,'Xuất kho'!$I$8:$I$2955)</f>
        <v>2</v>
      </c>
      <c r="N45" s="291">
        <f t="shared" si="5"/>
        <v>2</v>
      </c>
      <c r="O45" s="30">
        <f>SUMIF('Xuất kho'!$D$3:$D$2721,C45,'Xuất kho'!$K$3:$K$2721)</f>
        <v>30700</v>
      </c>
      <c r="P45" s="274"/>
    </row>
    <row r="46" spans="1:17" ht="13.2">
      <c r="A46" s="372"/>
      <c r="B46" s="111">
        <v>39</v>
      </c>
      <c r="C46" s="112" t="s">
        <v>478</v>
      </c>
      <c r="D46" s="112" t="s">
        <v>479</v>
      </c>
      <c r="E46" s="111" t="s">
        <v>444</v>
      </c>
      <c r="F46" s="289">
        <v>2.2999999999999998</v>
      </c>
      <c r="G46" s="290">
        <f t="shared" si="11"/>
        <v>13165</v>
      </c>
      <c r="H46" s="113">
        <f t="shared" si="12"/>
        <v>30000</v>
      </c>
      <c r="I46" s="280">
        <f t="shared" si="0"/>
        <v>13750</v>
      </c>
      <c r="J46" s="104">
        <f>+ SUMIF('Doanh thu'!A:A, C46,'Doanh thu'!F:F)</f>
        <v>0</v>
      </c>
      <c r="K46" s="100">
        <f>SUMIF('Xuất kho'!D:D, C46,'Xuất kho'!K:K)</f>
        <v>13750</v>
      </c>
      <c r="L46" s="291">
        <f>SUMIF('Xuất kho'!$D$1:$D$2955,C46,'Xuất kho'!$H$1:$H$2955)</f>
        <v>4</v>
      </c>
      <c r="M46" s="30">
        <f>SUMIF('Xuất kho'!$D$8:$D$2955,C46,'Xuất kho'!$I$8:$I$2955)</f>
        <v>1</v>
      </c>
      <c r="N46" s="291">
        <f t="shared" si="5"/>
        <v>3</v>
      </c>
      <c r="O46" s="30">
        <f>SUMIF('Xuất kho'!$D$3:$D$2721,C46,'Xuất kho'!$K$3:$K$2721)</f>
        <v>13750</v>
      </c>
      <c r="P46" s="274"/>
    </row>
    <row r="47" spans="1:17" ht="13.2">
      <c r="A47" s="372"/>
      <c r="B47" s="111">
        <v>40</v>
      </c>
      <c r="C47" s="112" t="s">
        <v>480</v>
      </c>
      <c r="D47" s="112" t="s">
        <v>481</v>
      </c>
      <c r="E47" s="111" t="s">
        <v>444</v>
      </c>
      <c r="F47" s="289">
        <v>1.4</v>
      </c>
      <c r="G47" s="290">
        <f t="shared" si="11"/>
        <v>9970</v>
      </c>
      <c r="H47" s="113">
        <f t="shared" si="12"/>
        <v>23000</v>
      </c>
      <c r="I47" s="280">
        <f t="shared" si="0"/>
        <v>42491</v>
      </c>
      <c r="J47" s="104">
        <f>+ SUMIF('Doanh thu'!A:A, C47,'Doanh thu'!F:F)</f>
        <v>0</v>
      </c>
      <c r="K47" s="100">
        <f>SUMIF('Xuất kho'!D:D, C47,'Xuất kho'!K:K)</f>
        <v>42491</v>
      </c>
      <c r="L47" s="291">
        <f>SUMIF('Xuất kho'!$D$1:$D$2955,C47,'Xuất kho'!$H$1:$H$2955)</f>
        <v>4</v>
      </c>
      <c r="M47" s="30">
        <f>SUMIF('Xuất kho'!$D$8:$D$2955,C47,'Xuất kho'!$I$8:$I$2955)</f>
        <v>3</v>
      </c>
      <c r="N47" s="291">
        <f t="shared" si="5"/>
        <v>1</v>
      </c>
      <c r="O47" s="30">
        <f>SUMIF('Xuất kho'!$D$3:$D$2721,C47,'Xuất kho'!$K$3:$K$2721)</f>
        <v>42491</v>
      </c>
      <c r="P47" s="274"/>
    </row>
    <row r="48" spans="1:17" ht="13.2">
      <c r="A48" s="372"/>
      <c r="B48" s="111">
        <v>41</v>
      </c>
      <c r="C48" s="112" t="s">
        <v>482</v>
      </c>
      <c r="D48" s="112" t="s">
        <v>483</v>
      </c>
      <c r="E48" s="111" t="s">
        <v>484</v>
      </c>
      <c r="F48" s="289">
        <v>4.59</v>
      </c>
      <c r="G48" s="290">
        <f t="shared" ref="G48:G50" si="13">F48*3510+500</f>
        <v>16610.900000000001</v>
      </c>
      <c r="H48" s="113">
        <f t="shared" ref="H48:H50" si="14">G48*2</f>
        <v>33221.800000000003</v>
      </c>
      <c r="I48" s="280">
        <f t="shared" si="0"/>
        <v>28000</v>
      </c>
      <c r="J48" s="104">
        <f>+ SUMIF('Doanh thu'!A:A, C48,'Doanh thu'!F:F)</f>
        <v>0</v>
      </c>
      <c r="K48" s="100">
        <f>SUMIF('Xuất kho'!D:D, C48,'Xuất kho'!K:K)</f>
        <v>28000</v>
      </c>
      <c r="L48" s="291">
        <f>SUMIF('Xuất kho'!$D$1:$D$2955,C48,'Xuất kho'!$H$1:$H$2955)</f>
        <v>3</v>
      </c>
      <c r="M48" s="30">
        <f>SUMIF('Xuất kho'!$D$8:$D$2955,C48,'Xuất kho'!$I$8:$I$2955)</f>
        <v>1</v>
      </c>
      <c r="N48" s="291">
        <f t="shared" si="5"/>
        <v>2</v>
      </c>
      <c r="O48" s="30">
        <f>SUMIF('Xuất kho'!$D$3:$D$2721,C48,'Xuất kho'!$K$3:$K$2721)</f>
        <v>28000</v>
      </c>
      <c r="P48" s="274"/>
    </row>
    <row r="49" spans="1:16" ht="13.2">
      <c r="A49" s="372"/>
      <c r="B49" s="111">
        <v>42</v>
      </c>
      <c r="C49" s="112" t="s">
        <v>485</v>
      </c>
      <c r="D49" s="112" t="s">
        <v>486</v>
      </c>
      <c r="E49" s="111" t="s">
        <v>484</v>
      </c>
      <c r="F49" s="289">
        <v>4.42</v>
      </c>
      <c r="G49" s="290">
        <f t="shared" si="13"/>
        <v>16014.199999999999</v>
      </c>
      <c r="H49" s="113">
        <f t="shared" si="14"/>
        <v>32028.399999999998</v>
      </c>
      <c r="I49" s="280">
        <f t="shared" si="0"/>
        <v>237852</v>
      </c>
      <c r="J49" s="104">
        <f>+ SUMIF('Doanh thu'!A:A, C49,'Doanh thu'!F:F)</f>
        <v>182160</v>
      </c>
      <c r="K49" s="100">
        <f>SUMIF('Xuất kho'!D:D, C49,'Xuất kho'!K:K)</f>
        <v>55692</v>
      </c>
      <c r="L49" s="291">
        <f>SUMIF('Xuất kho'!$D$1:$D$2955,C49,'Xuất kho'!$H$1:$H$2955)</f>
        <v>10</v>
      </c>
      <c r="M49" s="30">
        <f>SUMIF('Xuất kho'!$D$8:$D$2955,C49,'Xuất kho'!$I$8:$I$2955)</f>
        <v>2</v>
      </c>
      <c r="N49" s="291">
        <f t="shared" si="5"/>
        <v>8</v>
      </c>
      <c r="O49" s="30">
        <f>SUMIF('Xuất kho'!$D$3:$D$2721,C49,'Xuất kho'!$K$3:$K$2721)</f>
        <v>55692</v>
      </c>
      <c r="P49" s="274"/>
    </row>
    <row r="50" spans="1:16" ht="13.2">
      <c r="A50" s="372"/>
      <c r="B50" s="111">
        <v>43</v>
      </c>
      <c r="C50" s="112" t="s">
        <v>487</v>
      </c>
      <c r="D50" s="112" t="s">
        <v>488</v>
      </c>
      <c r="E50" s="111" t="s">
        <v>484</v>
      </c>
      <c r="F50" s="289">
        <v>4.84</v>
      </c>
      <c r="G50" s="290">
        <f t="shared" si="13"/>
        <v>17488.399999999998</v>
      </c>
      <c r="H50" s="113">
        <f t="shared" si="14"/>
        <v>34976.799999999996</v>
      </c>
      <c r="I50" s="280">
        <f t="shared" si="0"/>
        <v>129400</v>
      </c>
      <c r="J50" s="104">
        <f>+ SUMIF('Doanh thu'!A:A, C50,'Doanh thu'!F:F)</f>
        <v>64400</v>
      </c>
      <c r="K50" s="100">
        <f>SUMIF('Xuất kho'!D:D, C50,'Xuất kho'!K:K)</f>
        <v>65000</v>
      </c>
      <c r="L50" s="291">
        <f>SUMIF('Xuất kho'!$D$1:$D$2955,C50,'Xuất kho'!$H$1:$H$2955)</f>
        <v>10</v>
      </c>
      <c r="M50" s="30">
        <f>SUMIF('Xuất kho'!$D$8:$D$2955,C50,'Xuất kho'!$I$8:$I$2955)</f>
        <v>2</v>
      </c>
      <c r="N50" s="291">
        <f t="shared" si="5"/>
        <v>8</v>
      </c>
      <c r="O50" s="30">
        <f>SUMIF('Xuất kho'!$D$3:$D$2721,C50,'Xuất kho'!$K$3:$K$2721)</f>
        <v>65000</v>
      </c>
      <c r="P50" s="274"/>
    </row>
    <row r="51" spans="1:16" ht="13.2">
      <c r="A51" s="372"/>
      <c r="B51" s="111">
        <v>44</v>
      </c>
      <c r="C51" s="112" t="s">
        <v>489</v>
      </c>
      <c r="D51" s="112" t="s">
        <v>490</v>
      </c>
      <c r="E51" s="111" t="s">
        <v>484</v>
      </c>
      <c r="F51" s="289">
        <v>1.1000000000000001</v>
      </c>
      <c r="G51" s="292">
        <v>11040</v>
      </c>
      <c r="H51" s="113">
        <v>11040</v>
      </c>
      <c r="I51" s="280">
        <f t="shared" si="0"/>
        <v>97302.333333333328</v>
      </c>
      <c r="J51" s="104">
        <f>+ SUMIF('Doanh thu'!A:A, C51,'Doanh thu'!F:F)</f>
        <v>66240</v>
      </c>
      <c r="K51" s="100">
        <f>SUMIF('Xuất kho'!D:D, C51,'Xuất kho'!K:K)</f>
        <v>31062.333333333332</v>
      </c>
      <c r="L51" s="291">
        <f>SUMIF('Xuất kho'!$D$1:$D$2955,C51,'Xuất kho'!$H$1:$H$2955)</f>
        <v>10</v>
      </c>
      <c r="M51" s="30">
        <f>SUMIF('Xuất kho'!$D$8:$D$2955,C51,'Xuất kho'!$I$8:$I$2955)</f>
        <v>2</v>
      </c>
      <c r="N51" s="291">
        <f t="shared" si="5"/>
        <v>8</v>
      </c>
      <c r="O51" s="30">
        <f>SUMIF('Xuất kho'!$D$3:$D$2721,C51,'Xuất kho'!$K$3:$K$2721)</f>
        <v>31062.333333333332</v>
      </c>
      <c r="P51" s="274"/>
    </row>
    <row r="52" spans="1:16" ht="13.2">
      <c r="A52" s="372"/>
      <c r="B52" s="111">
        <v>45</v>
      </c>
      <c r="C52" s="112" t="s">
        <v>491</v>
      </c>
      <c r="D52" s="112" t="s">
        <v>492</v>
      </c>
      <c r="E52" s="111" t="s">
        <v>484</v>
      </c>
      <c r="F52" s="289">
        <v>2.89</v>
      </c>
      <c r="G52" s="290">
        <f t="shared" ref="G52:G55" si="15">F52*3510+500</f>
        <v>10643.9</v>
      </c>
      <c r="H52" s="113">
        <f t="shared" ref="H52:H55" si="16">G52*2</f>
        <v>21287.8</v>
      </c>
      <c r="I52" s="280">
        <f t="shared" si="0"/>
        <v>12000</v>
      </c>
      <c r="J52" s="104">
        <f>+ SUMIF('Doanh thu'!A:A, C52,'Doanh thu'!F:F)</f>
        <v>0</v>
      </c>
      <c r="K52" s="100">
        <f>SUMIF('Xuất kho'!D:D, C52,'Xuất kho'!K:K)</f>
        <v>12000</v>
      </c>
      <c r="L52" s="291">
        <f>SUMIF('Xuất kho'!$D$1:$D$2955,C52,'Xuất kho'!$H$1:$H$2955)</f>
        <v>3</v>
      </c>
      <c r="M52" s="30">
        <f>SUMIF('Xuất kho'!$D$8:$D$2955,C52,'Xuất kho'!$I$8:$I$2955)</f>
        <v>1</v>
      </c>
      <c r="N52" s="291">
        <f t="shared" si="5"/>
        <v>2</v>
      </c>
      <c r="O52" s="30">
        <f>SUMIF('Xuất kho'!$D$3:$D$2721,C52,'Xuất kho'!$K$3:$K$2721)</f>
        <v>12000</v>
      </c>
      <c r="P52" s="274"/>
    </row>
    <row r="53" spans="1:16" ht="13.2">
      <c r="A53" s="372"/>
      <c r="B53" s="111">
        <v>46</v>
      </c>
      <c r="C53" s="112" t="s">
        <v>493</v>
      </c>
      <c r="D53" s="112" t="s">
        <v>494</v>
      </c>
      <c r="E53" s="111" t="s">
        <v>484</v>
      </c>
      <c r="F53" s="289">
        <v>1.63</v>
      </c>
      <c r="G53" s="290">
        <f t="shared" si="15"/>
        <v>6221.2999999999993</v>
      </c>
      <c r="H53" s="113">
        <f t="shared" si="16"/>
        <v>12442.599999999999</v>
      </c>
      <c r="I53" s="280">
        <f t="shared" si="0"/>
        <v>95842.6</v>
      </c>
      <c r="J53" s="104">
        <f>+ SUMIF('Doanh thu'!A:A, C53,'Doanh thu'!F:F)</f>
        <v>38202.6</v>
      </c>
      <c r="K53" s="100">
        <f>SUMIF('Xuất kho'!D:D, C53,'Xuất kho'!K:K)</f>
        <v>57640</v>
      </c>
      <c r="L53" s="291">
        <f>SUMIF('Xuất kho'!$D$1:$D$2955,C53,'Xuất kho'!$H$1:$H$2955)</f>
        <v>15</v>
      </c>
      <c r="M53" s="30">
        <f>SUMIF('Xuất kho'!$D$8:$D$2955,C53,'Xuất kho'!$I$8:$I$2955)</f>
        <v>4</v>
      </c>
      <c r="N53" s="291">
        <f t="shared" si="5"/>
        <v>11</v>
      </c>
      <c r="O53" s="30">
        <f>SUMIF('Xuất kho'!$D$3:$D$2721,C53,'Xuất kho'!$K$3:$K$2721)</f>
        <v>57640</v>
      </c>
      <c r="P53" s="274"/>
    </row>
    <row r="54" spans="1:16" ht="13.2">
      <c r="A54" s="372"/>
      <c r="B54" s="111">
        <v>47</v>
      </c>
      <c r="C54" s="112" t="s">
        <v>495</v>
      </c>
      <c r="D54" s="112" t="s">
        <v>496</v>
      </c>
      <c r="E54" s="111" t="s">
        <v>484</v>
      </c>
      <c r="F54" s="289">
        <v>3.23</v>
      </c>
      <c r="G54" s="290">
        <f t="shared" si="15"/>
        <v>11837.3</v>
      </c>
      <c r="H54" s="113">
        <f t="shared" si="16"/>
        <v>23674.6</v>
      </c>
      <c r="I54" s="280">
        <f t="shared" si="0"/>
        <v>127160</v>
      </c>
      <c r="J54" s="104">
        <f>+ SUMIF('Doanh thu'!A:A, C54,'Doanh thu'!F:F)</f>
        <v>44160</v>
      </c>
      <c r="K54" s="100">
        <f>SUMIF('Xuất kho'!D:D, C54,'Xuất kho'!K:K)</f>
        <v>83000</v>
      </c>
      <c r="L54" s="291">
        <f>SUMIF('Xuất kho'!$D$1:$D$2955,C54,'Xuất kho'!$H$1:$H$2955)</f>
        <v>15</v>
      </c>
      <c r="M54" s="30">
        <f>SUMIF('Xuất kho'!$D$8:$D$2955,C54,'Xuất kho'!$I$8:$I$2955)</f>
        <v>4</v>
      </c>
      <c r="N54" s="291">
        <f t="shared" si="5"/>
        <v>11</v>
      </c>
      <c r="O54" s="30">
        <f>SUMIF('Xuất kho'!$D$3:$D$2721,C54,'Xuất kho'!$K$3:$K$2721)</f>
        <v>83000</v>
      </c>
      <c r="P54" s="274"/>
    </row>
    <row r="55" spans="1:16" ht="13.2">
      <c r="A55" s="372"/>
      <c r="B55" s="111">
        <v>48</v>
      </c>
      <c r="C55" s="112" t="s">
        <v>497</v>
      </c>
      <c r="D55" s="112" t="s">
        <v>498</v>
      </c>
      <c r="E55" s="111" t="s">
        <v>484</v>
      </c>
      <c r="F55" s="289">
        <v>8.16</v>
      </c>
      <c r="G55" s="290">
        <f t="shared" si="15"/>
        <v>29141.600000000002</v>
      </c>
      <c r="H55" s="113">
        <f t="shared" si="16"/>
        <v>58283.200000000004</v>
      </c>
      <c r="I55" s="280">
        <f t="shared" si="0"/>
        <v>200440</v>
      </c>
      <c r="J55" s="104">
        <f>+ SUMIF('Doanh thu'!A:A, C55,'Doanh thu'!F:F)</f>
        <v>52440</v>
      </c>
      <c r="K55" s="100">
        <f>SUMIF('Xuất kho'!D:D, C55,'Xuất kho'!K:K)</f>
        <v>148000</v>
      </c>
      <c r="L55" s="291">
        <f>SUMIF('Xuất kho'!$D$1:$D$2955,C55,'Xuất kho'!$H$1:$H$2955)</f>
        <v>7</v>
      </c>
      <c r="M55" s="30">
        <f>SUMIF('Xuất kho'!$D$8:$D$2955,C55,'Xuất kho'!$I$8:$I$2955)</f>
        <v>3</v>
      </c>
      <c r="N55" s="291">
        <f t="shared" si="5"/>
        <v>4</v>
      </c>
      <c r="O55" s="30">
        <f>SUMIF('Xuất kho'!$D$3:$D$2721,C55,'Xuất kho'!$K$3:$K$2721)</f>
        <v>148000</v>
      </c>
      <c r="P55" s="274"/>
    </row>
    <row r="56" spans="1:16" ht="13.2">
      <c r="A56" s="372"/>
      <c r="B56" s="111">
        <v>49</v>
      </c>
      <c r="C56" s="112" t="s">
        <v>499</v>
      </c>
      <c r="D56" s="112" t="s">
        <v>500</v>
      </c>
      <c r="E56" s="111" t="s">
        <v>484</v>
      </c>
      <c r="F56" s="289">
        <v>4.25</v>
      </c>
      <c r="G56" s="292">
        <v>28520</v>
      </c>
      <c r="H56" s="113">
        <v>28520</v>
      </c>
      <c r="I56" s="280">
        <f t="shared" si="0"/>
        <v>255564</v>
      </c>
      <c r="J56" s="104">
        <f>+ SUMIF('Doanh thu'!A:A, C56,'Doanh thu'!F:F)</f>
        <v>171120</v>
      </c>
      <c r="K56" s="100">
        <f>SUMIF('Xuất kho'!D:D, C56,'Xuất kho'!K:K)</f>
        <v>84444</v>
      </c>
      <c r="L56" s="291">
        <f>SUMIF('Xuất kho'!$D$1:$D$2955,C56,'Xuất kho'!$H$1:$H$2955)</f>
        <v>15</v>
      </c>
      <c r="M56" s="30">
        <f>SUMIF('Xuất kho'!$D$8:$D$2955,C56,'Xuất kho'!$I$8:$I$2955)</f>
        <v>3</v>
      </c>
      <c r="N56" s="291">
        <f t="shared" si="5"/>
        <v>12</v>
      </c>
      <c r="O56" s="30">
        <f>SUMIF('Xuất kho'!$D$3:$D$2721,C56,'Xuất kho'!$K$3:$K$2721)</f>
        <v>84444</v>
      </c>
      <c r="P56" s="274"/>
    </row>
    <row r="57" spans="1:16" ht="13.2">
      <c r="A57" s="372"/>
      <c r="B57" s="111">
        <v>50</v>
      </c>
      <c r="C57" s="112" t="s">
        <v>501</v>
      </c>
      <c r="D57" s="112" t="s">
        <v>502</v>
      </c>
      <c r="E57" s="111" t="s">
        <v>484</v>
      </c>
      <c r="F57" s="289">
        <v>1.1000000000000001</v>
      </c>
      <c r="G57" s="290">
        <f t="shared" ref="G57:G71" si="17">F57*3510+500</f>
        <v>4361</v>
      </c>
      <c r="H57" s="113">
        <f t="shared" ref="H57:H71" si="18">G57*2</f>
        <v>8722</v>
      </c>
      <c r="I57" s="280">
        <f t="shared" si="0"/>
        <v>30422</v>
      </c>
      <c r="J57" s="104">
        <f>+ SUMIF('Doanh thu'!A:A, C57,'Doanh thu'!F:F)</f>
        <v>19762</v>
      </c>
      <c r="K57" s="100">
        <f>SUMIF('Xuất kho'!D:D, C57,'Xuất kho'!K:K)</f>
        <v>10660</v>
      </c>
      <c r="L57" s="291">
        <f>SUMIF('Xuất kho'!$D$1:$D$2955,C57,'Xuất kho'!$H$1:$H$2955)</f>
        <v>15</v>
      </c>
      <c r="M57" s="30">
        <f>SUMIF('Xuất kho'!$D$8:$D$2955,C57,'Xuất kho'!$I$8:$I$2955)</f>
        <v>1</v>
      </c>
      <c r="N57" s="291">
        <f t="shared" si="5"/>
        <v>14</v>
      </c>
      <c r="O57" s="30">
        <f>SUMIF('Xuất kho'!$D$3:$D$2721,C57,'Xuất kho'!$K$3:$K$2721)</f>
        <v>10660</v>
      </c>
      <c r="P57" s="274"/>
    </row>
    <row r="58" spans="1:16" ht="13.2">
      <c r="A58" s="372"/>
      <c r="B58" s="111">
        <v>51</v>
      </c>
      <c r="C58" s="112" t="s">
        <v>503</v>
      </c>
      <c r="D58" s="112" t="s">
        <v>504</v>
      </c>
      <c r="E58" s="111" t="s">
        <v>484</v>
      </c>
      <c r="F58" s="289">
        <v>4.76</v>
      </c>
      <c r="G58" s="290">
        <f t="shared" si="17"/>
        <v>17207.599999999999</v>
      </c>
      <c r="H58" s="113">
        <f t="shared" si="18"/>
        <v>34415.199999999997</v>
      </c>
      <c r="I58" s="280">
        <f t="shared" si="0"/>
        <v>256980</v>
      </c>
      <c r="J58" s="104">
        <f>+ SUMIF('Doanh thu'!A:A, C58,'Doanh thu'!F:F)</f>
        <v>128800</v>
      </c>
      <c r="K58" s="100">
        <f>SUMIF('Xuất kho'!D:D, C58,'Xuất kho'!K:K)</f>
        <v>128180</v>
      </c>
      <c r="L58" s="291">
        <f>SUMIF('Xuất kho'!$D$1:$D$2955,C58,'Xuất kho'!$H$1:$H$2955)</f>
        <v>10</v>
      </c>
      <c r="M58" s="30">
        <f>SUMIF('Xuất kho'!$D$8:$D$2955,C58,'Xuất kho'!$I$8:$I$2955)</f>
        <v>4</v>
      </c>
      <c r="N58" s="291">
        <f t="shared" si="5"/>
        <v>6</v>
      </c>
      <c r="O58" s="30">
        <f>SUMIF('Xuất kho'!$D$3:$D$2721,C58,'Xuất kho'!$K$3:$K$2721)</f>
        <v>128180</v>
      </c>
      <c r="P58" s="274"/>
    </row>
    <row r="59" spans="1:16" ht="13.2">
      <c r="A59" s="372"/>
      <c r="B59" s="111">
        <v>52</v>
      </c>
      <c r="C59" s="112" t="s">
        <v>505</v>
      </c>
      <c r="D59" s="112" t="s">
        <v>506</v>
      </c>
      <c r="E59" s="111" t="s">
        <v>484</v>
      </c>
      <c r="F59" s="289">
        <v>5.35</v>
      </c>
      <c r="G59" s="290">
        <f t="shared" si="17"/>
        <v>19278.5</v>
      </c>
      <c r="H59" s="113">
        <f t="shared" si="18"/>
        <v>38557</v>
      </c>
      <c r="I59" s="280">
        <f t="shared" si="0"/>
        <v>326176</v>
      </c>
      <c r="J59" s="104">
        <f>+ SUMIF('Doanh thu'!A:A, C59,'Doanh thu'!F:F)</f>
        <v>0</v>
      </c>
      <c r="K59" s="100">
        <f>SUMIF('Xuất kho'!D:D, C59,'Xuất kho'!K:K)</f>
        <v>326176</v>
      </c>
      <c r="L59" s="291">
        <f>SUMIF('Xuất kho'!$D$1:$D$2955,C59,'Xuất kho'!$H$1:$H$2955)</f>
        <v>10</v>
      </c>
      <c r="M59" s="30">
        <f>SUMIF('Xuất kho'!$D$8:$D$2955,C59,'Xuất kho'!$I$8:$I$2955)</f>
        <v>11</v>
      </c>
      <c r="N59" s="291">
        <f t="shared" si="5"/>
        <v>-1</v>
      </c>
      <c r="O59" s="30">
        <f>SUMIF('Xuất kho'!$D$3:$D$2721,C59,'Xuất kho'!$K$3:$K$2721)</f>
        <v>326176</v>
      </c>
      <c r="P59" s="274"/>
    </row>
    <row r="60" spans="1:16" ht="13.2">
      <c r="A60" s="372"/>
      <c r="B60" s="111">
        <v>53</v>
      </c>
      <c r="C60" s="112" t="s">
        <v>507</v>
      </c>
      <c r="D60" s="112" t="s">
        <v>508</v>
      </c>
      <c r="E60" s="111" t="s">
        <v>484</v>
      </c>
      <c r="F60" s="289">
        <v>6.12</v>
      </c>
      <c r="G60" s="290">
        <f t="shared" si="17"/>
        <v>21981.200000000001</v>
      </c>
      <c r="H60" s="113">
        <f t="shared" si="18"/>
        <v>43962.400000000001</v>
      </c>
      <c r="I60" s="280">
        <f t="shared" si="0"/>
        <v>76000</v>
      </c>
      <c r="J60" s="104">
        <f>+ SUMIF('Doanh thu'!A:A, C60,'Doanh thu'!F:F)</f>
        <v>0</v>
      </c>
      <c r="K60" s="100">
        <f>SUMIF('Xuất kho'!D:D, C60,'Xuất kho'!K:K)</f>
        <v>76000</v>
      </c>
      <c r="L60" s="291">
        <f>SUMIF('Xuất kho'!$D$1:$D$2955,C60,'Xuất kho'!$H$1:$H$2955)</f>
        <v>3</v>
      </c>
      <c r="M60" s="30">
        <f>SUMIF('Xuất kho'!$D$8:$D$2955,C60,'Xuất kho'!$I$8:$I$2955)</f>
        <v>2</v>
      </c>
      <c r="N60" s="291">
        <f t="shared" si="5"/>
        <v>1</v>
      </c>
      <c r="O60" s="30">
        <f>SUMIF('Xuất kho'!$D$3:$D$2721,C60,'Xuất kho'!$K$3:$K$2721)</f>
        <v>76000</v>
      </c>
      <c r="P60" s="274"/>
    </row>
    <row r="61" spans="1:16" ht="13.2">
      <c r="A61" s="372"/>
      <c r="B61" s="111">
        <v>54</v>
      </c>
      <c r="C61" s="112" t="s">
        <v>509</v>
      </c>
      <c r="D61" s="112" t="s">
        <v>510</v>
      </c>
      <c r="E61" s="111" t="s">
        <v>484</v>
      </c>
      <c r="F61" s="289">
        <v>7.14</v>
      </c>
      <c r="G61" s="290">
        <f t="shared" si="17"/>
        <v>25561.399999999998</v>
      </c>
      <c r="H61" s="113">
        <f t="shared" si="18"/>
        <v>51122.799999999996</v>
      </c>
      <c r="I61" s="280">
        <f t="shared" si="0"/>
        <v>94460</v>
      </c>
      <c r="J61" s="104">
        <f>+ SUMIF('Doanh thu'!A:A, C61,'Doanh thu'!F:F)</f>
        <v>0</v>
      </c>
      <c r="K61" s="100">
        <f>SUMIF('Xuất kho'!D:D, C61,'Xuất kho'!K:K)</f>
        <v>94460</v>
      </c>
      <c r="L61" s="291">
        <f>SUMIF('Xuất kho'!$D$1:$D$2955,C61,'Xuất kho'!$H$1:$H$2955)</f>
        <v>2</v>
      </c>
      <c r="M61" s="30">
        <f>SUMIF('Xuất kho'!$D$8:$D$2955,C61,'Xuất kho'!$I$8:$I$2955)</f>
        <v>3</v>
      </c>
      <c r="N61" s="291">
        <f t="shared" si="5"/>
        <v>-1</v>
      </c>
      <c r="O61" s="30">
        <f>SUMIF('Xuất kho'!$D$3:$D$2721,C61,'Xuất kho'!$K$3:$K$2721)</f>
        <v>94460</v>
      </c>
      <c r="P61" s="274"/>
    </row>
    <row r="62" spans="1:16" ht="13.2">
      <c r="A62" s="372"/>
      <c r="B62" s="111">
        <v>55</v>
      </c>
      <c r="C62" s="112" t="s">
        <v>511</v>
      </c>
      <c r="D62" s="112" t="s">
        <v>512</v>
      </c>
      <c r="E62" s="111" t="s">
        <v>484</v>
      </c>
      <c r="F62" s="289">
        <v>4.08</v>
      </c>
      <c r="G62" s="290">
        <f t="shared" si="17"/>
        <v>14820.800000000001</v>
      </c>
      <c r="H62" s="113">
        <f t="shared" si="18"/>
        <v>29641.600000000002</v>
      </c>
      <c r="I62" s="280">
        <f t="shared" si="0"/>
        <v>77504</v>
      </c>
      <c r="J62" s="104">
        <f>+ SUMIF('Doanh thu'!A:A, C62,'Doanh thu'!F:F)</f>
        <v>0</v>
      </c>
      <c r="K62" s="100">
        <f>SUMIF('Xuất kho'!D:D, C62,'Xuất kho'!K:K)</f>
        <v>77504</v>
      </c>
      <c r="L62" s="291">
        <f>SUMIF('Xuất kho'!$D$1:$D$2955,C62,'Xuất kho'!$H$1:$H$2955)</f>
        <v>3</v>
      </c>
      <c r="M62" s="30">
        <f>SUMIF('Xuất kho'!$D$8:$D$2955,C62,'Xuất kho'!$I$8:$I$2955)</f>
        <v>3</v>
      </c>
      <c r="N62" s="291">
        <f t="shared" si="5"/>
        <v>0</v>
      </c>
      <c r="O62" s="30">
        <f>SUMIF('Xuất kho'!$D$3:$D$2721,C62,'Xuất kho'!$K$3:$K$2721)</f>
        <v>77504</v>
      </c>
      <c r="P62" s="274"/>
    </row>
    <row r="63" spans="1:16" ht="13.2">
      <c r="A63" s="372"/>
      <c r="B63" s="111">
        <v>56</v>
      </c>
      <c r="C63" s="112" t="s">
        <v>513</v>
      </c>
      <c r="D63" s="112" t="s">
        <v>514</v>
      </c>
      <c r="E63" s="111" t="s">
        <v>484</v>
      </c>
      <c r="F63" s="289">
        <v>3.99</v>
      </c>
      <c r="G63" s="290">
        <f t="shared" si="17"/>
        <v>14504.900000000001</v>
      </c>
      <c r="H63" s="113">
        <f t="shared" si="18"/>
        <v>29009.800000000003</v>
      </c>
      <c r="I63" s="280">
        <f t="shared" si="0"/>
        <v>50476</v>
      </c>
      <c r="J63" s="104">
        <f>+ SUMIF('Doanh thu'!A:A, C63,'Doanh thu'!F:F)</f>
        <v>0</v>
      </c>
      <c r="K63" s="100">
        <f>SUMIF('Xuất kho'!D:D, C63,'Xuất kho'!K:K)</f>
        <v>50476</v>
      </c>
      <c r="L63" s="291">
        <f>SUMIF('Xuất kho'!$D$1:$D$2955,C63,'Xuất kho'!$H$1:$H$2955)</f>
        <v>5</v>
      </c>
      <c r="M63" s="30">
        <f>SUMIF('Xuất kho'!$D$8:$D$2955,C63,'Xuất kho'!$I$8:$I$2955)</f>
        <v>2</v>
      </c>
      <c r="N63" s="291">
        <f t="shared" si="5"/>
        <v>3</v>
      </c>
      <c r="O63" s="30">
        <f>SUMIF('Xuất kho'!$D$3:$D$2721,C63,'Xuất kho'!$K$3:$K$2721)</f>
        <v>50476</v>
      </c>
      <c r="P63" s="274"/>
    </row>
    <row r="64" spans="1:16" ht="13.2">
      <c r="A64" s="372"/>
      <c r="B64" s="111">
        <v>57</v>
      </c>
      <c r="C64" s="112" t="s">
        <v>515</v>
      </c>
      <c r="D64" s="112" t="s">
        <v>516</v>
      </c>
      <c r="E64" s="111" t="s">
        <v>484</v>
      </c>
      <c r="F64" s="289">
        <v>3.99</v>
      </c>
      <c r="G64" s="290">
        <f t="shared" si="17"/>
        <v>14504.900000000001</v>
      </c>
      <c r="H64" s="113">
        <f t="shared" si="18"/>
        <v>29009.800000000003</v>
      </c>
      <c r="I64" s="280">
        <f t="shared" si="0"/>
        <v>106604</v>
      </c>
      <c r="J64" s="104">
        <f>+ SUMIF('Doanh thu'!A:A, C64,'Doanh thu'!F:F)</f>
        <v>0</v>
      </c>
      <c r="K64" s="100">
        <f>SUMIF('Xuất kho'!D:D, C64,'Xuất kho'!K:K)</f>
        <v>106604</v>
      </c>
      <c r="L64" s="291">
        <f>SUMIF('Xuất kho'!$D$1:$D$2955,C64,'Xuất kho'!$H$1:$H$2955)</f>
        <v>5</v>
      </c>
      <c r="M64" s="30">
        <f>SUMIF('Xuất kho'!$D$8:$D$2955,C64,'Xuất kho'!$I$8:$I$2955)</f>
        <v>5</v>
      </c>
      <c r="N64" s="291">
        <f t="shared" si="5"/>
        <v>0</v>
      </c>
      <c r="O64" s="30">
        <f>SUMIF('Xuất kho'!$D$3:$D$2721,C64,'Xuất kho'!$K$3:$K$2721)</f>
        <v>106604</v>
      </c>
      <c r="P64" s="274"/>
    </row>
    <row r="65" spans="1:16" ht="13.2">
      <c r="A65" s="372"/>
      <c r="B65" s="111">
        <v>58</v>
      </c>
      <c r="C65" s="112" t="s">
        <v>517</v>
      </c>
      <c r="D65" s="112" t="s">
        <v>518</v>
      </c>
      <c r="E65" s="111" t="s">
        <v>484</v>
      </c>
      <c r="F65" s="289">
        <v>3.99</v>
      </c>
      <c r="G65" s="290">
        <f t="shared" si="17"/>
        <v>14504.900000000001</v>
      </c>
      <c r="H65" s="113">
        <f t="shared" si="18"/>
        <v>29009.800000000003</v>
      </c>
      <c r="I65" s="280">
        <f t="shared" si="0"/>
        <v>126034.33333333333</v>
      </c>
      <c r="J65" s="104">
        <f>+ SUMIF('Doanh thu'!A:A, C65,'Doanh thu'!F:F)</f>
        <v>0</v>
      </c>
      <c r="K65" s="100">
        <f>SUMIF('Xuất kho'!D:D, C65,'Xuất kho'!K:K)</f>
        <v>126034.33333333333</v>
      </c>
      <c r="L65" s="291">
        <f>SUMIF('Xuất kho'!$D$1:$D$2955,C65,'Xuất kho'!$H$1:$H$2955)</f>
        <v>5</v>
      </c>
      <c r="M65" s="30">
        <f>SUMIF('Xuất kho'!$D$8:$D$2955,C65,'Xuất kho'!$I$8:$I$2955)</f>
        <v>5</v>
      </c>
      <c r="N65" s="291">
        <f t="shared" si="5"/>
        <v>0</v>
      </c>
      <c r="O65" s="30">
        <f>SUMIF('Xuất kho'!$D$3:$D$2721,C65,'Xuất kho'!$K$3:$K$2721)</f>
        <v>126034.33333333333</v>
      </c>
      <c r="P65" s="274"/>
    </row>
    <row r="66" spans="1:16" ht="13.2">
      <c r="A66" s="372"/>
      <c r="B66" s="111">
        <v>59</v>
      </c>
      <c r="C66" s="112" t="s">
        <v>519</v>
      </c>
      <c r="D66" s="112" t="s">
        <v>520</v>
      </c>
      <c r="E66" s="111" t="s">
        <v>484</v>
      </c>
      <c r="F66" s="289">
        <v>5.68</v>
      </c>
      <c r="G66" s="290">
        <f t="shared" si="17"/>
        <v>20436.8</v>
      </c>
      <c r="H66" s="113">
        <f t="shared" si="18"/>
        <v>40873.599999999999</v>
      </c>
      <c r="I66" s="280">
        <f t="shared" si="0"/>
        <v>169908</v>
      </c>
      <c r="J66" s="104">
        <f>+ SUMIF('Doanh thu'!A:A, C66,'Doanh thu'!F:F)</f>
        <v>0</v>
      </c>
      <c r="K66" s="100">
        <f>SUMIF('Xuất kho'!D:D, C66,'Xuất kho'!K:K)</f>
        <v>169908</v>
      </c>
      <c r="L66" s="291">
        <f>SUMIF('Xuất kho'!$D$1:$D$2955,C66,'Xuất kho'!$H$1:$H$2955)</f>
        <v>5</v>
      </c>
      <c r="M66" s="30">
        <f>SUMIF('Xuất kho'!$D$8:$D$2955,C66,'Xuất kho'!$I$8:$I$2955)</f>
        <v>5</v>
      </c>
      <c r="N66" s="291">
        <f t="shared" si="5"/>
        <v>0</v>
      </c>
      <c r="O66" s="30">
        <f>SUMIF('Xuất kho'!$D$3:$D$2721,C66,'Xuất kho'!$K$3:$K$2721)</f>
        <v>169908</v>
      </c>
      <c r="P66" s="274"/>
    </row>
    <row r="67" spans="1:16" ht="13.2">
      <c r="A67" s="372"/>
      <c r="B67" s="111">
        <v>60</v>
      </c>
      <c r="C67" s="112" t="s">
        <v>521</v>
      </c>
      <c r="D67" s="112" t="s">
        <v>522</v>
      </c>
      <c r="E67" s="111" t="s">
        <v>484</v>
      </c>
      <c r="F67" s="289">
        <v>3.99</v>
      </c>
      <c r="G67" s="290">
        <f t="shared" si="17"/>
        <v>14504.900000000001</v>
      </c>
      <c r="H67" s="113">
        <f t="shared" si="18"/>
        <v>29009.800000000003</v>
      </c>
      <c r="I67" s="280">
        <f t="shared" si="0"/>
        <v>102440</v>
      </c>
      <c r="J67" s="104">
        <f>+ SUMIF('Doanh thu'!A:A, C67,'Doanh thu'!F:F)</f>
        <v>0</v>
      </c>
      <c r="K67" s="100">
        <f>SUMIF('Xuất kho'!D:D, C67,'Xuất kho'!K:K)</f>
        <v>102440</v>
      </c>
      <c r="L67" s="291">
        <f>SUMIF('Xuất kho'!$D$1:$D$2955,C67,'Xuất kho'!$H$1:$H$2955)</f>
        <v>5</v>
      </c>
      <c r="M67" s="30">
        <f>SUMIF('Xuất kho'!$D$8:$D$2955,C67,'Xuất kho'!$I$8:$I$2955)</f>
        <v>4</v>
      </c>
      <c r="N67" s="291">
        <f t="shared" si="5"/>
        <v>1</v>
      </c>
      <c r="O67" s="30">
        <f>SUMIF('Xuất kho'!$D$3:$D$2721,C67,'Xuất kho'!$K$3:$K$2721)</f>
        <v>102440</v>
      </c>
      <c r="P67" s="274"/>
    </row>
    <row r="68" spans="1:16" ht="13.2">
      <c r="A68" s="372"/>
      <c r="B68" s="111">
        <v>61</v>
      </c>
      <c r="C68" s="112" t="s">
        <v>523</v>
      </c>
      <c r="D68" s="112" t="s">
        <v>524</v>
      </c>
      <c r="E68" s="111" t="s">
        <v>484</v>
      </c>
      <c r="F68" s="289">
        <v>3.99</v>
      </c>
      <c r="G68" s="290">
        <f t="shared" si="17"/>
        <v>14504.900000000001</v>
      </c>
      <c r="H68" s="113">
        <f t="shared" si="18"/>
        <v>29009.800000000003</v>
      </c>
      <c r="I68" s="280">
        <f t="shared" si="0"/>
        <v>120430.33333333333</v>
      </c>
      <c r="J68" s="104">
        <f>+ SUMIF('Doanh thu'!A:A, C68,'Doanh thu'!F:F)</f>
        <v>0</v>
      </c>
      <c r="K68" s="100">
        <f>SUMIF('Xuất kho'!D:D, C68,'Xuất kho'!K:K)</f>
        <v>120430.33333333333</v>
      </c>
      <c r="L68" s="291">
        <f>SUMIF('Xuất kho'!$D$1:$D$2955,C68,'Xuất kho'!$H$1:$H$2955)</f>
        <v>5</v>
      </c>
      <c r="M68" s="30">
        <f>SUMIF('Xuất kho'!$D$8:$D$2955,C68,'Xuất kho'!$I$8:$I$2955)</f>
        <v>5</v>
      </c>
      <c r="N68" s="291">
        <f t="shared" si="5"/>
        <v>0</v>
      </c>
      <c r="O68" s="30">
        <f>SUMIF('Xuất kho'!$D$3:$D$2721,C68,'Xuất kho'!$K$3:$K$2721)</f>
        <v>120430.33333333333</v>
      </c>
      <c r="P68" s="274"/>
    </row>
    <row r="69" spans="1:16" ht="13.2">
      <c r="A69" s="372"/>
      <c r="B69" s="111">
        <v>62</v>
      </c>
      <c r="C69" s="112" t="s">
        <v>543</v>
      </c>
      <c r="D69" s="112" t="s">
        <v>544</v>
      </c>
      <c r="E69" s="111" t="s">
        <v>444</v>
      </c>
      <c r="F69" s="289">
        <v>1.87</v>
      </c>
      <c r="G69" s="290">
        <f t="shared" si="17"/>
        <v>7063.7000000000007</v>
      </c>
      <c r="H69" s="113">
        <f t="shared" si="18"/>
        <v>14127.400000000001</v>
      </c>
      <c r="I69" s="280">
        <f t="shared" si="0"/>
        <v>135867.4</v>
      </c>
      <c r="J69" s="104">
        <f>+ SUMIF('Doanh thu'!A:A, C69,'Doanh thu'!F:F)</f>
        <v>112127.4</v>
      </c>
      <c r="K69" s="100">
        <f>SUMIF('Xuất kho'!D:D, C69,'Xuất kho'!K:K)</f>
        <v>23740</v>
      </c>
      <c r="L69" s="291">
        <f>SUMIF('Xuất kho'!$D$1:$D$2955,C69,'Xuất kho'!$H$1:$H$2955)</f>
        <v>9</v>
      </c>
      <c r="M69" s="30">
        <f>SUMIF('Xuất kho'!$D$8:$D$2955,C69,'Xuất kho'!$I$8:$I$2955)</f>
        <v>2</v>
      </c>
      <c r="N69" s="291">
        <f t="shared" si="5"/>
        <v>7</v>
      </c>
      <c r="O69" s="30">
        <f>SUMIF('Xuất kho'!$D$3:$D$2721,C69,'Xuất kho'!$K$3:$K$2721)</f>
        <v>23740</v>
      </c>
      <c r="P69" s="274"/>
    </row>
    <row r="70" spans="1:16" ht="13.2">
      <c r="A70" s="372"/>
      <c r="B70" s="111">
        <v>63</v>
      </c>
      <c r="C70" s="112" t="s">
        <v>545</v>
      </c>
      <c r="D70" s="112" t="s">
        <v>546</v>
      </c>
      <c r="E70" s="111" t="s">
        <v>444</v>
      </c>
      <c r="F70" s="289">
        <v>1.87</v>
      </c>
      <c r="G70" s="290">
        <f t="shared" si="17"/>
        <v>7063.7000000000007</v>
      </c>
      <c r="H70" s="113">
        <f t="shared" si="18"/>
        <v>14127.400000000001</v>
      </c>
      <c r="I70" s="280">
        <f t="shared" si="0"/>
        <v>78507.399999999994</v>
      </c>
      <c r="J70" s="104">
        <f>+ SUMIF('Doanh thu'!A:A, C70,'Doanh thu'!F:F)</f>
        <v>70127.399999999994</v>
      </c>
      <c r="K70" s="100">
        <f>SUMIF('Xuất kho'!D:D, C70,'Xuất kho'!K:K)</f>
        <v>8380</v>
      </c>
      <c r="L70" s="291">
        <f>SUMIF('Xuất kho'!$D$1:$D$2955,C70,'Xuất kho'!$H$1:$H$2955)</f>
        <v>10</v>
      </c>
      <c r="M70" s="30">
        <f>SUMIF('Xuất kho'!$D$8:$D$2955,C70,'Xuất kho'!$I$8:$I$2955)</f>
        <v>1</v>
      </c>
      <c r="N70" s="291">
        <f t="shared" si="5"/>
        <v>9</v>
      </c>
      <c r="O70" s="30">
        <f>SUMIF('Xuất kho'!$D$3:$D$2721,C70,'Xuất kho'!$K$3:$K$2721)</f>
        <v>8380</v>
      </c>
      <c r="P70" s="274"/>
    </row>
    <row r="71" spans="1:16" ht="13.2">
      <c r="A71" s="372"/>
      <c r="B71" s="111">
        <v>64</v>
      </c>
      <c r="C71" s="112" t="s">
        <v>547</v>
      </c>
      <c r="D71" s="112" t="s">
        <v>548</v>
      </c>
      <c r="E71" s="111" t="s">
        <v>444</v>
      </c>
      <c r="F71" s="289">
        <v>1.87</v>
      </c>
      <c r="G71" s="290">
        <f t="shared" si="17"/>
        <v>7063.7000000000007</v>
      </c>
      <c r="H71" s="113">
        <f t="shared" si="18"/>
        <v>14127.400000000001</v>
      </c>
      <c r="I71" s="280">
        <f t="shared" si="0"/>
        <v>70254.8</v>
      </c>
      <c r="J71" s="104">
        <f>+ SUMIF('Doanh thu'!A:A, C71,'Doanh thu'!F:F)</f>
        <v>56254.8</v>
      </c>
      <c r="K71" s="100">
        <f>SUMIF('Xuất kho'!D:D, C71,'Xuất kho'!K:K)</f>
        <v>14000</v>
      </c>
      <c r="L71" s="291">
        <f>SUMIF('Xuất kho'!$D$1:$D$2955,C71,'Xuất kho'!$H$1:$H$2955)</f>
        <v>10</v>
      </c>
      <c r="M71" s="30">
        <f>SUMIF('Xuất kho'!$D$8:$D$2955,C71,'Xuất kho'!$I$8:$I$2955)</f>
        <v>1</v>
      </c>
      <c r="N71" s="291">
        <f t="shared" si="5"/>
        <v>9</v>
      </c>
      <c r="O71" s="30">
        <f>SUMIF('Xuất kho'!$D$3:$D$2721,C71,'Xuất kho'!$K$3:$K$2721)</f>
        <v>14000</v>
      </c>
      <c r="P71" s="274"/>
    </row>
    <row r="72" spans="1:16" ht="13.2">
      <c r="A72" s="372"/>
      <c r="B72" s="111">
        <v>65</v>
      </c>
      <c r="C72" s="112" t="s">
        <v>549</v>
      </c>
      <c r="D72" s="112" t="s">
        <v>550</v>
      </c>
      <c r="E72" s="111" t="s">
        <v>551</v>
      </c>
      <c r="F72" s="289">
        <v>1.6</v>
      </c>
      <c r="G72" s="290">
        <f t="shared" ref="G72:G144" si="19">F72*3550+1000</f>
        <v>6680</v>
      </c>
      <c r="H72" s="113">
        <f t="shared" ref="H72:H73" si="20">ROUND(G72*2.3,-3)</f>
        <v>15000</v>
      </c>
      <c r="I72" s="280">
        <f t="shared" si="0"/>
        <v>38000</v>
      </c>
      <c r="J72" s="104">
        <f>+ SUMIF('Doanh thu'!A:A, C72,'Doanh thu'!F:F)</f>
        <v>38000</v>
      </c>
      <c r="K72" s="100">
        <f>SUMIF('Xuất kho'!D:D, C72,'Xuất kho'!K:K)</f>
        <v>0</v>
      </c>
      <c r="L72" s="291">
        <f>SUMIF('Xuất kho'!$D$1:$D$2955,C72,'Xuất kho'!$H$1:$H$2955)</f>
        <v>0</v>
      </c>
      <c r="M72" s="30">
        <f>SUMIF('Xuất kho'!$D$8:$D$2955,C72,'Xuất kho'!$I$8:$I$2955)</f>
        <v>0</v>
      </c>
      <c r="N72" s="291">
        <f t="shared" si="5"/>
        <v>0</v>
      </c>
      <c r="O72" s="30">
        <f>SUMIF('Xuất kho'!$D$3:$D$2721,C72,'Xuất kho'!$K$3:$K$2721)</f>
        <v>0</v>
      </c>
      <c r="P72" s="274"/>
    </row>
    <row r="73" spans="1:16" ht="13.2">
      <c r="A73" s="372"/>
      <c r="B73" s="111">
        <v>66</v>
      </c>
      <c r="C73" s="112" t="s">
        <v>552</v>
      </c>
      <c r="D73" s="112" t="s">
        <v>553</v>
      </c>
      <c r="E73" s="111" t="s">
        <v>551</v>
      </c>
      <c r="F73" s="289">
        <v>1.6</v>
      </c>
      <c r="G73" s="290">
        <f t="shared" si="19"/>
        <v>6680</v>
      </c>
      <c r="H73" s="113">
        <f t="shared" si="20"/>
        <v>15000</v>
      </c>
      <c r="I73" s="280">
        <f t="shared" si="0"/>
        <v>84676</v>
      </c>
      <c r="J73" s="104">
        <f>+ SUMIF('Doanh thu'!A:A, C73,'Doanh thu'!F:F)</f>
        <v>57000</v>
      </c>
      <c r="K73" s="100">
        <f>SUMIF('Xuất kho'!D:D, C73,'Xuất kho'!K:K)</f>
        <v>27676</v>
      </c>
      <c r="L73" s="291">
        <f>SUMIF('Xuất kho'!$D$1:$D$2955,C73,'Xuất kho'!$H$1:$H$2955)</f>
        <v>5</v>
      </c>
      <c r="M73" s="30">
        <f>SUMIF('Xuất kho'!$D$8:$D$2955,C73,'Xuất kho'!$I$8:$I$2955)</f>
        <v>2</v>
      </c>
      <c r="N73" s="291">
        <f t="shared" si="5"/>
        <v>3</v>
      </c>
      <c r="O73" s="30">
        <f>SUMIF('Xuất kho'!$D$3:$D$2721,C73,'Xuất kho'!$K$3:$K$2721)</f>
        <v>27676</v>
      </c>
      <c r="P73" s="274"/>
    </row>
    <row r="74" spans="1:16" ht="13.2">
      <c r="A74" s="372"/>
      <c r="B74" s="111">
        <v>67</v>
      </c>
      <c r="C74" s="112" t="s">
        <v>554</v>
      </c>
      <c r="D74" s="112" t="s">
        <v>555</v>
      </c>
      <c r="E74" s="111" t="s">
        <v>551</v>
      </c>
      <c r="F74" s="289">
        <v>2.8</v>
      </c>
      <c r="G74" s="290">
        <f t="shared" si="19"/>
        <v>10940</v>
      </c>
      <c r="H74" s="113">
        <f t="shared" ref="H74:H77" si="21">ROUND(G74*1.9,-3)</f>
        <v>21000</v>
      </c>
      <c r="I74" s="280">
        <f t="shared" si="0"/>
        <v>120000</v>
      </c>
      <c r="J74" s="104">
        <f>+ SUMIF('Doanh thu'!A:A, C74,'Doanh thu'!F:F)</f>
        <v>120000</v>
      </c>
      <c r="K74" s="100">
        <f>SUMIF('Xuất kho'!D:D, C74,'Xuất kho'!K:K)</f>
        <v>0</v>
      </c>
      <c r="L74" s="291">
        <f>SUMIF('Xuất kho'!$D$1:$D$2955,C74,'Xuất kho'!$H$1:$H$2955)</f>
        <v>8</v>
      </c>
      <c r="M74" s="30">
        <f>SUMIF('Xuất kho'!$D$8:$D$2955,C74,'Xuất kho'!$I$8:$I$2955)</f>
        <v>0</v>
      </c>
      <c r="N74" s="291">
        <f t="shared" si="5"/>
        <v>8</v>
      </c>
      <c r="O74" s="30">
        <f>SUMIF('Xuất kho'!$D$3:$D$2721,C74,'Xuất kho'!$K$3:$K$2721)</f>
        <v>0</v>
      </c>
      <c r="P74" s="274"/>
    </row>
    <row r="75" spans="1:16" ht="13.2">
      <c r="A75" s="372"/>
      <c r="B75" s="111">
        <v>68</v>
      </c>
      <c r="C75" s="112" t="s">
        <v>556</v>
      </c>
      <c r="D75" s="112" t="s">
        <v>557</v>
      </c>
      <c r="E75" s="111" t="s">
        <v>551</v>
      </c>
      <c r="F75" s="289">
        <v>2.8</v>
      </c>
      <c r="G75" s="290">
        <f t="shared" si="19"/>
        <v>10940</v>
      </c>
      <c r="H75" s="113">
        <f t="shared" si="21"/>
        <v>21000</v>
      </c>
      <c r="I75" s="280">
        <f t="shared" si="0"/>
        <v>87000</v>
      </c>
      <c r="J75" s="104">
        <f>+ SUMIF('Doanh thu'!A:A, C75,'Doanh thu'!F:F)</f>
        <v>69000</v>
      </c>
      <c r="K75" s="100">
        <f>SUMIF('Xuất kho'!D:D, C75,'Xuất kho'!K:K)</f>
        <v>18000</v>
      </c>
      <c r="L75" s="291">
        <f>SUMIF('Xuất kho'!$D$1:$D$2955,C75,'Xuất kho'!$H$1:$H$2955)</f>
        <v>3</v>
      </c>
      <c r="M75" s="30">
        <f>SUMIF('Xuất kho'!$D$8:$D$2955,C75,'Xuất kho'!$I$8:$I$2955)</f>
        <v>1</v>
      </c>
      <c r="N75" s="291">
        <f t="shared" si="5"/>
        <v>2</v>
      </c>
      <c r="O75" s="30">
        <f>SUMIF('Xuất kho'!$D$3:$D$2721,C75,'Xuất kho'!$K$3:$K$2721)</f>
        <v>18000</v>
      </c>
      <c r="P75" s="274"/>
    </row>
    <row r="76" spans="1:16" ht="13.2">
      <c r="A76" s="372"/>
      <c r="B76" s="111">
        <v>69</v>
      </c>
      <c r="C76" s="112" t="s">
        <v>558</v>
      </c>
      <c r="D76" s="112" t="s">
        <v>559</v>
      </c>
      <c r="E76" s="111" t="s">
        <v>551</v>
      </c>
      <c r="F76" s="289">
        <v>2.8</v>
      </c>
      <c r="G76" s="290">
        <f t="shared" si="19"/>
        <v>10940</v>
      </c>
      <c r="H76" s="113">
        <f t="shared" si="21"/>
        <v>21000</v>
      </c>
      <c r="I76" s="280">
        <f t="shared" si="0"/>
        <v>46000</v>
      </c>
      <c r="J76" s="104">
        <f>+ SUMIF('Doanh thu'!A:A, C76,'Doanh thu'!F:F)</f>
        <v>46000</v>
      </c>
      <c r="K76" s="100">
        <f>SUMIF('Xuất kho'!D:D, C76,'Xuất kho'!K:K)</f>
        <v>0</v>
      </c>
      <c r="L76" s="291">
        <f>SUMIF('Xuất kho'!$D$1:$D$2955,C76,'Xuất kho'!$H$1:$H$2955)</f>
        <v>4</v>
      </c>
      <c r="M76" s="30">
        <f>SUMIF('Xuất kho'!$D$8:$D$2955,C76,'Xuất kho'!$I$8:$I$2955)</f>
        <v>0</v>
      </c>
      <c r="N76" s="291">
        <f t="shared" si="5"/>
        <v>4</v>
      </c>
      <c r="O76" s="30">
        <f>SUMIF('Xuất kho'!$D$3:$D$2721,C76,'Xuất kho'!$K$3:$K$2721)</f>
        <v>0</v>
      </c>
      <c r="P76" s="274"/>
    </row>
    <row r="77" spans="1:16" ht="13.2">
      <c r="A77" s="372"/>
      <c r="B77" s="111">
        <v>70</v>
      </c>
      <c r="C77" s="112" t="s">
        <v>560</v>
      </c>
      <c r="D77" s="112" t="s">
        <v>561</v>
      </c>
      <c r="E77" s="111" t="s">
        <v>551</v>
      </c>
      <c r="F77" s="289">
        <v>2.8</v>
      </c>
      <c r="G77" s="290">
        <f t="shared" si="19"/>
        <v>10940</v>
      </c>
      <c r="H77" s="113">
        <f t="shared" si="21"/>
        <v>21000</v>
      </c>
      <c r="I77" s="280">
        <f t="shared" si="0"/>
        <v>18680</v>
      </c>
      <c r="J77" s="104">
        <f>+ SUMIF('Doanh thu'!A:A, C77,'Doanh thu'!F:F)</f>
        <v>0</v>
      </c>
      <c r="K77" s="100">
        <f>SUMIF('Xuất kho'!D:D, C77,'Xuất kho'!K:K)</f>
        <v>18680</v>
      </c>
      <c r="L77" s="291">
        <f>SUMIF('Xuất kho'!$D$1:$D$2955,C77,'Xuất kho'!$H$1:$H$2955)</f>
        <v>1</v>
      </c>
      <c r="M77" s="30">
        <f>SUMIF('Xuất kho'!$D$8:$D$2955,C77,'Xuất kho'!$I$8:$I$2955)</f>
        <v>1</v>
      </c>
      <c r="N77" s="291">
        <f t="shared" si="5"/>
        <v>0</v>
      </c>
      <c r="O77" s="30">
        <f>SUMIF('Xuất kho'!$D$3:$D$2721,C77,'Xuất kho'!$K$3:$K$2721)</f>
        <v>18680</v>
      </c>
      <c r="P77" s="274"/>
    </row>
    <row r="78" spans="1:16" ht="13.2">
      <c r="A78" s="372"/>
      <c r="B78" s="111">
        <v>71</v>
      </c>
      <c r="C78" s="112" t="s">
        <v>562</v>
      </c>
      <c r="D78" s="112" t="s">
        <v>563</v>
      </c>
      <c r="E78" s="111" t="s">
        <v>551</v>
      </c>
      <c r="F78" s="289">
        <v>4</v>
      </c>
      <c r="G78" s="290">
        <f t="shared" si="19"/>
        <v>15200</v>
      </c>
      <c r="H78" s="113">
        <v>28000</v>
      </c>
      <c r="I78" s="280">
        <f t="shared" si="0"/>
        <v>120000</v>
      </c>
      <c r="J78" s="104">
        <f>+ SUMIF('Doanh thu'!A:A, C78,'Doanh thu'!F:F)</f>
        <v>120000</v>
      </c>
      <c r="K78" s="100">
        <f>SUMIF('Xuất kho'!D:D, C78,'Xuất kho'!K:K)</f>
        <v>0</v>
      </c>
      <c r="L78" s="291">
        <f>SUMIF('Xuất kho'!$D$1:$D$2955,C78,'Xuất kho'!$H$1:$H$2955)</f>
        <v>5</v>
      </c>
      <c r="M78" s="30">
        <f>SUMIF('Xuất kho'!$D$8:$D$2955,C78,'Xuất kho'!$I$8:$I$2955)</f>
        <v>0</v>
      </c>
      <c r="N78" s="291">
        <f t="shared" si="5"/>
        <v>5</v>
      </c>
      <c r="O78" s="30">
        <f>SUMIF('Xuất kho'!$D$3:$D$2721,C78,'Xuất kho'!$K$3:$K$2721)</f>
        <v>0</v>
      </c>
      <c r="P78" s="274"/>
    </row>
    <row r="79" spans="1:16" ht="13.2">
      <c r="A79" s="372"/>
      <c r="B79" s="111">
        <v>72</v>
      </c>
      <c r="C79" s="112" t="s">
        <v>564</v>
      </c>
      <c r="D79" s="112" t="s">
        <v>565</v>
      </c>
      <c r="E79" s="111" t="s">
        <v>551</v>
      </c>
      <c r="F79" s="289">
        <v>4</v>
      </c>
      <c r="G79" s="290">
        <f t="shared" si="19"/>
        <v>15200</v>
      </c>
      <c r="H79" s="113">
        <v>28000</v>
      </c>
      <c r="I79" s="280">
        <f t="shared" si="0"/>
        <v>48513.333333333328</v>
      </c>
      <c r="J79" s="104">
        <f>+ SUMIF('Doanh thu'!A:A, C79,'Doanh thu'!F:F)</f>
        <v>28000</v>
      </c>
      <c r="K79" s="100">
        <f>SUMIF('Xuất kho'!D:D, C79,'Xuất kho'!K:K)</f>
        <v>20513.333333333332</v>
      </c>
      <c r="L79" s="291">
        <f>SUMIF('Xuất kho'!$D$1:$D$2955,C79,'Xuất kho'!$H$1:$H$2955)</f>
        <v>2</v>
      </c>
      <c r="M79" s="30">
        <f>SUMIF('Xuất kho'!$D$8:$D$2955,C79,'Xuất kho'!$I$8:$I$2955)</f>
        <v>1</v>
      </c>
      <c r="N79" s="291">
        <f t="shared" si="5"/>
        <v>1</v>
      </c>
      <c r="O79" s="30">
        <f>SUMIF('Xuất kho'!$D$3:$D$2721,C79,'Xuất kho'!$K$3:$K$2721)</f>
        <v>20513.333333333332</v>
      </c>
      <c r="P79" s="274"/>
    </row>
    <row r="80" spans="1:16" ht="13.2">
      <c r="A80" s="372"/>
      <c r="B80" s="111">
        <v>73</v>
      </c>
      <c r="C80" s="112" t="s">
        <v>566</v>
      </c>
      <c r="D80" s="112" t="s">
        <v>567</v>
      </c>
      <c r="E80" s="111" t="s">
        <v>551</v>
      </c>
      <c r="F80" s="289">
        <v>4</v>
      </c>
      <c r="G80" s="290">
        <f t="shared" si="19"/>
        <v>15200</v>
      </c>
      <c r="H80" s="113">
        <v>28000</v>
      </c>
      <c r="I80" s="280">
        <f t="shared" si="0"/>
        <v>77220</v>
      </c>
      <c r="J80" s="104">
        <f>+ SUMIF('Doanh thu'!A:A, C80,'Doanh thu'!F:F)</f>
        <v>28000</v>
      </c>
      <c r="K80" s="100">
        <f>SUMIF('Xuất kho'!D:D, C80,'Xuất kho'!K:K)</f>
        <v>49220</v>
      </c>
      <c r="L80" s="291">
        <f>SUMIF('Xuất kho'!$D$1:$D$2955,C80,'Xuất kho'!$H$1:$H$2955)</f>
        <v>2</v>
      </c>
      <c r="M80" s="30">
        <f>SUMIF('Xuất kho'!$D$8:$D$2955,C80,'Xuất kho'!$I$8:$I$2955)</f>
        <v>2</v>
      </c>
      <c r="N80" s="291">
        <f t="shared" si="5"/>
        <v>0</v>
      </c>
      <c r="O80" s="30">
        <f>SUMIF('Xuất kho'!$D$3:$D$2721,C80,'Xuất kho'!$K$3:$K$2721)</f>
        <v>49220</v>
      </c>
      <c r="P80" s="274"/>
    </row>
    <row r="81" spans="1:16" ht="13.2">
      <c r="A81" s="372"/>
      <c r="B81" s="111">
        <v>74</v>
      </c>
      <c r="C81" s="112" t="s">
        <v>568</v>
      </c>
      <c r="D81" s="112" t="s">
        <v>569</v>
      </c>
      <c r="E81" s="111" t="s">
        <v>551</v>
      </c>
      <c r="F81" s="289">
        <v>3.8</v>
      </c>
      <c r="G81" s="290">
        <f t="shared" si="19"/>
        <v>14490</v>
      </c>
      <c r="H81" s="113">
        <f t="shared" ref="H81:H84" si="22">ROUND(G81*1.9,-3)</f>
        <v>28000</v>
      </c>
      <c r="I81" s="280">
        <f t="shared" si="0"/>
        <v>143000</v>
      </c>
      <c r="J81" s="104">
        <f>+ SUMIF('Doanh thu'!A:A, C81,'Doanh thu'!F:F)</f>
        <v>90000</v>
      </c>
      <c r="K81" s="100">
        <f>SUMIF('Xuất kho'!D:D, C81,'Xuất kho'!K:K)</f>
        <v>53000</v>
      </c>
      <c r="L81" s="291">
        <f>SUMIF('Xuất kho'!$D$1:$D$2955,C81,'Xuất kho'!$H$1:$H$2955)</f>
        <v>8</v>
      </c>
      <c r="M81" s="30">
        <f>SUMIF('Xuất kho'!$D$8:$D$2955,C81,'Xuất kho'!$I$8:$I$2955)</f>
        <v>3</v>
      </c>
      <c r="N81" s="291">
        <f t="shared" si="5"/>
        <v>5</v>
      </c>
      <c r="O81" s="30">
        <f>SUMIF('Xuất kho'!$D$3:$D$2721,C81,'Xuất kho'!$K$3:$K$2721)</f>
        <v>53000</v>
      </c>
      <c r="P81" s="274"/>
    </row>
    <row r="82" spans="1:16" ht="13.2">
      <c r="A82" s="372"/>
      <c r="B82" s="111">
        <v>75</v>
      </c>
      <c r="C82" s="112" t="s">
        <v>570</v>
      </c>
      <c r="D82" s="112" t="s">
        <v>571</v>
      </c>
      <c r="E82" s="111" t="s">
        <v>551</v>
      </c>
      <c r="F82" s="289">
        <v>3.8</v>
      </c>
      <c r="G82" s="290">
        <f t="shared" si="19"/>
        <v>14490</v>
      </c>
      <c r="H82" s="113">
        <f t="shared" si="22"/>
        <v>28000</v>
      </c>
      <c r="I82" s="280">
        <f t="shared" si="0"/>
        <v>30000</v>
      </c>
      <c r="J82" s="104">
        <f>+ SUMIF('Doanh thu'!A:A, C82,'Doanh thu'!F:F)</f>
        <v>30000</v>
      </c>
      <c r="K82" s="100">
        <f>SUMIF('Xuất kho'!D:D, C82,'Xuất kho'!K:K)</f>
        <v>0</v>
      </c>
      <c r="L82" s="291">
        <f>SUMIF('Xuất kho'!$D$1:$D$2955,C82,'Xuất kho'!$H$1:$H$2955)</f>
        <v>3</v>
      </c>
      <c r="M82" s="30">
        <f>SUMIF('Xuất kho'!$D$8:$D$2955,C82,'Xuất kho'!$I$8:$I$2955)</f>
        <v>0</v>
      </c>
      <c r="N82" s="291">
        <f t="shared" si="5"/>
        <v>3</v>
      </c>
      <c r="O82" s="30">
        <f>SUMIF('Xuất kho'!$D$3:$D$2721,C82,'Xuất kho'!$K$3:$K$2721)</f>
        <v>0</v>
      </c>
      <c r="P82" s="274"/>
    </row>
    <row r="83" spans="1:16" ht="13.2">
      <c r="A83" s="372"/>
      <c r="B83" s="111">
        <v>76</v>
      </c>
      <c r="C83" s="112" t="s">
        <v>572</v>
      </c>
      <c r="D83" s="112" t="s">
        <v>573</v>
      </c>
      <c r="E83" s="111" t="s">
        <v>551</v>
      </c>
      <c r="F83" s="289">
        <v>3.8</v>
      </c>
      <c r="G83" s="290">
        <f t="shared" si="19"/>
        <v>14490</v>
      </c>
      <c r="H83" s="113">
        <f t="shared" si="22"/>
        <v>28000</v>
      </c>
      <c r="I83" s="280">
        <f t="shared" si="0"/>
        <v>90000</v>
      </c>
      <c r="J83" s="104">
        <f>+ SUMIF('Doanh thu'!A:A, C83,'Doanh thu'!F:F)</f>
        <v>90000</v>
      </c>
      <c r="K83" s="100">
        <f>SUMIF('Xuất kho'!D:D, C83,'Xuất kho'!K:K)</f>
        <v>0</v>
      </c>
      <c r="L83" s="291">
        <f>SUMIF('Xuất kho'!$D$1:$D$2955,C83,'Xuất kho'!$H$1:$H$2955)</f>
        <v>4</v>
      </c>
      <c r="M83" s="30">
        <f>SUMIF('Xuất kho'!$D$8:$D$2955,C83,'Xuất kho'!$I$8:$I$2955)</f>
        <v>0</v>
      </c>
      <c r="N83" s="291">
        <f t="shared" si="5"/>
        <v>4</v>
      </c>
      <c r="O83" s="30">
        <f>SUMIF('Xuất kho'!$D$3:$D$2721,C83,'Xuất kho'!$K$3:$K$2721)</f>
        <v>0</v>
      </c>
      <c r="P83" s="274"/>
    </row>
    <row r="84" spans="1:16" ht="13.2">
      <c r="A84" s="372"/>
      <c r="B84" s="111">
        <v>77</v>
      </c>
      <c r="C84" s="112" t="s">
        <v>574</v>
      </c>
      <c r="D84" s="112" t="s">
        <v>575</v>
      </c>
      <c r="E84" s="111" t="s">
        <v>551</v>
      </c>
      <c r="F84" s="289">
        <v>3.8</v>
      </c>
      <c r="G84" s="290">
        <f t="shared" si="19"/>
        <v>14490</v>
      </c>
      <c r="H84" s="113">
        <f t="shared" si="22"/>
        <v>28000</v>
      </c>
      <c r="I84" s="280">
        <f t="shared" si="0"/>
        <v>0</v>
      </c>
      <c r="J84" s="104">
        <f>+ SUMIF('Doanh thu'!A:A, C84,'Doanh thu'!F:F)</f>
        <v>0</v>
      </c>
      <c r="K84" s="100">
        <f>SUMIF('Xuất kho'!D:D, C84,'Xuất kho'!K:K)</f>
        <v>0</v>
      </c>
      <c r="L84" s="291">
        <f>SUMIF('Xuất kho'!$D$1:$D$2955,C84,'Xuất kho'!$H$1:$H$2955)</f>
        <v>1</v>
      </c>
      <c r="M84" s="30">
        <f>SUMIF('Xuất kho'!$D$8:$D$2955,C84,'Xuất kho'!$I$8:$I$2955)</f>
        <v>0</v>
      </c>
      <c r="N84" s="291">
        <f t="shared" si="5"/>
        <v>1</v>
      </c>
      <c r="O84" s="30">
        <f>SUMIF('Xuất kho'!$D$3:$D$2721,C84,'Xuất kho'!$K$3:$K$2721)</f>
        <v>0</v>
      </c>
      <c r="P84" s="274"/>
    </row>
    <row r="85" spans="1:16" ht="13.2">
      <c r="A85" s="372"/>
      <c r="B85" s="111">
        <v>78</v>
      </c>
      <c r="C85" s="112" t="s">
        <v>576</v>
      </c>
      <c r="D85" s="112" t="s">
        <v>577</v>
      </c>
      <c r="E85" s="111" t="s">
        <v>551</v>
      </c>
      <c r="F85" s="289">
        <v>2</v>
      </c>
      <c r="G85" s="290">
        <f t="shared" si="19"/>
        <v>8100</v>
      </c>
      <c r="H85" s="113">
        <f t="shared" ref="H85:H87" si="23">ROUND(G85*2.2,-3)</f>
        <v>18000</v>
      </c>
      <c r="I85" s="280">
        <f t="shared" si="0"/>
        <v>85800</v>
      </c>
      <c r="J85" s="104">
        <f>+ SUMIF('Doanh thu'!A:A, C85,'Doanh thu'!F:F)</f>
        <v>20000</v>
      </c>
      <c r="K85" s="100">
        <f>SUMIF('Xuất kho'!D:D, C85,'Xuất kho'!K:K)</f>
        <v>65800</v>
      </c>
      <c r="L85" s="291">
        <f>SUMIF('Xuất kho'!$D$1:$D$2955,C85,'Xuất kho'!$H$1:$H$2955)</f>
        <v>10</v>
      </c>
      <c r="M85" s="30">
        <f>SUMIF('Xuất kho'!$D$8:$D$2955,C85,'Xuất kho'!$I$8:$I$2955)</f>
        <v>4</v>
      </c>
      <c r="N85" s="291">
        <f t="shared" si="5"/>
        <v>6</v>
      </c>
      <c r="O85" s="30">
        <f>SUMIF('Xuất kho'!$D$3:$D$2721,C85,'Xuất kho'!$K$3:$K$2721)</f>
        <v>65800</v>
      </c>
      <c r="P85" s="274"/>
    </row>
    <row r="86" spans="1:16" ht="13.2">
      <c r="A86" s="372"/>
      <c r="B86" s="111">
        <v>79</v>
      </c>
      <c r="C86" s="112" t="s">
        <v>578</v>
      </c>
      <c r="D86" s="112" t="s">
        <v>579</v>
      </c>
      <c r="E86" s="111" t="s">
        <v>551</v>
      </c>
      <c r="F86" s="289">
        <v>2</v>
      </c>
      <c r="G86" s="290">
        <f t="shared" si="19"/>
        <v>8100</v>
      </c>
      <c r="H86" s="113">
        <f t="shared" si="23"/>
        <v>18000</v>
      </c>
      <c r="I86" s="280">
        <f t="shared" si="0"/>
        <v>99505.333333333328</v>
      </c>
      <c r="J86" s="104">
        <f>+ SUMIF('Doanh thu'!A:A, C86,'Doanh thu'!F:F)</f>
        <v>60000</v>
      </c>
      <c r="K86" s="100">
        <f>SUMIF('Xuất kho'!D:D, C86,'Xuất kho'!K:K)</f>
        <v>39505.333333333328</v>
      </c>
      <c r="L86" s="291">
        <f>SUMIF('Xuất kho'!$D$1:$D$2955,C86,'Xuất kho'!$H$1:$H$2955)</f>
        <v>10</v>
      </c>
      <c r="M86" s="30">
        <f>SUMIF('Xuất kho'!$D$8:$D$2955,C86,'Xuất kho'!$I$8:$I$2955)</f>
        <v>2</v>
      </c>
      <c r="N86" s="291">
        <f t="shared" si="5"/>
        <v>8</v>
      </c>
      <c r="O86" s="30">
        <f>SUMIF('Xuất kho'!$D$3:$D$2721,C86,'Xuất kho'!$K$3:$K$2721)</f>
        <v>39505.333333333328</v>
      </c>
      <c r="P86" s="274"/>
    </row>
    <row r="87" spans="1:16" ht="13.2">
      <c r="A87" s="372"/>
      <c r="B87" s="111">
        <v>80</v>
      </c>
      <c r="C87" s="112" t="s">
        <v>580</v>
      </c>
      <c r="D87" s="112" t="s">
        <v>581</v>
      </c>
      <c r="E87" s="111" t="s">
        <v>551</v>
      </c>
      <c r="F87" s="289">
        <v>2</v>
      </c>
      <c r="G87" s="290">
        <f t="shared" si="19"/>
        <v>8100</v>
      </c>
      <c r="H87" s="113">
        <f t="shared" si="23"/>
        <v>18000</v>
      </c>
      <c r="I87" s="280">
        <f t="shared" si="0"/>
        <v>110263.33333333333</v>
      </c>
      <c r="J87" s="104">
        <f>+ SUMIF('Doanh thu'!A:A, C87,'Doanh thu'!F:F)</f>
        <v>80000</v>
      </c>
      <c r="K87" s="100">
        <f>SUMIF('Xuất kho'!D:D, C87,'Xuất kho'!K:K)</f>
        <v>30263.333333333332</v>
      </c>
      <c r="L87" s="291">
        <f>SUMIF('Xuất kho'!$D$1:$D$2955,C87,'Xuất kho'!$H$1:$H$2955)</f>
        <v>10</v>
      </c>
      <c r="M87" s="30">
        <f>SUMIF('Xuất kho'!$D$8:$D$2955,C87,'Xuất kho'!$I$8:$I$2955)</f>
        <v>2</v>
      </c>
      <c r="N87" s="291">
        <f t="shared" si="5"/>
        <v>8</v>
      </c>
      <c r="O87" s="30">
        <f>SUMIF('Xuất kho'!$D$3:$D$2721,C87,'Xuất kho'!$K$3:$K$2721)</f>
        <v>30263.333333333332</v>
      </c>
      <c r="P87" s="274"/>
    </row>
    <row r="88" spans="1:16" ht="13.2">
      <c r="A88" s="372"/>
      <c r="B88" s="111">
        <v>81</v>
      </c>
      <c r="C88" s="112" t="s">
        <v>582</v>
      </c>
      <c r="D88" s="112" t="s">
        <v>583</v>
      </c>
      <c r="E88" s="111" t="s">
        <v>444</v>
      </c>
      <c r="F88" s="289">
        <v>2.2000000000000002</v>
      </c>
      <c r="G88" s="290">
        <f t="shared" si="19"/>
        <v>8810</v>
      </c>
      <c r="H88" s="113">
        <f t="shared" ref="H88:H95" si="24">ROUND(G88*1.9,-3)</f>
        <v>17000</v>
      </c>
      <c r="I88" s="280">
        <f t="shared" si="0"/>
        <v>26000</v>
      </c>
      <c r="J88" s="104">
        <f>+ SUMIF('Doanh thu'!A:A, C88,'Doanh thu'!F:F)</f>
        <v>26000</v>
      </c>
      <c r="K88" s="100">
        <f>SUMIF('Xuất kho'!D:D, C88,'Xuất kho'!K:K)</f>
        <v>0</v>
      </c>
      <c r="L88" s="291">
        <f>SUMIF('Xuất kho'!$D$1:$D$2955,C88,'Xuất kho'!$H$1:$H$2955)</f>
        <v>3</v>
      </c>
      <c r="M88" s="30">
        <f>SUMIF('Xuất kho'!$D$8:$D$2955,C88,'Xuất kho'!$I$8:$I$2955)</f>
        <v>0</v>
      </c>
      <c r="N88" s="291">
        <f t="shared" si="5"/>
        <v>3</v>
      </c>
      <c r="O88" s="30">
        <f>SUMIF('Xuất kho'!$D$3:$D$2721,C88,'Xuất kho'!$K$3:$K$2721)</f>
        <v>0</v>
      </c>
      <c r="P88" s="274"/>
    </row>
    <row r="89" spans="1:16" ht="13.2">
      <c r="A89" s="372"/>
      <c r="B89" s="111">
        <v>82</v>
      </c>
      <c r="C89" s="112" t="s">
        <v>584</v>
      </c>
      <c r="D89" s="112" t="s">
        <v>2161</v>
      </c>
      <c r="E89" s="111" t="s">
        <v>444</v>
      </c>
      <c r="F89" s="289">
        <v>2.2000000000000002</v>
      </c>
      <c r="G89" s="290">
        <f t="shared" si="19"/>
        <v>8810</v>
      </c>
      <c r="H89" s="113">
        <f t="shared" si="24"/>
        <v>17000</v>
      </c>
      <c r="I89" s="280">
        <f t="shared" si="0"/>
        <v>23000</v>
      </c>
      <c r="J89" s="104">
        <f>+ SUMIF('Doanh thu'!A:A, C89,'Doanh thu'!F:F)</f>
        <v>0</v>
      </c>
      <c r="K89" s="100">
        <f>SUMIF('Xuất kho'!D:D, C89,'Xuất kho'!K:K)</f>
        <v>23000</v>
      </c>
      <c r="L89" s="291">
        <f>SUMIF('Xuất kho'!$D$1:$D$2955,C89,'Xuất kho'!$H$1:$H$2955)</f>
        <v>3</v>
      </c>
      <c r="M89" s="30">
        <f>SUMIF('Xuất kho'!$D$8:$D$2955,C89,'Xuất kho'!$I$8:$I$2955)</f>
        <v>2</v>
      </c>
      <c r="N89" s="291">
        <f t="shared" si="5"/>
        <v>1</v>
      </c>
      <c r="O89" s="30">
        <f>SUMIF('Xuất kho'!$D$3:$D$2721,C89,'Xuất kho'!$K$3:$K$2721)</f>
        <v>23000</v>
      </c>
      <c r="P89" s="274"/>
    </row>
    <row r="90" spans="1:16" ht="13.2">
      <c r="A90" s="372"/>
      <c r="B90" s="111">
        <v>83</v>
      </c>
      <c r="C90" s="112" t="s">
        <v>586</v>
      </c>
      <c r="D90" s="112" t="s">
        <v>2162</v>
      </c>
      <c r="E90" s="111" t="s">
        <v>444</v>
      </c>
      <c r="F90" s="289">
        <v>2.2000000000000002</v>
      </c>
      <c r="G90" s="290">
        <f t="shared" si="19"/>
        <v>8810</v>
      </c>
      <c r="H90" s="113">
        <f t="shared" si="24"/>
        <v>17000</v>
      </c>
      <c r="I90" s="280">
        <f t="shared" si="0"/>
        <v>13860</v>
      </c>
      <c r="J90" s="104">
        <f>+ SUMIF('Doanh thu'!A:A, C90,'Doanh thu'!F:F)</f>
        <v>0</v>
      </c>
      <c r="K90" s="100">
        <f>SUMIF('Xuất kho'!D:D, C90,'Xuất kho'!K:K)</f>
        <v>13860</v>
      </c>
      <c r="L90" s="291">
        <f>SUMIF('Xuất kho'!$D$1:$D$2955,C90,'Xuất kho'!$H$1:$H$2955)</f>
        <v>3</v>
      </c>
      <c r="M90" s="30">
        <f>SUMIF('Xuất kho'!$D$8:$D$2955,C90,'Xuất kho'!$I$8:$I$2955)</f>
        <v>1</v>
      </c>
      <c r="N90" s="291">
        <f t="shared" si="5"/>
        <v>2</v>
      </c>
      <c r="O90" s="30">
        <f>SUMIF('Xuất kho'!$D$3:$D$2721,C90,'Xuất kho'!$K$3:$K$2721)</f>
        <v>13860</v>
      </c>
      <c r="P90" s="274"/>
    </row>
    <row r="91" spans="1:16" ht="13.2">
      <c r="A91" s="372"/>
      <c r="B91" s="111">
        <v>84</v>
      </c>
      <c r="C91" s="112" t="s">
        <v>588</v>
      </c>
      <c r="D91" s="112" t="s">
        <v>589</v>
      </c>
      <c r="E91" s="111" t="s">
        <v>444</v>
      </c>
      <c r="F91" s="289">
        <v>2.2000000000000002</v>
      </c>
      <c r="G91" s="290">
        <f t="shared" si="19"/>
        <v>8810</v>
      </c>
      <c r="H91" s="113">
        <f t="shared" si="24"/>
        <v>17000</v>
      </c>
      <c r="I91" s="280">
        <f t="shared" si="0"/>
        <v>31900</v>
      </c>
      <c r="J91" s="104">
        <f>+ SUMIF('Doanh thu'!A:A, C91,'Doanh thu'!F:F)</f>
        <v>0</v>
      </c>
      <c r="K91" s="100">
        <f>SUMIF('Xuất kho'!D:D, C91,'Xuất kho'!K:K)</f>
        <v>31900</v>
      </c>
      <c r="L91" s="291">
        <f>SUMIF('Xuất kho'!$D$1:$D$2955,C91,'Xuất kho'!$H$1:$H$2955)</f>
        <v>2</v>
      </c>
      <c r="M91" s="30">
        <f>SUMIF('Xuất kho'!$D$8:$D$2955,C91,'Xuất kho'!$I$8:$I$2955)</f>
        <v>2</v>
      </c>
      <c r="N91" s="291">
        <f t="shared" si="5"/>
        <v>0</v>
      </c>
      <c r="O91" s="30">
        <f>SUMIF('Xuất kho'!$D$3:$D$2721,C91,'Xuất kho'!$K$3:$K$2721)</f>
        <v>31900</v>
      </c>
      <c r="P91" s="274"/>
    </row>
    <row r="92" spans="1:16" ht="13.2">
      <c r="A92" s="372"/>
      <c r="B92" s="111">
        <v>85</v>
      </c>
      <c r="C92" s="112" t="s">
        <v>590</v>
      </c>
      <c r="D92" s="112" t="s">
        <v>591</v>
      </c>
      <c r="E92" s="111" t="s">
        <v>444</v>
      </c>
      <c r="F92" s="289">
        <v>2.2000000000000002</v>
      </c>
      <c r="G92" s="290">
        <f t="shared" si="19"/>
        <v>8810</v>
      </c>
      <c r="H92" s="113">
        <f t="shared" si="24"/>
        <v>17000</v>
      </c>
      <c r="I92" s="280">
        <f t="shared" si="0"/>
        <v>73620</v>
      </c>
      <c r="J92" s="104">
        <f>+ SUMIF('Doanh thu'!A:A, C92,'Doanh thu'!F:F)</f>
        <v>56000</v>
      </c>
      <c r="K92" s="100">
        <f>SUMIF('Xuất kho'!D:D, C92,'Xuất kho'!K:K)</f>
        <v>17620</v>
      </c>
      <c r="L92" s="291">
        <f>SUMIF('Xuất kho'!$D$1:$D$2955,C92,'Xuất kho'!$H$1:$H$2955)</f>
        <v>3</v>
      </c>
      <c r="M92" s="30">
        <f>SUMIF('Xuất kho'!$D$8:$D$2955,C92,'Xuất kho'!$I$8:$I$2955)</f>
        <v>2</v>
      </c>
      <c r="N92" s="291">
        <f t="shared" si="5"/>
        <v>1</v>
      </c>
      <c r="O92" s="30">
        <f>SUMIF('Xuất kho'!$D$3:$D$2721,C92,'Xuất kho'!$K$3:$K$2721)</f>
        <v>17620</v>
      </c>
      <c r="P92" s="274"/>
    </row>
    <row r="93" spans="1:16" ht="13.2">
      <c r="A93" s="372"/>
      <c r="B93" s="111">
        <v>86</v>
      </c>
      <c r="C93" s="112" t="s">
        <v>629</v>
      </c>
      <c r="D93" s="112" t="s">
        <v>2163</v>
      </c>
      <c r="E93" s="111" t="s">
        <v>444</v>
      </c>
      <c r="F93" s="289">
        <v>2.5</v>
      </c>
      <c r="G93" s="290">
        <f t="shared" si="19"/>
        <v>9875</v>
      </c>
      <c r="H93" s="113">
        <f t="shared" si="24"/>
        <v>19000</v>
      </c>
      <c r="I93" s="280">
        <f t="shared" si="0"/>
        <v>105000</v>
      </c>
      <c r="J93" s="104">
        <f>+ SUMIF('Doanh thu'!A:A, C93,'Doanh thu'!F:F)</f>
        <v>65000</v>
      </c>
      <c r="K93" s="100">
        <f>SUMIF('Xuất kho'!D:D, C93,'Xuất kho'!K:K)</f>
        <v>40000</v>
      </c>
      <c r="L93" s="291">
        <f>SUMIF('Xuất kho'!$D$1:$D$2955,C93,'Xuất kho'!$H$1:$H$2955)</f>
        <v>3</v>
      </c>
      <c r="M93" s="30">
        <f>SUMIF('Xuất kho'!$D$8:$D$2955,C93,'Xuất kho'!$I$8:$I$2955)</f>
        <v>2</v>
      </c>
      <c r="N93" s="291">
        <f t="shared" si="5"/>
        <v>1</v>
      </c>
      <c r="O93" s="30">
        <f>SUMIF('Xuất kho'!$D$3:$D$2721,C93,'Xuất kho'!$K$3:$K$2721)</f>
        <v>40000</v>
      </c>
      <c r="P93" s="274"/>
    </row>
    <row r="94" spans="1:16" ht="13.2">
      <c r="A94" s="372"/>
      <c r="B94" s="111">
        <v>87</v>
      </c>
      <c r="C94" s="112" t="s">
        <v>631</v>
      </c>
      <c r="D94" s="112" t="s">
        <v>2164</v>
      </c>
      <c r="E94" s="111" t="s">
        <v>444</v>
      </c>
      <c r="F94" s="289">
        <v>2.5</v>
      </c>
      <c r="G94" s="290">
        <f t="shared" si="19"/>
        <v>9875</v>
      </c>
      <c r="H94" s="113">
        <f t="shared" si="24"/>
        <v>19000</v>
      </c>
      <c r="I94" s="280">
        <f t="shared" si="0"/>
        <v>19000</v>
      </c>
      <c r="J94" s="104">
        <f>+ SUMIF('Doanh thu'!A:A, C94,'Doanh thu'!F:F)</f>
        <v>19000</v>
      </c>
      <c r="K94" s="100">
        <f>SUMIF('Xuất kho'!D:D, C94,'Xuất kho'!K:K)</f>
        <v>0</v>
      </c>
      <c r="L94" s="291">
        <f>SUMIF('Xuất kho'!$D$1:$D$2955,C94,'Xuất kho'!$H$1:$H$2955)</f>
        <v>3</v>
      </c>
      <c r="M94" s="30">
        <f>SUMIF('Xuất kho'!$D$8:$D$2955,C94,'Xuất kho'!$I$8:$I$2955)</f>
        <v>0</v>
      </c>
      <c r="N94" s="291">
        <f t="shared" si="5"/>
        <v>3</v>
      </c>
      <c r="O94" s="30">
        <f>SUMIF('Xuất kho'!$D$3:$D$2721,C94,'Xuất kho'!$K$3:$K$2721)</f>
        <v>0</v>
      </c>
      <c r="P94" s="274"/>
    </row>
    <row r="95" spans="1:16" ht="13.2">
      <c r="A95" s="372"/>
      <c r="B95" s="111">
        <v>88</v>
      </c>
      <c r="C95" s="112" t="s">
        <v>633</v>
      </c>
      <c r="D95" s="112" t="s">
        <v>2165</v>
      </c>
      <c r="E95" s="111" t="s">
        <v>444</v>
      </c>
      <c r="F95" s="289">
        <v>2.5</v>
      </c>
      <c r="G95" s="290">
        <f t="shared" si="19"/>
        <v>9875</v>
      </c>
      <c r="H95" s="113">
        <f t="shared" si="24"/>
        <v>19000</v>
      </c>
      <c r="I95" s="280">
        <f t="shared" si="0"/>
        <v>65000</v>
      </c>
      <c r="J95" s="104">
        <f>+ SUMIF('Doanh thu'!A:A, C95,'Doanh thu'!F:F)</f>
        <v>65000</v>
      </c>
      <c r="K95" s="100">
        <f>SUMIF('Xuất kho'!D:D, C95,'Xuất kho'!K:K)</f>
        <v>0</v>
      </c>
      <c r="L95" s="291">
        <f>SUMIF('Xuất kho'!$D$1:$D$2955,C95,'Xuất kho'!$H$1:$H$2955)</f>
        <v>3</v>
      </c>
      <c r="M95" s="30">
        <f>SUMIF('Xuất kho'!$D$8:$D$2955,C95,'Xuất kho'!$I$8:$I$2955)</f>
        <v>0</v>
      </c>
      <c r="N95" s="291">
        <f t="shared" si="5"/>
        <v>3</v>
      </c>
      <c r="O95" s="30">
        <f>SUMIF('Xuất kho'!$D$3:$D$2721,C95,'Xuất kho'!$K$3:$K$2721)</f>
        <v>0</v>
      </c>
      <c r="P95" s="274"/>
    </row>
    <row r="96" spans="1:16" ht="13.2">
      <c r="A96" s="372"/>
      <c r="B96" s="111">
        <v>89</v>
      </c>
      <c r="C96" s="112" t="s">
        <v>635</v>
      </c>
      <c r="D96" s="112" t="s">
        <v>630</v>
      </c>
      <c r="E96" s="111" t="s">
        <v>444</v>
      </c>
      <c r="F96" s="289">
        <v>5</v>
      </c>
      <c r="G96" s="290">
        <f t="shared" si="19"/>
        <v>18750</v>
      </c>
      <c r="H96" s="113">
        <v>32500</v>
      </c>
      <c r="I96" s="280">
        <f t="shared" si="0"/>
        <v>0</v>
      </c>
      <c r="J96" s="104">
        <f>+ SUMIF('Doanh thu'!A:A, C96,'Doanh thu'!F:F)</f>
        <v>0</v>
      </c>
      <c r="K96" s="100">
        <f>SUMIF('Xuất kho'!D:D, C96,'Xuất kho'!K:K)</f>
        <v>0</v>
      </c>
      <c r="L96" s="291">
        <f>SUMIF('Xuất kho'!$D$1:$D$2955,C96,'Xuất kho'!$H$1:$H$2955)</f>
        <v>7</v>
      </c>
      <c r="M96" s="30">
        <f>SUMIF('Xuất kho'!$D$8:$D$2955,C96,'Xuất kho'!$I$8:$I$2955)</f>
        <v>0</v>
      </c>
      <c r="N96" s="291">
        <f t="shared" si="5"/>
        <v>7</v>
      </c>
      <c r="O96" s="30">
        <f>SUMIF('Xuất kho'!$D$3:$D$2721,C96,'Xuất kho'!$K$3:$K$2721)</f>
        <v>0</v>
      </c>
      <c r="P96" s="274"/>
    </row>
    <row r="97" spans="1:16" ht="13.2">
      <c r="A97" s="372"/>
      <c r="B97" s="111">
        <v>90</v>
      </c>
      <c r="C97" s="112" t="s">
        <v>637</v>
      </c>
      <c r="D97" s="112" t="s">
        <v>632</v>
      </c>
      <c r="E97" s="111" t="s">
        <v>444</v>
      </c>
      <c r="F97" s="289">
        <v>5</v>
      </c>
      <c r="G97" s="290">
        <f t="shared" si="19"/>
        <v>18750</v>
      </c>
      <c r="H97" s="113">
        <v>32500</v>
      </c>
      <c r="I97" s="280">
        <f t="shared" si="0"/>
        <v>25000</v>
      </c>
      <c r="J97" s="104">
        <f>+ SUMIF('Doanh thu'!A:A, C97,'Doanh thu'!F:F)</f>
        <v>0</v>
      </c>
      <c r="K97" s="100">
        <f>SUMIF('Xuất kho'!D:D, C97,'Xuất kho'!K:K)</f>
        <v>25000</v>
      </c>
      <c r="L97" s="291">
        <f>SUMIF('Xuất kho'!$D$1:$D$2955,C97,'Xuất kho'!$H$1:$H$2955)</f>
        <v>2</v>
      </c>
      <c r="M97" s="30">
        <f>SUMIF('Xuất kho'!$D$8:$D$2955,C97,'Xuất kho'!$I$8:$I$2955)</f>
        <v>1</v>
      </c>
      <c r="N97" s="291">
        <f t="shared" si="5"/>
        <v>1</v>
      </c>
      <c r="O97" s="30">
        <f>SUMIF('Xuất kho'!$D$3:$D$2721,C97,'Xuất kho'!$K$3:$K$2721)</f>
        <v>25000</v>
      </c>
      <c r="P97" s="274"/>
    </row>
    <row r="98" spans="1:16" ht="13.2">
      <c r="A98" s="372"/>
      <c r="B98" s="111">
        <v>91</v>
      </c>
      <c r="C98" s="112" t="s">
        <v>639</v>
      </c>
      <c r="D98" s="112" t="s">
        <v>634</v>
      </c>
      <c r="E98" s="111" t="s">
        <v>444</v>
      </c>
      <c r="F98" s="289">
        <v>5</v>
      </c>
      <c r="G98" s="290">
        <f t="shared" si="19"/>
        <v>18750</v>
      </c>
      <c r="H98" s="113">
        <v>32500</v>
      </c>
      <c r="I98" s="280">
        <f t="shared" si="0"/>
        <v>0</v>
      </c>
      <c r="J98" s="104">
        <f>+ SUMIF('Doanh thu'!A:A, C98,'Doanh thu'!F:F)</f>
        <v>0</v>
      </c>
      <c r="K98" s="100">
        <f>SUMIF('Xuất kho'!D:D, C98,'Xuất kho'!K:K)</f>
        <v>0</v>
      </c>
      <c r="L98" s="291">
        <f>SUMIF('Xuất kho'!$D$1:$D$2955,C98,'Xuất kho'!$H$1:$H$2955)</f>
        <v>2</v>
      </c>
      <c r="M98" s="30">
        <f>SUMIF('Xuất kho'!$D$8:$D$2955,C98,'Xuất kho'!$I$8:$I$2955)</f>
        <v>0</v>
      </c>
      <c r="N98" s="291">
        <f t="shared" si="5"/>
        <v>2</v>
      </c>
      <c r="O98" s="30">
        <f>SUMIF('Xuất kho'!$D$3:$D$2721,C98,'Xuất kho'!$K$3:$K$2721)</f>
        <v>0</v>
      </c>
      <c r="P98" s="274"/>
    </row>
    <row r="99" spans="1:16" ht="13.2">
      <c r="A99" s="372"/>
      <c r="B99" s="111">
        <v>92</v>
      </c>
      <c r="C99" s="112" t="s">
        <v>641</v>
      </c>
      <c r="D99" s="112" t="s">
        <v>642</v>
      </c>
      <c r="E99" s="111" t="s">
        <v>444</v>
      </c>
      <c r="F99" s="289">
        <v>3</v>
      </c>
      <c r="G99" s="290">
        <f t="shared" si="19"/>
        <v>11650</v>
      </c>
      <c r="H99" s="113">
        <f t="shared" ref="H99:H101" si="25">ROUND(G99*1.9,-3)</f>
        <v>22000</v>
      </c>
      <c r="I99" s="280">
        <f t="shared" si="0"/>
        <v>64000</v>
      </c>
      <c r="J99" s="104">
        <f>+ SUMIF('Doanh thu'!A:A, C99,'Doanh thu'!F:F)</f>
        <v>64000</v>
      </c>
      <c r="K99" s="100">
        <f>SUMIF('Xuất kho'!D:D, C99,'Xuất kho'!K:K)</f>
        <v>0</v>
      </c>
      <c r="L99" s="291">
        <f>SUMIF('Xuất kho'!$D$1:$D$2955,C99,'Xuất kho'!$H$1:$H$2955)</f>
        <v>3</v>
      </c>
      <c r="M99" s="30">
        <f>SUMIF('Xuất kho'!$D$8:$D$2955,C99,'Xuất kho'!$I$8:$I$2955)</f>
        <v>0</v>
      </c>
      <c r="N99" s="291">
        <f t="shared" si="5"/>
        <v>3</v>
      </c>
      <c r="O99" s="30">
        <f>SUMIF('Xuất kho'!$D$3:$D$2721,C99,'Xuất kho'!$K$3:$K$2721)</f>
        <v>0</v>
      </c>
      <c r="P99" s="274"/>
    </row>
    <row r="100" spans="1:16" ht="13.2">
      <c r="A100" s="372"/>
      <c r="B100" s="111">
        <v>93</v>
      </c>
      <c r="C100" s="112" t="s">
        <v>643</v>
      </c>
      <c r="D100" s="112" t="s">
        <v>644</v>
      </c>
      <c r="E100" s="111" t="s">
        <v>444</v>
      </c>
      <c r="F100" s="289">
        <v>3</v>
      </c>
      <c r="G100" s="290">
        <f t="shared" si="19"/>
        <v>11650</v>
      </c>
      <c r="H100" s="113">
        <f t="shared" si="25"/>
        <v>22000</v>
      </c>
      <c r="I100" s="280">
        <f t="shared" si="0"/>
        <v>63000</v>
      </c>
      <c r="J100" s="104">
        <f>+ SUMIF('Doanh thu'!A:A, C100,'Doanh thu'!F:F)</f>
        <v>63000</v>
      </c>
      <c r="K100" s="100">
        <f>SUMIF('Xuất kho'!D:D, C100,'Xuất kho'!K:K)</f>
        <v>0</v>
      </c>
      <c r="L100" s="291">
        <f>SUMIF('Xuất kho'!$D$1:$D$2955,C100,'Xuất kho'!$H$1:$H$2955)</f>
        <v>3</v>
      </c>
      <c r="M100" s="30">
        <f>SUMIF('Xuất kho'!$D$8:$D$2955,C100,'Xuất kho'!$I$8:$I$2955)</f>
        <v>0</v>
      </c>
      <c r="N100" s="291">
        <f t="shared" si="5"/>
        <v>3</v>
      </c>
      <c r="O100" s="30">
        <f>SUMIF('Xuất kho'!$D$3:$D$2721,C100,'Xuất kho'!$K$3:$K$2721)</f>
        <v>0</v>
      </c>
      <c r="P100" s="274"/>
    </row>
    <row r="101" spans="1:16" ht="13.2">
      <c r="A101" s="372"/>
      <c r="B101" s="111">
        <v>94</v>
      </c>
      <c r="C101" s="112" t="s">
        <v>645</v>
      </c>
      <c r="D101" s="112" t="s">
        <v>646</v>
      </c>
      <c r="E101" s="111" t="s">
        <v>444</v>
      </c>
      <c r="F101" s="289">
        <v>3</v>
      </c>
      <c r="G101" s="290">
        <f t="shared" si="19"/>
        <v>11650</v>
      </c>
      <c r="H101" s="113">
        <f t="shared" si="25"/>
        <v>22000</v>
      </c>
      <c r="I101" s="280">
        <f t="shared" si="0"/>
        <v>36000</v>
      </c>
      <c r="J101" s="104">
        <f>+ SUMIF('Doanh thu'!A:A, C101,'Doanh thu'!F:F)</f>
        <v>21000</v>
      </c>
      <c r="K101" s="100">
        <f>SUMIF('Xuất kho'!D:D, C101,'Xuất kho'!K:K)</f>
        <v>15000</v>
      </c>
      <c r="L101" s="291">
        <f>SUMIF('Xuất kho'!$D$1:$D$2955,C101,'Xuất kho'!$H$1:$H$2955)</f>
        <v>3</v>
      </c>
      <c r="M101" s="30">
        <f>SUMIF('Xuất kho'!$D$8:$D$2955,C101,'Xuất kho'!$I$8:$I$2955)</f>
        <v>1</v>
      </c>
      <c r="N101" s="291">
        <f t="shared" si="5"/>
        <v>2</v>
      </c>
      <c r="O101" s="30">
        <f>SUMIF('Xuất kho'!$D$3:$D$2721,C101,'Xuất kho'!$K$3:$K$2721)</f>
        <v>15000</v>
      </c>
      <c r="P101" s="274"/>
    </row>
    <row r="102" spans="1:16" ht="13.2">
      <c r="A102" s="372"/>
      <c r="B102" s="111">
        <v>95</v>
      </c>
      <c r="C102" s="112" t="s">
        <v>647</v>
      </c>
      <c r="D102" s="112" t="s">
        <v>2166</v>
      </c>
      <c r="E102" s="111" t="s">
        <v>444</v>
      </c>
      <c r="F102" s="289">
        <v>3</v>
      </c>
      <c r="G102" s="290">
        <f t="shared" si="19"/>
        <v>11650</v>
      </c>
      <c r="H102" s="113">
        <v>21000</v>
      </c>
      <c r="I102" s="280">
        <f t="shared" si="0"/>
        <v>57000</v>
      </c>
      <c r="J102" s="104">
        <f>+ SUMIF('Doanh thu'!A:A, C102,'Doanh thu'!F:F)</f>
        <v>42000</v>
      </c>
      <c r="K102" s="100">
        <f>SUMIF('Xuất kho'!D:D, C102,'Xuất kho'!K:K)</f>
        <v>15000</v>
      </c>
      <c r="L102" s="291">
        <f>SUMIF('Xuất kho'!$D$1:$D$2955,C102,'Xuất kho'!$H$1:$H$2955)</f>
        <v>3</v>
      </c>
      <c r="M102" s="30">
        <f>SUMIF('Xuất kho'!$D$8:$D$2955,C102,'Xuất kho'!$I$8:$I$2955)</f>
        <v>1</v>
      </c>
      <c r="N102" s="291">
        <f t="shared" si="5"/>
        <v>2</v>
      </c>
      <c r="O102" s="30">
        <f>SUMIF('Xuất kho'!$D$3:$D$2721,C102,'Xuất kho'!$K$3:$K$2721)</f>
        <v>15000</v>
      </c>
      <c r="P102" s="274"/>
    </row>
    <row r="103" spans="1:16" ht="13.2">
      <c r="A103" s="372"/>
      <c r="B103" s="111">
        <v>96</v>
      </c>
      <c r="C103" s="112" t="s">
        <v>649</v>
      </c>
      <c r="D103" s="112" t="s">
        <v>650</v>
      </c>
      <c r="E103" s="111" t="s">
        <v>444</v>
      </c>
      <c r="F103" s="289">
        <v>2.6</v>
      </c>
      <c r="G103" s="290">
        <f t="shared" si="19"/>
        <v>10230</v>
      </c>
      <c r="H103" s="113">
        <f t="shared" ref="H103:H137" si="26">ROUND(G103*1.9,-3)</f>
        <v>19000</v>
      </c>
      <c r="I103" s="280">
        <f t="shared" si="0"/>
        <v>0</v>
      </c>
      <c r="J103" s="104">
        <f>+ SUMIF('Doanh thu'!A:A, C103,'Doanh thu'!F:F)</f>
        <v>0</v>
      </c>
      <c r="K103" s="100">
        <f>SUMIF('Xuất kho'!D:D, C103,'Xuất kho'!K:K)</f>
        <v>0</v>
      </c>
      <c r="L103" s="291">
        <f>SUMIF('Xuất kho'!$D$1:$D$2955,C103,'Xuất kho'!$H$1:$H$2955)</f>
        <v>3</v>
      </c>
      <c r="M103" s="30">
        <f>SUMIF('Xuất kho'!$D$8:$D$2955,C103,'Xuất kho'!$I$8:$I$2955)</f>
        <v>0</v>
      </c>
      <c r="N103" s="291">
        <f t="shared" si="5"/>
        <v>3</v>
      </c>
      <c r="O103" s="30">
        <f>SUMIF('Xuất kho'!$D$3:$D$2721,C103,'Xuất kho'!$K$3:$K$2721)</f>
        <v>0</v>
      </c>
      <c r="P103" s="274"/>
    </row>
    <row r="104" spans="1:16" ht="13.2">
      <c r="A104" s="372"/>
      <c r="B104" s="111">
        <v>97</v>
      </c>
      <c r="C104" s="112" t="s">
        <v>651</v>
      </c>
      <c r="D104" s="112" t="s">
        <v>2167</v>
      </c>
      <c r="E104" s="111" t="s">
        <v>444</v>
      </c>
      <c r="F104" s="289">
        <v>2.6</v>
      </c>
      <c r="G104" s="290">
        <f t="shared" si="19"/>
        <v>10230</v>
      </c>
      <c r="H104" s="113">
        <f t="shared" si="26"/>
        <v>19000</v>
      </c>
      <c r="I104" s="280">
        <f t="shared" si="0"/>
        <v>0</v>
      </c>
      <c r="J104" s="104">
        <f>+ SUMIF('Doanh thu'!A:A, C104,'Doanh thu'!F:F)</f>
        <v>0</v>
      </c>
      <c r="K104" s="100">
        <f>SUMIF('Xuất kho'!D:D, C104,'Xuất kho'!K:K)</f>
        <v>0</v>
      </c>
      <c r="L104" s="291">
        <f>SUMIF('Xuất kho'!$D$1:$D$2955,C104,'Xuất kho'!$H$1:$H$2955)</f>
        <v>3</v>
      </c>
      <c r="M104" s="30">
        <f>SUMIF('Xuất kho'!$D$8:$D$2955,C104,'Xuất kho'!$I$8:$I$2955)</f>
        <v>0</v>
      </c>
      <c r="N104" s="291">
        <f t="shared" si="5"/>
        <v>3</v>
      </c>
      <c r="O104" s="30">
        <f>SUMIF('Xuất kho'!$D$3:$D$2721,C104,'Xuất kho'!$K$3:$K$2721)</f>
        <v>0</v>
      </c>
      <c r="P104" s="274"/>
    </row>
    <row r="105" spans="1:16" ht="13.2">
      <c r="A105" s="372"/>
      <c r="B105" s="111">
        <v>98</v>
      </c>
      <c r="C105" s="112" t="s">
        <v>653</v>
      </c>
      <c r="D105" s="112" t="s">
        <v>654</v>
      </c>
      <c r="E105" s="111" t="s">
        <v>444</v>
      </c>
      <c r="F105" s="289">
        <v>2.6</v>
      </c>
      <c r="G105" s="290">
        <f t="shared" si="19"/>
        <v>10230</v>
      </c>
      <c r="H105" s="113">
        <f t="shared" si="26"/>
        <v>19000</v>
      </c>
      <c r="I105" s="280">
        <f t="shared" si="0"/>
        <v>0</v>
      </c>
      <c r="J105" s="104">
        <f>+ SUMIF('Doanh thu'!A:A, C105,'Doanh thu'!F:F)</f>
        <v>0</v>
      </c>
      <c r="K105" s="100">
        <f>SUMIF('Xuất kho'!D:D, C105,'Xuất kho'!K:K)</f>
        <v>0</v>
      </c>
      <c r="L105" s="291">
        <f>SUMIF('Xuất kho'!$D$1:$D$2955,C105,'Xuất kho'!$H$1:$H$2955)</f>
        <v>3</v>
      </c>
      <c r="M105" s="30">
        <f>SUMIF('Xuất kho'!$D$8:$D$2955,C105,'Xuất kho'!$I$8:$I$2955)</f>
        <v>0</v>
      </c>
      <c r="N105" s="291">
        <f t="shared" si="5"/>
        <v>3</v>
      </c>
      <c r="O105" s="30">
        <f>SUMIF('Xuất kho'!$D$3:$D$2721,C105,'Xuất kho'!$K$3:$K$2721)</f>
        <v>0</v>
      </c>
      <c r="P105" s="274"/>
    </row>
    <row r="106" spans="1:16" ht="13.2">
      <c r="A106" s="372"/>
      <c r="B106" s="111">
        <v>99</v>
      </c>
      <c r="C106" s="112" t="s">
        <v>655</v>
      </c>
      <c r="D106" s="112" t="s">
        <v>656</v>
      </c>
      <c r="E106" s="111" t="s">
        <v>444</v>
      </c>
      <c r="F106" s="289">
        <v>2.6</v>
      </c>
      <c r="G106" s="290">
        <f t="shared" si="19"/>
        <v>10230</v>
      </c>
      <c r="H106" s="113">
        <f t="shared" si="26"/>
        <v>19000</v>
      </c>
      <c r="I106" s="280">
        <f t="shared" si="0"/>
        <v>0</v>
      </c>
      <c r="J106" s="104">
        <f>+ SUMIF('Doanh thu'!A:A, C106,'Doanh thu'!F:F)</f>
        <v>0</v>
      </c>
      <c r="K106" s="100">
        <f>SUMIF('Xuất kho'!D:D, C106,'Xuất kho'!K:K)</f>
        <v>0</v>
      </c>
      <c r="L106" s="291">
        <f>SUMIF('Xuất kho'!$D$1:$D$2955,C106,'Xuất kho'!$H$1:$H$2955)</f>
        <v>2</v>
      </c>
      <c r="M106" s="30">
        <f>SUMIF('Xuất kho'!$D$8:$D$2955,C106,'Xuất kho'!$I$8:$I$2955)</f>
        <v>0</v>
      </c>
      <c r="N106" s="291">
        <f t="shared" si="5"/>
        <v>2</v>
      </c>
      <c r="O106" s="30">
        <f>SUMIF('Xuất kho'!$D$3:$D$2721,C106,'Xuất kho'!$K$3:$K$2721)</f>
        <v>0</v>
      </c>
      <c r="P106" s="274"/>
    </row>
    <row r="107" spans="1:16" ht="13.2">
      <c r="A107" s="372"/>
      <c r="B107" s="111">
        <v>100</v>
      </c>
      <c r="C107" s="112" t="s">
        <v>657</v>
      </c>
      <c r="D107" s="112" t="s">
        <v>658</v>
      </c>
      <c r="E107" s="111" t="s">
        <v>444</v>
      </c>
      <c r="F107" s="289">
        <v>2.6</v>
      </c>
      <c r="G107" s="290">
        <f t="shared" si="19"/>
        <v>10230</v>
      </c>
      <c r="H107" s="113">
        <f t="shared" si="26"/>
        <v>19000</v>
      </c>
      <c r="I107" s="280">
        <f t="shared" si="0"/>
        <v>20460</v>
      </c>
      <c r="J107" s="104">
        <f>+ SUMIF('Doanh thu'!A:A, C107,'Doanh thu'!F:F)</f>
        <v>0</v>
      </c>
      <c r="K107" s="100">
        <f>SUMIF('Xuất kho'!D:D, C107,'Xuất kho'!K:K)</f>
        <v>20460</v>
      </c>
      <c r="L107" s="291">
        <f>SUMIF('Xuất kho'!$D$1:$D$2955,C107,'Xuất kho'!$H$1:$H$2955)</f>
        <v>2</v>
      </c>
      <c r="M107" s="30">
        <f>SUMIF('Xuất kho'!$D$8:$D$2955,C107,'Xuất kho'!$I$8:$I$2955)</f>
        <v>2</v>
      </c>
      <c r="N107" s="291">
        <f t="shared" si="5"/>
        <v>0</v>
      </c>
      <c r="O107" s="30">
        <f>SUMIF('Xuất kho'!$D$3:$D$2721,C107,'Xuất kho'!$K$3:$K$2721)</f>
        <v>20460</v>
      </c>
      <c r="P107" s="274"/>
    </row>
    <row r="108" spans="1:16" ht="13.2">
      <c r="A108" s="372"/>
      <c r="B108" s="111">
        <v>101</v>
      </c>
      <c r="C108" s="112" t="s">
        <v>659</v>
      </c>
      <c r="D108" s="112" t="s">
        <v>660</v>
      </c>
      <c r="E108" s="111" t="s">
        <v>444</v>
      </c>
      <c r="F108" s="289">
        <v>3.5</v>
      </c>
      <c r="G108" s="290">
        <f t="shared" si="19"/>
        <v>13425</v>
      </c>
      <c r="H108" s="113">
        <f t="shared" si="26"/>
        <v>26000</v>
      </c>
      <c r="I108" s="280">
        <f t="shared" si="0"/>
        <v>47000</v>
      </c>
      <c r="J108" s="104">
        <f>+ SUMIF('Doanh thu'!A:A, C108,'Doanh thu'!F:F)</f>
        <v>29000</v>
      </c>
      <c r="K108" s="100">
        <f>SUMIF('Xuất kho'!D:D, C108,'Xuất kho'!K:K)</f>
        <v>18000</v>
      </c>
      <c r="L108" s="291">
        <f>SUMIF('Xuất kho'!$D$1:$D$2955,C108,'Xuất kho'!$H$1:$H$2955)</f>
        <v>3</v>
      </c>
      <c r="M108" s="30">
        <f>SUMIF('Xuất kho'!$D$8:$D$2955,C108,'Xuất kho'!$I$8:$I$2955)</f>
        <v>1</v>
      </c>
      <c r="N108" s="291">
        <f t="shared" si="5"/>
        <v>2</v>
      </c>
      <c r="O108" s="30">
        <f>SUMIF('Xuất kho'!$D$3:$D$2721,C108,'Xuất kho'!$K$3:$K$2721)</f>
        <v>18000</v>
      </c>
      <c r="P108" s="274"/>
    </row>
    <row r="109" spans="1:16" ht="13.2">
      <c r="A109" s="372"/>
      <c r="B109" s="111">
        <v>102</v>
      </c>
      <c r="C109" s="112" t="s">
        <v>661</v>
      </c>
      <c r="D109" s="112" t="s">
        <v>662</v>
      </c>
      <c r="E109" s="111" t="s">
        <v>444</v>
      </c>
      <c r="F109" s="289">
        <v>3.5</v>
      </c>
      <c r="G109" s="290">
        <f t="shared" si="19"/>
        <v>13425</v>
      </c>
      <c r="H109" s="113">
        <f t="shared" si="26"/>
        <v>26000</v>
      </c>
      <c r="I109" s="280">
        <f t="shared" si="0"/>
        <v>73000</v>
      </c>
      <c r="J109" s="104">
        <f>+ SUMIF('Doanh thu'!A:A, C109,'Doanh thu'!F:F)</f>
        <v>55000</v>
      </c>
      <c r="K109" s="100">
        <f>SUMIF('Xuất kho'!D:D, C109,'Xuất kho'!K:K)</f>
        <v>18000</v>
      </c>
      <c r="L109" s="291">
        <f>SUMIF('Xuất kho'!$D$1:$D$2955,C109,'Xuất kho'!$H$1:$H$2955)</f>
        <v>3</v>
      </c>
      <c r="M109" s="30">
        <f>SUMIF('Xuất kho'!$D$8:$D$2955,C109,'Xuất kho'!$I$8:$I$2955)</f>
        <v>1</v>
      </c>
      <c r="N109" s="291">
        <f t="shared" si="5"/>
        <v>2</v>
      </c>
      <c r="O109" s="30">
        <f>SUMIF('Xuất kho'!$D$3:$D$2721,C109,'Xuất kho'!$K$3:$K$2721)</f>
        <v>18000</v>
      </c>
      <c r="P109" s="274"/>
    </row>
    <row r="110" spans="1:16" ht="13.2">
      <c r="A110" s="372"/>
      <c r="B110" s="111">
        <v>103</v>
      </c>
      <c r="C110" s="112" t="s">
        <v>663</v>
      </c>
      <c r="D110" s="112" t="s">
        <v>664</v>
      </c>
      <c r="E110" s="111" t="s">
        <v>444</v>
      </c>
      <c r="F110" s="289">
        <v>0.5</v>
      </c>
      <c r="G110" s="290">
        <f t="shared" si="19"/>
        <v>2775</v>
      </c>
      <c r="H110" s="113">
        <f t="shared" si="26"/>
        <v>5000</v>
      </c>
      <c r="I110" s="280">
        <f t="shared" si="0"/>
        <v>5000</v>
      </c>
      <c r="J110" s="104">
        <f>+ SUMIF('Doanh thu'!A:A, C110,'Doanh thu'!F:F)</f>
        <v>0</v>
      </c>
      <c r="K110" s="100">
        <f>SUMIF('Xuất kho'!D:D, C110,'Xuất kho'!K:K)</f>
        <v>5000</v>
      </c>
      <c r="L110" s="291">
        <f>SUMIF('Xuất kho'!$D$1:$D$2955,C110,'Xuất kho'!$H$1:$H$2955)</f>
        <v>2</v>
      </c>
      <c r="M110" s="30">
        <f>SUMIF('Xuất kho'!$D$8:$D$2955,C110,'Xuất kho'!$I$8:$I$2955)</f>
        <v>1</v>
      </c>
      <c r="N110" s="291">
        <f t="shared" si="5"/>
        <v>1</v>
      </c>
      <c r="O110" s="30">
        <f>SUMIF('Xuất kho'!$D$3:$D$2721,C110,'Xuất kho'!$K$3:$K$2721)</f>
        <v>5000</v>
      </c>
      <c r="P110" s="274"/>
    </row>
    <row r="111" spans="1:16" ht="13.2">
      <c r="A111" s="372"/>
      <c r="B111" s="111">
        <v>104</v>
      </c>
      <c r="C111" s="112" t="s">
        <v>665</v>
      </c>
      <c r="D111" s="112" t="s">
        <v>666</v>
      </c>
      <c r="E111" s="111" t="s">
        <v>444</v>
      </c>
      <c r="F111" s="289">
        <v>1.2</v>
      </c>
      <c r="G111" s="290">
        <f t="shared" si="19"/>
        <v>5260</v>
      </c>
      <c r="H111" s="113">
        <f t="shared" si="26"/>
        <v>10000</v>
      </c>
      <c r="I111" s="280">
        <f t="shared" si="0"/>
        <v>20000</v>
      </c>
      <c r="J111" s="104">
        <f>+ SUMIF('Doanh thu'!A:A, C111,'Doanh thu'!F:F)</f>
        <v>20000</v>
      </c>
      <c r="K111" s="100">
        <f>SUMIF('Xuất kho'!D:D, C111,'Xuất kho'!K:K)</f>
        <v>0</v>
      </c>
      <c r="L111" s="291">
        <f>SUMIF('Xuất kho'!$D$1:$D$2955,C111,'Xuất kho'!$H$1:$H$2955)</f>
        <v>2</v>
      </c>
      <c r="M111" s="30">
        <f>SUMIF('Xuất kho'!$D$8:$D$2955,C111,'Xuất kho'!$I$8:$I$2955)</f>
        <v>0</v>
      </c>
      <c r="N111" s="291">
        <f t="shared" si="5"/>
        <v>2</v>
      </c>
      <c r="O111" s="30">
        <f>SUMIF('Xuất kho'!$D$3:$D$2721,C111,'Xuất kho'!$K$3:$K$2721)</f>
        <v>0</v>
      </c>
      <c r="P111" s="274"/>
    </row>
    <row r="112" spans="1:16" ht="13.2">
      <c r="A112" s="372"/>
      <c r="B112" s="111">
        <v>105</v>
      </c>
      <c r="C112" s="112" t="s">
        <v>667</v>
      </c>
      <c r="D112" s="112" t="s">
        <v>668</v>
      </c>
      <c r="E112" s="111" t="s">
        <v>444</v>
      </c>
      <c r="F112" s="289">
        <v>1.3</v>
      </c>
      <c r="G112" s="290">
        <f t="shared" si="19"/>
        <v>5615</v>
      </c>
      <c r="H112" s="113">
        <f t="shared" si="26"/>
        <v>11000</v>
      </c>
      <c r="I112" s="280">
        <f t="shared" si="0"/>
        <v>22000</v>
      </c>
      <c r="J112" s="104">
        <f>+ SUMIF('Doanh thu'!A:A, C112,'Doanh thu'!F:F)</f>
        <v>11000</v>
      </c>
      <c r="K112" s="100">
        <f>SUMIF('Xuất kho'!D:D, C112,'Xuất kho'!K:K)</f>
        <v>11000</v>
      </c>
      <c r="L112" s="291">
        <f>SUMIF('Xuất kho'!$D$1:$D$2955,C112,'Xuất kho'!$H$1:$H$2955)</f>
        <v>2</v>
      </c>
      <c r="M112" s="30">
        <f>SUMIF('Xuất kho'!$D$8:$D$2955,C112,'Xuất kho'!$I$8:$I$2955)</f>
        <v>1</v>
      </c>
      <c r="N112" s="291">
        <f t="shared" si="5"/>
        <v>1</v>
      </c>
      <c r="O112" s="30">
        <f>SUMIF('Xuất kho'!$D$3:$D$2721,C112,'Xuất kho'!$K$3:$K$2721)</f>
        <v>11000</v>
      </c>
      <c r="P112" s="274"/>
    </row>
    <row r="113" spans="1:16" ht="13.2">
      <c r="A113" s="372"/>
      <c r="B113" s="111">
        <v>106</v>
      </c>
      <c r="C113" s="112" t="s">
        <v>669</v>
      </c>
      <c r="D113" s="112" t="s">
        <v>670</v>
      </c>
      <c r="E113" s="111" t="s">
        <v>444</v>
      </c>
      <c r="F113" s="289">
        <v>1.6</v>
      </c>
      <c r="G113" s="290">
        <f t="shared" si="19"/>
        <v>6680</v>
      </c>
      <c r="H113" s="113">
        <f t="shared" si="26"/>
        <v>13000</v>
      </c>
      <c r="I113" s="280">
        <f t="shared" si="0"/>
        <v>17757</v>
      </c>
      <c r="J113" s="104">
        <f>+ SUMIF('Doanh thu'!A:A, C113,'Doanh thu'!F:F)</f>
        <v>13000</v>
      </c>
      <c r="K113" s="100">
        <f>SUMIF('Xuất kho'!D:D, C113,'Xuất kho'!K:K)</f>
        <v>4757</v>
      </c>
      <c r="L113" s="291">
        <f>SUMIF('Xuất kho'!$D$1:$D$2955,C113,'Xuất kho'!$H$1:$H$2955)</f>
        <v>2</v>
      </c>
      <c r="M113" s="30">
        <f>SUMIF('Xuất kho'!$D$8:$D$2955,C113,'Xuất kho'!$I$8:$I$2955)</f>
        <v>1</v>
      </c>
      <c r="N113" s="291">
        <f t="shared" si="5"/>
        <v>1</v>
      </c>
      <c r="O113" s="30">
        <f>SUMIF('Xuất kho'!$D$3:$D$2721,C113,'Xuất kho'!$K$3:$K$2721)</f>
        <v>4757</v>
      </c>
      <c r="P113" s="274"/>
    </row>
    <row r="114" spans="1:16" ht="13.2">
      <c r="A114" s="372"/>
      <c r="B114" s="111">
        <v>107</v>
      </c>
      <c r="C114" s="112" t="s">
        <v>671</v>
      </c>
      <c r="D114" s="112" t="s">
        <v>672</v>
      </c>
      <c r="E114" s="111" t="s">
        <v>444</v>
      </c>
      <c r="F114" s="289">
        <v>1.2</v>
      </c>
      <c r="G114" s="290">
        <f t="shared" si="19"/>
        <v>5260</v>
      </c>
      <c r="H114" s="113">
        <f t="shared" si="26"/>
        <v>10000</v>
      </c>
      <c r="I114" s="280">
        <f t="shared" si="0"/>
        <v>22000</v>
      </c>
      <c r="J114" s="104">
        <f>+ SUMIF('Doanh thu'!A:A, C114,'Doanh thu'!F:F)</f>
        <v>11000</v>
      </c>
      <c r="K114" s="100">
        <f>SUMIF('Xuất kho'!D:D, C114,'Xuất kho'!K:K)</f>
        <v>11000</v>
      </c>
      <c r="L114" s="291">
        <f>SUMIF('Xuất kho'!$D$1:$D$2955,C114,'Xuất kho'!$H$1:$H$2955)</f>
        <v>2</v>
      </c>
      <c r="M114" s="30">
        <f>SUMIF('Xuất kho'!$D$8:$D$2955,C114,'Xuất kho'!$I$8:$I$2955)</f>
        <v>1</v>
      </c>
      <c r="N114" s="291">
        <f t="shared" si="5"/>
        <v>1</v>
      </c>
      <c r="O114" s="30">
        <f>SUMIF('Xuất kho'!$D$3:$D$2721,C114,'Xuất kho'!$K$3:$K$2721)</f>
        <v>11000</v>
      </c>
      <c r="P114" s="274"/>
    </row>
    <row r="115" spans="1:16" ht="13.2">
      <c r="A115" s="372"/>
      <c r="B115" s="111">
        <v>108</v>
      </c>
      <c r="C115" s="112" t="s">
        <v>673</v>
      </c>
      <c r="D115" s="112" t="s">
        <v>674</v>
      </c>
      <c r="E115" s="111" t="s">
        <v>444</v>
      </c>
      <c r="F115" s="289">
        <v>1.3</v>
      </c>
      <c r="G115" s="290">
        <f t="shared" si="19"/>
        <v>5615</v>
      </c>
      <c r="H115" s="113">
        <f t="shared" si="26"/>
        <v>11000</v>
      </c>
      <c r="I115" s="280">
        <f t="shared" si="0"/>
        <v>36000</v>
      </c>
      <c r="J115" s="104">
        <f>+ SUMIF('Doanh thu'!A:A, C115,'Doanh thu'!F:F)</f>
        <v>36000</v>
      </c>
      <c r="K115" s="100">
        <f>SUMIF('Xuất kho'!D:D, C115,'Xuất kho'!K:K)</f>
        <v>0</v>
      </c>
      <c r="L115" s="291">
        <f>SUMIF('Xuất kho'!$D$1:$D$2955,C115,'Xuất kho'!$H$1:$H$2955)</f>
        <v>2</v>
      </c>
      <c r="M115" s="30">
        <f>SUMIF('Xuất kho'!$D$8:$D$2955,C115,'Xuất kho'!$I$8:$I$2955)</f>
        <v>0</v>
      </c>
      <c r="N115" s="291">
        <f t="shared" si="5"/>
        <v>2</v>
      </c>
      <c r="O115" s="30">
        <f>SUMIF('Xuất kho'!$D$3:$D$2721,C115,'Xuất kho'!$K$3:$K$2721)</f>
        <v>0</v>
      </c>
      <c r="P115" s="274"/>
    </row>
    <row r="116" spans="1:16" ht="13.2">
      <c r="A116" s="372"/>
      <c r="B116" s="111">
        <v>109</v>
      </c>
      <c r="C116" s="112" t="s">
        <v>675</v>
      </c>
      <c r="D116" s="112" t="s">
        <v>676</v>
      </c>
      <c r="E116" s="111" t="s">
        <v>444</v>
      </c>
      <c r="F116" s="289">
        <v>2.5</v>
      </c>
      <c r="G116" s="290">
        <f t="shared" si="19"/>
        <v>9875</v>
      </c>
      <c r="H116" s="113">
        <f t="shared" si="26"/>
        <v>19000</v>
      </c>
      <c r="I116" s="280">
        <f t="shared" si="0"/>
        <v>41000</v>
      </c>
      <c r="J116" s="104">
        <f>+ SUMIF('Doanh thu'!A:A, C116,'Doanh thu'!F:F)</f>
        <v>14000</v>
      </c>
      <c r="K116" s="100">
        <f>SUMIF('Xuất kho'!D:D, C116,'Xuất kho'!K:K)</f>
        <v>27000</v>
      </c>
      <c r="L116" s="291">
        <f>SUMIF('Xuất kho'!$D$1:$D$2955,C116,'Xuất kho'!$H$1:$H$2955)</f>
        <v>2</v>
      </c>
      <c r="M116" s="30">
        <f>SUMIF('Xuất kho'!$D$8:$D$2955,C116,'Xuất kho'!$I$8:$I$2955)</f>
        <v>2</v>
      </c>
      <c r="N116" s="291">
        <f t="shared" si="5"/>
        <v>0</v>
      </c>
      <c r="O116" s="30">
        <f>SUMIF('Xuất kho'!$D$3:$D$2721,C116,'Xuất kho'!$K$3:$K$2721)</f>
        <v>27000</v>
      </c>
      <c r="P116" s="274"/>
    </row>
    <row r="117" spans="1:16" ht="13.2">
      <c r="A117" s="372"/>
      <c r="B117" s="111">
        <v>110</v>
      </c>
      <c r="C117" s="112" t="s">
        <v>677</v>
      </c>
      <c r="D117" s="112" t="s">
        <v>678</v>
      </c>
      <c r="E117" s="111" t="s">
        <v>444</v>
      </c>
      <c r="F117" s="289">
        <v>1.8</v>
      </c>
      <c r="G117" s="290">
        <f t="shared" si="19"/>
        <v>7390</v>
      </c>
      <c r="H117" s="113">
        <f t="shared" si="26"/>
        <v>14000</v>
      </c>
      <c r="I117" s="280">
        <f t="shared" si="0"/>
        <v>10000</v>
      </c>
      <c r="J117" s="104">
        <f>+ SUMIF('Doanh thu'!A:A, C117,'Doanh thu'!F:F)</f>
        <v>0</v>
      </c>
      <c r="K117" s="100">
        <f>SUMIF('Xuất kho'!D:D, C117,'Xuất kho'!K:K)</f>
        <v>10000</v>
      </c>
      <c r="L117" s="291">
        <f>SUMIF('Xuất kho'!$D$1:$D$2955,C117,'Xuất kho'!$H$1:$H$2955)</f>
        <v>2</v>
      </c>
      <c r="M117" s="30">
        <f>SUMIF('Xuất kho'!$D$8:$D$2955,C117,'Xuất kho'!$I$8:$I$2955)</f>
        <v>1</v>
      </c>
      <c r="N117" s="291">
        <f t="shared" si="5"/>
        <v>1</v>
      </c>
      <c r="O117" s="30">
        <f>SUMIF('Xuất kho'!$D$3:$D$2721,C117,'Xuất kho'!$K$3:$K$2721)</f>
        <v>10000</v>
      </c>
      <c r="P117" s="274"/>
    </row>
    <row r="118" spans="1:16" ht="13.2">
      <c r="A118" s="372"/>
      <c r="B118" s="111">
        <v>111</v>
      </c>
      <c r="C118" s="112" t="s">
        <v>679</v>
      </c>
      <c r="D118" s="112" t="s">
        <v>680</v>
      </c>
      <c r="E118" s="111" t="s">
        <v>444</v>
      </c>
      <c r="F118" s="289">
        <v>2.8</v>
      </c>
      <c r="G118" s="290">
        <f t="shared" si="19"/>
        <v>10940</v>
      </c>
      <c r="H118" s="113">
        <f t="shared" si="26"/>
        <v>21000</v>
      </c>
      <c r="I118" s="280">
        <f t="shared" si="0"/>
        <v>25737.5</v>
      </c>
      <c r="J118" s="104">
        <f>+ SUMIF('Doanh thu'!A:A, C118,'Doanh thu'!F:F)</f>
        <v>0</v>
      </c>
      <c r="K118" s="100">
        <f>SUMIF('Xuất kho'!D:D, C118,'Xuất kho'!K:K)</f>
        <v>25737.5</v>
      </c>
      <c r="L118" s="291">
        <f>SUMIF('Xuất kho'!$D$1:$D$2955,C118,'Xuất kho'!$H$1:$H$2955)</f>
        <v>2</v>
      </c>
      <c r="M118" s="30">
        <f>SUMIF('Xuất kho'!$D$8:$D$2955,C118,'Xuất kho'!$I$8:$I$2955)</f>
        <v>2</v>
      </c>
      <c r="N118" s="291">
        <f t="shared" si="5"/>
        <v>0</v>
      </c>
      <c r="O118" s="30">
        <f>SUMIF('Xuất kho'!$D$3:$D$2721,C118,'Xuất kho'!$K$3:$K$2721)</f>
        <v>25737.5</v>
      </c>
      <c r="P118" s="274"/>
    </row>
    <row r="119" spans="1:16" ht="13.2">
      <c r="A119" s="372"/>
      <c r="B119" s="111">
        <v>112</v>
      </c>
      <c r="C119" s="112" t="s">
        <v>681</v>
      </c>
      <c r="D119" s="112" t="s">
        <v>682</v>
      </c>
      <c r="E119" s="111" t="s">
        <v>444</v>
      </c>
      <c r="F119" s="289">
        <v>1.8</v>
      </c>
      <c r="G119" s="290">
        <f t="shared" si="19"/>
        <v>7390</v>
      </c>
      <c r="H119" s="113">
        <f t="shared" si="26"/>
        <v>14000</v>
      </c>
      <c r="I119" s="280">
        <f t="shared" si="0"/>
        <v>10000</v>
      </c>
      <c r="J119" s="104">
        <f>+ SUMIF('Doanh thu'!A:A, C119,'Doanh thu'!F:F)</f>
        <v>0</v>
      </c>
      <c r="K119" s="100">
        <f>SUMIF('Xuất kho'!D:D, C119,'Xuất kho'!K:K)</f>
        <v>10000</v>
      </c>
      <c r="L119" s="291">
        <f>SUMIF('Xuất kho'!$D$1:$D$2955,C119,'Xuất kho'!$H$1:$H$2955)</f>
        <v>2</v>
      </c>
      <c r="M119" s="30">
        <f>SUMIF('Xuất kho'!$D$8:$D$2955,C119,'Xuất kho'!$I$8:$I$2955)</f>
        <v>1</v>
      </c>
      <c r="N119" s="291">
        <f t="shared" si="5"/>
        <v>1</v>
      </c>
      <c r="O119" s="30">
        <f>SUMIF('Xuất kho'!$D$3:$D$2721,C119,'Xuất kho'!$K$3:$K$2721)</f>
        <v>10000</v>
      </c>
      <c r="P119" s="274"/>
    </row>
    <row r="120" spans="1:16" ht="13.2">
      <c r="A120" s="372"/>
      <c r="B120" s="111">
        <v>113</v>
      </c>
      <c r="C120" s="112" t="s">
        <v>683</v>
      </c>
      <c r="D120" s="112" t="s">
        <v>684</v>
      </c>
      <c r="E120" s="111" t="s">
        <v>444</v>
      </c>
      <c r="F120" s="289">
        <v>2.8</v>
      </c>
      <c r="G120" s="290">
        <f t="shared" si="19"/>
        <v>10940</v>
      </c>
      <c r="H120" s="113">
        <f t="shared" si="26"/>
        <v>21000</v>
      </c>
      <c r="I120" s="280">
        <f t="shared" si="0"/>
        <v>25737.5</v>
      </c>
      <c r="J120" s="104">
        <f>+ SUMIF('Doanh thu'!A:A, C120,'Doanh thu'!F:F)</f>
        <v>0</v>
      </c>
      <c r="K120" s="100">
        <f>SUMIF('Xuất kho'!D:D, C120,'Xuất kho'!K:K)</f>
        <v>25737.5</v>
      </c>
      <c r="L120" s="291">
        <f>SUMIF('Xuất kho'!$D$1:$D$2955,C120,'Xuất kho'!$H$1:$H$2955)</f>
        <v>2</v>
      </c>
      <c r="M120" s="30">
        <f>SUMIF('Xuất kho'!$D$8:$D$2955,C120,'Xuất kho'!$I$8:$I$2955)</f>
        <v>2</v>
      </c>
      <c r="N120" s="291">
        <f t="shared" si="5"/>
        <v>0</v>
      </c>
      <c r="O120" s="30">
        <f>SUMIF('Xuất kho'!$D$3:$D$2721,C120,'Xuất kho'!$K$3:$K$2721)</f>
        <v>25737.5</v>
      </c>
      <c r="P120" s="274"/>
    </row>
    <row r="121" spans="1:16" ht="13.2">
      <c r="A121" s="372"/>
      <c r="B121" s="111">
        <v>114</v>
      </c>
      <c r="C121" s="112" t="s">
        <v>685</v>
      </c>
      <c r="D121" s="112" t="s">
        <v>686</v>
      </c>
      <c r="E121" s="111" t="s">
        <v>444</v>
      </c>
      <c r="F121" s="289">
        <v>2.8</v>
      </c>
      <c r="G121" s="290">
        <f t="shared" si="19"/>
        <v>10940</v>
      </c>
      <c r="H121" s="113">
        <f t="shared" si="26"/>
        <v>21000</v>
      </c>
      <c r="I121" s="280">
        <f t="shared" si="0"/>
        <v>22000</v>
      </c>
      <c r="J121" s="104">
        <f>+ SUMIF('Doanh thu'!A:A, C121,'Doanh thu'!F:F)</f>
        <v>0</v>
      </c>
      <c r="K121" s="100">
        <f>SUMIF('Xuất kho'!D:D, C121,'Xuất kho'!K:K)</f>
        <v>22000</v>
      </c>
      <c r="L121" s="291">
        <f>SUMIF('Xuất kho'!$D$1:$D$2955,C121,'Xuất kho'!$H$1:$H$2955)</f>
        <v>2</v>
      </c>
      <c r="M121" s="30">
        <f>SUMIF('Xuất kho'!$D$8:$D$2955,C121,'Xuất kho'!$I$8:$I$2955)</f>
        <v>2</v>
      </c>
      <c r="N121" s="291">
        <f t="shared" si="5"/>
        <v>0</v>
      </c>
      <c r="O121" s="30">
        <f>SUMIF('Xuất kho'!$D$3:$D$2721,C121,'Xuất kho'!$K$3:$K$2721)</f>
        <v>22000</v>
      </c>
      <c r="P121" s="274"/>
    </row>
    <row r="122" spans="1:16" ht="13.2">
      <c r="A122" s="372"/>
      <c r="B122" s="111">
        <v>115</v>
      </c>
      <c r="C122" s="112" t="s">
        <v>687</v>
      </c>
      <c r="D122" s="112" t="s">
        <v>688</v>
      </c>
      <c r="E122" s="111" t="s">
        <v>444</v>
      </c>
      <c r="F122" s="289">
        <v>2.1</v>
      </c>
      <c r="G122" s="290">
        <f t="shared" si="19"/>
        <v>8455</v>
      </c>
      <c r="H122" s="113">
        <f t="shared" si="26"/>
        <v>16000</v>
      </c>
      <c r="I122" s="280">
        <f t="shared" si="0"/>
        <v>0</v>
      </c>
      <c r="J122" s="104">
        <f>+ SUMIF('Doanh thu'!A:A, C122,'Doanh thu'!F:F)</f>
        <v>0</v>
      </c>
      <c r="K122" s="100">
        <f>SUMIF('Xuất kho'!D:D, C122,'Xuất kho'!K:K)</f>
        <v>0</v>
      </c>
      <c r="L122" s="291">
        <f>SUMIF('Xuất kho'!$D$1:$D$2955,C122,'Xuất kho'!$H$1:$H$2955)</f>
        <v>2</v>
      </c>
      <c r="M122" s="30">
        <f>SUMIF('Xuất kho'!$D$8:$D$2955,C122,'Xuất kho'!$I$8:$I$2955)</f>
        <v>0</v>
      </c>
      <c r="N122" s="291">
        <f t="shared" si="5"/>
        <v>2</v>
      </c>
      <c r="O122" s="30">
        <f>SUMIF('Xuất kho'!$D$3:$D$2721,C122,'Xuất kho'!$K$3:$K$2721)</f>
        <v>0</v>
      </c>
      <c r="P122" s="274"/>
    </row>
    <row r="123" spans="1:16" ht="13.2">
      <c r="A123" s="372"/>
      <c r="B123" s="111">
        <v>116</v>
      </c>
      <c r="C123" s="112" t="s">
        <v>689</v>
      </c>
      <c r="D123" s="112" t="s">
        <v>690</v>
      </c>
      <c r="E123" s="111" t="s">
        <v>444</v>
      </c>
      <c r="F123" s="289">
        <v>2.1</v>
      </c>
      <c r="G123" s="290">
        <f t="shared" si="19"/>
        <v>8455</v>
      </c>
      <c r="H123" s="113">
        <f t="shared" si="26"/>
        <v>16000</v>
      </c>
      <c r="I123" s="280">
        <f t="shared" si="0"/>
        <v>0</v>
      </c>
      <c r="J123" s="104">
        <f>+ SUMIF('Doanh thu'!A:A, C123,'Doanh thu'!F:F)</f>
        <v>0</v>
      </c>
      <c r="K123" s="100">
        <f>SUMIF('Xuất kho'!D:D, C123,'Xuất kho'!K:K)</f>
        <v>0</v>
      </c>
      <c r="L123" s="291">
        <f>SUMIF('Xuất kho'!$D$1:$D$2955,C123,'Xuất kho'!$H$1:$H$2955)</f>
        <v>3</v>
      </c>
      <c r="M123" s="30">
        <f>SUMIF('Xuất kho'!$D$8:$D$2955,C123,'Xuất kho'!$I$8:$I$2955)</f>
        <v>0</v>
      </c>
      <c r="N123" s="291">
        <f t="shared" si="5"/>
        <v>3</v>
      </c>
      <c r="O123" s="30">
        <f>SUMIF('Xuất kho'!$D$3:$D$2721,C123,'Xuất kho'!$K$3:$K$2721)</f>
        <v>0</v>
      </c>
      <c r="P123" s="274"/>
    </row>
    <row r="124" spans="1:16" ht="13.2">
      <c r="A124" s="372"/>
      <c r="B124" s="111">
        <v>117</v>
      </c>
      <c r="C124" s="112" t="s">
        <v>691</v>
      </c>
      <c r="D124" s="112" t="s">
        <v>692</v>
      </c>
      <c r="E124" s="111" t="s">
        <v>444</v>
      </c>
      <c r="F124" s="289">
        <v>2.5</v>
      </c>
      <c r="G124" s="290">
        <f t="shared" si="19"/>
        <v>9875</v>
      </c>
      <c r="H124" s="113">
        <f t="shared" si="26"/>
        <v>19000</v>
      </c>
      <c r="I124" s="280">
        <f t="shared" si="0"/>
        <v>14000</v>
      </c>
      <c r="J124" s="104">
        <f>+ SUMIF('Doanh thu'!A:A, C124,'Doanh thu'!F:F)</f>
        <v>0</v>
      </c>
      <c r="K124" s="100">
        <f>SUMIF('Xuất kho'!D:D, C124,'Xuất kho'!K:K)</f>
        <v>14000</v>
      </c>
      <c r="L124" s="291">
        <f>SUMIF('Xuất kho'!$D$1:$D$2955,C124,'Xuất kho'!$H$1:$H$2955)</f>
        <v>3</v>
      </c>
      <c r="M124" s="30">
        <f>SUMIF('Xuất kho'!$D$8:$D$2955,C124,'Xuất kho'!$I$8:$I$2955)</f>
        <v>1</v>
      </c>
      <c r="N124" s="291">
        <f t="shared" si="5"/>
        <v>2</v>
      </c>
      <c r="O124" s="30">
        <f>SUMIF('Xuất kho'!$D$3:$D$2721,C124,'Xuất kho'!$K$3:$K$2721)</f>
        <v>14000</v>
      </c>
      <c r="P124" s="274"/>
    </row>
    <row r="125" spans="1:16" ht="13.2">
      <c r="A125" s="372"/>
      <c r="B125" s="111">
        <v>118</v>
      </c>
      <c r="C125" s="112" t="s">
        <v>693</v>
      </c>
      <c r="D125" s="112" t="s">
        <v>694</v>
      </c>
      <c r="E125" s="111" t="s">
        <v>444</v>
      </c>
      <c r="F125" s="289">
        <v>2.5</v>
      </c>
      <c r="G125" s="290">
        <f t="shared" si="19"/>
        <v>9875</v>
      </c>
      <c r="H125" s="113">
        <f t="shared" si="26"/>
        <v>19000</v>
      </c>
      <c r="I125" s="280">
        <f t="shared" si="0"/>
        <v>28000</v>
      </c>
      <c r="J125" s="104">
        <f>+ SUMIF('Doanh thu'!A:A, C125,'Doanh thu'!F:F)</f>
        <v>14000</v>
      </c>
      <c r="K125" s="100">
        <f>SUMIF('Xuất kho'!D:D, C125,'Xuất kho'!K:K)</f>
        <v>14000</v>
      </c>
      <c r="L125" s="291">
        <f>SUMIF('Xuất kho'!$D$1:$D$2955,C125,'Xuất kho'!$H$1:$H$2955)</f>
        <v>3</v>
      </c>
      <c r="M125" s="30">
        <f>SUMIF('Xuất kho'!$D$8:$D$2955,C125,'Xuất kho'!$I$8:$I$2955)</f>
        <v>1</v>
      </c>
      <c r="N125" s="291">
        <f t="shared" si="5"/>
        <v>2</v>
      </c>
      <c r="O125" s="30">
        <f>SUMIF('Xuất kho'!$D$3:$D$2721,C125,'Xuất kho'!$K$3:$K$2721)</f>
        <v>14000</v>
      </c>
      <c r="P125" s="274"/>
    </row>
    <row r="126" spans="1:16" ht="13.2">
      <c r="A126" s="372"/>
      <c r="B126" s="111">
        <v>119</v>
      </c>
      <c r="C126" s="112" t="s">
        <v>695</v>
      </c>
      <c r="D126" s="112" t="s">
        <v>696</v>
      </c>
      <c r="E126" s="111" t="s">
        <v>444</v>
      </c>
      <c r="F126" s="289">
        <v>4.3</v>
      </c>
      <c r="G126" s="290">
        <f t="shared" si="19"/>
        <v>16265</v>
      </c>
      <c r="H126" s="113">
        <f t="shared" si="26"/>
        <v>31000</v>
      </c>
      <c r="I126" s="280">
        <f t="shared" si="0"/>
        <v>41500</v>
      </c>
      <c r="J126" s="104">
        <f>+ SUMIF('Doanh thu'!A:A, C126,'Doanh thu'!F:F)</f>
        <v>29500</v>
      </c>
      <c r="K126" s="100">
        <f>SUMIF('Xuất kho'!D:D, C126,'Xuất kho'!K:K)</f>
        <v>12000</v>
      </c>
      <c r="L126" s="291">
        <f>SUMIF('Xuất kho'!$D$1:$D$2955,C126,'Xuất kho'!$H$1:$H$2955)</f>
        <v>3</v>
      </c>
      <c r="M126" s="30">
        <f>SUMIF('Xuất kho'!$D$8:$D$2955,C126,'Xuất kho'!$I$8:$I$2955)</f>
        <v>1</v>
      </c>
      <c r="N126" s="291">
        <f t="shared" si="5"/>
        <v>2</v>
      </c>
      <c r="O126" s="30">
        <f>SUMIF('Xuất kho'!$D$3:$D$2721,C126,'Xuất kho'!$K$3:$K$2721)</f>
        <v>12000</v>
      </c>
      <c r="P126" s="274"/>
    </row>
    <row r="127" spans="1:16" ht="13.2">
      <c r="A127" s="372"/>
      <c r="B127" s="111">
        <v>120</v>
      </c>
      <c r="C127" s="112" t="s">
        <v>697</v>
      </c>
      <c r="D127" s="112" t="s">
        <v>698</v>
      </c>
      <c r="E127" s="111" t="s">
        <v>444</v>
      </c>
      <c r="F127" s="289">
        <v>4.3</v>
      </c>
      <c r="G127" s="290">
        <f t="shared" si="19"/>
        <v>16265</v>
      </c>
      <c r="H127" s="113">
        <f t="shared" si="26"/>
        <v>31000</v>
      </c>
      <c r="I127" s="280">
        <f t="shared" si="0"/>
        <v>54400</v>
      </c>
      <c r="J127" s="104">
        <f>+ SUMIF('Doanh thu'!A:A, C127,'Doanh thu'!F:F)</f>
        <v>29500</v>
      </c>
      <c r="K127" s="100">
        <f>SUMIF('Xuất kho'!D:D, C127,'Xuất kho'!K:K)</f>
        <v>24900</v>
      </c>
      <c r="L127" s="291">
        <f>SUMIF('Xuất kho'!$D$1:$D$2955,C127,'Xuất kho'!$H$1:$H$2955)</f>
        <v>3</v>
      </c>
      <c r="M127" s="30">
        <f>SUMIF('Xuất kho'!$D$8:$D$2955,C127,'Xuất kho'!$I$8:$I$2955)</f>
        <v>2</v>
      </c>
      <c r="N127" s="291">
        <f t="shared" si="5"/>
        <v>1</v>
      </c>
      <c r="O127" s="30">
        <f>SUMIF('Xuất kho'!$D$3:$D$2721,C127,'Xuất kho'!$K$3:$K$2721)</f>
        <v>24900</v>
      </c>
      <c r="P127" s="274"/>
    </row>
    <row r="128" spans="1:16" ht="13.2">
      <c r="A128" s="372"/>
      <c r="B128" s="111">
        <v>121</v>
      </c>
      <c r="C128" s="112" t="s">
        <v>699</v>
      </c>
      <c r="D128" s="112" t="s">
        <v>700</v>
      </c>
      <c r="E128" s="111" t="s">
        <v>444</v>
      </c>
      <c r="F128" s="289">
        <v>4.3</v>
      </c>
      <c r="G128" s="290">
        <f t="shared" si="19"/>
        <v>16265</v>
      </c>
      <c r="H128" s="113">
        <f t="shared" si="26"/>
        <v>31000</v>
      </c>
      <c r="I128" s="280">
        <f t="shared" si="0"/>
        <v>0</v>
      </c>
      <c r="J128" s="104">
        <f>+ SUMIF('Doanh thu'!A:A, C128,'Doanh thu'!F:F)</f>
        <v>0</v>
      </c>
      <c r="K128" s="100">
        <f>SUMIF('Xuất kho'!D:D, C128,'Xuất kho'!K:K)</f>
        <v>0</v>
      </c>
      <c r="L128" s="291">
        <f>SUMIF('Xuất kho'!$D$1:$D$2955,C128,'Xuất kho'!$H$1:$H$2955)</f>
        <v>3</v>
      </c>
      <c r="M128" s="30">
        <f>SUMIF('Xuất kho'!$D$8:$D$2955,C128,'Xuất kho'!$I$8:$I$2955)</f>
        <v>0</v>
      </c>
      <c r="N128" s="291">
        <f t="shared" si="5"/>
        <v>3</v>
      </c>
      <c r="O128" s="30">
        <f>SUMIF('Xuất kho'!$D$3:$D$2721,C128,'Xuất kho'!$K$3:$K$2721)</f>
        <v>0</v>
      </c>
      <c r="P128" s="274"/>
    </row>
    <row r="129" spans="1:16" ht="13.2">
      <c r="A129" s="372"/>
      <c r="B129" s="111">
        <v>122</v>
      </c>
      <c r="C129" s="112" t="s">
        <v>701</v>
      </c>
      <c r="D129" s="112" t="s">
        <v>702</v>
      </c>
      <c r="E129" s="111" t="s">
        <v>444</v>
      </c>
      <c r="F129" s="289">
        <v>1.7</v>
      </c>
      <c r="G129" s="290">
        <f t="shared" si="19"/>
        <v>7035</v>
      </c>
      <c r="H129" s="113">
        <f t="shared" si="26"/>
        <v>13000</v>
      </c>
      <c r="I129" s="280">
        <f t="shared" si="0"/>
        <v>24000</v>
      </c>
      <c r="J129" s="104">
        <f>+ SUMIF('Doanh thu'!A:A, C129,'Doanh thu'!F:F)</f>
        <v>12000</v>
      </c>
      <c r="K129" s="100">
        <f>SUMIF('Xuất kho'!D:D, C129,'Xuất kho'!K:K)</f>
        <v>12000</v>
      </c>
      <c r="L129" s="291">
        <f>SUMIF('Xuất kho'!$D$1:$D$2955,C129,'Xuất kho'!$H$1:$H$2955)</f>
        <v>2</v>
      </c>
      <c r="M129" s="30">
        <f>SUMIF('Xuất kho'!$D$8:$D$2955,C129,'Xuất kho'!$I$8:$I$2955)</f>
        <v>1</v>
      </c>
      <c r="N129" s="291">
        <f t="shared" si="5"/>
        <v>1</v>
      </c>
      <c r="O129" s="30">
        <f>SUMIF('Xuất kho'!$D$3:$D$2721,C129,'Xuất kho'!$K$3:$K$2721)</f>
        <v>12000</v>
      </c>
      <c r="P129" s="274"/>
    </row>
    <row r="130" spans="1:16" ht="13.2">
      <c r="A130" s="372"/>
      <c r="B130" s="111">
        <v>123</v>
      </c>
      <c r="C130" s="112" t="s">
        <v>703</v>
      </c>
      <c r="D130" s="112" t="s">
        <v>704</v>
      </c>
      <c r="E130" s="111" t="s">
        <v>444</v>
      </c>
      <c r="F130" s="289">
        <v>1.5</v>
      </c>
      <c r="G130" s="290">
        <f t="shared" si="19"/>
        <v>6325</v>
      </c>
      <c r="H130" s="113">
        <f t="shared" si="26"/>
        <v>12000</v>
      </c>
      <c r="I130" s="280">
        <f t="shared" si="0"/>
        <v>21600</v>
      </c>
      <c r="J130" s="104">
        <f>+ SUMIF('Doanh thu'!A:A, C130,'Doanh thu'!F:F)</f>
        <v>0</v>
      </c>
      <c r="K130" s="100">
        <f>SUMIF('Xuất kho'!D:D, C130,'Xuất kho'!K:K)</f>
        <v>21600</v>
      </c>
      <c r="L130" s="291">
        <f>SUMIF('Xuất kho'!$D$1:$D$2955,C130,'Xuất kho'!$H$1:$H$2955)</f>
        <v>2</v>
      </c>
      <c r="M130" s="30">
        <f>SUMIF('Xuất kho'!$D$8:$D$2955,C130,'Xuất kho'!$I$8:$I$2955)</f>
        <v>2</v>
      </c>
      <c r="N130" s="291">
        <f t="shared" si="5"/>
        <v>0</v>
      </c>
      <c r="O130" s="30">
        <f>SUMIF('Xuất kho'!$D$3:$D$2721,C130,'Xuất kho'!$K$3:$K$2721)</f>
        <v>21600</v>
      </c>
      <c r="P130" s="274"/>
    </row>
    <row r="131" spans="1:16" ht="13.2">
      <c r="A131" s="372"/>
      <c r="B131" s="111">
        <v>124</v>
      </c>
      <c r="C131" s="112" t="s">
        <v>705</v>
      </c>
      <c r="D131" s="112" t="s">
        <v>706</v>
      </c>
      <c r="E131" s="111" t="s">
        <v>444</v>
      </c>
      <c r="F131" s="289">
        <v>1.6</v>
      </c>
      <c r="G131" s="290">
        <f t="shared" si="19"/>
        <v>6680</v>
      </c>
      <c r="H131" s="113">
        <f t="shared" si="26"/>
        <v>13000</v>
      </c>
      <c r="I131" s="280">
        <f t="shared" si="0"/>
        <v>22000</v>
      </c>
      <c r="J131" s="104">
        <f>+ SUMIF('Doanh thu'!A:A, C131,'Doanh thu'!F:F)</f>
        <v>12000</v>
      </c>
      <c r="K131" s="100">
        <f>SUMIF('Xuất kho'!D:D, C131,'Xuất kho'!K:K)</f>
        <v>10000</v>
      </c>
      <c r="L131" s="291">
        <f>SUMIF('Xuất kho'!$D$1:$D$2955,C131,'Xuất kho'!$H$1:$H$2955)</f>
        <v>3</v>
      </c>
      <c r="M131" s="30">
        <f>SUMIF('Xuất kho'!$D$8:$D$2955,C131,'Xuất kho'!$I$8:$I$2955)</f>
        <v>1</v>
      </c>
      <c r="N131" s="291">
        <f t="shared" si="5"/>
        <v>2</v>
      </c>
      <c r="O131" s="30">
        <f>SUMIF('Xuất kho'!$D$3:$D$2721,C131,'Xuất kho'!$K$3:$K$2721)</f>
        <v>10000</v>
      </c>
      <c r="P131" s="274"/>
    </row>
    <row r="132" spans="1:16" ht="13.2">
      <c r="A132" s="372"/>
      <c r="B132" s="111">
        <v>125</v>
      </c>
      <c r="C132" s="112" t="s">
        <v>707</v>
      </c>
      <c r="D132" s="112" t="s">
        <v>708</v>
      </c>
      <c r="E132" s="111" t="s">
        <v>444</v>
      </c>
      <c r="F132" s="289">
        <v>1.5</v>
      </c>
      <c r="G132" s="290">
        <f t="shared" si="19"/>
        <v>6325</v>
      </c>
      <c r="H132" s="113">
        <f t="shared" si="26"/>
        <v>12000</v>
      </c>
      <c r="I132" s="280">
        <f t="shared" si="0"/>
        <v>13000</v>
      </c>
      <c r="J132" s="104">
        <f>+ SUMIF('Doanh thu'!A:A, C132,'Doanh thu'!F:F)</f>
        <v>0</v>
      </c>
      <c r="K132" s="100">
        <f>SUMIF('Xuất kho'!D:D, C132,'Xuất kho'!K:K)</f>
        <v>13000</v>
      </c>
      <c r="L132" s="291">
        <f>SUMIF('Xuất kho'!$D$1:$D$2955,C132,'Xuất kho'!$H$1:$H$2955)</f>
        <v>2</v>
      </c>
      <c r="M132" s="30">
        <f>SUMIF('Xuất kho'!$D$8:$D$2955,C132,'Xuất kho'!$I$8:$I$2955)</f>
        <v>2</v>
      </c>
      <c r="N132" s="291">
        <f t="shared" si="5"/>
        <v>0</v>
      </c>
      <c r="O132" s="30">
        <f>SUMIF('Xuất kho'!$D$3:$D$2721,C132,'Xuất kho'!$K$3:$K$2721)</f>
        <v>13000</v>
      </c>
      <c r="P132" s="274"/>
    </row>
    <row r="133" spans="1:16" ht="13.2">
      <c r="A133" s="372"/>
      <c r="B133" s="111">
        <v>126</v>
      </c>
      <c r="C133" s="112" t="s">
        <v>709</v>
      </c>
      <c r="D133" s="112" t="s">
        <v>710</v>
      </c>
      <c r="E133" s="111" t="s">
        <v>444</v>
      </c>
      <c r="F133" s="289">
        <v>0.8</v>
      </c>
      <c r="G133" s="290">
        <f t="shared" si="19"/>
        <v>3840</v>
      </c>
      <c r="H133" s="113">
        <f t="shared" si="26"/>
        <v>7000</v>
      </c>
      <c r="I133" s="280">
        <f t="shared" si="0"/>
        <v>42890</v>
      </c>
      <c r="J133" s="104">
        <f>+ SUMIF('Doanh thu'!A:A, C133,'Doanh thu'!F:F)</f>
        <v>12000</v>
      </c>
      <c r="K133" s="100">
        <f>SUMIF('Xuất kho'!D:D, C133,'Xuất kho'!K:K)</f>
        <v>30890</v>
      </c>
      <c r="L133" s="291">
        <f>SUMIF('Xuất kho'!$D$1:$D$2955,C133,'Xuất kho'!$H$1:$H$2955)</f>
        <v>2</v>
      </c>
      <c r="M133" s="30">
        <f>SUMIF('Xuất kho'!$D$8:$D$2955,C133,'Xuất kho'!$I$8:$I$2955)</f>
        <v>3</v>
      </c>
      <c r="N133" s="291">
        <f t="shared" si="5"/>
        <v>-1</v>
      </c>
      <c r="O133" s="30">
        <f>SUMIF('Xuất kho'!$D$3:$D$2721,C133,'Xuất kho'!$K$3:$K$2721)</f>
        <v>30890</v>
      </c>
      <c r="P133" s="274"/>
    </row>
    <row r="134" spans="1:16" ht="13.2">
      <c r="A134" s="372"/>
      <c r="B134" s="111">
        <v>127</v>
      </c>
      <c r="C134" s="112" t="s">
        <v>711</v>
      </c>
      <c r="D134" s="112" t="s">
        <v>712</v>
      </c>
      <c r="E134" s="111" t="s">
        <v>444</v>
      </c>
      <c r="F134" s="289">
        <v>1.5</v>
      </c>
      <c r="G134" s="290">
        <f t="shared" si="19"/>
        <v>6325</v>
      </c>
      <c r="H134" s="113">
        <f t="shared" si="26"/>
        <v>12000</v>
      </c>
      <c r="I134" s="280">
        <f t="shared" si="0"/>
        <v>0</v>
      </c>
      <c r="J134" s="104">
        <f>+ SUMIF('Doanh thu'!A:A, C134,'Doanh thu'!F:F)</f>
        <v>0</v>
      </c>
      <c r="K134" s="100">
        <f>SUMIF('Xuất kho'!D:D, C134,'Xuất kho'!K:K)</f>
        <v>0</v>
      </c>
      <c r="L134" s="291">
        <f>SUMIF('Xuất kho'!$D$1:$D$2955,C134,'Xuất kho'!$H$1:$H$2955)</f>
        <v>2</v>
      </c>
      <c r="M134" s="30">
        <f>SUMIF('Xuất kho'!$D$8:$D$2955,C134,'Xuất kho'!$I$8:$I$2955)</f>
        <v>0</v>
      </c>
      <c r="N134" s="291">
        <f t="shared" si="5"/>
        <v>2</v>
      </c>
      <c r="O134" s="30">
        <f>SUMIF('Xuất kho'!$D$3:$D$2721,C134,'Xuất kho'!$K$3:$K$2721)</f>
        <v>0</v>
      </c>
      <c r="P134" s="274"/>
    </row>
    <row r="135" spans="1:16" ht="13.2">
      <c r="A135" s="372"/>
      <c r="B135" s="111"/>
      <c r="C135" s="112" t="s">
        <v>713</v>
      </c>
      <c r="D135" s="112" t="s">
        <v>714</v>
      </c>
      <c r="E135" s="111" t="s">
        <v>444</v>
      </c>
      <c r="F135" s="289">
        <v>1.5</v>
      </c>
      <c r="G135" s="290">
        <f t="shared" si="19"/>
        <v>6325</v>
      </c>
      <c r="H135" s="113">
        <f t="shared" si="26"/>
        <v>12000</v>
      </c>
      <c r="I135" s="280">
        <f t="shared" si="0"/>
        <v>24000</v>
      </c>
      <c r="J135" s="104">
        <f>+ SUMIF('Doanh thu'!A:A, C135,'Doanh thu'!F:F)</f>
        <v>12000</v>
      </c>
      <c r="K135" s="100">
        <f>SUMIF('Xuất kho'!D:D, C135,'Xuất kho'!K:K)</f>
        <v>12000</v>
      </c>
      <c r="L135" s="291"/>
      <c r="M135" s="30">
        <f>SUMIF('Xuất kho'!$D$8:$D$2955,C135,'Xuất kho'!$I$8:$I$2955)</f>
        <v>1</v>
      </c>
      <c r="N135" s="291"/>
      <c r="O135" s="30">
        <f>SUMIF('Xuất kho'!$D$3:$D$2721,C135,'Xuất kho'!$K$3:$K$2721)</f>
        <v>12000</v>
      </c>
      <c r="P135" s="274"/>
    </row>
    <row r="136" spans="1:16" ht="13.2">
      <c r="A136" s="372"/>
      <c r="B136" s="111">
        <v>128</v>
      </c>
      <c r="C136" s="112" t="s">
        <v>715</v>
      </c>
      <c r="D136" s="112" t="s">
        <v>716</v>
      </c>
      <c r="E136" s="111" t="s">
        <v>444</v>
      </c>
      <c r="F136" s="289">
        <v>0.8</v>
      </c>
      <c r="G136" s="290">
        <f t="shared" si="19"/>
        <v>3840</v>
      </c>
      <c r="H136" s="113">
        <f t="shared" si="26"/>
        <v>7000</v>
      </c>
      <c r="I136" s="280">
        <f t="shared" si="0"/>
        <v>0</v>
      </c>
      <c r="J136" s="104">
        <f>+ SUMIF('Doanh thu'!A:A, C136,'Doanh thu'!F:F)</f>
        <v>0</v>
      </c>
      <c r="K136" s="100">
        <f>SUMIF('Xuất kho'!D:D, C136,'Xuất kho'!K:K)</f>
        <v>0</v>
      </c>
      <c r="L136" s="291">
        <f>SUMIF('Xuất kho'!$D$1:$D$2955,C136,'Xuất kho'!$H$1:$H$2955)</f>
        <v>1</v>
      </c>
      <c r="M136" s="30">
        <f>SUMIF('Xuất kho'!$D$8:$D$2955,C136,'Xuất kho'!$I$8:$I$2955)</f>
        <v>0</v>
      </c>
      <c r="N136" s="291">
        <f t="shared" ref="N136:N137" si="27">L136-M136</f>
        <v>1</v>
      </c>
      <c r="O136" s="30">
        <f>SUMIF('Xuất kho'!$D$3:$D$2721,C136,'Xuất kho'!$K$3:$K$2721)</f>
        <v>0</v>
      </c>
      <c r="P136" s="274"/>
    </row>
    <row r="137" spans="1:16" ht="13.2">
      <c r="A137" s="372"/>
      <c r="B137" s="111">
        <v>129</v>
      </c>
      <c r="C137" s="112" t="s">
        <v>717</v>
      </c>
      <c r="D137" s="112" t="s">
        <v>718</v>
      </c>
      <c r="E137" s="111" t="s">
        <v>444</v>
      </c>
      <c r="F137" s="289">
        <v>2.4500000000000002</v>
      </c>
      <c r="G137" s="290">
        <f t="shared" si="19"/>
        <v>9697.5</v>
      </c>
      <c r="H137" s="113">
        <f t="shared" si="26"/>
        <v>18000</v>
      </c>
      <c r="I137" s="280">
        <f t="shared" si="0"/>
        <v>0</v>
      </c>
      <c r="J137" s="104">
        <f>+ SUMIF('Doanh thu'!A:A, C137,'Doanh thu'!F:F)</f>
        <v>0</v>
      </c>
      <c r="K137" s="100">
        <f>SUMIF('Xuất kho'!D:D, C137,'Xuất kho'!K:K)</f>
        <v>0</v>
      </c>
      <c r="L137" s="291">
        <f>SUMIF('Xuất kho'!$D$1:$D$2955,C137,'Xuất kho'!$H$1:$H$2955)</f>
        <v>3</v>
      </c>
      <c r="M137" s="30">
        <f>SUMIF('Xuất kho'!$D$8:$D$2955,C137,'Xuất kho'!$I$8:$I$2955)</f>
        <v>0</v>
      </c>
      <c r="N137" s="291">
        <f t="shared" si="27"/>
        <v>3</v>
      </c>
      <c r="O137" s="30">
        <f>SUMIF('Xuất kho'!$D$3:$D$2721,C137,'Xuất kho'!$K$3:$K$2721)</f>
        <v>0</v>
      </c>
      <c r="P137" s="274"/>
    </row>
    <row r="138" spans="1:16" ht="13.2">
      <c r="A138" s="372"/>
      <c r="B138" s="111"/>
      <c r="C138" s="112" t="s">
        <v>719</v>
      </c>
      <c r="D138" s="112" t="s">
        <v>718</v>
      </c>
      <c r="E138" s="111" t="s">
        <v>444</v>
      </c>
      <c r="F138" s="289">
        <v>2.4500000000000002</v>
      </c>
      <c r="G138" s="290">
        <f t="shared" si="19"/>
        <v>9697.5</v>
      </c>
      <c r="H138" s="113">
        <v>22000</v>
      </c>
      <c r="I138" s="280">
        <f t="shared" si="0"/>
        <v>858000</v>
      </c>
      <c r="J138" s="104">
        <f>+ SUMIF('Doanh thu'!A:A, C138,'Doanh thu'!F:F)</f>
        <v>858000</v>
      </c>
      <c r="K138" s="100">
        <f>SUMIF('Xuất kho'!D:D, C138,'Xuất kho'!K:K)</f>
        <v>0</v>
      </c>
      <c r="L138" s="291"/>
      <c r="M138" s="30"/>
      <c r="N138" s="291"/>
      <c r="O138" s="30"/>
      <c r="P138" s="274"/>
    </row>
    <row r="139" spans="1:16" ht="13.2">
      <c r="A139" s="372"/>
      <c r="B139" s="111"/>
      <c r="C139" s="112" t="s">
        <v>720</v>
      </c>
      <c r="D139" s="112" t="s">
        <v>721</v>
      </c>
      <c r="E139" s="111" t="s">
        <v>444</v>
      </c>
      <c r="F139" s="289">
        <v>2.4500000000000002</v>
      </c>
      <c r="G139" s="290">
        <f t="shared" si="19"/>
        <v>9697.5</v>
      </c>
      <c r="H139" s="113">
        <v>22000</v>
      </c>
      <c r="I139" s="280">
        <f t="shared" si="0"/>
        <v>352000</v>
      </c>
      <c r="J139" s="104">
        <f>+ SUMIF('Doanh thu'!A:A, C139,'Doanh thu'!F:F)</f>
        <v>352000</v>
      </c>
      <c r="K139" s="100">
        <f>SUMIF('Xuất kho'!D:D, C139,'Xuất kho'!K:K)</f>
        <v>0</v>
      </c>
      <c r="L139" s="291"/>
      <c r="M139" s="30"/>
      <c r="N139" s="291"/>
      <c r="O139" s="30"/>
      <c r="P139" s="274"/>
    </row>
    <row r="140" spans="1:16" ht="13.2">
      <c r="A140" s="372"/>
      <c r="B140" s="111"/>
      <c r="C140" s="112" t="s">
        <v>722</v>
      </c>
      <c r="D140" s="112" t="s">
        <v>723</v>
      </c>
      <c r="E140" s="111" t="s">
        <v>444</v>
      </c>
      <c r="F140" s="289">
        <v>2.4500000000000002</v>
      </c>
      <c r="G140" s="290">
        <f t="shared" si="19"/>
        <v>9697.5</v>
      </c>
      <c r="H140" s="113">
        <v>22000</v>
      </c>
      <c r="I140" s="280">
        <f t="shared" si="0"/>
        <v>0</v>
      </c>
      <c r="J140" s="104">
        <f>+ SUMIF('Doanh thu'!A:A, C140,'Doanh thu'!F:F)</f>
        <v>0</v>
      </c>
      <c r="K140" s="100">
        <f>SUMIF('Xuất kho'!D:D, C140,'Xuất kho'!K:K)</f>
        <v>0</v>
      </c>
      <c r="L140" s="291"/>
      <c r="M140" s="30"/>
      <c r="N140" s="291"/>
      <c r="O140" s="30"/>
      <c r="P140" s="274"/>
    </row>
    <row r="141" spans="1:16" ht="13.2">
      <c r="A141" s="372"/>
      <c r="B141" s="111"/>
      <c r="C141" s="112" t="s">
        <v>724</v>
      </c>
      <c r="D141" s="112" t="s">
        <v>725</v>
      </c>
      <c r="E141" s="111" t="s">
        <v>444</v>
      </c>
      <c r="F141" s="289">
        <v>2.4500000000000002</v>
      </c>
      <c r="G141" s="290">
        <f t="shared" si="19"/>
        <v>9697.5</v>
      </c>
      <c r="H141" s="113">
        <v>22000</v>
      </c>
      <c r="I141" s="280">
        <f t="shared" si="0"/>
        <v>44000</v>
      </c>
      <c r="J141" s="104">
        <f>+ SUMIF('Doanh thu'!A:A, C141,'Doanh thu'!F:F)</f>
        <v>44000</v>
      </c>
      <c r="K141" s="100">
        <f>SUMIF('Xuất kho'!D:D, C141,'Xuất kho'!K:K)</f>
        <v>0</v>
      </c>
      <c r="L141" s="291"/>
      <c r="M141" s="30"/>
      <c r="N141" s="291"/>
      <c r="O141" s="30"/>
      <c r="P141" s="274"/>
    </row>
    <row r="142" spans="1:16" ht="13.2">
      <c r="A142" s="372"/>
      <c r="B142" s="111"/>
      <c r="C142" s="112" t="s">
        <v>726</v>
      </c>
      <c r="D142" s="112" t="s">
        <v>727</v>
      </c>
      <c r="E142" s="111" t="s">
        <v>444</v>
      </c>
      <c r="F142" s="289">
        <v>2.4500000000000002</v>
      </c>
      <c r="G142" s="290">
        <f t="shared" si="19"/>
        <v>9697.5</v>
      </c>
      <c r="H142" s="113">
        <v>22000</v>
      </c>
      <c r="I142" s="280">
        <f t="shared" si="0"/>
        <v>44000</v>
      </c>
      <c r="J142" s="104">
        <f>+ SUMIF('Doanh thu'!A:A, C142,'Doanh thu'!F:F)</f>
        <v>44000</v>
      </c>
      <c r="K142" s="100">
        <f>SUMIF('Xuất kho'!D:D, C142,'Xuất kho'!K:K)</f>
        <v>0</v>
      </c>
      <c r="L142" s="291"/>
      <c r="M142" s="30"/>
      <c r="N142" s="291"/>
      <c r="O142" s="30"/>
      <c r="P142" s="274"/>
    </row>
    <row r="143" spans="1:16" ht="13.2">
      <c r="A143" s="372"/>
      <c r="B143" s="111"/>
      <c r="C143" s="112" t="s">
        <v>728</v>
      </c>
      <c r="D143" s="112" t="s">
        <v>729</v>
      </c>
      <c r="E143" s="111" t="s">
        <v>444</v>
      </c>
      <c r="F143" s="289">
        <v>2.4500000000000002</v>
      </c>
      <c r="G143" s="290">
        <f t="shared" si="19"/>
        <v>9697.5</v>
      </c>
      <c r="H143" s="113">
        <v>22000</v>
      </c>
      <c r="I143" s="280">
        <f t="shared" si="0"/>
        <v>44000</v>
      </c>
      <c r="J143" s="104">
        <f>+ SUMIF('Doanh thu'!A:A, C143,'Doanh thu'!F:F)</f>
        <v>44000</v>
      </c>
      <c r="K143" s="100">
        <f>SUMIF('Xuất kho'!D:D, C143,'Xuất kho'!K:K)</f>
        <v>0</v>
      </c>
      <c r="L143" s="291"/>
      <c r="M143" s="30"/>
      <c r="N143" s="291"/>
      <c r="O143" s="30"/>
      <c r="P143" s="274"/>
    </row>
    <row r="144" spans="1:16" ht="13.2">
      <c r="A144" s="372"/>
      <c r="B144" s="111"/>
      <c r="C144" s="112" t="s">
        <v>730</v>
      </c>
      <c r="D144" s="112" t="s">
        <v>731</v>
      </c>
      <c r="E144" s="111" t="s">
        <v>444</v>
      </c>
      <c r="F144" s="289">
        <v>2.4500000000000002</v>
      </c>
      <c r="G144" s="290">
        <f t="shared" si="19"/>
        <v>9697.5</v>
      </c>
      <c r="H144" s="113">
        <v>22000</v>
      </c>
      <c r="I144" s="280">
        <f t="shared" si="0"/>
        <v>0</v>
      </c>
      <c r="J144" s="104">
        <f>+ SUMIF('Doanh thu'!A:A, C144,'Doanh thu'!F:F)</f>
        <v>0</v>
      </c>
      <c r="K144" s="100">
        <f>SUMIF('Xuất kho'!D:D, C144,'Xuất kho'!K:K)</f>
        <v>0</v>
      </c>
      <c r="L144" s="291"/>
      <c r="M144" s="30"/>
      <c r="N144" s="291"/>
      <c r="O144" s="30"/>
      <c r="P144" s="274"/>
    </row>
    <row r="145" spans="1:16" ht="13.2">
      <c r="A145" s="372"/>
      <c r="B145" s="111"/>
      <c r="C145" s="112" t="s">
        <v>732</v>
      </c>
      <c r="D145" s="112" t="s">
        <v>733</v>
      </c>
      <c r="E145" s="111" t="s">
        <v>444</v>
      </c>
      <c r="F145" s="289"/>
      <c r="G145" s="290"/>
      <c r="H145" s="113">
        <v>18500</v>
      </c>
      <c r="I145" s="280">
        <f t="shared" si="0"/>
        <v>1169802.5</v>
      </c>
      <c r="J145" s="104">
        <f>+ SUMIF('Doanh thu'!A:A, C145,'Doanh thu'!F:F)</f>
        <v>296000</v>
      </c>
      <c r="K145" s="100">
        <f>SUMIF('Xuất kho'!D:D, C145,'Xuất kho'!K:K)</f>
        <v>873802.5</v>
      </c>
      <c r="L145" s="112">
        <v>39</v>
      </c>
      <c r="M145" s="30">
        <f>SUMIF('Xuất kho'!$D$8:$D$2955,C145,'Xuất kho'!$I$8:$I$2955)</f>
        <v>54</v>
      </c>
      <c r="N145" s="291">
        <f t="shared" ref="N145:N163" si="28">L145-M145</f>
        <v>-15</v>
      </c>
      <c r="O145" s="30">
        <f>SUMIF('Xuất kho'!$D$3:$D$2721,C145,'Xuất kho'!$K$3:$K$2721)</f>
        <v>873802.5</v>
      </c>
      <c r="P145" s="274"/>
    </row>
    <row r="146" spans="1:16" ht="13.2">
      <c r="A146" s="372"/>
      <c r="B146" s="111"/>
      <c r="C146" s="112" t="s">
        <v>734</v>
      </c>
      <c r="D146" s="112" t="s">
        <v>735</v>
      </c>
      <c r="E146" s="111" t="s">
        <v>444</v>
      </c>
      <c r="F146" s="289"/>
      <c r="G146" s="290"/>
      <c r="H146" s="113">
        <v>18500</v>
      </c>
      <c r="I146" s="280">
        <f t="shared" si="0"/>
        <v>1466677.3333333335</v>
      </c>
      <c r="J146" s="104">
        <f>+ SUMIF('Doanh thu'!A:A, C146,'Doanh thu'!F:F)</f>
        <v>629000</v>
      </c>
      <c r="K146" s="100">
        <f>SUMIF('Xuất kho'!D:D, C146,'Xuất kho'!K:K)</f>
        <v>837677.33333333337</v>
      </c>
      <c r="L146" s="112">
        <v>39</v>
      </c>
      <c r="M146" s="30">
        <f>SUMIF('Xuất kho'!$D$8:$D$2955,C146,'Xuất kho'!$I$8:$I$2955)</f>
        <v>54</v>
      </c>
      <c r="N146" s="291">
        <f t="shared" si="28"/>
        <v>-15</v>
      </c>
      <c r="O146" s="30">
        <f>SUMIF('Xuất kho'!$D$3:$D$2721,C146,'Xuất kho'!$K$3:$K$2721)</f>
        <v>837677.33333333337</v>
      </c>
      <c r="P146" s="274"/>
    </row>
    <row r="147" spans="1:16" ht="13.2">
      <c r="A147" s="372"/>
      <c r="B147" s="111"/>
      <c r="C147" s="112" t="s">
        <v>736</v>
      </c>
      <c r="D147" s="112" t="s">
        <v>737</v>
      </c>
      <c r="E147" s="111" t="s">
        <v>444</v>
      </c>
      <c r="F147" s="289"/>
      <c r="G147" s="290"/>
      <c r="H147" s="113">
        <v>18500</v>
      </c>
      <c r="I147" s="280">
        <f t="shared" si="0"/>
        <v>1288002.75</v>
      </c>
      <c r="J147" s="104">
        <f>+ SUMIF('Doanh thu'!A:A, C147,'Doanh thu'!F:F)</f>
        <v>499500</v>
      </c>
      <c r="K147" s="100">
        <f>SUMIF('Xuất kho'!D:D, C147,'Xuất kho'!K:K)</f>
        <v>788502.75</v>
      </c>
      <c r="L147" s="112">
        <v>39</v>
      </c>
      <c r="M147" s="30">
        <f>SUMIF('Xuất kho'!$D$8:$D$2955,C147,'Xuất kho'!$I$8:$I$2955)</f>
        <v>52</v>
      </c>
      <c r="N147" s="291">
        <f t="shared" si="28"/>
        <v>-13</v>
      </c>
      <c r="O147" s="30">
        <f>SUMIF('Xuất kho'!$D$3:$D$2721,C147,'Xuất kho'!$K$3:$K$2721)</f>
        <v>788502.75</v>
      </c>
      <c r="P147" s="274"/>
    </row>
    <row r="148" spans="1:16" ht="13.2">
      <c r="A148" s="372"/>
      <c r="B148" s="111"/>
      <c r="C148" s="112" t="s">
        <v>738</v>
      </c>
      <c r="D148" s="112" t="s">
        <v>739</v>
      </c>
      <c r="E148" s="111" t="s">
        <v>444</v>
      </c>
      <c r="F148" s="289"/>
      <c r="G148" s="290"/>
      <c r="H148" s="113">
        <v>18500</v>
      </c>
      <c r="I148" s="280">
        <f t="shared" si="0"/>
        <v>1327085.75</v>
      </c>
      <c r="J148" s="104">
        <f>+ SUMIF('Doanh thu'!A:A, C148,'Doanh thu'!F:F)</f>
        <v>740000</v>
      </c>
      <c r="K148" s="100">
        <f>SUMIF('Xuất kho'!D:D, C148,'Xuất kho'!K:K)</f>
        <v>587085.75</v>
      </c>
      <c r="L148" s="112">
        <v>22</v>
      </c>
      <c r="M148" s="30">
        <f>SUMIF('Xuất kho'!$D$8:$D$2955,C148,'Xuất kho'!$I$8:$I$2955)</f>
        <v>42</v>
      </c>
      <c r="N148" s="291">
        <f t="shared" si="28"/>
        <v>-20</v>
      </c>
      <c r="O148" s="30">
        <f>SUMIF('Xuất kho'!$D$3:$D$2721,C148,'Xuất kho'!$K$3:$K$2721)</f>
        <v>587085.75</v>
      </c>
      <c r="P148" s="274"/>
    </row>
    <row r="149" spans="1:16" ht="13.2">
      <c r="A149" s="372"/>
      <c r="B149" s="111"/>
      <c r="C149" s="112" t="s">
        <v>740</v>
      </c>
      <c r="D149" s="112" t="s">
        <v>741</v>
      </c>
      <c r="E149" s="111" t="s">
        <v>444</v>
      </c>
      <c r="F149" s="289"/>
      <c r="G149" s="290"/>
      <c r="H149" s="113">
        <v>18500</v>
      </c>
      <c r="I149" s="280">
        <f t="shared" si="0"/>
        <v>917777.2</v>
      </c>
      <c r="J149" s="104">
        <f>+ SUMIF('Doanh thu'!A:A, C149,'Doanh thu'!F:F)</f>
        <v>314500</v>
      </c>
      <c r="K149" s="100">
        <f>SUMIF('Xuất kho'!D:D, C149,'Xuất kho'!K:K)</f>
        <v>603277.19999999995</v>
      </c>
      <c r="L149" s="112">
        <v>27</v>
      </c>
      <c r="M149" s="30">
        <f>SUMIF('Xuất kho'!$D$8:$D$2955,C149,'Xuất kho'!$I$8:$I$2955)</f>
        <v>42</v>
      </c>
      <c r="N149" s="291">
        <f t="shared" si="28"/>
        <v>-15</v>
      </c>
      <c r="O149" s="30">
        <f>SUMIF('Xuất kho'!$D$3:$D$2721,C149,'Xuất kho'!$K$3:$K$2721)</f>
        <v>603277.19999999995</v>
      </c>
      <c r="P149" s="274"/>
    </row>
    <row r="150" spans="1:16" ht="13.2">
      <c r="A150" s="372"/>
      <c r="B150" s="111"/>
      <c r="C150" s="112" t="s">
        <v>742</v>
      </c>
      <c r="D150" s="112" t="s">
        <v>743</v>
      </c>
      <c r="E150" s="111" t="s">
        <v>444</v>
      </c>
      <c r="F150" s="289"/>
      <c r="G150" s="290"/>
      <c r="H150" s="113">
        <v>18500</v>
      </c>
      <c r="I150" s="280">
        <f t="shared" si="0"/>
        <v>1079349</v>
      </c>
      <c r="J150" s="104">
        <f>+ SUMIF('Doanh thu'!A:A, C150,'Doanh thu'!F:F)</f>
        <v>518000</v>
      </c>
      <c r="K150" s="100">
        <f>SUMIF('Xuất kho'!D:D, C150,'Xuất kho'!K:K)</f>
        <v>561349</v>
      </c>
      <c r="L150" s="112">
        <v>23</v>
      </c>
      <c r="M150" s="30">
        <f>SUMIF('Xuất kho'!$D$8:$D$2955,C150,'Xuất kho'!$I$8:$I$2955)</f>
        <v>37</v>
      </c>
      <c r="N150" s="291">
        <f t="shared" si="28"/>
        <v>-14</v>
      </c>
      <c r="O150" s="30">
        <f>SUMIF('Xuất kho'!$D$3:$D$2721,C150,'Xuất kho'!$K$3:$K$2721)</f>
        <v>561349</v>
      </c>
      <c r="P150" s="274"/>
    </row>
    <row r="151" spans="1:16" ht="13.2">
      <c r="A151" s="372"/>
      <c r="B151" s="111"/>
      <c r="C151" s="112" t="s">
        <v>744</v>
      </c>
      <c r="D151" s="112" t="s">
        <v>745</v>
      </c>
      <c r="E151" s="111" t="s">
        <v>444</v>
      </c>
      <c r="F151" s="289"/>
      <c r="G151" s="290"/>
      <c r="H151" s="113">
        <v>18500</v>
      </c>
      <c r="I151" s="280">
        <f t="shared" si="0"/>
        <v>821014.5</v>
      </c>
      <c r="J151" s="104">
        <f>+ SUMIF('Doanh thu'!A:A, C151,'Doanh thu'!F:F)</f>
        <v>351500</v>
      </c>
      <c r="K151" s="100">
        <f>SUMIF('Xuất kho'!D:D, C151,'Xuất kho'!K:K)</f>
        <v>469514.5</v>
      </c>
      <c r="L151" s="112">
        <v>29</v>
      </c>
      <c r="M151" s="30">
        <f>SUMIF('Xuất kho'!$D$8:$D$2955,C151,'Xuất kho'!$I$8:$I$2955)</f>
        <v>33</v>
      </c>
      <c r="N151" s="291">
        <f t="shared" si="28"/>
        <v>-4</v>
      </c>
      <c r="O151" s="30">
        <f>SUMIF('Xuất kho'!$D$3:$D$2721,C151,'Xuất kho'!$K$3:$K$2721)</f>
        <v>469514.5</v>
      </c>
      <c r="P151" s="274"/>
    </row>
    <row r="152" spans="1:16" ht="13.2">
      <c r="A152" s="372"/>
      <c r="B152" s="111"/>
      <c r="C152" s="112" t="s">
        <v>746</v>
      </c>
      <c r="D152" s="112" t="s">
        <v>747</v>
      </c>
      <c r="E152" s="111" t="s">
        <v>444</v>
      </c>
      <c r="F152" s="289"/>
      <c r="G152" s="290"/>
      <c r="H152" s="113">
        <v>18500</v>
      </c>
      <c r="I152" s="280">
        <f t="shared" si="0"/>
        <v>133833.16666666666</v>
      </c>
      <c r="J152" s="104">
        <f>+ SUMIF('Doanh thu'!A:A, C152,'Doanh thu'!F:F)</f>
        <v>0</v>
      </c>
      <c r="K152" s="100">
        <f>SUMIF('Xuất kho'!D:D, C152,'Xuất kho'!K:K)</f>
        <v>133833.16666666666</v>
      </c>
      <c r="L152" s="112">
        <v>0</v>
      </c>
      <c r="M152" s="30">
        <f>SUMIF('Xuất kho'!$D$8:$D$2955,C152,'Xuất kho'!$I$8:$I$2955)</f>
        <v>8</v>
      </c>
      <c r="N152" s="291">
        <f t="shared" si="28"/>
        <v>-8</v>
      </c>
      <c r="O152" s="30">
        <f>SUMIF('Xuất kho'!$D$3:$D$2721,C152,'Xuất kho'!$K$3:$K$2721)</f>
        <v>133833.16666666666</v>
      </c>
      <c r="P152" s="274"/>
    </row>
    <row r="153" spans="1:16" ht="13.2">
      <c r="A153" s="372"/>
      <c r="B153" s="111"/>
      <c r="C153" s="112" t="s">
        <v>748</v>
      </c>
      <c r="D153" s="112" t="s">
        <v>749</v>
      </c>
      <c r="E153" s="111" t="s">
        <v>444</v>
      </c>
      <c r="F153" s="289"/>
      <c r="G153" s="290"/>
      <c r="H153" s="113">
        <v>18500</v>
      </c>
      <c r="I153" s="280">
        <f t="shared" si="0"/>
        <v>151293.33333333331</v>
      </c>
      <c r="J153" s="104">
        <f>+ SUMIF('Doanh thu'!A:A, C153,'Doanh thu'!F:F)</f>
        <v>55500</v>
      </c>
      <c r="K153" s="100">
        <f>SUMIF('Xuất kho'!D:D, C153,'Xuất kho'!K:K)</f>
        <v>95793.333333333328</v>
      </c>
      <c r="L153" s="112">
        <v>0</v>
      </c>
      <c r="M153" s="30">
        <f>SUMIF('Xuất kho'!$D$8:$D$2955,C153,'Xuất kho'!$I$8:$I$2955)</f>
        <v>7</v>
      </c>
      <c r="N153" s="291">
        <f t="shared" si="28"/>
        <v>-7</v>
      </c>
      <c r="O153" s="30">
        <f>SUMIF('Xuất kho'!$D$3:$D$2721,C153,'Xuất kho'!$K$3:$K$2721)</f>
        <v>95793.333333333328</v>
      </c>
      <c r="P153" s="274"/>
    </row>
    <row r="154" spans="1:16" ht="13.2">
      <c r="A154" s="372"/>
      <c r="B154" s="111"/>
      <c r="C154" s="112" t="s">
        <v>750</v>
      </c>
      <c r="D154" s="112" t="s">
        <v>751</v>
      </c>
      <c r="E154" s="111" t="s">
        <v>444</v>
      </c>
      <c r="F154" s="289"/>
      <c r="G154" s="290"/>
      <c r="H154" s="113">
        <v>19500</v>
      </c>
      <c r="I154" s="280">
        <f t="shared" si="0"/>
        <v>147576.28333333333</v>
      </c>
      <c r="J154" s="104">
        <f>+ SUMIF('Doanh thu'!A:A, C154,'Doanh thu'!F:F)</f>
        <v>0</v>
      </c>
      <c r="K154" s="100">
        <f>SUMIF('Xuất kho'!D:D, C154,'Xuất kho'!K:K)</f>
        <v>147576.28333333333</v>
      </c>
      <c r="L154" s="112">
        <v>3</v>
      </c>
      <c r="M154" s="30">
        <f>SUMIF('Xuất kho'!$D$8:$D$2955,C154,'Xuất kho'!$I$8:$I$2955)</f>
        <v>9</v>
      </c>
      <c r="N154" s="291">
        <f t="shared" si="28"/>
        <v>-6</v>
      </c>
      <c r="O154" s="30">
        <f>SUMIF('Xuất kho'!$D$3:$D$2721,C154,'Xuất kho'!$K$3:$K$2721)</f>
        <v>147576.28333333333</v>
      </c>
      <c r="P154" s="274"/>
    </row>
    <row r="155" spans="1:16" ht="13.2">
      <c r="A155" s="372"/>
      <c r="B155" s="111"/>
      <c r="C155" s="112" t="s">
        <v>752</v>
      </c>
      <c r="D155" s="112" t="s">
        <v>753</v>
      </c>
      <c r="E155" s="111" t="s">
        <v>444</v>
      </c>
      <c r="F155" s="289"/>
      <c r="G155" s="290"/>
      <c r="H155" s="113">
        <v>19500</v>
      </c>
      <c r="I155" s="280">
        <f t="shared" si="0"/>
        <v>151053</v>
      </c>
      <c r="J155" s="104">
        <f>+ SUMIF('Doanh thu'!A:A, C155,'Doanh thu'!F:F)</f>
        <v>0</v>
      </c>
      <c r="K155" s="100">
        <f>SUMIF('Xuất kho'!D:D, C155,'Xuất kho'!K:K)</f>
        <v>151053</v>
      </c>
      <c r="L155" s="291">
        <f>SUMIF('Xuất kho'!$D$1:$D$2955,C155,'Xuất kho'!$H$1:$H$2955)</f>
        <v>0</v>
      </c>
      <c r="M155" s="30">
        <f>SUMIF('Xuất kho'!$D$8:$D$2955,C155,'Xuất kho'!$I$8:$I$2955)</f>
        <v>10</v>
      </c>
      <c r="N155" s="291">
        <f t="shared" si="28"/>
        <v>-10</v>
      </c>
      <c r="O155" s="30">
        <f>SUMIF('Xuất kho'!$D$3:$D$2721,C155,'Xuất kho'!$K$3:$K$2721)</f>
        <v>151053</v>
      </c>
      <c r="P155" s="274"/>
    </row>
    <row r="156" spans="1:16" ht="13.2">
      <c r="A156" s="372"/>
      <c r="B156" s="111"/>
      <c r="C156" s="112" t="s">
        <v>754</v>
      </c>
      <c r="D156" s="112" t="s">
        <v>755</v>
      </c>
      <c r="E156" s="111" t="s">
        <v>444</v>
      </c>
      <c r="F156" s="289"/>
      <c r="G156" s="290"/>
      <c r="H156" s="113">
        <v>18500</v>
      </c>
      <c r="I156" s="280">
        <f t="shared" si="0"/>
        <v>183944.41176470587</v>
      </c>
      <c r="J156" s="104">
        <f>+ SUMIF('Doanh thu'!A:A, C156,'Doanh thu'!F:F)</f>
        <v>0</v>
      </c>
      <c r="K156" s="100">
        <f>SUMIF('Xuất kho'!D:D, C156,'Xuất kho'!K:K)</f>
        <v>183944.41176470587</v>
      </c>
      <c r="L156" s="291">
        <f>SUMIF('Xuất kho'!$D$1:$D$2955,C156,'Xuất kho'!$H$1:$H$2955)</f>
        <v>0</v>
      </c>
      <c r="M156" s="30">
        <f>SUMIF('Xuất kho'!$D$8:$D$2955,C156,'Xuất kho'!$I$8:$I$2955)</f>
        <v>15</v>
      </c>
      <c r="N156" s="291">
        <f t="shared" si="28"/>
        <v>-15</v>
      </c>
      <c r="O156" s="30">
        <f>SUMIF('Xuất kho'!$D$3:$D$2721,C156,'Xuất kho'!$K$3:$K$2721)</f>
        <v>183944.41176470587</v>
      </c>
      <c r="P156" s="274"/>
    </row>
    <row r="157" spans="1:16" ht="13.2">
      <c r="A157" s="372"/>
      <c r="B157" s="111"/>
      <c r="C157" s="112" t="s">
        <v>756</v>
      </c>
      <c r="D157" s="112" t="s">
        <v>757</v>
      </c>
      <c r="E157" s="111" t="s">
        <v>444</v>
      </c>
      <c r="F157" s="289"/>
      <c r="G157" s="290"/>
      <c r="H157" s="113">
        <v>14500</v>
      </c>
      <c r="I157" s="280">
        <f t="shared" si="0"/>
        <v>131331.66666666669</v>
      </c>
      <c r="J157" s="104">
        <f>+ SUMIF('Doanh thu'!A:A, C157,'Doanh thu'!F:F)</f>
        <v>14500</v>
      </c>
      <c r="K157" s="100">
        <f>SUMIF('Xuất kho'!D:D, C157,'Xuất kho'!K:K)</f>
        <v>116831.66666666667</v>
      </c>
      <c r="L157" s="291">
        <f>SUMIF('Xuất kho'!$D$1:$D$2955,C157,'Xuất kho'!$H$1:$H$2955)</f>
        <v>0</v>
      </c>
      <c r="M157" s="30">
        <f>SUMIF('Xuất kho'!$D$8:$D$2955,C157,'Xuất kho'!$I$8:$I$2955)</f>
        <v>9</v>
      </c>
      <c r="N157" s="291">
        <f t="shared" si="28"/>
        <v>-9</v>
      </c>
      <c r="O157" s="30">
        <f>SUMIF('Xuất kho'!$D$3:$D$2721,C157,'Xuất kho'!$K$3:$K$2721)</f>
        <v>116831.66666666667</v>
      </c>
      <c r="P157" s="274"/>
    </row>
    <row r="158" spans="1:16" ht="13.2">
      <c r="A158" s="372"/>
      <c r="B158" s="111"/>
      <c r="C158" s="112" t="s">
        <v>758</v>
      </c>
      <c r="D158" s="112" t="s">
        <v>759</v>
      </c>
      <c r="E158" s="111" t="s">
        <v>444</v>
      </c>
      <c r="F158" s="289"/>
      <c r="G158" s="290"/>
      <c r="H158" s="113">
        <v>18500</v>
      </c>
      <c r="I158" s="280">
        <f t="shared" si="0"/>
        <v>127558.33333333334</v>
      </c>
      <c r="J158" s="104">
        <f>+ SUMIF('Doanh thu'!A:A, C158,'Doanh thu'!F:F)</f>
        <v>0</v>
      </c>
      <c r="K158" s="100">
        <f>SUMIF('Xuất kho'!D:D, C158,'Xuất kho'!K:K)</f>
        <v>127558.33333333334</v>
      </c>
      <c r="L158" s="291">
        <f>SUMIF('Xuất kho'!$D$1:$D$2955,C158,'Xuất kho'!$H$1:$H$2955)</f>
        <v>0</v>
      </c>
      <c r="M158" s="30">
        <f>SUMIF('Xuất kho'!$D$8:$D$2955,C158,'Xuất kho'!$I$8:$I$2955)</f>
        <v>9</v>
      </c>
      <c r="N158" s="291">
        <f t="shared" si="28"/>
        <v>-9</v>
      </c>
      <c r="O158" s="30">
        <f>SUMIF('Xuất kho'!$D$3:$D$2721,C158,'Xuất kho'!$K$3:$K$2721)</f>
        <v>127558.33333333334</v>
      </c>
      <c r="P158" s="274"/>
    </row>
    <row r="159" spans="1:16" ht="13.2">
      <c r="A159" s="372"/>
      <c r="B159" s="111"/>
      <c r="C159" s="112" t="s">
        <v>760</v>
      </c>
      <c r="D159" s="112" t="s">
        <v>761</v>
      </c>
      <c r="E159" s="111" t="s">
        <v>444</v>
      </c>
      <c r="F159" s="289"/>
      <c r="G159" s="290"/>
      <c r="H159" s="113">
        <v>18500</v>
      </c>
      <c r="I159" s="280">
        <f t="shared" si="0"/>
        <v>123672.5294117647</v>
      </c>
      <c r="J159" s="104">
        <f>+ SUMIF('Doanh thu'!A:A, C159,'Doanh thu'!F:F)</f>
        <v>0</v>
      </c>
      <c r="K159" s="100">
        <f>SUMIF('Xuất kho'!D:D, C159,'Xuất kho'!K:K)</f>
        <v>123672.5294117647</v>
      </c>
      <c r="L159" s="291">
        <f>SUMIF('Xuất kho'!$D$1:$D$2955,C159,'Xuất kho'!$H$1:$H$2955)</f>
        <v>0</v>
      </c>
      <c r="M159" s="30">
        <f>SUMIF('Xuất kho'!$D$8:$D$2955,C159,'Xuất kho'!$I$8:$I$2955)</f>
        <v>10</v>
      </c>
      <c r="N159" s="291">
        <f t="shared" si="28"/>
        <v>-10</v>
      </c>
      <c r="O159" s="30">
        <f>SUMIF('Xuất kho'!$D$3:$D$2721,C159,'Xuất kho'!$K$3:$K$2721)</f>
        <v>123672.5294117647</v>
      </c>
      <c r="P159" s="274"/>
    </row>
    <row r="160" spans="1:16" ht="13.2">
      <c r="A160" s="372"/>
      <c r="B160" s="111"/>
      <c r="C160" s="112" t="s">
        <v>762</v>
      </c>
      <c r="D160" s="112" t="s">
        <v>763</v>
      </c>
      <c r="E160" s="111" t="s">
        <v>444</v>
      </c>
      <c r="F160" s="289"/>
      <c r="G160" s="290"/>
      <c r="H160" s="113">
        <v>18500</v>
      </c>
      <c r="I160" s="280">
        <f t="shared" si="0"/>
        <v>127134.33333333333</v>
      </c>
      <c r="J160" s="104">
        <f>+ SUMIF('Doanh thu'!A:A, C160,'Doanh thu'!F:F)</f>
        <v>14500</v>
      </c>
      <c r="K160" s="100">
        <f>SUMIF('Xuất kho'!D:D, C160,'Xuất kho'!K:K)</f>
        <v>112634.33333333333</v>
      </c>
      <c r="L160" s="291">
        <f>SUMIF('Xuất kho'!$D$1:$D$2955,C160,'Xuất kho'!$H$1:$H$2955)</f>
        <v>0</v>
      </c>
      <c r="M160" s="30">
        <f>SUMIF('Xuất kho'!$D$8:$D$2955,C160,'Xuất kho'!$I$8:$I$2955)</f>
        <v>8</v>
      </c>
      <c r="N160" s="291">
        <f t="shared" si="28"/>
        <v>-8</v>
      </c>
      <c r="O160" s="30">
        <f>SUMIF('Xuất kho'!$D$3:$D$2721,C160,'Xuất kho'!$K$3:$K$2721)</f>
        <v>112634.33333333333</v>
      </c>
      <c r="P160" s="274"/>
    </row>
    <row r="161" spans="1:18" ht="13.2">
      <c r="A161" s="372"/>
      <c r="B161" s="111"/>
      <c r="C161" s="112" t="s">
        <v>764</v>
      </c>
      <c r="D161" s="112" t="s">
        <v>765</v>
      </c>
      <c r="E161" s="111" t="s">
        <v>444</v>
      </c>
      <c r="F161" s="289"/>
      <c r="G161" s="290"/>
      <c r="H161" s="113">
        <v>18500</v>
      </c>
      <c r="I161" s="280">
        <f t="shared" si="0"/>
        <v>120892.74509803922</v>
      </c>
      <c r="J161" s="104">
        <f>+ SUMIF('Doanh thu'!A:A, C161,'Doanh thu'!F:F)</f>
        <v>0</v>
      </c>
      <c r="K161" s="100">
        <f>SUMIF('Xuất kho'!D:D, C161,'Xuất kho'!K:K)</f>
        <v>120892.74509803922</v>
      </c>
      <c r="L161" s="291">
        <f>SUMIF('Xuất kho'!$D$1:$D$2955,C161,'Xuất kho'!$H$1:$H$2955)</f>
        <v>0</v>
      </c>
      <c r="M161" s="30">
        <f>SUMIF('Xuất kho'!$D$8:$D$2955,C161,'Xuất kho'!$I$8:$I$2955)</f>
        <v>10</v>
      </c>
      <c r="N161" s="291">
        <f t="shared" si="28"/>
        <v>-10</v>
      </c>
      <c r="O161" s="30">
        <f>SUMIF('Xuất kho'!$D$3:$D$2721,C161,'Xuất kho'!$K$3:$K$2721)</f>
        <v>120892.74509803922</v>
      </c>
      <c r="P161" s="274"/>
    </row>
    <row r="162" spans="1:18" ht="13.2">
      <c r="A162" s="372"/>
      <c r="B162" s="111"/>
      <c r="C162" s="112" t="s">
        <v>766</v>
      </c>
      <c r="D162" s="112" t="s">
        <v>767</v>
      </c>
      <c r="E162" s="111" t="s">
        <v>444</v>
      </c>
      <c r="F162" s="289"/>
      <c r="G162" s="290"/>
      <c r="H162" s="113">
        <v>18500</v>
      </c>
      <c r="I162" s="280">
        <f t="shared" si="0"/>
        <v>62084.647058823532</v>
      </c>
      <c r="J162" s="104">
        <f>+ SUMIF('Doanh thu'!A:A, C162,'Doanh thu'!F:F)</f>
        <v>0</v>
      </c>
      <c r="K162" s="100">
        <f>SUMIF('Xuất kho'!D:D, C162,'Xuất kho'!K:K)</f>
        <v>62084.647058823532</v>
      </c>
      <c r="L162" s="291">
        <f>SUMIF('Xuất kho'!$D$1:$D$2955,C162,'Xuất kho'!$H$1:$H$2955)</f>
        <v>0</v>
      </c>
      <c r="M162" s="30">
        <f>SUMIF('Xuất kho'!$D$8:$D$2955,C162,'Xuất kho'!$I$8:$I$2955)</f>
        <v>5</v>
      </c>
      <c r="N162" s="291">
        <f t="shared" si="28"/>
        <v>-5</v>
      </c>
      <c r="O162" s="30">
        <f>SUMIF('Xuất kho'!$D$3:$D$2721,C162,'Xuất kho'!$K$3:$K$2721)</f>
        <v>62084.647058823532</v>
      </c>
      <c r="P162" s="274"/>
    </row>
    <row r="163" spans="1:18" ht="13.2">
      <c r="A163" s="372"/>
      <c r="B163" s="111"/>
      <c r="C163" s="112" t="s">
        <v>768</v>
      </c>
      <c r="D163" s="112" t="s">
        <v>769</v>
      </c>
      <c r="E163" s="111" t="s">
        <v>444</v>
      </c>
      <c r="F163" s="289"/>
      <c r="G163" s="290"/>
      <c r="H163" s="113">
        <v>14500</v>
      </c>
      <c r="I163" s="280">
        <f t="shared" si="0"/>
        <v>64819</v>
      </c>
      <c r="J163" s="104">
        <f>+ SUMIF('Doanh thu'!A:A, C163,'Doanh thu'!F:F)</f>
        <v>0</v>
      </c>
      <c r="K163" s="100">
        <f>SUMIF('Xuất kho'!D:D, C163,'Xuất kho'!K:K)</f>
        <v>64819</v>
      </c>
      <c r="L163" s="291">
        <f>SUMIF('Xuất kho'!$D$1:$D$2955,C163,'Xuất kho'!$H$1:$H$2955)</f>
        <v>0</v>
      </c>
      <c r="M163" s="30">
        <f>SUMIF('Xuất kho'!$D$8:$D$2955,C163,'Xuất kho'!$I$8:$I$2955)</f>
        <v>5</v>
      </c>
      <c r="N163" s="291">
        <f t="shared" si="28"/>
        <v>-5</v>
      </c>
      <c r="O163" s="30">
        <f>SUMIF('Xuất kho'!$D$3:$D$2721,C163,'Xuất kho'!$K$3:$K$2721)</f>
        <v>64819</v>
      </c>
      <c r="P163" s="274"/>
    </row>
    <row r="164" spans="1:18" ht="13.2">
      <c r="A164" s="372"/>
      <c r="B164" s="111"/>
      <c r="C164" s="112" t="s">
        <v>770</v>
      </c>
      <c r="D164" s="112" t="s">
        <v>771</v>
      </c>
      <c r="E164" s="111" t="s">
        <v>444</v>
      </c>
      <c r="F164" s="289"/>
      <c r="G164" s="290"/>
      <c r="H164" s="113">
        <v>19500</v>
      </c>
      <c r="I164" s="280">
        <f t="shared" si="0"/>
        <v>78000</v>
      </c>
      <c r="J164" s="104">
        <f>+ SUMIF('Doanh thu'!A:A, C164,'Doanh thu'!F:F)</f>
        <v>19500</v>
      </c>
      <c r="K164" s="100">
        <f>SUMIF('Xuất kho'!D:D, C164,'Xuất kho'!K:K)</f>
        <v>58500</v>
      </c>
      <c r="L164" s="112">
        <v>5</v>
      </c>
      <c r="M164" s="30">
        <f>SUMIF('Xuất kho'!$D$8:$D$2955,C164,'Xuất kho'!$I$8:$I$2955)</f>
        <v>3</v>
      </c>
      <c r="N164" s="291"/>
      <c r="O164" s="30">
        <f>SUMIF('Xuất kho'!$D$3:$D$2721,C164,'Xuất kho'!$K$3:$K$2721)</f>
        <v>58500</v>
      </c>
      <c r="P164" s="274"/>
    </row>
    <row r="165" spans="1:18" ht="13.2">
      <c r="A165" s="372"/>
      <c r="B165" s="111"/>
      <c r="C165" s="112" t="s">
        <v>772</v>
      </c>
      <c r="D165" s="112" t="s">
        <v>773</v>
      </c>
      <c r="E165" s="111" t="s">
        <v>444</v>
      </c>
      <c r="F165" s="289"/>
      <c r="G165" s="290"/>
      <c r="H165" s="113">
        <v>18500</v>
      </c>
      <c r="I165" s="280">
        <f t="shared" si="0"/>
        <v>247864.4</v>
      </c>
      <c r="J165" s="104">
        <f>+ SUMIF('Doanh thu'!A:A, C165,'Doanh thu'!F:F)</f>
        <v>19680</v>
      </c>
      <c r="K165" s="100">
        <f>SUMIF('Xuất kho'!D:D, C165,'Xuất kho'!K:K)</f>
        <v>228184.4</v>
      </c>
      <c r="L165" s="291">
        <f>SUMIF('Xuất kho'!$D$1:$D$2955,C165,'Xuất kho'!$H$1:$H$2955)</f>
        <v>0</v>
      </c>
      <c r="M165" s="30">
        <f>SUMIF('Xuất kho'!$D$8:$D$2955,C165,'Xuất kho'!$I$8:$I$2955)</f>
        <v>14</v>
      </c>
      <c r="N165" s="291">
        <f t="shared" ref="N165:N172" si="29">L165-M165</f>
        <v>-14</v>
      </c>
      <c r="O165" s="30">
        <f>SUMIF('Xuất kho'!$D$3:$D$2721,C165,'Xuất kho'!$K$3:$K$2721)</f>
        <v>228184.4</v>
      </c>
      <c r="P165" s="274"/>
    </row>
    <row r="166" spans="1:18" ht="13.2">
      <c r="A166" s="372"/>
      <c r="B166" s="111"/>
      <c r="C166" s="112" t="s">
        <v>774</v>
      </c>
      <c r="D166" s="112" t="s">
        <v>775</v>
      </c>
      <c r="E166" s="111" t="s">
        <v>444</v>
      </c>
      <c r="F166" s="289"/>
      <c r="G166" s="290"/>
      <c r="H166" s="113">
        <v>18500</v>
      </c>
      <c r="I166" s="280">
        <f t="shared" si="0"/>
        <v>226031.53333333333</v>
      </c>
      <c r="J166" s="104">
        <f>+ SUMIF('Doanh thu'!A:A, C166,'Doanh thu'!F:F)</f>
        <v>0</v>
      </c>
      <c r="K166" s="100">
        <f>SUMIF('Xuất kho'!D:D, C166,'Xuất kho'!K:K)</f>
        <v>226031.53333333333</v>
      </c>
      <c r="L166" s="291">
        <f>SUMIF('Xuất kho'!$D$1:$D$2955,C166,'Xuất kho'!$H$1:$H$2955)</f>
        <v>0</v>
      </c>
      <c r="M166" s="30">
        <f>SUMIF('Xuất kho'!$D$8:$D$2955,C166,'Xuất kho'!$I$8:$I$2955)</f>
        <v>14</v>
      </c>
      <c r="N166" s="291">
        <f t="shared" si="29"/>
        <v>-14</v>
      </c>
      <c r="O166" s="30">
        <f>SUMIF('Xuất kho'!$D$3:$D$2721,C166,'Xuất kho'!$K$3:$K$2721)</f>
        <v>226031.53333333333</v>
      </c>
      <c r="P166" s="274"/>
    </row>
    <row r="167" spans="1:18" ht="13.2">
      <c r="A167" s="372"/>
      <c r="B167" s="111"/>
      <c r="C167" s="112" t="s">
        <v>776</v>
      </c>
      <c r="D167" s="112" t="s">
        <v>777</v>
      </c>
      <c r="E167" s="111" t="s">
        <v>444</v>
      </c>
      <c r="F167" s="289"/>
      <c r="G167" s="290"/>
      <c r="H167" s="113">
        <v>18500</v>
      </c>
      <c r="I167" s="280">
        <f t="shared" si="0"/>
        <v>235772.56666666665</v>
      </c>
      <c r="J167" s="104">
        <f>+ SUMIF('Doanh thu'!A:A, C167,'Doanh thu'!F:F)</f>
        <v>0</v>
      </c>
      <c r="K167" s="100">
        <f>SUMIF('Xuất kho'!D:D, C167,'Xuất kho'!K:K)</f>
        <v>235772.56666666665</v>
      </c>
      <c r="L167" s="291">
        <f>SUMIF('Xuất kho'!$D$1:$D$2955,C167,'Xuất kho'!$H$1:$H$2955)</f>
        <v>0</v>
      </c>
      <c r="M167" s="30">
        <f>SUMIF('Xuất kho'!$D$8:$D$2955,C167,'Xuất kho'!$I$8:$I$2955)</f>
        <v>14</v>
      </c>
      <c r="N167" s="291">
        <f t="shared" si="29"/>
        <v>-14</v>
      </c>
      <c r="O167" s="30">
        <f>SUMIF('Xuất kho'!$D$3:$D$2721,C167,'Xuất kho'!$K$3:$K$2721)</f>
        <v>235772.56666666665</v>
      </c>
      <c r="P167" s="274"/>
    </row>
    <row r="168" spans="1:18" ht="13.2">
      <c r="A168" s="372"/>
      <c r="B168" s="111"/>
      <c r="C168" s="112" t="s">
        <v>778</v>
      </c>
      <c r="D168" s="112" t="s">
        <v>779</v>
      </c>
      <c r="E168" s="111" t="s">
        <v>444</v>
      </c>
      <c r="F168" s="289"/>
      <c r="G168" s="290"/>
      <c r="H168" s="113">
        <v>18500</v>
      </c>
      <c r="I168" s="280">
        <f t="shared" si="0"/>
        <v>84209.833333333328</v>
      </c>
      <c r="J168" s="104">
        <f>+ SUMIF('Doanh thu'!A:A, C168,'Doanh thu'!F:F)</f>
        <v>0</v>
      </c>
      <c r="K168" s="100">
        <f>SUMIF('Xuất kho'!D:D, C168,'Xuất kho'!K:K)</f>
        <v>84209.833333333328</v>
      </c>
      <c r="L168" s="291">
        <f>SUMIF('Xuất kho'!$D$1:$D$2955,C168,'Xuất kho'!$H$1:$H$2955)</f>
        <v>0</v>
      </c>
      <c r="M168" s="30">
        <f>SUMIF('Xuất kho'!$D$8:$D$2955,C168,'Xuất kho'!$I$8:$I$2955)</f>
        <v>5</v>
      </c>
      <c r="N168" s="291">
        <f t="shared" si="29"/>
        <v>-5</v>
      </c>
      <c r="O168" s="30">
        <f>SUMIF('Xuất kho'!$D$3:$D$2721,C168,'Xuất kho'!$K$3:$K$2721)</f>
        <v>84209.833333333328</v>
      </c>
      <c r="P168" s="274"/>
    </row>
    <row r="169" spans="1:18" ht="13.2">
      <c r="A169" s="372"/>
      <c r="B169" s="111"/>
      <c r="C169" s="112" t="s">
        <v>780</v>
      </c>
      <c r="D169" s="112" t="s">
        <v>781</v>
      </c>
      <c r="E169" s="111" t="s">
        <v>444</v>
      </c>
      <c r="F169" s="289"/>
      <c r="G169" s="290"/>
      <c r="H169" s="113">
        <v>18500</v>
      </c>
      <c r="I169" s="280">
        <f t="shared" si="0"/>
        <v>32372.25</v>
      </c>
      <c r="J169" s="104">
        <f>+ SUMIF('Doanh thu'!A:A, C169,'Doanh thu'!F:F)</f>
        <v>0</v>
      </c>
      <c r="K169" s="100">
        <f>SUMIF('Xuất kho'!D:D, C169,'Xuất kho'!K:K)</f>
        <v>32372.25</v>
      </c>
      <c r="L169" s="291">
        <f>SUMIF('Xuất kho'!$D$1:$D$2955,C169,'Xuất kho'!$H$1:$H$2955)</f>
        <v>0</v>
      </c>
      <c r="M169" s="30">
        <f>SUMIF('Xuất kho'!$D$8:$D$2955,C169,'Xuất kho'!$I$8:$I$2955)</f>
        <v>2</v>
      </c>
      <c r="N169" s="291">
        <f t="shared" si="29"/>
        <v>-2</v>
      </c>
      <c r="O169" s="30">
        <f>SUMIF('Xuất kho'!$D$3:$D$2721,C169,'Xuất kho'!$K$3:$K$2721)</f>
        <v>32372.25</v>
      </c>
      <c r="P169" s="274"/>
    </row>
    <row r="170" spans="1:18" ht="13.2">
      <c r="A170" s="372"/>
      <c r="B170" s="111"/>
      <c r="C170" s="112" t="s">
        <v>782</v>
      </c>
      <c r="D170" s="112" t="s">
        <v>783</v>
      </c>
      <c r="E170" s="111" t="s">
        <v>444</v>
      </c>
      <c r="F170" s="289"/>
      <c r="G170" s="290"/>
      <c r="H170" s="113">
        <v>18500</v>
      </c>
      <c r="I170" s="280">
        <f t="shared" si="0"/>
        <v>107268.9</v>
      </c>
      <c r="J170" s="104">
        <f>+ SUMIF('Doanh thu'!A:A, C170,'Doanh thu'!F:F)</f>
        <v>37000</v>
      </c>
      <c r="K170" s="100">
        <f>SUMIF('Xuất kho'!D:D, C170,'Xuất kho'!K:K)</f>
        <v>70268.899999999994</v>
      </c>
      <c r="L170" s="291">
        <f>SUMIF('Xuất kho'!$D$1:$D$2955,C170,'Xuất kho'!$H$1:$H$2955)</f>
        <v>0</v>
      </c>
      <c r="M170" s="30">
        <f>SUMIF('Xuất kho'!$D$8:$D$2955,C170,'Xuất kho'!$I$8:$I$2955)</f>
        <v>4</v>
      </c>
      <c r="N170" s="291">
        <f t="shared" si="29"/>
        <v>-4</v>
      </c>
      <c r="O170" s="30">
        <f>SUMIF('Xuất kho'!$D$3:$D$2721,C170,'Xuất kho'!$K$3:$K$2721)</f>
        <v>70268.899999999994</v>
      </c>
      <c r="P170" s="274"/>
    </row>
    <row r="171" spans="1:18" ht="13.2">
      <c r="A171" s="372"/>
      <c r="B171" s="111"/>
      <c r="C171" s="112" t="s">
        <v>784</v>
      </c>
      <c r="D171" s="112" t="s">
        <v>785</v>
      </c>
      <c r="E171" s="111" t="s">
        <v>444</v>
      </c>
      <c r="F171" s="289"/>
      <c r="G171" s="290"/>
      <c r="H171" s="113">
        <v>18500</v>
      </c>
      <c r="I171" s="280">
        <f t="shared" si="0"/>
        <v>377224.9</v>
      </c>
      <c r="J171" s="104">
        <f>+ SUMIF('Doanh thu'!A:A, C171,'Doanh thu'!F:F)</f>
        <v>0</v>
      </c>
      <c r="K171" s="100">
        <f>SUMIF('Xuất kho'!D:D, C171,'Xuất kho'!K:K)</f>
        <v>377224.9</v>
      </c>
      <c r="L171" s="291">
        <f>SUMIF('Xuất kho'!$D$1:$D$2955,C171,'Xuất kho'!$H$1:$H$2955)</f>
        <v>0</v>
      </c>
      <c r="M171" s="30">
        <f>SUMIF('Xuất kho'!$D$8:$D$2955,C171,'Xuất kho'!$I$8:$I$2955)</f>
        <v>23</v>
      </c>
      <c r="N171" s="291">
        <f t="shared" si="29"/>
        <v>-23</v>
      </c>
      <c r="O171" s="30">
        <f>SUMIF('Xuất kho'!$D$3:$D$2721,C171,'Xuất kho'!$K$3:$K$2721)</f>
        <v>377224.9</v>
      </c>
      <c r="P171" s="274"/>
    </row>
    <row r="172" spans="1:18" ht="13.2">
      <c r="A172" s="372"/>
      <c r="B172" s="111"/>
      <c r="C172" s="112" t="s">
        <v>786</v>
      </c>
      <c r="D172" s="112" t="s">
        <v>787</v>
      </c>
      <c r="E172" s="111" t="s">
        <v>444</v>
      </c>
      <c r="F172" s="289"/>
      <c r="G172" s="290"/>
      <c r="H172" s="113">
        <v>18500</v>
      </c>
      <c r="I172" s="280">
        <f t="shared" si="0"/>
        <v>212108.93333333332</v>
      </c>
      <c r="J172" s="104">
        <f>+ SUMIF('Doanh thu'!A:A, C172,'Doanh thu'!F:F)</f>
        <v>0</v>
      </c>
      <c r="K172" s="100">
        <f>SUMIF('Xuất kho'!D:D, C172,'Xuất kho'!K:K)</f>
        <v>212108.93333333332</v>
      </c>
      <c r="L172" s="291">
        <f>SUMIF('Xuất kho'!$D$1:$D$2955,C172,'Xuất kho'!$H$1:$H$2955)</f>
        <v>0</v>
      </c>
      <c r="M172" s="30">
        <f>SUMIF('Xuất kho'!$D$8:$D$2955,C172,'Xuất kho'!$I$8:$I$2955)</f>
        <v>13</v>
      </c>
      <c r="N172" s="291">
        <f t="shared" si="29"/>
        <v>-13</v>
      </c>
      <c r="O172" s="30">
        <f>SUMIF('Xuất kho'!$D$3:$D$2721,C172,'Xuất kho'!$K$3:$K$2721)</f>
        <v>212108.93333333332</v>
      </c>
      <c r="P172" s="274"/>
    </row>
    <row r="173" spans="1:18" ht="13.2">
      <c r="A173" s="372"/>
      <c r="B173" s="111"/>
      <c r="C173" s="112" t="s">
        <v>788</v>
      </c>
      <c r="D173" s="112" t="s">
        <v>789</v>
      </c>
      <c r="E173" s="111" t="s">
        <v>444</v>
      </c>
      <c r="F173" s="289"/>
      <c r="G173" s="290"/>
      <c r="H173" s="113">
        <v>38000</v>
      </c>
      <c r="I173" s="280">
        <f t="shared" si="0"/>
        <v>4120200</v>
      </c>
      <c r="J173" s="104">
        <f>+ SUMIF('Doanh thu'!A:A, C173,'Doanh thu'!F:F)</f>
        <v>3608000</v>
      </c>
      <c r="K173" s="100">
        <f>SUMIF('Xuất kho'!D:D, C173,'Xuất kho'!K:K)</f>
        <v>512200</v>
      </c>
      <c r="L173" s="291">
        <f>SUMIF('Xuất kho'!$D$1:$D$2955,C173,'Xuất kho'!$H$1:$H$2955)</f>
        <v>0</v>
      </c>
      <c r="M173" s="30">
        <f>SUMIF('Xuất kho'!$D$8:$D$2955,C173,'Xuất kho'!$I$8:$I$2955)</f>
        <v>14</v>
      </c>
      <c r="N173" s="291"/>
      <c r="O173" s="30">
        <f>SUMIF('Xuất kho'!$D$3:$D$2721,C173,'Xuất kho'!$K$3:$K$2721)</f>
        <v>512200</v>
      </c>
      <c r="P173" s="274"/>
      <c r="Q173" s="215">
        <f>SUM(P173:P194)</f>
        <v>0</v>
      </c>
      <c r="R173" s="215">
        <f>(166.25+479.8+362+206.75+760+178.31+426+859-39)*3570</f>
        <v>12134822.700000001</v>
      </c>
    </row>
    <row r="174" spans="1:18" ht="13.2">
      <c r="A174" s="372"/>
      <c r="B174" s="111"/>
      <c r="C174" s="112" t="s">
        <v>790</v>
      </c>
      <c r="D174" s="112" t="s">
        <v>791</v>
      </c>
      <c r="E174" s="111" t="s">
        <v>444</v>
      </c>
      <c r="F174" s="289"/>
      <c r="G174" s="290"/>
      <c r="H174" s="113">
        <v>40000</v>
      </c>
      <c r="I174" s="280">
        <f t="shared" si="0"/>
        <v>2226200</v>
      </c>
      <c r="J174" s="104">
        <f>+ SUMIF('Doanh thu'!A:A, C174,'Doanh thu'!F:F)</f>
        <v>1680000</v>
      </c>
      <c r="K174" s="100">
        <f>SUMIF('Xuất kho'!D:D, C174,'Xuất kho'!K:K)</f>
        <v>546200</v>
      </c>
      <c r="L174" s="291">
        <f>SUMIF('Xuất kho'!$D$1:$D$2955,C174,'Xuất kho'!$H$1:$H$2955)</f>
        <v>0</v>
      </c>
      <c r="M174" s="30">
        <f>SUMIF('Xuất kho'!$D$8:$D$2955,C174,'Xuất kho'!$I$8:$I$2955)</f>
        <v>16</v>
      </c>
      <c r="N174" s="291"/>
      <c r="O174" s="30">
        <f>SUMIF('Xuất kho'!$D$3:$D$2721,C174,'Xuất kho'!$K$3:$K$2721)</f>
        <v>546200</v>
      </c>
      <c r="P174" s="274"/>
      <c r="Q174" s="16" t="s">
        <v>2188</v>
      </c>
      <c r="R174" s="16" t="s">
        <v>2189</v>
      </c>
    </row>
    <row r="175" spans="1:18" ht="13.2">
      <c r="A175" s="372"/>
      <c r="B175" s="111"/>
      <c r="C175" s="112" t="s">
        <v>792</v>
      </c>
      <c r="D175" s="112" t="s">
        <v>793</v>
      </c>
      <c r="E175" s="111" t="s">
        <v>444</v>
      </c>
      <c r="F175" s="289"/>
      <c r="G175" s="290"/>
      <c r="H175" s="113">
        <v>38000</v>
      </c>
      <c r="I175" s="280">
        <f t="shared" si="0"/>
        <v>3142200</v>
      </c>
      <c r="J175" s="104">
        <f>+ SUMIF('Doanh thu'!A:A, C175,'Doanh thu'!F:F)</f>
        <v>2622000</v>
      </c>
      <c r="K175" s="100">
        <f>SUMIF('Xuất kho'!D:D, C175,'Xuất kho'!K:K)</f>
        <v>520200</v>
      </c>
      <c r="L175" s="291">
        <f>SUMIF('Xuất kho'!$D$1:$D$2955,C175,'Xuất kho'!$H$1:$H$2955)</f>
        <v>0</v>
      </c>
      <c r="M175" s="30">
        <f>SUMIF('Xuất kho'!$D$8:$D$2955,C175,'Xuất kho'!$I$8:$I$2955)</f>
        <v>14</v>
      </c>
      <c r="N175" s="291"/>
      <c r="O175" s="30">
        <f>SUMIF('Xuất kho'!$D$3:$D$2721,C175,'Xuất kho'!$K$3:$K$2721)</f>
        <v>520200</v>
      </c>
      <c r="P175" s="274"/>
    </row>
    <row r="176" spans="1:18" ht="13.2">
      <c r="A176" s="372"/>
      <c r="B176" s="111"/>
      <c r="C176" s="112" t="s">
        <v>794</v>
      </c>
      <c r="D176" s="112" t="s">
        <v>795</v>
      </c>
      <c r="E176" s="111" t="s">
        <v>444</v>
      </c>
      <c r="F176" s="289"/>
      <c r="G176" s="290"/>
      <c r="H176" s="113">
        <v>40000</v>
      </c>
      <c r="I176" s="280">
        <f t="shared" si="0"/>
        <v>3496200</v>
      </c>
      <c r="J176" s="104">
        <f>+ SUMIF('Doanh thu'!A:A, C176,'Doanh thu'!F:F)</f>
        <v>2760000</v>
      </c>
      <c r="K176" s="100">
        <f>SUMIF('Xuất kho'!D:D, C176,'Xuất kho'!K:K)</f>
        <v>736200</v>
      </c>
      <c r="L176" s="291">
        <f>SUMIF('Xuất kho'!$D$1:$D$2955,C176,'Xuất kho'!$H$1:$H$2955)</f>
        <v>0</v>
      </c>
      <c r="M176" s="30">
        <f>SUMIF('Xuất kho'!$D$8:$D$2955,C176,'Xuất kho'!$I$8:$I$2955)</f>
        <v>21</v>
      </c>
      <c r="N176" s="291"/>
      <c r="O176" s="30">
        <f>SUMIF('Xuất kho'!$D$3:$D$2721,C176,'Xuất kho'!$K$3:$K$2721)</f>
        <v>736200</v>
      </c>
      <c r="P176" s="274"/>
    </row>
    <row r="177" spans="1:16" ht="13.2">
      <c r="A177" s="372"/>
      <c r="B177" s="111"/>
      <c r="C177" s="112" t="s">
        <v>796</v>
      </c>
      <c r="D177" s="112" t="s">
        <v>797</v>
      </c>
      <c r="E177" s="111" t="s">
        <v>444</v>
      </c>
      <c r="F177" s="289"/>
      <c r="G177" s="290"/>
      <c r="H177" s="113">
        <v>38000</v>
      </c>
      <c r="I177" s="280">
        <f t="shared" si="0"/>
        <v>4472580</v>
      </c>
      <c r="J177" s="104">
        <f>+ SUMIF('Doanh thu'!A:A, C177,'Doanh thu'!F:F)</f>
        <v>4010000</v>
      </c>
      <c r="K177" s="100">
        <f>SUMIF('Xuất kho'!D:D, C177,'Xuất kho'!K:K)</f>
        <v>462580</v>
      </c>
      <c r="L177" s="291">
        <f>SUMIF('Xuất kho'!$D$1:$D$2955,C177,'Xuất kho'!$H$1:$H$2955)</f>
        <v>0</v>
      </c>
      <c r="M177" s="30">
        <f>SUMIF('Xuất kho'!$D$8:$D$2955,C177,'Xuất kho'!$I$8:$I$2955)</f>
        <v>13</v>
      </c>
      <c r="N177" s="291"/>
      <c r="O177" s="30">
        <f>SUMIF('Xuất kho'!$D$3:$D$2721,C177,'Xuất kho'!$K$3:$K$2721)</f>
        <v>462580</v>
      </c>
      <c r="P177" s="274"/>
    </row>
    <row r="178" spans="1:16" ht="13.2">
      <c r="A178" s="372"/>
      <c r="B178" s="111"/>
      <c r="C178" s="112" t="s">
        <v>798</v>
      </c>
      <c r="D178" s="112" t="s">
        <v>799</v>
      </c>
      <c r="E178" s="111" t="s">
        <v>444</v>
      </c>
      <c r="F178" s="289"/>
      <c r="G178" s="290"/>
      <c r="H178" s="113">
        <v>40000</v>
      </c>
      <c r="I178" s="280">
        <f t="shared" si="0"/>
        <v>2900000</v>
      </c>
      <c r="J178" s="104">
        <f>+ SUMIF('Doanh thu'!A:A, C178,'Doanh thu'!F:F)</f>
        <v>2480000</v>
      </c>
      <c r="K178" s="100">
        <f>SUMIF('Xuất kho'!D:D, C178,'Xuất kho'!K:K)</f>
        <v>420000</v>
      </c>
      <c r="L178" s="291">
        <f>SUMIF('Xuất kho'!$D$1:$D$2955,C178,'Xuất kho'!$H$1:$H$2955)</f>
        <v>0</v>
      </c>
      <c r="M178" s="30">
        <f>SUMIF('Xuất kho'!$D$8:$D$2955,C178,'Xuất kho'!$I$8:$I$2955)</f>
        <v>12</v>
      </c>
      <c r="N178" s="291"/>
      <c r="O178" s="30">
        <f>SUMIF('Xuất kho'!$D$3:$D$2721,C178,'Xuất kho'!$K$3:$K$2721)</f>
        <v>420000</v>
      </c>
      <c r="P178" s="274"/>
    </row>
    <row r="179" spans="1:16" ht="13.2">
      <c r="A179" s="372"/>
      <c r="B179" s="111"/>
      <c r="C179" s="112" t="s">
        <v>800</v>
      </c>
      <c r="D179" s="112" t="s">
        <v>801</v>
      </c>
      <c r="E179" s="111" t="s">
        <v>444</v>
      </c>
      <c r="F179" s="289"/>
      <c r="G179" s="290"/>
      <c r="H179" s="113">
        <v>38000</v>
      </c>
      <c r="I179" s="280">
        <f t="shared" si="0"/>
        <v>1314000</v>
      </c>
      <c r="J179" s="104">
        <f>+ SUMIF('Doanh thu'!A:A, C179,'Doanh thu'!F:F)</f>
        <v>1102000</v>
      </c>
      <c r="K179" s="100">
        <f>SUMIF('Xuất kho'!D:D, C179,'Xuất kho'!K:K)</f>
        <v>212000</v>
      </c>
      <c r="L179" s="112">
        <v>0</v>
      </c>
      <c r="M179" s="30">
        <f>SUMIF('Xuất kho'!$D$8:$D$2955,C179,'Xuất kho'!$I$8:$I$2955)</f>
        <v>6</v>
      </c>
      <c r="N179" s="291"/>
      <c r="O179" s="30">
        <f>SUMIF('Xuất kho'!$D$3:$D$2721,C179,'Xuất kho'!$K$3:$K$2721)</f>
        <v>212000</v>
      </c>
      <c r="P179" s="274"/>
    </row>
    <row r="180" spans="1:16" ht="13.2">
      <c r="A180" s="372"/>
      <c r="B180" s="111"/>
      <c r="C180" s="112" t="s">
        <v>802</v>
      </c>
      <c r="D180" s="112" t="s">
        <v>803</v>
      </c>
      <c r="E180" s="111" t="s">
        <v>444</v>
      </c>
      <c r="F180" s="289"/>
      <c r="G180" s="290"/>
      <c r="H180" s="113">
        <v>15000</v>
      </c>
      <c r="I180" s="280">
        <f t="shared" si="0"/>
        <v>152000</v>
      </c>
      <c r="J180" s="104">
        <f>+ SUMIF('Doanh thu'!A:A, C180,'Doanh thu'!F:F)</f>
        <v>152000</v>
      </c>
      <c r="K180" s="100">
        <f>SUMIF('Xuất kho'!D:D, C180,'Xuất kho'!K:K)</f>
        <v>0</v>
      </c>
      <c r="L180" s="112">
        <v>9</v>
      </c>
      <c r="M180" s="30">
        <f>SUMIF('Xuất kho'!$D$8:$D$2955,C180,'Xuất kho'!$I$8:$I$2955)</f>
        <v>0</v>
      </c>
      <c r="N180" s="291"/>
      <c r="O180" s="30">
        <f>SUMIF('Xuất kho'!$D$3:$D$2721,C180,'Xuất kho'!$K$3:$K$2721)</f>
        <v>0</v>
      </c>
      <c r="P180" s="274"/>
    </row>
    <row r="181" spans="1:16" ht="13.2">
      <c r="A181" s="372"/>
      <c r="B181" s="111"/>
      <c r="C181" s="112" t="s">
        <v>804</v>
      </c>
      <c r="D181" s="112" t="s">
        <v>797</v>
      </c>
      <c r="E181" s="111" t="s">
        <v>444</v>
      </c>
      <c r="F181" s="289"/>
      <c r="G181" s="290"/>
      <c r="H181" s="113">
        <v>15000</v>
      </c>
      <c r="I181" s="280">
        <f t="shared" si="0"/>
        <v>110000</v>
      </c>
      <c r="J181" s="104">
        <f>+ SUMIF('Doanh thu'!A:A, C181,'Doanh thu'!F:F)</f>
        <v>110000</v>
      </c>
      <c r="K181" s="100">
        <f>SUMIF('Xuất kho'!D:D, C181,'Xuất kho'!K:K)</f>
        <v>0</v>
      </c>
      <c r="L181" s="112">
        <v>9</v>
      </c>
      <c r="M181" s="30">
        <f>SUMIF('Xuất kho'!$D$8:$D$2955,C181,'Xuất kho'!$I$8:$I$2955)</f>
        <v>0</v>
      </c>
      <c r="N181" s="291"/>
      <c r="O181" s="30">
        <f>SUMIF('Xuất kho'!$D$3:$D$2721,C181,'Xuất kho'!$K$3:$K$2721)</f>
        <v>0</v>
      </c>
      <c r="P181" s="274"/>
    </row>
    <row r="182" spans="1:16" ht="13.2">
      <c r="A182" s="372"/>
      <c r="B182" s="111"/>
      <c r="C182" s="112" t="s">
        <v>805</v>
      </c>
      <c r="D182" s="112" t="s">
        <v>806</v>
      </c>
      <c r="E182" s="111" t="s">
        <v>444</v>
      </c>
      <c r="F182" s="289"/>
      <c r="G182" s="290"/>
      <c r="H182" s="113">
        <v>15000</v>
      </c>
      <c r="I182" s="280">
        <f t="shared" si="0"/>
        <v>38000</v>
      </c>
      <c r="J182" s="104">
        <f>+ SUMIF('Doanh thu'!A:A, C182,'Doanh thu'!F:F)</f>
        <v>38000</v>
      </c>
      <c r="K182" s="100">
        <f>SUMIF('Xuất kho'!D:D, C182,'Xuất kho'!K:K)</f>
        <v>0</v>
      </c>
      <c r="L182" s="112">
        <v>9</v>
      </c>
      <c r="M182" s="30">
        <f>SUMIF('Xuất kho'!$D$8:$D$2955,C182,'Xuất kho'!$I$8:$I$2955)</f>
        <v>0</v>
      </c>
      <c r="N182" s="291"/>
      <c r="O182" s="30">
        <f>SUMIF('Xuất kho'!$D$3:$D$2721,C182,'Xuất kho'!$K$3:$K$2721)</f>
        <v>0</v>
      </c>
      <c r="P182" s="274"/>
    </row>
    <row r="183" spans="1:16" ht="13.2">
      <c r="A183" s="372"/>
      <c r="B183" s="111"/>
      <c r="C183" s="112" t="s">
        <v>807</v>
      </c>
      <c r="D183" s="112" t="s">
        <v>799</v>
      </c>
      <c r="E183" s="111" t="s">
        <v>444</v>
      </c>
      <c r="F183" s="289"/>
      <c r="G183" s="290"/>
      <c r="H183" s="113">
        <v>15000</v>
      </c>
      <c r="I183" s="280">
        <f t="shared" si="0"/>
        <v>133000</v>
      </c>
      <c r="J183" s="104">
        <f>+ SUMIF('Doanh thu'!A:A, C183,'Doanh thu'!F:F)</f>
        <v>133000</v>
      </c>
      <c r="K183" s="100">
        <f>SUMIF('Xuất kho'!D:D, C183,'Xuất kho'!K:K)</f>
        <v>0</v>
      </c>
      <c r="L183" s="112">
        <v>9</v>
      </c>
      <c r="M183" s="30">
        <f>SUMIF('Xuất kho'!$D$8:$D$2955,C183,'Xuất kho'!$I$8:$I$2955)</f>
        <v>0</v>
      </c>
      <c r="N183" s="291"/>
      <c r="O183" s="30">
        <f>SUMIF('Xuất kho'!$D$3:$D$2721,C183,'Xuất kho'!$K$3:$K$2721)</f>
        <v>0</v>
      </c>
      <c r="P183" s="274"/>
    </row>
    <row r="184" spans="1:16" ht="13.2">
      <c r="A184" s="372"/>
      <c r="B184" s="111"/>
      <c r="C184" s="112" t="s">
        <v>808</v>
      </c>
      <c r="D184" s="112" t="s">
        <v>809</v>
      </c>
      <c r="E184" s="111" t="s">
        <v>444</v>
      </c>
      <c r="F184" s="289"/>
      <c r="G184" s="290"/>
      <c r="H184" s="113">
        <v>15000</v>
      </c>
      <c r="I184" s="280">
        <f t="shared" si="0"/>
        <v>36000</v>
      </c>
      <c r="J184" s="104">
        <f>+ SUMIF('Doanh thu'!A:A, C184,'Doanh thu'!F:F)</f>
        <v>36000</v>
      </c>
      <c r="K184" s="100">
        <f>SUMIF('Xuất kho'!D:D, C184,'Xuất kho'!K:K)</f>
        <v>0</v>
      </c>
      <c r="L184" s="112">
        <v>15</v>
      </c>
      <c r="M184" s="30">
        <f>SUMIF('Xuất kho'!$D$8:$D$2955,C184,'Xuất kho'!$I$8:$I$2955)</f>
        <v>0</v>
      </c>
      <c r="N184" s="291"/>
      <c r="O184" s="30">
        <f>SUMIF('Xuất kho'!$D$3:$D$2721,C184,'Xuất kho'!$K$3:$K$2721)</f>
        <v>0</v>
      </c>
      <c r="P184" s="274"/>
    </row>
    <row r="185" spans="1:16" ht="13.2">
      <c r="A185" s="372"/>
      <c r="B185" s="111"/>
      <c r="C185" s="112" t="s">
        <v>810</v>
      </c>
      <c r="D185" s="112" t="s">
        <v>811</v>
      </c>
      <c r="E185" s="111" t="s">
        <v>444</v>
      </c>
      <c r="F185" s="289"/>
      <c r="G185" s="290"/>
      <c r="H185" s="113">
        <v>15000</v>
      </c>
      <c r="I185" s="280">
        <f t="shared" si="0"/>
        <v>36000</v>
      </c>
      <c r="J185" s="104">
        <f>+ SUMIF('Doanh thu'!A:A, C185,'Doanh thu'!F:F)</f>
        <v>36000</v>
      </c>
      <c r="K185" s="100">
        <f>SUMIF('Xuất kho'!D:D, C185,'Xuất kho'!K:K)</f>
        <v>0</v>
      </c>
      <c r="L185" s="112">
        <v>15</v>
      </c>
      <c r="M185" s="30">
        <f>SUMIF('Xuất kho'!$D$8:$D$2955,C185,'Xuất kho'!$I$8:$I$2955)</f>
        <v>0</v>
      </c>
      <c r="N185" s="291"/>
      <c r="O185" s="30">
        <f>SUMIF('Xuất kho'!$D$3:$D$2721,C185,'Xuất kho'!$K$3:$K$2721)</f>
        <v>0</v>
      </c>
      <c r="P185" s="274"/>
    </row>
    <row r="186" spans="1:16" ht="13.2">
      <c r="A186" s="372"/>
      <c r="B186" s="111"/>
      <c r="C186" s="112" t="s">
        <v>812</v>
      </c>
      <c r="D186" s="112" t="s">
        <v>797</v>
      </c>
      <c r="E186" s="111" t="s">
        <v>444</v>
      </c>
      <c r="F186" s="289"/>
      <c r="G186" s="290"/>
      <c r="H186" s="113">
        <v>15000</v>
      </c>
      <c r="I186" s="280">
        <f t="shared" si="0"/>
        <v>90000</v>
      </c>
      <c r="J186" s="104">
        <f>+ SUMIF('Doanh thu'!A:A, C186,'Doanh thu'!F:F)</f>
        <v>90000</v>
      </c>
      <c r="K186" s="100">
        <f>SUMIF('Xuất kho'!D:D, C186,'Xuất kho'!K:K)</f>
        <v>0</v>
      </c>
      <c r="L186" s="112">
        <v>15</v>
      </c>
      <c r="M186" s="30">
        <f>SUMIF('Xuất kho'!$D$8:$D$2955,C186,'Xuất kho'!$I$8:$I$2955)</f>
        <v>0</v>
      </c>
      <c r="N186" s="291"/>
      <c r="O186" s="30">
        <f>SUMIF('Xuất kho'!$D$3:$D$2721,C186,'Xuất kho'!$K$3:$K$2721)</f>
        <v>0</v>
      </c>
      <c r="P186" s="274"/>
    </row>
    <row r="187" spans="1:16" ht="13.2">
      <c r="A187" s="372"/>
      <c r="B187" s="111"/>
      <c r="C187" s="112" t="s">
        <v>813</v>
      </c>
      <c r="D187" s="112" t="s">
        <v>814</v>
      </c>
      <c r="E187" s="111" t="s">
        <v>444</v>
      </c>
      <c r="F187" s="289"/>
      <c r="G187" s="290"/>
      <c r="H187" s="113">
        <v>15000</v>
      </c>
      <c r="I187" s="280">
        <f t="shared" si="0"/>
        <v>69000</v>
      </c>
      <c r="J187" s="104">
        <f>+ SUMIF('Doanh thu'!A:A, C187,'Doanh thu'!F:F)</f>
        <v>69000</v>
      </c>
      <c r="K187" s="100">
        <f>SUMIF('Xuất kho'!D:D, C187,'Xuất kho'!K:K)</f>
        <v>0</v>
      </c>
      <c r="L187" s="112">
        <v>15</v>
      </c>
      <c r="M187" s="30">
        <f>SUMIF('Xuất kho'!$D$8:$D$2955,C187,'Xuất kho'!$I$8:$I$2955)</f>
        <v>0</v>
      </c>
      <c r="N187" s="291"/>
      <c r="O187" s="30">
        <f>SUMIF('Xuất kho'!$D$3:$D$2721,C187,'Xuất kho'!$K$3:$K$2721)</f>
        <v>0</v>
      </c>
      <c r="P187" s="274"/>
    </row>
    <row r="188" spans="1:16" ht="13.2">
      <c r="A188" s="373"/>
      <c r="B188" s="111"/>
      <c r="C188" s="112" t="s">
        <v>815</v>
      </c>
      <c r="D188" s="112" t="s">
        <v>816</v>
      </c>
      <c r="E188" s="111" t="s">
        <v>444</v>
      </c>
      <c r="F188" s="289"/>
      <c r="G188" s="290"/>
      <c r="H188" s="113">
        <v>15000</v>
      </c>
      <c r="I188" s="280">
        <f t="shared" si="0"/>
        <v>36000</v>
      </c>
      <c r="J188" s="104">
        <f>+ SUMIF('Doanh thu'!A:A, C188,'Doanh thu'!F:F)</f>
        <v>36000</v>
      </c>
      <c r="K188" s="100">
        <f>SUMIF('Xuất kho'!D:D, C188,'Xuất kho'!K:K)</f>
        <v>0</v>
      </c>
      <c r="L188" s="112">
        <v>15</v>
      </c>
      <c r="M188" s="30">
        <f>SUMIF('Xuất kho'!$D$8:$D$2955,C188,'Xuất kho'!$I$8:$I$2955)</f>
        <v>0</v>
      </c>
      <c r="N188" s="291"/>
      <c r="O188" s="30">
        <f>SUMIF('Xuất kho'!$D$3:$D$2721,C188,'Xuất kho'!$K$3:$K$2721)</f>
        <v>0</v>
      </c>
      <c r="P188" s="274"/>
    </row>
    <row r="189" spans="1:16" ht="13.2">
      <c r="A189" s="293"/>
      <c r="B189" s="111"/>
      <c r="C189" s="112" t="s">
        <v>817</v>
      </c>
      <c r="D189" s="112" t="s">
        <v>818</v>
      </c>
      <c r="E189" s="111" t="s">
        <v>444</v>
      </c>
      <c r="F189" s="289"/>
      <c r="G189" s="290"/>
      <c r="H189" s="113">
        <v>52000</v>
      </c>
      <c r="I189" s="280">
        <f t="shared" si="0"/>
        <v>2600000</v>
      </c>
      <c r="J189" s="104">
        <f>+ SUMIF('Doanh thu'!A:A, C189,'Doanh thu'!F:F)</f>
        <v>2600000</v>
      </c>
      <c r="K189" s="100">
        <f>SUMIF('Xuất kho'!D:D, C189,'Xuất kho'!K:K)</f>
        <v>0</v>
      </c>
      <c r="L189" s="112"/>
      <c r="M189" s="30">
        <f>SUMIF('Xuất kho'!$D$8:$D$2955,C189,'Xuất kho'!$I$8:$I$2955)</f>
        <v>0</v>
      </c>
      <c r="N189" s="291"/>
      <c r="O189" s="30">
        <f>SUMIF('Xuất kho'!$D$3:$D$2721,C189,'Xuất kho'!$K$3:$K$2721)</f>
        <v>0</v>
      </c>
      <c r="P189" s="274"/>
    </row>
    <row r="190" spans="1:16" ht="13.2">
      <c r="A190" s="293"/>
      <c r="B190" s="111"/>
      <c r="C190" s="112" t="s">
        <v>819</v>
      </c>
      <c r="D190" s="112" t="s">
        <v>820</v>
      </c>
      <c r="E190" s="111" t="s">
        <v>444</v>
      </c>
      <c r="F190" s="289"/>
      <c r="G190" s="290"/>
      <c r="H190" s="113">
        <v>52000</v>
      </c>
      <c r="I190" s="280">
        <f t="shared" si="0"/>
        <v>1924000</v>
      </c>
      <c r="J190" s="104">
        <f>+ SUMIF('Doanh thu'!A:A, C190,'Doanh thu'!F:F)</f>
        <v>1924000</v>
      </c>
      <c r="K190" s="100">
        <f>SUMIF('Xuất kho'!D:D, C190,'Xuất kho'!K:K)</f>
        <v>0</v>
      </c>
      <c r="L190" s="112"/>
      <c r="M190" s="30">
        <f>SUMIF('Xuất kho'!$D$8:$D$2955,C190,'Xuất kho'!$I$8:$I$2955)</f>
        <v>0</v>
      </c>
      <c r="N190" s="291"/>
      <c r="O190" s="30">
        <f>SUMIF('Xuất kho'!$D$3:$D$2721,C190,'Xuất kho'!$K$3:$K$2721)</f>
        <v>0</v>
      </c>
      <c r="P190" s="274"/>
    </row>
    <row r="191" spans="1:16" ht="13.2">
      <c r="A191" s="293"/>
      <c r="B191" s="111"/>
      <c r="C191" s="112" t="s">
        <v>821</v>
      </c>
      <c r="D191" s="112" t="s">
        <v>822</v>
      </c>
      <c r="E191" s="111" t="s">
        <v>444</v>
      </c>
      <c r="F191" s="289"/>
      <c r="G191" s="290"/>
      <c r="H191" s="113">
        <v>52000</v>
      </c>
      <c r="I191" s="280">
        <f t="shared" si="0"/>
        <v>1404000</v>
      </c>
      <c r="J191" s="104">
        <f>+ SUMIF('Doanh thu'!A:A, C191,'Doanh thu'!F:F)</f>
        <v>1404000</v>
      </c>
      <c r="K191" s="100">
        <f>SUMIF('Xuất kho'!D:D, C191,'Xuất kho'!K:K)</f>
        <v>0</v>
      </c>
      <c r="L191" s="112"/>
      <c r="M191" s="30">
        <f>SUMIF('Xuất kho'!$D$8:$D$2955,C191,'Xuất kho'!$I$8:$I$2955)</f>
        <v>0</v>
      </c>
      <c r="N191" s="291"/>
      <c r="O191" s="30">
        <f>SUMIF('Xuất kho'!$D$3:$D$2721,C191,'Xuất kho'!$K$3:$K$2721)</f>
        <v>0</v>
      </c>
      <c r="P191" s="274"/>
    </row>
    <row r="192" spans="1:16" ht="13.2">
      <c r="A192" s="293"/>
      <c r="B192" s="111"/>
      <c r="C192" s="112" t="s">
        <v>823</v>
      </c>
      <c r="D192" s="112" t="s">
        <v>824</v>
      </c>
      <c r="E192" s="111" t="s">
        <v>444</v>
      </c>
      <c r="F192" s="289"/>
      <c r="G192" s="290"/>
      <c r="H192" s="113">
        <v>52000</v>
      </c>
      <c r="I192" s="280">
        <f t="shared" si="0"/>
        <v>1560000</v>
      </c>
      <c r="J192" s="104">
        <f>+ SUMIF('Doanh thu'!A:A, C192,'Doanh thu'!F:F)</f>
        <v>1560000</v>
      </c>
      <c r="K192" s="100">
        <f>SUMIF('Xuất kho'!D:D, C192,'Xuất kho'!K:K)</f>
        <v>0</v>
      </c>
      <c r="L192" s="112"/>
      <c r="M192" s="30">
        <f>SUMIF('Xuất kho'!$D$8:$D$2955,C192,'Xuất kho'!$I$8:$I$2955)</f>
        <v>0</v>
      </c>
      <c r="N192" s="291"/>
      <c r="O192" s="30">
        <f>SUMIF('Xuất kho'!$D$3:$D$2721,C192,'Xuất kho'!$K$3:$K$2721)</f>
        <v>0</v>
      </c>
      <c r="P192" s="274"/>
    </row>
    <row r="193" spans="1:16" ht="13.2">
      <c r="A193" s="293"/>
      <c r="B193" s="111"/>
      <c r="C193" s="112" t="s">
        <v>825</v>
      </c>
      <c r="D193" s="112" t="s">
        <v>826</v>
      </c>
      <c r="E193" s="111" t="s">
        <v>444</v>
      </c>
      <c r="F193" s="289"/>
      <c r="G193" s="290"/>
      <c r="H193" s="113">
        <v>52000</v>
      </c>
      <c r="I193" s="280">
        <f t="shared" si="0"/>
        <v>1196000</v>
      </c>
      <c r="J193" s="104">
        <f>+ SUMIF('Doanh thu'!A:A, C193,'Doanh thu'!F:F)</f>
        <v>1196000</v>
      </c>
      <c r="K193" s="100">
        <f>SUMIF('Xuất kho'!D:D, C193,'Xuất kho'!K:K)</f>
        <v>0</v>
      </c>
      <c r="L193" s="112"/>
      <c r="M193" s="30">
        <f>SUMIF('Xuất kho'!$D$8:$D$2955,C193,'Xuất kho'!$I$8:$I$2955)</f>
        <v>0</v>
      </c>
      <c r="N193" s="291"/>
      <c r="O193" s="30">
        <f>SUMIF('Xuất kho'!$D$3:$D$2721,C193,'Xuất kho'!$K$3:$K$2721)</f>
        <v>0</v>
      </c>
      <c r="P193" s="274"/>
    </row>
    <row r="194" spans="1:16" ht="13.2">
      <c r="A194" s="293"/>
      <c r="B194" s="111"/>
      <c r="C194" s="112" t="s">
        <v>827</v>
      </c>
      <c r="D194" s="112" t="s">
        <v>828</v>
      </c>
      <c r="E194" s="111" t="s">
        <v>444</v>
      </c>
      <c r="F194" s="289"/>
      <c r="G194" s="290"/>
      <c r="H194" s="113">
        <v>52000</v>
      </c>
      <c r="I194" s="280">
        <f t="shared" si="0"/>
        <v>780000</v>
      </c>
      <c r="J194" s="104">
        <f>+ SUMIF('Doanh thu'!A:A, C194,'Doanh thu'!F:F)</f>
        <v>780000</v>
      </c>
      <c r="K194" s="100">
        <f>SUMIF('Xuất kho'!D:D, C194,'Xuất kho'!K:K)</f>
        <v>0</v>
      </c>
      <c r="L194" s="112"/>
      <c r="M194" s="30">
        <f>SUMIF('Xuất kho'!$D$8:$D$2955,C194,'Xuất kho'!$I$8:$I$2955)</f>
        <v>0</v>
      </c>
      <c r="N194" s="291"/>
      <c r="O194" s="30">
        <f>SUMIF('Xuất kho'!$D$3:$D$2721,C194,'Xuất kho'!$K$3:$K$2721)</f>
        <v>0</v>
      </c>
      <c r="P194" s="274"/>
    </row>
    <row r="195" spans="1:16" ht="13.2">
      <c r="A195" s="293"/>
      <c r="B195" s="111"/>
      <c r="C195" s="112" t="s">
        <v>829</v>
      </c>
      <c r="D195" s="112" t="s">
        <v>799</v>
      </c>
      <c r="E195" s="111" t="s">
        <v>444</v>
      </c>
      <c r="F195" s="289"/>
      <c r="G195" s="290"/>
      <c r="H195" s="113">
        <v>52000</v>
      </c>
      <c r="I195" s="280">
        <f t="shared" si="0"/>
        <v>572000</v>
      </c>
      <c r="J195" s="104">
        <f>+ SUMIF('Doanh thu'!A:A, C195,'Doanh thu'!F:F)</f>
        <v>572000</v>
      </c>
      <c r="K195" s="100">
        <f>SUMIF('Xuất kho'!D:D, C195,'Xuất kho'!K:K)</f>
        <v>0</v>
      </c>
      <c r="L195" s="112"/>
      <c r="M195" s="30"/>
      <c r="N195" s="291"/>
      <c r="O195" s="30"/>
      <c r="P195" s="274"/>
    </row>
    <row r="196" spans="1:16" ht="13.2">
      <c r="A196" s="391" t="s">
        <v>838</v>
      </c>
      <c r="B196" s="123">
        <v>130</v>
      </c>
      <c r="C196" s="119" t="s">
        <v>839</v>
      </c>
      <c r="D196" s="119" t="s">
        <v>840</v>
      </c>
      <c r="E196" s="120" t="s">
        <v>841</v>
      </c>
      <c r="F196" s="294">
        <v>0.98</v>
      </c>
      <c r="G196" s="295">
        <f t="shared" ref="G196:G217" si="30">F196*3550+1000</f>
        <v>4479</v>
      </c>
      <c r="H196" s="121">
        <f t="shared" ref="H196:H205" si="31">ROUND(G196*2.2,-3)</f>
        <v>10000</v>
      </c>
      <c r="I196" s="280">
        <f t="shared" si="0"/>
        <v>0</v>
      </c>
      <c r="J196" s="104">
        <f>+ SUMIF('Doanh thu'!A:A, C196,'Doanh thu'!F:F)</f>
        <v>0</v>
      </c>
      <c r="K196" s="100">
        <f>SUMIF('Xuất kho'!D:D, C196,'Xuất kho'!K:K)</f>
        <v>0</v>
      </c>
      <c r="L196" s="296">
        <f>SUMIF('Xuất kho'!$D$1:$D$2955,C196,'Xuất kho'!$H$1:$H$2955)</f>
        <v>5</v>
      </c>
      <c r="M196" s="30">
        <f>SUMIF('Xuất kho'!$D$8:$D$2955,C196,'Xuất kho'!$I$8:$I$2955)</f>
        <v>0</v>
      </c>
      <c r="N196" s="296">
        <f t="shared" ref="N196:N220" si="32">L196-M196</f>
        <v>5</v>
      </c>
      <c r="O196" s="30">
        <f>SUMIF('Xuất kho'!$D$3:$D$2721,C196,'Xuất kho'!$K$3:$K$2721)</f>
        <v>0</v>
      </c>
      <c r="P196" s="274"/>
    </row>
    <row r="197" spans="1:16" ht="13.2">
      <c r="A197" s="372"/>
      <c r="B197" s="123">
        <v>131</v>
      </c>
      <c r="C197" s="119" t="s">
        <v>842</v>
      </c>
      <c r="D197" s="119" t="s">
        <v>843</v>
      </c>
      <c r="E197" s="122" t="s">
        <v>841</v>
      </c>
      <c r="F197" s="294">
        <v>0.98</v>
      </c>
      <c r="G197" s="295">
        <f t="shared" si="30"/>
        <v>4479</v>
      </c>
      <c r="H197" s="121">
        <f t="shared" si="31"/>
        <v>10000</v>
      </c>
      <c r="I197" s="280">
        <f t="shared" si="0"/>
        <v>27920</v>
      </c>
      <c r="J197" s="104">
        <f>+ SUMIF('Doanh thu'!A:A, C197,'Doanh thu'!F:F)</f>
        <v>22000</v>
      </c>
      <c r="K197" s="100">
        <f>SUMIF('Xuất kho'!D:D, C197,'Xuất kho'!K:K)</f>
        <v>5920</v>
      </c>
      <c r="L197" s="296">
        <f>SUMIF('Xuất kho'!$D$1:$D$2955,C197,'Xuất kho'!$H$1:$H$2955)</f>
        <v>7</v>
      </c>
      <c r="M197" s="30">
        <f>SUMIF('Xuất kho'!$D$8:$D$2955,C197,'Xuất kho'!$I$8:$I$2955)</f>
        <v>1</v>
      </c>
      <c r="N197" s="296">
        <f t="shared" si="32"/>
        <v>6</v>
      </c>
      <c r="O197" s="30">
        <f>SUMIF('Xuất kho'!$D$3:$D$2721,C197,'Xuất kho'!$K$3:$K$2721)</f>
        <v>5920</v>
      </c>
      <c r="P197" s="274"/>
    </row>
    <row r="198" spans="1:16" ht="13.2">
      <c r="A198" s="372"/>
      <c r="B198" s="123">
        <v>132</v>
      </c>
      <c r="C198" s="119" t="s">
        <v>844</v>
      </c>
      <c r="D198" s="119" t="s">
        <v>845</v>
      </c>
      <c r="E198" s="122" t="s">
        <v>841</v>
      </c>
      <c r="F198" s="294">
        <v>0.98</v>
      </c>
      <c r="G198" s="295">
        <f t="shared" si="30"/>
        <v>4479</v>
      </c>
      <c r="H198" s="121">
        <f t="shared" si="31"/>
        <v>10000</v>
      </c>
      <c r="I198" s="280">
        <f t="shared" si="0"/>
        <v>33000</v>
      </c>
      <c r="J198" s="104">
        <f>+ SUMIF('Doanh thu'!A:A, C198,'Doanh thu'!F:F)</f>
        <v>33000</v>
      </c>
      <c r="K198" s="100">
        <f>SUMIF('Xuất kho'!D:D, C198,'Xuất kho'!K:K)</f>
        <v>0</v>
      </c>
      <c r="L198" s="296">
        <f>SUMIF('Xuất kho'!$D$1:$D$2955,C198,'Xuất kho'!$H$1:$H$2955)</f>
        <v>5</v>
      </c>
      <c r="M198" s="30">
        <f>SUMIF('Xuất kho'!$D$8:$D$2955,C198,'Xuất kho'!$I$8:$I$2955)</f>
        <v>0</v>
      </c>
      <c r="N198" s="296">
        <f t="shared" si="32"/>
        <v>5</v>
      </c>
      <c r="O198" s="30">
        <f>SUMIF('Xuất kho'!$D$3:$D$2721,C198,'Xuất kho'!$K$3:$K$2721)</f>
        <v>0</v>
      </c>
      <c r="P198" s="274"/>
    </row>
    <row r="199" spans="1:16" ht="13.2">
      <c r="A199" s="372"/>
      <c r="B199" s="123">
        <v>133</v>
      </c>
      <c r="C199" s="119" t="s">
        <v>846</v>
      </c>
      <c r="D199" s="119" t="s">
        <v>847</v>
      </c>
      <c r="E199" s="122" t="s">
        <v>841</v>
      </c>
      <c r="F199" s="294">
        <v>0.98</v>
      </c>
      <c r="G199" s="295">
        <f t="shared" si="30"/>
        <v>4479</v>
      </c>
      <c r="H199" s="121">
        <f t="shared" si="31"/>
        <v>10000</v>
      </c>
      <c r="I199" s="280">
        <f t="shared" si="0"/>
        <v>4462</v>
      </c>
      <c r="J199" s="104">
        <f>+ SUMIF('Doanh thu'!A:A, C199,'Doanh thu'!F:F)</f>
        <v>0</v>
      </c>
      <c r="K199" s="100">
        <f>SUMIF('Xuất kho'!D:D, C199,'Xuất kho'!K:K)</f>
        <v>4462</v>
      </c>
      <c r="L199" s="296">
        <f>SUMIF('Xuất kho'!$D$1:$D$2955,C199,'Xuất kho'!$H$1:$H$2955)</f>
        <v>5</v>
      </c>
      <c r="M199" s="30">
        <f>SUMIF('Xuất kho'!$D$8:$D$2955,C199,'Xuất kho'!$I$8:$I$2955)</f>
        <v>1</v>
      </c>
      <c r="N199" s="296">
        <f t="shared" si="32"/>
        <v>4</v>
      </c>
      <c r="O199" s="30">
        <f>SUMIF('Xuất kho'!$D$3:$D$2721,C199,'Xuất kho'!$K$3:$K$2721)</f>
        <v>4462</v>
      </c>
      <c r="P199" s="274"/>
    </row>
    <row r="200" spans="1:16" ht="13.2">
      <c r="A200" s="372"/>
      <c r="B200" s="123">
        <v>134</v>
      </c>
      <c r="C200" s="119" t="s">
        <v>848</v>
      </c>
      <c r="D200" s="119" t="s">
        <v>849</v>
      </c>
      <c r="E200" s="122" t="s">
        <v>841</v>
      </c>
      <c r="F200" s="294">
        <v>0.98</v>
      </c>
      <c r="G200" s="295">
        <f t="shared" si="30"/>
        <v>4479</v>
      </c>
      <c r="H200" s="121">
        <f t="shared" si="31"/>
        <v>10000</v>
      </c>
      <c r="I200" s="280">
        <f t="shared" si="0"/>
        <v>21000</v>
      </c>
      <c r="J200" s="104">
        <f>+ SUMIF('Doanh thu'!A:A, C200,'Doanh thu'!F:F)</f>
        <v>11000</v>
      </c>
      <c r="K200" s="100">
        <f>SUMIF('Xuất kho'!D:D, C200,'Xuất kho'!K:K)</f>
        <v>10000</v>
      </c>
      <c r="L200" s="296">
        <f>SUMIF('Xuất kho'!$D$1:$D$2955,C200,'Xuất kho'!$H$1:$H$2955)</f>
        <v>5</v>
      </c>
      <c r="M200" s="30">
        <f>SUMIF('Xuất kho'!$D$8:$D$2955,C200,'Xuất kho'!$I$8:$I$2955)</f>
        <v>1</v>
      </c>
      <c r="N200" s="296">
        <f t="shared" si="32"/>
        <v>4</v>
      </c>
      <c r="O200" s="30">
        <f>SUMIF('Xuất kho'!$D$3:$D$2721,C200,'Xuất kho'!$K$3:$K$2721)</f>
        <v>10000</v>
      </c>
      <c r="P200" s="274"/>
    </row>
    <row r="201" spans="1:16" ht="13.2">
      <c r="A201" s="372"/>
      <c r="B201" s="123">
        <v>135</v>
      </c>
      <c r="C201" s="119" t="s">
        <v>850</v>
      </c>
      <c r="D201" s="119" t="s">
        <v>851</v>
      </c>
      <c r="E201" s="122" t="s">
        <v>841</v>
      </c>
      <c r="F201" s="294">
        <v>0.98</v>
      </c>
      <c r="G201" s="295">
        <f t="shared" si="30"/>
        <v>4479</v>
      </c>
      <c r="H201" s="121">
        <f t="shared" si="31"/>
        <v>10000</v>
      </c>
      <c r="I201" s="280">
        <f t="shared" si="0"/>
        <v>22000</v>
      </c>
      <c r="J201" s="104">
        <f>+ SUMIF('Doanh thu'!A:A, C201,'Doanh thu'!F:F)</f>
        <v>22000</v>
      </c>
      <c r="K201" s="100">
        <f>SUMIF('Xuất kho'!D:D, C201,'Xuất kho'!K:K)</f>
        <v>0</v>
      </c>
      <c r="L201" s="296">
        <f>SUMIF('Xuất kho'!$D$1:$D$2955,C201,'Xuất kho'!$H$1:$H$2955)</f>
        <v>3</v>
      </c>
      <c r="M201" s="30">
        <f>SUMIF('Xuất kho'!$D$8:$D$2955,C201,'Xuất kho'!$I$8:$I$2955)</f>
        <v>0</v>
      </c>
      <c r="N201" s="296">
        <f t="shared" si="32"/>
        <v>3</v>
      </c>
      <c r="O201" s="30">
        <f>SUMIF('Xuất kho'!$D$3:$D$2721,C201,'Xuất kho'!$K$3:$K$2721)</f>
        <v>0</v>
      </c>
      <c r="P201" s="274"/>
    </row>
    <row r="202" spans="1:16" ht="13.2">
      <c r="A202" s="372"/>
      <c r="B202" s="123">
        <v>136</v>
      </c>
      <c r="C202" s="119" t="s">
        <v>852</v>
      </c>
      <c r="D202" s="119" t="s">
        <v>853</v>
      </c>
      <c r="E202" s="122" t="s">
        <v>841</v>
      </c>
      <c r="F202" s="294">
        <v>0.98</v>
      </c>
      <c r="G202" s="295">
        <f t="shared" si="30"/>
        <v>4479</v>
      </c>
      <c r="H202" s="121">
        <f t="shared" si="31"/>
        <v>10000</v>
      </c>
      <c r="I202" s="280">
        <f t="shared" si="0"/>
        <v>77000</v>
      </c>
      <c r="J202" s="104">
        <f>+ SUMIF('Doanh thu'!A:A, C202,'Doanh thu'!F:F)</f>
        <v>77000</v>
      </c>
      <c r="K202" s="100">
        <f>SUMIF('Xuất kho'!D:D, C202,'Xuất kho'!K:K)</f>
        <v>0</v>
      </c>
      <c r="L202" s="296">
        <f>SUMIF('Xuất kho'!$D$1:$D$2955,C202,'Xuất kho'!$H$1:$H$2955)</f>
        <v>10</v>
      </c>
      <c r="M202" s="30">
        <f>SUMIF('Xuất kho'!$D$8:$D$2955,C202,'Xuất kho'!$I$8:$I$2955)</f>
        <v>0</v>
      </c>
      <c r="N202" s="296">
        <f t="shared" si="32"/>
        <v>10</v>
      </c>
      <c r="O202" s="30">
        <f>SUMIF('Xuất kho'!$D$3:$D$2721,C202,'Xuất kho'!$K$3:$K$2721)</f>
        <v>0</v>
      </c>
      <c r="P202" s="274"/>
    </row>
    <row r="203" spans="1:16" ht="13.2">
      <c r="A203" s="372"/>
      <c r="B203" s="123">
        <v>137</v>
      </c>
      <c r="C203" s="119" t="s">
        <v>854</v>
      </c>
      <c r="D203" s="119" t="s">
        <v>855</v>
      </c>
      <c r="E203" s="120" t="s">
        <v>841</v>
      </c>
      <c r="F203" s="294">
        <v>0.98</v>
      </c>
      <c r="G203" s="295">
        <f t="shared" si="30"/>
        <v>4479</v>
      </c>
      <c r="H203" s="121">
        <f t="shared" si="31"/>
        <v>10000</v>
      </c>
      <c r="I203" s="280">
        <f t="shared" si="0"/>
        <v>11000</v>
      </c>
      <c r="J203" s="104">
        <f>+ SUMIF('Doanh thu'!A:A, C203,'Doanh thu'!F:F)</f>
        <v>11000</v>
      </c>
      <c r="K203" s="100">
        <f>SUMIF('Xuất kho'!D:D, C203,'Xuất kho'!K:K)</f>
        <v>0</v>
      </c>
      <c r="L203" s="296">
        <f>SUMIF('Xuất kho'!$D$1:$D$2955,C203,'Xuất kho'!$H$1:$H$2955)</f>
        <v>3</v>
      </c>
      <c r="M203" s="30">
        <f>SUMIF('Xuất kho'!$D$8:$D$2955,C203,'Xuất kho'!$I$8:$I$2955)</f>
        <v>0</v>
      </c>
      <c r="N203" s="296">
        <f t="shared" si="32"/>
        <v>3</v>
      </c>
      <c r="O203" s="30">
        <f>SUMIF('Xuất kho'!$D$3:$D$2721,C203,'Xuất kho'!$K$3:$K$2721)</f>
        <v>0</v>
      </c>
      <c r="P203" s="274"/>
    </row>
    <row r="204" spans="1:16" ht="13.2">
      <c r="A204" s="372"/>
      <c r="B204" s="123">
        <v>138</v>
      </c>
      <c r="C204" s="119" t="s">
        <v>856</v>
      </c>
      <c r="D204" s="119" t="s">
        <v>857</v>
      </c>
      <c r="E204" s="120" t="s">
        <v>841</v>
      </c>
      <c r="F204" s="294">
        <v>0.98</v>
      </c>
      <c r="G204" s="295">
        <f t="shared" si="30"/>
        <v>4479</v>
      </c>
      <c r="H204" s="121">
        <f t="shared" si="31"/>
        <v>10000</v>
      </c>
      <c r="I204" s="280">
        <f t="shared" si="0"/>
        <v>0</v>
      </c>
      <c r="J204" s="104">
        <f>+ SUMIF('Doanh thu'!A:A, C204,'Doanh thu'!F:F)</f>
        <v>0</v>
      </c>
      <c r="K204" s="100">
        <f>SUMIF('Xuất kho'!D:D, C204,'Xuất kho'!K:K)</f>
        <v>0</v>
      </c>
      <c r="L204" s="296">
        <f>SUMIF('Xuất kho'!$D$1:$D$2955,C204,'Xuất kho'!$H$1:$H$2955)</f>
        <v>7</v>
      </c>
      <c r="M204" s="30">
        <f>SUMIF('Xuất kho'!$D$8:$D$2955,C204,'Xuất kho'!$I$8:$I$2955)</f>
        <v>0</v>
      </c>
      <c r="N204" s="296">
        <f t="shared" si="32"/>
        <v>7</v>
      </c>
      <c r="O204" s="30">
        <f>SUMIF('Xuất kho'!$D$3:$D$2721,C204,'Xuất kho'!$K$3:$K$2721)</f>
        <v>0</v>
      </c>
      <c r="P204" s="274"/>
    </row>
    <row r="205" spans="1:16" ht="13.2">
      <c r="A205" s="372"/>
      <c r="B205" s="123">
        <v>139</v>
      </c>
      <c r="C205" s="119" t="s">
        <v>858</v>
      </c>
      <c r="D205" s="119" t="s">
        <v>859</v>
      </c>
      <c r="E205" s="120" t="s">
        <v>841</v>
      </c>
      <c r="F205" s="294">
        <v>0.98</v>
      </c>
      <c r="G205" s="295">
        <f t="shared" si="30"/>
        <v>4479</v>
      </c>
      <c r="H205" s="121">
        <f t="shared" si="31"/>
        <v>10000</v>
      </c>
      <c r="I205" s="280">
        <f t="shared" si="0"/>
        <v>21000</v>
      </c>
      <c r="J205" s="104">
        <f>+ SUMIF('Doanh thu'!A:A, C205,'Doanh thu'!F:F)</f>
        <v>21000</v>
      </c>
      <c r="K205" s="100">
        <f>SUMIF('Xuất kho'!D:D, C205,'Xuất kho'!K:K)</f>
        <v>0</v>
      </c>
      <c r="L205" s="296">
        <f>SUMIF('Xuất kho'!$D$1:$D$2955,C205,'Xuất kho'!$H$1:$H$2955)</f>
        <v>3</v>
      </c>
      <c r="M205" s="30">
        <f>SUMIF('Xuất kho'!$D$8:$D$2955,C205,'Xuất kho'!$I$8:$I$2955)</f>
        <v>0</v>
      </c>
      <c r="N205" s="296">
        <f t="shared" si="32"/>
        <v>3</v>
      </c>
      <c r="O205" s="30">
        <f>SUMIF('Xuất kho'!$D$3:$D$2721,C205,'Xuất kho'!$K$3:$K$2721)</f>
        <v>0</v>
      </c>
      <c r="P205" s="274"/>
    </row>
    <row r="206" spans="1:16" ht="13.2">
      <c r="A206" s="372"/>
      <c r="B206" s="123">
        <v>140</v>
      </c>
      <c r="C206" s="119" t="s">
        <v>860</v>
      </c>
      <c r="D206" s="119" t="s">
        <v>861</v>
      </c>
      <c r="E206" s="123" t="s">
        <v>444</v>
      </c>
      <c r="F206" s="294">
        <v>0.8</v>
      </c>
      <c r="G206" s="295">
        <f t="shared" si="30"/>
        <v>3840</v>
      </c>
      <c r="H206" s="121">
        <v>9000</v>
      </c>
      <c r="I206" s="280">
        <f t="shared" si="0"/>
        <v>18000</v>
      </c>
      <c r="J206" s="104">
        <f>+ SUMIF('Doanh thu'!A:A, C206,'Doanh thu'!F:F)</f>
        <v>18000</v>
      </c>
      <c r="K206" s="100">
        <f>SUMIF('Xuất kho'!D:D, C206,'Xuất kho'!K:K)</f>
        <v>0</v>
      </c>
      <c r="L206" s="296">
        <f>SUMIF('Xuất kho'!$D$1:$D$2955,C206,'Xuất kho'!$H$1:$H$2955)</f>
        <v>2</v>
      </c>
      <c r="M206" s="30">
        <f>SUMIF('Xuất kho'!$D$8:$D$2955,C206,'Xuất kho'!$I$8:$I$2955)</f>
        <v>0</v>
      </c>
      <c r="N206" s="296">
        <f t="shared" si="32"/>
        <v>2</v>
      </c>
      <c r="O206" s="30">
        <f>SUMIF('Xuất kho'!$D$3:$D$2721,C206,'Xuất kho'!$K$3:$K$2721)</f>
        <v>0</v>
      </c>
      <c r="P206" s="274"/>
    </row>
    <row r="207" spans="1:16" ht="13.2">
      <c r="A207" s="372"/>
      <c r="B207" s="123">
        <v>141</v>
      </c>
      <c r="C207" s="119" t="s">
        <v>862</v>
      </c>
      <c r="D207" s="119" t="s">
        <v>863</v>
      </c>
      <c r="E207" s="123" t="s">
        <v>444</v>
      </c>
      <c r="F207" s="294">
        <v>0.8</v>
      </c>
      <c r="G207" s="295">
        <f t="shared" si="30"/>
        <v>3840</v>
      </c>
      <c r="H207" s="121">
        <v>9000</v>
      </c>
      <c r="I207" s="280">
        <f t="shared" si="0"/>
        <v>9000</v>
      </c>
      <c r="J207" s="104">
        <f>+ SUMIF('Doanh thu'!A:A, C207,'Doanh thu'!F:F)</f>
        <v>9000</v>
      </c>
      <c r="K207" s="100">
        <f>SUMIF('Xuất kho'!D:D, C207,'Xuất kho'!K:K)</f>
        <v>0</v>
      </c>
      <c r="L207" s="296">
        <f>SUMIF('Xuất kho'!$D$1:$D$2955,C207,'Xuất kho'!$H$1:$H$2955)</f>
        <v>2</v>
      </c>
      <c r="M207" s="30">
        <f>SUMIF('Xuất kho'!$D$8:$D$2955,C207,'Xuất kho'!$I$8:$I$2955)</f>
        <v>0</v>
      </c>
      <c r="N207" s="296">
        <f t="shared" si="32"/>
        <v>2</v>
      </c>
      <c r="O207" s="30">
        <f>SUMIF('Xuất kho'!$D$3:$D$2721,C207,'Xuất kho'!$K$3:$K$2721)</f>
        <v>0</v>
      </c>
      <c r="P207" s="274"/>
    </row>
    <row r="208" spans="1:16" ht="13.2">
      <c r="A208" s="372"/>
      <c r="B208" s="123">
        <v>142</v>
      </c>
      <c r="C208" s="119" t="s">
        <v>864</v>
      </c>
      <c r="D208" s="119" t="s">
        <v>865</v>
      </c>
      <c r="E208" s="123" t="s">
        <v>444</v>
      </c>
      <c r="F208" s="294">
        <v>0.8</v>
      </c>
      <c r="G208" s="295">
        <f t="shared" si="30"/>
        <v>3840</v>
      </c>
      <c r="H208" s="121">
        <v>9000</v>
      </c>
      <c r="I208" s="280">
        <f t="shared" si="0"/>
        <v>42000</v>
      </c>
      <c r="J208" s="104">
        <f>+ SUMIF('Doanh thu'!A:A, C208,'Doanh thu'!F:F)</f>
        <v>36000</v>
      </c>
      <c r="K208" s="100">
        <f>SUMIF('Xuất kho'!D:D, C208,'Xuất kho'!K:K)</f>
        <v>6000</v>
      </c>
      <c r="L208" s="296">
        <f>SUMIF('Xuất kho'!$D$1:$D$2955,C208,'Xuất kho'!$H$1:$H$2955)</f>
        <v>2</v>
      </c>
      <c r="M208" s="30">
        <f>SUMIF('Xuất kho'!$D$8:$D$2955,C208,'Xuất kho'!$I$8:$I$2955)</f>
        <v>1</v>
      </c>
      <c r="N208" s="296">
        <f t="shared" si="32"/>
        <v>1</v>
      </c>
      <c r="O208" s="30">
        <f>SUMIF('Xuất kho'!$D$3:$D$2721,C208,'Xuất kho'!$K$3:$K$2721)</f>
        <v>6000</v>
      </c>
      <c r="P208" s="274"/>
    </row>
    <row r="209" spans="1:34" ht="13.2">
      <c r="A209" s="372"/>
      <c r="B209" s="123">
        <v>143</v>
      </c>
      <c r="C209" s="119" t="s">
        <v>866</v>
      </c>
      <c r="D209" s="119" t="s">
        <v>867</v>
      </c>
      <c r="E209" s="123" t="s">
        <v>444</v>
      </c>
      <c r="F209" s="294">
        <v>0.8</v>
      </c>
      <c r="G209" s="295">
        <f t="shared" si="30"/>
        <v>3840</v>
      </c>
      <c r="H209" s="121">
        <v>9000</v>
      </c>
      <c r="I209" s="280">
        <f t="shared" si="0"/>
        <v>80000</v>
      </c>
      <c r="J209" s="104">
        <f>+ SUMIF('Doanh thu'!A:A, C209,'Doanh thu'!F:F)</f>
        <v>63000</v>
      </c>
      <c r="K209" s="100">
        <f>SUMIF('Xuất kho'!D:D, C209,'Xuất kho'!K:K)</f>
        <v>17000</v>
      </c>
      <c r="L209" s="296">
        <f>SUMIF('Xuất kho'!$D$1:$D$2955,C209,'Xuất kho'!$H$1:$H$2955)</f>
        <v>4</v>
      </c>
      <c r="M209" s="30">
        <f>SUMIF('Xuất kho'!$D$8:$D$2955,C209,'Xuất kho'!$I$8:$I$2955)</f>
        <v>2</v>
      </c>
      <c r="N209" s="296">
        <f t="shared" si="32"/>
        <v>2</v>
      </c>
      <c r="O209" s="30">
        <f>SUMIF('Xuất kho'!$D$3:$D$2721,C209,'Xuất kho'!$K$3:$K$2721)</f>
        <v>17000</v>
      </c>
      <c r="P209" s="274"/>
    </row>
    <row r="210" spans="1:34" ht="13.2">
      <c r="A210" s="372"/>
      <c r="B210" s="123">
        <v>144</v>
      </c>
      <c r="C210" s="119" t="s">
        <v>868</v>
      </c>
      <c r="D210" s="119" t="s">
        <v>869</v>
      </c>
      <c r="E210" s="123" t="s">
        <v>444</v>
      </c>
      <c r="F210" s="294">
        <v>0.8</v>
      </c>
      <c r="G210" s="295">
        <f t="shared" si="30"/>
        <v>3840</v>
      </c>
      <c r="H210" s="121">
        <v>9000</v>
      </c>
      <c r="I210" s="280">
        <f t="shared" si="0"/>
        <v>9000</v>
      </c>
      <c r="J210" s="104">
        <f>+ SUMIF('Doanh thu'!A:A, C210,'Doanh thu'!F:F)</f>
        <v>0</v>
      </c>
      <c r="K210" s="100">
        <f>SUMIF('Xuất kho'!D:D, C210,'Xuất kho'!K:K)</f>
        <v>9000</v>
      </c>
      <c r="L210" s="296">
        <f>SUMIF('Xuất kho'!$D$1:$D$2955,C210,'Xuất kho'!$H$1:$H$2955)</f>
        <v>2</v>
      </c>
      <c r="M210" s="30">
        <f>SUMIF('Xuất kho'!$D$8:$D$2955,C210,'Xuất kho'!$I$8:$I$2955)</f>
        <v>1</v>
      </c>
      <c r="N210" s="296">
        <f t="shared" si="32"/>
        <v>1</v>
      </c>
      <c r="O210" s="30">
        <f>SUMIF('Xuất kho'!$D$3:$D$2721,C210,'Xuất kho'!$K$3:$K$2721)</f>
        <v>9000</v>
      </c>
      <c r="P210" s="274"/>
    </row>
    <row r="211" spans="1:34" ht="13.2">
      <c r="A211" s="372"/>
      <c r="B211" s="123">
        <v>145</v>
      </c>
      <c r="C211" s="119" t="s">
        <v>870</v>
      </c>
      <c r="D211" s="119" t="s">
        <v>871</v>
      </c>
      <c r="E211" s="123" t="s">
        <v>444</v>
      </c>
      <c r="F211" s="294">
        <v>0.8</v>
      </c>
      <c r="G211" s="295">
        <f t="shared" si="30"/>
        <v>3840</v>
      </c>
      <c r="H211" s="121">
        <v>9000</v>
      </c>
      <c r="I211" s="280">
        <f t="shared" si="0"/>
        <v>81000</v>
      </c>
      <c r="J211" s="104">
        <f>+ SUMIF('Doanh thu'!A:A, C211,'Doanh thu'!F:F)</f>
        <v>81000</v>
      </c>
      <c r="K211" s="100">
        <f>SUMIF('Xuất kho'!D:D, C211,'Xuất kho'!K:K)</f>
        <v>0</v>
      </c>
      <c r="L211" s="296">
        <f>SUMIF('Xuất kho'!$D$1:$D$2955,C211,'Xuất kho'!$H$1:$H$2955)</f>
        <v>2</v>
      </c>
      <c r="M211" s="30">
        <f>SUMIF('Xuất kho'!$D$8:$D$2955,C211,'Xuất kho'!$I$8:$I$2955)</f>
        <v>0</v>
      </c>
      <c r="N211" s="296">
        <f t="shared" si="32"/>
        <v>2</v>
      </c>
      <c r="O211" s="30">
        <f>SUMIF('Xuất kho'!$D$3:$D$2721,C211,'Xuất kho'!$K$3:$K$2721)</f>
        <v>0</v>
      </c>
      <c r="P211" s="274"/>
    </row>
    <row r="212" spans="1:34" ht="13.2">
      <c r="A212" s="372"/>
      <c r="B212" s="123">
        <v>146</v>
      </c>
      <c r="C212" s="119" t="s">
        <v>872</v>
      </c>
      <c r="D212" s="119" t="s">
        <v>873</v>
      </c>
      <c r="E212" s="123" t="s">
        <v>444</v>
      </c>
      <c r="F212" s="294">
        <v>0.8</v>
      </c>
      <c r="G212" s="295">
        <f t="shared" si="30"/>
        <v>3840</v>
      </c>
      <c r="H212" s="121">
        <v>9000</v>
      </c>
      <c r="I212" s="280">
        <f t="shared" si="0"/>
        <v>36000</v>
      </c>
      <c r="J212" s="104">
        <f>+ SUMIF('Doanh thu'!A:A, C212,'Doanh thu'!F:F)</f>
        <v>27000</v>
      </c>
      <c r="K212" s="100">
        <f>SUMIF('Xuất kho'!D:D, C212,'Xuất kho'!K:K)</f>
        <v>9000</v>
      </c>
      <c r="L212" s="296">
        <f>SUMIF('Xuất kho'!$D$1:$D$2955,C212,'Xuất kho'!$H$1:$H$2955)</f>
        <v>5</v>
      </c>
      <c r="M212" s="30">
        <f>SUMIF('Xuất kho'!$D$8:$D$2955,C212,'Xuất kho'!$I$8:$I$2955)</f>
        <v>1</v>
      </c>
      <c r="N212" s="296">
        <f t="shared" si="32"/>
        <v>4</v>
      </c>
      <c r="O212" s="30">
        <f>SUMIF('Xuất kho'!$D$3:$D$2721,C212,'Xuất kho'!$K$3:$K$2721)</f>
        <v>9000</v>
      </c>
      <c r="P212" s="274"/>
    </row>
    <row r="213" spans="1:34" ht="13.2">
      <c r="A213" s="372"/>
      <c r="B213" s="123">
        <v>147</v>
      </c>
      <c r="C213" s="119" t="s">
        <v>874</v>
      </c>
      <c r="D213" s="119" t="s">
        <v>875</v>
      </c>
      <c r="E213" s="123" t="s">
        <v>444</v>
      </c>
      <c r="F213" s="294">
        <v>0.8</v>
      </c>
      <c r="G213" s="295">
        <f t="shared" si="30"/>
        <v>3840</v>
      </c>
      <c r="H213" s="121">
        <v>9000</v>
      </c>
      <c r="I213" s="280">
        <f t="shared" si="0"/>
        <v>38570</v>
      </c>
      <c r="J213" s="104">
        <f>+ SUMIF('Doanh thu'!A:A, C213,'Doanh thu'!F:F)</f>
        <v>9000</v>
      </c>
      <c r="K213" s="100">
        <f>SUMIF('Xuất kho'!D:D, C213,'Xuất kho'!K:K)</f>
        <v>29570</v>
      </c>
      <c r="L213" s="296">
        <f>SUMIF('Xuất kho'!$D$1:$D$2955,C213,'Xuất kho'!$H$1:$H$2955)</f>
        <v>5</v>
      </c>
      <c r="M213" s="30">
        <f>SUMIF('Xuất kho'!$D$8:$D$2955,C213,'Xuất kho'!$I$8:$I$2955)</f>
        <v>4</v>
      </c>
      <c r="N213" s="296">
        <f t="shared" si="32"/>
        <v>1</v>
      </c>
      <c r="O213" s="30">
        <f>SUMIF('Xuất kho'!$D$3:$D$2721,C213,'Xuất kho'!$K$3:$K$2721)</f>
        <v>29570</v>
      </c>
      <c r="P213" s="274"/>
    </row>
    <row r="214" spans="1:34" ht="13.2">
      <c r="A214" s="372"/>
      <c r="B214" s="123">
        <v>148</v>
      </c>
      <c r="C214" s="119" t="s">
        <v>876</v>
      </c>
      <c r="D214" s="119" t="s">
        <v>877</v>
      </c>
      <c r="E214" s="123" t="s">
        <v>444</v>
      </c>
      <c r="F214" s="294">
        <v>0.8</v>
      </c>
      <c r="G214" s="295">
        <f t="shared" si="30"/>
        <v>3840</v>
      </c>
      <c r="H214" s="121">
        <v>9000</v>
      </c>
      <c r="I214" s="280">
        <f t="shared" si="0"/>
        <v>36000</v>
      </c>
      <c r="J214" s="104">
        <f>+ SUMIF('Doanh thu'!A:A, C214,'Doanh thu'!F:F)</f>
        <v>36000</v>
      </c>
      <c r="K214" s="100">
        <f>SUMIF('Xuất kho'!D:D, C214,'Xuất kho'!K:K)</f>
        <v>0</v>
      </c>
      <c r="L214" s="296">
        <f>SUMIF('Xuất kho'!$D$1:$D$2955,C214,'Xuất kho'!$H$1:$H$2955)</f>
        <v>5</v>
      </c>
      <c r="M214" s="30">
        <f>SUMIF('Xuất kho'!$D$8:$D$2955,C214,'Xuất kho'!$I$8:$I$2955)</f>
        <v>1</v>
      </c>
      <c r="N214" s="296">
        <f t="shared" si="32"/>
        <v>4</v>
      </c>
      <c r="O214" s="30">
        <f>SUMIF('Xuất kho'!$D$3:$D$2721,C214,'Xuất kho'!$K$3:$K$2721)</f>
        <v>0</v>
      </c>
      <c r="P214" s="274"/>
    </row>
    <row r="215" spans="1:34" ht="13.2">
      <c r="A215" s="372"/>
      <c r="B215" s="123">
        <v>149</v>
      </c>
      <c r="C215" s="119" t="s">
        <v>878</v>
      </c>
      <c r="D215" s="119" t="s">
        <v>879</v>
      </c>
      <c r="E215" s="123" t="s">
        <v>444</v>
      </c>
      <c r="F215" s="294">
        <v>0.8</v>
      </c>
      <c r="G215" s="295">
        <f t="shared" si="30"/>
        <v>3840</v>
      </c>
      <c r="H215" s="121">
        <v>9000</v>
      </c>
      <c r="I215" s="280">
        <f t="shared" si="0"/>
        <v>37000</v>
      </c>
      <c r="J215" s="104">
        <f>+ SUMIF('Doanh thu'!A:A, C215,'Doanh thu'!F:F)</f>
        <v>0</v>
      </c>
      <c r="K215" s="100">
        <f>SUMIF('Xuất kho'!D:D, C215,'Xuất kho'!K:K)</f>
        <v>37000</v>
      </c>
      <c r="L215" s="296">
        <f>SUMIF('Xuất kho'!$D$1:$D$2955,C215,'Xuất kho'!$H$1:$H$2955)</f>
        <v>5</v>
      </c>
      <c r="M215" s="30">
        <f>SUMIF('Xuất kho'!$D$8:$D$2955,C215,'Xuất kho'!$I$8:$I$2955)</f>
        <v>5</v>
      </c>
      <c r="N215" s="296">
        <f t="shared" si="32"/>
        <v>0</v>
      </c>
      <c r="O215" s="30">
        <f>SUMIF('Xuất kho'!$D$3:$D$2721,C215,'Xuất kho'!$K$3:$K$2721)</f>
        <v>37000</v>
      </c>
      <c r="P215" s="274"/>
    </row>
    <row r="216" spans="1:34" ht="13.2">
      <c r="A216" s="372"/>
      <c r="B216" s="123">
        <v>150</v>
      </c>
      <c r="C216" s="119" t="s">
        <v>880</v>
      </c>
      <c r="D216" s="119" t="s">
        <v>881</v>
      </c>
      <c r="E216" s="123" t="s">
        <v>444</v>
      </c>
      <c r="F216" s="294">
        <v>0.8</v>
      </c>
      <c r="G216" s="295">
        <f t="shared" si="30"/>
        <v>3840</v>
      </c>
      <c r="H216" s="121">
        <v>9000</v>
      </c>
      <c r="I216" s="280">
        <f t="shared" si="0"/>
        <v>31000</v>
      </c>
      <c r="J216" s="104">
        <f>+ SUMIF('Doanh thu'!A:A, C216,'Doanh thu'!F:F)</f>
        <v>0</v>
      </c>
      <c r="K216" s="100">
        <f>SUMIF('Xuất kho'!D:D, C216,'Xuất kho'!K:K)</f>
        <v>31000</v>
      </c>
      <c r="L216" s="296">
        <f>SUMIF('Xuất kho'!$D$1:$D$2955,C216,'Xuất kho'!$H$1:$H$2955)</f>
        <v>5</v>
      </c>
      <c r="M216" s="30">
        <f>SUMIF('Xuất kho'!$D$8:$D$2955,C216,'Xuất kho'!$I$8:$I$2955)</f>
        <v>5</v>
      </c>
      <c r="N216" s="296">
        <f t="shared" si="32"/>
        <v>0</v>
      </c>
      <c r="O216" s="30">
        <f>SUMIF('Xuất kho'!$D$3:$D$2721,C216,'Xuất kho'!$K$3:$K$2721)</f>
        <v>31000</v>
      </c>
      <c r="P216" s="274"/>
    </row>
    <row r="217" spans="1:34" ht="13.2">
      <c r="A217" s="373"/>
      <c r="B217" s="123">
        <v>151</v>
      </c>
      <c r="C217" s="119" t="s">
        <v>882</v>
      </c>
      <c r="D217" s="119" t="s">
        <v>883</v>
      </c>
      <c r="E217" s="123" t="s">
        <v>444</v>
      </c>
      <c r="F217" s="294">
        <v>0.8</v>
      </c>
      <c r="G217" s="295">
        <f t="shared" si="30"/>
        <v>3840</v>
      </c>
      <c r="H217" s="121">
        <v>9000</v>
      </c>
      <c r="I217" s="280">
        <f t="shared" si="0"/>
        <v>36000</v>
      </c>
      <c r="J217" s="104">
        <f>+ SUMIF('Doanh thu'!A:A, C217,'Doanh thu'!F:F)</f>
        <v>27000</v>
      </c>
      <c r="K217" s="100">
        <f>SUMIF('Xuất kho'!D:D, C217,'Xuất kho'!K:K)</f>
        <v>9000</v>
      </c>
      <c r="L217" s="296">
        <f>SUMIF('Xuất kho'!$D$1:$D$2955,C217,'Xuất kho'!$H$1:$H$2955)</f>
        <v>5</v>
      </c>
      <c r="M217" s="30">
        <f>SUMIF('Xuất kho'!$D$8:$D$2955,C217,'Xuất kho'!$I$8:$I$2955)</f>
        <v>1</v>
      </c>
      <c r="N217" s="296">
        <f t="shared" si="32"/>
        <v>4</v>
      </c>
      <c r="O217" s="30">
        <f>SUMIF('Xuất kho'!$D$3:$D$2721,C217,'Xuất kho'!$K$3:$K$2721)</f>
        <v>9000</v>
      </c>
      <c r="P217" s="274"/>
    </row>
    <row r="218" spans="1:34" ht="13.2">
      <c r="A218" s="392" t="s">
        <v>884</v>
      </c>
      <c r="B218" s="101">
        <v>152</v>
      </c>
      <c r="C218" s="124" t="s">
        <v>885</v>
      </c>
      <c r="D218" s="124" t="s">
        <v>2168</v>
      </c>
      <c r="E218" s="101" t="s">
        <v>444</v>
      </c>
      <c r="F218" s="278">
        <v>7.9</v>
      </c>
      <c r="G218" s="279">
        <f t="shared" ref="G218:G226" si="33">F218*3550+5000</f>
        <v>33045</v>
      </c>
      <c r="H218" s="100">
        <v>56525</v>
      </c>
      <c r="I218" s="280">
        <f t="shared" si="0"/>
        <v>3099655</v>
      </c>
      <c r="J218" s="104">
        <f>+ SUMIF('Doanh thu'!A:A, C218,'Doanh thu'!F:F)</f>
        <v>2490075</v>
      </c>
      <c r="K218" s="100">
        <f>SUMIF('Xuất kho'!D:D, C218,'Xuất kho'!K:K)</f>
        <v>609580</v>
      </c>
      <c r="L218" s="30">
        <f>SUMIF('Xuất kho'!$D$1:$D$2955,C218,'Xuất kho'!$H$1:$H$2955)</f>
        <v>7</v>
      </c>
      <c r="M218" s="30">
        <f>SUMIF('Xuất kho'!$D$8:$D$2955,C218,'Xuất kho'!$I$8:$I$2955)</f>
        <v>14</v>
      </c>
      <c r="N218" s="30">
        <f t="shared" si="32"/>
        <v>-7</v>
      </c>
      <c r="O218" s="30">
        <f>SUMIF('Xuất kho'!$D$3:$D$2721,C218,'Xuất kho'!$K$3:$K$2721)</f>
        <v>609580</v>
      </c>
      <c r="P218" s="274"/>
    </row>
    <row r="219" spans="1:34" ht="13.2">
      <c r="A219" s="369"/>
      <c r="B219" s="101">
        <v>153</v>
      </c>
      <c r="C219" s="124" t="s">
        <v>887</v>
      </c>
      <c r="D219" s="124" t="s">
        <v>2169</v>
      </c>
      <c r="E219" s="101" t="s">
        <v>444</v>
      </c>
      <c r="F219" s="278">
        <v>7.9</v>
      </c>
      <c r="G219" s="279">
        <f t="shared" si="33"/>
        <v>33045</v>
      </c>
      <c r="H219" s="100">
        <v>54740</v>
      </c>
      <c r="I219" s="280">
        <f t="shared" si="0"/>
        <v>2874228</v>
      </c>
      <c r="J219" s="104">
        <f>+ SUMIF('Doanh thu'!A:A, C219,'Doanh thu'!F:F)</f>
        <v>2484720</v>
      </c>
      <c r="K219" s="100">
        <f>SUMIF('Xuất kho'!D:D, C219,'Xuất kho'!K:K)</f>
        <v>389508</v>
      </c>
      <c r="L219" s="30">
        <f>SUMIF('Xuất kho'!$D$1:$D$2955,C219,'Xuất kho'!$H$1:$H$2955)</f>
        <v>7</v>
      </c>
      <c r="M219" s="30">
        <f>SUMIF('Xuất kho'!$D$8:$D$2955,C219,'Xuất kho'!$I$8:$I$2955)</f>
        <v>9</v>
      </c>
      <c r="N219" s="30">
        <f t="shared" si="32"/>
        <v>-2</v>
      </c>
      <c r="O219" s="30">
        <f>SUMIF('Xuất kho'!$D$3:$D$2721,C219,'Xuất kho'!$K$3:$K$2721)</f>
        <v>389508</v>
      </c>
      <c r="P219" s="274"/>
    </row>
    <row r="220" spans="1:34" ht="13.2">
      <c r="A220" s="369"/>
      <c r="B220" s="101">
        <v>154</v>
      </c>
      <c r="C220" s="124" t="s">
        <v>889</v>
      </c>
      <c r="D220" s="124" t="s">
        <v>890</v>
      </c>
      <c r="E220" s="101" t="s">
        <v>444</v>
      </c>
      <c r="F220" s="278">
        <v>7.9</v>
      </c>
      <c r="G220" s="279">
        <f t="shared" si="33"/>
        <v>33045</v>
      </c>
      <c r="H220" s="100">
        <v>61275</v>
      </c>
      <c r="I220" s="280">
        <f t="shared" si="0"/>
        <v>1735050</v>
      </c>
      <c r="J220" s="104">
        <f>+ SUMIF('Doanh thu'!A:A, C220,'Doanh thu'!F:F)</f>
        <v>1735050</v>
      </c>
      <c r="K220" s="100">
        <f>SUMIF('Xuất kho'!D:D, C220,'Xuất kho'!K:K)</f>
        <v>0</v>
      </c>
      <c r="L220" s="30">
        <f>SUMIF('Xuất kho'!$D$1:$D$2955,C220,'Xuất kho'!$H$1:$H$2955)</f>
        <v>0</v>
      </c>
      <c r="M220" s="30">
        <f>SUMIF('Xuất kho'!$D$8:$D$2955,C220,'Xuất kho'!$I$8:$I$2955)</f>
        <v>0</v>
      </c>
      <c r="N220" s="30">
        <f t="shared" si="32"/>
        <v>0</v>
      </c>
      <c r="O220" s="30">
        <f>SUMIF('Xuất kho'!$D$3:$D$2721,C220,'Xuất kho'!$K$3:$K$2721)</f>
        <v>0</v>
      </c>
      <c r="P220" s="274"/>
    </row>
    <row r="221" spans="1:34" ht="13.2">
      <c r="A221" s="369"/>
      <c r="B221" s="101">
        <v>154</v>
      </c>
      <c r="C221" s="124" t="s">
        <v>891</v>
      </c>
      <c r="D221" s="124" t="s">
        <v>892</v>
      </c>
      <c r="E221" s="101" t="s">
        <v>444</v>
      </c>
      <c r="F221" s="278">
        <v>7.9</v>
      </c>
      <c r="G221" s="279">
        <f t="shared" si="33"/>
        <v>33045</v>
      </c>
      <c r="H221" s="100">
        <v>61275</v>
      </c>
      <c r="I221" s="280">
        <f t="shared" si="0"/>
        <v>10691559</v>
      </c>
      <c r="J221" s="104">
        <f>+ SUMIF('Doanh thu'!A:A, C221,'Doanh thu'!F:F)</f>
        <v>9353925</v>
      </c>
      <c r="K221" s="100">
        <f>SUMIF('Xuất kho'!D:D, C221,'Xuất kho'!K:K)</f>
        <v>1337634</v>
      </c>
      <c r="L221" s="297"/>
      <c r="M221" s="30">
        <f>SUMIF('Xuất kho'!$D$8:$D$2955,C221,'Xuất kho'!$I$8:$I$2955)</f>
        <v>28</v>
      </c>
      <c r="N221" s="252">
        <f>SUMIF('Xuất kho'!$D$8:$D$2955,D221,'Xuất kho'!$I$8:$I$2955)</f>
        <v>0</v>
      </c>
      <c r="O221" s="30">
        <f>SUMIF('Xuất kho'!$D$3:$D$2721,C221,'Xuất kho'!$K$3:$K$2721)</f>
        <v>1337634</v>
      </c>
      <c r="P221" s="274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</row>
    <row r="222" spans="1:34" ht="13.2">
      <c r="A222" s="369"/>
      <c r="B222" s="101"/>
      <c r="C222" s="124" t="s">
        <v>893</v>
      </c>
      <c r="D222" s="124" t="s">
        <v>894</v>
      </c>
      <c r="E222" s="101" t="s">
        <v>444</v>
      </c>
      <c r="F222" s="278">
        <v>7.9</v>
      </c>
      <c r="G222" s="279">
        <f t="shared" si="33"/>
        <v>33045</v>
      </c>
      <c r="H222" s="100">
        <v>61275</v>
      </c>
      <c r="I222" s="280">
        <f t="shared" si="0"/>
        <v>3713265</v>
      </c>
      <c r="J222" s="104">
        <f>+ SUMIF('Doanh thu'!A:A, C222,'Doanh thu'!F:F)</f>
        <v>3653925</v>
      </c>
      <c r="K222" s="100">
        <f>SUMIF('Xuất kho'!D:D, C222,'Xuất kho'!K:K)</f>
        <v>59340</v>
      </c>
      <c r="L222" s="298"/>
      <c r="M222" s="30">
        <f>SUMIF('Xuất kho'!$D$8:$D$2955,C222,'Xuất kho'!$I$8:$I$2955)</f>
        <v>1</v>
      </c>
      <c r="N222" s="298"/>
      <c r="O222" s="30">
        <f>SUMIF('Xuất kho'!$D$3:$D$2721,C222,'Xuất kho'!$K$3:$K$2721)</f>
        <v>59340</v>
      </c>
      <c r="P222" s="274"/>
    </row>
    <row r="223" spans="1:34" ht="13.2">
      <c r="A223" s="369"/>
      <c r="B223" s="101">
        <v>155</v>
      </c>
      <c r="C223" s="124" t="s">
        <v>895</v>
      </c>
      <c r="D223" s="124" t="s">
        <v>2171</v>
      </c>
      <c r="E223" s="101" t="s">
        <v>444</v>
      </c>
      <c r="F223" s="278">
        <v>7.9</v>
      </c>
      <c r="G223" s="279">
        <f t="shared" si="33"/>
        <v>33045</v>
      </c>
      <c r="H223" s="100">
        <v>54740</v>
      </c>
      <c r="I223" s="280">
        <f t="shared" si="0"/>
        <v>6375473</v>
      </c>
      <c r="J223" s="104">
        <f>+ SUMIF('Doanh thu'!A:A, C223,'Doanh thu'!F:F)</f>
        <v>5564440</v>
      </c>
      <c r="K223" s="100">
        <f>SUMIF('Xuất kho'!D:D, C223,'Xuất kho'!K:K)</f>
        <v>811033</v>
      </c>
      <c r="L223" s="30">
        <f>SUMIF('Xuất kho'!$D$1:$D$2955,C223,'Xuất kho'!$H$1:$H$2955)</f>
        <v>7</v>
      </c>
      <c r="M223" s="30">
        <f>SUMIF('Xuất kho'!$D$8:$D$2955,C223,'Xuất kho'!$I$8:$I$2955)</f>
        <v>17</v>
      </c>
      <c r="N223" s="30">
        <f>L223-M223</f>
        <v>-10</v>
      </c>
      <c r="O223" s="30">
        <f>SUMIF('Xuất kho'!$D$3:$D$2721,C223,'Xuất kho'!$K$3:$K$2721)</f>
        <v>811033</v>
      </c>
      <c r="P223" s="274"/>
    </row>
    <row r="224" spans="1:34" ht="13.2">
      <c r="A224" s="369"/>
      <c r="B224" s="101">
        <v>155</v>
      </c>
      <c r="C224" s="124" t="s">
        <v>897</v>
      </c>
      <c r="D224" s="124" t="s">
        <v>898</v>
      </c>
      <c r="E224" s="101" t="s">
        <v>444</v>
      </c>
      <c r="F224" s="278">
        <v>7.9</v>
      </c>
      <c r="G224" s="279">
        <f t="shared" si="33"/>
        <v>33045</v>
      </c>
      <c r="H224" s="100">
        <v>61275</v>
      </c>
      <c r="I224" s="280">
        <f t="shared" si="0"/>
        <v>2441325</v>
      </c>
      <c r="J224" s="104">
        <f>+ SUMIF('Doanh thu'!A:A, C224,'Doanh thu'!F:F)</f>
        <v>2441325</v>
      </c>
      <c r="K224" s="100">
        <f>SUMIF('Xuất kho'!D:D, C224,'Xuất kho'!K:K)</f>
        <v>0</v>
      </c>
      <c r="L224" s="30"/>
      <c r="M224" s="30">
        <f>SUMIF('Xuất kho'!$D$8:$D$2955,C224,'Xuất kho'!$I$8:$I$2955)</f>
        <v>0</v>
      </c>
      <c r="N224" s="30"/>
      <c r="O224" s="30">
        <f>SUMIF('Xuất kho'!$D$3:$D$2721,C224,'Xuất kho'!$K$3:$K$2721)</f>
        <v>0</v>
      </c>
      <c r="P224" s="274"/>
    </row>
    <row r="225" spans="1:16" ht="13.2">
      <c r="A225" s="369"/>
      <c r="B225" s="101"/>
      <c r="C225" s="28" t="s">
        <v>903</v>
      </c>
      <c r="D225" s="28" t="s">
        <v>2129</v>
      </c>
      <c r="E225" s="101" t="s">
        <v>444</v>
      </c>
      <c r="F225" s="278">
        <v>7.9</v>
      </c>
      <c r="G225" s="279">
        <f t="shared" si="33"/>
        <v>33045</v>
      </c>
      <c r="H225" s="100">
        <v>64500</v>
      </c>
      <c r="I225" s="280">
        <f t="shared" si="0"/>
        <v>1096500</v>
      </c>
      <c r="J225" s="104">
        <f>+ SUMIF('Doanh thu'!A:A, C225,'Doanh thu'!F:F)</f>
        <v>1096500</v>
      </c>
      <c r="K225" s="100">
        <f>SUMIF('Xuất kho'!D:D, C225,'Xuất kho'!K:K)</f>
        <v>0</v>
      </c>
      <c r="L225" s="30"/>
      <c r="M225" s="30"/>
      <c r="N225" s="30"/>
      <c r="O225" s="30"/>
      <c r="P225" s="274"/>
    </row>
    <row r="226" spans="1:16" ht="13.2">
      <c r="A226" s="369"/>
      <c r="B226" s="101"/>
      <c r="C226" s="28" t="s">
        <v>905</v>
      </c>
      <c r="D226" s="28" t="s">
        <v>906</v>
      </c>
      <c r="E226" s="101" t="s">
        <v>444</v>
      </c>
      <c r="F226" s="278">
        <v>7.9</v>
      </c>
      <c r="G226" s="279">
        <f t="shared" si="33"/>
        <v>33045</v>
      </c>
      <c r="H226" s="100">
        <v>64500</v>
      </c>
      <c r="I226" s="280">
        <f t="shared" si="0"/>
        <v>1806000</v>
      </c>
      <c r="J226" s="104">
        <f>+ SUMIF('Doanh thu'!A:A, C226,'Doanh thu'!F:F)</f>
        <v>1806000</v>
      </c>
      <c r="K226" s="100">
        <f>SUMIF('Xuất kho'!D:D, C226,'Xuất kho'!K:K)</f>
        <v>0</v>
      </c>
      <c r="L226" s="30"/>
      <c r="M226" s="30"/>
      <c r="N226" s="30"/>
      <c r="O226" s="30"/>
      <c r="P226" s="274"/>
    </row>
    <row r="227" spans="1:16" ht="13.2">
      <c r="A227" s="369"/>
      <c r="B227" s="101">
        <v>156</v>
      </c>
      <c r="C227" s="28" t="s">
        <v>907</v>
      </c>
      <c r="D227" s="28" t="s">
        <v>908</v>
      </c>
      <c r="E227" s="101" t="s">
        <v>444</v>
      </c>
      <c r="F227" s="278">
        <v>5.5</v>
      </c>
      <c r="G227" s="279">
        <f t="shared" ref="G227:G233" si="34">F227*3510+1300</f>
        <v>20605</v>
      </c>
      <c r="H227" s="100">
        <v>59340</v>
      </c>
      <c r="I227" s="280">
        <f t="shared" si="0"/>
        <v>794549</v>
      </c>
      <c r="J227" s="104">
        <f>+ SUMIF('Doanh thu'!A:A, C227,'Doanh thu'!F:F)</f>
        <v>509340</v>
      </c>
      <c r="K227" s="100">
        <f>SUMIF('Xuất kho'!D:D, C227,'Xuất kho'!K:K)</f>
        <v>285209</v>
      </c>
      <c r="L227" s="30">
        <f>SUMIF('Xuất kho'!$D$1:$D$2955,C227,'Xuất kho'!$H$1:$H$2955)</f>
        <v>4</v>
      </c>
      <c r="M227" s="30">
        <f>SUMIF('Xuất kho'!$D$8:$D$2955,C227,'Xuất kho'!$I$8:$I$2955)</f>
        <v>8</v>
      </c>
      <c r="N227" s="30">
        <f t="shared" ref="N227:N233" si="35">L227-M227</f>
        <v>-4</v>
      </c>
      <c r="O227" s="30">
        <f>SUMIF('Xuất kho'!$D$3:$D$2721,C227,'Xuất kho'!$K$3:$K$2721)</f>
        <v>285209</v>
      </c>
      <c r="P227" s="274"/>
    </row>
    <row r="228" spans="1:16" ht="13.2">
      <c r="A228" s="369"/>
      <c r="B228" s="101">
        <v>157</v>
      </c>
      <c r="C228" s="28" t="s">
        <v>909</v>
      </c>
      <c r="D228" s="28" t="s">
        <v>2172</v>
      </c>
      <c r="E228" s="101" t="s">
        <v>444</v>
      </c>
      <c r="F228" s="278">
        <v>5.5</v>
      </c>
      <c r="G228" s="279">
        <f t="shared" si="34"/>
        <v>20605</v>
      </c>
      <c r="H228" s="100">
        <v>59340</v>
      </c>
      <c r="I228" s="280">
        <f t="shared" si="0"/>
        <v>236553</v>
      </c>
      <c r="J228" s="104">
        <f>+ SUMIF('Doanh thu'!A:A, C228,'Doanh thu'!F:F)</f>
        <v>135000</v>
      </c>
      <c r="K228" s="100">
        <f>SUMIF('Xuất kho'!D:D, C228,'Xuất kho'!K:K)</f>
        <v>101553</v>
      </c>
      <c r="L228" s="30">
        <f>SUMIF('Xuất kho'!$D$1:$D$2955,C228,'Xuất kho'!$H$1:$H$2955)</f>
        <v>4</v>
      </c>
      <c r="M228" s="30">
        <f>SUMIF('Xuất kho'!$D$8:$D$2955,C228,'Xuất kho'!$I$8:$I$2955)</f>
        <v>3</v>
      </c>
      <c r="N228" s="30">
        <f t="shared" si="35"/>
        <v>1</v>
      </c>
      <c r="O228" s="30">
        <f>SUMIF('Xuất kho'!$D$3:$D$2721,C228,'Xuất kho'!$K$3:$K$2721)</f>
        <v>101553</v>
      </c>
      <c r="P228" s="274"/>
    </row>
    <row r="229" spans="1:16" ht="13.2">
      <c r="A229" s="369"/>
      <c r="B229" s="101">
        <v>158</v>
      </c>
      <c r="C229" s="28" t="s">
        <v>911</v>
      </c>
      <c r="D229" s="28" t="s">
        <v>912</v>
      </c>
      <c r="E229" s="101" t="s">
        <v>444</v>
      </c>
      <c r="F229" s="278">
        <v>5.5</v>
      </c>
      <c r="G229" s="279">
        <f t="shared" si="34"/>
        <v>20605</v>
      </c>
      <c r="H229" s="100">
        <v>59340</v>
      </c>
      <c r="I229" s="280">
        <f t="shared" si="0"/>
        <v>481553</v>
      </c>
      <c r="J229" s="104">
        <f>+ SUMIF('Doanh thu'!A:A, C229,'Doanh thu'!F:F)</f>
        <v>450000</v>
      </c>
      <c r="K229" s="100">
        <f>SUMIF('Xuất kho'!D:D, C229,'Xuất kho'!K:K)</f>
        <v>31553</v>
      </c>
      <c r="L229" s="30">
        <f>SUMIF('Xuất kho'!$D$1:$D$2955,C229,'Xuất kho'!$H$1:$H$2955)</f>
        <v>4</v>
      </c>
      <c r="M229" s="30">
        <f>SUMIF('Xuất kho'!$D$8:$D$2955,C229,'Xuất kho'!$I$8:$I$2955)</f>
        <v>1</v>
      </c>
      <c r="N229" s="30">
        <f t="shared" si="35"/>
        <v>3</v>
      </c>
      <c r="O229" s="30">
        <f>SUMIF('Xuất kho'!$D$3:$D$2721,C229,'Xuất kho'!$K$3:$K$2721)</f>
        <v>31553</v>
      </c>
      <c r="P229" s="274"/>
    </row>
    <row r="230" spans="1:16" ht="13.2">
      <c r="A230" s="369"/>
      <c r="B230" s="101">
        <v>159</v>
      </c>
      <c r="C230" s="28" t="s">
        <v>893</v>
      </c>
      <c r="D230" s="28" t="s">
        <v>894</v>
      </c>
      <c r="E230" s="101" t="s">
        <v>444</v>
      </c>
      <c r="F230" s="278">
        <v>5.5</v>
      </c>
      <c r="G230" s="279">
        <f t="shared" si="34"/>
        <v>20605</v>
      </c>
      <c r="H230" s="100">
        <v>59340</v>
      </c>
      <c r="I230" s="280">
        <f t="shared" si="0"/>
        <v>3713265</v>
      </c>
      <c r="J230" s="104">
        <f>+ SUMIF('Doanh thu'!A:A, C230,'Doanh thu'!F:F)</f>
        <v>3653925</v>
      </c>
      <c r="K230" s="100">
        <f>SUMIF('Xuất kho'!D:D, C230,'Xuất kho'!K:K)</f>
        <v>59340</v>
      </c>
      <c r="L230" s="30">
        <f>SUMIF('Xuất kho'!$D$1:$D$2955,C230,'Xuất kho'!$H$1:$H$2955)</f>
        <v>0</v>
      </c>
      <c r="M230" s="30">
        <f>SUMIF('Xuất kho'!$D$8:$D$2955,C230,'Xuất kho'!$I$8:$I$2955)</f>
        <v>1</v>
      </c>
      <c r="N230" s="30">
        <f t="shared" si="35"/>
        <v>-1</v>
      </c>
      <c r="O230" s="30">
        <f>SUMIF('Xuất kho'!$D$3:$D$2721,C230,'Xuất kho'!$K$3:$K$2721)</f>
        <v>59340</v>
      </c>
      <c r="P230" s="274"/>
    </row>
    <row r="231" spans="1:16" ht="13.2">
      <c r="A231" s="369"/>
      <c r="B231" s="101">
        <v>160</v>
      </c>
      <c r="C231" s="28" t="s">
        <v>913</v>
      </c>
      <c r="D231" s="28" t="s">
        <v>914</v>
      </c>
      <c r="E231" s="101" t="s">
        <v>444</v>
      </c>
      <c r="F231" s="278">
        <v>5.5</v>
      </c>
      <c r="G231" s="279">
        <f t="shared" si="34"/>
        <v>20605</v>
      </c>
      <c r="H231" s="100">
        <v>59340</v>
      </c>
      <c r="I231" s="280">
        <f t="shared" si="0"/>
        <v>1374741</v>
      </c>
      <c r="J231" s="104">
        <f>+ SUMIF('Doanh thu'!A:A, C231,'Doanh thu'!F:F)</f>
        <v>1125000</v>
      </c>
      <c r="K231" s="100">
        <f>SUMIF('Xuất kho'!D:D, C231,'Xuất kho'!K:K)</f>
        <v>249741</v>
      </c>
      <c r="L231" s="30">
        <f>SUMIF('Xuất kho'!$D$1:$D$2955,C231,'Xuất kho'!$H$1:$H$2955)</f>
        <v>4</v>
      </c>
      <c r="M231" s="30">
        <f>SUMIF('Xuất kho'!$D$8:$D$2955,C231,'Xuất kho'!$I$8:$I$2955)</f>
        <v>7</v>
      </c>
      <c r="N231" s="30">
        <f t="shared" si="35"/>
        <v>-3</v>
      </c>
      <c r="O231" s="30">
        <f>SUMIF('Xuất kho'!$D$3:$D$2721,C231,'Xuất kho'!$K$3:$K$2721)</f>
        <v>249741</v>
      </c>
      <c r="P231" s="274"/>
    </row>
    <row r="232" spans="1:16" ht="13.2">
      <c r="A232" s="369"/>
      <c r="B232" s="101">
        <v>161</v>
      </c>
      <c r="C232" s="28" t="s">
        <v>915</v>
      </c>
      <c r="D232" s="28" t="s">
        <v>916</v>
      </c>
      <c r="E232" s="101" t="s">
        <v>444</v>
      </c>
      <c r="F232" s="278">
        <v>5.5</v>
      </c>
      <c r="G232" s="279">
        <f t="shared" si="34"/>
        <v>20605</v>
      </c>
      <c r="H232" s="100">
        <v>59340</v>
      </c>
      <c r="I232" s="280">
        <f t="shared" si="0"/>
        <v>5012287</v>
      </c>
      <c r="J232" s="104">
        <f>+ SUMIF('Doanh thu'!A:A, C232,'Doanh thu'!F:F)</f>
        <v>4557360</v>
      </c>
      <c r="K232" s="100">
        <f>SUMIF('Xuất kho'!D:D, C232,'Xuất kho'!K:K)</f>
        <v>454927</v>
      </c>
      <c r="L232" s="30">
        <f>SUMIF('Xuất kho'!$D$1:$D$2955,C232,'Xuất kho'!$H$1:$H$2955)</f>
        <v>4</v>
      </c>
      <c r="M232" s="30">
        <f>SUMIF('Xuất kho'!$D$8:$D$2955,C232,'Xuất kho'!$I$8:$I$2955)</f>
        <v>11</v>
      </c>
      <c r="N232" s="30">
        <f t="shared" si="35"/>
        <v>-7</v>
      </c>
      <c r="O232" s="30">
        <f>SUMIF('Xuất kho'!$D$3:$D$2721,C232,'Xuất kho'!$K$3:$K$2721)</f>
        <v>454927</v>
      </c>
      <c r="P232" s="274"/>
    </row>
    <row r="233" spans="1:16" ht="13.2">
      <c r="A233" s="369"/>
      <c r="B233" s="101">
        <v>162</v>
      </c>
      <c r="C233" s="28" t="s">
        <v>917</v>
      </c>
      <c r="D233" s="28" t="s">
        <v>918</v>
      </c>
      <c r="E233" s="101" t="s">
        <v>444</v>
      </c>
      <c r="F233" s="278">
        <v>5.5</v>
      </c>
      <c r="G233" s="279">
        <f t="shared" si="34"/>
        <v>20605</v>
      </c>
      <c r="H233" s="100">
        <v>45000</v>
      </c>
      <c r="I233" s="280">
        <f t="shared" si="0"/>
        <v>1859700.3333333335</v>
      </c>
      <c r="J233" s="104">
        <f>+ SUMIF('Doanh thu'!A:A, C233,'Doanh thu'!F:F)</f>
        <v>1575000</v>
      </c>
      <c r="K233" s="100">
        <f>SUMIF('Xuất kho'!D:D, C233,'Xuất kho'!K:K)</f>
        <v>284700.33333333337</v>
      </c>
      <c r="L233" s="30">
        <f>SUMIF('Xuất kho'!$D$1:$D$2955,C233,'Xuất kho'!$H$1:$H$2955)</f>
        <v>4</v>
      </c>
      <c r="M233" s="30">
        <f>SUMIF('Xuất kho'!$D$8:$D$2955,C233,'Xuất kho'!$I$8:$I$2955)</f>
        <v>8</v>
      </c>
      <c r="N233" s="30">
        <f t="shared" si="35"/>
        <v>-4</v>
      </c>
      <c r="O233" s="30">
        <f>SUMIF('Xuất kho'!$D$3:$D$2721,C233,'Xuất kho'!$K$3:$K$2721)</f>
        <v>284700.33333333337</v>
      </c>
      <c r="P233" s="274"/>
    </row>
    <row r="234" spans="1:16" ht="13.2">
      <c r="A234" s="369"/>
      <c r="B234" s="101"/>
      <c r="C234" s="28" t="s">
        <v>919</v>
      </c>
      <c r="D234" s="28" t="s">
        <v>920</v>
      </c>
      <c r="E234" s="101" t="s">
        <v>444</v>
      </c>
      <c r="F234" s="278"/>
      <c r="G234" s="279"/>
      <c r="H234" s="93"/>
      <c r="I234" s="280">
        <f t="shared" si="0"/>
        <v>790884.66666666663</v>
      </c>
      <c r="J234" s="104">
        <f>+ SUMIF('Doanh thu'!A:A, C234,'Doanh thu'!F:F)</f>
        <v>720000</v>
      </c>
      <c r="K234" s="100">
        <f>SUMIF('Xuất kho'!D:D, C234,'Xuất kho'!K:K)</f>
        <v>70884.666666666672</v>
      </c>
      <c r="L234" s="30"/>
      <c r="M234" s="30">
        <f>SUMIF('Xuất kho'!$D$8:$D$2955,C234,'Xuất kho'!$I$8:$I$2955)</f>
        <v>2</v>
      </c>
      <c r="N234" s="30"/>
      <c r="O234" s="30">
        <f>SUMIF('Xuất kho'!$D$3:$D$2721,C234,'Xuất kho'!$K$3:$K$2721)</f>
        <v>70884.666666666672</v>
      </c>
      <c r="P234" s="274"/>
    </row>
    <row r="235" spans="1:16" ht="13.2">
      <c r="A235" s="369"/>
      <c r="B235" s="101">
        <v>163</v>
      </c>
      <c r="C235" s="28" t="s">
        <v>923</v>
      </c>
      <c r="D235" s="28" t="s">
        <v>924</v>
      </c>
      <c r="E235" s="101" t="s">
        <v>444</v>
      </c>
      <c r="F235" s="278">
        <v>19.899999999999999</v>
      </c>
      <c r="G235" s="279">
        <f t="shared" ref="G235:G258" si="36">F235*3510+1300</f>
        <v>71149</v>
      </c>
      <c r="H235" s="100">
        <v>142400</v>
      </c>
      <c r="I235" s="280">
        <f t="shared" si="0"/>
        <v>972352</v>
      </c>
      <c r="J235" s="104">
        <f>+ SUMIF('Doanh thu'!A:A, C235,'Doanh thu'!F:F)</f>
        <v>854400</v>
      </c>
      <c r="K235" s="100">
        <f>SUMIF('Xuất kho'!D:D, C235,'Xuất kho'!K:K)</f>
        <v>117952</v>
      </c>
      <c r="L235" s="30">
        <f>SUMIF('Xuất kho'!$D$1:$D$2955,C235,'Xuất kho'!$H$1:$H$2955)</f>
        <v>0</v>
      </c>
      <c r="M235" s="30">
        <f>SUMIF('Xuất kho'!$D$8:$D$2955,C235,'Xuất kho'!$I$8:$I$2955)</f>
        <v>1</v>
      </c>
      <c r="N235" s="30">
        <f t="shared" ref="N235:N242" si="37">L235-M235</f>
        <v>-1</v>
      </c>
      <c r="O235" s="30">
        <f>SUMIF('Xuất kho'!$D$3:$D$2721,C235,'Xuất kho'!$K$3:$K$2721)</f>
        <v>117952</v>
      </c>
      <c r="P235" s="274"/>
    </row>
    <row r="236" spans="1:16" ht="13.2">
      <c r="A236" s="369"/>
      <c r="B236" s="101">
        <v>164</v>
      </c>
      <c r="C236" s="28" t="s">
        <v>925</v>
      </c>
      <c r="D236" s="28" t="s">
        <v>930</v>
      </c>
      <c r="E236" s="101" t="s">
        <v>444</v>
      </c>
      <c r="F236" s="278">
        <v>19.899999999999999</v>
      </c>
      <c r="G236" s="279">
        <f t="shared" si="36"/>
        <v>71149</v>
      </c>
      <c r="H236" s="100">
        <v>142400</v>
      </c>
      <c r="I236" s="280">
        <f t="shared" si="0"/>
        <v>996800</v>
      </c>
      <c r="J236" s="104">
        <f>+ SUMIF('Doanh thu'!A:A, C236,'Doanh thu'!F:F)</f>
        <v>996800</v>
      </c>
      <c r="K236" s="100">
        <f>SUMIF('Xuất kho'!D:D, C236,'Xuất kho'!K:K)</f>
        <v>0</v>
      </c>
      <c r="L236" s="30">
        <f>SUMIF('Xuất kho'!$D$1:$D$2955,C236,'Xuất kho'!$H$1:$H$2955)</f>
        <v>0</v>
      </c>
      <c r="M236" s="30">
        <f>SUMIF('Xuất kho'!$D$8:$D$2955,C236,'Xuất kho'!$I$8:$I$2955)</f>
        <v>0</v>
      </c>
      <c r="N236" s="30">
        <f t="shared" si="37"/>
        <v>0</v>
      </c>
      <c r="O236" s="30">
        <f>SUMIF('Xuất kho'!$D$3:$D$2721,C236,'Xuất kho'!$K$3:$K$2721)</f>
        <v>0</v>
      </c>
      <c r="P236" s="274"/>
    </row>
    <row r="237" spans="1:16" ht="13.2">
      <c r="A237" s="369"/>
      <c r="B237" s="101">
        <v>165</v>
      </c>
      <c r="C237" s="28" t="s">
        <v>927</v>
      </c>
      <c r="D237" s="28" t="s">
        <v>2174</v>
      </c>
      <c r="E237" s="101" t="s">
        <v>444</v>
      </c>
      <c r="F237" s="278">
        <v>19.899999999999999</v>
      </c>
      <c r="G237" s="279">
        <f t="shared" si="36"/>
        <v>71149</v>
      </c>
      <c r="H237" s="100">
        <v>142400</v>
      </c>
      <c r="I237" s="280">
        <f t="shared" si="0"/>
        <v>996800</v>
      </c>
      <c r="J237" s="104">
        <f>+ SUMIF('Doanh thu'!A:A, C237,'Doanh thu'!F:F)</f>
        <v>996800</v>
      </c>
      <c r="K237" s="100">
        <f>SUMIF('Xuất kho'!D:D, C237,'Xuất kho'!K:K)</f>
        <v>0</v>
      </c>
      <c r="L237" s="30">
        <f>SUMIF('Xuất kho'!$D$1:$D$2955,C237,'Xuất kho'!$H$1:$H$2955)</f>
        <v>0</v>
      </c>
      <c r="M237" s="30">
        <f>SUMIF('Xuất kho'!$D$8:$D$2955,C237,'Xuất kho'!$I$8:$I$2955)</f>
        <v>0</v>
      </c>
      <c r="N237" s="30">
        <f t="shared" si="37"/>
        <v>0</v>
      </c>
      <c r="O237" s="30">
        <f>SUMIF('Xuất kho'!$D$3:$D$2721,C237,'Xuất kho'!$K$3:$K$2721)</f>
        <v>0</v>
      </c>
      <c r="P237" s="274"/>
    </row>
    <row r="238" spans="1:16" ht="13.2">
      <c r="A238" s="369"/>
      <c r="B238" s="101">
        <v>166</v>
      </c>
      <c r="C238" s="28" t="s">
        <v>929</v>
      </c>
      <c r="D238" s="28" t="s">
        <v>2175</v>
      </c>
      <c r="E238" s="101" t="s">
        <v>444</v>
      </c>
      <c r="F238" s="278">
        <v>19.899999999999999</v>
      </c>
      <c r="G238" s="279">
        <f t="shared" si="36"/>
        <v>71149</v>
      </c>
      <c r="H238" s="100">
        <v>142400</v>
      </c>
      <c r="I238" s="280">
        <f t="shared" si="0"/>
        <v>854400</v>
      </c>
      <c r="J238" s="104">
        <f>+ SUMIF('Doanh thu'!A:A, C238,'Doanh thu'!F:F)</f>
        <v>854400</v>
      </c>
      <c r="K238" s="100">
        <f>SUMIF('Xuất kho'!D:D, C238,'Xuất kho'!K:K)</f>
        <v>0</v>
      </c>
      <c r="L238" s="30">
        <f>SUMIF('Xuất kho'!$D$1:$D$2955,C238,'Xuất kho'!$H$1:$H$2955)</f>
        <v>0</v>
      </c>
      <c r="M238" s="30">
        <f>SUMIF('Xuất kho'!$D$8:$D$2955,C238,'Xuất kho'!$I$8:$I$2955)</f>
        <v>0</v>
      </c>
      <c r="N238" s="30">
        <f t="shared" si="37"/>
        <v>0</v>
      </c>
      <c r="O238" s="30">
        <f>SUMIF('Xuất kho'!$D$3:$D$2721,C238,'Xuất kho'!$K$3:$K$2721)</f>
        <v>0</v>
      </c>
      <c r="P238" s="274"/>
    </row>
    <row r="239" spans="1:16" ht="13.2">
      <c r="A239" s="369"/>
      <c r="B239" s="101">
        <v>167</v>
      </c>
      <c r="C239" s="28" t="s">
        <v>931</v>
      </c>
      <c r="D239" s="28" t="s">
        <v>932</v>
      </c>
      <c r="E239" s="101" t="s">
        <v>444</v>
      </c>
      <c r="F239" s="278">
        <v>19.899999999999999</v>
      </c>
      <c r="G239" s="279">
        <f t="shared" si="36"/>
        <v>71149</v>
      </c>
      <c r="H239" s="100">
        <v>142400</v>
      </c>
      <c r="I239" s="280">
        <f t="shared" si="0"/>
        <v>712000</v>
      </c>
      <c r="J239" s="104">
        <f>+ SUMIF('Doanh thu'!A:A, C239,'Doanh thu'!F:F)</f>
        <v>712000</v>
      </c>
      <c r="K239" s="100">
        <f>SUMIF('Xuất kho'!D:D, C239,'Xuất kho'!K:K)</f>
        <v>0</v>
      </c>
      <c r="L239" s="30">
        <f>SUMIF('Xuất kho'!$D$1:$D$2955,C239,'Xuất kho'!$H$1:$H$2955)</f>
        <v>0</v>
      </c>
      <c r="M239" s="30">
        <f>SUMIF('Xuất kho'!$D$8:$D$2955,C239,'Xuất kho'!$I$8:$I$2955)</f>
        <v>0</v>
      </c>
      <c r="N239" s="30">
        <f t="shared" si="37"/>
        <v>0</v>
      </c>
      <c r="O239" s="30">
        <f>SUMIF('Xuất kho'!$D$3:$D$2721,C239,'Xuất kho'!$K$3:$K$2721)</f>
        <v>0</v>
      </c>
      <c r="P239" s="274"/>
    </row>
    <row r="240" spans="1:16" ht="13.2">
      <c r="A240" s="369"/>
      <c r="B240" s="101">
        <v>168</v>
      </c>
      <c r="C240" s="28" t="s">
        <v>933</v>
      </c>
      <c r="D240" s="28" t="s">
        <v>934</v>
      </c>
      <c r="E240" s="101" t="s">
        <v>444</v>
      </c>
      <c r="F240" s="278">
        <v>34.200000000000003</v>
      </c>
      <c r="G240" s="279">
        <f t="shared" si="36"/>
        <v>121342.00000000001</v>
      </c>
      <c r="H240" s="93">
        <f t="shared" ref="H240:H255" si="38">G240*2</f>
        <v>242684.00000000003</v>
      </c>
      <c r="I240" s="280">
        <f t="shared" si="0"/>
        <v>347100</v>
      </c>
      <c r="J240" s="104">
        <f>+ SUMIF('Doanh thu'!A:A, C240,'Doanh thu'!F:F)</f>
        <v>347100</v>
      </c>
      <c r="K240" s="100">
        <f>SUMIF('Xuất kho'!D:D, C240,'Xuất kho'!K:K)</f>
        <v>0</v>
      </c>
      <c r="L240" s="30">
        <f>SUMIF('Xuất kho'!$D$1:$D$2955,C240,'Xuất kho'!$H$1:$H$2955)</f>
        <v>0</v>
      </c>
      <c r="M240" s="30">
        <f>SUMIF('Xuất kho'!$D$8:$D$2955,C240,'Xuất kho'!$I$8:$I$2955)</f>
        <v>0</v>
      </c>
      <c r="N240" s="30">
        <f t="shared" si="37"/>
        <v>0</v>
      </c>
      <c r="O240" s="30">
        <f>SUMIF('Xuất kho'!$D$3:$D$2721,C240,'Xuất kho'!$K$3:$K$2721)</f>
        <v>0</v>
      </c>
      <c r="P240" s="274"/>
    </row>
    <row r="241" spans="1:16" ht="13.2">
      <c r="A241" s="369"/>
      <c r="B241" s="101">
        <v>169</v>
      </c>
      <c r="C241" s="28" t="s">
        <v>935</v>
      </c>
      <c r="D241" s="28" t="s">
        <v>2176</v>
      </c>
      <c r="E241" s="101" t="s">
        <v>444</v>
      </c>
      <c r="F241" s="278">
        <v>38</v>
      </c>
      <c r="G241" s="279">
        <f t="shared" si="36"/>
        <v>134680</v>
      </c>
      <c r="H241" s="93">
        <f t="shared" si="38"/>
        <v>269360</v>
      </c>
      <c r="I241" s="280">
        <f t="shared" si="0"/>
        <v>520650</v>
      </c>
      <c r="J241" s="104">
        <f>+ SUMIF('Doanh thu'!A:A, C241,'Doanh thu'!F:F)</f>
        <v>520650</v>
      </c>
      <c r="K241" s="100">
        <f>SUMIF('Xuất kho'!D:D, C241,'Xuất kho'!K:K)</f>
        <v>0</v>
      </c>
      <c r="L241" s="30">
        <f>SUMIF('Xuất kho'!$D$1:$D$2955,C241,'Xuất kho'!$H$1:$H$2955)</f>
        <v>0</v>
      </c>
      <c r="M241" s="30">
        <f>SUMIF('Xuất kho'!$D$8:$D$2955,C241,'Xuất kho'!$I$8:$I$2955)</f>
        <v>0</v>
      </c>
      <c r="N241" s="30">
        <f t="shared" si="37"/>
        <v>0</v>
      </c>
      <c r="O241" s="30">
        <f>SUMIF('Xuất kho'!$D$3:$D$2721,C241,'Xuất kho'!$K$3:$K$2721)</f>
        <v>0</v>
      </c>
      <c r="P241" s="274"/>
    </row>
    <row r="242" spans="1:16" ht="13.2">
      <c r="A242" s="369"/>
      <c r="B242" s="101">
        <v>170</v>
      </c>
      <c r="C242" s="28" t="s">
        <v>937</v>
      </c>
      <c r="D242" s="28" t="s">
        <v>936</v>
      </c>
      <c r="E242" s="101" t="s">
        <v>444</v>
      </c>
      <c r="F242" s="278">
        <v>34.200000000000003</v>
      </c>
      <c r="G242" s="279">
        <f t="shared" si="36"/>
        <v>121342.00000000001</v>
      </c>
      <c r="H242" s="93">
        <f t="shared" si="38"/>
        <v>242684.00000000003</v>
      </c>
      <c r="I242" s="280">
        <f t="shared" si="0"/>
        <v>614100</v>
      </c>
      <c r="J242" s="104">
        <f>+ SUMIF('Doanh thu'!A:A, C242,'Doanh thu'!F:F)</f>
        <v>614100</v>
      </c>
      <c r="K242" s="100">
        <f>SUMIF('Xuất kho'!D:D, C242,'Xuất kho'!K:K)</f>
        <v>0</v>
      </c>
      <c r="L242" s="30">
        <f>SUMIF('Xuất kho'!$D$1:$D$2955,C242,'Xuất kho'!$H$1:$H$2955)</f>
        <v>0</v>
      </c>
      <c r="M242" s="30">
        <f>SUMIF('Xuất kho'!$D$8:$D$2955,C242,'Xuất kho'!$I$8:$I$2955)</f>
        <v>0</v>
      </c>
      <c r="N242" s="30">
        <f t="shared" si="37"/>
        <v>0</v>
      </c>
      <c r="O242" s="30">
        <f>SUMIF('Xuất kho'!$D$3:$D$2721,C242,'Xuất kho'!$K$3:$K$2721)</f>
        <v>0</v>
      </c>
      <c r="P242" s="274"/>
    </row>
    <row r="243" spans="1:16" ht="13.2">
      <c r="A243" s="369"/>
      <c r="B243" s="101">
        <v>171</v>
      </c>
      <c r="C243" s="28" t="s">
        <v>941</v>
      </c>
      <c r="D243" s="28" t="s">
        <v>2177</v>
      </c>
      <c r="E243" s="101" t="s">
        <v>444</v>
      </c>
      <c r="F243" s="278">
        <v>0.5</v>
      </c>
      <c r="G243" s="279">
        <f t="shared" si="36"/>
        <v>3055</v>
      </c>
      <c r="H243" s="93">
        <f t="shared" si="38"/>
        <v>6110</v>
      </c>
      <c r="I243" s="280">
        <f t="shared" si="0"/>
        <v>64000</v>
      </c>
      <c r="J243" s="104">
        <f>+ SUMIF('Doanh thu'!A:A, C243,'Doanh thu'!F:F)</f>
        <v>64000</v>
      </c>
      <c r="K243" s="100">
        <f>SUMIF('Xuất kho'!D:D, C243,'Xuất kho'!K:K)</f>
        <v>0</v>
      </c>
      <c r="L243" s="30">
        <f>SUMIF('Xuất kho'!$D$1:$D$2955,C243,'Xuất kho'!$H$1:$H$2955)</f>
        <v>0</v>
      </c>
      <c r="M243" s="30">
        <f>SUMIF('Xuất kho'!$D$8:$D$2955,C243,'Xuất kho'!$I$8:$I$2955)</f>
        <v>0</v>
      </c>
      <c r="N243" s="30"/>
      <c r="O243" s="30">
        <f>SUMIF('Xuất kho'!$D$3:$D$2721,C243,'Xuất kho'!$K$3:$K$2721)</f>
        <v>0</v>
      </c>
      <c r="P243" s="274"/>
    </row>
    <row r="244" spans="1:16" ht="13.2">
      <c r="A244" s="369"/>
      <c r="B244" s="101">
        <v>172</v>
      </c>
      <c r="C244" s="28" t="s">
        <v>943</v>
      </c>
      <c r="D244" s="28" t="s">
        <v>2178</v>
      </c>
      <c r="E244" s="101" t="s">
        <v>444</v>
      </c>
      <c r="F244" s="278">
        <v>0.5</v>
      </c>
      <c r="G244" s="279">
        <f t="shared" si="36"/>
        <v>3055</v>
      </c>
      <c r="H244" s="93">
        <f t="shared" si="38"/>
        <v>6110</v>
      </c>
      <c r="I244" s="280">
        <f t="shared" si="0"/>
        <v>16000</v>
      </c>
      <c r="J244" s="104">
        <f>+ SUMIF('Doanh thu'!A:A, C244,'Doanh thu'!F:F)</f>
        <v>16000</v>
      </c>
      <c r="K244" s="100">
        <f>SUMIF('Xuất kho'!D:D, C244,'Xuất kho'!K:K)</f>
        <v>0</v>
      </c>
      <c r="L244" s="30">
        <f>SUMIF('Xuất kho'!$D$1:$D$2955,C244,'Xuất kho'!$H$1:$H$2955)</f>
        <v>0</v>
      </c>
      <c r="M244" s="30">
        <f>SUMIF('Xuất kho'!$D$8:$D$2955,C244,'Xuất kho'!$I$8:$I$2955)</f>
        <v>0</v>
      </c>
      <c r="N244" s="30"/>
      <c r="O244" s="30">
        <f>SUMIF('Xuất kho'!$D$3:$D$2721,C244,'Xuất kho'!$K$3:$K$2721)</f>
        <v>0</v>
      </c>
      <c r="P244" s="274"/>
    </row>
    <row r="245" spans="1:16" ht="13.2">
      <c r="A245" s="369"/>
      <c r="B245" s="101">
        <v>173</v>
      </c>
      <c r="C245" s="28" t="s">
        <v>945</v>
      </c>
      <c r="D245" s="28" t="s">
        <v>2179</v>
      </c>
      <c r="E245" s="101" t="s">
        <v>444</v>
      </c>
      <c r="F245" s="278">
        <v>0.5</v>
      </c>
      <c r="G245" s="279">
        <f t="shared" si="36"/>
        <v>3055</v>
      </c>
      <c r="H245" s="93">
        <f t="shared" si="38"/>
        <v>6110</v>
      </c>
      <c r="I245" s="280">
        <f t="shared" si="0"/>
        <v>16000</v>
      </c>
      <c r="J245" s="104">
        <f>+ SUMIF('Doanh thu'!A:A, C245,'Doanh thu'!F:F)</f>
        <v>16000</v>
      </c>
      <c r="K245" s="100">
        <f>SUMIF('Xuất kho'!D:D, C245,'Xuất kho'!K:K)</f>
        <v>0</v>
      </c>
      <c r="L245" s="30">
        <f>SUMIF('Xuất kho'!$D$1:$D$2955,C245,'Xuất kho'!$H$1:$H$2955)</f>
        <v>0</v>
      </c>
      <c r="M245" s="30">
        <f>SUMIF('Xuất kho'!$D$8:$D$2955,C245,'Xuất kho'!$I$8:$I$2955)</f>
        <v>0</v>
      </c>
      <c r="N245" s="30"/>
      <c r="O245" s="30">
        <f>SUMIF('Xuất kho'!$D$3:$D$2721,C245,'Xuất kho'!$K$3:$K$2721)</f>
        <v>0</v>
      </c>
      <c r="P245" s="274"/>
    </row>
    <row r="246" spans="1:16" ht="13.2">
      <c r="A246" s="369"/>
      <c r="B246" s="101">
        <v>174</v>
      </c>
      <c r="C246" s="28" t="s">
        <v>947</v>
      </c>
      <c r="D246" s="28" t="s">
        <v>2180</v>
      </c>
      <c r="E246" s="101" t="s">
        <v>444</v>
      </c>
      <c r="F246" s="278">
        <v>0.5</v>
      </c>
      <c r="G246" s="279">
        <f t="shared" si="36"/>
        <v>3055</v>
      </c>
      <c r="H246" s="93">
        <f t="shared" si="38"/>
        <v>6110</v>
      </c>
      <c r="I246" s="280">
        <f t="shared" si="0"/>
        <v>16000</v>
      </c>
      <c r="J246" s="104">
        <f>+ SUMIF('Doanh thu'!A:A, C246,'Doanh thu'!F:F)</f>
        <v>16000</v>
      </c>
      <c r="K246" s="100">
        <f>SUMIF('Xuất kho'!D:D, C246,'Xuất kho'!K:K)</f>
        <v>0</v>
      </c>
      <c r="L246" s="30">
        <f>SUMIF('Xuất kho'!$D$1:$D$2955,C246,'Xuất kho'!$H$1:$H$2955)</f>
        <v>0</v>
      </c>
      <c r="M246" s="30">
        <f>SUMIF('Xuất kho'!$D$8:$D$2955,C246,'Xuất kho'!$I$8:$I$2955)</f>
        <v>0</v>
      </c>
      <c r="N246" s="30"/>
      <c r="O246" s="30">
        <f>SUMIF('Xuất kho'!$D$3:$D$2721,C246,'Xuất kho'!$K$3:$K$2721)</f>
        <v>0</v>
      </c>
      <c r="P246" s="274"/>
    </row>
    <row r="247" spans="1:16" ht="13.2">
      <c r="A247" s="369"/>
      <c r="B247" s="101">
        <v>175</v>
      </c>
      <c r="C247" s="28" t="s">
        <v>949</v>
      </c>
      <c r="D247" s="28" t="s">
        <v>2181</v>
      </c>
      <c r="E247" s="101" t="s">
        <v>444</v>
      </c>
      <c r="F247" s="278">
        <v>0.5</v>
      </c>
      <c r="G247" s="279">
        <f t="shared" si="36"/>
        <v>3055</v>
      </c>
      <c r="H247" s="93">
        <f t="shared" si="38"/>
        <v>6110</v>
      </c>
      <c r="I247" s="280">
        <f t="shared" si="0"/>
        <v>40000</v>
      </c>
      <c r="J247" s="104">
        <f>+ SUMIF('Doanh thu'!A:A, C247,'Doanh thu'!F:F)</f>
        <v>40000</v>
      </c>
      <c r="K247" s="100">
        <f>SUMIF('Xuất kho'!D:D, C247,'Xuất kho'!K:K)</f>
        <v>0</v>
      </c>
      <c r="L247" s="30">
        <f>SUMIF('Xuất kho'!$D$1:$D$2955,C247,'Xuất kho'!$H$1:$H$2955)</f>
        <v>0</v>
      </c>
      <c r="M247" s="30">
        <f>SUMIF('Xuất kho'!$D$8:$D$2955,C247,'Xuất kho'!$I$8:$I$2955)</f>
        <v>0</v>
      </c>
      <c r="N247" s="30"/>
      <c r="O247" s="30">
        <f>SUMIF('Xuất kho'!$D$3:$D$2721,C247,'Xuất kho'!$K$3:$K$2721)</f>
        <v>0</v>
      </c>
      <c r="P247" s="274"/>
    </row>
    <row r="248" spans="1:16" ht="13.2">
      <c r="A248" s="369"/>
      <c r="B248" s="101">
        <v>176</v>
      </c>
      <c r="C248" s="28" t="s">
        <v>951</v>
      </c>
      <c r="D248" s="28" t="s">
        <v>952</v>
      </c>
      <c r="E248" s="101" t="s">
        <v>444</v>
      </c>
      <c r="F248" s="278">
        <v>0.5</v>
      </c>
      <c r="G248" s="279">
        <f t="shared" si="36"/>
        <v>3055</v>
      </c>
      <c r="H248" s="93">
        <f t="shared" si="38"/>
        <v>6110</v>
      </c>
      <c r="I248" s="280">
        <f t="shared" si="0"/>
        <v>0</v>
      </c>
      <c r="J248" s="104">
        <f>+ SUMIF('Doanh thu'!A:A, C248,'Doanh thu'!F:F)</f>
        <v>0</v>
      </c>
      <c r="K248" s="100">
        <f>SUMIF('Xuất kho'!D:D, C248,'Xuất kho'!K:K)</f>
        <v>0</v>
      </c>
      <c r="L248" s="30">
        <f>SUMIF('Xuất kho'!$D$1:$D$2955,C248,'Xuất kho'!$H$1:$H$2955)</f>
        <v>0</v>
      </c>
      <c r="M248" s="30">
        <f>SUMIF('Xuất kho'!$D$8:$D$2955,C248,'Xuất kho'!$I$8:$I$2955)</f>
        <v>0</v>
      </c>
      <c r="N248" s="30"/>
      <c r="O248" s="30">
        <f>SUMIF('Xuất kho'!$D$3:$D$2721,C248,'Xuất kho'!$K$3:$K$2721)</f>
        <v>0</v>
      </c>
      <c r="P248" s="274"/>
    </row>
    <row r="249" spans="1:16" ht="13.2">
      <c r="A249" s="369"/>
      <c r="B249" s="101">
        <v>177</v>
      </c>
      <c r="C249" s="28" t="s">
        <v>953</v>
      </c>
      <c r="D249" s="28" t="s">
        <v>954</v>
      </c>
      <c r="E249" s="101" t="s">
        <v>444</v>
      </c>
      <c r="F249" s="278">
        <v>0.5</v>
      </c>
      <c r="G249" s="279">
        <f t="shared" si="36"/>
        <v>3055</v>
      </c>
      <c r="H249" s="93">
        <f t="shared" si="38"/>
        <v>6110</v>
      </c>
      <c r="I249" s="280">
        <f t="shared" si="0"/>
        <v>0</v>
      </c>
      <c r="J249" s="104">
        <f>+ SUMIF('Doanh thu'!A:A, C249,'Doanh thu'!F:F)</f>
        <v>0</v>
      </c>
      <c r="K249" s="100">
        <f>SUMIF('Xuất kho'!D:D, C249,'Xuất kho'!K:K)</f>
        <v>0</v>
      </c>
      <c r="L249" s="30">
        <f>SUMIF('Xuất kho'!$D$1:$D$2955,C249,'Xuất kho'!$H$1:$H$2955)</f>
        <v>0</v>
      </c>
      <c r="M249" s="30">
        <f>SUMIF('Xuất kho'!$D$8:$D$2955,C249,'Xuất kho'!$I$8:$I$2955)</f>
        <v>0</v>
      </c>
      <c r="N249" s="30"/>
      <c r="O249" s="30">
        <f>SUMIF('Xuất kho'!$D$3:$D$2721,C249,'Xuất kho'!$K$3:$K$2721)</f>
        <v>0</v>
      </c>
      <c r="P249" s="274"/>
    </row>
    <row r="250" spans="1:16" ht="13.2">
      <c r="A250" s="369"/>
      <c r="B250" s="101">
        <v>178</v>
      </c>
      <c r="C250" s="28" t="s">
        <v>955</v>
      </c>
      <c r="D250" s="28" t="s">
        <v>956</v>
      </c>
      <c r="E250" s="101" t="s">
        <v>444</v>
      </c>
      <c r="F250" s="278">
        <v>0.5</v>
      </c>
      <c r="G250" s="279">
        <f t="shared" si="36"/>
        <v>3055</v>
      </c>
      <c r="H250" s="93">
        <f t="shared" si="38"/>
        <v>6110</v>
      </c>
      <c r="I250" s="280">
        <f t="shared" si="0"/>
        <v>0</v>
      </c>
      <c r="J250" s="104">
        <f>+ SUMIF('Doanh thu'!A:A, C250,'Doanh thu'!F:F)</f>
        <v>0</v>
      </c>
      <c r="K250" s="100">
        <f>SUMIF('Xuất kho'!D:D, C250,'Xuất kho'!K:K)</f>
        <v>0</v>
      </c>
      <c r="L250" s="30">
        <f>SUMIF('Xuất kho'!$D$1:$D$2955,C250,'Xuất kho'!$H$1:$H$2955)</f>
        <v>0</v>
      </c>
      <c r="M250" s="30">
        <f>SUMIF('Xuất kho'!$D$8:$D$2955,C250,'Xuất kho'!$I$8:$I$2955)</f>
        <v>0</v>
      </c>
      <c r="N250" s="30">
        <f>L250-M250</f>
        <v>0</v>
      </c>
      <c r="O250" s="30">
        <f>SUMIF('Xuất kho'!$D$3:$D$2721,C250,'Xuất kho'!$K$3:$K$2721)</f>
        <v>0</v>
      </c>
      <c r="P250" s="274"/>
    </row>
    <row r="251" spans="1:16" ht="13.2">
      <c r="A251" s="127"/>
      <c r="B251" s="101"/>
      <c r="C251" s="28" t="s">
        <v>957</v>
      </c>
      <c r="D251" s="28" t="s">
        <v>2182</v>
      </c>
      <c r="E251" s="101" t="s">
        <v>444</v>
      </c>
      <c r="F251" s="278">
        <v>0.5</v>
      </c>
      <c r="G251" s="279">
        <f t="shared" si="36"/>
        <v>3055</v>
      </c>
      <c r="H251" s="93">
        <f t="shared" si="38"/>
        <v>6110</v>
      </c>
      <c r="I251" s="280">
        <f t="shared" si="0"/>
        <v>465000</v>
      </c>
      <c r="J251" s="104">
        <f>+ SUMIF('Doanh thu'!A:A, C251,'Doanh thu'!F:F)</f>
        <v>465000</v>
      </c>
      <c r="K251" s="100">
        <f>SUMIF('Xuất kho'!D:D, C251,'Xuất kho'!K:K)</f>
        <v>0</v>
      </c>
      <c r="L251" s="30"/>
      <c r="M251" s="30">
        <f>SUMIF('Xuất kho'!$D$8:$D$2955,C251,'Xuất kho'!$I$8:$I$2955)</f>
        <v>0</v>
      </c>
      <c r="N251" s="30"/>
      <c r="O251" s="30">
        <f>SUMIF('Xuất kho'!$D$3:$D$2721,C251,'Xuất kho'!$K$3:$K$2721)</f>
        <v>0</v>
      </c>
      <c r="P251" s="274"/>
    </row>
    <row r="252" spans="1:16" ht="13.2">
      <c r="A252" s="127"/>
      <c r="B252" s="101"/>
      <c r="C252" s="28" t="s">
        <v>959</v>
      </c>
      <c r="D252" s="28" t="s">
        <v>2183</v>
      </c>
      <c r="E252" s="101" t="s">
        <v>444</v>
      </c>
      <c r="F252" s="278">
        <v>0.5</v>
      </c>
      <c r="G252" s="279">
        <f t="shared" si="36"/>
        <v>3055</v>
      </c>
      <c r="H252" s="93">
        <f t="shared" si="38"/>
        <v>6110</v>
      </c>
      <c r="I252" s="280">
        <f t="shared" si="0"/>
        <v>620000</v>
      </c>
      <c r="J252" s="104">
        <f>+ SUMIF('Doanh thu'!A:A, C252,'Doanh thu'!F:F)</f>
        <v>465000</v>
      </c>
      <c r="K252" s="100">
        <f>SUMIF('Xuất kho'!D:D, C252,'Xuất kho'!K:K)</f>
        <v>155000</v>
      </c>
      <c r="L252" s="30"/>
      <c r="M252" s="30">
        <f>SUMIF('Xuất kho'!$D$8:$D$2955,C252,'Xuất kho'!$I$8:$I$2955)</f>
        <v>1</v>
      </c>
      <c r="N252" s="30"/>
      <c r="O252" s="30">
        <f>SUMIF('Xuất kho'!$D$3:$D$2721,C252,'Xuất kho'!$K$3:$K$2721)</f>
        <v>155000</v>
      </c>
      <c r="P252" s="274"/>
    </row>
    <row r="253" spans="1:16" ht="13.2">
      <c r="A253" s="127"/>
      <c r="B253" s="101"/>
      <c r="C253" s="28" t="s">
        <v>961</v>
      </c>
      <c r="D253" s="28" t="s">
        <v>2184</v>
      </c>
      <c r="E253" s="101" t="s">
        <v>444</v>
      </c>
      <c r="F253" s="278">
        <v>0.5</v>
      </c>
      <c r="G253" s="279">
        <f t="shared" si="36"/>
        <v>3055</v>
      </c>
      <c r="H253" s="93">
        <f t="shared" si="38"/>
        <v>6110</v>
      </c>
      <c r="I253" s="280">
        <f t="shared" si="0"/>
        <v>620000</v>
      </c>
      <c r="J253" s="104">
        <f>+ SUMIF('Doanh thu'!A:A, C253,'Doanh thu'!F:F)</f>
        <v>620000</v>
      </c>
      <c r="K253" s="100">
        <f>SUMIF('Xuất kho'!D:D, C253,'Xuất kho'!K:K)</f>
        <v>0</v>
      </c>
      <c r="L253" s="30"/>
      <c r="M253" s="30">
        <f>SUMIF('Xuất kho'!$D$8:$D$2955,C253,'Xuất kho'!$I$8:$I$2955)</f>
        <v>0</v>
      </c>
      <c r="N253" s="30"/>
      <c r="O253" s="30">
        <f>SUMIF('Xuất kho'!$D$3:$D$2721,C253,'Xuất kho'!$K$3:$K$2721)</f>
        <v>0</v>
      </c>
      <c r="P253" s="274"/>
    </row>
    <row r="254" spans="1:16" ht="13.2">
      <c r="A254" s="127"/>
      <c r="B254" s="101"/>
      <c r="C254" s="28" t="s">
        <v>963</v>
      </c>
      <c r="D254" s="28" t="s">
        <v>2185</v>
      </c>
      <c r="E254" s="101" t="s">
        <v>444</v>
      </c>
      <c r="F254" s="278">
        <v>0.5</v>
      </c>
      <c r="G254" s="279">
        <f t="shared" si="36"/>
        <v>3055</v>
      </c>
      <c r="H254" s="93">
        <f t="shared" si="38"/>
        <v>6110</v>
      </c>
      <c r="I254" s="280">
        <f t="shared" si="0"/>
        <v>310000</v>
      </c>
      <c r="J254" s="104">
        <f>+ SUMIF('Doanh thu'!A:A, C254,'Doanh thu'!F:F)</f>
        <v>310000</v>
      </c>
      <c r="K254" s="100">
        <f>SUMIF('Xuất kho'!D:D, C254,'Xuất kho'!K:K)</f>
        <v>0</v>
      </c>
      <c r="L254" s="30"/>
      <c r="M254" s="30">
        <f>SUMIF('Xuất kho'!$D$8:$D$2955,C254,'Xuất kho'!$I$8:$I$2955)</f>
        <v>0</v>
      </c>
      <c r="N254" s="30"/>
      <c r="O254" s="30">
        <f>SUMIF('Xuất kho'!$D$3:$D$2721,C254,'Xuất kho'!$K$3:$K$2721)</f>
        <v>0</v>
      </c>
      <c r="P254" s="274"/>
    </row>
    <row r="255" spans="1:16" ht="13.2">
      <c r="A255" s="127"/>
      <c r="B255" s="101"/>
      <c r="C255" s="28" t="s">
        <v>965</v>
      </c>
      <c r="D255" s="28" t="s">
        <v>2186</v>
      </c>
      <c r="E255" s="101" t="s">
        <v>444</v>
      </c>
      <c r="F255" s="278">
        <v>0.5</v>
      </c>
      <c r="G255" s="279">
        <f t="shared" si="36"/>
        <v>3055</v>
      </c>
      <c r="H255" s="93">
        <f t="shared" si="38"/>
        <v>6110</v>
      </c>
      <c r="I255" s="280">
        <f t="shared" si="0"/>
        <v>465000</v>
      </c>
      <c r="J255" s="104">
        <f>+ SUMIF('Doanh thu'!A:A, C255,'Doanh thu'!F:F)</f>
        <v>465000</v>
      </c>
      <c r="K255" s="100">
        <f>SUMIF('Xuất kho'!D:D, C255,'Xuất kho'!K:K)</f>
        <v>0</v>
      </c>
      <c r="L255" s="30"/>
      <c r="M255" s="30">
        <f>SUMIF('Xuất kho'!$D$8:$D$2955,C255,'Xuất kho'!$I$8:$I$2955)</f>
        <v>0</v>
      </c>
      <c r="N255" s="30"/>
      <c r="O255" s="30">
        <f>SUMIF('Xuất kho'!$D$3:$D$2721,C255,'Xuất kho'!$K$3:$K$2721)</f>
        <v>0</v>
      </c>
      <c r="P255" s="274"/>
    </row>
    <row r="256" spans="1:16" ht="13.2">
      <c r="A256" s="127"/>
      <c r="B256" s="101"/>
      <c r="C256" s="28" t="s">
        <v>967</v>
      </c>
      <c r="D256" s="28" t="s">
        <v>968</v>
      </c>
      <c r="E256" s="101" t="s">
        <v>444</v>
      </c>
      <c r="F256" s="278">
        <v>0.5</v>
      </c>
      <c r="G256" s="279">
        <f t="shared" si="36"/>
        <v>3055</v>
      </c>
      <c r="H256" s="100">
        <v>71500</v>
      </c>
      <c r="I256" s="280">
        <f t="shared" si="0"/>
        <v>465000</v>
      </c>
      <c r="J256" s="104">
        <f>+ SUMIF('Doanh thu'!A:A, C256,'Doanh thu'!F:F)</f>
        <v>465000</v>
      </c>
      <c r="K256" s="100">
        <f>SUMIF('Xuất kho'!D:D, C256,'Xuất kho'!K:K)</f>
        <v>0</v>
      </c>
      <c r="L256" s="28">
        <v>71500</v>
      </c>
      <c r="M256" s="30">
        <f>SUMIF('Xuất kho'!$D$8:$D$2955,C256,'Xuất kho'!$I$8:$I$2955)</f>
        <v>0</v>
      </c>
      <c r="N256" s="30"/>
      <c r="O256" s="30">
        <f>SUMIF('Xuất kho'!$D$3:$D$2721,C256,'Xuất kho'!$K$3:$K$2721)</f>
        <v>0</v>
      </c>
      <c r="P256" s="274"/>
    </row>
    <row r="257" spans="1:16" ht="13.2">
      <c r="A257" s="127"/>
      <c r="B257" s="101"/>
      <c r="C257" s="28" t="s">
        <v>969</v>
      </c>
      <c r="D257" s="28" t="s">
        <v>970</v>
      </c>
      <c r="E257" s="101" t="s">
        <v>444</v>
      </c>
      <c r="F257" s="278">
        <v>0.5</v>
      </c>
      <c r="G257" s="279">
        <f t="shared" si="36"/>
        <v>3055</v>
      </c>
      <c r="H257" s="100">
        <v>71500</v>
      </c>
      <c r="I257" s="280">
        <f t="shared" si="0"/>
        <v>643500</v>
      </c>
      <c r="J257" s="104">
        <f>+ SUMIF('Doanh thu'!A:A, C257,'Doanh thu'!F:F)</f>
        <v>643500</v>
      </c>
      <c r="K257" s="100">
        <f>SUMIF('Xuất kho'!D:D, C257,'Xuất kho'!K:K)</f>
        <v>0</v>
      </c>
      <c r="L257" s="30"/>
      <c r="M257" s="30">
        <f>SUMIF('Xuất kho'!$D$8:$D$2955,C257,'Xuất kho'!$I$8:$I$2955)</f>
        <v>0</v>
      </c>
      <c r="N257" s="30"/>
      <c r="O257" s="30">
        <f>SUMIF('Xuất kho'!$D$3:$D$2721,C257,'Xuất kho'!$K$3:$K$2721)</f>
        <v>0</v>
      </c>
      <c r="P257" s="274"/>
    </row>
    <row r="258" spans="1:16" ht="13.2">
      <c r="A258" s="127"/>
      <c r="B258" s="101"/>
      <c r="C258" s="28" t="s">
        <v>971</v>
      </c>
      <c r="D258" s="28" t="s">
        <v>972</v>
      </c>
      <c r="E258" s="101" t="s">
        <v>444</v>
      </c>
      <c r="F258" s="278">
        <v>0.5</v>
      </c>
      <c r="G258" s="279">
        <f t="shared" si="36"/>
        <v>3055</v>
      </c>
      <c r="H258" s="100">
        <v>71500</v>
      </c>
      <c r="I258" s="280">
        <f t="shared" ref="I258:I323" si="39">SUM(J258:K258)</f>
        <v>500500</v>
      </c>
      <c r="J258" s="104">
        <f>+ SUMIF('Doanh thu'!A:A, C258,'Doanh thu'!F:F)</f>
        <v>500500</v>
      </c>
      <c r="K258" s="100">
        <f>SUMIF('Xuất kho'!D:D, C258,'Xuất kho'!K:K)</f>
        <v>0</v>
      </c>
      <c r="L258" s="30"/>
      <c r="M258" s="30">
        <f>SUMIF('Xuất kho'!$D$8:$D$2955,C258,'Xuất kho'!$I$8:$I$2955)</f>
        <v>0</v>
      </c>
      <c r="N258" s="30"/>
      <c r="O258" s="30">
        <f>SUMIF('Xuất kho'!$D$3:$D$2721,C258,'Xuất kho'!$K$3:$K$2721)</f>
        <v>0</v>
      </c>
      <c r="P258" s="274"/>
    </row>
    <row r="259" spans="1:16" ht="13.2">
      <c r="A259" s="393" t="s">
        <v>343</v>
      </c>
      <c r="B259" s="101">
        <v>179</v>
      </c>
      <c r="C259" s="28" t="s">
        <v>977</v>
      </c>
      <c r="D259" s="28" t="s">
        <v>978</v>
      </c>
      <c r="E259" s="101" t="s">
        <v>444</v>
      </c>
      <c r="F259" s="278">
        <v>6.8</v>
      </c>
      <c r="G259" s="299">
        <v>21658</v>
      </c>
      <c r="H259" s="100">
        <v>56580</v>
      </c>
      <c r="I259" s="280">
        <f t="shared" si="39"/>
        <v>10180975</v>
      </c>
      <c r="J259" s="104">
        <f>+ SUMIF('Doanh thu'!A:A, C259,'Doanh thu'!F:F)</f>
        <v>7411980</v>
      </c>
      <c r="K259" s="100">
        <f>SUMIF('Xuất kho'!D:D, C259,'Xuất kho'!K:K)</f>
        <v>2768995</v>
      </c>
      <c r="L259" s="30">
        <f>SUMIF('Xuất kho'!$D$1:$D$2955,C259,'Xuất kho'!$H$1:$H$2955)</f>
        <v>22</v>
      </c>
      <c r="M259" s="30">
        <f>SUMIF('Xuất kho'!$D$8:$D$2955,C259,'Xuất kho'!$I$8:$I$2955)</f>
        <v>57</v>
      </c>
      <c r="N259" s="30">
        <f t="shared" ref="N259:N264" si="40">L259-M259</f>
        <v>-35</v>
      </c>
      <c r="O259" s="30">
        <f>SUMIF('Xuất kho'!$D$3:$D$2721,C259,'Xuất kho'!$K$3:$K$2721)</f>
        <v>2768995</v>
      </c>
      <c r="P259" s="274"/>
    </row>
    <row r="260" spans="1:16" ht="13.2">
      <c r="A260" s="369"/>
      <c r="B260" s="101">
        <v>180</v>
      </c>
      <c r="C260" s="28" t="s">
        <v>979</v>
      </c>
      <c r="D260" s="28" t="s">
        <v>980</v>
      </c>
      <c r="E260" s="101" t="s">
        <v>444</v>
      </c>
      <c r="F260" s="278">
        <v>5.8</v>
      </c>
      <c r="G260" s="279">
        <f t="shared" ref="G260:G265" si="41">F260*3510+1300</f>
        <v>21658</v>
      </c>
      <c r="H260" s="100">
        <v>56580</v>
      </c>
      <c r="I260" s="280">
        <f t="shared" si="39"/>
        <v>542840</v>
      </c>
      <c r="J260" s="104">
        <f>+ SUMIF('Doanh thu'!A:A, C260,'Doanh thu'!F:F)</f>
        <v>507840</v>
      </c>
      <c r="K260" s="100">
        <f>SUMIF('Xuất kho'!D:D, C260,'Xuất kho'!K:K)</f>
        <v>35000</v>
      </c>
      <c r="L260" s="30">
        <f>SUMIF('Xuất kho'!$D$1:$D$2955,C260,'Xuất kho'!$H$1:$H$2955)</f>
        <v>13</v>
      </c>
      <c r="M260" s="30">
        <f>SUMIF('Xuất kho'!$D$8:$D$2955,C260,'Xuất kho'!$I$8:$I$2955)</f>
        <v>1</v>
      </c>
      <c r="N260" s="30">
        <f t="shared" si="40"/>
        <v>12</v>
      </c>
      <c r="O260" s="30">
        <f>SUMIF('Xuất kho'!$D$3:$D$2721,C260,'Xuất kho'!$K$3:$K$2721)</f>
        <v>35000</v>
      </c>
      <c r="P260" s="274"/>
    </row>
    <row r="261" spans="1:16" ht="13.2">
      <c r="A261" s="369"/>
      <c r="B261" s="101">
        <v>181</v>
      </c>
      <c r="C261" s="28" t="s">
        <v>981</v>
      </c>
      <c r="D261" s="28" t="s">
        <v>982</v>
      </c>
      <c r="E261" s="101" t="s">
        <v>444</v>
      </c>
      <c r="F261" s="278">
        <v>6.8</v>
      </c>
      <c r="G261" s="279">
        <f t="shared" si="41"/>
        <v>25168</v>
      </c>
      <c r="H261" s="100">
        <v>56580</v>
      </c>
      <c r="I261" s="280">
        <f t="shared" si="39"/>
        <v>3517492</v>
      </c>
      <c r="J261" s="104">
        <f>+ SUMIF('Doanh thu'!A:A, C261,'Doanh thu'!F:F)</f>
        <v>2263200</v>
      </c>
      <c r="K261" s="100">
        <f>SUMIF('Xuất kho'!D:D, C261,'Xuất kho'!K:K)</f>
        <v>1254292</v>
      </c>
      <c r="L261" s="30">
        <f>SUMIF('Xuất kho'!$D$1:$D$2955,C261,'Xuất kho'!$H$1:$H$2955)</f>
        <v>9</v>
      </c>
      <c r="M261" s="30">
        <f>SUMIF('Xuất kho'!$D$8:$D$2955,C261,'Xuất kho'!$I$8:$I$2955)</f>
        <v>25</v>
      </c>
      <c r="N261" s="30">
        <f t="shared" si="40"/>
        <v>-16</v>
      </c>
      <c r="O261" s="30">
        <f>SUMIF('Xuất kho'!$D$3:$D$2721,C261,'Xuất kho'!$K$3:$K$2721)</f>
        <v>1254292</v>
      </c>
      <c r="P261" s="274"/>
    </row>
    <row r="262" spans="1:16" ht="13.2">
      <c r="A262" s="369"/>
      <c r="B262" s="101">
        <v>182</v>
      </c>
      <c r="C262" s="28" t="s">
        <v>983</v>
      </c>
      <c r="D262" s="28" t="s">
        <v>984</v>
      </c>
      <c r="E262" s="101" t="s">
        <v>444</v>
      </c>
      <c r="F262" s="278">
        <v>6.8</v>
      </c>
      <c r="G262" s="279">
        <f t="shared" si="41"/>
        <v>25168</v>
      </c>
      <c r="H262" s="100">
        <v>56580</v>
      </c>
      <c r="I262" s="280">
        <f t="shared" si="39"/>
        <v>471180</v>
      </c>
      <c r="J262" s="104">
        <f>+ SUMIF('Doanh thu'!A:A, C262,'Doanh thu'!F:F)</f>
        <v>0</v>
      </c>
      <c r="K262" s="100">
        <f>SUMIF('Xuất kho'!D:D, C262,'Xuất kho'!K:K)</f>
        <v>471180</v>
      </c>
      <c r="L262" s="30">
        <f>SUMIF('Xuất kho'!$D$1:$D$2955,C262,'Xuất kho'!$H$1:$H$2955)</f>
        <v>9</v>
      </c>
      <c r="M262" s="30">
        <f>SUMIF('Xuất kho'!$D$8:$D$2955,C262,'Xuất kho'!$I$8:$I$2955)</f>
        <v>10</v>
      </c>
      <c r="N262" s="30">
        <f t="shared" si="40"/>
        <v>-1</v>
      </c>
      <c r="O262" s="30">
        <f>SUMIF('Xuất kho'!$D$3:$D$2721,C262,'Xuất kho'!$K$3:$K$2721)</f>
        <v>471180</v>
      </c>
      <c r="P262" s="274"/>
    </row>
    <row r="263" spans="1:16" ht="13.2">
      <c r="A263" s="369"/>
      <c r="B263" s="101">
        <v>183</v>
      </c>
      <c r="C263" s="28" t="s">
        <v>985</v>
      </c>
      <c r="D263" s="28" t="s">
        <v>986</v>
      </c>
      <c r="E263" s="101" t="s">
        <v>444</v>
      </c>
      <c r="F263" s="278">
        <v>6.8</v>
      </c>
      <c r="G263" s="279">
        <f t="shared" si="41"/>
        <v>25168</v>
      </c>
      <c r="H263" s="100">
        <v>56580</v>
      </c>
      <c r="I263" s="280">
        <f t="shared" si="39"/>
        <v>953808</v>
      </c>
      <c r="J263" s="104">
        <f>+ SUMIF('Doanh thu'!A:A, C263,'Doanh thu'!F:F)</f>
        <v>622380</v>
      </c>
      <c r="K263" s="100">
        <f>SUMIF('Xuất kho'!D:D, C263,'Xuất kho'!K:K)</f>
        <v>331428</v>
      </c>
      <c r="L263" s="30">
        <f>SUMIF('Xuất kho'!$D$1:$D$2955,C263,'Xuất kho'!$H$1:$H$2955)</f>
        <v>0</v>
      </c>
      <c r="M263" s="30">
        <f>SUMIF('Xuất kho'!$D$8:$D$2955,C263,'Xuất kho'!$I$8:$I$2955)</f>
        <v>6</v>
      </c>
      <c r="N263" s="30">
        <f t="shared" si="40"/>
        <v>-6</v>
      </c>
      <c r="O263" s="30">
        <f>SUMIF('Xuất kho'!$D$3:$D$2721,C263,'Xuất kho'!$K$3:$K$2721)</f>
        <v>331428</v>
      </c>
      <c r="P263" s="274"/>
    </row>
    <row r="264" spans="1:16" ht="13.2">
      <c r="A264" s="369"/>
      <c r="B264" s="101">
        <v>184</v>
      </c>
      <c r="C264" s="28" t="s">
        <v>987</v>
      </c>
      <c r="D264" s="28" t="s">
        <v>988</v>
      </c>
      <c r="E264" s="101" t="s">
        <v>444</v>
      </c>
      <c r="F264" s="278">
        <v>6.8</v>
      </c>
      <c r="G264" s="279">
        <f t="shared" si="41"/>
        <v>25168</v>
      </c>
      <c r="H264" s="100">
        <v>56580</v>
      </c>
      <c r="I264" s="280">
        <f t="shared" si="39"/>
        <v>1188180</v>
      </c>
      <c r="J264" s="104">
        <f>+ SUMIF('Doanh thu'!A:A, C264,'Doanh thu'!F:F)</f>
        <v>1188180</v>
      </c>
      <c r="K264" s="100">
        <f>SUMIF('Xuất kho'!D:D, C264,'Xuất kho'!K:K)</f>
        <v>0</v>
      </c>
      <c r="L264" s="30">
        <f>SUMIF('Xuất kho'!$D$1:$D$2955,C264,'Xuất kho'!$H$1:$H$2955)</f>
        <v>0</v>
      </c>
      <c r="M264" s="30">
        <f>SUMIF('Xuất kho'!$D$8:$D$2955,C264,'Xuất kho'!$I$8:$I$2955)</f>
        <v>0</v>
      </c>
      <c r="N264" s="30">
        <f t="shared" si="40"/>
        <v>0</v>
      </c>
      <c r="O264" s="30">
        <f>SUMIF('Xuất kho'!$D$3:$D$2721,C264,'Xuất kho'!$K$3:$K$2721)</f>
        <v>0</v>
      </c>
      <c r="P264" s="274"/>
    </row>
    <row r="265" spans="1:16" ht="13.2">
      <c r="B265" s="101"/>
      <c r="C265" s="28" t="s">
        <v>989</v>
      </c>
      <c r="D265" s="28" t="s">
        <v>990</v>
      </c>
      <c r="E265" s="101" t="s">
        <v>444</v>
      </c>
      <c r="F265" s="278">
        <v>6.8</v>
      </c>
      <c r="G265" s="279">
        <f t="shared" si="41"/>
        <v>25168</v>
      </c>
      <c r="H265" s="100">
        <v>59000</v>
      </c>
      <c r="I265" s="280">
        <f t="shared" si="39"/>
        <v>3422000</v>
      </c>
      <c r="J265" s="104">
        <f>+ SUMIF('Doanh thu'!A:A, C265,'Doanh thu'!F:F)</f>
        <v>3422000</v>
      </c>
      <c r="K265" s="100">
        <f>SUMIF('Xuất kho'!D:D, C265,'Xuất kho'!K:K)</f>
        <v>0</v>
      </c>
      <c r="L265" s="30"/>
      <c r="M265" s="30">
        <f>SUMIF('Xuất kho'!$D$8:$D$2955,C265,'Xuất kho'!$I$8:$I$2955)</f>
        <v>0</v>
      </c>
      <c r="N265" s="30"/>
      <c r="O265" s="30">
        <f>SUMIF('Xuất kho'!$D$3:$D$2721,C265,'Xuất kho'!$K$3:$K$2721)</f>
        <v>0</v>
      </c>
      <c r="P265" s="274"/>
    </row>
    <row r="266" spans="1:16" ht="13.2">
      <c r="B266" s="101">
        <v>185</v>
      </c>
      <c r="C266" s="28" t="s">
        <v>995</v>
      </c>
      <c r="D266" s="28" t="s">
        <v>996</v>
      </c>
      <c r="E266" s="101" t="s">
        <v>444</v>
      </c>
      <c r="F266" s="278"/>
      <c r="G266" s="279"/>
      <c r="H266" s="100">
        <v>39000</v>
      </c>
      <c r="I266" s="280">
        <f t="shared" si="39"/>
        <v>351000</v>
      </c>
      <c r="J266" s="104">
        <f>+ SUMIF('Doanh thu'!A:A, C266,'Doanh thu'!F:F)</f>
        <v>312000</v>
      </c>
      <c r="K266" s="100">
        <f>SUMIF('Xuất kho'!D:D, C266,'Xuất kho'!K:K)</f>
        <v>39000</v>
      </c>
      <c r="L266" s="30">
        <f>SUMIF('Xuất kho'!$D$1:$D$2955,C266,'Xuất kho'!$H$1:$H$2955)</f>
        <v>0</v>
      </c>
      <c r="M266" s="30">
        <f>SUMIF('Xuất kho'!$D$8:$D$2955,C266,'Xuất kho'!$I$8:$I$2955)</f>
        <v>1</v>
      </c>
      <c r="N266" s="30"/>
      <c r="O266" s="30">
        <f>SUMIF('Xuất kho'!$D$3:$D$2721,C266,'Xuất kho'!$K$3:$K$2721)</f>
        <v>39000</v>
      </c>
      <c r="P266" s="274"/>
    </row>
    <row r="267" spans="1:16" ht="13.2">
      <c r="B267" s="101">
        <v>186</v>
      </c>
      <c r="C267" s="28" t="s">
        <v>997</v>
      </c>
      <c r="D267" s="28" t="s">
        <v>998</v>
      </c>
      <c r="E267" s="101" t="s">
        <v>444</v>
      </c>
      <c r="F267" s="278"/>
      <c r="G267" s="279"/>
      <c r="H267" s="100">
        <v>39000</v>
      </c>
      <c r="I267" s="280">
        <f t="shared" si="39"/>
        <v>302093</v>
      </c>
      <c r="J267" s="104">
        <f>+ SUMIF('Doanh thu'!A:A, C267,'Doanh thu'!F:F)</f>
        <v>273000</v>
      </c>
      <c r="K267" s="100">
        <f>SUMIF('Xuất kho'!D:D, C267,'Xuất kho'!K:K)</f>
        <v>29093</v>
      </c>
      <c r="L267" s="30">
        <f>SUMIF('Xuất kho'!$D$1:$D$2955,C267,'Xuất kho'!$H$1:$H$2955)</f>
        <v>0</v>
      </c>
      <c r="M267" s="30">
        <f>SUMIF('Xuất kho'!$D$8:$D$2955,C267,'Xuất kho'!$I$8:$I$2955)</f>
        <v>1</v>
      </c>
      <c r="N267" s="30"/>
      <c r="O267" s="30">
        <f>SUMIF('Xuất kho'!$D$3:$D$2721,C267,'Xuất kho'!$K$3:$K$2721)</f>
        <v>29093</v>
      </c>
      <c r="P267" s="274"/>
    </row>
    <row r="268" spans="1:16" ht="13.2">
      <c r="B268" s="101">
        <v>187</v>
      </c>
      <c r="C268" s="28" t="s">
        <v>999</v>
      </c>
      <c r="D268" s="28" t="s">
        <v>1000</v>
      </c>
      <c r="E268" s="101" t="s">
        <v>444</v>
      </c>
      <c r="F268" s="278"/>
      <c r="G268" s="279"/>
      <c r="H268" s="100">
        <v>39000</v>
      </c>
      <c r="I268" s="280">
        <f t="shared" si="39"/>
        <v>195000</v>
      </c>
      <c r="J268" s="104">
        <f>+ SUMIF('Doanh thu'!A:A, C268,'Doanh thu'!F:F)</f>
        <v>195000</v>
      </c>
      <c r="K268" s="100">
        <f>SUMIF('Xuất kho'!D:D, C268,'Xuất kho'!K:K)</f>
        <v>0</v>
      </c>
      <c r="L268" s="30">
        <f>SUMIF('Xuất kho'!$D$1:$D$2955,C268,'Xuất kho'!$H$1:$H$2955)</f>
        <v>0</v>
      </c>
      <c r="M268" s="30">
        <f>SUMIF('Xuất kho'!$D$8:$D$2955,C268,'Xuất kho'!$I$8:$I$2955)</f>
        <v>0</v>
      </c>
      <c r="N268" s="30"/>
      <c r="O268" s="30">
        <f>SUMIF('Xuất kho'!$D$3:$D$2721,C268,'Xuất kho'!$K$3:$K$2721)</f>
        <v>0</v>
      </c>
      <c r="P268" s="274"/>
    </row>
    <row r="269" spans="1:16" ht="13.2">
      <c r="B269" s="101">
        <v>188</v>
      </c>
      <c r="C269" s="28" t="s">
        <v>1001</v>
      </c>
      <c r="D269" s="28" t="s">
        <v>1002</v>
      </c>
      <c r="E269" s="101" t="s">
        <v>444</v>
      </c>
      <c r="F269" s="278"/>
      <c r="G269" s="279"/>
      <c r="H269" s="100">
        <v>39000</v>
      </c>
      <c r="I269" s="280">
        <f t="shared" si="39"/>
        <v>312000</v>
      </c>
      <c r="J269" s="104">
        <f>+ SUMIF('Doanh thu'!A:A, C269,'Doanh thu'!F:F)</f>
        <v>273000</v>
      </c>
      <c r="K269" s="100">
        <f>SUMIF('Xuất kho'!D:D, C269,'Xuất kho'!K:K)</f>
        <v>39000</v>
      </c>
      <c r="L269" s="30">
        <f>SUMIF('Xuất kho'!$D$1:$D$2955,C269,'Xuất kho'!$H$1:$H$2955)</f>
        <v>0</v>
      </c>
      <c r="M269" s="30">
        <f>SUMIF('Xuất kho'!$D$8:$D$2955,C269,'Xuất kho'!$I$8:$I$2955)</f>
        <v>1</v>
      </c>
      <c r="N269" s="30"/>
      <c r="O269" s="30">
        <f>SUMIF('Xuất kho'!$D$3:$D$2721,C269,'Xuất kho'!$K$3:$K$2721)</f>
        <v>39000</v>
      </c>
      <c r="P269" s="274"/>
    </row>
    <row r="270" spans="1:16" ht="13.2">
      <c r="B270" s="101">
        <v>189</v>
      </c>
      <c r="C270" s="28" t="s">
        <v>1003</v>
      </c>
      <c r="D270" s="28" t="s">
        <v>1004</v>
      </c>
      <c r="E270" s="101" t="s">
        <v>444</v>
      </c>
      <c r="F270" s="278"/>
      <c r="G270" s="279"/>
      <c r="H270" s="100">
        <v>39000</v>
      </c>
      <c r="I270" s="280">
        <f t="shared" si="39"/>
        <v>39000</v>
      </c>
      <c r="J270" s="104">
        <f>+ SUMIF('Doanh thu'!A:A, C270,'Doanh thu'!F:F)</f>
        <v>39000</v>
      </c>
      <c r="K270" s="100">
        <f>SUMIF('Xuất kho'!D:D, C270,'Xuất kho'!K:K)</f>
        <v>0</v>
      </c>
      <c r="L270" s="30">
        <f>SUMIF('Xuất kho'!$D$1:$D$2955,C270,'Xuất kho'!$H$1:$H$2955)</f>
        <v>0</v>
      </c>
      <c r="M270" s="30">
        <f>SUMIF('Xuất kho'!$D$8:$D$2955,C270,'Xuất kho'!$I$8:$I$2955)</f>
        <v>0</v>
      </c>
      <c r="N270" s="30"/>
      <c r="O270" s="30">
        <f>SUMIF('Xuất kho'!$D$3:$D$2721,C270,'Xuất kho'!$K$3:$K$2721)</f>
        <v>0</v>
      </c>
      <c r="P270" s="274"/>
    </row>
    <row r="271" spans="1:16" ht="13.2">
      <c r="B271" s="101">
        <v>190</v>
      </c>
      <c r="C271" s="28" t="s">
        <v>1005</v>
      </c>
      <c r="D271" s="28" t="s">
        <v>1006</v>
      </c>
      <c r="E271" s="101" t="s">
        <v>444</v>
      </c>
      <c r="F271" s="278"/>
      <c r="G271" s="279"/>
      <c r="H271" s="100">
        <v>39000</v>
      </c>
      <c r="I271" s="280">
        <f t="shared" si="39"/>
        <v>78000</v>
      </c>
      <c r="J271" s="104">
        <f>+ SUMIF('Doanh thu'!A:A, C271,'Doanh thu'!F:F)</f>
        <v>78000</v>
      </c>
      <c r="K271" s="100">
        <f>SUMIF('Xuất kho'!D:D, C271,'Xuất kho'!K:K)</f>
        <v>0</v>
      </c>
      <c r="L271" s="30">
        <f>SUMIF('Xuất kho'!$D$1:$D$2955,C271,'Xuất kho'!$H$1:$H$2955)</f>
        <v>0</v>
      </c>
      <c r="M271" s="30">
        <f>SUMIF('Xuất kho'!$D$8:$D$2955,C271,'Xuất kho'!$I$8:$I$2955)</f>
        <v>0</v>
      </c>
      <c r="N271" s="30"/>
      <c r="O271" s="30">
        <f>SUMIF('Xuất kho'!$D$3:$D$2721,C271,'Xuất kho'!$K$3:$K$2721)</f>
        <v>0</v>
      </c>
      <c r="P271" s="274"/>
    </row>
    <row r="272" spans="1:16" ht="13.2">
      <c r="B272" s="101">
        <v>191</v>
      </c>
      <c r="C272" s="28" t="s">
        <v>1007</v>
      </c>
      <c r="D272" s="28" t="s">
        <v>1008</v>
      </c>
      <c r="E272" s="101" t="s">
        <v>444</v>
      </c>
      <c r="F272" s="278"/>
      <c r="G272" s="279"/>
      <c r="H272" s="100">
        <v>39000</v>
      </c>
      <c r="I272" s="280">
        <f t="shared" si="39"/>
        <v>78000</v>
      </c>
      <c r="J272" s="104">
        <f>+ SUMIF('Doanh thu'!A:A, C272,'Doanh thu'!F:F)</f>
        <v>78000</v>
      </c>
      <c r="K272" s="100">
        <f>SUMIF('Xuất kho'!D:D, C272,'Xuất kho'!K:K)</f>
        <v>0</v>
      </c>
      <c r="L272" s="30">
        <f>SUMIF('Xuất kho'!$D$1:$D$2955,C272,'Xuất kho'!$H$1:$H$2955)</f>
        <v>0</v>
      </c>
      <c r="M272" s="30">
        <f>SUMIF('Xuất kho'!$D$8:$D$2955,C272,'Xuất kho'!$I$8:$I$2955)</f>
        <v>0</v>
      </c>
      <c r="N272" s="30"/>
      <c r="O272" s="30">
        <f>SUMIF('Xuất kho'!$D$3:$D$2721,C272,'Xuất kho'!$K$3:$K$2721)</f>
        <v>0</v>
      </c>
      <c r="P272" s="274"/>
    </row>
    <row r="273" spans="2:16" ht="13.2">
      <c r="B273" s="101">
        <v>192</v>
      </c>
      <c r="C273" s="28" t="s">
        <v>1009</v>
      </c>
      <c r="D273" s="28" t="s">
        <v>1010</v>
      </c>
      <c r="E273" s="101" t="s">
        <v>444</v>
      </c>
      <c r="F273" s="278"/>
      <c r="G273" s="279"/>
      <c r="H273" s="100">
        <v>39000</v>
      </c>
      <c r="I273" s="280">
        <f t="shared" si="39"/>
        <v>156000</v>
      </c>
      <c r="J273" s="104">
        <f>+ SUMIF('Doanh thu'!A:A, C273,'Doanh thu'!F:F)</f>
        <v>156000</v>
      </c>
      <c r="K273" s="100">
        <f>SUMIF('Xuất kho'!D:D, C273,'Xuất kho'!K:K)</f>
        <v>0</v>
      </c>
      <c r="L273" s="30">
        <f>SUMIF('Xuất kho'!$D$1:$D$2955,C273,'Xuất kho'!$H$1:$H$2955)</f>
        <v>0</v>
      </c>
      <c r="M273" s="30">
        <f>SUMIF('Xuất kho'!$D$8:$D$2955,C273,'Xuất kho'!$I$8:$I$2955)</f>
        <v>0</v>
      </c>
      <c r="N273" s="30"/>
      <c r="O273" s="30">
        <f>SUMIF('Xuất kho'!$D$3:$D$2721,C273,'Xuất kho'!$K$3:$K$2721)</f>
        <v>0</v>
      </c>
      <c r="P273" s="274"/>
    </row>
    <row r="274" spans="2:16" ht="13.2">
      <c r="B274" s="101">
        <v>193</v>
      </c>
      <c r="C274" s="28" t="s">
        <v>1011</v>
      </c>
      <c r="D274" s="28" t="s">
        <v>1012</v>
      </c>
      <c r="E274" s="101" t="s">
        <v>444</v>
      </c>
      <c r="F274" s="278"/>
      <c r="G274" s="279"/>
      <c r="H274" s="100">
        <v>39000</v>
      </c>
      <c r="I274" s="280">
        <f t="shared" si="39"/>
        <v>78000</v>
      </c>
      <c r="J274" s="104">
        <f>+ SUMIF('Doanh thu'!A:A, C274,'Doanh thu'!F:F)</f>
        <v>78000</v>
      </c>
      <c r="K274" s="100">
        <f>SUMIF('Xuất kho'!D:D, C274,'Xuất kho'!K:K)</f>
        <v>0</v>
      </c>
      <c r="L274" s="30">
        <f>SUMIF('Xuất kho'!$D$1:$D$2955,C274,'Xuất kho'!$H$1:$H$2955)</f>
        <v>0</v>
      </c>
      <c r="M274" s="30">
        <f>SUMIF('Xuất kho'!$D$8:$D$2955,C274,'Xuất kho'!$I$8:$I$2955)</f>
        <v>0</v>
      </c>
      <c r="N274" s="30"/>
      <c r="O274" s="30">
        <f>SUMIF('Xuất kho'!$D$3:$D$2721,C274,'Xuất kho'!$K$3:$K$2721)</f>
        <v>0</v>
      </c>
      <c r="P274" s="274"/>
    </row>
    <row r="275" spans="2:16" ht="13.2">
      <c r="B275" s="101">
        <v>194</v>
      </c>
      <c r="C275" s="28" t="s">
        <v>1013</v>
      </c>
      <c r="D275" s="28" t="s">
        <v>1014</v>
      </c>
      <c r="E275" s="101" t="s">
        <v>444</v>
      </c>
      <c r="F275" s="278"/>
      <c r="G275" s="279"/>
      <c r="H275" s="100">
        <v>39000</v>
      </c>
      <c r="I275" s="280">
        <f t="shared" si="39"/>
        <v>39000</v>
      </c>
      <c r="J275" s="104">
        <f>+ SUMIF('Doanh thu'!A:A, C275,'Doanh thu'!F:F)</f>
        <v>39000</v>
      </c>
      <c r="K275" s="100">
        <f>SUMIF('Xuất kho'!D:D, C275,'Xuất kho'!K:K)</f>
        <v>0</v>
      </c>
      <c r="L275" s="30">
        <f>SUMIF('Xuất kho'!$D$1:$D$2955,C275,'Xuất kho'!$H$1:$H$2955)</f>
        <v>0</v>
      </c>
      <c r="M275" s="30">
        <f>SUMIF('Xuất kho'!$D$8:$D$2955,C275,'Xuất kho'!$I$8:$I$2955)</f>
        <v>0</v>
      </c>
      <c r="N275" s="30"/>
      <c r="O275" s="30">
        <f>SUMIF('Xuất kho'!$D$3:$D$2721,C275,'Xuất kho'!$K$3:$K$2721)</f>
        <v>0</v>
      </c>
      <c r="P275" s="274"/>
    </row>
    <row r="276" spans="2:16" ht="13.2">
      <c r="B276" s="101">
        <v>195</v>
      </c>
      <c r="C276" s="28" t="s">
        <v>1015</v>
      </c>
      <c r="D276" s="28" t="s">
        <v>1016</v>
      </c>
      <c r="E276" s="101" t="s">
        <v>444</v>
      </c>
      <c r="F276" s="278"/>
      <c r="G276" s="279"/>
      <c r="H276" s="100">
        <v>39000</v>
      </c>
      <c r="I276" s="280">
        <f t="shared" si="39"/>
        <v>39000</v>
      </c>
      <c r="J276" s="104">
        <f>+ SUMIF('Doanh thu'!A:A, C276,'Doanh thu'!F:F)</f>
        <v>39000</v>
      </c>
      <c r="K276" s="100">
        <f>SUMIF('Xuất kho'!D:D, C276,'Xuất kho'!K:K)</f>
        <v>0</v>
      </c>
      <c r="L276" s="30">
        <f>SUMIF('Xuất kho'!$D$1:$D$2955,C276,'Xuất kho'!$H$1:$H$2955)</f>
        <v>0</v>
      </c>
      <c r="M276" s="30">
        <f>SUMIF('Xuất kho'!$D$8:$D$2955,C276,'Xuất kho'!$I$8:$I$2955)</f>
        <v>0</v>
      </c>
      <c r="N276" s="30"/>
      <c r="O276" s="30">
        <f>SUMIF('Xuất kho'!$D$3:$D$2721,C276,'Xuất kho'!$K$3:$K$2721)</f>
        <v>0</v>
      </c>
      <c r="P276" s="274"/>
    </row>
    <row r="277" spans="2:16" ht="13.2">
      <c r="B277" s="101">
        <v>196</v>
      </c>
      <c r="C277" s="28" t="s">
        <v>1017</v>
      </c>
      <c r="D277" s="28" t="s">
        <v>1018</v>
      </c>
      <c r="E277" s="101" t="s">
        <v>444</v>
      </c>
      <c r="F277" s="278"/>
      <c r="G277" s="279"/>
      <c r="H277" s="100">
        <v>39000</v>
      </c>
      <c r="I277" s="280">
        <f t="shared" si="39"/>
        <v>117000</v>
      </c>
      <c r="J277" s="104">
        <f>+ SUMIF('Doanh thu'!A:A, C277,'Doanh thu'!F:F)</f>
        <v>117000</v>
      </c>
      <c r="K277" s="100">
        <f>SUMIF('Xuất kho'!D:D, C277,'Xuất kho'!K:K)</f>
        <v>0</v>
      </c>
      <c r="L277" s="30">
        <f>SUMIF('Xuất kho'!$D$1:$D$2955,C277,'Xuất kho'!$H$1:$H$2955)</f>
        <v>0</v>
      </c>
      <c r="M277" s="30">
        <f>SUMIF('Xuất kho'!$D$8:$D$2955,C277,'Xuất kho'!$I$8:$I$2955)</f>
        <v>0</v>
      </c>
      <c r="N277" s="30"/>
      <c r="O277" s="30">
        <f>SUMIF('Xuất kho'!$D$3:$D$2721,C277,'Xuất kho'!$K$3:$K$2721)</f>
        <v>0</v>
      </c>
      <c r="P277" s="274"/>
    </row>
    <row r="278" spans="2:16" ht="13.2">
      <c r="B278" s="101">
        <v>197</v>
      </c>
      <c r="C278" s="28" t="s">
        <v>1019</v>
      </c>
      <c r="D278" s="28" t="s">
        <v>1020</v>
      </c>
      <c r="E278" s="101" t="s">
        <v>444</v>
      </c>
      <c r="F278" s="278"/>
      <c r="G278" s="279"/>
      <c r="H278" s="100">
        <v>39000</v>
      </c>
      <c r="I278" s="280">
        <f t="shared" si="39"/>
        <v>39000</v>
      </c>
      <c r="J278" s="104">
        <f>+ SUMIF('Doanh thu'!A:A, C278,'Doanh thu'!F:F)</f>
        <v>39000</v>
      </c>
      <c r="K278" s="100">
        <f>SUMIF('Xuất kho'!D:D, C278,'Xuất kho'!K:K)</f>
        <v>0</v>
      </c>
      <c r="L278" s="30">
        <f>SUMIF('Xuất kho'!$D$1:$D$2955,C278,'Xuất kho'!$H$1:$H$2955)</f>
        <v>0</v>
      </c>
      <c r="M278" s="30">
        <f>SUMIF('Xuất kho'!$D$8:$D$2955,C278,'Xuất kho'!$I$8:$I$2955)</f>
        <v>0</v>
      </c>
      <c r="N278" s="30"/>
      <c r="O278" s="30">
        <f>SUMIF('Xuất kho'!$D$3:$D$2721,C278,'Xuất kho'!$K$3:$K$2721)</f>
        <v>0</v>
      </c>
      <c r="P278" s="274"/>
    </row>
    <row r="279" spans="2:16" ht="13.2">
      <c r="B279" s="101">
        <v>198</v>
      </c>
      <c r="C279" s="28" t="s">
        <v>1021</v>
      </c>
      <c r="D279" s="28" t="s">
        <v>1022</v>
      </c>
      <c r="E279" s="101" t="s">
        <v>444</v>
      </c>
      <c r="F279" s="278"/>
      <c r="G279" s="279"/>
      <c r="H279" s="100">
        <v>39000</v>
      </c>
      <c r="I279" s="280">
        <f t="shared" si="39"/>
        <v>39000</v>
      </c>
      <c r="J279" s="104">
        <f>+ SUMIF('Doanh thu'!A:A, C279,'Doanh thu'!F:F)</f>
        <v>39000</v>
      </c>
      <c r="K279" s="100">
        <f>SUMIF('Xuất kho'!D:D, C279,'Xuất kho'!K:K)</f>
        <v>0</v>
      </c>
      <c r="L279" s="30">
        <f>SUMIF('Xuất kho'!$D$1:$D$2955,C279,'Xuất kho'!$H$1:$H$2955)</f>
        <v>0</v>
      </c>
      <c r="M279" s="30">
        <f>SUMIF('Xuất kho'!$D$8:$D$2955,C279,'Xuất kho'!$I$8:$I$2955)</f>
        <v>0</v>
      </c>
      <c r="N279" s="30"/>
      <c r="O279" s="30">
        <f>SUMIF('Xuất kho'!$D$3:$D$2721,C279,'Xuất kho'!$K$3:$K$2721)</f>
        <v>0</v>
      </c>
      <c r="P279" s="274"/>
    </row>
    <row r="280" spans="2:16" ht="13.2">
      <c r="B280" s="101">
        <v>199</v>
      </c>
      <c r="C280" s="28" t="s">
        <v>1023</v>
      </c>
      <c r="D280" s="28" t="s">
        <v>1024</v>
      </c>
      <c r="E280" s="101" t="s">
        <v>444</v>
      </c>
      <c r="F280" s="278"/>
      <c r="G280" s="279"/>
      <c r="H280" s="100">
        <v>39000</v>
      </c>
      <c r="I280" s="280">
        <f t="shared" si="39"/>
        <v>39000</v>
      </c>
      <c r="J280" s="104">
        <f>+ SUMIF('Doanh thu'!A:A, C280,'Doanh thu'!F:F)</f>
        <v>39000</v>
      </c>
      <c r="K280" s="100">
        <f>SUMIF('Xuất kho'!D:D, C280,'Xuất kho'!K:K)</f>
        <v>0</v>
      </c>
      <c r="L280" s="30">
        <f>SUMIF('Xuất kho'!$D$1:$D$2955,C280,'Xuất kho'!$H$1:$H$2955)</f>
        <v>0</v>
      </c>
      <c r="M280" s="30">
        <f>SUMIF('Xuất kho'!$D$8:$D$2955,C280,'Xuất kho'!$I$8:$I$2955)</f>
        <v>0</v>
      </c>
      <c r="N280" s="30"/>
      <c r="O280" s="30">
        <f>SUMIF('Xuất kho'!$D$3:$D$2721,C280,'Xuất kho'!$K$3:$K$2721)</f>
        <v>0</v>
      </c>
      <c r="P280" s="274"/>
    </row>
    <row r="281" spans="2:16" ht="13.2">
      <c r="B281" s="101"/>
      <c r="C281" s="28" t="s">
        <v>1025</v>
      </c>
      <c r="D281" s="28" t="s">
        <v>1026</v>
      </c>
      <c r="E281" s="101" t="s">
        <v>444</v>
      </c>
      <c r="F281" s="278"/>
      <c r="G281" s="279"/>
      <c r="H281" s="100">
        <v>37800</v>
      </c>
      <c r="I281" s="280">
        <f t="shared" si="39"/>
        <v>2494800</v>
      </c>
      <c r="J281" s="104">
        <f>+ SUMIF('Doanh thu'!A:A, C281,'Doanh thu'!F:F)</f>
        <v>2381400</v>
      </c>
      <c r="K281" s="100">
        <f>SUMIF('Xuất kho'!D:D, C281,'Xuất kho'!K:K)</f>
        <v>113400</v>
      </c>
      <c r="L281" s="30"/>
      <c r="M281" s="30">
        <f>SUMIF('Xuất kho'!$D$8:$D$2955,C281,'Xuất kho'!$I$8:$I$2955)</f>
        <v>3</v>
      </c>
      <c r="N281" s="30"/>
      <c r="O281" s="30">
        <f>SUMIF('Xuất kho'!$D$3:$D$2721,C281,'Xuất kho'!$K$3:$K$2721)</f>
        <v>113400</v>
      </c>
      <c r="P281" s="274"/>
    </row>
    <row r="282" spans="2:16" ht="13.2">
      <c r="B282" s="101"/>
      <c r="C282" s="28" t="s">
        <v>1027</v>
      </c>
      <c r="D282" s="28" t="s">
        <v>1028</v>
      </c>
      <c r="E282" s="101" t="s">
        <v>444</v>
      </c>
      <c r="F282" s="278"/>
      <c r="G282" s="279"/>
      <c r="H282" s="100">
        <v>37800</v>
      </c>
      <c r="I282" s="280">
        <f t="shared" si="39"/>
        <v>2494800</v>
      </c>
      <c r="J282" s="104">
        <f>+ SUMIF('Doanh thu'!A:A, C282,'Doanh thu'!F:F)</f>
        <v>2419200</v>
      </c>
      <c r="K282" s="100">
        <f>SUMIF('Xuất kho'!D:D, C282,'Xuất kho'!K:K)</f>
        <v>75600</v>
      </c>
      <c r="L282" s="30"/>
      <c r="M282" s="30">
        <f>SUMIF('Xuất kho'!$D$8:$D$2955,C282,'Xuất kho'!$I$8:$I$2955)</f>
        <v>2</v>
      </c>
      <c r="N282" s="30"/>
      <c r="O282" s="30">
        <f>SUMIF('Xuất kho'!$D$3:$D$2721,C282,'Xuất kho'!$K$3:$K$2721)</f>
        <v>75600</v>
      </c>
      <c r="P282" s="274"/>
    </row>
    <row r="283" spans="2:16" ht="13.2">
      <c r="B283" s="101"/>
      <c r="C283" s="28" t="s">
        <v>1029</v>
      </c>
      <c r="D283" s="28" t="s">
        <v>1030</v>
      </c>
      <c r="E283" s="101" t="s">
        <v>444</v>
      </c>
      <c r="F283" s="278"/>
      <c r="G283" s="279"/>
      <c r="H283" s="100">
        <v>37800</v>
      </c>
      <c r="I283" s="280">
        <f t="shared" si="39"/>
        <v>1587600</v>
      </c>
      <c r="J283" s="104">
        <f>+ SUMIF('Doanh thu'!A:A, C283,'Doanh thu'!F:F)</f>
        <v>1512000</v>
      </c>
      <c r="K283" s="100">
        <f>SUMIF('Xuất kho'!D:D, C283,'Xuất kho'!K:K)</f>
        <v>75600</v>
      </c>
      <c r="L283" s="30"/>
      <c r="M283" s="30">
        <f>SUMIF('Xuất kho'!$D$8:$D$2955,C283,'Xuất kho'!$I$8:$I$2955)</f>
        <v>2</v>
      </c>
      <c r="N283" s="30"/>
      <c r="O283" s="30">
        <f>SUMIF('Xuất kho'!$D$3:$D$2721,C283,'Xuất kho'!$K$3:$K$2721)</f>
        <v>75600</v>
      </c>
      <c r="P283" s="274"/>
    </row>
    <row r="284" spans="2:16" ht="13.2">
      <c r="B284" s="101">
        <v>200</v>
      </c>
      <c r="C284" s="28" t="s">
        <v>1031</v>
      </c>
      <c r="D284" s="28" t="s">
        <v>1032</v>
      </c>
      <c r="E284" s="101" t="s">
        <v>444</v>
      </c>
      <c r="F284" s="278"/>
      <c r="G284" s="279"/>
      <c r="H284" s="100">
        <v>37800</v>
      </c>
      <c r="I284" s="280">
        <f t="shared" si="39"/>
        <v>2116800</v>
      </c>
      <c r="J284" s="104">
        <f>+ SUMIF('Doanh thu'!A:A, C284,'Doanh thu'!F:F)</f>
        <v>2041200</v>
      </c>
      <c r="K284" s="100">
        <f>SUMIF('Xuất kho'!D:D, C284,'Xuất kho'!K:K)</f>
        <v>75600</v>
      </c>
      <c r="L284" s="30">
        <f>SUMIF('Xuất kho'!$D$1:$D$2955,C284,'Xuất kho'!$H$1:$H$2955)</f>
        <v>0</v>
      </c>
      <c r="M284" s="30">
        <f>SUMIF('Xuất kho'!$D$8:$D$2955,C284,'Xuất kho'!$I$8:$I$2955)</f>
        <v>2</v>
      </c>
      <c r="N284" s="30"/>
      <c r="O284" s="30">
        <f>SUMIF('Xuất kho'!$D$3:$D$2721,C284,'Xuất kho'!$K$3:$K$2721)</f>
        <v>75600</v>
      </c>
      <c r="P284" s="274"/>
    </row>
    <row r="285" spans="2:16" ht="13.2">
      <c r="B285" s="101">
        <v>201</v>
      </c>
      <c r="C285" s="28" t="s">
        <v>1033</v>
      </c>
      <c r="D285" s="28" t="s">
        <v>1034</v>
      </c>
      <c r="E285" s="101" t="s">
        <v>444</v>
      </c>
      <c r="F285" s="278"/>
      <c r="G285" s="279"/>
      <c r="H285" s="100">
        <v>37800</v>
      </c>
      <c r="I285" s="280">
        <f t="shared" si="39"/>
        <v>2650200</v>
      </c>
      <c r="J285" s="104">
        <f>+ SUMIF('Doanh thu'!A:A, C285,'Doanh thu'!F:F)</f>
        <v>2494800</v>
      </c>
      <c r="K285" s="100">
        <f>SUMIF('Xuất kho'!D:D, C285,'Xuất kho'!K:K)</f>
        <v>155400</v>
      </c>
      <c r="L285" s="30">
        <f>SUMIF('Xuất kho'!$D$1:$D$2955,C285,'Xuất kho'!$H$1:$H$2955)</f>
        <v>0</v>
      </c>
      <c r="M285" s="30">
        <f>SUMIF('Xuất kho'!$D$8:$D$2955,C285,'Xuất kho'!$I$8:$I$2955)</f>
        <v>4</v>
      </c>
      <c r="N285" s="30"/>
      <c r="O285" s="30">
        <f>SUMIF('Xuất kho'!$D$3:$D$2721,C285,'Xuất kho'!$K$3:$K$2721)</f>
        <v>155400</v>
      </c>
      <c r="P285" s="274"/>
    </row>
    <row r="286" spans="2:16" ht="13.2">
      <c r="B286" s="101">
        <v>203</v>
      </c>
      <c r="C286" s="28" t="s">
        <v>1035</v>
      </c>
      <c r="D286" s="28" t="s">
        <v>1036</v>
      </c>
      <c r="E286" s="101" t="s">
        <v>1037</v>
      </c>
      <c r="F286" s="278">
        <v>1.45</v>
      </c>
      <c r="G286" s="279">
        <f t="shared" ref="G286:G323" si="42">F286*3510+1000</f>
        <v>6089.5</v>
      </c>
      <c r="H286" s="93">
        <f t="shared" ref="H286:H290" si="43">G286*2</f>
        <v>12179</v>
      </c>
      <c r="I286" s="280">
        <f t="shared" si="39"/>
        <v>56000</v>
      </c>
      <c r="J286" s="104">
        <f>+ SUMIF('Doanh thu'!A:A, C286,'Doanh thu'!F:F)</f>
        <v>0</v>
      </c>
      <c r="K286" s="100">
        <f>SUMIF('Xuất kho'!D:D, C286,'Xuất kho'!K:K)</f>
        <v>56000</v>
      </c>
      <c r="L286" s="30">
        <f>SUMIF('Xuất kho'!$D$1:$D$2955,C286,'Xuất kho'!$H$1:$H$2955)</f>
        <v>5</v>
      </c>
      <c r="M286" s="30">
        <f>SUMIF('Xuất kho'!$D$8:$D$2955,C286,'Xuất kho'!$I$8:$I$2955)</f>
        <v>3</v>
      </c>
      <c r="N286" s="30">
        <f t="shared" ref="N286:N323" si="44">L286-M286</f>
        <v>2</v>
      </c>
      <c r="O286" s="30">
        <f>SUMIF('Xuất kho'!$D$3:$D$2721,C286,'Xuất kho'!$K$3:$K$2721)</f>
        <v>56000</v>
      </c>
      <c r="P286" s="274"/>
    </row>
    <row r="287" spans="2:16" ht="13.2">
      <c r="B287" s="101">
        <v>204</v>
      </c>
      <c r="C287" s="28" t="s">
        <v>1038</v>
      </c>
      <c r="D287" s="28" t="s">
        <v>1039</v>
      </c>
      <c r="E287" s="101" t="s">
        <v>1037</v>
      </c>
      <c r="F287" s="278">
        <v>1.45</v>
      </c>
      <c r="G287" s="279">
        <f t="shared" si="42"/>
        <v>6089.5</v>
      </c>
      <c r="H287" s="93">
        <f t="shared" si="43"/>
        <v>12179</v>
      </c>
      <c r="I287" s="280">
        <f t="shared" si="39"/>
        <v>51000</v>
      </c>
      <c r="J287" s="104">
        <f>+ SUMIF('Doanh thu'!A:A, C287,'Doanh thu'!F:F)</f>
        <v>0</v>
      </c>
      <c r="K287" s="100">
        <f>SUMIF('Xuất kho'!D:D, C287,'Xuất kho'!K:K)</f>
        <v>51000</v>
      </c>
      <c r="L287" s="30">
        <f>SUMIF('Xuất kho'!$D$1:$D$2955,C287,'Xuất kho'!$H$1:$H$2955)</f>
        <v>5</v>
      </c>
      <c r="M287" s="30">
        <f>SUMIF('Xuất kho'!$D$8:$D$2955,C287,'Xuất kho'!$I$8:$I$2955)</f>
        <v>2</v>
      </c>
      <c r="N287" s="30">
        <f t="shared" si="44"/>
        <v>3</v>
      </c>
      <c r="O287" s="30">
        <f>SUMIF('Xuất kho'!$D$3:$D$2721,C287,'Xuất kho'!$K$3:$K$2721)</f>
        <v>51000</v>
      </c>
      <c r="P287" s="274"/>
    </row>
    <row r="288" spans="2:16" ht="13.2">
      <c r="B288" s="101">
        <v>205</v>
      </c>
      <c r="C288" s="28" t="s">
        <v>1040</v>
      </c>
      <c r="D288" s="28" t="s">
        <v>1041</v>
      </c>
      <c r="E288" s="101" t="s">
        <v>1037</v>
      </c>
      <c r="F288" s="278">
        <v>1.45</v>
      </c>
      <c r="G288" s="279">
        <f t="shared" si="42"/>
        <v>6089.5</v>
      </c>
      <c r="H288" s="93">
        <f t="shared" si="43"/>
        <v>12179</v>
      </c>
      <c r="I288" s="280">
        <f t="shared" si="39"/>
        <v>61000</v>
      </c>
      <c r="J288" s="104">
        <f>+ SUMIF('Doanh thu'!A:A, C288,'Doanh thu'!F:F)</f>
        <v>0</v>
      </c>
      <c r="K288" s="100">
        <f>SUMIF('Xuất kho'!D:D, C288,'Xuất kho'!K:K)</f>
        <v>61000</v>
      </c>
      <c r="L288" s="30">
        <f>SUMIF('Xuất kho'!$D$1:$D$2955,C288,'Xuất kho'!$H$1:$H$2955)</f>
        <v>5</v>
      </c>
      <c r="M288" s="30">
        <f>SUMIF('Xuất kho'!$D$8:$D$2955,C288,'Xuất kho'!$I$8:$I$2955)</f>
        <v>3</v>
      </c>
      <c r="N288" s="30">
        <f t="shared" si="44"/>
        <v>2</v>
      </c>
      <c r="O288" s="30">
        <f>SUMIF('Xuất kho'!$D$3:$D$2721,C288,'Xuất kho'!$K$3:$K$2721)</f>
        <v>61000</v>
      </c>
      <c r="P288" s="274"/>
    </row>
    <row r="289" spans="2:16" ht="13.2">
      <c r="B289" s="101">
        <v>206</v>
      </c>
      <c r="C289" s="28" t="s">
        <v>1042</v>
      </c>
      <c r="D289" s="28" t="s">
        <v>1043</v>
      </c>
      <c r="E289" s="101" t="s">
        <v>1037</v>
      </c>
      <c r="F289" s="278">
        <v>1.45</v>
      </c>
      <c r="G289" s="279">
        <f t="shared" si="42"/>
        <v>6089.5</v>
      </c>
      <c r="H289" s="93">
        <f t="shared" si="43"/>
        <v>12179</v>
      </c>
      <c r="I289" s="280">
        <f t="shared" si="39"/>
        <v>6000</v>
      </c>
      <c r="J289" s="104">
        <f>+ SUMIF('Doanh thu'!A:A, C289,'Doanh thu'!F:F)</f>
        <v>0</v>
      </c>
      <c r="K289" s="100">
        <f>SUMIF('Xuất kho'!D:D, C289,'Xuất kho'!K:K)</f>
        <v>6000</v>
      </c>
      <c r="L289" s="30">
        <f>SUMIF('Xuất kho'!$D$1:$D$2955,C289,'Xuất kho'!$H$1:$H$2955)</f>
        <v>5</v>
      </c>
      <c r="M289" s="30">
        <f>SUMIF('Xuất kho'!$D$8:$D$2955,C289,'Xuất kho'!$I$8:$I$2955)</f>
        <v>1</v>
      </c>
      <c r="N289" s="30">
        <f t="shared" si="44"/>
        <v>4</v>
      </c>
      <c r="O289" s="30">
        <f>SUMIF('Xuất kho'!$D$3:$D$2721,C289,'Xuất kho'!$K$3:$K$2721)</f>
        <v>6000</v>
      </c>
      <c r="P289" s="274"/>
    </row>
    <row r="290" spans="2:16" ht="13.2">
      <c r="B290" s="101">
        <v>207</v>
      </c>
      <c r="C290" s="28" t="s">
        <v>1044</v>
      </c>
      <c r="D290" s="28" t="s">
        <v>1045</v>
      </c>
      <c r="E290" s="101" t="s">
        <v>1037</v>
      </c>
      <c r="F290" s="278">
        <v>1.45</v>
      </c>
      <c r="G290" s="279">
        <f t="shared" si="42"/>
        <v>6089.5</v>
      </c>
      <c r="H290" s="93">
        <f t="shared" si="43"/>
        <v>12179</v>
      </c>
      <c r="I290" s="280">
        <f t="shared" si="39"/>
        <v>11000</v>
      </c>
      <c r="J290" s="104">
        <f>+ SUMIF('Doanh thu'!A:A, C290,'Doanh thu'!F:F)</f>
        <v>0</v>
      </c>
      <c r="K290" s="100">
        <f>SUMIF('Xuất kho'!D:D, C290,'Xuất kho'!K:K)</f>
        <v>11000</v>
      </c>
      <c r="L290" s="30">
        <f>SUMIF('Xuất kho'!$D$1:$D$2955,C290,'Xuất kho'!$H$1:$H$2955)</f>
        <v>5</v>
      </c>
      <c r="M290" s="30">
        <f>SUMIF('Xuất kho'!$D$8:$D$2955,C290,'Xuất kho'!$I$8:$I$2955)</f>
        <v>1</v>
      </c>
      <c r="N290" s="30">
        <f t="shared" si="44"/>
        <v>4</v>
      </c>
      <c r="O290" s="30">
        <f>SUMIF('Xuất kho'!$D$3:$D$2721,C290,'Xuất kho'!$K$3:$K$2721)</f>
        <v>11000</v>
      </c>
      <c r="P290" s="274"/>
    </row>
    <row r="291" spans="2:16" ht="13.2">
      <c r="B291" s="101">
        <v>208</v>
      </c>
      <c r="C291" s="28" t="s">
        <v>1046</v>
      </c>
      <c r="D291" s="28" t="s">
        <v>1047</v>
      </c>
      <c r="E291" s="101" t="s">
        <v>1037</v>
      </c>
      <c r="F291" s="278">
        <v>1.05</v>
      </c>
      <c r="G291" s="279">
        <f t="shared" si="42"/>
        <v>4685.5</v>
      </c>
      <c r="H291" s="100">
        <v>9800</v>
      </c>
      <c r="I291" s="280">
        <f t="shared" si="39"/>
        <v>29400</v>
      </c>
      <c r="J291" s="104">
        <f>+ SUMIF('Doanh thu'!A:A, C291,'Doanh thu'!F:F)</f>
        <v>29400</v>
      </c>
      <c r="K291" s="100">
        <f>SUMIF('Xuất kho'!D:D, C291,'Xuất kho'!K:K)</f>
        <v>0</v>
      </c>
      <c r="L291" s="30">
        <f>SUMIF('Xuất kho'!$D$1:$D$2955,C291,'Xuất kho'!$H$1:$H$2955)</f>
        <v>3</v>
      </c>
      <c r="M291" s="30">
        <f>SUMIF('Xuất kho'!$D$8:$D$2955,C291,'Xuất kho'!$I$8:$I$2955)</f>
        <v>0</v>
      </c>
      <c r="N291" s="30">
        <f t="shared" si="44"/>
        <v>3</v>
      </c>
      <c r="O291" s="30">
        <f>SUMIF('Xuất kho'!$D$3:$D$2721,C291,'Xuất kho'!$K$3:$K$2721)</f>
        <v>0</v>
      </c>
      <c r="P291" s="274"/>
    </row>
    <row r="292" spans="2:16" ht="13.2">
      <c r="B292" s="101">
        <v>209</v>
      </c>
      <c r="C292" s="28" t="s">
        <v>1048</v>
      </c>
      <c r="D292" s="28" t="s">
        <v>1049</v>
      </c>
      <c r="E292" s="101" t="s">
        <v>1037</v>
      </c>
      <c r="F292" s="278">
        <v>1.05</v>
      </c>
      <c r="G292" s="279">
        <f t="shared" si="42"/>
        <v>4685.5</v>
      </c>
      <c r="H292" s="100">
        <v>9800</v>
      </c>
      <c r="I292" s="280">
        <f t="shared" si="39"/>
        <v>33800</v>
      </c>
      <c r="J292" s="104">
        <f>+ SUMIF('Doanh thu'!A:A, C292,'Doanh thu'!F:F)</f>
        <v>9800</v>
      </c>
      <c r="K292" s="100">
        <f>SUMIF('Xuất kho'!D:D, C292,'Xuất kho'!K:K)</f>
        <v>24000</v>
      </c>
      <c r="L292" s="30">
        <f>SUMIF('Xuất kho'!$D$1:$D$2955,C292,'Xuất kho'!$H$1:$H$2955)</f>
        <v>3</v>
      </c>
      <c r="M292" s="30">
        <f>SUMIF('Xuất kho'!$D$8:$D$2955,C292,'Xuất kho'!$I$8:$I$2955)</f>
        <v>3</v>
      </c>
      <c r="N292" s="30">
        <f t="shared" si="44"/>
        <v>0</v>
      </c>
      <c r="O292" s="30">
        <f>SUMIF('Xuất kho'!$D$3:$D$2721,C292,'Xuất kho'!$K$3:$K$2721)</f>
        <v>24000</v>
      </c>
      <c r="P292" s="274"/>
    </row>
    <row r="293" spans="2:16" ht="13.2">
      <c r="B293" s="101">
        <v>210</v>
      </c>
      <c r="C293" s="28" t="s">
        <v>1050</v>
      </c>
      <c r="D293" s="28" t="s">
        <v>1051</v>
      </c>
      <c r="E293" s="101" t="s">
        <v>1037</v>
      </c>
      <c r="F293" s="278">
        <v>1.05</v>
      </c>
      <c r="G293" s="279">
        <f t="shared" si="42"/>
        <v>4685.5</v>
      </c>
      <c r="H293" s="100">
        <v>9800</v>
      </c>
      <c r="I293" s="280">
        <f t="shared" si="39"/>
        <v>25600</v>
      </c>
      <c r="J293" s="104">
        <f>+ SUMIF('Doanh thu'!A:A, C293,'Doanh thu'!F:F)</f>
        <v>19600</v>
      </c>
      <c r="K293" s="100">
        <f>SUMIF('Xuất kho'!D:D, C293,'Xuất kho'!K:K)</f>
        <v>6000</v>
      </c>
      <c r="L293" s="30">
        <f>SUMIF('Xuất kho'!$D$1:$D$2955,C293,'Xuất kho'!$H$1:$H$2955)</f>
        <v>3</v>
      </c>
      <c r="M293" s="30">
        <f>SUMIF('Xuất kho'!$D$8:$D$2955,C293,'Xuất kho'!$I$8:$I$2955)</f>
        <v>1</v>
      </c>
      <c r="N293" s="30">
        <f t="shared" si="44"/>
        <v>2</v>
      </c>
      <c r="O293" s="30">
        <f>SUMIF('Xuất kho'!$D$3:$D$2721,C293,'Xuất kho'!$K$3:$K$2721)</f>
        <v>6000</v>
      </c>
      <c r="P293" s="274"/>
    </row>
    <row r="294" spans="2:16" ht="13.2">
      <c r="B294" s="101">
        <v>211</v>
      </c>
      <c r="C294" s="28" t="s">
        <v>1052</v>
      </c>
      <c r="D294" s="28" t="s">
        <v>1053</v>
      </c>
      <c r="E294" s="101" t="s">
        <v>1037</v>
      </c>
      <c r="F294" s="278">
        <v>1.05</v>
      </c>
      <c r="G294" s="279">
        <f t="shared" si="42"/>
        <v>4685.5</v>
      </c>
      <c r="H294" s="100">
        <v>9800</v>
      </c>
      <c r="I294" s="280">
        <f t="shared" si="39"/>
        <v>16507</v>
      </c>
      <c r="J294" s="104">
        <f>+ SUMIF('Doanh thu'!A:A, C294,'Doanh thu'!F:F)</f>
        <v>0</v>
      </c>
      <c r="K294" s="100">
        <f>SUMIF('Xuất kho'!D:D, C294,'Xuất kho'!K:K)</f>
        <v>16507</v>
      </c>
      <c r="L294" s="30">
        <f>SUMIF('Xuất kho'!$D$1:$D$2955,C294,'Xuất kho'!$H$1:$H$2955)</f>
        <v>3</v>
      </c>
      <c r="M294" s="30">
        <f>SUMIF('Xuất kho'!$D$8:$D$2955,C294,'Xuất kho'!$I$8:$I$2955)</f>
        <v>2</v>
      </c>
      <c r="N294" s="30">
        <f t="shared" si="44"/>
        <v>1</v>
      </c>
      <c r="O294" s="30">
        <f>SUMIF('Xuất kho'!$D$3:$D$2721,C294,'Xuất kho'!$K$3:$K$2721)</f>
        <v>16507</v>
      </c>
      <c r="P294" s="274"/>
    </row>
    <row r="295" spans="2:16" ht="13.2">
      <c r="B295" s="101">
        <v>212</v>
      </c>
      <c r="C295" s="28" t="s">
        <v>1054</v>
      </c>
      <c r="D295" s="28" t="s">
        <v>1055</v>
      </c>
      <c r="E295" s="101" t="s">
        <v>1037</v>
      </c>
      <c r="F295" s="278">
        <v>1.05</v>
      </c>
      <c r="G295" s="279">
        <f t="shared" si="42"/>
        <v>4685.5</v>
      </c>
      <c r="H295" s="100">
        <v>9800</v>
      </c>
      <c r="I295" s="280">
        <f t="shared" si="39"/>
        <v>18800</v>
      </c>
      <c r="J295" s="104">
        <f>+ SUMIF('Doanh thu'!A:A, C295,'Doanh thu'!F:F)</f>
        <v>9800</v>
      </c>
      <c r="K295" s="100">
        <f>SUMIF('Xuất kho'!D:D, C295,'Xuất kho'!K:K)</f>
        <v>9000</v>
      </c>
      <c r="L295" s="30">
        <f>SUMIF('Xuất kho'!$D$1:$D$2955,C295,'Xuất kho'!$H$1:$H$2955)</f>
        <v>3</v>
      </c>
      <c r="M295" s="30">
        <f>SUMIF('Xuất kho'!$D$8:$D$2955,C295,'Xuất kho'!$I$8:$I$2955)</f>
        <v>2</v>
      </c>
      <c r="N295" s="30">
        <f t="shared" si="44"/>
        <v>1</v>
      </c>
      <c r="O295" s="30">
        <f>SUMIF('Xuất kho'!$D$3:$D$2721,C295,'Xuất kho'!$K$3:$K$2721)</f>
        <v>9000</v>
      </c>
      <c r="P295" s="274"/>
    </row>
    <row r="296" spans="2:16" ht="13.2">
      <c r="B296" s="101">
        <v>213</v>
      </c>
      <c r="C296" s="28" t="s">
        <v>1056</v>
      </c>
      <c r="D296" s="28" t="s">
        <v>1057</v>
      </c>
      <c r="E296" s="101" t="s">
        <v>1037</v>
      </c>
      <c r="F296" s="278">
        <v>1</v>
      </c>
      <c r="G296" s="279">
        <f t="shared" si="42"/>
        <v>4510</v>
      </c>
      <c r="H296" s="100">
        <v>9400</v>
      </c>
      <c r="I296" s="280">
        <f t="shared" si="39"/>
        <v>45600</v>
      </c>
      <c r="J296" s="104">
        <f>+ SUMIF('Doanh thu'!A:A, C296,'Doanh thu'!F:F)</f>
        <v>37600</v>
      </c>
      <c r="K296" s="100">
        <f>SUMIF('Xuất kho'!D:D, C296,'Xuất kho'!K:K)</f>
        <v>8000</v>
      </c>
      <c r="L296" s="30">
        <f>SUMIF('Xuất kho'!$D$1:$D$2955,C296,'Xuất kho'!$H$1:$H$2955)</f>
        <v>5</v>
      </c>
      <c r="M296" s="30">
        <f>SUMIF('Xuất kho'!$D$8:$D$2955,C296,'Xuất kho'!$I$8:$I$2955)</f>
        <v>1</v>
      </c>
      <c r="N296" s="30">
        <f t="shared" si="44"/>
        <v>4</v>
      </c>
      <c r="O296" s="30">
        <f>SUMIF('Xuất kho'!$D$3:$D$2721,C296,'Xuất kho'!$K$3:$K$2721)</f>
        <v>8000</v>
      </c>
      <c r="P296" s="274"/>
    </row>
    <row r="297" spans="2:16" ht="13.2">
      <c r="B297" s="101">
        <v>214</v>
      </c>
      <c r="C297" s="28" t="s">
        <v>1058</v>
      </c>
      <c r="D297" s="28" t="s">
        <v>1059</v>
      </c>
      <c r="E297" s="101" t="s">
        <v>1037</v>
      </c>
      <c r="F297" s="278">
        <v>1</v>
      </c>
      <c r="G297" s="279">
        <f t="shared" si="42"/>
        <v>4510</v>
      </c>
      <c r="H297" s="100">
        <v>9400</v>
      </c>
      <c r="I297" s="280">
        <f t="shared" si="39"/>
        <v>18800</v>
      </c>
      <c r="J297" s="104">
        <f>+ SUMIF('Doanh thu'!A:A, C297,'Doanh thu'!F:F)</f>
        <v>18800</v>
      </c>
      <c r="K297" s="100">
        <f>SUMIF('Xuất kho'!D:D, C297,'Xuất kho'!K:K)</f>
        <v>0</v>
      </c>
      <c r="L297" s="30">
        <f>SUMIF('Xuất kho'!$D$1:$D$2955,C297,'Xuất kho'!$H$1:$H$2955)</f>
        <v>3</v>
      </c>
      <c r="M297" s="30">
        <f>SUMIF('Xuất kho'!$D$8:$D$2955,C297,'Xuất kho'!$I$8:$I$2955)</f>
        <v>0</v>
      </c>
      <c r="N297" s="30">
        <f t="shared" si="44"/>
        <v>3</v>
      </c>
      <c r="O297" s="30">
        <f>SUMIF('Xuất kho'!$D$3:$D$2721,C297,'Xuất kho'!$K$3:$K$2721)</f>
        <v>0</v>
      </c>
      <c r="P297" s="274"/>
    </row>
    <row r="298" spans="2:16" ht="13.2">
      <c r="B298" s="101">
        <v>215</v>
      </c>
      <c r="C298" s="28" t="s">
        <v>1060</v>
      </c>
      <c r="D298" s="28" t="s">
        <v>1061</v>
      </c>
      <c r="E298" s="101" t="s">
        <v>1037</v>
      </c>
      <c r="F298" s="278">
        <v>1</v>
      </c>
      <c r="G298" s="279">
        <f t="shared" si="42"/>
        <v>4510</v>
      </c>
      <c r="H298" s="100">
        <v>9400</v>
      </c>
      <c r="I298" s="280">
        <f t="shared" si="39"/>
        <v>45600</v>
      </c>
      <c r="J298" s="104">
        <f>+ SUMIF('Doanh thu'!A:A, C298,'Doanh thu'!F:F)</f>
        <v>28200</v>
      </c>
      <c r="K298" s="100">
        <f>SUMIF('Xuất kho'!D:D, C298,'Xuất kho'!K:K)</f>
        <v>17400</v>
      </c>
      <c r="L298" s="30">
        <f>SUMIF('Xuất kho'!$D$1:$D$2955,C298,'Xuất kho'!$H$1:$H$2955)</f>
        <v>5</v>
      </c>
      <c r="M298" s="30">
        <f>SUMIF('Xuất kho'!$D$8:$D$2955,C298,'Xuất kho'!$I$8:$I$2955)</f>
        <v>2</v>
      </c>
      <c r="N298" s="30">
        <f t="shared" si="44"/>
        <v>3</v>
      </c>
      <c r="O298" s="30">
        <f>SUMIF('Xuất kho'!$D$3:$D$2721,C298,'Xuất kho'!$K$3:$K$2721)</f>
        <v>17400</v>
      </c>
      <c r="P298" s="274"/>
    </row>
    <row r="299" spans="2:16" ht="13.2">
      <c r="B299" s="101">
        <v>216</v>
      </c>
      <c r="C299" s="28" t="s">
        <v>1062</v>
      </c>
      <c r="D299" s="28" t="s">
        <v>1063</v>
      </c>
      <c r="E299" s="101" t="s">
        <v>1037</v>
      </c>
      <c r="F299" s="278">
        <v>1</v>
      </c>
      <c r="G299" s="279">
        <f t="shared" si="42"/>
        <v>4510</v>
      </c>
      <c r="H299" s="100">
        <v>9400</v>
      </c>
      <c r="I299" s="280">
        <f t="shared" si="39"/>
        <v>40000</v>
      </c>
      <c r="J299" s="104">
        <f>+ SUMIF('Doanh thu'!A:A, C299,'Doanh thu'!F:F)</f>
        <v>0</v>
      </c>
      <c r="K299" s="100">
        <f>SUMIF('Xuất kho'!D:D, C299,'Xuất kho'!K:K)</f>
        <v>40000</v>
      </c>
      <c r="L299" s="30">
        <f>SUMIF('Xuất kho'!$D$1:$D$2955,C299,'Xuất kho'!$H$1:$H$2955)</f>
        <v>5</v>
      </c>
      <c r="M299" s="30">
        <f>SUMIF('Xuất kho'!$D$8:$D$2955,C299,'Xuất kho'!$I$8:$I$2955)</f>
        <v>5</v>
      </c>
      <c r="N299" s="30">
        <f t="shared" si="44"/>
        <v>0</v>
      </c>
      <c r="O299" s="30">
        <f>SUMIF('Xuất kho'!$D$3:$D$2721,C299,'Xuất kho'!$K$3:$K$2721)</f>
        <v>40000</v>
      </c>
      <c r="P299" s="274"/>
    </row>
    <row r="300" spans="2:16" ht="13.2">
      <c r="B300" s="101">
        <v>217</v>
      </c>
      <c r="C300" s="28" t="s">
        <v>1064</v>
      </c>
      <c r="D300" s="28" t="s">
        <v>1065</v>
      </c>
      <c r="E300" s="101" t="s">
        <v>1037</v>
      </c>
      <c r="F300" s="278">
        <v>0.89</v>
      </c>
      <c r="G300" s="279">
        <f t="shared" si="42"/>
        <v>4123.8999999999996</v>
      </c>
      <c r="H300" s="93">
        <f t="shared" ref="H300:H321" si="45">G300*2</f>
        <v>8247.7999999999993</v>
      </c>
      <c r="I300" s="280">
        <f t="shared" si="39"/>
        <v>39600</v>
      </c>
      <c r="J300" s="104">
        <f>+ SUMIF('Doanh thu'!A:A, C300,'Doanh thu'!F:F)</f>
        <v>39600</v>
      </c>
      <c r="K300" s="100">
        <f>SUMIF('Xuất kho'!D:D, C300,'Xuất kho'!K:K)</f>
        <v>0</v>
      </c>
      <c r="L300" s="30">
        <f>SUMIF('Xuất kho'!$D$1:$D$2955,C300,'Xuất kho'!$H$1:$H$2955)</f>
        <v>6</v>
      </c>
      <c r="M300" s="30">
        <f>SUMIF('Xuất kho'!$D$8:$D$2955,C300,'Xuất kho'!$I$8:$I$2955)</f>
        <v>0</v>
      </c>
      <c r="N300" s="30">
        <f t="shared" si="44"/>
        <v>6</v>
      </c>
      <c r="O300" s="30">
        <f>SUMIF('Xuất kho'!$D$3:$D$2721,C300,'Xuất kho'!$K$3:$K$2721)</f>
        <v>0</v>
      </c>
      <c r="P300" s="274"/>
    </row>
    <row r="301" spans="2:16" ht="13.2">
      <c r="B301" s="101">
        <v>218</v>
      </c>
      <c r="C301" s="28" t="s">
        <v>1066</v>
      </c>
      <c r="D301" s="28" t="s">
        <v>1067</v>
      </c>
      <c r="E301" s="101" t="s">
        <v>1037</v>
      </c>
      <c r="F301" s="278">
        <v>0.89</v>
      </c>
      <c r="G301" s="279">
        <f t="shared" si="42"/>
        <v>4123.8999999999996</v>
      </c>
      <c r="H301" s="93">
        <f t="shared" si="45"/>
        <v>8247.7999999999993</v>
      </c>
      <c r="I301" s="280">
        <f t="shared" si="39"/>
        <v>37947.800000000003</v>
      </c>
      <c r="J301" s="104">
        <f>+ SUMIF('Doanh thu'!A:A, C301,'Doanh thu'!F:F)</f>
        <v>37947.800000000003</v>
      </c>
      <c r="K301" s="100">
        <f>SUMIF('Xuất kho'!D:D, C301,'Xuất kho'!K:K)</f>
        <v>0</v>
      </c>
      <c r="L301" s="30">
        <f>SUMIF('Xuất kho'!$D$1:$D$2955,C301,'Xuất kho'!$H$1:$H$2955)</f>
        <v>6</v>
      </c>
      <c r="M301" s="30">
        <f>SUMIF('Xuất kho'!$D$8:$D$2955,C301,'Xuất kho'!$I$8:$I$2955)</f>
        <v>0</v>
      </c>
      <c r="N301" s="30">
        <f t="shared" si="44"/>
        <v>6</v>
      </c>
      <c r="O301" s="30">
        <f>SUMIF('Xuất kho'!$D$3:$D$2721,C301,'Xuất kho'!$K$3:$K$2721)</f>
        <v>0</v>
      </c>
      <c r="P301" s="274"/>
    </row>
    <row r="302" spans="2:16" ht="13.2">
      <c r="B302" s="101">
        <v>219</v>
      </c>
      <c r="C302" s="28" t="s">
        <v>1068</v>
      </c>
      <c r="D302" s="28" t="s">
        <v>1069</v>
      </c>
      <c r="E302" s="101" t="s">
        <v>1037</v>
      </c>
      <c r="F302" s="278">
        <v>0.89</v>
      </c>
      <c r="G302" s="279">
        <f t="shared" si="42"/>
        <v>4123.8999999999996</v>
      </c>
      <c r="H302" s="93">
        <f t="shared" si="45"/>
        <v>8247.7999999999993</v>
      </c>
      <c r="I302" s="280">
        <f t="shared" si="39"/>
        <v>30456</v>
      </c>
      <c r="J302" s="104">
        <f>+ SUMIF('Doanh thu'!A:A, C302,'Doanh thu'!F:F)</f>
        <v>9900</v>
      </c>
      <c r="K302" s="100">
        <f>SUMIF('Xuất kho'!D:D, C302,'Xuất kho'!K:K)</f>
        <v>20556</v>
      </c>
      <c r="L302" s="30">
        <f>SUMIF('Xuất kho'!$D$1:$D$2955,C302,'Xuất kho'!$H$1:$H$2955)</f>
        <v>6</v>
      </c>
      <c r="M302" s="30">
        <f>SUMIF('Xuất kho'!$D$8:$D$2955,C302,'Xuất kho'!$I$8:$I$2955)</f>
        <v>2</v>
      </c>
      <c r="N302" s="30">
        <f t="shared" si="44"/>
        <v>4</v>
      </c>
      <c r="O302" s="30">
        <f>SUMIF('Xuất kho'!$D$3:$D$2721,C302,'Xuất kho'!$K$3:$K$2721)</f>
        <v>20556</v>
      </c>
      <c r="P302" s="274"/>
    </row>
    <row r="303" spans="2:16" ht="13.2">
      <c r="B303" s="101">
        <v>220</v>
      </c>
      <c r="C303" s="28" t="s">
        <v>1070</v>
      </c>
      <c r="D303" s="28" t="s">
        <v>1071</v>
      </c>
      <c r="E303" s="101" t="s">
        <v>1037</v>
      </c>
      <c r="F303" s="278">
        <v>0.89</v>
      </c>
      <c r="G303" s="279">
        <f t="shared" si="42"/>
        <v>4123.8999999999996</v>
      </c>
      <c r="H303" s="93">
        <f t="shared" si="45"/>
        <v>8247.7999999999993</v>
      </c>
      <c r="I303" s="280">
        <f t="shared" si="39"/>
        <v>36295.599999999999</v>
      </c>
      <c r="J303" s="104">
        <f>+ SUMIF('Doanh thu'!A:A, C303,'Doanh thu'!F:F)</f>
        <v>26395.599999999999</v>
      </c>
      <c r="K303" s="100">
        <f>SUMIF('Xuất kho'!D:D, C303,'Xuất kho'!K:K)</f>
        <v>9900</v>
      </c>
      <c r="L303" s="30">
        <f>SUMIF('Xuất kho'!$D$1:$D$2955,C303,'Xuất kho'!$H$1:$H$2955)</f>
        <v>6</v>
      </c>
      <c r="M303" s="30">
        <f>SUMIF('Xuất kho'!$D$8:$D$2955,C303,'Xuất kho'!$I$8:$I$2955)</f>
        <v>1</v>
      </c>
      <c r="N303" s="30">
        <f t="shared" si="44"/>
        <v>5</v>
      </c>
      <c r="O303" s="30">
        <f>SUMIF('Xuất kho'!$D$3:$D$2721,C303,'Xuất kho'!$K$3:$K$2721)</f>
        <v>9900</v>
      </c>
      <c r="P303" s="274"/>
    </row>
    <row r="304" spans="2:16" ht="13.2">
      <c r="B304" s="101">
        <v>221</v>
      </c>
      <c r="C304" s="28" t="s">
        <v>1072</v>
      </c>
      <c r="D304" s="28" t="s">
        <v>1073</v>
      </c>
      <c r="E304" s="101" t="s">
        <v>1037</v>
      </c>
      <c r="F304" s="278">
        <v>0.89</v>
      </c>
      <c r="G304" s="279">
        <f t="shared" si="42"/>
        <v>4123.8999999999996</v>
      </c>
      <c r="H304" s="93">
        <f t="shared" si="45"/>
        <v>8247.7999999999993</v>
      </c>
      <c r="I304" s="280">
        <f t="shared" si="39"/>
        <v>26236</v>
      </c>
      <c r="J304" s="104">
        <f>+ SUMIF('Doanh thu'!A:A, C304,'Doanh thu'!F:F)</f>
        <v>9900</v>
      </c>
      <c r="K304" s="100">
        <f>SUMIF('Xuất kho'!D:D, C304,'Xuất kho'!K:K)</f>
        <v>16336</v>
      </c>
      <c r="L304" s="30">
        <f>SUMIF('Xuất kho'!$D$1:$D$2955,C304,'Xuất kho'!$H$1:$H$2955)</f>
        <v>6</v>
      </c>
      <c r="M304" s="30">
        <f>SUMIF('Xuất kho'!$D$8:$D$2955,C304,'Xuất kho'!$I$8:$I$2955)</f>
        <v>2</v>
      </c>
      <c r="N304" s="30">
        <f t="shared" si="44"/>
        <v>4</v>
      </c>
      <c r="O304" s="30">
        <f>SUMIF('Xuất kho'!$D$3:$D$2721,C304,'Xuất kho'!$K$3:$K$2721)</f>
        <v>16336</v>
      </c>
      <c r="P304" s="274"/>
    </row>
    <row r="305" spans="2:16" ht="13.2">
      <c r="B305" s="101">
        <v>222</v>
      </c>
      <c r="C305" s="28" t="s">
        <v>1074</v>
      </c>
      <c r="D305" s="28" t="s">
        <v>1075</v>
      </c>
      <c r="E305" s="101" t="s">
        <v>1037</v>
      </c>
      <c r="F305" s="278">
        <v>0.8</v>
      </c>
      <c r="G305" s="279">
        <f t="shared" si="42"/>
        <v>3808</v>
      </c>
      <c r="H305" s="93">
        <f t="shared" si="45"/>
        <v>7616</v>
      </c>
      <c r="I305" s="280">
        <f t="shared" si="39"/>
        <v>19800</v>
      </c>
      <c r="J305" s="104">
        <f>+ SUMIF('Doanh thu'!A:A, C305,'Doanh thu'!F:F)</f>
        <v>19800</v>
      </c>
      <c r="K305" s="100">
        <f>SUMIF('Xuất kho'!D:D, C305,'Xuất kho'!K:K)</f>
        <v>0</v>
      </c>
      <c r="L305" s="30">
        <f>SUMIF('Xuất kho'!$D$1:$D$2955,C305,'Xuất kho'!$H$1:$H$2955)</f>
        <v>4</v>
      </c>
      <c r="M305" s="30">
        <f>SUMIF('Xuất kho'!$D$8:$D$2955,C305,'Xuất kho'!$I$8:$I$2955)</f>
        <v>0</v>
      </c>
      <c r="N305" s="30">
        <f t="shared" si="44"/>
        <v>4</v>
      </c>
      <c r="O305" s="30">
        <f>SUMIF('Xuất kho'!$D$3:$D$2721,C305,'Xuất kho'!$K$3:$K$2721)</f>
        <v>0</v>
      </c>
      <c r="P305" s="274"/>
    </row>
    <row r="306" spans="2:16" ht="13.2">
      <c r="B306" s="101">
        <v>223</v>
      </c>
      <c r="C306" s="28" t="s">
        <v>1076</v>
      </c>
      <c r="D306" s="28" t="s">
        <v>1077</v>
      </c>
      <c r="E306" s="101" t="s">
        <v>1037</v>
      </c>
      <c r="F306" s="278">
        <v>0.8</v>
      </c>
      <c r="G306" s="279">
        <f t="shared" si="42"/>
        <v>3808</v>
      </c>
      <c r="H306" s="93">
        <f t="shared" si="45"/>
        <v>7616</v>
      </c>
      <c r="I306" s="280">
        <f t="shared" si="39"/>
        <v>57533</v>
      </c>
      <c r="J306" s="104">
        <f>+ SUMIF('Doanh thu'!A:A, C306,'Doanh thu'!F:F)</f>
        <v>9900</v>
      </c>
      <c r="K306" s="100">
        <f>SUMIF('Xuất kho'!D:D, C306,'Xuất kho'!K:K)</f>
        <v>47633</v>
      </c>
      <c r="L306" s="30">
        <f>SUMIF('Xuất kho'!$D$1:$D$2955,C306,'Xuất kho'!$H$1:$H$2955)</f>
        <v>4</v>
      </c>
      <c r="M306" s="30">
        <f>SUMIF('Xuất kho'!$D$8:$D$2955,C306,'Xuất kho'!$I$8:$I$2955)</f>
        <v>2</v>
      </c>
      <c r="N306" s="30">
        <f t="shared" si="44"/>
        <v>2</v>
      </c>
      <c r="O306" s="30">
        <f>SUMIF('Xuất kho'!$D$3:$D$2721,C306,'Xuất kho'!$K$3:$K$2721)</f>
        <v>47633</v>
      </c>
      <c r="P306" s="274"/>
    </row>
    <row r="307" spans="2:16" ht="13.2">
      <c r="B307" s="101">
        <v>224</v>
      </c>
      <c r="C307" s="28" t="s">
        <v>1078</v>
      </c>
      <c r="D307" s="28" t="s">
        <v>1079</v>
      </c>
      <c r="E307" s="101" t="s">
        <v>1037</v>
      </c>
      <c r="F307" s="278">
        <v>0.8</v>
      </c>
      <c r="G307" s="279">
        <f t="shared" si="42"/>
        <v>3808</v>
      </c>
      <c r="H307" s="93">
        <f t="shared" si="45"/>
        <v>7616</v>
      </c>
      <c r="I307" s="280">
        <f t="shared" si="39"/>
        <v>8264</v>
      </c>
      <c r="J307" s="104">
        <f>+ SUMIF('Doanh thu'!A:A, C307,'Doanh thu'!F:F)</f>
        <v>0</v>
      </c>
      <c r="K307" s="100">
        <f>SUMIF('Xuất kho'!D:D, C307,'Xuất kho'!K:K)</f>
        <v>8264</v>
      </c>
      <c r="L307" s="30">
        <f>SUMIF('Xuất kho'!$D$1:$D$2955,C307,'Xuất kho'!$H$1:$H$2955)</f>
        <v>4</v>
      </c>
      <c r="M307" s="30">
        <f>SUMIF('Xuất kho'!$D$8:$D$2955,C307,'Xuất kho'!$I$8:$I$2955)</f>
        <v>2</v>
      </c>
      <c r="N307" s="30">
        <f t="shared" si="44"/>
        <v>2</v>
      </c>
      <c r="O307" s="30">
        <f>SUMIF('Xuất kho'!$D$3:$D$2721,C307,'Xuất kho'!$K$3:$K$2721)</f>
        <v>8264</v>
      </c>
      <c r="P307" s="274"/>
    </row>
    <row r="308" spans="2:16" ht="13.2">
      <c r="B308" s="101">
        <v>225</v>
      </c>
      <c r="C308" s="28" t="s">
        <v>1080</v>
      </c>
      <c r="D308" s="28" t="s">
        <v>1081</v>
      </c>
      <c r="E308" s="101" t="s">
        <v>1037</v>
      </c>
      <c r="F308" s="278">
        <v>0.8</v>
      </c>
      <c r="G308" s="279">
        <f t="shared" si="42"/>
        <v>3808</v>
      </c>
      <c r="H308" s="93">
        <f t="shared" si="45"/>
        <v>7616</v>
      </c>
      <c r="I308" s="280">
        <f t="shared" si="39"/>
        <v>19800</v>
      </c>
      <c r="J308" s="104">
        <f>+ SUMIF('Doanh thu'!A:A, C308,'Doanh thu'!F:F)</f>
        <v>19800</v>
      </c>
      <c r="K308" s="100">
        <f>SUMIF('Xuất kho'!D:D, C308,'Xuất kho'!K:K)</f>
        <v>0</v>
      </c>
      <c r="L308" s="30">
        <f>SUMIF('Xuất kho'!$D$1:$D$2955,C308,'Xuất kho'!$H$1:$H$2955)</f>
        <v>4</v>
      </c>
      <c r="M308" s="30">
        <f>SUMIF('Xuất kho'!$D$8:$D$2955,C308,'Xuất kho'!$I$8:$I$2955)</f>
        <v>0</v>
      </c>
      <c r="N308" s="30">
        <f t="shared" si="44"/>
        <v>4</v>
      </c>
      <c r="O308" s="30">
        <f>SUMIF('Xuất kho'!$D$3:$D$2721,C308,'Xuất kho'!$K$3:$K$2721)</f>
        <v>0</v>
      </c>
      <c r="P308" s="274"/>
    </row>
    <row r="309" spans="2:16" ht="13.2">
      <c r="B309" s="101">
        <v>226</v>
      </c>
      <c r="C309" s="28" t="s">
        <v>1082</v>
      </c>
      <c r="D309" s="28" t="s">
        <v>1083</v>
      </c>
      <c r="E309" s="101" t="s">
        <v>1037</v>
      </c>
      <c r="F309" s="278">
        <v>0.8</v>
      </c>
      <c r="G309" s="279">
        <f t="shared" si="42"/>
        <v>3808</v>
      </c>
      <c r="H309" s="93">
        <f t="shared" si="45"/>
        <v>7616</v>
      </c>
      <c r="I309" s="280">
        <f t="shared" si="39"/>
        <v>19800</v>
      </c>
      <c r="J309" s="104">
        <f>+ SUMIF('Doanh thu'!A:A, C309,'Doanh thu'!F:F)</f>
        <v>19800</v>
      </c>
      <c r="K309" s="100">
        <f>SUMIF('Xuất kho'!D:D, C309,'Xuất kho'!K:K)</f>
        <v>0</v>
      </c>
      <c r="L309" s="30">
        <f>SUMIF('Xuất kho'!$D$1:$D$2955,C309,'Xuất kho'!$H$1:$H$2955)</f>
        <v>4</v>
      </c>
      <c r="M309" s="30">
        <f>SUMIF('Xuất kho'!$D$8:$D$2955,C309,'Xuất kho'!$I$8:$I$2955)</f>
        <v>0</v>
      </c>
      <c r="N309" s="30">
        <f t="shared" si="44"/>
        <v>4</v>
      </c>
      <c r="O309" s="30">
        <f>SUMIF('Xuất kho'!$D$3:$D$2721,C309,'Xuất kho'!$K$3:$K$2721)</f>
        <v>0</v>
      </c>
      <c r="P309" s="274"/>
    </row>
    <row r="310" spans="2:16" ht="13.2">
      <c r="B310" s="101">
        <v>227</v>
      </c>
      <c r="C310" s="28" t="s">
        <v>1084</v>
      </c>
      <c r="D310" s="28" t="s">
        <v>1085</v>
      </c>
      <c r="E310" s="101" t="s">
        <v>1037</v>
      </c>
      <c r="F310" s="278">
        <v>0.85</v>
      </c>
      <c r="G310" s="279">
        <f t="shared" si="42"/>
        <v>3983.5</v>
      </c>
      <c r="H310" s="93">
        <f t="shared" si="45"/>
        <v>7967</v>
      </c>
      <c r="I310" s="280">
        <f t="shared" si="39"/>
        <v>9900</v>
      </c>
      <c r="J310" s="104">
        <f>+ SUMIF('Doanh thu'!A:A, C310,'Doanh thu'!F:F)</f>
        <v>9900</v>
      </c>
      <c r="K310" s="100">
        <f>SUMIF('Xuất kho'!D:D, C310,'Xuất kho'!K:K)</f>
        <v>0</v>
      </c>
      <c r="L310" s="30">
        <f>SUMIF('Xuất kho'!$D$1:$D$2955,C310,'Xuất kho'!$H$1:$H$2955)</f>
        <v>4</v>
      </c>
      <c r="M310" s="30">
        <f>SUMIF('Xuất kho'!$D$8:$D$2955,C310,'Xuất kho'!$I$8:$I$2955)</f>
        <v>0</v>
      </c>
      <c r="N310" s="30">
        <f t="shared" si="44"/>
        <v>4</v>
      </c>
      <c r="O310" s="30">
        <f>SUMIF('Xuất kho'!$D$3:$D$2721,C310,'Xuất kho'!$K$3:$K$2721)</f>
        <v>0</v>
      </c>
      <c r="P310" s="274"/>
    </row>
    <row r="311" spans="2:16" ht="13.2">
      <c r="B311" s="101">
        <v>228</v>
      </c>
      <c r="C311" s="28" t="s">
        <v>1086</v>
      </c>
      <c r="D311" s="28" t="s">
        <v>1087</v>
      </c>
      <c r="E311" s="101" t="s">
        <v>1037</v>
      </c>
      <c r="F311" s="278">
        <v>0.85</v>
      </c>
      <c r="G311" s="279">
        <f t="shared" si="42"/>
        <v>3983.5</v>
      </c>
      <c r="H311" s="93">
        <f t="shared" si="45"/>
        <v>7967</v>
      </c>
      <c r="I311" s="280">
        <f t="shared" si="39"/>
        <v>9900</v>
      </c>
      <c r="J311" s="104">
        <f>+ SUMIF('Doanh thu'!A:A, C311,'Doanh thu'!F:F)</f>
        <v>9900</v>
      </c>
      <c r="K311" s="100">
        <f>SUMIF('Xuất kho'!D:D, C311,'Xuất kho'!K:K)</f>
        <v>0</v>
      </c>
      <c r="L311" s="30">
        <f>SUMIF('Xuất kho'!$D$1:$D$2955,C311,'Xuất kho'!$H$1:$H$2955)</f>
        <v>4</v>
      </c>
      <c r="M311" s="30">
        <f>SUMIF('Xuất kho'!$D$8:$D$2955,C311,'Xuất kho'!$I$8:$I$2955)</f>
        <v>0</v>
      </c>
      <c r="N311" s="30">
        <f t="shared" si="44"/>
        <v>4</v>
      </c>
      <c r="O311" s="30">
        <f>SUMIF('Xuất kho'!$D$3:$D$2721,C311,'Xuất kho'!$K$3:$K$2721)</f>
        <v>0</v>
      </c>
      <c r="P311" s="274"/>
    </row>
    <row r="312" spans="2:16" ht="13.2">
      <c r="B312" s="101">
        <v>229</v>
      </c>
      <c r="C312" s="28" t="s">
        <v>1088</v>
      </c>
      <c r="D312" s="28" t="s">
        <v>1089</v>
      </c>
      <c r="E312" s="101" t="s">
        <v>1037</v>
      </c>
      <c r="F312" s="278">
        <v>0.85</v>
      </c>
      <c r="G312" s="279">
        <f t="shared" si="42"/>
        <v>3983.5</v>
      </c>
      <c r="H312" s="93">
        <f t="shared" si="45"/>
        <v>7967</v>
      </c>
      <c r="I312" s="280">
        <f t="shared" si="39"/>
        <v>9900</v>
      </c>
      <c r="J312" s="104">
        <f>+ SUMIF('Doanh thu'!A:A, C312,'Doanh thu'!F:F)</f>
        <v>9900</v>
      </c>
      <c r="K312" s="100">
        <f>SUMIF('Xuất kho'!D:D, C312,'Xuất kho'!K:K)</f>
        <v>0</v>
      </c>
      <c r="L312" s="30">
        <f>SUMIF('Xuất kho'!$D$1:$D$2955,C312,'Xuất kho'!$H$1:$H$2955)</f>
        <v>4</v>
      </c>
      <c r="M312" s="30">
        <f>SUMIF('Xuất kho'!$D$8:$D$2955,C312,'Xuất kho'!$I$8:$I$2955)</f>
        <v>0</v>
      </c>
      <c r="N312" s="30">
        <f t="shared" si="44"/>
        <v>4</v>
      </c>
      <c r="O312" s="30">
        <f>SUMIF('Xuất kho'!$D$3:$D$2721,C312,'Xuất kho'!$K$3:$K$2721)</f>
        <v>0</v>
      </c>
      <c r="P312" s="274"/>
    </row>
    <row r="313" spans="2:16" ht="13.2">
      <c r="B313" s="101">
        <v>230</v>
      </c>
      <c r="C313" s="28" t="s">
        <v>1090</v>
      </c>
      <c r="D313" s="28" t="s">
        <v>1091</v>
      </c>
      <c r="E313" s="101" t="s">
        <v>1037</v>
      </c>
      <c r="F313" s="278">
        <v>0.85</v>
      </c>
      <c r="G313" s="279">
        <f t="shared" si="42"/>
        <v>3983.5</v>
      </c>
      <c r="H313" s="93">
        <f t="shared" si="45"/>
        <v>7967</v>
      </c>
      <c r="I313" s="280">
        <f t="shared" si="39"/>
        <v>9900</v>
      </c>
      <c r="J313" s="104">
        <f>+ SUMIF('Doanh thu'!A:A, C313,'Doanh thu'!F:F)</f>
        <v>9900</v>
      </c>
      <c r="K313" s="100">
        <f>SUMIF('Xuất kho'!D:D, C313,'Xuất kho'!K:K)</f>
        <v>0</v>
      </c>
      <c r="L313" s="30">
        <f>SUMIF('Xuất kho'!$D$1:$D$2955,C313,'Xuất kho'!$H$1:$H$2955)</f>
        <v>4</v>
      </c>
      <c r="M313" s="30">
        <f>SUMIF('Xuất kho'!$D$8:$D$2955,C313,'Xuất kho'!$I$8:$I$2955)</f>
        <v>0</v>
      </c>
      <c r="N313" s="30">
        <f t="shared" si="44"/>
        <v>4</v>
      </c>
      <c r="O313" s="30">
        <f>SUMIF('Xuất kho'!$D$3:$D$2721,C313,'Xuất kho'!$K$3:$K$2721)</f>
        <v>0</v>
      </c>
      <c r="P313" s="274"/>
    </row>
    <row r="314" spans="2:16" ht="13.2">
      <c r="B314" s="101">
        <v>231</v>
      </c>
      <c r="C314" s="28" t="s">
        <v>1092</v>
      </c>
      <c r="D314" s="28" t="s">
        <v>1093</v>
      </c>
      <c r="E314" s="101" t="s">
        <v>1037</v>
      </c>
      <c r="F314" s="278">
        <v>0.85</v>
      </c>
      <c r="G314" s="279">
        <f t="shared" si="42"/>
        <v>3983.5</v>
      </c>
      <c r="H314" s="93">
        <f t="shared" si="45"/>
        <v>7967</v>
      </c>
      <c r="I314" s="280">
        <f t="shared" si="39"/>
        <v>9900</v>
      </c>
      <c r="J314" s="104">
        <f>+ SUMIF('Doanh thu'!A:A, C314,'Doanh thu'!F:F)</f>
        <v>9900</v>
      </c>
      <c r="K314" s="100">
        <f>SUMIF('Xuất kho'!D:D, C314,'Xuất kho'!K:K)</f>
        <v>0</v>
      </c>
      <c r="L314" s="30">
        <f>SUMIF('Xuất kho'!$D$1:$D$2955,C314,'Xuất kho'!$H$1:$H$2955)</f>
        <v>4</v>
      </c>
      <c r="M314" s="30">
        <f>SUMIF('Xuất kho'!$D$8:$D$2955,C314,'Xuất kho'!$I$8:$I$2955)</f>
        <v>0</v>
      </c>
      <c r="N314" s="30">
        <f t="shared" si="44"/>
        <v>4</v>
      </c>
      <c r="O314" s="30">
        <f>SUMIF('Xuất kho'!$D$3:$D$2721,C314,'Xuất kho'!$K$3:$K$2721)</f>
        <v>0</v>
      </c>
      <c r="P314" s="274"/>
    </row>
    <row r="315" spans="2:16" ht="13.2">
      <c r="B315" s="101">
        <v>232</v>
      </c>
      <c r="C315" s="28" t="s">
        <v>1094</v>
      </c>
      <c r="D315" s="28" t="s">
        <v>1095</v>
      </c>
      <c r="E315" s="101" t="s">
        <v>1037</v>
      </c>
      <c r="F315" s="278">
        <v>1.9</v>
      </c>
      <c r="G315" s="279">
        <f t="shared" si="42"/>
        <v>7669</v>
      </c>
      <c r="H315" s="93">
        <f t="shared" si="45"/>
        <v>15338</v>
      </c>
      <c r="I315" s="280">
        <f t="shared" si="39"/>
        <v>47700</v>
      </c>
      <c r="J315" s="104">
        <f>+ SUMIF('Doanh thu'!A:A, C315,'Doanh thu'!F:F)</f>
        <v>47700</v>
      </c>
      <c r="K315" s="100">
        <f>SUMIF('Xuất kho'!D:D, C315,'Xuất kho'!K:K)</f>
        <v>0</v>
      </c>
      <c r="L315" s="30">
        <f>SUMIF('Xuất kho'!$D$1:$D$2955,C315,'Xuất kho'!$H$1:$H$2955)</f>
        <v>3</v>
      </c>
      <c r="M315" s="30">
        <f>SUMIF('Xuất kho'!$D$8:$D$2955,C315,'Xuất kho'!$I$8:$I$2955)</f>
        <v>0</v>
      </c>
      <c r="N315" s="30">
        <f t="shared" si="44"/>
        <v>3</v>
      </c>
      <c r="O315" s="30">
        <f>SUMIF('Xuất kho'!$D$3:$D$2721,C315,'Xuất kho'!$K$3:$K$2721)</f>
        <v>0</v>
      </c>
      <c r="P315" s="274"/>
    </row>
    <row r="316" spans="2:16" ht="13.2">
      <c r="B316" s="101">
        <v>233</v>
      </c>
      <c r="C316" s="28" t="s">
        <v>1096</v>
      </c>
      <c r="D316" s="28" t="s">
        <v>1097</v>
      </c>
      <c r="E316" s="101" t="s">
        <v>1037</v>
      </c>
      <c r="F316" s="278">
        <v>1.9</v>
      </c>
      <c r="G316" s="279">
        <f t="shared" si="42"/>
        <v>7669</v>
      </c>
      <c r="H316" s="93">
        <f t="shared" si="45"/>
        <v>15338</v>
      </c>
      <c r="I316" s="280">
        <f t="shared" si="39"/>
        <v>31800</v>
      </c>
      <c r="J316" s="104">
        <f>+ SUMIF('Doanh thu'!A:A, C316,'Doanh thu'!F:F)</f>
        <v>31800</v>
      </c>
      <c r="K316" s="100">
        <f>SUMIF('Xuất kho'!D:D, C316,'Xuất kho'!K:K)</f>
        <v>0</v>
      </c>
      <c r="L316" s="30">
        <f>SUMIF('Xuất kho'!$D$1:$D$2955,C316,'Xuất kho'!$H$1:$H$2955)</f>
        <v>3</v>
      </c>
      <c r="M316" s="30">
        <f>SUMIF('Xuất kho'!$D$8:$D$2955,C316,'Xuất kho'!$I$8:$I$2955)</f>
        <v>0</v>
      </c>
      <c r="N316" s="30">
        <f t="shared" si="44"/>
        <v>3</v>
      </c>
      <c r="O316" s="30">
        <f>SUMIF('Xuất kho'!$D$3:$D$2721,C316,'Xuất kho'!$K$3:$K$2721)</f>
        <v>0</v>
      </c>
      <c r="P316" s="274"/>
    </row>
    <row r="317" spans="2:16" ht="13.2">
      <c r="B317" s="101">
        <v>234</v>
      </c>
      <c r="C317" s="28" t="s">
        <v>1098</v>
      </c>
      <c r="D317" s="28" t="s">
        <v>1099</v>
      </c>
      <c r="E317" s="101" t="s">
        <v>1037</v>
      </c>
      <c r="F317" s="278">
        <v>1.9</v>
      </c>
      <c r="G317" s="279">
        <f t="shared" si="42"/>
        <v>7669</v>
      </c>
      <c r="H317" s="93">
        <f t="shared" si="45"/>
        <v>15338</v>
      </c>
      <c r="I317" s="280">
        <f t="shared" si="39"/>
        <v>47700</v>
      </c>
      <c r="J317" s="104">
        <f>+ SUMIF('Doanh thu'!A:A, C317,'Doanh thu'!F:F)</f>
        <v>47700</v>
      </c>
      <c r="K317" s="100">
        <f>SUMIF('Xuất kho'!D:D, C317,'Xuất kho'!K:K)</f>
        <v>0</v>
      </c>
      <c r="L317" s="30">
        <f>SUMIF('Xuất kho'!$D$1:$D$2955,C317,'Xuất kho'!$H$1:$H$2955)</f>
        <v>3</v>
      </c>
      <c r="M317" s="30">
        <f>SUMIF('Xuất kho'!$D$8:$D$2955,C317,'Xuất kho'!$I$8:$I$2955)</f>
        <v>0</v>
      </c>
      <c r="N317" s="30">
        <f t="shared" si="44"/>
        <v>3</v>
      </c>
      <c r="O317" s="30">
        <f>SUMIF('Xuất kho'!$D$3:$D$2721,C317,'Xuất kho'!$K$3:$K$2721)</f>
        <v>0</v>
      </c>
      <c r="P317" s="274"/>
    </row>
    <row r="318" spans="2:16" ht="13.2">
      <c r="B318" s="101">
        <v>235</v>
      </c>
      <c r="C318" s="28" t="s">
        <v>1100</v>
      </c>
      <c r="D318" s="28" t="s">
        <v>1101</v>
      </c>
      <c r="E318" s="101" t="s">
        <v>1037</v>
      </c>
      <c r="F318" s="278">
        <v>1.9</v>
      </c>
      <c r="G318" s="279">
        <f t="shared" si="42"/>
        <v>7669</v>
      </c>
      <c r="H318" s="93">
        <f t="shared" si="45"/>
        <v>15338</v>
      </c>
      <c r="I318" s="280">
        <f t="shared" si="39"/>
        <v>47138</v>
      </c>
      <c r="J318" s="104">
        <f>+ SUMIF('Doanh thu'!A:A, C318,'Doanh thu'!F:F)</f>
        <v>47138</v>
      </c>
      <c r="K318" s="100">
        <f>SUMIF('Xuất kho'!D:D, C318,'Xuất kho'!K:K)</f>
        <v>0</v>
      </c>
      <c r="L318" s="30">
        <f>SUMIF('Xuất kho'!$D$1:$D$2955,C318,'Xuất kho'!$H$1:$H$2955)</f>
        <v>3</v>
      </c>
      <c r="M318" s="30">
        <f>SUMIF('Xuất kho'!$D$8:$D$2955,C318,'Xuất kho'!$I$8:$I$2955)</f>
        <v>0</v>
      </c>
      <c r="N318" s="30">
        <f t="shared" si="44"/>
        <v>3</v>
      </c>
      <c r="O318" s="30">
        <f>SUMIF('Xuất kho'!$D$3:$D$2721,C318,'Xuất kho'!$K$3:$K$2721)</f>
        <v>0</v>
      </c>
      <c r="P318" s="274"/>
    </row>
    <row r="319" spans="2:16" ht="13.2">
      <c r="B319" s="101">
        <v>236</v>
      </c>
      <c r="C319" s="28" t="s">
        <v>1102</v>
      </c>
      <c r="D319" s="28" t="s">
        <v>1103</v>
      </c>
      <c r="E319" s="101" t="s">
        <v>1037</v>
      </c>
      <c r="F319" s="300">
        <f t="shared" ref="F319:F323" si="46">12.4/5</f>
        <v>2.48</v>
      </c>
      <c r="G319" s="279">
        <f t="shared" si="42"/>
        <v>9704.7999999999993</v>
      </c>
      <c r="H319" s="93">
        <f t="shared" si="45"/>
        <v>19409.599999999999</v>
      </c>
      <c r="I319" s="280">
        <f t="shared" si="39"/>
        <v>59400</v>
      </c>
      <c r="J319" s="104">
        <f>+ SUMIF('Doanh thu'!A:A, C319,'Doanh thu'!F:F)</f>
        <v>59400</v>
      </c>
      <c r="K319" s="100">
        <f>SUMIF('Xuất kho'!D:D, C319,'Xuất kho'!K:K)</f>
        <v>0</v>
      </c>
      <c r="L319" s="30">
        <f>SUMIF('Xuất kho'!$D$1:$D$2955,C319,'Xuất kho'!$H$1:$H$2955)</f>
        <v>5</v>
      </c>
      <c r="M319" s="30">
        <f>SUMIF('Xuất kho'!$D$8:$D$2955,C319,'Xuất kho'!$I$8:$I$2955)</f>
        <v>0</v>
      </c>
      <c r="N319" s="30">
        <f t="shared" si="44"/>
        <v>5</v>
      </c>
      <c r="O319" s="30">
        <f>SUMIF('Xuất kho'!$D$3:$D$2721,C319,'Xuất kho'!$K$3:$K$2721)</f>
        <v>0</v>
      </c>
      <c r="P319" s="274"/>
    </row>
    <row r="320" spans="2:16" ht="13.2">
      <c r="B320" s="101">
        <v>237</v>
      </c>
      <c r="C320" s="28" t="s">
        <v>1104</v>
      </c>
      <c r="D320" s="28" t="s">
        <v>1105</v>
      </c>
      <c r="E320" s="101" t="s">
        <v>1037</v>
      </c>
      <c r="F320" s="300">
        <f t="shared" si="46"/>
        <v>2.48</v>
      </c>
      <c r="G320" s="279">
        <f t="shared" si="42"/>
        <v>9704.7999999999993</v>
      </c>
      <c r="H320" s="93">
        <f t="shared" si="45"/>
        <v>19409.599999999999</v>
      </c>
      <c r="I320" s="280">
        <f t="shared" si="39"/>
        <v>99000</v>
      </c>
      <c r="J320" s="104">
        <f>+ SUMIF('Doanh thu'!A:A, C320,'Doanh thu'!F:F)</f>
        <v>79200</v>
      </c>
      <c r="K320" s="100">
        <f>SUMIF('Xuất kho'!D:D, C320,'Xuất kho'!K:K)</f>
        <v>19800</v>
      </c>
      <c r="L320" s="30">
        <f>SUMIF('Xuất kho'!$D$1:$D$2955,C320,'Xuất kho'!$H$1:$H$2955)</f>
        <v>5</v>
      </c>
      <c r="M320" s="30">
        <f>SUMIF('Xuất kho'!$D$8:$D$2955,C320,'Xuất kho'!$I$8:$I$2955)</f>
        <v>1</v>
      </c>
      <c r="N320" s="30">
        <f t="shared" si="44"/>
        <v>4</v>
      </c>
      <c r="O320" s="30">
        <f>SUMIF('Xuất kho'!$D$3:$D$2721,C320,'Xuất kho'!$K$3:$K$2721)</f>
        <v>19800</v>
      </c>
      <c r="P320" s="274"/>
    </row>
    <row r="321" spans="2:16" ht="13.2">
      <c r="B321" s="101">
        <v>238</v>
      </c>
      <c r="C321" s="28" t="s">
        <v>1106</v>
      </c>
      <c r="D321" s="28" t="s">
        <v>1107</v>
      </c>
      <c r="E321" s="101" t="s">
        <v>1037</v>
      </c>
      <c r="F321" s="300">
        <f t="shared" si="46"/>
        <v>2.48</v>
      </c>
      <c r="G321" s="279">
        <f t="shared" si="42"/>
        <v>9704.7999999999993</v>
      </c>
      <c r="H321" s="93">
        <f t="shared" si="45"/>
        <v>19409.599999999999</v>
      </c>
      <c r="I321" s="280">
        <f t="shared" si="39"/>
        <v>99000</v>
      </c>
      <c r="J321" s="104">
        <f>+ SUMIF('Doanh thu'!A:A, C321,'Doanh thu'!F:F)</f>
        <v>99000</v>
      </c>
      <c r="K321" s="100">
        <f>SUMIF('Xuất kho'!D:D, C321,'Xuất kho'!K:K)</f>
        <v>0</v>
      </c>
      <c r="L321" s="30">
        <f>SUMIF('Xuất kho'!$D$1:$D$2955,C321,'Xuất kho'!$H$1:$H$2955)</f>
        <v>5</v>
      </c>
      <c r="M321" s="30">
        <f>SUMIF('Xuất kho'!$D$8:$D$2955,C321,'Xuất kho'!$I$8:$I$2955)</f>
        <v>0</v>
      </c>
      <c r="N321" s="30">
        <f t="shared" si="44"/>
        <v>5</v>
      </c>
      <c r="O321" s="30">
        <f>SUMIF('Xuất kho'!$D$3:$D$2721,C321,'Xuất kho'!$K$3:$K$2721)</f>
        <v>0</v>
      </c>
      <c r="P321" s="274"/>
    </row>
    <row r="322" spans="2:16" ht="13.2">
      <c r="B322" s="101">
        <v>239</v>
      </c>
      <c r="C322" s="28" t="s">
        <v>1108</v>
      </c>
      <c r="D322" s="28" t="s">
        <v>1099</v>
      </c>
      <c r="E322" s="101" t="s">
        <v>1037</v>
      </c>
      <c r="F322" s="300">
        <f t="shared" si="46"/>
        <v>2.48</v>
      </c>
      <c r="G322" s="279">
        <f t="shared" si="42"/>
        <v>9704.7999999999993</v>
      </c>
      <c r="H322" s="100">
        <v>19800</v>
      </c>
      <c r="I322" s="280">
        <f t="shared" si="39"/>
        <v>97200</v>
      </c>
      <c r="J322" s="104">
        <f>+ SUMIF('Doanh thu'!A:A, C322,'Doanh thu'!F:F)</f>
        <v>79200</v>
      </c>
      <c r="K322" s="100">
        <f>SUMIF('Xuất kho'!D:D, C322,'Xuất kho'!K:K)</f>
        <v>18000</v>
      </c>
      <c r="L322" s="30">
        <f>SUMIF('Xuất kho'!$D$1:$D$2955,C322,'Xuất kho'!$H$1:$H$2955)</f>
        <v>5</v>
      </c>
      <c r="M322" s="30">
        <f>SUMIF('Xuất kho'!$D$8:$D$2955,C322,'Xuất kho'!$I$8:$I$2955)</f>
        <v>1</v>
      </c>
      <c r="N322" s="30">
        <f t="shared" si="44"/>
        <v>4</v>
      </c>
      <c r="O322" s="30">
        <f>SUMIF('Xuất kho'!$D$3:$D$2721,C322,'Xuất kho'!$K$3:$K$2721)</f>
        <v>18000</v>
      </c>
      <c r="P322" s="274"/>
    </row>
    <row r="323" spans="2:16" ht="13.2">
      <c r="B323" s="101">
        <v>240</v>
      </c>
      <c r="C323" s="28" t="s">
        <v>1109</v>
      </c>
      <c r="D323" s="28" t="s">
        <v>1110</v>
      </c>
      <c r="E323" s="101" t="s">
        <v>1037</v>
      </c>
      <c r="F323" s="300">
        <f t="shared" si="46"/>
        <v>2.48</v>
      </c>
      <c r="G323" s="279">
        <f t="shared" si="42"/>
        <v>9704.7999999999993</v>
      </c>
      <c r="H323" s="100">
        <v>19800</v>
      </c>
      <c r="I323" s="280">
        <f t="shared" si="39"/>
        <v>39600</v>
      </c>
      <c r="J323" s="104">
        <f>+ SUMIF('Doanh thu'!A:A, C323,'Doanh thu'!F:F)</f>
        <v>39600</v>
      </c>
      <c r="K323" s="100">
        <f>SUMIF('Xuất kho'!D:D, C323,'Xuất kho'!K:K)</f>
        <v>0</v>
      </c>
      <c r="L323" s="30">
        <f>SUMIF('Xuất kho'!$D$1:$D$2955,C323,'Xuất kho'!$H$1:$H$2955)</f>
        <v>0</v>
      </c>
      <c r="M323" s="30">
        <f>SUMIF('Xuất kho'!$D$8:$D$2955,C323,'Xuất kho'!$I$8:$I$2955)</f>
        <v>0</v>
      </c>
      <c r="N323" s="30">
        <f t="shared" si="44"/>
        <v>0</v>
      </c>
      <c r="O323" s="30">
        <f>SUMIF('Xuất kho'!$D$3:$D$2721,C323,'Xuất kho'!$K$3:$K$2721)</f>
        <v>0</v>
      </c>
      <c r="P323" s="274"/>
    </row>
    <row r="324" spans="2:16" ht="13.2">
      <c r="B324" s="101">
        <v>241</v>
      </c>
      <c r="C324" s="28"/>
      <c r="D324" s="30"/>
      <c r="E324" s="227"/>
      <c r="F324" s="300"/>
      <c r="G324" s="279"/>
      <c r="H324" s="93"/>
      <c r="I324" s="301"/>
      <c r="J324" s="136"/>
      <c r="K324" s="93"/>
      <c r="L324" s="30">
        <f>SUMIF('Xuất kho'!$D$1:$D$2955,C324,'Xuất kho'!$H$1:$H$2955)</f>
        <v>0</v>
      </c>
      <c r="M324" s="30">
        <f>SUMIF('Xuất kho'!$D$8:$D$2955,C324,'Xuất kho'!$I$8:$I$2955)</f>
        <v>0</v>
      </c>
      <c r="N324" s="30"/>
      <c r="O324" s="30">
        <f>SUMIF('Xuất kho'!$D$3:$D$2721,C324,'Xuất kho'!$K$3:$K$2721)</f>
        <v>0</v>
      </c>
      <c r="P324" s="274"/>
    </row>
    <row r="325" spans="2:16" ht="13.2">
      <c r="B325" s="101">
        <v>242</v>
      </c>
      <c r="C325" s="28"/>
      <c r="D325" s="30"/>
      <c r="E325" s="227"/>
      <c r="F325" s="300"/>
      <c r="G325" s="279"/>
      <c r="H325" s="93"/>
      <c r="I325" s="301"/>
      <c r="J325" s="136"/>
      <c r="K325" s="93"/>
      <c r="L325" s="30">
        <f>SUMIF('Xuất kho'!$D$1:$D$2955,C325,'Xuất kho'!$H$1:$H$2955)</f>
        <v>0</v>
      </c>
      <c r="M325" s="30">
        <f>SUMIF('Xuất kho'!$D$8:$D$2955,C325,'Xuất kho'!$I$8:$I$2955)</f>
        <v>0</v>
      </c>
      <c r="N325" s="30"/>
      <c r="O325" s="30">
        <f>SUMIF('Xuất kho'!$D$3:$D$2721,C325,'Xuất kho'!$K$3:$K$2721)</f>
        <v>0</v>
      </c>
      <c r="P325" s="274"/>
    </row>
    <row r="326" spans="2:16" ht="13.2">
      <c r="B326" s="101">
        <v>243</v>
      </c>
      <c r="C326" s="30"/>
      <c r="D326" s="30"/>
      <c r="E326" s="227"/>
      <c r="F326" s="300"/>
      <c r="G326" s="279"/>
      <c r="H326" s="93"/>
      <c r="I326" s="301"/>
      <c r="J326" s="136"/>
      <c r="K326" s="93"/>
      <c r="L326" s="30">
        <f>SUMIF('Xuất kho'!$D$1:$D$2955,C326,'Xuất kho'!$H$1:$H$2955)</f>
        <v>0</v>
      </c>
      <c r="M326" s="30">
        <f>SUMIF('Xuất kho'!$D$8:$D$2955,C326,'Xuất kho'!$I$8:$I$2955)</f>
        <v>0</v>
      </c>
      <c r="N326" s="30"/>
      <c r="O326" s="30">
        <f>SUMIF('Xuất kho'!$D$3:$D$2721,C326,'Xuất kho'!$K$3:$K$2721)</f>
        <v>0</v>
      </c>
      <c r="P326" s="274"/>
    </row>
    <row r="327" spans="2:16" ht="13.2">
      <c r="B327" s="101">
        <v>244</v>
      </c>
      <c r="C327" s="30"/>
      <c r="D327" s="30"/>
      <c r="E327" s="227"/>
      <c r="F327" s="300"/>
      <c r="G327" s="279"/>
      <c r="H327" s="93"/>
      <c r="I327" s="301"/>
      <c r="J327" s="136"/>
      <c r="K327" s="93"/>
      <c r="L327" s="30">
        <f>SUMIF('Xuất kho'!$D$1:$D$2955,C327,'Xuất kho'!$H$1:$H$2955)</f>
        <v>0</v>
      </c>
      <c r="M327" s="30">
        <f>SUMIF('Xuất kho'!$D$8:$D$2955,C327,'Xuất kho'!$I$8:$I$2955)</f>
        <v>0</v>
      </c>
      <c r="N327" s="30"/>
      <c r="O327" s="30">
        <f>SUMIF('Xuất kho'!$D$3:$D$2721,C327,'Xuất kho'!$K$3:$K$2721)</f>
        <v>0</v>
      </c>
      <c r="P327" s="274"/>
    </row>
    <row r="328" spans="2:16" ht="13.2">
      <c r="B328" s="101">
        <v>245</v>
      </c>
      <c r="C328" s="30"/>
      <c r="D328" s="30"/>
      <c r="E328" s="227"/>
      <c r="F328" s="300"/>
      <c r="G328" s="279"/>
      <c r="H328" s="93"/>
      <c r="I328" s="301"/>
      <c r="J328" s="136"/>
      <c r="K328" s="93"/>
      <c r="L328" s="30">
        <f>SUMIF('Xuất kho'!$D$1:$D$2955,C328,'Xuất kho'!$H$1:$H$2955)</f>
        <v>0</v>
      </c>
      <c r="M328" s="30">
        <f>SUMIF('Xuất kho'!$D$8:$D$2955,C328,'Xuất kho'!$I$8:$I$2955)</f>
        <v>0</v>
      </c>
      <c r="N328" s="30"/>
      <c r="O328" s="30">
        <f>SUMIF('Xuất kho'!$D$3:$D$2721,C328,'Xuất kho'!$K$3:$K$2721)</f>
        <v>0</v>
      </c>
      <c r="P328" s="274"/>
    </row>
    <row r="329" spans="2:16" ht="13.2">
      <c r="B329" s="101">
        <v>246</v>
      </c>
      <c r="C329" s="30"/>
      <c r="D329" s="30"/>
      <c r="E329" s="227"/>
      <c r="F329" s="300"/>
      <c r="G329" s="279"/>
      <c r="H329" s="93"/>
      <c r="I329" s="301"/>
      <c r="J329" s="136"/>
      <c r="K329" s="93"/>
      <c r="L329" s="30">
        <f>SUMIF('Xuất kho'!$D$1:$D$2955,C329,'Xuất kho'!$H$1:$H$2955)</f>
        <v>0</v>
      </c>
      <c r="M329" s="30">
        <f>SUMIF('Xuất kho'!$D$8:$D$2955,C329,'Xuất kho'!$I$8:$I$2955)</f>
        <v>0</v>
      </c>
      <c r="N329" s="30"/>
      <c r="O329" s="30">
        <f>SUMIF('Xuất kho'!$D$3:$D$2721,C329,'Xuất kho'!$K$3:$K$2721)</f>
        <v>0</v>
      </c>
      <c r="P329" s="274"/>
    </row>
    <row r="330" spans="2:16" ht="13.2">
      <c r="B330" s="101">
        <v>247</v>
      </c>
      <c r="C330" s="30"/>
      <c r="D330" s="30"/>
      <c r="E330" s="227"/>
      <c r="F330" s="300"/>
      <c r="G330" s="279"/>
      <c r="H330" s="93"/>
      <c r="I330" s="301"/>
      <c r="J330" s="136"/>
      <c r="K330" s="93"/>
      <c r="L330" s="30">
        <f>SUMIF('Xuất kho'!$D$1:$D$2955,C330,'Xuất kho'!$H$1:$H$2955)</f>
        <v>0</v>
      </c>
      <c r="M330" s="30">
        <f>SUMIF('Xuất kho'!$D$8:$D$2955,C330,'Xuất kho'!$I$8:$I$2955)</f>
        <v>0</v>
      </c>
      <c r="N330" s="30"/>
      <c r="O330" s="30">
        <f>SUMIF('Xuất kho'!$D$3:$D$2721,C330,'Xuất kho'!$K$3:$K$2721)</f>
        <v>0</v>
      </c>
      <c r="P330" s="274"/>
    </row>
    <row r="331" spans="2:16" ht="13.2">
      <c r="B331" s="101">
        <v>248</v>
      </c>
      <c r="C331" s="30"/>
      <c r="D331" s="30"/>
      <c r="E331" s="227"/>
      <c r="F331" s="300"/>
      <c r="G331" s="279"/>
      <c r="H331" s="93"/>
      <c r="I331" s="301"/>
      <c r="J331" s="136"/>
      <c r="K331" s="93"/>
      <c r="L331" s="30">
        <f>SUMIF('Xuất kho'!$D$1:$D$2955,C331,'Xuất kho'!$H$1:$H$2955)</f>
        <v>0</v>
      </c>
      <c r="M331" s="30">
        <f>SUMIF('Xuất kho'!$D$8:$D$2955,C331,'Xuất kho'!$I$8:$I$2955)</f>
        <v>0</v>
      </c>
      <c r="N331" s="30"/>
      <c r="O331" s="30">
        <f>SUMIF('Xuất kho'!$D$3:$D$2721,C331,'Xuất kho'!$K$3:$K$2721)</f>
        <v>0</v>
      </c>
      <c r="P331" s="274"/>
    </row>
    <row r="332" spans="2:16" ht="13.2">
      <c r="B332" s="101">
        <v>249</v>
      </c>
      <c r="C332" s="30"/>
      <c r="D332" s="30"/>
      <c r="E332" s="227"/>
      <c r="F332" s="300"/>
      <c r="G332" s="279"/>
      <c r="H332" s="93"/>
      <c r="I332" s="301"/>
      <c r="J332" s="136"/>
      <c r="K332" s="93"/>
      <c r="L332" s="30">
        <f>SUMIF('Xuất kho'!$D$1:$D$2955,C332,'Xuất kho'!$H$1:$H$2955)</f>
        <v>0</v>
      </c>
      <c r="M332" s="30">
        <f>SUMIF('Xuất kho'!$D$8:$D$2955,C332,'Xuất kho'!$I$8:$I$2955)</f>
        <v>0</v>
      </c>
      <c r="N332" s="30"/>
      <c r="O332" s="30">
        <f>SUMIF('Xuất kho'!$D$3:$D$2721,C332,'Xuất kho'!$K$3:$K$2721)</f>
        <v>0</v>
      </c>
      <c r="P332" s="274"/>
    </row>
    <row r="333" spans="2:16" ht="13.2">
      <c r="B333" s="101">
        <v>250</v>
      </c>
      <c r="C333" s="30"/>
      <c r="D333" s="30"/>
      <c r="E333" s="227"/>
      <c r="F333" s="300"/>
      <c r="G333" s="279"/>
      <c r="H333" s="93"/>
      <c r="I333" s="301"/>
      <c r="J333" s="136"/>
      <c r="K333" s="93"/>
      <c r="L333" s="30">
        <f>SUMIF('Xuất kho'!$D$1:$D$2955,C333,'Xuất kho'!$H$1:$H$2955)</f>
        <v>0</v>
      </c>
      <c r="M333" s="30">
        <f>SUMIF('Xuất kho'!$D$8:$D$2955,C333,'Xuất kho'!$I$8:$I$2955)</f>
        <v>0</v>
      </c>
      <c r="N333" s="30"/>
      <c r="O333" s="30">
        <f>SUMIF('Xuất kho'!$D$3:$D$2721,C333,'Xuất kho'!$K$3:$K$2721)</f>
        <v>0</v>
      </c>
      <c r="P333" s="274"/>
    </row>
    <row r="334" spans="2:16" ht="13.2">
      <c r="B334" s="101">
        <v>251</v>
      </c>
      <c r="C334" s="30"/>
      <c r="D334" s="30"/>
      <c r="E334" s="227"/>
      <c r="F334" s="300"/>
      <c r="G334" s="279"/>
      <c r="H334" s="93"/>
      <c r="I334" s="301"/>
      <c r="J334" s="136"/>
      <c r="K334" s="93"/>
      <c r="L334" s="30">
        <f>SUMIF('Xuất kho'!$D$1:$D$2955,C334,'Xuất kho'!$H$1:$H$2955)</f>
        <v>0</v>
      </c>
      <c r="M334" s="30">
        <f>SUMIF('Xuất kho'!$D$8:$D$2955,C334,'Xuất kho'!$I$8:$I$2955)</f>
        <v>0</v>
      </c>
      <c r="N334" s="30"/>
      <c r="O334" s="30">
        <f>SUMIF('Xuất kho'!$D$3:$D$2721,C334,'Xuất kho'!$K$3:$K$2721)</f>
        <v>0</v>
      </c>
      <c r="P334" s="274"/>
    </row>
    <row r="335" spans="2:16" ht="13.2">
      <c r="B335" s="101">
        <v>252</v>
      </c>
      <c r="C335" s="30"/>
      <c r="D335" s="30"/>
      <c r="E335" s="227"/>
      <c r="F335" s="300"/>
      <c r="G335" s="279"/>
      <c r="H335" s="93"/>
      <c r="I335" s="301"/>
      <c r="J335" s="136"/>
      <c r="K335" s="93"/>
      <c r="L335" s="30">
        <f>SUMIF('Xuất kho'!$D$1:$D$2955,C335,'Xuất kho'!$H$1:$H$2955)</f>
        <v>0</v>
      </c>
      <c r="M335" s="30">
        <f>SUMIF('Xuất kho'!$D$8:$D$2955,C335,'Xuất kho'!$I$8:$I$2955)</f>
        <v>0</v>
      </c>
      <c r="N335" s="30"/>
      <c r="O335" s="30">
        <f>SUMIF('Xuất kho'!$D$3:$D$2721,C335,'Xuất kho'!$K$3:$K$2721)</f>
        <v>0</v>
      </c>
      <c r="P335" s="274"/>
    </row>
    <row r="336" spans="2:16" ht="13.2">
      <c r="B336" s="101">
        <v>253</v>
      </c>
      <c r="C336" s="30"/>
      <c r="D336" s="30"/>
      <c r="E336" s="227"/>
      <c r="F336" s="300"/>
      <c r="G336" s="279"/>
      <c r="H336" s="93"/>
      <c r="I336" s="301"/>
      <c r="J336" s="136"/>
      <c r="K336" s="93"/>
      <c r="L336" s="30">
        <f>SUMIF('Xuất kho'!$D$1:$D$2955,C336,'Xuất kho'!$H$1:$H$2955)</f>
        <v>0</v>
      </c>
      <c r="M336" s="30">
        <f>SUMIF('Xuất kho'!$D$8:$D$2955,C336,'Xuất kho'!$I$8:$I$2955)</f>
        <v>0</v>
      </c>
      <c r="N336" s="30"/>
      <c r="O336" s="30">
        <f>SUMIF('Xuất kho'!$D$3:$D$2721,C336,'Xuất kho'!$K$3:$K$2721)</f>
        <v>0</v>
      </c>
      <c r="P336" s="274"/>
    </row>
    <row r="337" spans="2:16" ht="13.2">
      <c r="B337" s="101">
        <v>254</v>
      </c>
      <c r="C337" s="30"/>
      <c r="D337" s="30"/>
      <c r="E337" s="227"/>
      <c r="F337" s="300"/>
      <c r="G337" s="279"/>
      <c r="H337" s="93"/>
      <c r="I337" s="301"/>
      <c r="J337" s="136"/>
      <c r="K337" s="93"/>
      <c r="L337" s="30">
        <f>SUMIF('Xuất kho'!$D$1:$D$2955,C337,'Xuất kho'!$H$1:$H$2955)</f>
        <v>0</v>
      </c>
      <c r="M337" s="30">
        <f>SUMIF('Xuất kho'!$D$8:$D$2955,C337,'Xuất kho'!$I$8:$I$2955)</f>
        <v>0</v>
      </c>
      <c r="N337" s="30"/>
      <c r="O337" s="30">
        <f>SUMIF('Xuất kho'!$D$3:$D$2721,C337,'Xuất kho'!$K$3:$K$2721)</f>
        <v>0</v>
      </c>
      <c r="P337" s="274"/>
    </row>
    <row r="338" spans="2:16" ht="13.2">
      <c r="B338" s="101">
        <v>255</v>
      </c>
      <c r="C338" s="30"/>
      <c r="D338" s="30"/>
      <c r="E338" s="227"/>
      <c r="F338" s="300"/>
      <c r="G338" s="279"/>
      <c r="H338" s="93"/>
      <c r="I338" s="301"/>
      <c r="J338" s="136"/>
      <c r="K338" s="93"/>
      <c r="L338" s="30">
        <f>SUMIF('Xuất kho'!$D$1:$D$2955,C338,'Xuất kho'!$H$1:$H$2955)</f>
        <v>0</v>
      </c>
      <c r="M338" s="30">
        <f>SUMIF('Xuất kho'!$D$8:$D$2955,C338,'Xuất kho'!$I$8:$I$2955)</f>
        <v>0</v>
      </c>
      <c r="N338" s="30"/>
      <c r="O338" s="30">
        <f>SUMIF('Xuất kho'!$D$3:$D$2721,C338,'Xuất kho'!$K$3:$K$2721)</f>
        <v>0</v>
      </c>
      <c r="P338" s="274"/>
    </row>
    <row r="339" spans="2:16" ht="13.2">
      <c r="B339" s="101">
        <v>256</v>
      </c>
      <c r="C339" s="30"/>
      <c r="D339" s="30"/>
      <c r="E339" s="227"/>
      <c r="F339" s="300"/>
      <c r="G339" s="279"/>
      <c r="H339" s="93"/>
      <c r="I339" s="301"/>
      <c r="J339" s="136"/>
      <c r="K339" s="93"/>
      <c r="L339" s="30">
        <f>SUMIF('Xuất kho'!$D$1:$D$2955,C339,'Xuất kho'!$H$1:$H$2955)</f>
        <v>0</v>
      </c>
      <c r="M339" s="30">
        <f>SUMIF('Xuất kho'!$D$8:$D$2955,C339,'Xuất kho'!$I$8:$I$2955)</f>
        <v>0</v>
      </c>
      <c r="N339" s="30"/>
      <c r="O339" s="30">
        <f>SUMIF('Xuất kho'!$D$3:$D$2721,C339,'Xuất kho'!$K$3:$K$2721)</f>
        <v>0</v>
      </c>
      <c r="P339" s="274"/>
    </row>
    <row r="340" spans="2:16" ht="13.2">
      <c r="B340" s="101">
        <v>257</v>
      </c>
      <c r="C340" s="30"/>
      <c r="D340" s="30"/>
      <c r="E340" s="227"/>
      <c r="F340" s="300"/>
      <c r="G340" s="279"/>
      <c r="H340" s="93"/>
      <c r="I340" s="301"/>
      <c r="J340" s="136"/>
      <c r="K340" s="93"/>
      <c r="L340" s="30">
        <f>SUMIF('Xuất kho'!$D$1:$D$2955,C340,'Xuất kho'!$H$1:$H$2955)</f>
        <v>0</v>
      </c>
      <c r="M340" s="30">
        <f>SUMIF('Xuất kho'!$D$8:$D$2955,C340,'Xuất kho'!$I$8:$I$2955)</f>
        <v>0</v>
      </c>
      <c r="N340" s="30"/>
      <c r="O340" s="30">
        <f>SUMIF('Xuất kho'!$D$3:$D$2721,C340,'Xuất kho'!$K$3:$K$2721)</f>
        <v>0</v>
      </c>
      <c r="P340" s="274"/>
    </row>
    <row r="341" spans="2:16" ht="13.2">
      <c r="B341" s="101">
        <v>258</v>
      </c>
      <c r="C341" s="30"/>
      <c r="D341" s="30"/>
      <c r="E341" s="227"/>
      <c r="F341" s="300"/>
      <c r="G341" s="279"/>
      <c r="H341" s="93"/>
      <c r="I341" s="301"/>
      <c r="J341" s="136"/>
      <c r="K341" s="93"/>
      <c r="L341" s="30">
        <f>SUMIF('Xuất kho'!$D$1:$D$2955,C341,'Xuất kho'!$H$1:$H$2955)</f>
        <v>0</v>
      </c>
      <c r="M341" s="30">
        <f>SUMIF('Xuất kho'!$D$8:$D$2955,C341,'Xuất kho'!$I$8:$I$2955)</f>
        <v>0</v>
      </c>
      <c r="N341" s="30"/>
      <c r="O341" s="30">
        <f>SUMIF('Xuất kho'!$D$3:$D$2721,C341,'Xuất kho'!$K$3:$K$2721)</f>
        <v>0</v>
      </c>
      <c r="P341" s="274"/>
    </row>
    <row r="342" spans="2:16" ht="13.2">
      <c r="B342" s="101">
        <v>259</v>
      </c>
      <c r="C342" s="30"/>
      <c r="D342" s="30"/>
      <c r="E342" s="227"/>
      <c r="F342" s="300"/>
      <c r="G342" s="279"/>
      <c r="H342" s="93"/>
      <c r="I342" s="301"/>
      <c r="J342" s="136"/>
      <c r="K342" s="93"/>
      <c r="L342" s="30">
        <f>SUMIF('Xuất kho'!$D$1:$D$2955,C342,'Xuất kho'!$H$1:$H$2955)</f>
        <v>0</v>
      </c>
      <c r="M342" s="30">
        <f>SUMIF('Xuất kho'!$D$8:$D$2955,C342,'Xuất kho'!$I$8:$I$2955)</f>
        <v>0</v>
      </c>
      <c r="N342" s="30"/>
      <c r="O342" s="30">
        <f>SUMIF('Xuất kho'!$D$3:$D$2721,C342,'Xuất kho'!$K$3:$K$2721)</f>
        <v>0</v>
      </c>
      <c r="P342" s="274"/>
    </row>
    <row r="343" spans="2:16" ht="13.2">
      <c r="B343" s="101">
        <v>260</v>
      </c>
      <c r="C343" s="30"/>
      <c r="D343" s="30"/>
      <c r="E343" s="227"/>
      <c r="F343" s="300"/>
      <c r="G343" s="279"/>
      <c r="H343" s="93"/>
      <c r="I343" s="301"/>
      <c r="J343" s="136"/>
      <c r="K343" s="93"/>
      <c r="L343" s="30">
        <f>SUMIF('Xuất kho'!$D$1:$D$2955,C343,'Xuất kho'!$H$1:$H$2955)</f>
        <v>0</v>
      </c>
      <c r="M343" s="30">
        <f>SUMIF('Xuất kho'!$D$8:$D$2955,C343,'Xuất kho'!$I$8:$I$2955)</f>
        <v>0</v>
      </c>
      <c r="N343" s="30"/>
      <c r="O343" s="30">
        <f>SUMIF('Xuất kho'!$D$3:$D$2721,C343,'Xuất kho'!$K$3:$K$2721)</f>
        <v>0</v>
      </c>
      <c r="P343" s="274"/>
    </row>
    <row r="344" spans="2:16" ht="13.2">
      <c r="B344" s="101">
        <v>261</v>
      </c>
      <c r="C344" s="30"/>
      <c r="D344" s="30"/>
      <c r="E344" s="227"/>
      <c r="F344" s="300"/>
      <c r="G344" s="279"/>
      <c r="H344" s="93"/>
      <c r="I344" s="301"/>
      <c r="J344" s="136"/>
      <c r="K344" s="93"/>
      <c r="L344" s="30">
        <f>SUMIF('Xuất kho'!$D$1:$D$2955,C344,'Xuất kho'!$H$1:$H$2955)</f>
        <v>0</v>
      </c>
      <c r="M344" s="30">
        <f>SUMIF('Xuất kho'!$D$8:$D$2955,C344,'Xuất kho'!$I$8:$I$2955)</f>
        <v>0</v>
      </c>
      <c r="N344" s="30"/>
      <c r="O344" s="30">
        <f>SUMIF('Xuất kho'!$D$3:$D$2721,C344,'Xuất kho'!$K$3:$K$2721)</f>
        <v>0</v>
      </c>
      <c r="P344" s="274"/>
    </row>
    <row r="345" spans="2:16" ht="13.2">
      <c r="B345" s="101">
        <v>262</v>
      </c>
      <c r="C345" s="30"/>
      <c r="D345" s="30"/>
      <c r="E345" s="227"/>
      <c r="F345" s="300"/>
      <c r="G345" s="279"/>
      <c r="H345" s="93"/>
      <c r="I345" s="301"/>
      <c r="J345" s="136"/>
      <c r="K345" s="93"/>
      <c r="L345" s="30">
        <f>SUMIF('Xuất kho'!$D$1:$D$2955,C345,'Xuất kho'!$H$1:$H$2955)</f>
        <v>0</v>
      </c>
      <c r="M345" s="30">
        <f>SUMIF('Xuất kho'!$D$8:$D$2955,C345,'Xuất kho'!$I$8:$I$2955)</f>
        <v>0</v>
      </c>
      <c r="N345" s="30"/>
      <c r="O345" s="30">
        <f>SUMIF('Xuất kho'!$D$3:$D$2721,C345,'Xuất kho'!$K$3:$K$2721)</f>
        <v>0</v>
      </c>
      <c r="P345" s="274"/>
    </row>
    <row r="346" spans="2:16" ht="13.2">
      <c r="B346" s="101">
        <v>263</v>
      </c>
      <c r="C346" s="30"/>
      <c r="D346" s="30"/>
      <c r="E346" s="227"/>
      <c r="F346" s="300"/>
      <c r="G346" s="279"/>
      <c r="H346" s="93"/>
      <c r="I346" s="301"/>
      <c r="J346" s="136"/>
      <c r="K346" s="93"/>
      <c r="L346" s="30">
        <f>SUMIF('Xuất kho'!$D$1:$D$2955,C346,'Xuất kho'!$H$1:$H$2955)</f>
        <v>0</v>
      </c>
      <c r="M346" s="30">
        <f>SUMIF('Xuất kho'!$D$8:$D$2955,C346,'Xuất kho'!$I$8:$I$2955)</f>
        <v>0</v>
      </c>
      <c r="N346" s="30"/>
      <c r="O346" s="30">
        <f>SUMIF('Xuất kho'!$D$3:$D$2721,C346,'Xuất kho'!$K$3:$K$2721)</f>
        <v>0</v>
      </c>
      <c r="P346" s="274"/>
    </row>
    <row r="347" spans="2:16" ht="13.2">
      <c r="B347" s="101">
        <v>264</v>
      </c>
      <c r="C347" s="30"/>
      <c r="D347" s="30"/>
      <c r="E347" s="227"/>
      <c r="F347" s="300"/>
      <c r="G347" s="279"/>
      <c r="H347" s="93"/>
      <c r="I347" s="301"/>
      <c r="J347" s="136"/>
      <c r="K347" s="93"/>
      <c r="L347" s="30">
        <f>SUMIF('Xuất kho'!$D$1:$D$2955,C347,'Xuất kho'!$H$1:$H$2955)</f>
        <v>0</v>
      </c>
      <c r="M347" s="30">
        <f>SUMIF('Xuất kho'!$D$8:$D$2955,C347,'Xuất kho'!$I$8:$I$2955)</f>
        <v>0</v>
      </c>
      <c r="N347" s="30"/>
      <c r="O347" s="30">
        <f>SUMIF('Xuất kho'!$D$3:$D$2721,C347,'Xuất kho'!$K$3:$K$2721)</f>
        <v>0</v>
      </c>
      <c r="P347" s="274"/>
    </row>
    <row r="348" spans="2:16" ht="13.2">
      <c r="B348" s="101">
        <v>265</v>
      </c>
      <c r="C348" s="30"/>
      <c r="D348" s="30"/>
      <c r="E348" s="227"/>
      <c r="F348" s="300"/>
      <c r="G348" s="279"/>
      <c r="H348" s="93"/>
      <c r="I348" s="301"/>
      <c r="J348" s="136"/>
      <c r="K348" s="93"/>
      <c r="L348" s="30">
        <f>SUMIF('Xuất kho'!$D$1:$D$2955,C348,'Xuất kho'!$H$1:$H$2955)</f>
        <v>0</v>
      </c>
      <c r="M348" s="30">
        <f>SUMIF('Xuất kho'!$D$8:$D$2955,C348,'Xuất kho'!$I$8:$I$2955)</f>
        <v>0</v>
      </c>
      <c r="N348" s="30"/>
      <c r="O348" s="30">
        <f>SUMIF('Xuất kho'!$D$3:$D$2721,C348,'Xuất kho'!$K$3:$K$2721)</f>
        <v>0</v>
      </c>
      <c r="P348" s="274"/>
    </row>
    <row r="349" spans="2:16" ht="13.2">
      <c r="B349" s="101">
        <v>266</v>
      </c>
      <c r="C349" s="30"/>
      <c r="D349" s="30"/>
      <c r="E349" s="227"/>
      <c r="F349" s="300"/>
      <c r="G349" s="279"/>
      <c r="H349" s="93"/>
      <c r="I349" s="301"/>
      <c r="J349" s="136"/>
      <c r="K349" s="93"/>
      <c r="L349" s="30">
        <f>SUMIF('Xuất kho'!$D$1:$D$2955,C349,'Xuất kho'!$H$1:$H$2955)</f>
        <v>0</v>
      </c>
      <c r="M349" s="30">
        <f>SUMIF('Xuất kho'!$D$8:$D$2955,C349,'Xuất kho'!$I$8:$I$2955)</f>
        <v>0</v>
      </c>
      <c r="N349" s="30"/>
      <c r="O349" s="30">
        <f>SUMIF('Xuất kho'!$D$3:$D$2721,C349,'Xuất kho'!$K$3:$K$2721)</f>
        <v>0</v>
      </c>
      <c r="P349" s="274"/>
    </row>
    <row r="350" spans="2:16" ht="13.2">
      <c r="B350" s="101">
        <v>267</v>
      </c>
      <c r="E350" s="75"/>
      <c r="F350" s="302"/>
      <c r="G350" s="303"/>
      <c r="H350" s="67"/>
      <c r="I350" s="304"/>
      <c r="J350" s="136"/>
      <c r="K350" s="67"/>
      <c r="L350" s="30">
        <f>SUMIF('Xuất kho'!$D$1:$D$2955,C350,'Xuất kho'!$H$1:$H$2955)</f>
        <v>0</v>
      </c>
      <c r="M350" s="30">
        <f>SUMIF('Xuất kho'!$D$8:$D$2955,C350,'Xuất kho'!$I$8:$I$2955)</f>
        <v>0</v>
      </c>
      <c r="O350" s="30">
        <f>SUMIF('Xuất kho'!$D$3:$D$2721,C350,'Xuất kho'!$K$3:$K$2721)</f>
        <v>0</v>
      </c>
      <c r="P350" s="274"/>
    </row>
    <row r="351" spans="2:16" ht="13.2">
      <c r="B351" s="101">
        <v>268</v>
      </c>
      <c r="E351" s="75"/>
      <c r="F351" s="302"/>
      <c r="G351" s="303"/>
      <c r="H351" s="67"/>
      <c r="I351" s="304"/>
      <c r="J351" s="136"/>
      <c r="K351" s="67"/>
      <c r="L351" s="30">
        <f>SUMIF('Xuất kho'!$D$1:$D$2955,C351,'Xuất kho'!$H$1:$H$2955)</f>
        <v>0</v>
      </c>
      <c r="M351" s="30">
        <f>SUMIF('Xuất kho'!$D$8:$D$2955,C351,'Xuất kho'!$I$8:$I$2955)</f>
        <v>0</v>
      </c>
      <c r="O351" s="30">
        <f>SUMIF('Xuất kho'!$D$3:$D$2721,C351,'Xuất kho'!$K$3:$K$2721)</f>
        <v>0</v>
      </c>
      <c r="P351" s="274"/>
    </row>
    <row r="352" spans="2:16" ht="13.2">
      <c r="B352" s="101">
        <v>269</v>
      </c>
      <c r="E352" s="75"/>
      <c r="F352" s="302"/>
      <c r="G352" s="303"/>
      <c r="H352" s="67"/>
      <c r="I352" s="304"/>
      <c r="J352" s="136"/>
      <c r="K352" s="67"/>
      <c r="L352" s="30">
        <f>SUMIF('Xuất kho'!$D$1:$D$2955,C352,'Xuất kho'!$H$1:$H$2955)</f>
        <v>0</v>
      </c>
      <c r="M352" s="30">
        <f>SUMIF('Xuất kho'!$D$8:$D$2955,C352,'Xuất kho'!$I$8:$I$2955)</f>
        <v>0</v>
      </c>
      <c r="O352" s="30">
        <f>SUMIF('Xuất kho'!$D$3:$D$2721,C352,'Xuất kho'!$K$3:$K$2721)</f>
        <v>0</v>
      </c>
      <c r="P352" s="274"/>
    </row>
    <row r="353" spans="2:16" ht="13.2">
      <c r="B353" s="101">
        <v>270</v>
      </c>
      <c r="E353" s="75"/>
      <c r="F353" s="302"/>
      <c r="G353" s="303"/>
      <c r="H353" s="67"/>
      <c r="I353" s="304"/>
      <c r="J353" s="136"/>
      <c r="K353" s="67"/>
      <c r="L353" s="30">
        <f>SUMIF('Xuất kho'!$D$1:$D$2955,C353,'Xuất kho'!$H$1:$H$2955)</f>
        <v>0</v>
      </c>
      <c r="M353" s="30">
        <f>SUMIF('Xuất kho'!$D$8:$D$2955,C353,'Xuất kho'!$I$8:$I$2955)</f>
        <v>0</v>
      </c>
      <c r="O353" s="30">
        <f>SUMIF('Xuất kho'!$D$3:$D$2721,C353,'Xuất kho'!$K$3:$K$2721)</f>
        <v>0</v>
      </c>
      <c r="P353" s="274"/>
    </row>
    <row r="354" spans="2:16" ht="13.2">
      <c r="B354" s="101">
        <v>271</v>
      </c>
      <c r="E354" s="75"/>
      <c r="F354" s="302"/>
      <c r="G354" s="303"/>
      <c r="H354" s="67"/>
      <c r="I354" s="304"/>
      <c r="J354" s="136"/>
      <c r="K354" s="67"/>
      <c r="L354" s="30">
        <f>SUMIF('Xuất kho'!$D$1:$D$2955,C354,'Xuất kho'!$H$1:$H$2955)</f>
        <v>0</v>
      </c>
      <c r="M354" s="30">
        <f>SUMIF('Xuất kho'!$D$8:$D$2955,C354,'Xuất kho'!$I$8:$I$2955)</f>
        <v>0</v>
      </c>
      <c r="O354" s="30">
        <f>SUMIF('Xuất kho'!$D$3:$D$2721,C354,'Xuất kho'!$K$3:$K$2721)</f>
        <v>0</v>
      </c>
      <c r="P354" s="274"/>
    </row>
    <row r="355" spans="2:16" ht="13.2">
      <c r="B355" s="101">
        <v>272</v>
      </c>
      <c r="E355" s="75"/>
      <c r="F355" s="302"/>
      <c r="G355" s="303"/>
      <c r="H355" s="67"/>
      <c r="I355" s="304"/>
      <c r="J355" s="136"/>
      <c r="K355" s="67"/>
      <c r="L355" s="30">
        <f>SUMIF('Xuất kho'!$D$1:$D$2955,C355,'Xuất kho'!$H$1:$H$2955)</f>
        <v>0</v>
      </c>
      <c r="M355" s="30">
        <f>SUMIF('Xuất kho'!$D$8:$D$2955,C355,'Xuất kho'!$I$8:$I$2955)</f>
        <v>0</v>
      </c>
      <c r="O355" s="30">
        <f>SUMIF('Xuất kho'!$D$3:$D$2721,C355,'Xuất kho'!$K$3:$K$2721)</f>
        <v>0</v>
      </c>
      <c r="P355" s="274"/>
    </row>
    <row r="356" spans="2:16" ht="13.2">
      <c r="B356" s="101">
        <v>273</v>
      </c>
      <c r="E356" s="75"/>
      <c r="F356" s="302"/>
      <c r="G356" s="303"/>
      <c r="H356" s="67"/>
      <c r="I356" s="304"/>
      <c r="J356" s="136"/>
      <c r="K356" s="67"/>
      <c r="L356" s="30">
        <f>SUMIF('Xuất kho'!$D$1:$D$2955,C356,'Xuất kho'!$H$1:$H$2955)</f>
        <v>0</v>
      </c>
      <c r="M356" s="30">
        <f>SUMIF('Xuất kho'!$D$8:$D$2955,C356,'Xuất kho'!$I$8:$I$2955)</f>
        <v>0</v>
      </c>
      <c r="O356" s="30">
        <f>SUMIF('Xuất kho'!$D$3:$D$2721,C356,'Xuất kho'!$K$3:$K$2721)</f>
        <v>0</v>
      </c>
      <c r="P356" s="274"/>
    </row>
    <row r="357" spans="2:16" ht="13.2">
      <c r="B357" s="101">
        <v>274</v>
      </c>
      <c r="E357" s="75"/>
      <c r="F357" s="302"/>
      <c r="G357" s="303"/>
      <c r="H357" s="67"/>
      <c r="I357" s="304"/>
      <c r="J357" s="136"/>
      <c r="K357" s="67"/>
      <c r="L357" s="30">
        <f>SUMIF('Xuất kho'!$D$1:$D$2955,C357,'Xuất kho'!$H$1:$H$2955)</f>
        <v>0</v>
      </c>
      <c r="M357" s="30">
        <f>SUMIF('Xuất kho'!$D$8:$D$2955,C357,'Xuất kho'!$I$8:$I$2955)</f>
        <v>0</v>
      </c>
      <c r="O357" s="30">
        <f>SUMIF('Xuất kho'!$D$3:$D$2721,C357,'Xuất kho'!$K$3:$K$2721)</f>
        <v>0</v>
      </c>
      <c r="P357" s="274"/>
    </row>
    <row r="358" spans="2:16" ht="13.2">
      <c r="B358" s="101">
        <v>275</v>
      </c>
      <c r="E358" s="75"/>
      <c r="F358" s="302"/>
      <c r="G358" s="303"/>
      <c r="H358" s="67"/>
      <c r="I358" s="304"/>
      <c r="J358" s="136"/>
      <c r="K358" s="67"/>
      <c r="L358" s="30">
        <f>SUMIF('Xuất kho'!$D$1:$D$2955,C358,'Xuất kho'!$H$1:$H$2955)</f>
        <v>0</v>
      </c>
      <c r="M358" s="30">
        <f>SUMIF('Xuất kho'!$D$8:$D$2955,C358,'Xuất kho'!$I$8:$I$2955)</f>
        <v>0</v>
      </c>
      <c r="O358" s="30">
        <f>SUMIF('Xuất kho'!$D$3:$D$2721,C358,'Xuất kho'!$K$3:$K$2721)</f>
        <v>0</v>
      </c>
      <c r="P358" s="274"/>
    </row>
    <row r="359" spans="2:16" ht="13.2">
      <c r="B359" s="101">
        <v>276</v>
      </c>
      <c r="F359" s="305"/>
      <c r="G359" s="306"/>
      <c r="H359" s="2"/>
      <c r="I359" s="304"/>
      <c r="J359" s="136"/>
      <c r="K359" s="67"/>
      <c r="L359" s="30">
        <f>SUMIF('Xuất kho'!$D$1:$D$2955,C359,'Xuất kho'!$H$1:$H$2955)</f>
        <v>0</v>
      </c>
      <c r="M359" s="30">
        <f>SUMIF('Xuất kho'!$D$8:$D$2955,C359,'Xuất kho'!$I$8:$I$2955)</f>
        <v>0</v>
      </c>
      <c r="O359" s="30">
        <f>SUMIF('Xuất kho'!$D$3:$D$2721,C359,'Xuất kho'!$K$3:$K$2721)</f>
        <v>0</v>
      </c>
      <c r="P359" s="274"/>
    </row>
    <row r="360" spans="2:16" ht="13.2">
      <c r="B360" s="101">
        <v>277</v>
      </c>
      <c r="F360" s="305"/>
      <c r="G360" s="306"/>
      <c r="H360" s="2"/>
      <c r="I360" s="304"/>
      <c r="J360" s="136"/>
      <c r="K360" s="67"/>
      <c r="L360" s="30">
        <f>SUMIF('Xuất kho'!$D$1:$D$2955,C360,'Xuất kho'!$H$1:$H$2955)</f>
        <v>0</v>
      </c>
      <c r="M360" s="30">
        <f>SUMIF('Xuất kho'!$D$8:$D$2955,C360,'Xuất kho'!$I$8:$I$2955)</f>
        <v>0</v>
      </c>
      <c r="O360" s="30">
        <f>SUMIF('Xuất kho'!$D$3:$D$2721,C360,'Xuất kho'!$K$3:$K$2721)</f>
        <v>0</v>
      </c>
      <c r="P360" s="274"/>
    </row>
    <row r="361" spans="2:16" ht="13.2">
      <c r="F361" s="305"/>
      <c r="G361" s="306"/>
      <c r="H361" s="2"/>
      <c r="I361" s="304"/>
      <c r="J361" s="136"/>
      <c r="K361" s="67"/>
      <c r="L361" s="30">
        <f>SUMIF('Xuất kho'!$D$1:$D$2955,C361,'Xuất kho'!$H$1:$H$2955)</f>
        <v>0</v>
      </c>
      <c r="M361" s="30">
        <f>SUMIF('Xuất kho'!$D$8:$D$2955,C361,'Xuất kho'!$I$8:$I$2955)</f>
        <v>0</v>
      </c>
      <c r="O361" s="30">
        <f>SUMIF('Xuất kho'!$D$3:$D$2721,C361,'Xuất kho'!$K$3:$K$2721)</f>
        <v>0</v>
      </c>
      <c r="P361" s="274"/>
    </row>
    <row r="362" spans="2:16" ht="13.2">
      <c r="F362" s="305"/>
      <c r="G362" s="306"/>
      <c r="H362" s="2"/>
      <c r="I362" s="304"/>
      <c r="J362" s="136"/>
      <c r="K362" s="67"/>
      <c r="L362" s="30">
        <f>SUMIF('Xuất kho'!$D$1:$D$2955,C362,'Xuất kho'!$H$1:$H$2955)</f>
        <v>0</v>
      </c>
      <c r="M362" s="30">
        <f>SUMIF('Xuất kho'!$D$8:$D$2955,C362,'Xuất kho'!$I$8:$I$2955)</f>
        <v>0</v>
      </c>
      <c r="O362" s="30">
        <f>SUMIF('Xuất kho'!$D$3:$D$2721,C362,'Xuất kho'!$K$3:$K$2721)</f>
        <v>0</v>
      </c>
      <c r="P362" s="274"/>
    </row>
    <row r="363" spans="2:16" ht="13.2">
      <c r="F363" s="305"/>
      <c r="G363" s="306"/>
      <c r="H363" s="2"/>
      <c r="I363" s="304"/>
      <c r="J363" s="136"/>
      <c r="K363" s="67"/>
      <c r="L363" s="30">
        <f>SUMIF('Xuất kho'!$D$1:$D$2955,C363,'Xuất kho'!$H$1:$H$2955)</f>
        <v>0</v>
      </c>
      <c r="M363" s="30">
        <f>SUMIF('Xuất kho'!$D$8:$D$2955,C363,'Xuất kho'!$I$8:$I$2955)</f>
        <v>0</v>
      </c>
      <c r="O363" s="30">
        <f>SUMIF('Xuất kho'!$D$3:$D$2721,C363,'Xuất kho'!$K$3:$K$2721)</f>
        <v>0</v>
      </c>
      <c r="P363" s="274"/>
    </row>
    <row r="364" spans="2:16" ht="13.2">
      <c r="F364" s="305"/>
      <c r="G364" s="306"/>
      <c r="H364" s="2"/>
      <c r="I364" s="304"/>
      <c r="J364" s="136"/>
      <c r="K364" s="67"/>
      <c r="L364" s="30">
        <f>SUMIF('Xuất kho'!$D$1:$D$2955,C364,'Xuất kho'!$H$1:$H$2955)</f>
        <v>0</v>
      </c>
      <c r="M364" s="30">
        <f>SUMIF('Xuất kho'!$D$8:$D$2955,C364,'Xuất kho'!$I$8:$I$2955)</f>
        <v>0</v>
      </c>
      <c r="O364" s="30">
        <f>SUMIF('Xuất kho'!$D$3:$D$2721,C364,'Xuất kho'!$K$3:$K$2721)</f>
        <v>0</v>
      </c>
      <c r="P364" s="274"/>
    </row>
    <row r="365" spans="2:16" ht="13.2">
      <c r="F365" s="305"/>
      <c r="G365" s="306"/>
      <c r="H365" s="2"/>
      <c r="I365" s="304"/>
      <c r="J365" s="136"/>
      <c r="K365" s="67"/>
      <c r="L365" s="30">
        <f>SUMIF('Xuất kho'!$D$1:$D$2955,C365,'Xuất kho'!$H$1:$H$2955)</f>
        <v>0</v>
      </c>
      <c r="M365" s="30">
        <f>SUMIF('Xuất kho'!$D$8:$D$2955,C365,'Xuất kho'!$I$8:$I$2955)</f>
        <v>0</v>
      </c>
      <c r="O365" s="30">
        <f>SUMIF('Xuất kho'!$D$3:$D$2721,C365,'Xuất kho'!$K$3:$K$2721)</f>
        <v>0</v>
      </c>
      <c r="P365" s="274"/>
    </row>
    <row r="366" spans="2:16" ht="13.2">
      <c r="F366" s="305"/>
      <c r="G366" s="306"/>
      <c r="H366" s="2"/>
      <c r="I366" s="304"/>
      <c r="J366" s="136"/>
      <c r="K366" s="67"/>
      <c r="L366" s="30">
        <f>SUMIF('Xuất kho'!$D$1:$D$2955,C366,'Xuất kho'!$H$1:$H$2955)</f>
        <v>0</v>
      </c>
      <c r="M366" s="30">
        <f>SUMIF('Xuất kho'!$D$8:$D$2955,C366,'Xuất kho'!$I$8:$I$2955)</f>
        <v>0</v>
      </c>
      <c r="O366" s="30">
        <f>SUMIF('Xuất kho'!$D$3:$D$2721,C366,'Xuất kho'!$K$3:$K$2721)</f>
        <v>0</v>
      </c>
      <c r="P366" s="274"/>
    </row>
    <row r="367" spans="2:16" ht="13.2">
      <c r="F367" s="305"/>
      <c r="G367" s="306"/>
      <c r="H367" s="2"/>
      <c r="I367" s="304"/>
      <c r="J367" s="136"/>
      <c r="K367" s="67"/>
      <c r="L367" s="30">
        <f>SUMIF('Xuất kho'!$D$1:$D$2955,C367,'Xuất kho'!$H$1:$H$2955)</f>
        <v>0</v>
      </c>
      <c r="M367" s="30">
        <f>SUMIF('Xuất kho'!$D$8:$D$2955,C367,'Xuất kho'!$I$8:$I$2955)</f>
        <v>0</v>
      </c>
      <c r="O367" s="30">
        <f>SUMIF('Xuất kho'!$D$3:$D$2721,C367,'Xuất kho'!$K$3:$K$2721)</f>
        <v>0</v>
      </c>
      <c r="P367" s="274"/>
    </row>
    <row r="368" spans="2:16" ht="13.2">
      <c r="F368" s="305"/>
      <c r="G368" s="306"/>
      <c r="H368" s="2"/>
      <c r="I368" s="304"/>
      <c r="J368" s="136"/>
      <c r="K368" s="67"/>
      <c r="L368" s="30">
        <f>SUMIF('Xuất kho'!$D$1:$D$2955,C368,'Xuất kho'!$H$1:$H$2955)</f>
        <v>0</v>
      </c>
      <c r="M368" s="30">
        <f>SUMIF('Xuất kho'!$D$8:$D$2955,C368,'Xuất kho'!$I$8:$I$2955)</f>
        <v>0</v>
      </c>
      <c r="O368" s="30">
        <f>SUMIF('Xuất kho'!$D$3:$D$2721,C368,'Xuất kho'!$K$3:$K$2721)</f>
        <v>0</v>
      </c>
      <c r="P368" s="274"/>
    </row>
    <row r="369" spans="6:16" ht="13.2">
      <c r="F369" s="305"/>
      <c r="G369" s="306"/>
      <c r="H369" s="2"/>
      <c r="I369" s="304"/>
      <c r="J369" s="136"/>
      <c r="K369" s="67"/>
      <c r="L369" s="30">
        <f>SUMIF('Xuất kho'!$D$1:$D$2955,C369,'Xuất kho'!$H$1:$H$2955)</f>
        <v>0</v>
      </c>
      <c r="M369" s="30">
        <f>SUMIF('Xuất kho'!$D$8:$D$2955,C369,'Xuất kho'!$I$8:$I$2955)</f>
        <v>0</v>
      </c>
      <c r="O369" s="30">
        <f>SUMIF('Xuất kho'!$D$3:$D$2721,C369,'Xuất kho'!$K$3:$K$2721)</f>
        <v>0</v>
      </c>
      <c r="P369" s="274"/>
    </row>
    <row r="370" spans="6:16" ht="13.2">
      <c r="F370" s="305"/>
      <c r="G370" s="306"/>
      <c r="H370" s="2"/>
      <c r="I370" s="304"/>
      <c r="J370" s="136"/>
      <c r="K370" s="67"/>
      <c r="L370" s="30">
        <f>SUMIF('Xuất kho'!$D$1:$D$2955,C370,'Xuất kho'!$H$1:$H$2955)</f>
        <v>0</v>
      </c>
      <c r="M370" s="30">
        <f>SUMIF('Xuất kho'!$D$8:$D$2955,C370,'Xuất kho'!$I$8:$I$2955)</f>
        <v>0</v>
      </c>
      <c r="O370" s="30">
        <f>SUMIF('Xuất kho'!$D$3:$D$2721,C370,'Xuất kho'!$K$3:$K$2721)</f>
        <v>0</v>
      </c>
      <c r="P370" s="274"/>
    </row>
    <row r="371" spans="6:16" ht="13.2">
      <c r="F371" s="305"/>
      <c r="G371" s="306"/>
      <c r="H371" s="2"/>
      <c r="I371" s="304"/>
      <c r="J371" s="136"/>
      <c r="K371" s="67"/>
      <c r="L371" s="30">
        <f>SUMIF('Xuất kho'!$D$1:$D$2955,C371,'Xuất kho'!$H$1:$H$2955)</f>
        <v>0</v>
      </c>
      <c r="M371" s="30">
        <f>SUMIF('Xuất kho'!$D$8:$D$2955,C371,'Xuất kho'!$I$8:$I$2955)</f>
        <v>0</v>
      </c>
      <c r="O371" s="30">
        <f>SUMIF('Xuất kho'!$D$3:$D$2721,C371,'Xuất kho'!$K$3:$K$2721)</f>
        <v>0</v>
      </c>
      <c r="P371" s="274"/>
    </row>
    <row r="372" spans="6:16" ht="13.2">
      <c r="F372" s="305"/>
      <c r="G372" s="306"/>
      <c r="H372" s="2"/>
      <c r="I372" s="304"/>
      <c r="J372" s="136"/>
      <c r="K372" s="67"/>
      <c r="L372" s="30">
        <f>SUMIF('Xuất kho'!$D$1:$D$2955,C372,'Xuất kho'!$H$1:$H$2955)</f>
        <v>0</v>
      </c>
      <c r="M372" s="30">
        <f>SUMIF('Xuất kho'!$D$8:$D$2955,C372,'Xuất kho'!$I$8:$I$2955)</f>
        <v>0</v>
      </c>
      <c r="O372" s="30">
        <f>SUMIF('Xuất kho'!$D$3:$D$2721,C372,'Xuất kho'!$K$3:$K$2721)</f>
        <v>0</v>
      </c>
      <c r="P372" s="274"/>
    </row>
    <row r="373" spans="6:16" ht="13.2">
      <c r="F373" s="305"/>
      <c r="G373" s="306"/>
      <c r="H373" s="2"/>
      <c r="I373" s="304"/>
      <c r="J373" s="136"/>
      <c r="K373" s="67"/>
      <c r="L373" s="30">
        <f>SUMIF('Xuất kho'!$D$1:$D$2955,C373,'Xuất kho'!$H$1:$H$2955)</f>
        <v>0</v>
      </c>
      <c r="M373" s="30">
        <f>SUMIF('Xuất kho'!$D$8:$D$2955,C373,'Xuất kho'!$I$8:$I$2955)</f>
        <v>0</v>
      </c>
      <c r="O373" s="30">
        <f>SUMIF('Xuất kho'!$D$3:$D$2721,C373,'Xuất kho'!$K$3:$K$2721)</f>
        <v>0</v>
      </c>
      <c r="P373" s="274"/>
    </row>
    <row r="374" spans="6:16" ht="13.2">
      <c r="F374" s="305"/>
      <c r="G374" s="306"/>
      <c r="H374" s="2"/>
      <c r="I374" s="304"/>
      <c r="J374" s="136"/>
      <c r="K374" s="67"/>
      <c r="L374" s="30">
        <f>SUMIF('Xuất kho'!$D$1:$D$2955,C374,'Xuất kho'!$H$1:$H$2955)</f>
        <v>0</v>
      </c>
      <c r="M374" s="30">
        <f>SUMIF('Xuất kho'!$D$8:$D$2955,C374,'Xuất kho'!$I$8:$I$2955)</f>
        <v>0</v>
      </c>
      <c r="O374" s="30">
        <f>SUMIF('Xuất kho'!$D$3:$D$2721,C374,'Xuất kho'!$K$3:$K$2721)</f>
        <v>0</v>
      </c>
      <c r="P374" s="274"/>
    </row>
    <row r="375" spans="6:16" ht="13.2">
      <c r="F375" s="305"/>
      <c r="G375" s="306"/>
      <c r="H375" s="2"/>
      <c r="I375" s="304"/>
      <c r="J375" s="136"/>
      <c r="K375" s="67"/>
      <c r="L375" s="30">
        <f>SUMIF('Xuất kho'!$D$1:$D$2955,C375,'Xuất kho'!$H$1:$H$2955)</f>
        <v>0</v>
      </c>
      <c r="M375" s="30">
        <f>SUMIF('Xuất kho'!$D$8:$D$2955,C375,'Xuất kho'!$I$8:$I$2955)</f>
        <v>0</v>
      </c>
      <c r="O375" s="30">
        <f>SUMIF('Xuất kho'!$D$3:$D$2721,C375,'Xuất kho'!$K$3:$K$2721)</f>
        <v>0</v>
      </c>
      <c r="P375" s="274"/>
    </row>
    <row r="376" spans="6:16" ht="13.2">
      <c r="F376" s="305"/>
      <c r="G376" s="306"/>
      <c r="H376" s="2"/>
      <c r="I376" s="304"/>
      <c r="J376" s="136"/>
      <c r="K376" s="67"/>
      <c r="L376" s="30">
        <f>SUMIF('Xuất kho'!$D$1:$D$2955,C376,'Xuất kho'!$H$1:$H$2955)</f>
        <v>0</v>
      </c>
      <c r="M376" s="30">
        <f>SUMIF('Xuất kho'!$D$8:$D$2955,C376,'Xuất kho'!$I$8:$I$2955)</f>
        <v>0</v>
      </c>
      <c r="O376" s="30">
        <f>SUMIF('Xuất kho'!$D$3:$D$2721,C376,'Xuất kho'!$K$3:$K$2721)</f>
        <v>0</v>
      </c>
      <c r="P376" s="274"/>
    </row>
    <row r="377" spans="6:16" ht="13.2">
      <c r="F377" s="305"/>
      <c r="G377" s="306"/>
      <c r="H377" s="2"/>
      <c r="I377" s="304"/>
      <c r="J377" s="136"/>
      <c r="K377" s="67"/>
      <c r="L377" s="30">
        <f>SUMIF('Xuất kho'!$D$1:$D$2955,C377,'Xuất kho'!$H$1:$H$2955)</f>
        <v>0</v>
      </c>
      <c r="M377" s="30">
        <f>SUMIF('Xuất kho'!$D$8:$D$2955,C377,'Xuất kho'!$I$8:$I$2955)</f>
        <v>0</v>
      </c>
      <c r="O377" s="30">
        <f>SUMIF('Xuất kho'!$D$3:$D$2721,C377,'Xuất kho'!$K$3:$K$2721)</f>
        <v>0</v>
      </c>
      <c r="P377" s="274"/>
    </row>
    <row r="378" spans="6:16" ht="13.2">
      <c r="F378" s="305"/>
      <c r="G378" s="306"/>
      <c r="H378" s="2"/>
      <c r="I378" s="304"/>
      <c r="J378" s="136"/>
      <c r="K378" s="67"/>
      <c r="L378" s="30">
        <f>SUMIF('Xuất kho'!$D$1:$D$2955,C378,'Xuất kho'!$H$1:$H$2955)</f>
        <v>0</v>
      </c>
      <c r="M378" s="30">
        <f>SUMIF('Xuất kho'!$D$8:$D$2955,C378,'Xuất kho'!$I$8:$I$2955)</f>
        <v>0</v>
      </c>
      <c r="O378" s="30">
        <f>SUMIF('Xuất kho'!$D$3:$D$2721,C378,'Xuất kho'!$K$3:$K$2721)</f>
        <v>0</v>
      </c>
      <c r="P378" s="274"/>
    </row>
    <row r="379" spans="6:16" ht="13.2">
      <c r="F379" s="305"/>
      <c r="G379" s="306"/>
      <c r="H379" s="2"/>
      <c r="I379" s="304"/>
      <c r="J379" s="136"/>
      <c r="K379" s="67"/>
      <c r="L379" s="30">
        <f>SUMIF('Xuất kho'!$D$1:$D$2955,C379,'Xuất kho'!$H$1:$H$2955)</f>
        <v>0</v>
      </c>
      <c r="M379" s="30">
        <f>SUMIF('Xuất kho'!$D$8:$D$2955,C379,'Xuất kho'!$I$8:$I$2955)</f>
        <v>0</v>
      </c>
      <c r="O379" s="30">
        <f>SUMIF('Xuất kho'!$D$3:$D$2721,C379,'Xuất kho'!$K$3:$K$2721)</f>
        <v>0</v>
      </c>
      <c r="P379" s="274"/>
    </row>
    <row r="380" spans="6:16" ht="13.2">
      <c r="F380" s="305"/>
      <c r="G380" s="306"/>
      <c r="H380" s="2"/>
      <c r="I380" s="304"/>
      <c r="J380" s="136"/>
      <c r="K380" s="67"/>
      <c r="M380" s="30">
        <f>SUMIF('Xuất kho'!$D$8:$D$2955,C380,'Xuất kho'!$I$8:$I$2955)</f>
        <v>0</v>
      </c>
      <c r="O380" s="30">
        <f>SUMIF('Xuất kho'!$D$3:$D$2721,C380,'Xuất kho'!$K$3:$K$2721)</f>
        <v>0</v>
      </c>
      <c r="P380" s="274"/>
    </row>
    <row r="381" spans="6:16" ht="13.2">
      <c r="F381" s="305"/>
      <c r="G381" s="306"/>
      <c r="H381" s="2"/>
      <c r="I381" s="304"/>
      <c r="J381" s="136"/>
      <c r="K381" s="67"/>
      <c r="M381" s="30">
        <f>SUMIF('Xuất kho'!$D$8:$D$2955,C381,'Xuất kho'!$I$8:$I$2955)</f>
        <v>0</v>
      </c>
      <c r="O381" s="30">
        <f>SUMIF('Xuất kho'!$D$3:$D$2721,C381,'Xuất kho'!$K$3:$K$2721)</f>
        <v>0</v>
      </c>
      <c r="P381" s="274"/>
    </row>
    <row r="382" spans="6:16" ht="13.2">
      <c r="F382" s="305"/>
      <c r="G382" s="306"/>
      <c r="H382" s="2"/>
      <c r="I382" s="304"/>
      <c r="J382" s="136"/>
      <c r="K382" s="67"/>
      <c r="M382" s="30">
        <f>SUMIF('Xuất kho'!$D$8:$D$2955,C382,'Xuất kho'!$I$8:$I$2955)</f>
        <v>0</v>
      </c>
      <c r="O382" s="30">
        <f>SUMIF('Xuất kho'!$D$3:$D$2721,C382,'Xuất kho'!$K$3:$K$2721)</f>
        <v>0</v>
      </c>
      <c r="P382" s="274"/>
    </row>
    <row r="383" spans="6:16" ht="13.2">
      <c r="F383" s="305"/>
      <c r="G383" s="306"/>
      <c r="H383" s="2"/>
      <c r="I383" s="304"/>
      <c r="J383" s="136"/>
      <c r="K383" s="67"/>
      <c r="M383" s="30">
        <f>SUMIF('Xuất kho'!$D$8:$D$2955,C383,'Xuất kho'!$I$8:$I$2955)</f>
        <v>0</v>
      </c>
      <c r="O383" s="30">
        <f>SUMIF('Xuất kho'!$D$3:$D$2721,C383,'Xuất kho'!$K$3:$K$2721)</f>
        <v>0</v>
      </c>
      <c r="P383" s="274"/>
    </row>
    <row r="384" spans="6:16" ht="13.2">
      <c r="F384" s="305"/>
      <c r="G384" s="306"/>
      <c r="H384" s="2"/>
      <c r="I384" s="304"/>
      <c r="J384" s="136"/>
      <c r="K384" s="67"/>
      <c r="M384" s="30">
        <f>SUMIF('Xuất kho'!$D$8:$D$2955,C384,'Xuất kho'!$I$8:$I$2955)</f>
        <v>0</v>
      </c>
      <c r="O384" s="30">
        <f>SUMIF('Xuất kho'!$D$3:$D$2721,C384,'Xuất kho'!$K$3:$K$2721)</f>
        <v>0</v>
      </c>
      <c r="P384" s="274"/>
    </row>
    <row r="385" spans="6:16" ht="13.2">
      <c r="F385" s="305"/>
      <c r="G385" s="306"/>
      <c r="H385" s="2"/>
      <c r="I385" s="304"/>
      <c r="J385" s="136"/>
      <c r="K385" s="67"/>
      <c r="M385" s="30">
        <f>SUMIF('Xuất kho'!$D$8:$D$2955,C385,'Xuất kho'!$I$8:$I$2955)</f>
        <v>0</v>
      </c>
      <c r="O385" s="30">
        <f>SUMIF('Xuất kho'!$D$3:$D$2721,C385,'Xuất kho'!$K$3:$K$2721)</f>
        <v>0</v>
      </c>
      <c r="P385" s="274"/>
    </row>
    <row r="386" spans="6:16" ht="13.2">
      <c r="F386" s="305"/>
      <c r="G386" s="306"/>
      <c r="H386" s="2"/>
      <c r="I386" s="304"/>
      <c r="J386" s="136"/>
      <c r="K386" s="67"/>
      <c r="M386" s="30">
        <f>SUMIF('Xuất kho'!$D$8:$D$2955,C386,'Xuất kho'!$I$8:$I$2955)</f>
        <v>0</v>
      </c>
      <c r="O386" s="30">
        <f>SUMIF('Xuất kho'!$D$3:$D$2721,C386,'Xuất kho'!$K$3:$K$2721)</f>
        <v>0</v>
      </c>
      <c r="P386" s="274"/>
    </row>
    <row r="387" spans="6:16" ht="13.2">
      <c r="F387" s="305"/>
      <c r="G387" s="306"/>
      <c r="H387" s="2"/>
      <c r="I387" s="304"/>
      <c r="J387" s="136"/>
      <c r="K387" s="67"/>
      <c r="M387" s="30">
        <f>SUMIF('Xuất kho'!$D$8:$D$2955,C387,'Xuất kho'!$I$8:$I$2955)</f>
        <v>0</v>
      </c>
      <c r="O387" s="30">
        <f>SUMIF('Xuất kho'!$D$3:$D$2721,C387,'Xuất kho'!$K$3:$K$2721)</f>
        <v>0</v>
      </c>
      <c r="P387" s="274"/>
    </row>
    <row r="388" spans="6:16" ht="13.2">
      <c r="F388" s="305"/>
      <c r="G388" s="306"/>
      <c r="H388" s="2"/>
      <c r="I388" s="304"/>
      <c r="J388" s="136"/>
      <c r="K388" s="67"/>
      <c r="O388" s="30">
        <f>SUMIF('Xuất kho'!$D$3:$D$2721,C388,'Xuất kho'!$K$3:$K$2721)</f>
        <v>0</v>
      </c>
      <c r="P388" s="274"/>
    </row>
    <row r="389" spans="6:16" ht="13.2">
      <c r="F389" s="305"/>
      <c r="G389" s="306"/>
      <c r="H389" s="2"/>
      <c r="I389" s="304"/>
      <c r="J389" s="136"/>
      <c r="K389" s="67"/>
      <c r="O389" s="30">
        <f>SUMIF('Xuất kho'!$D$3:$D$2721,C389,'Xuất kho'!$K$3:$K$2721)</f>
        <v>0</v>
      </c>
      <c r="P389" s="274"/>
    </row>
    <row r="390" spans="6:16" ht="13.2">
      <c r="F390" s="305"/>
      <c r="G390" s="306"/>
      <c r="H390" s="2"/>
      <c r="I390" s="304"/>
      <c r="J390" s="136"/>
      <c r="K390" s="67"/>
      <c r="O390" s="30">
        <f>SUMIF('Xuất kho'!$D$3:$D$2721,C390,'Xuất kho'!$K$3:$K$2721)</f>
        <v>0</v>
      </c>
      <c r="P390" s="274"/>
    </row>
    <row r="391" spans="6:16" ht="13.2">
      <c r="F391" s="305"/>
      <c r="G391" s="306"/>
      <c r="H391" s="2"/>
      <c r="I391" s="304"/>
      <c r="J391" s="136"/>
      <c r="K391" s="67"/>
      <c r="O391" s="30">
        <f>SUMIF('Xuất kho'!$D$3:$D$2721,C391,'Xuất kho'!$K$3:$K$2721)</f>
        <v>0</v>
      </c>
      <c r="P391" s="274"/>
    </row>
    <row r="392" spans="6:16" ht="13.2">
      <c r="F392" s="305"/>
      <c r="G392" s="306"/>
      <c r="H392" s="2"/>
      <c r="I392" s="304"/>
      <c r="J392" s="136"/>
      <c r="K392" s="67"/>
      <c r="O392" s="30">
        <f>SUMIF('Xuất kho'!$D$3:$D$922,C392,'Xuất kho'!$K$3:$L$2721)</f>
        <v>0</v>
      </c>
      <c r="P392" s="274"/>
    </row>
    <row r="393" spans="6:16" ht="13.2">
      <c r="F393" s="305"/>
      <c r="G393" s="306"/>
      <c r="H393" s="2"/>
      <c r="I393" s="304"/>
      <c r="J393" s="136"/>
      <c r="K393" s="67"/>
      <c r="O393" s="30">
        <f>SUMIF('Xuất kho'!$D$3:$D$922,C393,'Xuất kho'!$K$3:$L$2721)</f>
        <v>0</v>
      </c>
      <c r="P393" s="274"/>
    </row>
    <row r="394" spans="6:16" ht="13.2">
      <c r="F394" s="305"/>
      <c r="G394" s="306"/>
      <c r="H394" s="2"/>
      <c r="I394" s="304"/>
      <c r="J394" s="136"/>
      <c r="K394" s="67"/>
      <c r="O394" s="30">
        <f>SUMIF('Xuất kho'!$D$3:$D$922,C394,'Xuất kho'!$K$3:$L$2721)</f>
        <v>0</v>
      </c>
      <c r="P394" s="274"/>
    </row>
    <row r="395" spans="6:16" ht="13.2">
      <c r="F395" s="305"/>
      <c r="G395" s="306"/>
      <c r="H395" s="2"/>
      <c r="I395" s="304"/>
      <c r="J395" s="136"/>
      <c r="K395" s="67"/>
      <c r="O395" s="30">
        <f>SUMIF('Xuất kho'!$D$3:$D$922,C395,'Xuất kho'!$K$3:$L$2721)</f>
        <v>0</v>
      </c>
      <c r="P395" s="274"/>
    </row>
    <row r="396" spans="6:16" ht="13.2">
      <c r="F396" s="305"/>
      <c r="G396" s="306"/>
      <c r="H396" s="2"/>
      <c r="I396" s="304"/>
      <c r="J396" s="136"/>
      <c r="K396" s="67"/>
      <c r="O396" s="30">
        <f>SUMIF('Xuất kho'!$D$3:$D$922,C396,'Xuất kho'!$K$3:$L$2721)</f>
        <v>0</v>
      </c>
      <c r="P396" s="274"/>
    </row>
    <row r="397" spans="6:16" ht="13.2">
      <c r="F397" s="305"/>
      <c r="G397" s="306"/>
      <c r="H397" s="2"/>
      <c r="I397" s="304"/>
      <c r="J397" s="136"/>
      <c r="K397" s="67"/>
      <c r="O397" s="30">
        <f>SUMIF('Xuất kho'!$D$3:$D$922,C397,'Xuất kho'!$K$3:$L$2721)</f>
        <v>0</v>
      </c>
      <c r="P397" s="274"/>
    </row>
    <row r="398" spans="6:16" ht="13.2">
      <c r="F398" s="305"/>
      <c r="G398" s="306"/>
      <c r="H398" s="2"/>
      <c r="I398" s="304"/>
      <c r="J398" s="136"/>
      <c r="K398" s="67"/>
      <c r="O398" s="30">
        <f>SUMIF('Xuất kho'!$D$3:$D$922,C398,'Xuất kho'!$K$3:$L$2721)</f>
        <v>0</v>
      </c>
      <c r="P398" s="274"/>
    </row>
    <row r="399" spans="6:16" ht="13.2">
      <c r="F399" s="305"/>
      <c r="G399" s="306"/>
      <c r="H399" s="2"/>
      <c r="I399" s="304"/>
      <c r="J399" s="136"/>
      <c r="K399" s="67"/>
      <c r="O399" s="30">
        <f>SUMIF('Xuất kho'!$D$3:$D$922,C399,'Xuất kho'!$K$3:$L$2721)</f>
        <v>0</v>
      </c>
      <c r="P399" s="274"/>
    </row>
    <row r="400" spans="6:16" ht="13.2">
      <c r="F400" s="305"/>
      <c r="G400" s="306"/>
      <c r="H400" s="2"/>
      <c r="I400" s="304"/>
      <c r="J400" s="136"/>
      <c r="K400" s="67"/>
      <c r="O400" s="30">
        <f>SUMIF('Xuất kho'!$D$3:$D$922,C400,'Xuất kho'!$K$3:$L$2721)</f>
        <v>0</v>
      </c>
      <c r="P400" s="274"/>
    </row>
    <row r="401" spans="6:16" ht="13.2">
      <c r="F401" s="305"/>
      <c r="G401" s="306"/>
      <c r="H401" s="2"/>
      <c r="I401" s="304"/>
      <c r="J401" s="136"/>
      <c r="K401" s="67"/>
      <c r="O401" s="30">
        <f>SUMIF('Xuất kho'!$D$3:$D$922,C401,'Xuất kho'!$K$3:$L$2721)</f>
        <v>0</v>
      </c>
      <c r="P401" s="274"/>
    </row>
    <row r="402" spans="6:16" ht="13.2">
      <c r="F402" s="305"/>
      <c r="G402" s="306"/>
      <c r="H402" s="2"/>
      <c r="I402" s="304"/>
      <c r="J402" s="136"/>
      <c r="K402" s="67"/>
      <c r="O402" s="30">
        <f>SUMIF('Xuất kho'!$D$3:$D$922,C402,'Xuất kho'!$K$3:$L$2721)</f>
        <v>0</v>
      </c>
      <c r="P402" s="274"/>
    </row>
    <row r="403" spans="6:16" ht="13.2">
      <c r="F403" s="305"/>
      <c r="G403" s="306"/>
      <c r="H403" s="2"/>
      <c r="I403" s="304"/>
      <c r="J403" s="136"/>
      <c r="K403" s="67"/>
      <c r="O403" s="30">
        <f>SUMIF('Xuất kho'!$D$3:$D$922,C403,'Xuất kho'!$K$3:$L$2721)</f>
        <v>0</v>
      </c>
      <c r="P403" s="274"/>
    </row>
    <row r="404" spans="6:16" ht="13.2">
      <c r="F404" s="305"/>
      <c r="G404" s="306"/>
      <c r="H404" s="2"/>
      <c r="I404" s="304"/>
      <c r="J404" s="136"/>
      <c r="K404" s="67"/>
      <c r="O404" s="30">
        <f>SUMIF('Xuất kho'!$D$3:$D$922,C404,'Xuất kho'!$K$3:$L$2721)</f>
        <v>0</v>
      </c>
      <c r="P404" s="274"/>
    </row>
    <row r="405" spans="6:16" ht="13.2">
      <c r="F405" s="305"/>
      <c r="G405" s="306"/>
      <c r="H405" s="2"/>
      <c r="I405" s="304"/>
      <c r="J405" s="136"/>
      <c r="K405" s="67"/>
      <c r="O405" s="30">
        <f>SUMIF('Xuất kho'!$D$3:$D$922,C405,'Xuất kho'!$K$3:$L$2721)</f>
        <v>0</v>
      </c>
      <c r="P405" s="274"/>
    </row>
    <row r="406" spans="6:16" ht="13.2">
      <c r="F406" s="305"/>
      <c r="G406" s="306"/>
      <c r="H406" s="2"/>
      <c r="I406" s="304"/>
      <c r="J406" s="136"/>
      <c r="K406" s="67"/>
      <c r="O406" s="30">
        <f>SUMIF('Xuất kho'!$D$3:$D$922,C406,'Xuất kho'!$K$3:$L$2721)</f>
        <v>0</v>
      </c>
      <c r="P406" s="274"/>
    </row>
    <row r="407" spans="6:16" ht="13.2">
      <c r="F407" s="305"/>
      <c r="G407" s="306"/>
      <c r="H407" s="2"/>
      <c r="I407" s="304"/>
      <c r="J407" s="136"/>
      <c r="K407" s="67"/>
      <c r="O407" s="30">
        <f>SUMIF('Xuất kho'!$D$3:$D$922,C407,'Xuất kho'!$K$3:$L$2721)</f>
        <v>0</v>
      </c>
      <c r="P407" s="274"/>
    </row>
    <row r="408" spans="6:16" ht="13.2">
      <c r="F408" s="305"/>
      <c r="G408" s="306"/>
      <c r="H408" s="2"/>
      <c r="I408" s="304"/>
      <c r="J408" s="136"/>
      <c r="K408" s="67"/>
      <c r="O408" s="30">
        <f>SUMIF('Xuất kho'!$D$3:$D$922,C408,'Xuất kho'!$K$3:$L$2721)</f>
        <v>0</v>
      </c>
      <c r="P408" s="274"/>
    </row>
    <row r="409" spans="6:16" ht="13.2">
      <c r="F409" s="305"/>
      <c r="G409" s="306"/>
      <c r="H409" s="2"/>
      <c r="I409" s="304"/>
      <c r="J409" s="136"/>
      <c r="K409" s="67"/>
      <c r="O409" s="30">
        <f>SUMIF('Xuất kho'!$D$3:$D$922,C409,'Xuất kho'!$K$3:$L$2721)</f>
        <v>0</v>
      </c>
      <c r="P409" s="274"/>
    </row>
    <row r="410" spans="6:16" ht="13.2">
      <c r="F410" s="305"/>
      <c r="G410" s="306"/>
      <c r="H410" s="2"/>
      <c r="I410" s="304"/>
      <c r="J410" s="136"/>
      <c r="K410" s="67"/>
      <c r="O410" s="30">
        <f>SUMIF('Xuất kho'!$D$3:$D$922,C410,'Xuất kho'!$K$3:$L$2721)</f>
        <v>0</v>
      </c>
      <c r="P410" s="274"/>
    </row>
    <row r="411" spans="6:16" ht="13.2">
      <c r="F411" s="305"/>
      <c r="G411" s="306"/>
      <c r="H411" s="2"/>
      <c r="I411" s="304"/>
      <c r="J411" s="136"/>
      <c r="K411" s="67"/>
      <c r="O411" s="30">
        <f>SUMIF('Xuất kho'!$D$3:$D$922,C411,'Xuất kho'!$K$3:$L$2721)</f>
        <v>0</v>
      </c>
      <c r="P411" s="274"/>
    </row>
    <row r="412" spans="6:16" ht="13.2">
      <c r="F412" s="305"/>
      <c r="G412" s="306"/>
      <c r="H412" s="2"/>
      <c r="I412" s="304"/>
      <c r="J412" s="136"/>
      <c r="K412" s="67"/>
      <c r="O412" s="30">
        <f>SUMIF('Xuất kho'!$D$3:$D$922,C412,'Xuất kho'!$K$3:$L$2721)</f>
        <v>0</v>
      </c>
      <c r="P412" s="274"/>
    </row>
    <row r="413" spans="6:16" ht="13.2">
      <c r="F413" s="305"/>
      <c r="G413" s="306"/>
      <c r="H413" s="2"/>
      <c r="I413" s="304"/>
      <c r="J413" s="136"/>
      <c r="K413" s="67"/>
      <c r="O413" s="30">
        <f>SUMIF('Xuất kho'!$D$3:$D$922,C413,'Xuất kho'!$K$3:$L$2721)</f>
        <v>0</v>
      </c>
      <c r="P413" s="274"/>
    </row>
    <row r="414" spans="6:16" ht="13.2">
      <c r="F414" s="305"/>
      <c r="G414" s="306"/>
      <c r="H414" s="2"/>
      <c r="I414" s="304"/>
      <c r="J414" s="136"/>
      <c r="K414" s="67"/>
      <c r="O414" s="30">
        <f>SUMIF('Xuất kho'!$D$3:$D$922,C414,'Xuất kho'!$K$3:$L$2721)</f>
        <v>0</v>
      </c>
      <c r="P414" s="274"/>
    </row>
    <row r="415" spans="6:16" ht="13.2">
      <c r="F415" s="305"/>
      <c r="G415" s="306"/>
      <c r="H415" s="2"/>
      <c r="I415" s="304"/>
      <c r="J415" s="136"/>
      <c r="K415" s="67"/>
      <c r="O415" s="30">
        <f>SUMIF('Xuất kho'!$D$3:$D$922,C415,'Xuất kho'!$K$3:$L$2721)</f>
        <v>0</v>
      </c>
      <c r="P415" s="274"/>
    </row>
    <row r="416" spans="6:16" ht="13.2">
      <c r="F416" s="305"/>
      <c r="G416" s="306"/>
      <c r="H416" s="2"/>
      <c r="I416" s="304"/>
      <c r="J416" s="136"/>
      <c r="K416" s="67"/>
      <c r="O416" s="30">
        <f>SUMIF('Xuất kho'!$D$3:$D$922,C416,'Xuất kho'!$K$3:$L$2721)</f>
        <v>0</v>
      </c>
      <c r="P416" s="274"/>
    </row>
    <row r="417" spans="6:16" ht="13.2">
      <c r="F417" s="305"/>
      <c r="G417" s="306"/>
      <c r="H417" s="2"/>
      <c r="I417" s="304"/>
      <c r="J417" s="136"/>
      <c r="K417" s="67"/>
      <c r="O417" s="30">
        <f>SUMIF('Xuất kho'!$D$3:$D$922,C417,'Xuất kho'!$K$3:$L$2721)</f>
        <v>0</v>
      </c>
      <c r="P417" s="274"/>
    </row>
    <row r="418" spans="6:16" ht="13.2">
      <c r="F418" s="305"/>
      <c r="G418" s="306"/>
      <c r="H418" s="2"/>
      <c r="I418" s="304"/>
      <c r="J418" s="136"/>
      <c r="K418" s="67"/>
      <c r="O418" s="30">
        <f>SUMIF('Xuất kho'!$D$3:$D$922,C418,'Xuất kho'!$K$3:$L$2721)</f>
        <v>0</v>
      </c>
      <c r="P418" s="274"/>
    </row>
    <row r="419" spans="6:16" ht="13.2">
      <c r="F419" s="305"/>
      <c r="G419" s="306"/>
      <c r="H419" s="2"/>
      <c r="I419" s="304"/>
      <c r="J419" s="136"/>
      <c r="K419" s="67"/>
      <c r="O419" s="30">
        <f>SUMIF('Xuất kho'!$D$3:$D$922,C419,'Xuất kho'!$K$3:$L$2721)</f>
        <v>0</v>
      </c>
      <c r="P419" s="274"/>
    </row>
    <row r="420" spans="6:16" ht="13.2">
      <c r="F420" s="305"/>
      <c r="G420" s="306"/>
      <c r="H420" s="2"/>
      <c r="I420" s="304"/>
      <c r="J420" s="136"/>
      <c r="K420" s="67"/>
      <c r="O420" s="30">
        <f>SUMIF('Xuất kho'!$D$3:$D$922,C420,'Xuất kho'!$K$3:$L$2721)</f>
        <v>0</v>
      </c>
      <c r="P420" s="274"/>
    </row>
    <row r="421" spans="6:16" ht="13.2">
      <c r="F421" s="305"/>
      <c r="G421" s="306"/>
      <c r="H421" s="2"/>
      <c r="I421" s="304"/>
      <c r="J421" s="136"/>
      <c r="K421" s="67"/>
      <c r="O421" s="30"/>
      <c r="P421" s="274"/>
    </row>
    <row r="422" spans="6:16" ht="13.2">
      <c r="F422" s="305"/>
      <c r="G422" s="306"/>
      <c r="H422" s="2"/>
      <c r="I422" s="304"/>
      <c r="J422" s="136"/>
      <c r="K422" s="67"/>
      <c r="O422" s="30"/>
      <c r="P422" s="274"/>
    </row>
    <row r="423" spans="6:16" ht="13.2">
      <c r="F423" s="305"/>
      <c r="G423" s="306"/>
      <c r="H423" s="2"/>
      <c r="I423" s="304"/>
      <c r="J423" s="136"/>
      <c r="K423" s="67"/>
      <c r="O423" s="30"/>
      <c r="P423" s="274"/>
    </row>
    <row r="424" spans="6:16" ht="13.2">
      <c r="F424" s="305"/>
      <c r="G424" s="306"/>
      <c r="H424" s="2"/>
      <c r="I424" s="304"/>
      <c r="J424" s="136"/>
      <c r="K424" s="67"/>
      <c r="O424" s="30"/>
      <c r="P424" s="274"/>
    </row>
    <row r="425" spans="6:16" ht="13.2">
      <c r="F425" s="305"/>
      <c r="G425" s="306"/>
      <c r="H425" s="2"/>
      <c r="I425" s="304"/>
      <c r="J425" s="136"/>
      <c r="K425" s="67"/>
      <c r="O425" s="30"/>
      <c r="P425" s="274"/>
    </row>
    <row r="426" spans="6:16" ht="13.2">
      <c r="F426" s="305"/>
      <c r="G426" s="306"/>
      <c r="H426" s="2"/>
      <c r="I426" s="304"/>
      <c r="J426" s="136"/>
      <c r="K426" s="67"/>
      <c r="O426" s="30"/>
      <c r="P426" s="274"/>
    </row>
    <row r="427" spans="6:16" ht="13.2">
      <c r="F427" s="305"/>
      <c r="G427" s="306"/>
      <c r="H427" s="2"/>
      <c r="I427" s="304"/>
      <c r="J427" s="136"/>
      <c r="K427" s="67"/>
      <c r="O427" s="30"/>
      <c r="P427" s="274"/>
    </row>
    <row r="428" spans="6:16" ht="13.2">
      <c r="F428" s="305"/>
      <c r="G428" s="306"/>
      <c r="H428" s="2"/>
      <c r="I428" s="304"/>
      <c r="J428" s="136"/>
      <c r="K428" s="67"/>
      <c r="O428" s="30"/>
      <c r="P428" s="274"/>
    </row>
    <row r="429" spans="6:16" ht="13.2">
      <c r="F429" s="305"/>
      <c r="G429" s="306"/>
      <c r="H429" s="2"/>
      <c r="I429" s="304"/>
      <c r="J429" s="136"/>
      <c r="K429" s="67"/>
      <c r="O429" s="30"/>
      <c r="P429" s="274"/>
    </row>
    <row r="430" spans="6:16" ht="13.2">
      <c r="F430" s="305"/>
      <c r="G430" s="306"/>
      <c r="H430" s="2"/>
      <c r="I430" s="304"/>
      <c r="J430" s="136"/>
      <c r="K430" s="67"/>
      <c r="O430" s="30"/>
      <c r="P430" s="274"/>
    </row>
    <row r="431" spans="6:16" ht="13.2">
      <c r="F431" s="305"/>
      <c r="G431" s="306"/>
      <c r="H431" s="2"/>
      <c r="I431" s="304"/>
      <c r="J431" s="136"/>
      <c r="K431" s="67"/>
      <c r="O431" s="30"/>
      <c r="P431" s="274"/>
    </row>
    <row r="432" spans="6:16" ht="13.2">
      <c r="F432" s="305"/>
      <c r="G432" s="306"/>
      <c r="H432" s="2"/>
      <c r="I432" s="304"/>
      <c r="J432" s="136"/>
      <c r="K432" s="67"/>
      <c r="O432" s="30"/>
      <c r="P432" s="274"/>
    </row>
    <row r="433" spans="6:16" ht="13.2">
      <c r="F433" s="305"/>
      <c r="G433" s="306"/>
      <c r="H433" s="2"/>
      <c r="I433" s="304"/>
      <c r="J433" s="136"/>
      <c r="K433" s="67"/>
      <c r="O433" s="30"/>
      <c r="P433" s="274"/>
    </row>
    <row r="434" spans="6:16" ht="13.2">
      <c r="F434" s="305"/>
      <c r="G434" s="306"/>
      <c r="H434" s="2"/>
      <c r="I434" s="304"/>
      <c r="J434" s="136"/>
      <c r="K434" s="67"/>
      <c r="O434" s="30"/>
      <c r="P434" s="274"/>
    </row>
    <row r="435" spans="6:16" ht="13.2">
      <c r="F435" s="305"/>
      <c r="G435" s="306"/>
      <c r="H435" s="2"/>
      <c r="I435" s="304"/>
      <c r="J435" s="136"/>
      <c r="K435" s="67"/>
      <c r="O435" s="30"/>
      <c r="P435" s="274"/>
    </row>
    <row r="436" spans="6:16" ht="13.2">
      <c r="F436" s="305"/>
      <c r="G436" s="306"/>
      <c r="H436" s="2"/>
      <c r="I436" s="304"/>
      <c r="J436" s="136"/>
      <c r="K436" s="67"/>
      <c r="O436" s="30"/>
      <c r="P436" s="274"/>
    </row>
    <row r="437" spans="6:16" ht="13.2">
      <c r="F437" s="305"/>
      <c r="G437" s="306"/>
      <c r="H437" s="2"/>
      <c r="I437" s="304"/>
      <c r="J437" s="136"/>
      <c r="K437" s="67"/>
      <c r="O437" s="30"/>
      <c r="P437" s="274"/>
    </row>
    <row r="438" spans="6:16" ht="13.2">
      <c r="F438" s="305"/>
      <c r="G438" s="306"/>
      <c r="H438" s="2"/>
      <c r="I438" s="304"/>
      <c r="J438" s="136"/>
      <c r="K438" s="67"/>
      <c r="O438" s="30"/>
      <c r="P438" s="274"/>
    </row>
    <row r="439" spans="6:16" ht="13.2">
      <c r="F439" s="305"/>
      <c r="G439" s="306"/>
      <c r="H439" s="2"/>
      <c r="I439" s="304"/>
      <c r="J439" s="136"/>
      <c r="K439" s="67"/>
      <c r="O439" s="30"/>
      <c r="P439" s="274"/>
    </row>
    <row r="440" spans="6:16" ht="13.2">
      <c r="F440" s="305"/>
      <c r="G440" s="306"/>
      <c r="H440" s="2"/>
      <c r="I440" s="304"/>
      <c r="J440" s="136"/>
      <c r="K440" s="67"/>
      <c r="O440" s="30"/>
      <c r="P440" s="274"/>
    </row>
    <row r="441" spans="6:16" ht="13.2">
      <c r="F441" s="305"/>
      <c r="G441" s="306"/>
      <c r="H441" s="2"/>
      <c r="I441" s="304"/>
      <c r="J441" s="136"/>
      <c r="K441" s="67"/>
      <c r="O441" s="30"/>
      <c r="P441" s="274"/>
    </row>
    <row r="442" spans="6:16" ht="13.2">
      <c r="F442" s="305"/>
      <c r="G442" s="306"/>
      <c r="H442" s="2"/>
      <c r="I442" s="304"/>
      <c r="J442" s="136"/>
      <c r="K442" s="67"/>
      <c r="O442" s="30"/>
      <c r="P442" s="274"/>
    </row>
    <row r="443" spans="6:16" ht="13.2">
      <c r="F443" s="305"/>
      <c r="G443" s="306"/>
      <c r="H443" s="2"/>
      <c r="I443" s="304"/>
      <c r="J443" s="136"/>
      <c r="K443" s="67"/>
      <c r="O443" s="30"/>
      <c r="P443" s="274"/>
    </row>
    <row r="444" spans="6:16" ht="13.2">
      <c r="F444" s="305"/>
      <c r="G444" s="306"/>
      <c r="H444" s="2"/>
      <c r="I444" s="304"/>
      <c r="J444" s="136"/>
      <c r="K444" s="67"/>
      <c r="O444" s="30"/>
      <c r="P444" s="274"/>
    </row>
    <row r="445" spans="6:16" ht="13.2">
      <c r="F445" s="305"/>
      <c r="G445" s="306"/>
      <c r="H445" s="2"/>
      <c r="I445" s="304"/>
      <c r="J445" s="136"/>
      <c r="K445" s="67"/>
      <c r="O445" s="30"/>
      <c r="P445" s="274"/>
    </row>
    <row r="446" spans="6:16" ht="13.2">
      <c r="F446" s="305"/>
      <c r="G446" s="306"/>
      <c r="H446" s="2"/>
      <c r="I446" s="304"/>
      <c r="J446" s="136"/>
      <c r="K446" s="67"/>
      <c r="O446" s="30"/>
      <c r="P446" s="274"/>
    </row>
    <row r="447" spans="6:16" ht="13.2">
      <c r="F447" s="305"/>
      <c r="G447" s="306"/>
      <c r="H447" s="2"/>
      <c r="I447" s="304"/>
      <c r="J447" s="136"/>
      <c r="K447" s="67"/>
      <c r="O447" s="30"/>
      <c r="P447" s="274"/>
    </row>
    <row r="448" spans="6:16" ht="13.2">
      <c r="F448" s="305"/>
      <c r="G448" s="306"/>
      <c r="H448" s="2"/>
      <c r="I448" s="304"/>
      <c r="J448" s="136"/>
      <c r="K448" s="67"/>
      <c r="O448" s="30"/>
      <c r="P448" s="274"/>
    </row>
    <row r="449" spans="6:16" ht="13.2">
      <c r="F449" s="305"/>
      <c r="G449" s="306"/>
      <c r="H449" s="2"/>
      <c r="I449" s="304"/>
      <c r="J449" s="136"/>
      <c r="K449" s="67"/>
      <c r="O449" s="30"/>
      <c r="P449" s="274"/>
    </row>
    <row r="450" spans="6:16" ht="13.2">
      <c r="F450" s="305"/>
      <c r="G450" s="306"/>
      <c r="H450" s="2"/>
      <c r="I450" s="304"/>
      <c r="J450" s="136"/>
      <c r="K450" s="67"/>
      <c r="O450" s="30"/>
      <c r="P450" s="274"/>
    </row>
    <row r="451" spans="6:16" ht="13.2">
      <c r="F451" s="305"/>
      <c r="G451" s="306"/>
      <c r="H451" s="2"/>
      <c r="I451" s="304"/>
      <c r="J451" s="136"/>
      <c r="K451" s="67"/>
      <c r="O451" s="30"/>
      <c r="P451" s="274"/>
    </row>
    <row r="452" spans="6:16" ht="13.2">
      <c r="F452" s="305"/>
      <c r="G452" s="306"/>
      <c r="H452" s="2"/>
      <c r="I452" s="304"/>
      <c r="J452" s="136"/>
      <c r="K452" s="67"/>
      <c r="O452" s="30"/>
      <c r="P452" s="274"/>
    </row>
    <row r="453" spans="6:16" ht="13.2">
      <c r="F453" s="305"/>
      <c r="G453" s="306"/>
      <c r="H453" s="2"/>
      <c r="I453" s="304"/>
      <c r="J453" s="136"/>
      <c r="K453" s="67"/>
      <c r="O453" s="30"/>
      <c r="P453" s="274"/>
    </row>
    <row r="454" spans="6:16" ht="13.2">
      <c r="F454" s="305"/>
      <c r="G454" s="306"/>
      <c r="H454" s="2"/>
      <c r="I454" s="304"/>
      <c r="J454" s="136"/>
      <c r="K454" s="67"/>
      <c r="O454" s="30"/>
      <c r="P454" s="274"/>
    </row>
    <row r="455" spans="6:16" ht="13.2">
      <c r="F455" s="305"/>
      <c r="G455" s="306"/>
      <c r="H455" s="2"/>
      <c r="I455" s="304"/>
      <c r="J455" s="136"/>
      <c r="K455" s="67"/>
      <c r="O455" s="30"/>
      <c r="P455" s="274"/>
    </row>
    <row r="456" spans="6:16" ht="13.2">
      <c r="F456" s="305"/>
      <c r="G456" s="306"/>
      <c r="H456" s="2"/>
      <c r="I456" s="304"/>
      <c r="J456" s="136"/>
      <c r="K456" s="67"/>
      <c r="O456" s="30"/>
      <c r="P456" s="274"/>
    </row>
    <row r="457" spans="6:16" ht="13.2">
      <c r="F457" s="305"/>
      <c r="G457" s="306"/>
      <c r="H457" s="2"/>
      <c r="I457" s="304"/>
      <c r="J457" s="136"/>
      <c r="K457" s="67"/>
      <c r="O457" s="30"/>
      <c r="P457" s="274"/>
    </row>
    <row r="458" spans="6:16" ht="13.2">
      <c r="F458" s="305"/>
      <c r="G458" s="306"/>
      <c r="H458" s="2"/>
      <c r="I458" s="304"/>
      <c r="J458" s="136"/>
      <c r="K458" s="67"/>
      <c r="O458" s="30"/>
      <c r="P458" s="274"/>
    </row>
    <row r="459" spans="6:16" ht="13.2">
      <c r="F459" s="305"/>
      <c r="G459" s="306"/>
      <c r="H459" s="2"/>
      <c r="I459" s="304"/>
      <c r="J459" s="136"/>
      <c r="K459" s="67"/>
      <c r="O459" s="30"/>
      <c r="P459" s="274"/>
    </row>
    <row r="460" spans="6:16" ht="13.2">
      <c r="F460" s="305"/>
      <c r="G460" s="306"/>
      <c r="H460" s="2"/>
      <c r="I460" s="304"/>
      <c r="J460" s="136"/>
      <c r="K460" s="67"/>
      <c r="O460" s="30"/>
      <c r="P460" s="274"/>
    </row>
    <row r="461" spans="6:16" ht="13.2">
      <c r="F461" s="305"/>
      <c r="G461" s="306"/>
      <c r="H461" s="2"/>
      <c r="I461" s="304"/>
      <c r="J461" s="136"/>
      <c r="K461" s="67"/>
      <c r="O461" s="30"/>
      <c r="P461" s="274"/>
    </row>
    <row r="462" spans="6:16" ht="13.2">
      <c r="F462" s="305"/>
      <c r="G462" s="306"/>
      <c r="H462" s="2"/>
      <c r="I462" s="304"/>
      <c r="J462" s="136"/>
      <c r="K462" s="67"/>
      <c r="O462" s="30"/>
      <c r="P462" s="274"/>
    </row>
    <row r="463" spans="6:16" ht="13.2">
      <c r="F463" s="305"/>
      <c r="G463" s="306"/>
      <c r="H463" s="2"/>
      <c r="I463" s="304"/>
      <c r="J463" s="136"/>
      <c r="K463" s="67"/>
      <c r="O463" s="30"/>
      <c r="P463" s="274"/>
    </row>
    <row r="464" spans="6:16" ht="13.2">
      <c r="F464" s="305"/>
      <c r="G464" s="306"/>
      <c r="H464" s="2"/>
      <c r="I464" s="304"/>
      <c r="J464" s="136"/>
      <c r="K464" s="67"/>
      <c r="O464" s="30"/>
      <c r="P464" s="274"/>
    </row>
    <row r="465" spans="6:16" ht="13.2">
      <c r="F465" s="305"/>
      <c r="G465" s="306"/>
      <c r="H465" s="2"/>
      <c r="I465" s="304"/>
      <c r="J465" s="136"/>
      <c r="K465" s="67"/>
      <c r="O465" s="30"/>
      <c r="P465" s="274"/>
    </row>
    <row r="466" spans="6:16" ht="13.2">
      <c r="F466" s="305"/>
      <c r="G466" s="306"/>
      <c r="H466" s="2"/>
      <c r="I466" s="304"/>
      <c r="J466" s="136"/>
      <c r="K466" s="67"/>
      <c r="O466" s="30"/>
      <c r="P466" s="274"/>
    </row>
    <row r="467" spans="6:16" ht="13.2">
      <c r="F467" s="305"/>
      <c r="G467" s="306"/>
      <c r="H467" s="2"/>
      <c r="I467" s="304"/>
      <c r="J467" s="136"/>
      <c r="K467" s="67"/>
      <c r="O467" s="30"/>
      <c r="P467" s="274"/>
    </row>
    <row r="468" spans="6:16" ht="13.2">
      <c r="F468" s="305"/>
      <c r="G468" s="306"/>
      <c r="H468" s="2"/>
      <c r="I468" s="304"/>
      <c r="J468" s="136"/>
      <c r="K468" s="67"/>
      <c r="O468" s="30"/>
      <c r="P468" s="274"/>
    </row>
    <row r="469" spans="6:16" ht="13.2">
      <c r="F469" s="305"/>
      <c r="G469" s="306"/>
      <c r="H469" s="2"/>
      <c r="I469" s="304"/>
      <c r="J469" s="136"/>
      <c r="K469" s="67"/>
      <c r="O469" s="30"/>
      <c r="P469" s="274"/>
    </row>
    <row r="470" spans="6:16" ht="13.2">
      <c r="F470" s="305"/>
      <c r="G470" s="306"/>
      <c r="H470" s="2"/>
      <c r="I470" s="304"/>
      <c r="J470" s="136"/>
      <c r="K470" s="67"/>
      <c r="O470" s="30"/>
      <c r="P470" s="274"/>
    </row>
    <row r="471" spans="6:16" ht="13.2">
      <c r="F471" s="305"/>
      <c r="G471" s="306"/>
      <c r="H471" s="2"/>
      <c r="I471" s="304"/>
      <c r="J471" s="136"/>
      <c r="K471" s="67"/>
      <c r="O471" s="30"/>
      <c r="P471" s="274"/>
    </row>
    <row r="472" spans="6:16" ht="13.2">
      <c r="F472" s="305"/>
      <c r="G472" s="306"/>
      <c r="H472" s="2"/>
      <c r="I472" s="304"/>
      <c r="J472" s="136"/>
      <c r="K472" s="67"/>
      <c r="O472" s="30"/>
      <c r="P472" s="274"/>
    </row>
    <row r="473" spans="6:16" ht="13.2">
      <c r="F473" s="305"/>
      <c r="G473" s="306"/>
      <c r="H473" s="2"/>
      <c r="I473" s="304"/>
      <c r="J473" s="136"/>
      <c r="K473" s="67"/>
      <c r="O473" s="30"/>
      <c r="P473" s="274"/>
    </row>
    <row r="474" spans="6:16" ht="13.2">
      <c r="F474" s="305"/>
      <c r="G474" s="306"/>
      <c r="H474" s="2"/>
      <c r="I474" s="304"/>
      <c r="J474" s="136"/>
      <c r="K474" s="67"/>
      <c r="O474" s="30"/>
      <c r="P474" s="274"/>
    </row>
    <row r="475" spans="6:16" ht="13.2">
      <c r="F475" s="305"/>
      <c r="G475" s="306"/>
      <c r="H475" s="2"/>
      <c r="I475" s="304"/>
      <c r="J475" s="136"/>
      <c r="K475" s="67"/>
      <c r="O475" s="30"/>
      <c r="P475" s="274"/>
    </row>
    <row r="476" spans="6:16" ht="13.2">
      <c r="F476" s="305"/>
      <c r="G476" s="306"/>
      <c r="H476" s="2"/>
      <c r="I476" s="304"/>
      <c r="J476" s="136"/>
      <c r="K476" s="67"/>
      <c r="O476" s="30"/>
      <c r="P476" s="274"/>
    </row>
    <row r="477" spans="6:16" ht="13.2">
      <c r="F477" s="305"/>
      <c r="G477" s="306"/>
      <c r="H477" s="2"/>
      <c r="I477" s="304"/>
      <c r="J477" s="136"/>
      <c r="K477" s="67"/>
      <c r="O477" s="30"/>
      <c r="P477" s="274"/>
    </row>
    <row r="478" spans="6:16" ht="13.2">
      <c r="F478" s="305"/>
      <c r="G478" s="306"/>
      <c r="H478" s="2"/>
      <c r="I478" s="304"/>
      <c r="J478" s="136"/>
      <c r="K478" s="67"/>
      <c r="O478" s="30"/>
      <c r="P478" s="274"/>
    </row>
    <row r="479" spans="6:16" ht="13.2">
      <c r="F479" s="305"/>
      <c r="G479" s="306"/>
      <c r="H479" s="2"/>
      <c r="I479" s="304"/>
      <c r="J479" s="136"/>
      <c r="K479" s="67"/>
      <c r="O479" s="30"/>
      <c r="P479" s="274"/>
    </row>
    <row r="480" spans="6:16" ht="13.2">
      <c r="F480" s="305"/>
      <c r="G480" s="306"/>
      <c r="H480" s="2"/>
      <c r="I480" s="304"/>
      <c r="J480" s="136"/>
      <c r="K480" s="67"/>
      <c r="O480" s="30"/>
      <c r="P480" s="274"/>
    </row>
    <row r="481" spans="6:16" ht="13.2">
      <c r="F481" s="305"/>
      <c r="G481" s="306"/>
      <c r="H481" s="2"/>
      <c r="I481" s="304"/>
      <c r="J481" s="136"/>
      <c r="K481" s="67"/>
      <c r="O481" s="30"/>
      <c r="P481" s="274"/>
    </row>
    <row r="482" spans="6:16" ht="13.2">
      <c r="F482" s="305"/>
      <c r="G482" s="306"/>
      <c r="H482" s="2"/>
      <c r="I482" s="304"/>
      <c r="J482" s="136"/>
      <c r="K482" s="67"/>
      <c r="O482" s="30"/>
      <c r="P482" s="274"/>
    </row>
    <row r="483" spans="6:16" ht="13.2">
      <c r="F483" s="305"/>
      <c r="G483" s="306"/>
      <c r="H483" s="2"/>
      <c r="I483" s="304"/>
      <c r="J483" s="136"/>
      <c r="K483" s="67"/>
      <c r="O483" s="30"/>
      <c r="P483" s="274"/>
    </row>
    <row r="484" spans="6:16" ht="13.2">
      <c r="F484" s="305"/>
      <c r="G484" s="306"/>
      <c r="H484" s="2"/>
      <c r="I484" s="304"/>
      <c r="J484" s="136"/>
      <c r="K484" s="67"/>
      <c r="O484" s="30"/>
      <c r="P484" s="274"/>
    </row>
    <row r="485" spans="6:16" ht="13.2">
      <c r="F485" s="305"/>
      <c r="G485" s="306"/>
      <c r="H485" s="2"/>
      <c r="I485" s="304"/>
      <c r="J485" s="136"/>
      <c r="K485" s="67"/>
      <c r="O485" s="30"/>
      <c r="P485" s="274"/>
    </row>
    <row r="486" spans="6:16" ht="13.2">
      <c r="F486" s="305"/>
      <c r="G486" s="306"/>
      <c r="H486" s="2"/>
      <c r="I486" s="304"/>
      <c r="J486" s="136"/>
      <c r="K486" s="67"/>
      <c r="O486" s="30"/>
      <c r="P486" s="274"/>
    </row>
    <row r="487" spans="6:16" ht="13.2">
      <c r="F487" s="305"/>
      <c r="G487" s="306"/>
      <c r="H487" s="2"/>
      <c r="I487" s="304"/>
      <c r="J487" s="136"/>
      <c r="K487" s="67"/>
      <c r="O487" s="30"/>
      <c r="P487" s="274"/>
    </row>
    <row r="488" spans="6:16" ht="13.2">
      <c r="F488" s="305"/>
      <c r="G488" s="306"/>
      <c r="H488" s="2"/>
      <c r="I488" s="304"/>
      <c r="J488" s="136"/>
      <c r="K488" s="67"/>
      <c r="O488" s="30"/>
      <c r="P488" s="274"/>
    </row>
    <row r="489" spans="6:16" ht="13.2">
      <c r="F489" s="305"/>
      <c r="G489" s="306"/>
      <c r="H489" s="2"/>
      <c r="I489" s="304"/>
      <c r="J489" s="136"/>
      <c r="K489" s="67"/>
      <c r="O489" s="30"/>
      <c r="P489" s="274"/>
    </row>
    <row r="490" spans="6:16" ht="13.2">
      <c r="F490" s="305"/>
      <c r="G490" s="306"/>
      <c r="H490" s="2"/>
      <c r="I490" s="304"/>
      <c r="J490" s="136"/>
      <c r="K490" s="67"/>
      <c r="O490" s="30"/>
      <c r="P490" s="274"/>
    </row>
    <row r="491" spans="6:16" ht="13.2">
      <c r="F491" s="305"/>
      <c r="G491" s="306"/>
      <c r="H491" s="2"/>
      <c r="I491" s="304"/>
      <c r="J491" s="136"/>
      <c r="K491" s="67"/>
      <c r="O491" s="30"/>
      <c r="P491" s="274"/>
    </row>
    <row r="492" spans="6:16" ht="13.2">
      <c r="F492" s="305"/>
      <c r="G492" s="306"/>
      <c r="H492" s="2"/>
      <c r="I492" s="304"/>
      <c r="J492" s="136"/>
      <c r="K492" s="67"/>
      <c r="O492" s="30"/>
      <c r="P492" s="274"/>
    </row>
    <row r="493" spans="6:16" ht="13.2">
      <c r="F493" s="305"/>
      <c r="G493" s="306"/>
      <c r="H493" s="2"/>
      <c r="I493" s="304"/>
      <c r="J493" s="136"/>
      <c r="K493" s="67"/>
      <c r="O493" s="30"/>
      <c r="P493" s="274"/>
    </row>
    <row r="494" spans="6:16" ht="13.2">
      <c r="F494" s="305"/>
      <c r="G494" s="306"/>
      <c r="H494" s="2"/>
      <c r="I494" s="304"/>
      <c r="J494" s="136"/>
      <c r="K494" s="67"/>
      <c r="O494" s="30"/>
      <c r="P494" s="274"/>
    </row>
    <row r="495" spans="6:16" ht="13.2">
      <c r="F495" s="305"/>
      <c r="G495" s="306"/>
      <c r="H495" s="2"/>
      <c r="I495" s="304"/>
      <c r="J495" s="136"/>
      <c r="K495" s="67"/>
      <c r="O495" s="30"/>
      <c r="P495" s="274"/>
    </row>
    <row r="496" spans="6:16" ht="13.2">
      <c r="F496" s="305"/>
      <c r="G496" s="306"/>
      <c r="H496" s="2"/>
      <c r="I496" s="304"/>
      <c r="J496" s="136"/>
      <c r="K496" s="67"/>
      <c r="O496" s="30"/>
      <c r="P496" s="274"/>
    </row>
    <row r="497" spans="6:16" ht="13.2">
      <c r="F497" s="305"/>
      <c r="G497" s="306"/>
      <c r="H497" s="2"/>
      <c r="I497" s="304"/>
      <c r="J497" s="136"/>
      <c r="K497" s="67"/>
      <c r="O497" s="30"/>
      <c r="P497" s="274"/>
    </row>
    <row r="498" spans="6:16" ht="13.2">
      <c r="F498" s="305"/>
      <c r="G498" s="306"/>
      <c r="H498" s="2"/>
      <c r="I498" s="304"/>
      <c r="J498" s="136"/>
      <c r="K498" s="67"/>
      <c r="O498" s="30"/>
      <c r="P498" s="274"/>
    </row>
    <row r="499" spans="6:16" ht="13.2">
      <c r="F499" s="305"/>
      <c r="G499" s="306"/>
      <c r="H499" s="2"/>
      <c r="I499" s="304"/>
      <c r="J499" s="136"/>
      <c r="K499" s="67"/>
      <c r="O499" s="30"/>
      <c r="P499" s="274"/>
    </row>
    <row r="500" spans="6:16" ht="13.2">
      <c r="F500" s="305"/>
      <c r="G500" s="306"/>
      <c r="H500" s="2"/>
      <c r="I500" s="304"/>
      <c r="J500" s="136"/>
      <c r="K500" s="67"/>
      <c r="O500" s="30"/>
      <c r="P500" s="274"/>
    </row>
    <row r="501" spans="6:16" ht="13.2">
      <c r="F501" s="305"/>
      <c r="G501" s="306"/>
      <c r="H501" s="2"/>
      <c r="I501" s="304"/>
      <c r="J501" s="136"/>
      <c r="K501" s="67"/>
      <c r="O501" s="30"/>
      <c r="P501" s="274"/>
    </row>
    <row r="502" spans="6:16" ht="13.2">
      <c r="F502" s="305"/>
      <c r="G502" s="306"/>
      <c r="H502" s="2"/>
      <c r="I502" s="304"/>
      <c r="J502" s="136"/>
      <c r="K502" s="67"/>
      <c r="O502" s="30"/>
      <c r="P502" s="274"/>
    </row>
    <row r="503" spans="6:16" ht="13.2">
      <c r="F503" s="305"/>
      <c r="G503" s="306"/>
      <c r="H503" s="2"/>
      <c r="I503" s="304"/>
      <c r="J503" s="136"/>
      <c r="K503" s="67"/>
      <c r="O503" s="30"/>
      <c r="P503" s="274"/>
    </row>
    <row r="504" spans="6:16" ht="13.2">
      <c r="F504" s="305"/>
      <c r="G504" s="306"/>
      <c r="H504" s="2"/>
      <c r="I504" s="304"/>
      <c r="J504" s="136"/>
      <c r="K504" s="67"/>
      <c r="O504" s="30"/>
      <c r="P504" s="274"/>
    </row>
    <row r="505" spans="6:16" ht="13.2">
      <c r="F505" s="305"/>
      <c r="G505" s="306"/>
      <c r="H505" s="2"/>
      <c r="I505" s="304"/>
      <c r="J505" s="136"/>
      <c r="K505" s="67"/>
      <c r="O505" s="30"/>
      <c r="P505" s="274"/>
    </row>
    <row r="506" spans="6:16" ht="13.2">
      <c r="F506" s="305"/>
      <c r="G506" s="306"/>
      <c r="H506" s="2"/>
      <c r="I506" s="304"/>
      <c r="J506" s="136"/>
      <c r="K506" s="67"/>
      <c r="O506" s="30"/>
      <c r="P506" s="274"/>
    </row>
    <row r="507" spans="6:16" ht="13.2">
      <c r="F507" s="305"/>
      <c r="G507" s="306"/>
      <c r="H507" s="2"/>
      <c r="I507" s="304"/>
      <c r="J507" s="136"/>
      <c r="K507" s="67"/>
      <c r="O507" s="30"/>
      <c r="P507" s="274"/>
    </row>
    <row r="508" spans="6:16" ht="13.2">
      <c r="F508" s="305"/>
      <c r="G508" s="306"/>
      <c r="H508" s="2"/>
      <c r="I508" s="304"/>
      <c r="J508" s="136"/>
      <c r="K508" s="67"/>
      <c r="O508" s="30"/>
      <c r="P508" s="274"/>
    </row>
    <row r="509" spans="6:16" ht="13.2">
      <c r="F509" s="305"/>
      <c r="G509" s="306"/>
      <c r="H509" s="2"/>
      <c r="I509" s="304"/>
      <c r="J509" s="136"/>
      <c r="K509" s="67"/>
      <c r="O509" s="30"/>
      <c r="P509" s="274"/>
    </row>
    <row r="510" spans="6:16" ht="13.2">
      <c r="F510" s="305"/>
      <c r="G510" s="306"/>
      <c r="H510" s="2"/>
      <c r="I510" s="304"/>
      <c r="J510" s="136"/>
      <c r="K510" s="67"/>
      <c r="O510" s="30"/>
      <c r="P510" s="274"/>
    </row>
    <row r="511" spans="6:16" ht="13.2">
      <c r="F511" s="305"/>
      <c r="G511" s="306"/>
      <c r="H511" s="2"/>
      <c r="I511" s="304"/>
      <c r="J511" s="136"/>
      <c r="K511" s="67"/>
      <c r="O511" s="30"/>
      <c r="P511" s="274"/>
    </row>
    <row r="512" spans="6:16" ht="13.2">
      <c r="F512" s="305"/>
      <c r="G512" s="306"/>
      <c r="H512" s="2"/>
      <c r="I512" s="304"/>
      <c r="J512" s="136"/>
      <c r="K512" s="67"/>
      <c r="O512" s="30"/>
      <c r="P512" s="274"/>
    </row>
    <row r="513" spans="6:16" ht="13.2">
      <c r="F513" s="305"/>
      <c r="G513" s="306"/>
      <c r="H513" s="2"/>
      <c r="I513" s="304"/>
      <c r="J513" s="136"/>
      <c r="K513" s="67"/>
      <c r="O513" s="30"/>
      <c r="P513" s="274"/>
    </row>
    <row r="514" spans="6:16" ht="13.2">
      <c r="F514" s="305"/>
      <c r="G514" s="306"/>
      <c r="H514" s="2"/>
      <c r="I514" s="304"/>
      <c r="J514" s="136"/>
      <c r="K514" s="67"/>
      <c r="O514" s="30"/>
      <c r="P514" s="274"/>
    </row>
    <row r="515" spans="6:16" ht="13.2">
      <c r="F515" s="305"/>
      <c r="G515" s="306"/>
      <c r="H515" s="2"/>
      <c r="I515" s="304"/>
      <c r="J515" s="136"/>
      <c r="K515" s="67"/>
      <c r="O515" s="30"/>
      <c r="P515" s="274"/>
    </row>
    <row r="516" spans="6:16" ht="13.2">
      <c r="F516" s="305"/>
      <c r="G516" s="306"/>
      <c r="H516" s="2"/>
      <c r="I516" s="304"/>
      <c r="J516" s="136"/>
      <c r="K516" s="67"/>
      <c r="O516" s="30"/>
      <c r="P516" s="274"/>
    </row>
    <row r="517" spans="6:16" ht="13.2">
      <c r="F517" s="305"/>
      <c r="G517" s="306"/>
      <c r="H517" s="2"/>
      <c r="I517" s="304"/>
      <c r="J517" s="136"/>
      <c r="K517" s="67"/>
      <c r="O517" s="30"/>
      <c r="P517" s="274"/>
    </row>
    <row r="518" spans="6:16" ht="13.2">
      <c r="F518" s="305"/>
      <c r="G518" s="306"/>
      <c r="H518" s="2"/>
      <c r="I518" s="304"/>
      <c r="J518" s="136"/>
      <c r="K518" s="67"/>
      <c r="O518" s="30"/>
      <c r="P518" s="274"/>
    </row>
    <row r="519" spans="6:16" ht="13.2">
      <c r="F519" s="305"/>
      <c r="G519" s="306"/>
      <c r="H519" s="2"/>
      <c r="I519" s="304"/>
      <c r="J519" s="136"/>
      <c r="K519" s="67"/>
      <c r="O519" s="30"/>
      <c r="P519" s="274"/>
    </row>
    <row r="520" spans="6:16" ht="13.2">
      <c r="F520" s="305"/>
      <c r="G520" s="306"/>
      <c r="H520" s="2"/>
      <c r="I520" s="304"/>
      <c r="J520" s="136"/>
      <c r="K520" s="67"/>
      <c r="O520" s="30"/>
      <c r="P520" s="274"/>
    </row>
    <row r="521" spans="6:16" ht="13.2">
      <c r="F521" s="305"/>
      <c r="G521" s="306"/>
      <c r="H521" s="2"/>
      <c r="I521" s="304"/>
      <c r="J521" s="136"/>
      <c r="K521" s="67"/>
      <c r="O521" s="30"/>
      <c r="P521" s="274"/>
    </row>
    <row r="522" spans="6:16" ht="13.2">
      <c r="F522" s="305"/>
      <c r="G522" s="306"/>
      <c r="H522" s="2"/>
      <c r="I522" s="304"/>
      <c r="J522" s="136"/>
      <c r="K522" s="67"/>
      <c r="O522" s="30"/>
      <c r="P522" s="274"/>
    </row>
    <row r="523" spans="6:16" ht="13.2">
      <c r="F523" s="305"/>
      <c r="G523" s="306"/>
      <c r="H523" s="2"/>
      <c r="I523" s="304"/>
      <c r="J523" s="136"/>
      <c r="K523" s="67"/>
      <c r="O523" s="30"/>
      <c r="P523" s="274"/>
    </row>
    <row r="524" spans="6:16" ht="13.2">
      <c r="F524" s="305"/>
      <c r="G524" s="306"/>
      <c r="H524" s="2"/>
      <c r="I524" s="304"/>
      <c r="J524" s="136"/>
      <c r="K524" s="67"/>
      <c r="O524" s="30"/>
      <c r="P524" s="274"/>
    </row>
    <row r="525" spans="6:16" ht="13.2">
      <c r="F525" s="305"/>
      <c r="G525" s="306"/>
      <c r="H525" s="2"/>
      <c r="I525" s="304"/>
      <c r="J525" s="136"/>
      <c r="K525" s="67"/>
      <c r="O525" s="30"/>
      <c r="P525" s="274"/>
    </row>
    <row r="526" spans="6:16" ht="13.2">
      <c r="F526" s="305"/>
      <c r="G526" s="306"/>
      <c r="H526" s="2"/>
      <c r="I526" s="304"/>
      <c r="J526" s="136"/>
      <c r="K526" s="67"/>
      <c r="O526" s="30"/>
      <c r="P526" s="274"/>
    </row>
    <row r="527" spans="6:16" ht="13.2">
      <c r="F527" s="305"/>
      <c r="G527" s="306"/>
      <c r="H527" s="2"/>
      <c r="I527" s="304"/>
      <c r="J527" s="136"/>
      <c r="K527" s="67"/>
      <c r="O527" s="30"/>
      <c r="P527" s="274"/>
    </row>
    <row r="528" spans="6:16" ht="13.2">
      <c r="F528" s="305"/>
      <c r="G528" s="306"/>
      <c r="H528" s="2"/>
      <c r="I528" s="304"/>
      <c r="J528" s="136"/>
      <c r="K528" s="67"/>
      <c r="O528" s="30"/>
      <c r="P528" s="274"/>
    </row>
    <row r="529" spans="6:16" ht="13.2">
      <c r="F529" s="305"/>
      <c r="G529" s="306"/>
      <c r="H529" s="2"/>
      <c r="I529" s="304"/>
      <c r="J529" s="136"/>
      <c r="K529" s="67"/>
      <c r="O529" s="30"/>
      <c r="P529" s="274"/>
    </row>
    <row r="530" spans="6:16" ht="13.2">
      <c r="F530" s="305"/>
      <c r="G530" s="306"/>
      <c r="H530" s="2"/>
      <c r="I530" s="304"/>
      <c r="J530" s="136"/>
      <c r="K530" s="67"/>
      <c r="O530" s="30"/>
      <c r="P530" s="274"/>
    </row>
    <row r="531" spans="6:16" ht="13.2">
      <c r="F531" s="305"/>
      <c r="G531" s="306"/>
      <c r="H531" s="2"/>
      <c r="I531" s="304"/>
      <c r="J531" s="136"/>
      <c r="K531" s="67"/>
      <c r="O531" s="30"/>
      <c r="P531" s="274"/>
    </row>
    <row r="532" spans="6:16" ht="13.2">
      <c r="F532" s="305"/>
      <c r="G532" s="306"/>
      <c r="H532" s="2"/>
      <c r="I532" s="304"/>
      <c r="J532" s="136"/>
      <c r="K532" s="67"/>
      <c r="O532" s="30"/>
      <c r="P532" s="274"/>
    </row>
    <row r="533" spans="6:16" ht="13.2">
      <c r="F533" s="305"/>
      <c r="G533" s="306"/>
      <c r="H533" s="2"/>
      <c r="I533" s="304"/>
      <c r="J533" s="136"/>
      <c r="K533" s="67"/>
      <c r="O533" s="30"/>
      <c r="P533" s="274"/>
    </row>
    <row r="534" spans="6:16" ht="13.2">
      <c r="F534" s="305"/>
      <c r="G534" s="306"/>
      <c r="H534" s="2"/>
      <c r="I534" s="304"/>
      <c r="J534" s="136"/>
      <c r="K534" s="67"/>
      <c r="O534" s="30"/>
      <c r="P534" s="274"/>
    </row>
    <row r="535" spans="6:16" ht="13.2">
      <c r="F535" s="305"/>
      <c r="G535" s="306"/>
      <c r="H535" s="2"/>
      <c r="I535" s="304"/>
      <c r="J535" s="136"/>
      <c r="K535" s="67"/>
      <c r="O535" s="30"/>
      <c r="P535" s="274"/>
    </row>
    <row r="536" spans="6:16" ht="13.2">
      <c r="F536" s="305"/>
      <c r="G536" s="306"/>
      <c r="H536" s="2"/>
      <c r="I536" s="304"/>
      <c r="J536" s="136"/>
      <c r="K536" s="67"/>
      <c r="O536" s="30"/>
      <c r="P536" s="274"/>
    </row>
    <row r="537" spans="6:16" ht="13.2">
      <c r="F537" s="305"/>
      <c r="G537" s="306"/>
      <c r="H537" s="2"/>
      <c r="I537" s="304"/>
      <c r="J537" s="136"/>
      <c r="K537" s="67"/>
      <c r="O537" s="30"/>
      <c r="P537" s="274"/>
    </row>
    <row r="538" spans="6:16" ht="13.2">
      <c r="F538" s="305"/>
      <c r="G538" s="306"/>
      <c r="H538" s="2"/>
      <c r="I538" s="304"/>
      <c r="J538" s="136"/>
      <c r="K538" s="67"/>
      <c r="O538" s="30"/>
      <c r="P538" s="274"/>
    </row>
    <row r="539" spans="6:16" ht="13.2">
      <c r="F539" s="305"/>
      <c r="G539" s="306"/>
      <c r="H539" s="2"/>
      <c r="I539" s="304"/>
      <c r="J539" s="136"/>
      <c r="K539" s="67"/>
      <c r="O539" s="30"/>
      <c r="P539" s="274"/>
    </row>
    <row r="540" spans="6:16" ht="13.2">
      <c r="F540" s="305"/>
      <c r="G540" s="306"/>
      <c r="H540" s="2"/>
      <c r="I540" s="304"/>
      <c r="J540" s="136"/>
      <c r="K540" s="67"/>
      <c r="O540" s="30"/>
      <c r="P540" s="274"/>
    </row>
    <row r="541" spans="6:16" ht="13.2">
      <c r="F541" s="305"/>
      <c r="G541" s="306"/>
      <c r="H541" s="2"/>
      <c r="I541" s="304"/>
      <c r="J541" s="136"/>
      <c r="K541" s="67"/>
      <c r="O541" s="30"/>
      <c r="P541" s="274"/>
    </row>
    <row r="542" spans="6:16" ht="13.2">
      <c r="F542" s="305"/>
      <c r="G542" s="306"/>
      <c r="H542" s="2"/>
      <c r="I542" s="304"/>
      <c r="J542" s="136"/>
      <c r="K542" s="67"/>
      <c r="O542" s="30"/>
      <c r="P542" s="274"/>
    </row>
    <row r="543" spans="6:16" ht="13.2">
      <c r="F543" s="305"/>
      <c r="G543" s="306"/>
      <c r="H543" s="2"/>
      <c r="I543" s="304"/>
      <c r="J543" s="136"/>
      <c r="K543" s="67"/>
      <c r="O543" s="30"/>
      <c r="P543" s="274"/>
    </row>
    <row r="544" spans="6:16" ht="13.2">
      <c r="F544" s="305"/>
      <c r="G544" s="306"/>
      <c r="H544" s="2"/>
      <c r="I544" s="304"/>
      <c r="J544" s="136"/>
      <c r="K544" s="67"/>
      <c r="O544" s="30"/>
      <c r="P544" s="274"/>
    </row>
    <row r="545" spans="6:16" ht="13.2">
      <c r="F545" s="305"/>
      <c r="G545" s="306"/>
      <c r="H545" s="2"/>
      <c r="I545" s="304"/>
      <c r="J545" s="136"/>
      <c r="K545" s="67"/>
      <c r="O545" s="30"/>
      <c r="P545" s="274"/>
    </row>
    <row r="546" spans="6:16" ht="13.2">
      <c r="F546" s="305"/>
      <c r="G546" s="306"/>
      <c r="H546" s="2"/>
      <c r="I546" s="304"/>
      <c r="J546" s="136"/>
      <c r="K546" s="67"/>
      <c r="O546" s="30"/>
      <c r="P546" s="274"/>
    </row>
    <row r="547" spans="6:16" ht="13.2">
      <c r="F547" s="305"/>
      <c r="G547" s="306"/>
      <c r="H547" s="2"/>
      <c r="I547" s="304"/>
      <c r="J547" s="136"/>
      <c r="K547" s="67"/>
      <c r="O547" s="30"/>
      <c r="P547" s="274"/>
    </row>
    <row r="548" spans="6:16" ht="13.2">
      <c r="F548" s="305"/>
      <c r="G548" s="306"/>
      <c r="H548" s="2"/>
      <c r="I548" s="304"/>
      <c r="J548" s="136"/>
      <c r="K548" s="67"/>
      <c r="O548" s="30"/>
      <c r="P548" s="274"/>
    </row>
    <row r="549" spans="6:16" ht="13.2">
      <c r="F549" s="305"/>
      <c r="G549" s="306"/>
      <c r="H549" s="2"/>
      <c r="I549" s="304"/>
      <c r="J549" s="136"/>
      <c r="K549" s="67"/>
      <c r="O549" s="30"/>
      <c r="P549" s="274"/>
    </row>
    <row r="550" spans="6:16" ht="13.2">
      <c r="F550" s="305"/>
      <c r="G550" s="306"/>
      <c r="H550" s="2"/>
      <c r="I550" s="304"/>
      <c r="J550" s="136"/>
      <c r="K550" s="67"/>
      <c r="O550" s="30"/>
      <c r="P550" s="274"/>
    </row>
    <row r="551" spans="6:16" ht="13.2">
      <c r="F551" s="305"/>
      <c r="G551" s="306"/>
      <c r="H551" s="2"/>
      <c r="I551" s="304"/>
      <c r="J551" s="136"/>
      <c r="K551" s="67"/>
      <c r="O551" s="30"/>
      <c r="P551" s="274"/>
    </row>
    <row r="552" spans="6:16" ht="13.2">
      <c r="F552" s="305"/>
      <c r="G552" s="306"/>
      <c r="H552" s="2"/>
      <c r="I552" s="304"/>
      <c r="J552" s="136"/>
      <c r="K552" s="67"/>
      <c r="O552" s="30"/>
      <c r="P552" s="274"/>
    </row>
    <row r="553" spans="6:16" ht="13.2">
      <c r="F553" s="305"/>
      <c r="G553" s="306"/>
      <c r="H553" s="2"/>
      <c r="I553" s="304"/>
      <c r="J553" s="136"/>
      <c r="K553" s="67"/>
      <c r="O553" s="30"/>
      <c r="P553" s="274"/>
    </row>
    <row r="554" spans="6:16" ht="13.2">
      <c r="F554" s="305"/>
      <c r="G554" s="306"/>
      <c r="H554" s="2"/>
      <c r="I554" s="304"/>
      <c r="J554" s="136"/>
      <c r="K554" s="67"/>
      <c r="O554" s="30"/>
      <c r="P554" s="274"/>
    </row>
    <row r="555" spans="6:16" ht="13.2">
      <c r="F555" s="305"/>
      <c r="G555" s="306"/>
      <c r="H555" s="2"/>
      <c r="I555" s="304"/>
      <c r="J555" s="136"/>
      <c r="K555" s="67"/>
      <c r="O555" s="30"/>
      <c r="P555" s="274"/>
    </row>
    <row r="556" spans="6:16" ht="13.2">
      <c r="F556" s="305"/>
      <c r="G556" s="306"/>
      <c r="H556" s="2"/>
      <c r="I556" s="304"/>
      <c r="J556" s="136"/>
      <c r="K556" s="67"/>
      <c r="O556" s="30"/>
      <c r="P556" s="274"/>
    </row>
    <row r="557" spans="6:16" ht="13.2">
      <c r="F557" s="305"/>
      <c r="G557" s="306"/>
      <c r="H557" s="2"/>
      <c r="I557" s="304"/>
      <c r="J557" s="136"/>
      <c r="K557" s="67"/>
      <c r="O557" s="30"/>
      <c r="P557" s="274"/>
    </row>
    <row r="558" spans="6:16" ht="13.2">
      <c r="F558" s="305"/>
      <c r="G558" s="306"/>
      <c r="H558" s="2"/>
      <c r="I558" s="304"/>
      <c r="J558" s="136"/>
      <c r="K558" s="67"/>
      <c r="O558" s="30"/>
      <c r="P558" s="274"/>
    </row>
    <row r="559" spans="6:16" ht="13.2">
      <c r="F559" s="305"/>
      <c r="G559" s="306"/>
      <c r="H559" s="2"/>
      <c r="I559" s="304"/>
      <c r="J559" s="136"/>
      <c r="K559" s="67"/>
      <c r="O559" s="30"/>
      <c r="P559" s="274"/>
    </row>
    <row r="560" spans="6:16" ht="13.2">
      <c r="F560" s="305"/>
      <c r="G560" s="306"/>
      <c r="H560" s="2"/>
      <c r="I560" s="304"/>
      <c r="J560" s="136"/>
      <c r="K560" s="67"/>
      <c r="O560" s="30"/>
      <c r="P560" s="274"/>
    </row>
    <row r="561" spans="6:16" ht="13.2">
      <c r="F561" s="305"/>
      <c r="G561" s="306"/>
      <c r="H561" s="2"/>
      <c r="I561" s="304"/>
      <c r="J561" s="136"/>
      <c r="K561" s="67"/>
      <c r="O561" s="30"/>
      <c r="P561" s="274"/>
    </row>
    <row r="562" spans="6:16" ht="13.2">
      <c r="F562" s="305"/>
      <c r="G562" s="306"/>
      <c r="H562" s="2"/>
      <c r="I562" s="304"/>
      <c r="J562" s="136"/>
      <c r="K562" s="67"/>
      <c r="O562" s="30"/>
      <c r="P562" s="274"/>
    </row>
    <row r="563" spans="6:16" ht="13.2">
      <c r="F563" s="305"/>
      <c r="G563" s="306"/>
      <c r="H563" s="2"/>
      <c r="I563" s="304"/>
      <c r="J563" s="136"/>
      <c r="K563" s="67"/>
      <c r="O563" s="30"/>
      <c r="P563" s="274"/>
    </row>
    <row r="564" spans="6:16" ht="13.2">
      <c r="F564" s="305"/>
      <c r="G564" s="306"/>
      <c r="H564" s="2"/>
      <c r="I564" s="304"/>
      <c r="J564" s="136"/>
      <c r="K564" s="67"/>
      <c r="O564" s="30"/>
      <c r="P564" s="274"/>
    </row>
    <row r="565" spans="6:16" ht="13.2">
      <c r="F565" s="305"/>
      <c r="G565" s="306"/>
      <c r="H565" s="2"/>
      <c r="I565" s="304"/>
      <c r="J565" s="136"/>
      <c r="K565" s="67"/>
      <c r="O565" s="30"/>
      <c r="P565" s="274"/>
    </row>
    <row r="566" spans="6:16" ht="13.2">
      <c r="F566" s="305"/>
      <c r="G566" s="306"/>
      <c r="H566" s="2"/>
      <c r="I566" s="304"/>
      <c r="J566" s="136"/>
      <c r="K566" s="67"/>
      <c r="O566" s="30"/>
      <c r="P566" s="274"/>
    </row>
    <row r="567" spans="6:16" ht="13.2">
      <c r="F567" s="305"/>
      <c r="G567" s="306"/>
      <c r="H567" s="2"/>
      <c r="I567" s="304"/>
      <c r="J567" s="136"/>
      <c r="K567" s="67"/>
      <c r="O567" s="30"/>
      <c r="P567" s="274"/>
    </row>
    <row r="568" spans="6:16" ht="13.2">
      <c r="F568" s="305"/>
      <c r="G568" s="306"/>
      <c r="H568" s="2"/>
      <c r="I568" s="304"/>
      <c r="J568" s="136"/>
      <c r="K568" s="67"/>
      <c r="O568" s="30"/>
      <c r="P568" s="274"/>
    </row>
    <row r="569" spans="6:16" ht="13.2">
      <c r="F569" s="305"/>
      <c r="G569" s="306"/>
      <c r="H569" s="2"/>
      <c r="I569" s="304"/>
      <c r="J569" s="136"/>
      <c r="K569" s="67"/>
      <c r="O569" s="30"/>
      <c r="P569" s="274"/>
    </row>
    <row r="570" spans="6:16" ht="13.2">
      <c r="F570" s="305"/>
      <c r="G570" s="306"/>
      <c r="H570" s="2"/>
      <c r="I570" s="304"/>
      <c r="J570" s="136"/>
      <c r="K570" s="67"/>
      <c r="O570" s="30"/>
      <c r="P570" s="274"/>
    </row>
    <row r="571" spans="6:16" ht="13.2">
      <c r="F571" s="305"/>
      <c r="G571" s="306"/>
      <c r="H571" s="2"/>
      <c r="I571" s="304"/>
      <c r="J571" s="136"/>
      <c r="K571" s="67"/>
      <c r="O571" s="30"/>
      <c r="P571" s="274"/>
    </row>
    <row r="572" spans="6:16" ht="13.2">
      <c r="F572" s="305"/>
      <c r="G572" s="306"/>
      <c r="H572" s="2"/>
      <c r="I572" s="304"/>
      <c r="J572" s="136"/>
      <c r="K572" s="67"/>
      <c r="O572" s="30"/>
      <c r="P572" s="274"/>
    </row>
    <row r="573" spans="6:16" ht="13.2">
      <c r="F573" s="305"/>
      <c r="G573" s="306"/>
      <c r="H573" s="2"/>
      <c r="I573" s="304"/>
      <c r="J573" s="136"/>
      <c r="K573" s="67"/>
      <c r="O573" s="30"/>
      <c r="P573" s="274"/>
    </row>
    <row r="574" spans="6:16" ht="13.2">
      <c r="F574" s="305"/>
      <c r="G574" s="306"/>
      <c r="H574" s="2"/>
      <c r="I574" s="304"/>
      <c r="J574" s="136"/>
      <c r="K574" s="67"/>
      <c r="O574" s="30"/>
      <c r="P574" s="274"/>
    </row>
    <row r="575" spans="6:16" ht="13.2">
      <c r="F575" s="305"/>
      <c r="G575" s="306"/>
      <c r="H575" s="2"/>
      <c r="I575" s="304"/>
      <c r="J575" s="136"/>
      <c r="K575" s="67"/>
      <c r="O575" s="30"/>
      <c r="P575" s="274"/>
    </row>
    <row r="576" spans="6:16" ht="13.2">
      <c r="F576" s="305"/>
      <c r="G576" s="306"/>
      <c r="H576" s="2"/>
      <c r="I576" s="304"/>
      <c r="J576" s="136"/>
      <c r="K576" s="67"/>
      <c r="O576" s="30"/>
      <c r="P576" s="274"/>
    </row>
    <row r="577" spans="6:16" ht="13.2">
      <c r="F577" s="305"/>
      <c r="G577" s="306"/>
      <c r="H577" s="2"/>
      <c r="I577" s="304"/>
      <c r="J577" s="136"/>
      <c r="K577" s="67"/>
      <c r="O577" s="30"/>
      <c r="P577" s="274"/>
    </row>
    <row r="578" spans="6:16" ht="13.2">
      <c r="F578" s="305"/>
      <c r="G578" s="306"/>
      <c r="H578" s="2"/>
      <c r="I578" s="304"/>
      <c r="J578" s="136"/>
      <c r="K578" s="67"/>
      <c r="O578" s="30"/>
      <c r="P578" s="274"/>
    </row>
    <row r="579" spans="6:16" ht="13.2">
      <c r="F579" s="305"/>
      <c r="G579" s="306"/>
      <c r="H579" s="2"/>
      <c r="I579" s="304"/>
      <c r="J579" s="136"/>
      <c r="K579" s="67"/>
      <c r="O579" s="30"/>
      <c r="P579" s="274"/>
    </row>
    <row r="580" spans="6:16" ht="13.2">
      <c r="F580" s="305"/>
      <c r="G580" s="306"/>
      <c r="H580" s="2"/>
      <c r="I580" s="304"/>
      <c r="J580" s="136"/>
      <c r="K580" s="67"/>
      <c r="O580" s="30"/>
      <c r="P580" s="274"/>
    </row>
    <row r="581" spans="6:16" ht="13.2">
      <c r="F581" s="305"/>
      <c r="G581" s="306"/>
      <c r="H581" s="2"/>
      <c r="I581" s="304"/>
      <c r="J581" s="136"/>
      <c r="K581" s="67"/>
      <c r="O581" s="30"/>
      <c r="P581" s="274"/>
    </row>
    <row r="582" spans="6:16" ht="13.2">
      <c r="F582" s="305"/>
      <c r="G582" s="306"/>
      <c r="H582" s="2"/>
      <c r="I582" s="304"/>
      <c r="J582" s="136"/>
      <c r="K582" s="67"/>
      <c r="O582" s="30"/>
      <c r="P582" s="274"/>
    </row>
    <row r="583" spans="6:16" ht="13.2">
      <c r="F583" s="305"/>
      <c r="G583" s="306"/>
      <c r="H583" s="2"/>
      <c r="I583" s="304"/>
      <c r="J583" s="136"/>
      <c r="K583" s="67"/>
      <c r="O583" s="30"/>
      <c r="P583" s="274"/>
    </row>
    <row r="584" spans="6:16" ht="13.2">
      <c r="F584" s="305"/>
      <c r="G584" s="306"/>
      <c r="H584" s="2"/>
      <c r="I584" s="304"/>
      <c r="J584" s="136"/>
      <c r="K584" s="67"/>
      <c r="O584" s="30"/>
      <c r="P584" s="274"/>
    </row>
    <row r="585" spans="6:16" ht="13.2">
      <c r="F585" s="305"/>
      <c r="G585" s="306"/>
      <c r="H585" s="2"/>
      <c r="I585" s="304"/>
      <c r="J585" s="136"/>
      <c r="K585" s="67"/>
      <c r="O585" s="30"/>
      <c r="P585" s="274"/>
    </row>
    <row r="586" spans="6:16" ht="13.2">
      <c r="F586" s="305"/>
      <c r="G586" s="306"/>
      <c r="H586" s="2"/>
      <c r="I586" s="304"/>
      <c r="J586" s="136"/>
      <c r="K586" s="67"/>
      <c r="O586" s="30"/>
      <c r="P586" s="274"/>
    </row>
    <row r="587" spans="6:16" ht="13.2">
      <c r="F587" s="305"/>
      <c r="G587" s="306"/>
      <c r="H587" s="2"/>
      <c r="I587" s="304"/>
      <c r="J587" s="136"/>
      <c r="K587" s="67"/>
      <c r="O587" s="30"/>
      <c r="P587" s="274"/>
    </row>
    <row r="588" spans="6:16" ht="13.2">
      <c r="F588" s="305"/>
      <c r="G588" s="306"/>
      <c r="H588" s="2"/>
      <c r="I588" s="304"/>
      <c r="J588" s="136"/>
      <c r="K588" s="67"/>
      <c r="O588" s="30"/>
      <c r="P588" s="274"/>
    </row>
    <row r="589" spans="6:16" ht="13.2">
      <c r="F589" s="305"/>
      <c r="G589" s="306"/>
      <c r="H589" s="2"/>
      <c r="I589" s="304"/>
      <c r="J589" s="136"/>
      <c r="K589" s="67"/>
      <c r="O589" s="30"/>
      <c r="P589" s="274"/>
    </row>
    <row r="590" spans="6:16" ht="13.2">
      <c r="F590" s="305"/>
      <c r="G590" s="306"/>
      <c r="H590" s="2"/>
      <c r="I590" s="304"/>
      <c r="J590" s="136"/>
      <c r="K590" s="67"/>
      <c r="O590" s="30"/>
      <c r="P590" s="274"/>
    </row>
    <row r="591" spans="6:16" ht="13.2">
      <c r="F591" s="305"/>
      <c r="G591" s="306"/>
      <c r="H591" s="2"/>
      <c r="I591" s="304"/>
      <c r="J591" s="136"/>
      <c r="K591" s="67"/>
      <c r="O591" s="30"/>
      <c r="P591" s="274"/>
    </row>
    <row r="592" spans="6:16" ht="13.2">
      <c r="F592" s="305"/>
      <c r="G592" s="306"/>
      <c r="H592" s="2"/>
      <c r="I592" s="304"/>
      <c r="J592" s="136"/>
      <c r="K592" s="67"/>
      <c r="O592" s="30"/>
      <c r="P592" s="274"/>
    </row>
    <row r="593" spans="6:16" ht="13.2">
      <c r="F593" s="305"/>
      <c r="G593" s="306"/>
      <c r="H593" s="2"/>
      <c r="I593" s="304"/>
      <c r="J593" s="136"/>
      <c r="K593" s="67"/>
      <c r="O593" s="30"/>
      <c r="P593" s="274"/>
    </row>
    <row r="594" spans="6:16" ht="13.2">
      <c r="F594" s="305"/>
      <c r="G594" s="306"/>
      <c r="H594" s="2"/>
      <c r="I594" s="304"/>
      <c r="J594" s="136"/>
      <c r="K594" s="67"/>
      <c r="O594" s="30"/>
      <c r="P594" s="274"/>
    </row>
    <row r="595" spans="6:16" ht="13.2">
      <c r="F595" s="305"/>
      <c r="G595" s="306"/>
      <c r="H595" s="2"/>
      <c r="I595" s="304"/>
      <c r="J595" s="136"/>
      <c r="K595" s="67"/>
      <c r="O595" s="30"/>
      <c r="P595" s="274"/>
    </row>
    <row r="596" spans="6:16" ht="13.2">
      <c r="F596" s="305"/>
      <c r="G596" s="306"/>
      <c r="H596" s="2"/>
      <c r="I596" s="304"/>
      <c r="J596" s="136"/>
      <c r="K596" s="67"/>
      <c r="O596" s="30"/>
      <c r="P596" s="274"/>
    </row>
    <row r="597" spans="6:16" ht="13.2">
      <c r="F597" s="305"/>
      <c r="G597" s="306"/>
      <c r="H597" s="2"/>
      <c r="I597" s="304"/>
      <c r="J597" s="136"/>
      <c r="K597" s="67"/>
      <c r="O597" s="30"/>
      <c r="P597" s="274"/>
    </row>
    <row r="598" spans="6:16" ht="13.2">
      <c r="F598" s="305"/>
      <c r="G598" s="306"/>
      <c r="H598" s="2"/>
      <c r="I598" s="304"/>
      <c r="J598" s="136"/>
      <c r="K598" s="67"/>
      <c r="O598" s="30"/>
      <c r="P598" s="274"/>
    </row>
    <row r="599" spans="6:16" ht="13.2">
      <c r="F599" s="305"/>
      <c r="G599" s="306"/>
      <c r="H599" s="2"/>
      <c r="I599" s="304"/>
      <c r="J599" s="136"/>
      <c r="K599" s="67"/>
      <c r="O599" s="30"/>
      <c r="P599" s="274"/>
    </row>
    <row r="600" spans="6:16" ht="13.2">
      <c r="F600" s="305"/>
      <c r="G600" s="306"/>
      <c r="H600" s="2"/>
      <c r="I600" s="304"/>
      <c r="J600" s="136"/>
      <c r="K600" s="67"/>
      <c r="O600" s="30"/>
      <c r="P600" s="274"/>
    </row>
    <row r="601" spans="6:16" ht="13.2">
      <c r="F601" s="305"/>
      <c r="G601" s="306"/>
      <c r="H601" s="2"/>
      <c r="I601" s="304"/>
      <c r="J601" s="136"/>
      <c r="K601" s="67"/>
      <c r="O601" s="30"/>
      <c r="P601" s="274"/>
    </row>
    <row r="602" spans="6:16" ht="13.2">
      <c r="F602" s="305"/>
      <c r="G602" s="306"/>
      <c r="H602" s="2"/>
      <c r="I602" s="304"/>
      <c r="J602" s="136"/>
      <c r="K602" s="67"/>
      <c r="O602" s="30"/>
      <c r="P602" s="274"/>
    </row>
    <row r="603" spans="6:16" ht="13.2">
      <c r="F603" s="305"/>
      <c r="G603" s="306"/>
      <c r="H603" s="2"/>
      <c r="I603" s="304"/>
      <c r="J603" s="136"/>
      <c r="K603" s="67"/>
      <c r="O603" s="30"/>
      <c r="P603" s="274"/>
    </row>
    <row r="604" spans="6:16" ht="13.2">
      <c r="F604" s="305"/>
      <c r="G604" s="306"/>
      <c r="H604" s="2"/>
      <c r="I604" s="304"/>
      <c r="J604" s="136"/>
      <c r="K604" s="67"/>
      <c r="O604" s="30"/>
      <c r="P604" s="274"/>
    </row>
    <row r="605" spans="6:16" ht="13.2">
      <c r="F605" s="305"/>
      <c r="G605" s="306"/>
      <c r="H605" s="2"/>
      <c r="I605" s="304"/>
      <c r="J605" s="136"/>
      <c r="K605" s="67"/>
      <c r="O605" s="30"/>
      <c r="P605" s="274"/>
    </row>
    <row r="606" spans="6:16" ht="13.2">
      <c r="F606" s="305"/>
      <c r="G606" s="306"/>
      <c r="H606" s="2"/>
      <c r="I606" s="304"/>
      <c r="J606" s="136"/>
      <c r="K606" s="67"/>
      <c r="O606" s="30"/>
      <c r="P606" s="274"/>
    </row>
    <row r="607" spans="6:16" ht="13.2">
      <c r="F607" s="305"/>
      <c r="G607" s="306"/>
      <c r="H607" s="2"/>
      <c r="I607" s="304"/>
      <c r="J607" s="136"/>
      <c r="K607" s="67"/>
      <c r="O607" s="30"/>
      <c r="P607" s="274"/>
    </row>
    <row r="608" spans="6:16" ht="13.2">
      <c r="F608" s="305"/>
      <c r="G608" s="306"/>
      <c r="H608" s="2"/>
      <c r="I608" s="304"/>
      <c r="J608" s="136"/>
      <c r="K608" s="67"/>
      <c r="O608" s="30"/>
      <c r="P608" s="274"/>
    </row>
    <row r="609" spans="6:16" ht="13.2">
      <c r="F609" s="305"/>
      <c r="G609" s="306"/>
      <c r="H609" s="2"/>
      <c r="I609" s="304"/>
      <c r="J609" s="136"/>
      <c r="K609" s="67"/>
      <c r="O609" s="30"/>
      <c r="P609" s="274"/>
    </row>
    <row r="610" spans="6:16" ht="13.2">
      <c r="F610" s="305"/>
      <c r="G610" s="306"/>
      <c r="H610" s="2"/>
      <c r="I610" s="304"/>
      <c r="J610" s="136"/>
      <c r="K610" s="67"/>
      <c r="O610" s="30"/>
      <c r="P610" s="274"/>
    </row>
    <row r="611" spans="6:16" ht="13.2">
      <c r="F611" s="305"/>
      <c r="G611" s="306"/>
      <c r="H611" s="2"/>
      <c r="I611" s="304"/>
      <c r="J611" s="136"/>
      <c r="K611" s="67"/>
      <c r="O611" s="30"/>
      <c r="P611" s="274"/>
    </row>
    <row r="612" spans="6:16" ht="13.2">
      <c r="F612" s="305"/>
      <c r="G612" s="306"/>
      <c r="H612" s="2"/>
      <c r="I612" s="304"/>
      <c r="J612" s="136"/>
      <c r="K612" s="67"/>
      <c r="O612" s="30"/>
      <c r="P612" s="274"/>
    </row>
    <row r="613" spans="6:16" ht="13.2">
      <c r="F613" s="305"/>
      <c r="G613" s="306"/>
      <c r="H613" s="2"/>
      <c r="I613" s="304"/>
      <c r="J613" s="136"/>
      <c r="K613" s="67"/>
      <c r="O613" s="30"/>
      <c r="P613" s="274"/>
    </row>
    <row r="614" spans="6:16" ht="13.2">
      <c r="F614" s="305"/>
      <c r="G614" s="306"/>
      <c r="H614" s="2"/>
      <c r="I614" s="304"/>
      <c r="J614" s="136"/>
      <c r="K614" s="67"/>
      <c r="O614" s="30"/>
      <c r="P614" s="274"/>
    </row>
    <row r="615" spans="6:16" ht="13.2">
      <c r="F615" s="305"/>
      <c r="G615" s="306"/>
      <c r="H615" s="2"/>
      <c r="I615" s="304"/>
      <c r="J615" s="136"/>
      <c r="K615" s="67"/>
      <c r="O615" s="30"/>
      <c r="P615" s="274"/>
    </row>
    <row r="616" spans="6:16" ht="13.2">
      <c r="F616" s="305"/>
      <c r="G616" s="306"/>
      <c r="H616" s="2"/>
      <c r="I616" s="304"/>
      <c r="J616" s="136"/>
      <c r="K616" s="67"/>
      <c r="O616" s="30"/>
      <c r="P616" s="274"/>
    </row>
    <row r="617" spans="6:16" ht="13.2">
      <c r="F617" s="305"/>
      <c r="G617" s="306"/>
      <c r="H617" s="2"/>
      <c r="I617" s="304"/>
      <c r="J617" s="136"/>
      <c r="K617" s="67"/>
      <c r="O617" s="30"/>
      <c r="P617" s="274"/>
    </row>
    <row r="618" spans="6:16" ht="13.2">
      <c r="F618" s="305"/>
      <c r="G618" s="306"/>
      <c r="H618" s="2"/>
      <c r="I618" s="304"/>
      <c r="J618" s="136"/>
      <c r="K618" s="67"/>
      <c r="O618" s="30"/>
      <c r="P618" s="274"/>
    </row>
    <row r="619" spans="6:16" ht="13.2">
      <c r="F619" s="305"/>
      <c r="G619" s="306"/>
      <c r="H619" s="2"/>
      <c r="I619" s="304"/>
      <c r="J619" s="136"/>
      <c r="K619" s="67"/>
      <c r="O619" s="30"/>
      <c r="P619" s="274"/>
    </row>
    <row r="620" spans="6:16" ht="13.2">
      <c r="F620" s="305"/>
      <c r="G620" s="306"/>
      <c r="H620" s="2"/>
      <c r="I620" s="304"/>
      <c r="J620" s="136"/>
      <c r="K620" s="67"/>
      <c r="O620" s="30"/>
      <c r="P620" s="274"/>
    </row>
    <row r="621" spans="6:16" ht="13.2">
      <c r="F621" s="305"/>
      <c r="G621" s="306"/>
      <c r="H621" s="2"/>
      <c r="I621" s="304"/>
      <c r="J621" s="136"/>
      <c r="K621" s="67"/>
      <c r="O621" s="30"/>
      <c r="P621" s="274"/>
    </row>
    <row r="622" spans="6:16" ht="13.2">
      <c r="F622" s="305"/>
      <c r="G622" s="306"/>
      <c r="H622" s="2"/>
      <c r="I622" s="304"/>
      <c r="J622" s="136"/>
      <c r="K622" s="67"/>
      <c r="O622" s="30"/>
      <c r="P622" s="274"/>
    </row>
    <row r="623" spans="6:16" ht="13.2">
      <c r="F623" s="305"/>
      <c r="G623" s="306"/>
      <c r="H623" s="2"/>
      <c r="I623" s="304"/>
      <c r="J623" s="136"/>
      <c r="K623" s="67"/>
      <c r="O623" s="30"/>
      <c r="P623" s="274"/>
    </row>
    <row r="624" spans="6:16" ht="13.2">
      <c r="F624" s="305"/>
      <c r="G624" s="306"/>
      <c r="H624" s="2"/>
      <c r="I624" s="304"/>
      <c r="J624" s="136"/>
      <c r="K624" s="67"/>
      <c r="O624" s="30"/>
      <c r="P624" s="274"/>
    </row>
    <row r="625" spans="6:16" ht="13.2">
      <c r="F625" s="305"/>
      <c r="G625" s="306"/>
      <c r="H625" s="2"/>
      <c r="I625" s="304"/>
      <c r="J625" s="136"/>
      <c r="K625" s="67"/>
      <c r="O625" s="30"/>
      <c r="P625" s="274"/>
    </row>
    <row r="626" spans="6:16" ht="13.2">
      <c r="F626" s="305"/>
      <c r="G626" s="306"/>
      <c r="H626" s="2"/>
      <c r="I626" s="304"/>
      <c r="J626" s="136"/>
      <c r="K626" s="67"/>
      <c r="O626" s="30"/>
      <c r="P626" s="274"/>
    </row>
    <row r="627" spans="6:16" ht="13.2">
      <c r="F627" s="305"/>
      <c r="G627" s="306"/>
      <c r="H627" s="2"/>
      <c r="I627" s="304"/>
      <c r="J627" s="136"/>
      <c r="K627" s="67"/>
      <c r="O627" s="30"/>
      <c r="P627" s="274"/>
    </row>
    <row r="628" spans="6:16" ht="13.2">
      <c r="F628" s="305"/>
      <c r="G628" s="306"/>
      <c r="H628" s="2"/>
      <c r="I628" s="304"/>
      <c r="J628" s="136"/>
      <c r="K628" s="67"/>
      <c r="O628" s="30"/>
      <c r="P628" s="274"/>
    </row>
    <row r="629" spans="6:16" ht="13.2">
      <c r="F629" s="305"/>
      <c r="G629" s="306"/>
      <c r="H629" s="2"/>
      <c r="I629" s="304"/>
      <c r="J629" s="136"/>
      <c r="K629" s="67"/>
      <c r="O629" s="30"/>
      <c r="P629" s="274"/>
    </row>
    <row r="630" spans="6:16" ht="13.2">
      <c r="F630" s="305"/>
      <c r="G630" s="306"/>
      <c r="H630" s="2"/>
      <c r="I630" s="304"/>
      <c r="J630" s="136"/>
      <c r="K630" s="67"/>
      <c r="O630" s="30"/>
      <c r="P630" s="274"/>
    </row>
    <row r="631" spans="6:16" ht="13.2">
      <c r="F631" s="305"/>
      <c r="G631" s="306"/>
      <c r="H631" s="2"/>
      <c r="I631" s="304"/>
      <c r="J631" s="136"/>
      <c r="K631" s="67"/>
      <c r="O631" s="30"/>
      <c r="P631" s="274"/>
    </row>
    <row r="632" spans="6:16" ht="13.2">
      <c r="F632" s="305"/>
      <c r="G632" s="306"/>
      <c r="H632" s="2"/>
      <c r="I632" s="304"/>
      <c r="J632" s="136"/>
      <c r="K632" s="67"/>
      <c r="O632" s="30"/>
      <c r="P632" s="274"/>
    </row>
    <row r="633" spans="6:16" ht="13.2">
      <c r="F633" s="305"/>
      <c r="G633" s="306"/>
      <c r="H633" s="2"/>
      <c r="I633" s="304"/>
      <c r="J633" s="136"/>
      <c r="K633" s="67"/>
      <c r="O633" s="30"/>
      <c r="P633" s="274"/>
    </row>
    <row r="634" spans="6:16" ht="13.2">
      <c r="F634" s="305"/>
      <c r="G634" s="306"/>
      <c r="H634" s="2"/>
      <c r="I634" s="304"/>
      <c r="J634" s="136"/>
      <c r="K634" s="67"/>
      <c r="O634" s="30"/>
      <c r="P634" s="274"/>
    </row>
    <row r="635" spans="6:16" ht="13.2">
      <c r="F635" s="305"/>
      <c r="G635" s="306"/>
      <c r="H635" s="2"/>
      <c r="I635" s="304"/>
      <c r="J635" s="136"/>
      <c r="K635" s="67"/>
      <c r="O635" s="30"/>
      <c r="P635" s="274"/>
    </row>
    <row r="636" spans="6:16" ht="13.2">
      <c r="F636" s="305"/>
      <c r="G636" s="306"/>
      <c r="H636" s="2"/>
      <c r="I636" s="304"/>
      <c r="J636" s="136"/>
      <c r="K636" s="67"/>
      <c r="O636" s="30"/>
      <c r="P636" s="274"/>
    </row>
    <row r="637" spans="6:16" ht="13.2">
      <c r="F637" s="305"/>
      <c r="G637" s="306"/>
      <c r="H637" s="2"/>
      <c r="I637" s="304"/>
      <c r="J637" s="136"/>
      <c r="K637" s="67"/>
      <c r="O637" s="30"/>
      <c r="P637" s="274"/>
    </row>
    <row r="638" spans="6:16" ht="13.2">
      <c r="F638" s="305"/>
      <c r="G638" s="306"/>
      <c r="H638" s="2"/>
      <c r="I638" s="304"/>
      <c r="J638" s="136"/>
      <c r="K638" s="67"/>
      <c r="O638" s="30"/>
      <c r="P638" s="274"/>
    </row>
    <row r="639" spans="6:16" ht="13.2">
      <c r="F639" s="305"/>
      <c r="G639" s="306"/>
      <c r="H639" s="2"/>
      <c r="I639" s="304"/>
      <c r="J639" s="136"/>
      <c r="K639" s="67"/>
      <c r="O639" s="30"/>
      <c r="P639" s="274"/>
    </row>
    <row r="640" spans="6:16" ht="13.2">
      <c r="F640" s="305"/>
      <c r="G640" s="306"/>
      <c r="H640" s="2"/>
      <c r="I640" s="304"/>
      <c r="J640" s="136"/>
      <c r="K640" s="67"/>
      <c r="O640" s="30"/>
      <c r="P640" s="274"/>
    </row>
    <row r="641" spans="6:16" ht="13.2">
      <c r="F641" s="305"/>
      <c r="G641" s="306"/>
      <c r="H641" s="2"/>
      <c r="I641" s="304"/>
      <c r="J641" s="136"/>
      <c r="K641" s="67"/>
      <c r="O641" s="30"/>
      <c r="P641" s="274"/>
    </row>
    <row r="642" spans="6:16" ht="13.2">
      <c r="F642" s="305"/>
      <c r="G642" s="306"/>
      <c r="H642" s="2"/>
      <c r="I642" s="304"/>
      <c r="J642" s="136"/>
      <c r="K642" s="67"/>
      <c r="O642" s="30"/>
      <c r="P642" s="274"/>
    </row>
    <row r="643" spans="6:16" ht="13.2">
      <c r="F643" s="305"/>
      <c r="G643" s="306"/>
      <c r="H643" s="2"/>
      <c r="I643" s="304"/>
      <c r="J643" s="136"/>
      <c r="K643" s="67"/>
      <c r="O643" s="30"/>
      <c r="P643" s="274"/>
    </row>
    <row r="644" spans="6:16" ht="13.2">
      <c r="F644" s="305"/>
      <c r="G644" s="306"/>
      <c r="H644" s="2"/>
      <c r="I644" s="304"/>
      <c r="J644" s="136"/>
      <c r="K644" s="67"/>
      <c r="O644" s="30"/>
      <c r="P644" s="274"/>
    </row>
    <row r="645" spans="6:16" ht="13.2">
      <c r="F645" s="305"/>
      <c r="G645" s="306"/>
      <c r="H645" s="2"/>
      <c r="I645" s="304"/>
      <c r="J645" s="136"/>
      <c r="K645" s="67"/>
      <c r="O645" s="30"/>
      <c r="P645" s="274"/>
    </row>
    <row r="646" spans="6:16" ht="13.2">
      <c r="F646" s="305"/>
      <c r="G646" s="306"/>
      <c r="H646" s="2"/>
      <c r="I646" s="304"/>
      <c r="J646" s="136"/>
      <c r="K646" s="67"/>
      <c r="O646" s="30"/>
      <c r="P646" s="274"/>
    </row>
    <row r="647" spans="6:16" ht="13.2">
      <c r="F647" s="305"/>
      <c r="G647" s="306"/>
      <c r="H647" s="2"/>
      <c r="I647" s="304"/>
      <c r="J647" s="136"/>
      <c r="K647" s="67"/>
      <c r="O647" s="30"/>
      <c r="P647" s="274"/>
    </row>
    <row r="648" spans="6:16" ht="13.2">
      <c r="F648" s="305"/>
      <c r="G648" s="306"/>
      <c r="H648" s="2"/>
      <c r="I648" s="304"/>
      <c r="J648" s="136"/>
      <c r="K648" s="67"/>
      <c r="O648" s="30"/>
      <c r="P648" s="274"/>
    </row>
    <row r="649" spans="6:16" ht="13.2">
      <c r="F649" s="305"/>
      <c r="G649" s="306"/>
      <c r="H649" s="2"/>
      <c r="I649" s="304"/>
      <c r="J649" s="136"/>
      <c r="K649" s="67"/>
      <c r="O649" s="30"/>
      <c r="P649" s="274"/>
    </row>
    <row r="650" spans="6:16" ht="13.2">
      <c r="F650" s="305"/>
      <c r="G650" s="306"/>
      <c r="H650" s="2"/>
      <c r="I650" s="304"/>
      <c r="J650" s="136"/>
      <c r="K650" s="67"/>
      <c r="O650" s="30"/>
      <c r="P650" s="274"/>
    </row>
    <row r="651" spans="6:16" ht="13.2">
      <c r="F651" s="305"/>
      <c r="G651" s="306"/>
      <c r="H651" s="2"/>
      <c r="I651" s="304"/>
      <c r="J651" s="136"/>
      <c r="K651" s="67"/>
      <c r="O651" s="30"/>
      <c r="P651" s="274"/>
    </row>
    <row r="652" spans="6:16" ht="13.2">
      <c r="F652" s="305"/>
      <c r="G652" s="306"/>
      <c r="H652" s="2"/>
      <c r="I652" s="304"/>
      <c r="J652" s="136"/>
      <c r="K652" s="67"/>
      <c r="O652" s="30"/>
      <c r="P652" s="274"/>
    </row>
    <row r="653" spans="6:16" ht="13.2">
      <c r="F653" s="305"/>
      <c r="G653" s="306"/>
      <c r="H653" s="2"/>
      <c r="I653" s="304"/>
      <c r="J653" s="136"/>
      <c r="K653" s="67"/>
      <c r="O653" s="30"/>
      <c r="P653" s="274"/>
    </row>
    <row r="654" spans="6:16" ht="13.2">
      <c r="F654" s="305"/>
      <c r="G654" s="306"/>
      <c r="H654" s="2"/>
      <c r="I654" s="304"/>
      <c r="J654" s="136"/>
      <c r="K654" s="67"/>
      <c r="O654" s="30"/>
      <c r="P654" s="274"/>
    </row>
    <row r="655" spans="6:16" ht="13.2">
      <c r="F655" s="305"/>
      <c r="G655" s="306"/>
      <c r="H655" s="2"/>
      <c r="I655" s="304"/>
      <c r="J655" s="136"/>
      <c r="K655" s="67"/>
      <c r="O655" s="30"/>
      <c r="P655" s="274"/>
    </row>
    <row r="656" spans="6:16" ht="13.2">
      <c r="F656" s="305"/>
      <c r="G656" s="306"/>
      <c r="H656" s="2"/>
      <c r="I656" s="304"/>
      <c r="J656" s="136"/>
      <c r="K656" s="67"/>
      <c r="O656" s="30"/>
      <c r="P656" s="274"/>
    </row>
    <row r="657" spans="6:16" ht="13.2">
      <c r="F657" s="305"/>
      <c r="G657" s="306"/>
      <c r="H657" s="2"/>
      <c r="I657" s="304"/>
      <c r="J657" s="136"/>
      <c r="K657" s="67"/>
      <c r="O657" s="30"/>
      <c r="P657" s="274"/>
    </row>
    <row r="658" spans="6:16" ht="13.2">
      <c r="F658" s="305"/>
      <c r="G658" s="306"/>
      <c r="H658" s="2"/>
      <c r="I658" s="304"/>
      <c r="J658" s="136"/>
      <c r="K658" s="67"/>
      <c r="O658" s="30"/>
      <c r="P658" s="274"/>
    </row>
    <row r="659" spans="6:16" ht="13.2">
      <c r="F659" s="305"/>
      <c r="G659" s="306"/>
      <c r="H659" s="2"/>
      <c r="I659" s="304"/>
      <c r="J659" s="136"/>
      <c r="K659" s="67"/>
      <c r="O659" s="30"/>
      <c r="P659" s="274"/>
    </row>
    <row r="660" spans="6:16" ht="13.2">
      <c r="F660" s="305"/>
      <c r="G660" s="306"/>
      <c r="H660" s="2"/>
      <c r="I660" s="304"/>
      <c r="J660" s="136"/>
      <c r="K660" s="67"/>
      <c r="O660" s="30"/>
      <c r="P660" s="274"/>
    </row>
    <row r="661" spans="6:16" ht="13.2">
      <c r="F661" s="305"/>
      <c r="G661" s="306"/>
      <c r="H661" s="2"/>
      <c r="I661" s="304"/>
      <c r="J661" s="136"/>
      <c r="K661" s="67"/>
      <c r="O661" s="30"/>
      <c r="P661" s="274"/>
    </row>
    <row r="662" spans="6:16" ht="13.2">
      <c r="F662" s="305"/>
      <c r="G662" s="306"/>
      <c r="H662" s="2"/>
      <c r="I662" s="304"/>
      <c r="J662" s="136"/>
      <c r="K662" s="67"/>
      <c r="O662" s="30"/>
      <c r="P662" s="274"/>
    </row>
    <row r="663" spans="6:16" ht="13.2">
      <c r="F663" s="305"/>
      <c r="G663" s="306"/>
      <c r="H663" s="2"/>
      <c r="I663" s="304"/>
      <c r="J663" s="136"/>
      <c r="K663" s="67"/>
      <c r="O663" s="30"/>
      <c r="P663" s="274"/>
    </row>
    <row r="664" spans="6:16" ht="13.2">
      <c r="F664" s="305"/>
      <c r="G664" s="306"/>
      <c r="H664" s="2"/>
      <c r="I664" s="304"/>
      <c r="J664" s="136"/>
      <c r="K664" s="67"/>
      <c r="O664" s="30"/>
      <c r="P664" s="274"/>
    </row>
    <row r="665" spans="6:16" ht="13.2">
      <c r="F665" s="305"/>
      <c r="G665" s="306"/>
      <c r="H665" s="2"/>
      <c r="I665" s="304"/>
      <c r="J665" s="136"/>
      <c r="K665" s="67"/>
      <c r="O665" s="30"/>
      <c r="P665" s="274"/>
    </row>
    <row r="666" spans="6:16" ht="13.2">
      <c r="F666" s="305"/>
      <c r="G666" s="306"/>
      <c r="H666" s="2"/>
      <c r="I666" s="304"/>
      <c r="J666" s="136"/>
      <c r="K666" s="67"/>
      <c r="O666" s="30"/>
      <c r="P666" s="274"/>
    </row>
    <row r="667" spans="6:16" ht="13.2">
      <c r="F667" s="305"/>
      <c r="G667" s="306"/>
      <c r="H667" s="2"/>
      <c r="I667" s="304"/>
      <c r="J667" s="136"/>
      <c r="K667" s="67"/>
      <c r="O667" s="30"/>
      <c r="P667" s="274"/>
    </row>
    <row r="668" spans="6:16" ht="13.2">
      <c r="F668" s="305"/>
      <c r="G668" s="306"/>
      <c r="H668" s="2"/>
      <c r="I668" s="304"/>
      <c r="J668" s="136"/>
      <c r="K668" s="67"/>
      <c r="O668" s="30"/>
      <c r="P668" s="274"/>
    </row>
    <row r="669" spans="6:16" ht="13.2">
      <c r="F669" s="305"/>
      <c r="G669" s="306"/>
      <c r="H669" s="2"/>
      <c r="I669" s="304"/>
      <c r="J669" s="136"/>
      <c r="K669" s="67"/>
      <c r="O669" s="30"/>
      <c r="P669" s="274"/>
    </row>
    <row r="670" spans="6:16" ht="13.2">
      <c r="F670" s="305"/>
      <c r="G670" s="306"/>
      <c r="H670" s="2"/>
      <c r="I670" s="304"/>
      <c r="J670" s="136"/>
      <c r="K670" s="67"/>
      <c r="O670" s="30"/>
      <c r="P670" s="274"/>
    </row>
    <row r="671" spans="6:16" ht="13.2">
      <c r="F671" s="305"/>
      <c r="G671" s="306"/>
      <c r="H671" s="2"/>
      <c r="I671" s="304"/>
      <c r="J671" s="136"/>
      <c r="K671" s="67"/>
      <c r="O671" s="30"/>
      <c r="P671" s="274"/>
    </row>
    <row r="672" spans="6:16" ht="13.2">
      <c r="F672" s="305"/>
      <c r="G672" s="306"/>
      <c r="H672" s="2"/>
      <c r="I672" s="304"/>
      <c r="J672" s="136"/>
      <c r="K672" s="67"/>
      <c r="O672" s="30"/>
      <c r="P672" s="274"/>
    </row>
    <row r="673" spans="6:16" ht="13.2">
      <c r="F673" s="305"/>
      <c r="G673" s="306"/>
      <c r="H673" s="2"/>
      <c r="I673" s="304"/>
      <c r="J673" s="136"/>
      <c r="K673" s="67"/>
      <c r="O673" s="30"/>
      <c r="P673" s="274"/>
    </row>
    <row r="674" spans="6:16" ht="13.2">
      <c r="F674" s="305"/>
      <c r="G674" s="306"/>
      <c r="H674" s="2"/>
      <c r="I674" s="304"/>
      <c r="J674" s="136"/>
      <c r="K674" s="67"/>
      <c r="O674" s="30"/>
      <c r="P674" s="274"/>
    </row>
    <row r="675" spans="6:16" ht="13.2">
      <c r="F675" s="305"/>
      <c r="G675" s="306"/>
      <c r="H675" s="2"/>
      <c r="I675" s="304"/>
      <c r="J675" s="136"/>
      <c r="K675" s="67"/>
      <c r="O675" s="30"/>
      <c r="P675" s="274"/>
    </row>
    <row r="676" spans="6:16" ht="13.2">
      <c r="F676" s="305"/>
      <c r="G676" s="306"/>
      <c r="H676" s="2"/>
      <c r="I676" s="304"/>
      <c r="J676" s="136"/>
      <c r="K676" s="67"/>
      <c r="O676" s="30"/>
      <c r="P676" s="274"/>
    </row>
    <row r="677" spans="6:16" ht="13.2">
      <c r="F677" s="305"/>
      <c r="G677" s="306"/>
      <c r="H677" s="2"/>
      <c r="I677" s="304"/>
      <c r="J677" s="136"/>
      <c r="K677" s="67"/>
      <c r="O677" s="30"/>
      <c r="P677" s="274"/>
    </row>
    <row r="678" spans="6:16" ht="13.2">
      <c r="F678" s="305"/>
      <c r="G678" s="306"/>
      <c r="H678" s="2"/>
      <c r="I678" s="304"/>
      <c r="J678" s="136"/>
      <c r="K678" s="67"/>
      <c r="O678" s="30"/>
      <c r="P678" s="274"/>
    </row>
    <row r="679" spans="6:16" ht="13.2">
      <c r="F679" s="305"/>
      <c r="G679" s="306"/>
      <c r="H679" s="2"/>
      <c r="I679" s="304"/>
      <c r="J679" s="136"/>
      <c r="K679" s="67"/>
      <c r="O679" s="30"/>
      <c r="P679" s="274"/>
    </row>
    <row r="680" spans="6:16" ht="13.2">
      <c r="F680" s="305"/>
      <c r="G680" s="306"/>
      <c r="H680" s="2"/>
      <c r="I680" s="304"/>
      <c r="J680" s="136"/>
      <c r="K680" s="67"/>
      <c r="O680" s="30"/>
      <c r="P680" s="274"/>
    </row>
    <row r="681" spans="6:16" ht="13.2">
      <c r="F681" s="305"/>
      <c r="G681" s="306"/>
      <c r="H681" s="2"/>
      <c r="I681" s="304"/>
      <c r="J681" s="136"/>
      <c r="K681" s="67"/>
      <c r="O681" s="30"/>
      <c r="P681" s="274"/>
    </row>
    <row r="682" spans="6:16" ht="13.2">
      <c r="F682" s="305"/>
      <c r="G682" s="306"/>
      <c r="H682" s="2"/>
      <c r="I682" s="304"/>
      <c r="J682" s="136"/>
      <c r="K682" s="67"/>
      <c r="O682" s="30"/>
      <c r="P682" s="274"/>
    </row>
    <row r="683" spans="6:16" ht="13.2">
      <c r="F683" s="305"/>
      <c r="G683" s="306"/>
      <c r="H683" s="2"/>
      <c r="I683" s="304"/>
      <c r="J683" s="136"/>
      <c r="K683" s="67"/>
      <c r="O683" s="30"/>
      <c r="P683" s="274"/>
    </row>
    <row r="684" spans="6:16" ht="13.2">
      <c r="F684" s="305"/>
      <c r="G684" s="306"/>
      <c r="H684" s="2"/>
      <c r="I684" s="304"/>
      <c r="J684" s="136"/>
      <c r="K684" s="67"/>
      <c r="O684" s="30"/>
      <c r="P684" s="274"/>
    </row>
    <row r="685" spans="6:16" ht="13.2">
      <c r="F685" s="305"/>
      <c r="G685" s="306"/>
      <c r="H685" s="2"/>
      <c r="I685" s="304"/>
      <c r="J685" s="136"/>
      <c r="K685" s="67"/>
      <c r="O685" s="30"/>
      <c r="P685" s="274"/>
    </row>
    <row r="686" spans="6:16" ht="13.2">
      <c r="F686" s="305"/>
      <c r="G686" s="306"/>
      <c r="H686" s="2"/>
      <c r="I686" s="304"/>
      <c r="J686" s="136"/>
      <c r="K686" s="67"/>
      <c r="O686" s="30"/>
      <c r="P686" s="274"/>
    </row>
    <row r="687" spans="6:16" ht="13.2">
      <c r="F687" s="305"/>
      <c r="G687" s="306"/>
      <c r="H687" s="2"/>
      <c r="I687" s="304"/>
      <c r="J687" s="136"/>
      <c r="K687" s="67"/>
      <c r="O687" s="30"/>
      <c r="P687" s="274"/>
    </row>
    <row r="688" spans="6:16" ht="13.2">
      <c r="F688" s="305"/>
      <c r="G688" s="306"/>
      <c r="H688" s="2"/>
      <c r="I688" s="304"/>
      <c r="J688" s="136"/>
      <c r="K688" s="67"/>
      <c r="O688" s="30"/>
      <c r="P688" s="274"/>
    </row>
    <row r="689" spans="6:16" ht="13.2">
      <c r="F689" s="305"/>
      <c r="G689" s="306"/>
      <c r="H689" s="2"/>
      <c r="I689" s="304"/>
      <c r="J689" s="136"/>
      <c r="K689" s="67"/>
      <c r="O689" s="30"/>
      <c r="P689" s="274"/>
    </row>
    <row r="690" spans="6:16" ht="13.2">
      <c r="F690" s="305"/>
      <c r="G690" s="306"/>
      <c r="H690" s="2"/>
      <c r="I690" s="304"/>
      <c r="J690" s="136"/>
      <c r="K690" s="67"/>
      <c r="O690" s="30"/>
      <c r="P690" s="274"/>
    </row>
    <row r="691" spans="6:16" ht="13.2">
      <c r="F691" s="305"/>
      <c r="G691" s="306"/>
      <c r="H691" s="2"/>
      <c r="I691" s="304"/>
      <c r="J691" s="136"/>
      <c r="K691" s="67"/>
      <c r="O691" s="30"/>
      <c r="P691" s="274"/>
    </row>
    <row r="692" spans="6:16" ht="13.2">
      <c r="F692" s="305"/>
      <c r="G692" s="306"/>
      <c r="H692" s="2"/>
      <c r="I692" s="304"/>
      <c r="J692" s="136"/>
      <c r="K692" s="67"/>
      <c r="O692" s="30"/>
      <c r="P692" s="274"/>
    </row>
    <row r="693" spans="6:16" ht="13.2">
      <c r="F693" s="305"/>
      <c r="G693" s="306"/>
      <c r="H693" s="2"/>
      <c r="I693" s="304"/>
      <c r="J693" s="136"/>
      <c r="K693" s="67"/>
      <c r="O693" s="30"/>
      <c r="P693" s="274"/>
    </row>
    <row r="694" spans="6:16" ht="13.2">
      <c r="F694" s="305"/>
      <c r="G694" s="306"/>
      <c r="H694" s="2"/>
      <c r="I694" s="304"/>
      <c r="J694" s="136"/>
      <c r="K694" s="67"/>
      <c r="O694" s="30"/>
      <c r="P694" s="274"/>
    </row>
    <row r="695" spans="6:16" ht="13.2">
      <c r="F695" s="305"/>
      <c r="G695" s="306"/>
      <c r="H695" s="2"/>
      <c r="I695" s="304"/>
      <c r="J695" s="136"/>
      <c r="K695" s="67"/>
      <c r="O695" s="30"/>
      <c r="P695" s="274"/>
    </row>
    <row r="696" spans="6:16" ht="13.2">
      <c r="F696" s="305"/>
      <c r="G696" s="306"/>
      <c r="H696" s="2"/>
      <c r="I696" s="304"/>
      <c r="J696" s="136"/>
      <c r="K696" s="67"/>
      <c r="O696" s="30"/>
      <c r="P696" s="274"/>
    </row>
    <row r="697" spans="6:16" ht="13.2">
      <c r="F697" s="305"/>
      <c r="G697" s="306"/>
      <c r="H697" s="2"/>
      <c r="I697" s="304"/>
      <c r="J697" s="136"/>
      <c r="K697" s="67"/>
      <c r="O697" s="30"/>
      <c r="P697" s="274"/>
    </row>
    <row r="698" spans="6:16" ht="13.2">
      <c r="F698" s="305"/>
      <c r="G698" s="306"/>
      <c r="H698" s="2"/>
      <c r="I698" s="304"/>
      <c r="J698" s="136"/>
      <c r="K698" s="67"/>
      <c r="O698" s="30"/>
      <c r="P698" s="274"/>
    </row>
    <row r="699" spans="6:16" ht="13.2">
      <c r="F699" s="305"/>
      <c r="G699" s="306"/>
      <c r="H699" s="2"/>
      <c r="I699" s="304"/>
      <c r="J699" s="136"/>
      <c r="K699" s="67"/>
      <c r="O699" s="30"/>
      <c r="P699" s="274"/>
    </row>
    <row r="700" spans="6:16" ht="13.2">
      <c r="F700" s="305"/>
      <c r="G700" s="306"/>
      <c r="H700" s="2"/>
      <c r="I700" s="304"/>
      <c r="J700" s="136"/>
      <c r="K700" s="67"/>
      <c r="O700" s="30"/>
      <c r="P700" s="274"/>
    </row>
    <row r="701" spans="6:16" ht="13.2">
      <c r="F701" s="305"/>
      <c r="G701" s="306"/>
      <c r="H701" s="2"/>
      <c r="I701" s="304"/>
      <c r="J701" s="136"/>
      <c r="K701" s="67"/>
      <c r="O701" s="30"/>
      <c r="P701" s="274"/>
    </row>
    <row r="702" spans="6:16" ht="13.2">
      <c r="F702" s="305"/>
      <c r="G702" s="306"/>
      <c r="H702" s="2"/>
      <c r="I702" s="304"/>
      <c r="J702" s="136"/>
      <c r="K702" s="67"/>
      <c r="O702" s="30"/>
      <c r="P702" s="274"/>
    </row>
    <row r="703" spans="6:16" ht="13.2">
      <c r="F703" s="305"/>
      <c r="G703" s="306"/>
      <c r="H703" s="2"/>
      <c r="I703" s="304"/>
      <c r="J703" s="136"/>
      <c r="K703" s="67"/>
      <c r="O703" s="30"/>
      <c r="P703" s="274"/>
    </row>
    <row r="704" spans="6:16" ht="13.2">
      <c r="F704" s="305"/>
      <c r="G704" s="306"/>
      <c r="H704" s="2"/>
      <c r="I704" s="304"/>
      <c r="J704" s="136"/>
      <c r="K704" s="67"/>
      <c r="O704" s="30"/>
      <c r="P704" s="274"/>
    </row>
    <row r="705" spans="6:16" ht="13.2">
      <c r="F705" s="305"/>
      <c r="G705" s="306"/>
      <c r="H705" s="2"/>
      <c r="I705" s="304"/>
      <c r="J705" s="136"/>
      <c r="K705" s="67"/>
      <c r="O705" s="30"/>
      <c r="P705" s="274"/>
    </row>
    <row r="706" spans="6:16" ht="13.2">
      <c r="F706" s="305"/>
      <c r="G706" s="306"/>
      <c r="H706" s="2"/>
      <c r="I706" s="304"/>
      <c r="J706" s="136"/>
      <c r="K706" s="67"/>
      <c r="O706" s="30"/>
      <c r="P706" s="274"/>
    </row>
    <row r="707" spans="6:16" ht="13.2">
      <c r="F707" s="305"/>
      <c r="G707" s="306"/>
      <c r="H707" s="2"/>
      <c r="I707" s="304"/>
      <c r="J707" s="136"/>
      <c r="K707" s="67"/>
      <c r="O707" s="30"/>
      <c r="P707" s="274"/>
    </row>
    <row r="708" spans="6:16" ht="13.2">
      <c r="F708" s="305"/>
      <c r="G708" s="306"/>
      <c r="H708" s="2"/>
      <c r="I708" s="304"/>
      <c r="J708" s="136"/>
      <c r="K708" s="67"/>
      <c r="O708" s="30"/>
      <c r="P708" s="274"/>
    </row>
    <row r="709" spans="6:16" ht="13.2">
      <c r="F709" s="305"/>
      <c r="G709" s="306"/>
      <c r="H709" s="2"/>
      <c r="I709" s="304"/>
      <c r="J709" s="136"/>
      <c r="K709" s="67"/>
      <c r="O709" s="30"/>
      <c r="P709" s="274"/>
    </row>
    <row r="710" spans="6:16" ht="13.2">
      <c r="F710" s="305"/>
      <c r="G710" s="306"/>
      <c r="H710" s="2"/>
      <c r="I710" s="304"/>
      <c r="J710" s="136"/>
      <c r="K710" s="67"/>
      <c r="O710" s="30"/>
      <c r="P710" s="274"/>
    </row>
    <row r="711" spans="6:16" ht="13.2">
      <c r="F711" s="305"/>
      <c r="G711" s="306"/>
      <c r="H711" s="2"/>
      <c r="I711" s="304"/>
      <c r="J711" s="136"/>
      <c r="K711" s="67"/>
      <c r="O711" s="30"/>
      <c r="P711" s="274"/>
    </row>
    <row r="712" spans="6:16" ht="13.2">
      <c r="F712" s="305"/>
      <c r="G712" s="306"/>
      <c r="H712" s="2"/>
      <c r="I712" s="304"/>
      <c r="J712" s="136"/>
      <c r="K712" s="67"/>
      <c r="O712" s="30"/>
      <c r="P712" s="274"/>
    </row>
    <row r="713" spans="6:16" ht="13.2">
      <c r="F713" s="305"/>
      <c r="G713" s="306"/>
      <c r="H713" s="2"/>
      <c r="I713" s="304"/>
      <c r="J713" s="136"/>
      <c r="K713" s="67"/>
      <c r="O713" s="30"/>
      <c r="P713" s="274"/>
    </row>
    <row r="714" spans="6:16" ht="13.2">
      <c r="F714" s="305"/>
      <c r="G714" s="306"/>
      <c r="H714" s="2"/>
      <c r="I714" s="304"/>
      <c r="J714" s="136"/>
      <c r="K714" s="67"/>
      <c r="O714" s="30"/>
      <c r="P714" s="274"/>
    </row>
    <row r="715" spans="6:16" ht="13.2">
      <c r="F715" s="305"/>
      <c r="G715" s="306"/>
      <c r="H715" s="2"/>
      <c r="I715" s="304"/>
      <c r="J715" s="136"/>
      <c r="K715" s="67"/>
      <c r="O715" s="30"/>
      <c r="P715" s="274"/>
    </row>
    <row r="716" spans="6:16" ht="13.2">
      <c r="F716" s="305"/>
      <c r="G716" s="306"/>
      <c r="H716" s="2"/>
      <c r="I716" s="304"/>
      <c r="J716" s="136"/>
      <c r="K716" s="67"/>
      <c r="O716" s="30"/>
      <c r="P716" s="274"/>
    </row>
    <row r="717" spans="6:16" ht="13.2">
      <c r="F717" s="305"/>
      <c r="G717" s="306"/>
      <c r="H717" s="2"/>
      <c r="I717" s="304"/>
      <c r="J717" s="136"/>
      <c r="K717" s="67"/>
      <c r="O717" s="30"/>
      <c r="P717" s="274"/>
    </row>
    <row r="718" spans="6:16" ht="13.2">
      <c r="F718" s="305"/>
      <c r="G718" s="306"/>
      <c r="H718" s="2"/>
      <c r="I718" s="304"/>
      <c r="J718" s="136"/>
      <c r="K718" s="67"/>
      <c r="O718" s="30"/>
      <c r="P718" s="274"/>
    </row>
    <row r="719" spans="6:16" ht="13.2">
      <c r="F719" s="305"/>
      <c r="G719" s="306"/>
      <c r="H719" s="2"/>
      <c r="I719" s="304"/>
      <c r="J719" s="136"/>
      <c r="K719" s="67"/>
      <c r="O719" s="30"/>
      <c r="P719" s="274"/>
    </row>
    <row r="720" spans="6:16" ht="13.2">
      <c r="F720" s="305"/>
      <c r="G720" s="306"/>
      <c r="H720" s="2"/>
      <c r="I720" s="304"/>
      <c r="J720" s="136"/>
      <c r="K720" s="67"/>
      <c r="O720" s="30"/>
      <c r="P720" s="274"/>
    </row>
    <row r="721" spans="6:16" ht="13.2">
      <c r="F721" s="305"/>
      <c r="G721" s="306"/>
      <c r="H721" s="2"/>
      <c r="I721" s="304"/>
      <c r="J721" s="136"/>
      <c r="K721" s="67"/>
      <c r="O721" s="30"/>
      <c r="P721" s="274"/>
    </row>
    <row r="722" spans="6:16" ht="13.2">
      <c r="F722" s="305"/>
      <c r="G722" s="306"/>
      <c r="H722" s="2"/>
      <c r="I722" s="304"/>
      <c r="J722" s="136"/>
      <c r="K722" s="67"/>
      <c r="O722" s="30"/>
      <c r="P722" s="274"/>
    </row>
    <row r="723" spans="6:16" ht="13.2">
      <c r="F723" s="305"/>
      <c r="G723" s="306"/>
      <c r="H723" s="2"/>
      <c r="I723" s="304"/>
      <c r="J723" s="136"/>
      <c r="K723" s="67"/>
      <c r="O723" s="30"/>
      <c r="P723" s="274"/>
    </row>
    <row r="724" spans="6:16" ht="13.2">
      <c r="F724" s="305"/>
      <c r="G724" s="306"/>
      <c r="H724" s="2"/>
      <c r="I724" s="304"/>
      <c r="J724" s="136"/>
      <c r="K724" s="67"/>
      <c r="O724" s="30"/>
      <c r="P724" s="274"/>
    </row>
    <row r="725" spans="6:16" ht="13.2">
      <c r="F725" s="305"/>
      <c r="G725" s="306"/>
      <c r="H725" s="2"/>
      <c r="I725" s="304"/>
      <c r="J725" s="136"/>
      <c r="K725" s="67"/>
      <c r="O725" s="30"/>
      <c r="P725" s="274"/>
    </row>
    <row r="726" spans="6:16" ht="13.2">
      <c r="F726" s="305"/>
      <c r="G726" s="306"/>
      <c r="H726" s="2"/>
      <c r="I726" s="304"/>
      <c r="J726" s="136"/>
      <c r="K726" s="67"/>
      <c r="O726" s="30"/>
      <c r="P726" s="274"/>
    </row>
    <row r="727" spans="6:16" ht="13.2">
      <c r="F727" s="305"/>
      <c r="G727" s="306"/>
      <c r="H727" s="2"/>
      <c r="I727" s="304"/>
      <c r="J727" s="136"/>
      <c r="K727" s="67"/>
      <c r="O727" s="30"/>
      <c r="P727" s="274"/>
    </row>
    <row r="728" spans="6:16" ht="13.2">
      <c r="F728" s="305"/>
      <c r="G728" s="306"/>
      <c r="H728" s="2"/>
      <c r="I728" s="304"/>
      <c r="J728" s="136"/>
      <c r="K728" s="67"/>
      <c r="O728" s="30"/>
      <c r="P728" s="274"/>
    </row>
    <row r="729" spans="6:16" ht="13.2">
      <c r="F729" s="305"/>
      <c r="G729" s="306"/>
      <c r="H729" s="2"/>
      <c r="I729" s="304"/>
      <c r="J729" s="136"/>
      <c r="K729" s="67"/>
      <c r="O729" s="30"/>
      <c r="P729" s="274"/>
    </row>
    <row r="730" spans="6:16" ht="13.2">
      <c r="F730" s="305"/>
      <c r="G730" s="306"/>
      <c r="H730" s="2"/>
      <c r="I730" s="304"/>
      <c r="J730" s="136"/>
      <c r="K730" s="67"/>
      <c r="O730" s="30"/>
      <c r="P730" s="274"/>
    </row>
    <row r="731" spans="6:16" ht="13.2">
      <c r="F731" s="305"/>
      <c r="G731" s="306"/>
      <c r="H731" s="2"/>
      <c r="I731" s="304"/>
      <c r="J731" s="136"/>
      <c r="K731" s="67"/>
      <c r="O731" s="30"/>
      <c r="P731" s="274"/>
    </row>
    <row r="732" spans="6:16" ht="13.2">
      <c r="F732" s="305"/>
      <c r="G732" s="306"/>
      <c r="H732" s="2"/>
      <c r="I732" s="304"/>
      <c r="J732" s="136"/>
      <c r="K732" s="67"/>
      <c r="O732" s="30"/>
      <c r="P732" s="274"/>
    </row>
    <row r="733" spans="6:16" ht="13.2">
      <c r="F733" s="305"/>
      <c r="G733" s="306"/>
      <c r="H733" s="2"/>
      <c r="I733" s="304"/>
      <c r="J733" s="136"/>
      <c r="K733" s="67"/>
      <c r="O733" s="30"/>
      <c r="P733" s="274"/>
    </row>
    <row r="734" spans="6:16" ht="13.2">
      <c r="F734" s="305"/>
      <c r="G734" s="306"/>
      <c r="H734" s="2"/>
      <c r="I734" s="304"/>
      <c r="J734" s="136"/>
      <c r="K734" s="67"/>
      <c r="O734" s="30"/>
      <c r="P734" s="274"/>
    </row>
    <row r="735" spans="6:16" ht="13.2">
      <c r="F735" s="305"/>
      <c r="G735" s="306"/>
      <c r="H735" s="2"/>
      <c r="I735" s="304"/>
      <c r="J735" s="136"/>
      <c r="K735" s="67"/>
      <c r="O735" s="30"/>
      <c r="P735" s="274"/>
    </row>
    <row r="736" spans="6:16" ht="13.2">
      <c r="F736" s="305"/>
      <c r="G736" s="306"/>
      <c r="H736" s="2"/>
      <c r="I736" s="304"/>
      <c r="J736" s="136"/>
      <c r="K736" s="67"/>
      <c r="O736" s="30"/>
      <c r="P736" s="274"/>
    </row>
    <row r="737" spans="6:16" ht="13.2">
      <c r="F737" s="305"/>
      <c r="G737" s="306"/>
      <c r="H737" s="2"/>
      <c r="I737" s="304"/>
      <c r="J737" s="136"/>
      <c r="K737" s="67"/>
      <c r="O737" s="30"/>
      <c r="P737" s="274"/>
    </row>
    <row r="738" spans="6:16" ht="13.2">
      <c r="F738" s="305"/>
      <c r="G738" s="306"/>
      <c r="H738" s="2"/>
      <c r="I738" s="304"/>
      <c r="J738" s="136"/>
      <c r="K738" s="67"/>
      <c r="O738" s="30"/>
      <c r="P738" s="274"/>
    </row>
    <row r="739" spans="6:16" ht="13.2">
      <c r="F739" s="305"/>
      <c r="G739" s="306"/>
      <c r="H739" s="2"/>
      <c r="I739" s="304"/>
      <c r="J739" s="136"/>
      <c r="K739" s="67"/>
      <c r="O739" s="30"/>
      <c r="P739" s="274"/>
    </row>
    <row r="740" spans="6:16" ht="13.2">
      <c r="F740" s="305"/>
      <c r="G740" s="306"/>
      <c r="H740" s="2"/>
      <c r="I740" s="304"/>
      <c r="J740" s="136"/>
      <c r="K740" s="67"/>
      <c r="O740" s="30"/>
      <c r="P740" s="274"/>
    </row>
    <row r="741" spans="6:16" ht="13.2">
      <c r="F741" s="305"/>
      <c r="G741" s="306"/>
      <c r="H741" s="2"/>
      <c r="I741" s="304"/>
      <c r="J741" s="136"/>
      <c r="K741" s="67"/>
      <c r="O741" s="30"/>
      <c r="P741" s="274"/>
    </row>
    <row r="742" spans="6:16" ht="13.2">
      <c r="F742" s="305"/>
      <c r="G742" s="306"/>
      <c r="H742" s="2"/>
      <c r="I742" s="304"/>
      <c r="J742" s="136"/>
      <c r="K742" s="67"/>
      <c r="O742" s="30"/>
      <c r="P742" s="274"/>
    </row>
    <row r="743" spans="6:16" ht="13.2">
      <c r="F743" s="305"/>
      <c r="G743" s="306"/>
      <c r="H743" s="2"/>
      <c r="I743" s="304"/>
      <c r="J743" s="136"/>
      <c r="K743" s="67"/>
      <c r="O743" s="30"/>
      <c r="P743" s="274"/>
    </row>
    <row r="744" spans="6:16" ht="13.2">
      <c r="F744" s="305"/>
      <c r="G744" s="306"/>
      <c r="H744" s="2"/>
      <c r="I744" s="304"/>
      <c r="J744" s="136"/>
      <c r="K744" s="67"/>
      <c r="O744" s="30"/>
      <c r="P744" s="274"/>
    </row>
    <row r="745" spans="6:16" ht="13.2">
      <c r="F745" s="305"/>
      <c r="G745" s="306"/>
      <c r="H745" s="2"/>
      <c r="I745" s="304"/>
      <c r="J745" s="136"/>
      <c r="K745" s="67"/>
      <c r="O745" s="30"/>
      <c r="P745" s="274"/>
    </row>
    <row r="746" spans="6:16" ht="13.2">
      <c r="F746" s="305"/>
      <c r="G746" s="306"/>
      <c r="H746" s="2"/>
      <c r="I746" s="304"/>
      <c r="J746" s="136"/>
      <c r="K746" s="67"/>
      <c r="O746" s="30"/>
      <c r="P746" s="274"/>
    </row>
    <row r="747" spans="6:16" ht="13.2">
      <c r="F747" s="305"/>
      <c r="G747" s="306"/>
      <c r="H747" s="2"/>
      <c r="I747" s="304"/>
      <c r="J747" s="136"/>
      <c r="K747" s="67"/>
      <c r="O747" s="30"/>
      <c r="P747" s="274"/>
    </row>
    <row r="748" spans="6:16" ht="13.2">
      <c r="F748" s="305"/>
      <c r="G748" s="306"/>
      <c r="H748" s="2"/>
      <c r="I748" s="304"/>
      <c r="J748" s="136"/>
      <c r="K748" s="67"/>
      <c r="O748" s="30"/>
      <c r="P748" s="274"/>
    </row>
    <row r="749" spans="6:16" ht="13.2">
      <c r="F749" s="305"/>
      <c r="G749" s="306"/>
      <c r="H749" s="2"/>
      <c r="I749" s="304"/>
      <c r="J749" s="136"/>
      <c r="K749" s="67"/>
      <c r="O749" s="30"/>
      <c r="P749" s="274"/>
    </row>
    <row r="750" spans="6:16" ht="13.2">
      <c r="F750" s="305"/>
      <c r="G750" s="306"/>
      <c r="H750" s="2"/>
      <c r="I750" s="304"/>
      <c r="J750" s="136"/>
      <c r="K750" s="67"/>
      <c r="O750" s="30"/>
      <c r="P750" s="274"/>
    </row>
    <row r="751" spans="6:16" ht="13.2">
      <c r="F751" s="305"/>
      <c r="G751" s="306"/>
      <c r="H751" s="2"/>
      <c r="I751" s="304"/>
      <c r="J751" s="136"/>
      <c r="K751" s="67"/>
      <c r="O751" s="30"/>
      <c r="P751" s="274"/>
    </row>
    <row r="752" spans="6:16" ht="13.2">
      <c r="F752" s="305"/>
      <c r="G752" s="306"/>
      <c r="H752" s="2"/>
      <c r="I752" s="304"/>
      <c r="J752" s="136"/>
      <c r="K752" s="67"/>
      <c r="O752" s="30"/>
      <c r="P752" s="274"/>
    </row>
    <row r="753" spans="6:16" ht="13.2">
      <c r="F753" s="305"/>
      <c r="G753" s="306"/>
      <c r="H753" s="2"/>
      <c r="I753" s="304"/>
      <c r="J753" s="136"/>
      <c r="K753" s="67"/>
      <c r="O753" s="30"/>
      <c r="P753" s="274"/>
    </row>
    <row r="754" spans="6:16" ht="13.2">
      <c r="F754" s="305"/>
      <c r="G754" s="306"/>
      <c r="H754" s="2"/>
      <c r="I754" s="304"/>
      <c r="J754" s="136"/>
      <c r="K754" s="67"/>
      <c r="O754" s="30"/>
      <c r="P754" s="274"/>
    </row>
    <row r="755" spans="6:16" ht="13.2">
      <c r="F755" s="305"/>
      <c r="G755" s="306"/>
      <c r="H755" s="2"/>
      <c r="I755" s="304"/>
      <c r="J755" s="136"/>
      <c r="K755" s="67"/>
      <c r="O755" s="30"/>
      <c r="P755" s="274"/>
    </row>
    <row r="756" spans="6:16" ht="13.2">
      <c r="F756" s="305"/>
      <c r="G756" s="306"/>
      <c r="H756" s="2"/>
      <c r="I756" s="304"/>
      <c r="J756" s="136"/>
      <c r="K756" s="67"/>
      <c r="O756" s="30"/>
      <c r="P756" s="274"/>
    </row>
    <row r="757" spans="6:16" ht="13.2">
      <c r="F757" s="305"/>
      <c r="G757" s="306"/>
      <c r="H757" s="2"/>
      <c r="I757" s="304"/>
      <c r="J757" s="136"/>
      <c r="K757" s="67"/>
      <c r="O757" s="30"/>
      <c r="P757" s="274"/>
    </row>
    <row r="758" spans="6:16" ht="13.2">
      <c r="F758" s="305"/>
      <c r="G758" s="306"/>
      <c r="H758" s="2"/>
      <c r="I758" s="304"/>
      <c r="J758" s="136"/>
      <c r="K758" s="67"/>
      <c r="O758" s="30"/>
      <c r="P758" s="274"/>
    </row>
    <row r="759" spans="6:16" ht="13.2">
      <c r="F759" s="305"/>
      <c r="G759" s="306"/>
      <c r="H759" s="2"/>
      <c r="I759" s="304"/>
      <c r="J759" s="136"/>
      <c r="K759" s="67"/>
      <c r="O759" s="30"/>
      <c r="P759" s="274"/>
    </row>
    <row r="760" spans="6:16" ht="13.2">
      <c r="F760" s="305"/>
      <c r="G760" s="306"/>
      <c r="H760" s="2"/>
      <c r="I760" s="304"/>
      <c r="J760" s="136"/>
      <c r="K760" s="67"/>
      <c r="O760" s="30"/>
      <c r="P760" s="274"/>
    </row>
    <row r="761" spans="6:16" ht="13.2">
      <c r="F761" s="305"/>
      <c r="G761" s="306"/>
      <c r="H761" s="2"/>
      <c r="I761" s="304"/>
      <c r="J761" s="136"/>
      <c r="K761" s="67"/>
      <c r="O761" s="30"/>
      <c r="P761" s="274"/>
    </row>
    <row r="762" spans="6:16" ht="13.2">
      <c r="F762" s="305"/>
      <c r="G762" s="306"/>
      <c r="H762" s="2"/>
      <c r="I762" s="304"/>
      <c r="J762" s="136"/>
      <c r="K762" s="67"/>
      <c r="O762" s="30"/>
      <c r="P762" s="274"/>
    </row>
    <row r="763" spans="6:16" ht="13.2">
      <c r="F763" s="305"/>
      <c r="G763" s="306"/>
      <c r="H763" s="2"/>
      <c r="I763" s="304"/>
      <c r="J763" s="136"/>
      <c r="K763" s="67"/>
      <c r="O763" s="30"/>
      <c r="P763" s="274"/>
    </row>
    <row r="764" spans="6:16" ht="13.2">
      <c r="F764" s="305"/>
      <c r="G764" s="306"/>
      <c r="H764" s="2"/>
      <c r="I764" s="304"/>
      <c r="J764" s="136"/>
      <c r="K764" s="67"/>
      <c r="O764" s="30"/>
      <c r="P764" s="274"/>
    </row>
    <row r="765" spans="6:16" ht="13.2">
      <c r="F765" s="305"/>
      <c r="G765" s="306"/>
      <c r="H765" s="2"/>
      <c r="I765" s="304"/>
      <c r="J765" s="136"/>
      <c r="K765" s="67"/>
      <c r="O765" s="30"/>
      <c r="P765" s="274"/>
    </row>
    <row r="766" spans="6:16" ht="13.2">
      <c r="F766" s="305"/>
      <c r="G766" s="306"/>
      <c r="H766" s="2"/>
      <c r="I766" s="304"/>
      <c r="J766" s="136"/>
      <c r="K766" s="67"/>
      <c r="O766" s="30"/>
      <c r="P766" s="274"/>
    </row>
    <row r="767" spans="6:16" ht="13.2">
      <c r="F767" s="305"/>
      <c r="G767" s="306"/>
      <c r="H767" s="2"/>
      <c r="I767" s="304"/>
      <c r="J767" s="136"/>
      <c r="K767" s="67"/>
      <c r="O767" s="30"/>
      <c r="P767" s="274"/>
    </row>
    <row r="768" spans="6:16" ht="13.2">
      <c r="F768" s="305"/>
      <c r="G768" s="306"/>
      <c r="H768" s="2"/>
      <c r="I768" s="304"/>
      <c r="J768" s="136"/>
      <c r="K768" s="67"/>
      <c r="O768" s="30"/>
      <c r="P768" s="274"/>
    </row>
    <row r="769" spans="6:16" ht="13.2">
      <c r="F769" s="305"/>
      <c r="G769" s="306"/>
      <c r="H769" s="2"/>
      <c r="I769" s="304"/>
      <c r="J769" s="136"/>
      <c r="K769" s="67"/>
      <c r="O769" s="30"/>
      <c r="P769" s="274"/>
    </row>
    <row r="770" spans="6:16" ht="13.2">
      <c r="F770" s="305"/>
      <c r="G770" s="306"/>
      <c r="H770" s="2"/>
      <c r="I770" s="304"/>
      <c r="J770" s="136"/>
      <c r="K770" s="67"/>
      <c r="O770" s="30"/>
      <c r="P770" s="274"/>
    </row>
    <row r="771" spans="6:16" ht="13.2">
      <c r="F771" s="305"/>
      <c r="G771" s="306"/>
      <c r="H771" s="2"/>
      <c r="I771" s="304"/>
      <c r="J771" s="136"/>
      <c r="K771" s="67"/>
      <c r="O771" s="30"/>
      <c r="P771" s="274"/>
    </row>
    <row r="772" spans="6:16" ht="13.2">
      <c r="F772" s="305"/>
      <c r="G772" s="306"/>
      <c r="H772" s="2"/>
      <c r="I772" s="304"/>
      <c r="J772" s="136"/>
      <c r="K772" s="67"/>
      <c r="O772" s="30"/>
      <c r="P772" s="274"/>
    </row>
    <row r="773" spans="6:16" ht="13.2">
      <c r="F773" s="305"/>
      <c r="G773" s="306"/>
      <c r="H773" s="2"/>
      <c r="I773" s="304"/>
      <c r="J773" s="136"/>
      <c r="K773" s="67"/>
      <c r="O773" s="30"/>
      <c r="P773" s="274"/>
    </row>
    <row r="774" spans="6:16" ht="13.2">
      <c r="F774" s="305"/>
      <c r="G774" s="306"/>
      <c r="H774" s="2"/>
      <c r="I774" s="304"/>
      <c r="J774" s="136"/>
      <c r="K774" s="67"/>
      <c r="O774" s="30"/>
      <c r="P774" s="274"/>
    </row>
    <row r="775" spans="6:16" ht="13.2">
      <c r="F775" s="305"/>
      <c r="G775" s="306"/>
      <c r="H775" s="2"/>
      <c r="I775" s="304"/>
      <c r="J775" s="136"/>
      <c r="K775" s="67"/>
      <c r="O775" s="30"/>
      <c r="P775" s="274"/>
    </row>
    <row r="776" spans="6:16" ht="13.2">
      <c r="F776" s="305"/>
      <c r="G776" s="306"/>
      <c r="H776" s="2"/>
      <c r="I776" s="304"/>
      <c r="J776" s="136"/>
      <c r="K776" s="67"/>
      <c r="O776" s="30"/>
      <c r="P776" s="274"/>
    </row>
    <row r="777" spans="6:16" ht="13.2">
      <c r="F777" s="305"/>
      <c r="G777" s="306"/>
      <c r="H777" s="2"/>
      <c r="I777" s="304"/>
      <c r="J777" s="136"/>
      <c r="K777" s="67"/>
      <c r="O777" s="30"/>
      <c r="P777" s="274"/>
    </row>
    <row r="778" spans="6:16" ht="13.2">
      <c r="F778" s="305"/>
      <c r="G778" s="306"/>
      <c r="H778" s="2"/>
      <c r="I778" s="304"/>
      <c r="J778" s="136"/>
      <c r="K778" s="67"/>
      <c r="O778" s="30"/>
      <c r="P778" s="274"/>
    </row>
    <row r="779" spans="6:16" ht="13.2">
      <c r="F779" s="305"/>
      <c r="G779" s="306"/>
      <c r="H779" s="2"/>
      <c r="I779" s="304"/>
      <c r="J779" s="136"/>
      <c r="K779" s="67"/>
      <c r="O779" s="30"/>
      <c r="P779" s="274"/>
    </row>
    <row r="780" spans="6:16" ht="13.2">
      <c r="F780" s="305"/>
      <c r="G780" s="306"/>
      <c r="H780" s="2"/>
      <c r="I780" s="304"/>
      <c r="J780" s="136"/>
      <c r="K780" s="67"/>
      <c r="O780" s="30"/>
      <c r="P780" s="274"/>
    </row>
    <row r="781" spans="6:16" ht="13.2">
      <c r="F781" s="305"/>
      <c r="G781" s="306"/>
      <c r="H781" s="2"/>
      <c r="I781" s="304"/>
      <c r="J781" s="136"/>
      <c r="K781" s="67"/>
      <c r="O781" s="30"/>
      <c r="P781" s="274"/>
    </row>
    <row r="782" spans="6:16" ht="13.2">
      <c r="F782" s="305"/>
      <c r="G782" s="306"/>
      <c r="H782" s="2"/>
      <c r="I782" s="304"/>
      <c r="J782" s="136"/>
      <c r="K782" s="67"/>
      <c r="O782" s="30"/>
      <c r="P782" s="274"/>
    </row>
    <row r="783" spans="6:16" ht="13.2">
      <c r="F783" s="305"/>
      <c r="G783" s="306"/>
      <c r="H783" s="2"/>
      <c r="I783" s="304"/>
      <c r="J783" s="136"/>
      <c r="K783" s="67"/>
      <c r="O783" s="30"/>
      <c r="P783" s="274"/>
    </row>
    <row r="784" spans="6:16" ht="13.2">
      <c r="F784" s="305"/>
      <c r="G784" s="306"/>
      <c r="H784" s="2"/>
      <c r="I784" s="304"/>
      <c r="J784" s="136"/>
      <c r="K784" s="67"/>
      <c r="O784" s="30"/>
      <c r="P784" s="274"/>
    </row>
    <row r="785" spans="6:16" ht="13.2">
      <c r="F785" s="305"/>
      <c r="G785" s="306"/>
      <c r="H785" s="2"/>
      <c r="I785" s="304"/>
      <c r="J785" s="136"/>
      <c r="K785" s="67"/>
      <c r="O785" s="30"/>
      <c r="P785" s="274"/>
    </row>
    <row r="786" spans="6:16" ht="13.2">
      <c r="F786" s="305"/>
      <c r="G786" s="306"/>
      <c r="H786" s="2"/>
      <c r="I786" s="304"/>
      <c r="J786" s="136"/>
      <c r="K786" s="67"/>
      <c r="O786" s="30"/>
      <c r="P786" s="274"/>
    </row>
    <row r="787" spans="6:16" ht="13.2">
      <c r="F787" s="305"/>
      <c r="G787" s="306"/>
      <c r="H787" s="2"/>
      <c r="I787" s="304"/>
      <c r="J787" s="136"/>
      <c r="K787" s="67"/>
      <c r="O787" s="30"/>
      <c r="P787" s="274"/>
    </row>
    <row r="788" spans="6:16" ht="13.2">
      <c r="F788" s="305"/>
      <c r="G788" s="306"/>
      <c r="H788" s="2"/>
      <c r="I788" s="304"/>
      <c r="J788" s="136"/>
      <c r="K788" s="67"/>
      <c r="O788" s="30"/>
      <c r="P788" s="274"/>
    </row>
    <row r="789" spans="6:16" ht="13.2">
      <c r="F789" s="305"/>
      <c r="G789" s="306"/>
      <c r="H789" s="2"/>
      <c r="I789" s="304"/>
      <c r="J789" s="136"/>
      <c r="K789" s="67"/>
      <c r="O789" s="30"/>
      <c r="P789" s="274"/>
    </row>
    <row r="790" spans="6:16" ht="13.2">
      <c r="F790" s="305"/>
      <c r="G790" s="306"/>
      <c r="H790" s="2"/>
      <c r="I790" s="304"/>
      <c r="J790" s="136"/>
      <c r="K790" s="67"/>
      <c r="O790" s="30"/>
      <c r="P790" s="274"/>
    </row>
    <row r="791" spans="6:16" ht="13.2">
      <c r="F791" s="305"/>
      <c r="G791" s="306"/>
      <c r="H791" s="2"/>
      <c r="I791" s="304"/>
      <c r="J791" s="136"/>
      <c r="K791" s="67"/>
      <c r="O791" s="30"/>
      <c r="P791" s="274"/>
    </row>
    <row r="792" spans="6:16" ht="13.2">
      <c r="F792" s="305"/>
      <c r="G792" s="306"/>
      <c r="H792" s="2"/>
      <c r="I792" s="304"/>
      <c r="J792" s="136"/>
      <c r="K792" s="67"/>
      <c r="O792" s="30"/>
      <c r="P792" s="274"/>
    </row>
    <row r="793" spans="6:16" ht="13.2">
      <c r="F793" s="305"/>
      <c r="G793" s="306"/>
      <c r="H793" s="2"/>
      <c r="I793" s="304"/>
      <c r="J793" s="136"/>
      <c r="K793" s="67"/>
      <c r="O793" s="30"/>
      <c r="P793" s="274"/>
    </row>
    <row r="794" spans="6:16" ht="13.2">
      <c r="F794" s="305"/>
      <c r="G794" s="306"/>
      <c r="H794" s="2"/>
      <c r="I794" s="304"/>
      <c r="J794" s="136"/>
      <c r="K794" s="67"/>
      <c r="O794" s="30"/>
      <c r="P794" s="274"/>
    </row>
    <row r="795" spans="6:16" ht="13.2">
      <c r="F795" s="305"/>
      <c r="G795" s="306"/>
      <c r="H795" s="2"/>
      <c r="I795" s="304"/>
      <c r="J795" s="136"/>
      <c r="K795" s="67"/>
      <c r="O795" s="30"/>
      <c r="P795" s="274"/>
    </row>
    <row r="796" spans="6:16" ht="13.2">
      <c r="F796" s="305"/>
      <c r="G796" s="306"/>
      <c r="H796" s="2"/>
      <c r="I796" s="304"/>
      <c r="J796" s="136"/>
      <c r="K796" s="67"/>
      <c r="O796" s="30"/>
      <c r="P796" s="274"/>
    </row>
    <row r="797" spans="6:16" ht="13.2">
      <c r="F797" s="305"/>
      <c r="G797" s="306"/>
      <c r="H797" s="2"/>
      <c r="I797" s="304"/>
      <c r="J797" s="136"/>
      <c r="K797" s="67"/>
      <c r="O797" s="30"/>
      <c r="P797" s="274"/>
    </row>
    <row r="798" spans="6:16" ht="13.2">
      <c r="F798" s="305"/>
      <c r="G798" s="306"/>
      <c r="H798" s="2"/>
      <c r="I798" s="304"/>
      <c r="J798" s="136"/>
      <c r="K798" s="67"/>
      <c r="O798" s="30"/>
      <c r="P798" s="274"/>
    </row>
    <row r="799" spans="6:16" ht="13.2">
      <c r="F799" s="305"/>
      <c r="G799" s="306"/>
      <c r="H799" s="2"/>
      <c r="I799" s="304"/>
      <c r="J799" s="136"/>
      <c r="K799" s="67"/>
      <c r="O799" s="30"/>
      <c r="P799" s="274"/>
    </row>
    <row r="800" spans="6:16" ht="13.2">
      <c r="F800" s="305"/>
      <c r="G800" s="306"/>
      <c r="H800" s="2"/>
      <c r="I800" s="304"/>
      <c r="J800" s="136"/>
      <c r="K800" s="67"/>
      <c r="O800" s="30"/>
      <c r="P800" s="274"/>
    </row>
    <row r="801" spans="6:16" ht="13.2">
      <c r="F801" s="305"/>
      <c r="G801" s="306"/>
      <c r="H801" s="2"/>
      <c r="I801" s="304"/>
      <c r="J801" s="136"/>
      <c r="K801" s="67"/>
      <c r="O801" s="30"/>
      <c r="P801" s="274"/>
    </row>
    <row r="802" spans="6:16" ht="13.2">
      <c r="F802" s="305"/>
      <c r="G802" s="306"/>
      <c r="H802" s="2"/>
      <c r="I802" s="304"/>
      <c r="J802" s="136"/>
      <c r="K802" s="67"/>
      <c r="O802" s="30"/>
      <c r="P802" s="274"/>
    </row>
    <row r="803" spans="6:16" ht="13.2">
      <c r="F803" s="305"/>
      <c r="G803" s="306"/>
      <c r="H803" s="2"/>
      <c r="I803" s="304"/>
      <c r="J803" s="136"/>
      <c r="K803" s="67"/>
      <c r="O803" s="30"/>
      <c r="P803" s="274"/>
    </row>
    <row r="804" spans="6:16" ht="13.2">
      <c r="F804" s="305"/>
      <c r="G804" s="306"/>
      <c r="H804" s="2"/>
      <c r="I804" s="304"/>
      <c r="J804" s="136"/>
      <c r="K804" s="67"/>
      <c r="O804" s="30"/>
      <c r="P804" s="274"/>
    </row>
    <row r="805" spans="6:16" ht="13.2">
      <c r="F805" s="305"/>
      <c r="G805" s="306"/>
      <c r="H805" s="2"/>
      <c r="I805" s="304"/>
      <c r="J805" s="136"/>
      <c r="K805" s="67"/>
      <c r="O805" s="30"/>
      <c r="P805" s="274"/>
    </row>
    <row r="806" spans="6:16" ht="13.2">
      <c r="F806" s="305"/>
      <c r="G806" s="306"/>
      <c r="H806" s="2"/>
      <c r="I806" s="304"/>
      <c r="J806" s="136"/>
      <c r="K806" s="67"/>
      <c r="O806" s="30"/>
      <c r="P806" s="274"/>
    </row>
    <row r="807" spans="6:16" ht="13.2">
      <c r="F807" s="305"/>
      <c r="G807" s="306"/>
      <c r="H807" s="2"/>
      <c r="I807" s="304"/>
      <c r="J807" s="136"/>
      <c r="K807" s="67"/>
      <c r="O807" s="30"/>
      <c r="P807" s="274"/>
    </row>
    <row r="808" spans="6:16" ht="13.2">
      <c r="F808" s="305"/>
      <c r="G808" s="306"/>
      <c r="H808" s="2"/>
      <c r="I808" s="304"/>
      <c r="J808" s="136"/>
      <c r="K808" s="67"/>
      <c r="O808" s="30"/>
      <c r="P808" s="274"/>
    </row>
    <row r="809" spans="6:16" ht="13.2">
      <c r="F809" s="305"/>
      <c r="G809" s="306"/>
      <c r="H809" s="2"/>
      <c r="I809" s="304"/>
      <c r="J809" s="136"/>
      <c r="K809" s="67"/>
      <c r="O809" s="30"/>
      <c r="P809" s="274"/>
    </row>
    <row r="810" spans="6:16" ht="13.2">
      <c r="F810" s="305"/>
      <c r="G810" s="306"/>
      <c r="H810" s="2"/>
      <c r="I810" s="304"/>
      <c r="J810" s="136"/>
      <c r="K810" s="67"/>
      <c r="O810" s="30"/>
      <c r="P810" s="274"/>
    </row>
    <row r="811" spans="6:16" ht="13.2">
      <c r="F811" s="305"/>
      <c r="G811" s="306"/>
      <c r="H811" s="2"/>
      <c r="I811" s="304"/>
      <c r="J811" s="136"/>
      <c r="K811" s="67"/>
      <c r="O811" s="30"/>
      <c r="P811" s="274"/>
    </row>
    <row r="812" spans="6:16" ht="13.2">
      <c r="F812" s="305"/>
      <c r="G812" s="306"/>
      <c r="H812" s="2"/>
      <c r="I812" s="304"/>
      <c r="J812" s="136"/>
      <c r="K812" s="67"/>
      <c r="O812" s="30"/>
      <c r="P812" s="274"/>
    </row>
    <row r="813" spans="6:16" ht="13.2">
      <c r="F813" s="305"/>
      <c r="G813" s="306"/>
      <c r="H813" s="2"/>
      <c r="I813" s="304"/>
      <c r="J813" s="136"/>
      <c r="K813" s="67"/>
      <c r="O813" s="30"/>
      <c r="P813" s="274"/>
    </row>
    <row r="814" spans="6:16" ht="13.2">
      <c r="F814" s="305"/>
      <c r="G814" s="306"/>
      <c r="H814" s="2"/>
      <c r="I814" s="304"/>
      <c r="J814" s="136"/>
      <c r="K814" s="67"/>
      <c r="O814" s="30"/>
      <c r="P814" s="274"/>
    </row>
    <row r="815" spans="6:16" ht="13.2">
      <c r="F815" s="305"/>
      <c r="G815" s="306"/>
      <c r="H815" s="2"/>
      <c r="I815" s="304"/>
      <c r="J815" s="136"/>
      <c r="K815" s="67"/>
      <c r="O815" s="30"/>
      <c r="P815" s="274"/>
    </row>
    <row r="816" spans="6:16" ht="13.2">
      <c r="F816" s="305"/>
      <c r="G816" s="306"/>
      <c r="H816" s="2"/>
      <c r="I816" s="304"/>
      <c r="J816" s="136"/>
      <c r="K816" s="67"/>
      <c r="O816" s="30"/>
      <c r="P816" s="274"/>
    </row>
    <row r="817" spans="6:16" ht="13.2">
      <c r="F817" s="305"/>
      <c r="G817" s="306"/>
      <c r="H817" s="2"/>
      <c r="I817" s="304"/>
      <c r="J817" s="136"/>
      <c r="K817" s="67"/>
      <c r="O817" s="30"/>
      <c r="P817" s="274"/>
    </row>
    <row r="818" spans="6:16" ht="13.2">
      <c r="F818" s="305"/>
      <c r="G818" s="306"/>
      <c r="H818" s="2"/>
      <c r="I818" s="304"/>
      <c r="J818" s="136"/>
      <c r="K818" s="67"/>
      <c r="O818" s="30"/>
      <c r="P818" s="274"/>
    </row>
    <row r="819" spans="6:16" ht="13.2">
      <c r="F819" s="305"/>
      <c r="G819" s="306"/>
      <c r="H819" s="2"/>
      <c r="I819" s="304"/>
      <c r="J819" s="136"/>
      <c r="K819" s="67"/>
      <c r="O819" s="30"/>
      <c r="P819" s="274"/>
    </row>
    <row r="820" spans="6:16" ht="13.2">
      <c r="F820" s="305"/>
      <c r="G820" s="306"/>
      <c r="H820" s="2"/>
      <c r="I820" s="304"/>
      <c r="J820" s="136"/>
      <c r="K820" s="67"/>
      <c r="O820" s="30"/>
      <c r="P820" s="274"/>
    </row>
    <row r="821" spans="6:16" ht="13.2">
      <c r="F821" s="305"/>
      <c r="G821" s="306"/>
      <c r="H821" s="2"/>
      <c r="I821" s="304"/>
      <c r="J821" s="136"/>
      <c r="K821" s="67"/>
      <c r="O821" s="30"/>
      <c r="P821" s="274"/>
    </row>
    <row r="822" spans="6:16" ht="13.2">
      <c r="F822" s="305"/>
      <c r="G822" s="306"/>
      <c r="H822" s="2"/>
      <c r="I822" s="304"/>
      <c r="J822" s="136"/>
      <c r="K822" s="67"/>
      <c r="O822" s="30"/>
      <c r="P822" s="274"/>
    </row>
    <row r="823" spans="6:16" ht="13.2">
      <c r="F823" s="305"/>
      <c r="G823" s="306"/>
      <c r="H823" s="2"/>
      <c r="I823" s="304"/>
      <c r="J823" s="136"/>
      <c r="K823" s="67"/>
      <c r="O823" s="30"/>
      <c r="P823" s="274"/>
    </row>
    <row r="824" spans="6:16" ht="13.2">
      <c r="F824" s="305"/>
      <c r="G824" s="306"/>
      <c r="H824" s="2"/>
      <c r="I824" s="304"/>
      <c r="J824" s="136"/>
      <c r="K824" s="67"/>
      <c r="O824" s="30"/>
      <c r="P824" s="274"/>
    </row>
    <row r="825" spans="6:16" ht="13.2">
      <c r="F825" s="305"/>
      <c r="G825" s="306"/>
      <c r="H825" s="2"/>
      <c r="I825" s="304"/>
      <c r="J825" s="136"/>
      <c r="K825" s="67"/>
      <c r="O825" s="30"/>
      <c r="P825" s="274"/>
    </row>
    <row r="826" spans="6:16" ht="13.2">
      <c r="F826" s="305"/>
      <c r="G826" s="306"/>
      <c r="H826" s="2"/>
      <c r="I826" s="304"/>
      <c r="J826" s="136"/>
      <c r="K826" s="67"/>
      <c r="O826" s="30"/>
      <c r="P826" s="274"/>
    </row>
    <row r="827" spans="6:16" ht="13.2">
      <c r="F827" s="305"/>
      <c r="G827" s="306"/>
      <c r="H827" s="2"/>
      <c r="I827" s="304"/>
      <c r="J827" s="136"/>
      <c r="K827" s="67"/>
      <c r="O827" s="30"/>
      <c r="P827" s="274"/>
    </row>
    <row r="828" spans="6:16" ht="13.2">
      <c r="F828" s="305"/>
      <c r="G828" s="306"/>
      <c r="H828" s="2"/>
      <c r="I828" s="304"/>
      <c r="J828" s="136"/>
      <c r="K828" s="67"/>
      <c r="O828" s="30"/>
      <c r="P828" s="274"/>
    </row>
    <row r="829" spans="6:16" ht="13.2">
      <c r="F829" s="305"/>
      <c r="G829" s="306"/>
      <c r="H829" s="2"/>
      <c r="I829" s="304"/>
      <c r="J829" s="136"/>
      <c r="K829" s="67"/>
      <c r="O829" s="30"/>
      <c r="P829" s="274"/>
    </row>
    <row r="830" spans="6:16" ht="13.2">
      <c r="F830" s="305"/>
      <c r="G830" s="306"/>
      <c r="H830" s="2"/>
      <c r="I830" s="304"/>
      <c r="J830" s="136"/>
      <c r="K830" s="67"/>
      <c r="O830" s="30"/>
      <c r="P830" s="274"/>
    </row>
    <row r="831" spans="6:16" ht="13.2">
      <c r="F831" s="305"/>
      <c r="G831" s="306"/>
      <c r="H831" s="2"/>
      <c r="I831" s="304"/>
      <c r="J831" s="136"/>
      <c r="K831" s="67"/>
      <c r="O831" s="30"/>
      <c r="P831" s="274"/>
    </row>
    <row r="832" spans="6:16" ht="13.2">
      <c r="F832" s="305"/>
      <c r="G832" s="306"/>
      <c r="H832" s="2"/>
      <c r="I832" s="304"/>
      <c r="J832" s="136"/>
      <c r="K832" s="67"/>
      <c r="O832" s="30"/>
      <c r="P832" s="274"/>
    </row>
    <row r="833" spans="6:16" ht="13.2">
      <c r="F833" s="305"/>
      <c r="G833" s="306"/>
      <c r="H833" s="2"/>
      <c r="I833" s="304"/>
      <c r="J833" s="136"/>
      <c r="K833" s="67"/>
      <c r="O833" s="30"/>
      <c r="P833" s="274"/>
    </row>
    <row r="834" spans="6:16" ht="13.2">
      <c r="F834" s="305"/>
      <c r="G834" s="306"/>
      <c r="H834" s="2"/>
      <c r="I834" s="304"/>
      <c r="J834" s="136"/>
      <c r="K834" s="67"/>
      <c r="O834" s="30"/>
      <c r="P834" s="274"/>
    </row>
    <row r="835" spans="6:16" ht="13.2">
      <c r="F835" s="305"/>
      <c r="G835" s="306"/>
      <c r="H835" s="2"/>
      <c r="I835" s="304"/>
      <c r="J835" s="136"/>
      <c r="K835" s="67"/>
      <c r="O835" s="30"/>
      <c r="P835" s="274"/>
    </row>
    <row r="836" spans="6:16" ht="13.2">
      <c r="F836" s="305"/>
      <c r="G836" s="306"/>
      <c r="H836" s="2"/>
      <c r="I836" s="304"/>
      <c r="J836" s="136"/>
      <c r="K836" s="67"/>
      <c r="O836" s="30"/>
      <c r="P836" s="274"/>
    </row>
    <row r="837" spans="6:16" ht="13.2">
      <c r="F837" s="305"/>
      <c r="G837" s="306"/>
      <c r="H837" s="2"/>
      <c r="I837" s="304"/>
      <c r="J837" s="136"/>
      <c r="K837" s="67"/>
      <c r="O837" s="30"/>
      <c r="P837" s="274"/>
    </row>
    <row r="838" spans="6:16" ht="13.2">
      <c r="F838" s="305"/>
      <c r="G838" s="306"/>
      <c r="H838" s="2"/>
      <c r="I838" s="304"/>
      <c r="J838" s="136"/>
      <c r="K838" s="67"/>
      <c r="O838" s="30"/>
      <c r="P838" s="274"/>
    </row>
    <row r="839" spans="6:16" ht="13.2">
      <c r="F839" s="305"/>
      <c r="G839" s="306"/>
      <c r="H839" s="2"/>
      <c r="I839" s="304"/>
      <c r="J839" s="136"/>
      <c r="K839" s="67"/>
      <c r="O839" s="30"/>
      <c r="P839" s="274"/>
    </row>
    <row r="840" spans="6:16" ht="13.2">
      <c r="F840" s="305"/>
      <c r="G840" s="306"/>
      <c r="H840" s="2"/>
      <c r="I840" s="304"/>
      <c r="J840" s="136"/>
      <c r="K840" s="67"/>
      <c r="O840" s="30"/>
      <c r="P840" s="274"/>
    </row>
    <row r="841" spans="6:16" ht="13.2">
      <c r="F841" s="305"/>
      <c r="G841" s="306"/>
      <c r="H841" s="2"/>
      <c r="I841" s="304"/>
      <c r="J841" s="136"/>
      <c r="K841" s="67"/>
      <c r="O841" s="30"/>
      <c r="P841" s="274"/>
    </row>
    <row r="842" spans="6:16" ht="13.2">
      <c r="F842" s="305"/>
      <c r="G842" s="306"/>
      <c r="H842" s="2"/>
      <c r="I842" s="304"/>
      <c r="J842" s="136"/>
      <c r="K842" s="67"/>
      <c r="O842" s="30"/>
      <c r="P842" s="274"/>
    </row>
    <row r="843" spans="6:16" ht="13.2">
      <c r="F843" s="305"/>
      <c r="G843" s="306"/>
      <c r="H843" s="2"/>
      <c r="I843" s="304"/>
      <c r="J843" s="136"/>
      <c r="K843" s="67"/>
      <c r="O843" s="30"/>
      <c r="P843" s="274"/>
    </row>
    <row r="844" spans="6:16" ht="13.2">
      <c r="F844" s="305"/>
      <c r="G844" s="306"/>
      <c r="H844" s="2"/>
      <c r="I844" s="304"/>
      <c r="J844" s="136"/>
      <c r="K844" s="67"/>
      <c r="O844" s="30"/>
      <c r="P844" s="274"/>
    </row>
    <row r="845" spans="6:16" ht="13.2">
      <c r="F845" s="305"/>
      <c r="G845" s="306"/>
      <c r="H845" s="2"/>
      <c r="I845" s="304"/>
      <c r="J845" s="136"/>
      <c r="K845" s="67"/>
      <c r="O845" s="30"/>
      <c r="P845" s="274"/>
    </row>
    <row r="846" spans="6:16" ht="13.2">
      <c r="F846" s="305"/>
      <c r="G846" s="306"/>
      <c r="H846" s="2"/>
      <c r="I846" s="304"/>
      <c r="J846" s="136"/>
      <c r="K846" s="67"/>
      <c r="O846" s="30"/>
      <c r="P846" s="274"/>
    </row>
    <row r="847" spans="6:16" ht="13.2">
      <c r="F847" s="305"/>
      <c r="G847" s="306"/>
      <c r="H847" s="2"/>
      <c r="I847" s="304"/>
      <c r="J847" s="136"/>
      <c r="K847" s="67"/>
      <c r="O847" s="30"/>
      <c r="P847" s="274"/>
    </row>
    <row r="848" spans="6:16" ht="13.2">
      <c r="F848" s="305"/>
      <c r="G848" s="306"/>
      <c r="H848" s="2"/>
      <c r="I848" s="304"/>
      <c r="J848" s="136"/>
      <c r="K848" s="67"/>
      <c r="O848" s="30"/>
      <c r="P848" s="274"/>
    </row>
    <row r="849" spans="6:16" ht="13.2">
      <c r="F849" s="305"/>
      <c r="G849" s="306"/>
      <c r="H849" s="2"/>
      <c r="I849" s="304"/>
      <c r="J849" s="136"/>
      <c r="K849" s="67"/>
      <c r="O849" s="30"/>
      <c r="P849" s="274"/>
    </row>
    <row r="850" spans="6:16" ht="13.2">
      <c r="F850" s="305"/>
      <c r="G850" s="306"/>
      <c r="H850" s="2"/>
      <c r="I850" s="304"/>
      <c r="J850" s="136"/>
      <c r="K850" s="67"/>
      <c r="O850" s="30"/>
      <c r="P850" s="274"/>
    </row>
    <row r="851" spans="6:16" ht="13.2">
      <c r="F851" s="305"/>
      <c r="G851" s="306"/>
      <c r="H851" s="2"/>
      <c r="I851" s="304"/>
      <c r="J851" s="136"/>
      <c r="K851" s="67"/>
      <c r="O851" s="30"/>
      <c r="P851" s="274"/>
    </row>
    <row r="852" spans="6:16" ht="13.2">
      <c r="F852" s="305"/>
      <c r="G852" s="306"/>
      <c r="H852" s="2"/>
      <c r="I852" s="304"/>
      <c r="J852" s="136"/>
      <c r="K852" s="67"/>
      <c r="O852" s="30"/>
      <c r="P852" s="274"/>
    </row>
    <row r="853" spans="6:16" ht="13.2">
      <c r="F853" s="305"/>
      <c r="G853" s="306"/>
      <c r="H853" s="2"/>
      <c r="I853" s="304"/>
      <c r="J853" s="136"/>
      <c r="K853" s="67"/>
      <c r="O853" s="30"/>
      <c r="P853" s="274"/>
    </row>
    <row r="854" spans="6:16" ht="13.2">
      <c r="F854" s="305"/>
      <c r="G854" s="306"/>
      <c r="H854" s="2"/>
      <c r="I854" s="304"/>
      <c r="J854" s="136"/>
      <c r="K854" s="67"/>
      <c r="O854" s="30"/>
      <c r="P854" s="274"/>
    </row>
    <row r="855" spans="6:16" ht="13.2">
      <c r="F855" s="305"/>
      <c r="G855" s="306"/>
      <c r="H855" s="2"/>
      <c r="I855" s="304"/>
      <c r="J855" s="136"/>
      <c r="K855" s="67"/>
      <c r="O855" s="30"/>
      <c r="P855" s="274"/>
    </row>
    <row r="856" spans="6:16" ht="13.2">
      <c r="F856" s="305"/>
      <c r="G856" s="306"/>
      <c r="H856" s="2"/>
      <c r="I856" s="304"/>
      <c r="J856" s="136"/>
      <c r="K856" s="67"/>
      <c r="O856" s="30"/>
      <c r="P856" s="274"/>
    </row>
    <row r="857" spans="6:16" ht="13.2">
      <c r="F857" s="305"/>
      <c r="G857" s="306"/>
      <c r="H857" s="2"/>
      <c r="I857" s="304"/>
      <c r="J857" s="136"/>
      <c r="K857" s="67"/>
      <c r="O857" s="30"/>
      <c r="P857" s="274"/>
    </row>
    <row r="858" spans="6:16" ht="13.2">
      <c r="F858" s="305"/>
      <c r="G858" s="306"/>
      <c r="H858" s="2"/>
      <c r="I858" s="304"/>
      <c r="J858" s="136"/>
      <c r="K858" s="67"/>
      <c r="O858" s="30"/>
      <c r="P858" s="274"/>
    </row>
    <row r="859" spans="6:16" ht="13.2">
      <c r="F859" s="305"/>
      <c r="G859" s="306"/>
      <c r="H859" s="2"/>
      <c r="I859" s="304"/>
      <c r="J859" s="136"/>
      <c r="K859" s="67"/>
      <c r="O859" s="30"/>
      <c r="P859" s="274"/>
    </row>
    <row r="860" spans="6:16" ht="13.2">
      <c r="F860" s="305"/>
      <c r="G860" s="306"/>
      <c r="H860" s="2"/>
      <c r="I860" s="304"/>
      <c r="J860" s="136"/>
      <c r="K860" s="67"/>
      <c r="O860" s="30"/>
      <c r="P860" s="274"/>
    </row>
    <row r="861" spans="6:16" ht="13.2">
      <c r="F861" s="305"/>
      <c r="G861" s="306"/>
      <c r="H861" s="2"/>
      <c r="I861" s="304"/>
      <c r="J861" s="136"/>
      <c r="K861" s="67"/>
      <c r="O861" s="30"/>
      <c r="P861" s="274"/>
    </row>
    <row r="862" spans="6:16" ht="13.2">
      <c r="F862" s="305"/>
      <c r="G862" s="306"/>
      <c r="H862" s="2"/>
      <c r="I862" s="304"/>
      <c r="J862" s="136"/>
      <c r="K862" s="67"/>
      <c r="O862" s="30"/>
      <c r="P862" s="274"/>
    </row>
    <row r="863" spans="6:16" ht="13.2">
      <c r="F863" s="305"/>
      <c r="G863" s="306"/>
      <c r="H863" s="2"/>
      <c r="I863" s="304"/>
      <c r="J863" s="136"/>
      <c r="K863" s="67"/>
      <c r="O863" s="30"/>
      <c r="P863" s="274"/>
    </row>
    <row r="864" spans="6:16" ht="13.2">
      <c r="F864" s="305"/>
      <c r="G864" s="306"/>
      <c r="H864" s="2"/>
      <c r="I864" s="304"/>
      <c r="J864" s="136"/>
      <c r="K864" s="67"/>
      <c r="O864" s="30"/>
      <c r="P864" s="274"/>
    </row>
    <row r="865" spans="6:16" ht="13.2">
      <c r="F865" s="305"/>
      <c r="G865" s="306"/>
      <c r="H865" s="2"/>
      <c r="I865" s="304"/>
      <c r="J865" s="136"/>
      <c r="K865" s="67"/>
      <c r="O865" s="30"/>
      <c r="P865" s="274"/>
    </row>
    <row r="866" spans="6:16" ht="13.2">
      <c r="F866" s="305"/>
      <c r="G866" s="306"/>
      <c r="H866" s="2"/>
      <c r="I866" s="304"/>
      <c r="J866" s="136"/>
      <c r="K866" s="67"/>
      <c r="O866" s="30"/>
      <c r="P866" s="274"/>
    </row>
    <row r="867" spans="6:16" ht="13.2">
      <c r="F867" s="305"/>
      <c r="G867" s="306"/>
      <c r="H867" s="2"/>
      <c r="I867" s="304"/>
      <c r="J867" s="136"/>
      <c r="K867" s="67"/>
      <c r="O867" s="30"/>
      <c r="P867" s="274"/>
    </row>
    <row r="868" spans="6:16" ht="13.2">
      <c r="F868" s="305"/>
      <c r="G868" s="306"/>
      <c r="H868" s="2"/>
      <c r="I868" s="304"/>
      <c r="J868" s="136"/>
      <c r="K868" s="67"/>
      <c r="O868" s="30"/>
      <c r="P868" s="274"/>
    </row>
    <row r="869" spans="6:16" ht="13.2">
      <c r="F869" s="305"/>
      <c r="G869" s="306"/>
      <c r="H869" s="2"/>
      <c r="I869" s="304"/>
      <c r="J869" s="136"/>
      <c r="K869" s="67"/>
      <c r="O869" s="30"/>
      <c r="P869" s="274"/>
    </row>
    <row r="870" spans="6:16" ht="13.2">
      <c r="F870" s="305"/>
      <c r="G870" s="306"/>
      <c r="H870" s="2"/>
      <c r="I870" s="304"/>
      <c r="J870" s="136"/>
      <c r="K870" s="67"/>
      <c r="O870" s="30"/>
      <c r="P870" s="274"/>
    </row>
    <row r="871" spans="6:16" ht="13.2">
      <c r="F871" s="305"/>
      <c r="G871" s="306"/>
      <c r="H871" s="2"/>
      <c r="I871" s="304"/>
      <c r="J871" s="136"/>
      <c r="K871" s="67"/>
      <c r="O871" s="30"/>
      <c r="P871" s="274"/>
    </row>
    <row r="872" spans="6:16" ht="13.2">
      <c r="F872" s="305"/>
      <c r="G872" s="306"/>
      <c r="H872" s="2"/>
      <c r="I872" s="304"/>
      <c r="J872" s="136"/>
      <c r="K872" s="67"/>
      <c r="O872" s="30"/>
      <c r="P872" s="274"/>
    </row>
    <row r="873" spans="6:16" ht="13.2">
      <c r="F873" s="305"/>
      <c r="G873" s="306"/>
      <c r="H873" s="2"/>
      <c r="I873" s="304"/>
      <c r="J873" s="136"/>
      <c r="K873" s="67"/>
      <c r="O873" s="30"/>
      <c r="P873" s="274"/>
    </row>
    <row r="874" spans="6:16" ht="13.2">
      <c r="F874" s="305"/>
      <c r="G874" s="306"/>
      <c r="H874" s="2"/>
      <c r="I874" s="304"/>
      <c r="J874" s="136"/>
      <c r="K874" s="67"/>
      <c r="O874" s="30"/>
      <c r="P874" s="274"/>
    </row>
    <row r="875" spans="6:16" ht="13.2">
      <c r="F875" s="305"/>
      <c r="G875" s="306"/>
      <c r="H875" s="2"/>
      <c r="I875" s="304"/>
      <c r="J875" s="136"/>
      <c r="K875" s="67"/>
      <c r="O875" s="30"/>
      <c r="P875" s="274"/>
    </row>
    <row r="876" spans="6:16" ht="13.2">
      <c r="F876" s="305"/>
      <c r="G876" s="306"/>
      <c r="H876" s="2"/>
      <c r="I876" s="304"/>
      <c r="J876" s="136"/>
      <c r="K876" s="67"/>
      <c r="O876" s="30"/>
      <c r="P876" s="274"/>
    </row>
    <row r="877" spans="6:16" ht="13.2">
      <c r="F877" s="305"/>
      <c r="G877" s="306"/>
      <c r="H877" s="2"/>
      <c r="I877" s="304"/>
      <c r="J877" s="136"/>
      <c r="K877" s="67"/>
      <c r="O877" s="30"/>
      <c r="P877" s="274"/>
    </row>
    <row r="878" spans="6:16" ht="13.2">
      <c r="F878" s="305"/>
      <c r="G878" s="306"/>
      <c r="H878" s="2"/>
      <c r="I878" s="304"/>
      <c r="J878" s="136"/>
      <c r="K878" s="67"/>
      <c r="O878" s="30"/>
      <c r="P878" s="274"/>
    </row>
    <row r="879" spans="6:16" ht="13.2">
      <c r="F879" s="305"/>
      <c r="G879" s="306"/>
      <c r="H879" s="2"/>
      <c r="I879" s="304"/>
      <c r="J879" s="136"/>
      <c r="K879" s="67"/>
      <c r="O879" s="30"/>
      <c r="P879" s="274"/>
    </row>
    <row r="880" spans="6:16" ht="13.2">
      <c r="F880" s="305"/>
      <c r="G880" s="306"/>
      <c r="H880" s="2"/>
      <c r="I880" s="304"/>
      <c r="J880" s="136"/>
      <c r="K880" s="67"/>
      <c r="O880" s="30"/>
      <c r="P880" s="274"/>
    </row>
    <row r="881" spans="6:16" ht="13.2">
      <c r="F881" s="305"/>
      <c r="G881" s="306"/>
      <c r="H881" s="2"/>
      <c r="I881" s="304"/>
      <c r="J881" s="136"/>
      <c r="K881" s="67"/>
      <c r="O881" s="30"/>
      <c r="P881" s="274"/>
    </row>
    <row r="882" spans="6:16" ht="13.2">
      <c r="F882" s="305"/>
      <c r="G882" s="306"/>
      <c r="H882" s="2"/>
      <c r="I882" s="304"/>
      <c r="J882" s="136"/>
      <c r="K882" s="67"/>
      <c r="O882" s="30"/>
      <c r="P882" s="274"/>
    </row>
    <row r="883" spans="6:16" ht="13.2">
      <c r="F883" s="305"/>
      <c r="G883" s="306"/>
      <c r="H883" s="2"/>
      <c r="I883" s="304"/>
      <c r="J883" s="136"/>
      <c r="K883" s="67"/>
      <c r="O883" s="30"/>
      <c r="P883" s="274"/>
    </row>
    <row r="884" spans="6:16" ht="13.2">
      <c r="F884" s="305"/>
      <c r="G884" s="306"/>
      <c r="H884" s="2"/>
      <c r="I884" s="304"/>
      <c r="J884" s="136"/>
      <c r="K884" s="67"/>
      <c r="O884" s="30"/>
      <c r="P884" s="274"/>
    </row>
    <row r="885" spans="6:16" ht="13.2">
      <c r="F885" s="305"/>
      <c r="G885" s="306"/>
      <c r="H885" s="2"/>
      <c r="I885" s="304"/>
      <c r="J885" s="136"/>
      <c r="K885" s="67"/>
      <c r="O885" s="30"/>
      <c r="P885" s="274"/>
    </row>
    <row r="886" spans="6:16" ht="13.2">
      <c r="F886" s="305"/>
      <c r="G886" s="306"/>
      <c r="H886" s="2"/>
      <c r="I886" s="304"/>
      <c r="J886" s="136"/>
      <c r="K886" s="67"/>
      <c r="O886" s="30"/>
      <c r="P886" s="274"/>
    </row>
    <row r="887" spans="6:16" ht="13.2">
      <c r="F887" s="305"/>
      <c r="G887" s="306"/>
      <c r="H887" s="2"/>
      <c r="I887" s="304"/>
      <c r="J887" s="136"/>
      <c r="K887" s="67"/>
      <c r="O887" s="30"/>
      <c r="P887" s="274"/>
    </row>
    <row r="888" spans="6:16" ht="13.2">
      <c r="F888" s="305"/>
      <c r="G888" s="306"/>
      <c r="H888" s="2"/>
      <c r="I888" s="304"/>
      <c r="J888" s="136"/>
      <c r="K888" s="67"/>
      <c r="O888" s="30"/>
      <c r="P888" s="274"/>
    </row>
    <row r="889" spans="6:16" ht="13.2">
      <c r="F889" s="305"/>
      <c r="G889" s="306"/>
      <c r="H889" s="2"/>
      <c r="I889" s="304"/>
      <c r="J889" s="136"/>
      <c r="K889" s="67"/>
      <c r="O889" s="30"/>
      <c r="P889" s="274"/>
    </row>
    <row r="890" spans="6:16" ht="13.2">
      <c r="F890" s="305"/>
      <c r="G890" s="306"/>
      <c r="H890" s="2"/>
      <c r="I890" s="304"/>
      <c r="J890" s="136"/>
      <c r="K890" s="67"/>
      <c r="O890" s="30"/>
      <c r="P890" s="274"/>
    </row>
    <row r="891" spans="6:16" ht="13.2">
      <c r="F891" s="305"/>
      <c r="G891" s="306"/>
      <c r="H891" s="2"/>
      <c r="I891" s="304"/>
      <c r="J891" s="136"/>
      <c r="K891" s="67"/>
      <c r="O891" s="30"/>
      <c r="P891" s="274"/>
    </row>
    <row r="892" spans="6:16" ht="13.2">
      <c r="F892" s="305"/>
      <c r="G892" s="306"/>
      <c r="H892" s="2"/>
      <c r="I892" s="304"/>
      <c r="J892" s="136"/>
      <c r="K892" s="67"/>
      <c r="O892" s="30"/>
      <c r="P892" s="274"/>
    </row>
    <row r="893" spans="6:16" ht="13.2">
      <c r="F893" s="305"/>
      <c r="G893" s="306"/>
      <c r="H893" s="2"/>
      <c r="I893" s="304"/>
      <c r="J893" s="136"/>
      <c r="K893" s="67"/>
      <c r="O893" s="30"/>
      <c r="P893" s="274"/>
    </row>
    <row r="894" spans="6:16" ht="13.2">
      <c r="F894" s="305"/>
      <c r="G894" s="306"/>
      <c r="H894" s="2"/>
      <c r="I894" s="304"/>
      <c r="J894" s="136"/>
      <c r="K894" s="67"/>
      <c r="O894" s="30"/>
      <c r="P894" s="274"/>
    </row>
    <row r="895" spans="6:16" ht="13.2">
      <c r="F895" s="305"/>
      <c r="G895" s="306"/>
      <c r="H895" s="2"/>
      <c r="I895" s="304"/>
      <c r="J895" s="136"/>
      <c r="K895" s="67"/>
      <c r="O895" s="30"/>
      <c r="P895" s="274"/>
    </row>
    <row r="896" spans="6:16" ht="13.2">
      <c r="F896" s="305"/>
      <c r="G896" s="306"/>
      <c r="H896" s="2"/>
      <c r="I896" s="304"/>
      <c r="J896" s="136"/>
      <c r="K896" s="67"/>
      <c r="O896" s="30"/>
      <c r="P896" s="274"/>
    </row>
    <row r="897" spans="6:16" ht="13.2">
      <c r="F897" s="305"/>
      <c r="G897" s="306"/>
      <c r="H897" s="2"/>
      <c r="I897" s="304"/>
      <c r="J897" s="136"/>
      <c r="K897" s="67"/>
      <c r="O897" s="30"/>
      <c r="P897" s="274"/>
    </row>
    <row r="898" spans="6:16" ht="13.2">
      <c r="F898" s="305"/>
      <c r="G898" s="306"/>
      <c r="H898" s="2"/>
      <c r="I898" s="304"/>
      <c r="J898" s="136"/>
      <c r="K898" s="67"/>
      <c r="O898" s="30"/>
      <c r="P898" s="274"/>
    </row>
    <row r="899" spans="6:16" ht="13.2">
      <c r="F899" s="305"/>
      <c r="G899" s="306"/>
      <c r="H899" s="2"/>
      <c r="I899" s="304"/>
      <c r="J899" s="136"/>
      <c r="K899" s="67"/>
      <c r="O899" s="30"/>
      <c r="P899" s="274"/>
    </row>
    <row r="900" spans="6:16" ht="13.2">
      <c r="F900" s="305"/>
      <c r="G900" s="306"/>
      <c r="H900" s="2"/>
      <c r="I900" s="304"/>
      <c r="J900" s="136"/>
      <c r="K900" s="67"/>
      <c r="O900" s="30"/>
      <c r="P900" s="274"/>
    </row>
    <row r="901" spans="6:16" ht="13.2">
      <c r="F901" s="305"/>
      <c r="G901" s="306"/>
      <c r="H901" s="2"/>
      <c r="I901" s="304"/>
      <c r="J901" s="136"/>
      <c r="K901" s="67"/>
      <c r="O901" s="30"/>
      <c r="P901" s="274"/>
    </row>
    <row r="902" spans="6:16" ht="13.2">
      <c r="F902" s="305"/>
      <c r="G902" s="306"/>
      <c r="H902" s="2"/>
      <c r="I902" s="304"/>
      <c r="J902" s="136"/>
      <c r="K902" s="67"/>
      <c r="O902" s="30"/>
      <c r="P902" s="274"/>
    </row>
    <row r="903" spans="6:16" ht="13.2">
      <c r="F903" s="305"/>
      <c r="G903" s="306"/>
      <c r="H903" s="2"/>
      <c r="I903" s="304"/>
      <c r="J903" s="136"/>
      <c r="K903" s="67"/>
      <c r="O903" s="30"/>
      <c r="P903" s="274"/>
    </row>
    <row r="904" spans="6:16" ht="13.2">
      <c r="F904" s="305"/>
      <c r="G904" s="306"/>
      <c r="H904" s="2"/>
      <c r="I904" s="304"/>
      <c r="J904" s="136"/>
      <c r="K904" s="67"/>
      <c r="O904" s="30"/>
      <c r="P904" s="274"/>
    </row>
    <row r="905" spans="6:16" ht="13.2">
      <c r="F905" s="305"/>
      <c r="G905" s="306"/>
      <c r="H905" s="2"/>
      <c r="I905" s="304"/>
      <c r="J905" s="136"/>
      <c r="K905" s="67"/>
      <c r="O905" s="30"/>
      <c r="P905" s="274"/>
    </row>
    <row r="906" spans="6:16" ht="13.2">
      <c r="F906" s="305"/>
      <c r="G906" s="306"/>
      <c r="H906" s="2"/>
      <c r="I906" s="304"/>
      <c r="J906" s="136"/>
      <c r="K906" s="67"/>
      <c r="O906" s="30"/>
      <c r="P906" s="274"/>
    </row>
    <row r="907" spans="6:16" ht="13.2">
      <c r="F907" s="305"/>
      <c r="G907" s="306"/>
      <c r="H907" s="2"/>
      <c r="I907" s="304"/>
      <c r="J907" s="136"/>
      <c r="K907" s="67"/>
      <c r="O907" s="30"/>
      <c r="P907" s="274"/>
    </row>
    <row r="908" spans="6:16" ht="13.2">
      <c r="F908" s="305"/>
      <c r="G908" s="306"/>
      <c r="H908" s="2"/>
      <c r="I908" s="304"/>
      <c r="J908" s="136"/>
      <c r="K908" s="67"/>
      <c r="O908" s="30"/>
      <c r="P908" s="274"/>
    </row>
    <row r="909" spans="6:16" ht="13.2">
      <c r="F909" s="305"/>
      <c r="G909" s="306"/>
      <c r="H909" s="2"/>
      <c r="I909" s="304"/>
      <c r="J909" s="136"/>
      <c r="K909" s="67"/>
      <c r="O909" s="30"/>
      <c r="P909" s="274"/>
    </row>
    <row r="910" spans="6:16" ht="13.2">
      <c r="F910" s="305"/>
      <c r="G910" s="306"/>
      <c r="H910" s="2"/>
      <c r="I910" s="304"/>
      <c r="J910" s="136"/>
      <c r="K910" s="67"/>
      <c r="O910" s="30"/>
      <c r="P910" s="274"/>
    </row>
    <row r="911" spans="6:16" ht="13.2">
      <c r="F911" s="305"/>
      <c r="G911" s="306"/>
      <c r="H911" s="2"/>
      <c r="I911" s="304"/>
      <c r="J911" s="136"/>
      <c r="K911" s="67"/>
      <c r="O911" s="30"/>
      <c r="P911" s="274"/>
    </row>
    <row r="912" spans="6:16" ht="13.2">
      <c r="F912" s="305"/>
      <c r="G912" s="306"/>
      <c r="H912" s="2"/>
      <c r="I912" s="304"/>
      <c r="J912" s="136"/>
      <c r="K912" s="67"/>
      <c r="O912" s="30"/>
      <c r="P912" s="274"/>
    </row>
    <row r="913" spans="6:16" ht="13.2">
      <c r="F913" s="305"/>
      <c r="G913" s="306"/>
      <c r="H913" s="2"/>
      <c r="I913" s="304"/>
      <c r="J913" s="136"/>
      <c r="K913" s="67"/>
      <c r="O913" s="30"/>
      <c r="P913" s="274"/>
    </row>
    <row r="914" spans="6:16" ht="13.2">
      <c r="F914" s="305"/>
      <c r="G914" s="306"/>
      <c r="H914" s="2"/>
      <c r="I914" s="304"/>
      <c r="J914" s="136"/>
      <c r="K914" s="67"/>
      <c r="O914" s="30"/>
      <c r="P914" s="274"/>
    </row>
    <row r="915" spans="6:16" ht="13.2">
      <c r="F915" s="305"/>
      <c r="G915" s="306"/>
      <c r="H915" s="2"/>
      <c r="I915" s="304"/>
      <c r="J915" s="136"/>
      <c r="K915" s="67"/>
      <c r="O915" s="30"/>
      <c r="P915" s="274"/>
    </row>
    <row r="916" spans="6:16" ht="13.2">
      <c r="F916" s="305"/>
      <c r="G916" s="306"/>
      <c r="H916" s="2"/>
      <c r="I916" s="304"/>
      <c r="J916" s="136"/>
      <c r="K916" s="67"/>
      <c r="O916" s="30"/>
      <c r="P916" s="274"/>
    </row>
    <row r="917" spans="6:16" ht="13.2">
      <c r="F917" s="305"/>
      <c r="G917" s="306"/>
      <c r="H917" s="2"/>
      <c r="I917" s="304"/>
      <c r="J917" s="136"/>
      <c r="K917" s="67"/>
      <c r="O917" s="30"/>
      <c r="P917" s="274"/>
    </row>
    <row r="918" spans="6:16" ht="13.2">
      <c r="F918" s="305"/>
      <c r="G918" s="306"/>
      <c r="H918" s="2"/>
      <c r="I918" s="304"/>
      <c r="J918" s="136"/>
      <c r="K918" s="67"/>
      <c r="O918" s="30"/>
      <c r="P918" s="274"/>
    </row>
    <row r="919" spans="6:16" ht="13.2">
      <c r="F919" s="305"/>
      <c r="G919" s="306"/>
      <c r="H919" s="2"/>
      <c r="I919" s="304"/>
      <c r="J919" s="136"/>
      <c r="K919" s="67"/>
      <c r="O919" s="30"/>
      <c r="P919" s="274"/>
    </row>
    <row r="920" spans="6:16" ht="13.2">
      <c r="F920" s="305"/>
      <c r="G920" s="306"/>
      <c r="H920" s="2"/>
      <c r="I920" s="304"/>
      <c r="J920" s="136"/>
      <c r="K920" s="67"/>
      <c r="O920" s="30"/>
      <c r="P920" s="274"/>
    </row>
    <row r="921" spans="6:16" ht="13.2">
      <c r="F921" s="305"/>
      <c r="G921" s="306"/>
      <c r="H921" s="2"/>
      <c r="I921" s="304"/>
      <c r="J921" s="136"/>
      <c r="K921" s="67"/>
      <c r="O921" s="30"/>
      <c r="P921" s="274"/>
    </row>
    <row r="922" spans="6:16" ht="13.2">
      <c r="F922" s="305"/>
      <c r="G922" s="306"/>
      <c r="H922" s="2"/>
      <c r="I922" s="304"/>
      <c r="J922" s="136"/>
      <c r="K922" s="67"/>
      <c r="O922" s="30"/>
      <c r="P922" s="274"/>
    </row>
    <row r="923" spans="6:16" ht="13.2">
      <c r="F923" s="305"/>
      <c r="G923" s="306"/>
      <c r="H923" s="2"/>
      <c r="I923" s="304"/>
      <c r="J923" s="136"/>
      <c r="K923" s="67"/>
      <c r="O923" s="30"/>
      <c r="P923" s="274"/>
    </row>
    <row r="924" spans="6:16" ht="13.2">
      <c r="F924" s="305"/>
      <c r="G924" s="306"/>
      <c r="H924" s="2"/>
      <c r="I924" s="304"/>
      <c r="J924" s="136"/>
      <c r="K924" s="67"/>
      <c r="O924" s="30"/>
      <c r="P924" s="274"/>
    </row>
    <row r="925" spans="6:16" ht="13.2">
      <c r="F925" s="305"/>
      <c r="G925" s="306"/>
      <c r="H925" s="2"/>
      <c r="I925" s="304"/>
      <c r="J925" s="136"/>
      <c r="K925" s="67"/>
      <c r="O925" s="30"/>
      <c r="P925" s="274"/>
    </row>
    <row r="926" spans="6:16" ht="13.2">
      <c r="F926" s="305"/>
      <c r="G926" s="306"/>
      <c r="H926" s="2"/>
      <c r="I926" s="304"/>
      <c r="J926" s="136"/>
      <c r="K926" s="67"/>
      <c r="O926" s="30"/>
      <c r="P926" s="274"/>
    </row>
    <row r="927" spans="6:16" ht="13.2">
      <c r="F927" s="305"/>
      <c r="G927" s="306"/>
      <c r="H927" s="2"/>
      <c r="I927" s="304"/>
      <c r="J927" s="136"/>
      <c r="K927" s="67"/>
      <c r="O927" s="30"/>
      <c r="P927" s="274"/>
    </row>
    <row r="928" spans="6:16" ht="13.2">
      <c r="F928" s="305"/>
      <c r="G928" s="306"/>
      <c r="H928" s="2"/>
      <c r="I928" s="304"/>
      <c r="J928" s="136"/>
      <c r="K928" s="67"/>
      <c r="O928" s="30"/>
      <c r="P928" s="274"/>
    </row>
    <row r="929" spans="6:16" ht="13.2">
      <c r="F929" s="305"/>
      <c r="G929" s="306"/>
      <c r="H929" s="2"/>
      <c r="I929" s="304"/>
      <c r="J929" s="136"/>
      <c r="K929" s="67"/>
      <c r="O929" s="30"/>
      <c r="P929" s="274"/>
    </row>
    <row r="930" spans="6:16" ht="13.2">
      <c r="F930" s="305"/>
      <c r="G930" s="306"/>
      <c r="H930" s="2"/>
      <c r="I930" s="304"/>
      <c r="J930" s="136"/>
      <c r="K930" s="67"/>
      <c r="O930" s="30"/>
      <c r="P930" s="274"/>
    </row>
    <row r="931" spans="6:16" ht="13.2">
      <c r="F931" s="305"/>
      <c r="G931" s="306"/>
      <c r="H931" s="2"/>
      <c r="I931" s="304"/>
      <c r="J931" s="136"/>
      <c r="K931" s="67"/>
      <c r="O931" s="30"/>
      <c r="P931" s="274"/>
    </row>
    <row r="932" spans="6:16" ht="13.2">
      <c r="F932" s="305"/>
      <c r="G932" s="306"/>
      <c r="H932" s="2"/>
      <c r="I932" s="304"/>
      <c r="J932" s="136"/>
      <c r="K932" s="67"/>
      <c r="O932" s="30"/>
      <c r="P932" s="274"/>
    </row>
    <row r="933" spans="6:16" ht="13.2">
      <c r="F933" s="305"/>
      <c r="G933" s="306"/>
      <c r="H933" s="2"/>
      <c r="I933" s="304"/>
      <c r="J933" s="136"/>
      <c r="K933" s="67"/>
      <c r="O933" s="30"/>
      <c r="P933" s="274"/>
    </row>
    <row r="934" spans="6:16" ht="13.2">
      <c r="F934" s="305"/>
      <c r="G934" s="306"/>
      <c r="H934" s="2"/>
      <c r="I934" s="304"/>
      <c r="J934" s="136"/>
      <c r="K934" s="67"/>
      <c r="O934" s="30"/>
      <c r="P934" s="274"/>
    </row>
    <row r="935" spans="6:16" ht="13.2">
      <c r="F935" s="305"/>
      <c r="G935" s="306"/>
      <c r="H935" s="2"/>
      <c r="I935" s="304"/>
      <c r="J935" s="136"/>
      <c r="K935" s="67"/>
      <c r="O935" s="30"/>
      <c r="P935" s="274"/>
    </row>
    <row r="936" spans="6:16" ht="13.2">
      <c r="F936" s="305"/>
      <c r="G936" s="306"/>
      <c r="H936" s="2"/>
      <c r="I936" s="304"/>
      <c r="J936" s="136"/>
      <c r="K936" s="67"/>
      <c r="O936" s="30"/>
      <c r="P936" s="274"/>
    </row>
    <row r="937" spans="6:16" ht="13.2">
      <c r="F937" s="305"/>
      <c r="G937" s="306"/>
      <c r="H937" s="2"/>
      <c r="I937" s="304"/>
      <c r="J937" s="136"/>
      <c r="K937" s="67"/>
      <c r="O937" s="30"/>
      <c r="P937" s="274"/>
    </row>
    <row r="938" spans="6:16" ht="13.2">
      <c r="F938" s="305"/>
      <c r="G938" s="306"/>
      <c r="H938" s="2"/>
      <c r="I938" s="304"/>
      <c r="J938" s="136"/>
      <c r="K938" s="67"/>
      <c r="O938" s="30"/>
      <c r="P938" s="274"/>
    </row>
    <row r="939" spans="6:16" ht="13.2">
      <c r="F939" s="305"/>
      <c r="G939" s="306"/>
      <c r="H939" s="2"/>
      <c r="I939" s="304"/>
      <c r="J939" s="136"/>
      <c r="K939" s="67"/>
      <c r="O939" s="30"/>
      <c r="P939" s="274"/>
    </row>
    <row r="940" spans="6:16" ht="13.2">
      <c r="F940" s="305"/>
      <c r="G940" s="306"/>
      <c r="H940" s="2"/>
      <c r="I940" s="304"/>
      <c r="J940" s="136"/>
      <c r="K940" s="67"/>
      <c r="O940" s="30"/>
      <c r="P940" s="274"/>
    </row>
    <row r="941" spans="6:16" ht="13.2">
      <c r="F941" s="305"/>
      <c r="G941" s="306"/>
      <c r="H941" s="2"/>
      <c r="I941" s="304"/>
      <c r="J941" s="136"/>
      <c r="K941" s="67"/>
      <c r="O941" s="30"/>
      <c r="P941" s="274"/>
    </row>
    <row r="942" spans="6:16" ht="13.2">
      <c r="F942" s="305"/>
      <c r="G942" s="306"/>
      <c r="H942" s="2"/>
      <c r="I942" s="304"/>
      <c r="J942" s="136"/>
      <c r="K942" s="67"/>
      <c r="O942" s="30"/>
      <c r="P942" s="274"/>
    </row>
    <row r="943" spans="6:16" ht="13.2">
      <c r="F943" s="305"/>
      <c r="G943" s="306"/>
      <c r="H943" s="2"/>
      <c r="I943" s="304"/>
      <c r="J943" s="136"/>
      <c r="K943" s="67"/>
      <c r="O943" s="30"/>
      <c r="P943" s="274"/>
    </row>
    <row r="944" spans="6:16" ht="13.2">
      <c r="F944" s="305"/>
      <c r="G944" s="306"/>
      <c r="H944" s="2"/>
      <c r="I944" s="304"/>
      <c r="J944" s="136"/>
      <c r="K944" s="67"/>
      <c r="O944" s="30"/>
      <c r="P944" s="274"/>
    </row>
    <row r="945" spans="6:16" ht="13.2">
      <c r="F945" s="305"/>
      <c r="G945" s="306"/>
      <c r="H945" s="2"/>
      <c r="I945" s="304"/>
      <c r="J945" s="136"/>
      <c r="K945" s="67"/>
      <c r="O945" s="30"/>
      <c r="P945" s="274"/>
    </row>
    <row r="946" spans="6:16" ht="13.2">
      <c r="F946" s="305"/>
      <c r="G946" s="306"/>
      <c r="H946" s="2"/>
      <c r="I946" s="304"/>
      <c r="J946" s="136"/>
      <c r="K946" s="67"/>
      <c r="O946" s="30"/>
      <c r="P946" s="274"/>
    </row>
    <row r="947" spans="6:16" ht="13.2">
      <c r="F947" s="305"/>
      <c r="G947" s="306"/>
      <c r="H947" s="2"/>
      <c r="I947" s="304"/>
      <c r="J947" s="136"/>
      <c r="K947" s="67"/>
      <c r="O947" s="30"/>
      <c r="P947" s="274"/>
    </row>
    <row r="948" spans="6:16" ht="13.2">
      <c r="F948" s="305"/>
      <c r="G948" s="306"/>
      <c r="H948" s="2"/>
      <c r="I948" s="304"/>
      <c r="J948" s="136"/>
      <c r="K948" s="67"/>
      <c r="O948" s="30"/>
      <c r="P948" s="274"/>
    </row>
    <row r="949" spans="6:16" ht="13.2">
      <c r="F949" s="305"/>
      <c r="G949" s="306"/>
      <c r="H949" s="2"/>
      <c r="I949" s="304"/>
      <c r="J949" s="136"/>
      <c r="K949" s="67"/>
      <c r="O949" s="30"/>
      <c r="P949" s="274"/>
    </row>
    <row r="950" spans="6:16" ht="13.2">
      <c r="F950" s="305"/>
      <c r="G950" s="306"/>
      <c r="H950" s="2"/>
      <c r="I950" s="304"/>
      <c r="J950" s="136"/>
      <c r="K950" s="67"/>
      <c r="O950" s="30"/>
      <c r="P950" s="274"/>
    </row>
    <row r="951" spans="6:16" ht="13.2">
      <c r="F951" s="305"/>
      <c r="G951" s="306"/>
      <c r="H951" s="2"/>
      <c r="I951" s="304"/>
      <c r="J951" s="136"/>
      <c r="K951" s="67"/>
      <c r="O951" s="30"/>
      <c r="P951" s="274"/>
    </row>
    <row r="952" spans="6:16" ht="13.2">
      <c r="F952" s="305"/>
      <c r="G952" s="306"/>
      <c r="H952" s="2"/>
      <c r="I952" s="304"/>
      <c r="J952" s="136"/>
      <c r="K952" s="67"/>
      <c r="O952" s="30"/>
      <c r="P952" s="274"/>
    </row>
    <row r="953" spans="6:16" ht="13.2">
      <c r="F953" s="305"/>
      <c r="G953" s="306"/>
      <c r="H953" s="2"/>
      <c r="I953" s="304"/>
      <c r="J953" s="136"/>
      <c r="K953" s="67"/>
      <c r="O953" s="30"/>
      <c r="P953" s="274"/>
    </row>
    <row r="954" spans="6:16" ht="13.2">
      <c r="F954" s="305"/>
      <c r="G954" s="306"/>
      <c r="H954" s="2"/>
      <c r="I954" s="304"/>
      <c r="J954" s="136"/>
      <c r="K954" s="67"/>
      <c r="O954" s="30"/>
      <c r="P954" s="274"/>
    </row>
    <row r="955" spans="6:16" ht="13.2">
      <c r="F955" s="305"/>
      <c r="G955" s="306"/>
      <c r="H955" s="2"/>
      <c r="I955" s="304"/>
      <c r="J955" s="136"/>
      <c r="K955" s="67"/>
      <c r="O955" s="30"/>
      <c r="P955" s="274"/>
    </row>
    <row r="956" spans="6:16" ht="13.2">
      <c r="F956" s="305"/>
      <c r="G956" s="306"/>
      <c r="H956" s="2"/>
      <c r="I956" s="304"/>
      <c r="J956" s="136"/>
      <c r="K956" s="67"/>
      <c r="O956" s="30"/>
      <c r="P956" s="274"/>
    </row>
    <row r="957" spans="6:16" ht="13.2">
      <c r="F957" s="305"/>
      <c r="G957" s="306"/>
      <c r="H957" s="2"/>
      <c r="I957" s="304"/>
      <c r="J957" s="136"/>
      <c r="K957" s="67"/>
      <c r="O957" s="30"/>
      <c r="P957" s="274"/>
    </row>
    <row r="958" spans="6:16" ht="13.2">
      <c r="F958" s="305"/>
      <c r="G958" s="306"/>
      <c r="H958" s="2"/>
      <c r="I958" s="304"/>
      <c r="J958" s="136"/>
      <c r="K958" s="67"/>
      <c r="O958" s="30"/>
      <c r="P958" s="274"/>
    </row>
    <row r="959" spans="6:16" ht="13.2">
      <c r="F959" s="305"/>
      <c r="G959" s="306"/>
      <c r="H959" s="2"/>
      <c r="I959" s="304"/>
      <c r="J959" s="136"/>
      <c r="K959" s="67"/>
      <c r="O959" s="30"/>
      <c r="P959" s="274"/>
    </row>
    <row r="960" spans="6:16" ht="13.2">
      <c r="F960" s="305"/>
      <c r="G960" s="306"/>
      <c r="H960" s="2"/>
      <c r="I960" s="304"/>
      <c r="J960" s="136"/>
      <c r="K960" s="67"/>
      <c r="O960" s="30"/>
      <c r="P960" s="274"/>
    </row>
    <row r="961" spans="6:16" ht="13.2">
      <c r="F961" s="305"/>
      <c r="G961" s="306"/>
      <c r="H961" s="2"/>
      <c r="I961" s="304"/>
      <c r="J961" s="136"/>
      <c r="K961" s="67"/>
      <c r="O961" s="30"/>
      <c r="P961" s="274"/>
    </row>
    <row r="962" spans="6:16" ht="13.2">
      <c r="F962" s="305"/>
      <c r="G962" s="306"/>
      <c r="H962" s="2"/>
      <c r="I962" s="304"/>
      <c r="J962" s="136"/>
      <c r="K962" s="67"/>
      <c r="O962" s="30"/>
      <c r="P962" s="274"/>
    </row>
    <row r="963" spans="6:16" ht="13.2">
      <c r="F963" s="305"/>
      <c r="G963" s="306"/>
      <c r="H963" s="2"/>
      <c r="I963" s="304"/>
      <c r="J963" s="136"/>
      <c r="K963" s="67"/>
      <c r="O963" s="30"/>
      <c r="P963" s="274"/>
    </row>
    <row r="964" spans="6:16" ht="13.2">
      <c r="F964" s="305"/>
      <c r="G964" s="306"/>
      <c r="H964" s="2"/>
      <c r="I964" s="304"/>
      <c r="J964" s="136"/>
      <c r="K964" s="67"/>
      <c r="O964" s="30"/>
      <c r="P964" s="274"/>
    </row>
    <row r="965" spans="6:16" ht="13.2">
      <c r="F965" s="305"/>
      <c r="G965" s="306"/>
      <c r="H965" s="2"/>
      <c r="I965" s="304"/>
      <c r="J965" s="136"/>
      <c r="K965" s="67"/>
      <c r="O965" s="30"/>
      <c r="P965" s="274"/>
    </row>
    <row r="966" spans="6:16" ht="13.2">
      <c r="F966" s="305"/>
      <c r="G966" s="306"/>
      <c r="H966" s="2"/>
      <c r="I966" s="304"/>
      <c r="J966" s="136"/>
      <c r="K966" s="67"/>
      <c r="O966" s="30"/>
      <c r="P966" s="274"/>
    </row>
    <row r="967" spans="6:16" ht="13.2">
      <c r="F967" s="305"/>
      <c r="G967" s="306"/>
      <c r="H967" s="2"/>
      <c r="I967" s="304"/>
      <c r="J967" s="136"/>
      <c r="K967" s="67"/>
      <c r="O967" s="30"/>
      <c r="P967" s="274"/>
    </row>
    <row r="968" spans="6:16" ht="13.2">
      <c r="F968" s="305"/>
      <c r="G968" s="306"/>
      <c r="H968" s="2"/>
      <c r="I968" s="304"/>
      <c r="J968" s="136"/>
      <c r="K968" s="67"/>
      <c r="O968" s="30"/>
      <c r="P968" s="274"/>
    </row>
    <row r="969" spans="6:16" ht="13.2">
      <c r="F969" s="305"/>
      <c r="G969" s="306"/>
      <c r="H969" s="2"/>
      <c r="I969" s="304"/>
      <c r="J969" s="136"/>
      <c r="K969" s="67"/>
      <c r="O969" s="30"/>
      <c r="P969" s="274"/>
    </row>
    <row r="970" spans="6:16" ht="13.2">
      <c r="F970" s="305"/>
      <c r="G970" s="306"/>
      <c r="H970" s="2"/>
      <c r="I970" s="304"/>
      <c r="J970" s="136"/>
      <c r="K970" s="67"/>
      <c r="O970" s="30"/>
      <c r="P970" s="274"/>
    </row>
    <row r="971" spans="6:16" ht="13.2">
      <c r="F971" s="305"/>
      <c r="G971" s="306"/>
      <c r="H971" s="2"/>
      <c r="I971" s="304"/>
      <c r="J971" s="136"/>
      <c r="K971" s="67"/>
      <c r="O971" s="30"/>
      <c r="P971" s="274"/>
    </row>
    <row r="972" spans="6:16" ht="13.2">
      <c r="F972" s="305"/>
      <c r="G972" s="306"/>
      <c r="H972" s="2"/>
      <c r="I972" s="304"/>
      <c r="J972" s="136"/>
      <c r="K972" s="67"/>
      <c r="O972" s="30"/>
      <c r="P972" s="274"/>
    </row>
    <row r="973" spans="6:16" ht="13.2">
      <c r="F973" s="305"/>
      <c r="G973" s="306"/>
      <c r="H973" s="2"/>
      <c r="I973" s="304"/>
      <c r="J973" s="136"/>
      <c r="K973" s="67"/>
      <c r="O973" s="30"/>
      <c r="P973" s="274"/>
    </row>
    <row r="974" spans="6:16" ht="13.2">
      <c r="F974" s="305"/>
      <c r="G974" s="306"/>
      <c r="H974" s="2"/>
      <c r="I974" s="304"/>
      <c r="J974" s="136"/>
      <c r="K974" s="67"/>
      <c r="O974" s="30"/>
      <c r="P974" s="274"/>
    </row>
    <row r="975" spans="6:16" ht="13.2">
      <c r="F975" s="305"/>
      <c r="G975" s="306"/>
      <c r="H975" s="2"/>
      <c r="I975" s="304"/>
      <c r="J975" s="136"/>
      <c r="K975" s="67"/>
      <c r="O975" s="30"/>
      <c r="P975" s="274"/>
    </row>
    <row r="976" spans="6:16" ht="13.2">
      <c r="F976" s="305"/>
      <c r="G976" s="306"/>
      <c r="H976" s="2"/>
      <c r="I976" s="304"/>
      <c r="J976" s="136"/>
      <c r="K976" s="67"/>
      <c r="O976" s="30"/>
      <c r="P976" s="274"/>
    </row>
    <row r="977" spans="6:16" ht="13.2">
      <c r="F977" s="305"/>
      <c r="G977" s="306"/>
      <c r="H977" s="2"/>
      <c r="I977" s="304"/>
      <c r="J977" s="136"/>
      <c r="K977" s="67"/>
      <c r="O977" s="30"/>
      <c r="P977" s="274"/>
    </row>
    <row r="978" spans="6:16" ht="13.2">
      <c r="F978" s="305"/>
      <c r="G978" s="306"/>
      <c r="H978" s="2"/>
      <c r="I978" s="304"/>
      <c r="J978" s="136"/>
      <c r="K978" s="67"/>
      <c r="O978" s="30"/>
      <c r="P978" s="274"/>
    </row>
    <row r="979" spans="6:16" ht="13.2">
      <c r="F979" s="305"/>
      <c r="G979" s="306"/>
      <c r="H979" s="2"/>
      <c r="I979" s="304"/>
      <c r="J979" s="136"/>
      <c r="K979" s="67"/>
      <c r="O979" s="30"/>
      <c r="P979" s="274"/>
    </row>
    <row r="980" spans="6:16" ht="13.2">
      <c r="F980" s="305"/>
      <c r="G980" s="306"/>
      <c r="H980" s="2"/>
      <c r="I980" s="304"/>
      <c r="J980" s="136"/>
      <c r="K980" s="67"/>
      <c r="O980" s="30"/>
      <c r="P980" s="274"/>
    </row>
    <row r="981" spans="6:16" ht="13.2">
      <c r="F981" s="305"/>
      <c r="G981" s="306"/>
      <c r="H981" s="2"/>
      <c r="I981" s="304"/>
      <c r="J981" s="136"/>
      <c r="K981" s="67"/>
      <c r="O981" s="30"/>
      <c r="P981" s="274"/>
    </row>
    <row r="982" spans="6:16" ht="13.2">
      <c r="F982" s="305"/>
      <c r="G982" s="306"/>
      <c r="H982" s="2"/>
      <c r="I982" s="304"/>
      <c r="J982" s="136"/>
      <c r="K982" s="67"/>
      <c r="O982" s="30"/>
      <c r="P982" s="274"/>
    </row>
    <row r="983" spans="6:16" ht="13.2">
      <c r="F983" s="305"/>
      <c r="G983" s="306"/>
      <c r="H983" s="2"/>
      <c r="I983" s="304"/>
      <c r="J983" s="136"/>
      <c r="K983" s="67"/>
      <c r="O983" s="30"/>
      <c r="P983" s="274"/>
    </row>
    <row r="984" spans="6:16" ht="13.2">
      <c r="F984" s="305"/>
      <c r="G984" s="306"/>
      <c r="H984" s="2"/>
      <c r="I984" s="304"/>
      <c r="J984" s="136"/>
      <c r="K984" s="67"/>
      <c r="O984" s="30"/>
      <c r="P984" s="274"/>
    </row>
    <row r="985" spans="6:16" ht="13.2">
      <c r="F985" s="305"/>
      <c r="G985" s="306"/>
      <c r="H985" s="2"/>
      <c r="I985" s="304"/>
      <c r="J985" s="136"/>
      <c r="K985" s="67"/>
      <c r="O985" s="30"/>
      <c r="P985" s="274"/>
    </row>
    <row r="986" spans="6:16" ht="13.2">
      <c r="F986" s="305"/>
      <c r="G986" s="306"/>
      <c r="H986" s="2"/>
      <c r="I986" s="304"/>
      <c r="J986" s="136"/>
      <c r="K986" s="67"/>
      <c r="O986" s="30"/>
      <c r="P986" s="274"/>
    </row>
    <row r="987" spans="6:16" ht="13.2">
      <c r="F987" s="305"/>
      <c r="G987" s="306"/>
      <c r="H987" s="2"/>
      <c r="I987" s="304"/>
      <c r="J987" s="136"/>
      <c r="K987" s="67"/>
      <c r="O987" s="30"/>
      <c r="P987" s="274"/>
    </row>
    <row r="988" spans="6:16" ht="13.2">
      <c r="F988" s="305"/>
      <c r="G988" s="306"/>
      <c r="H988" s="2"/>
      <c r="I988" s="304"/>
      <c r="J988" s="136"/>
      <c r="K988" s="67"/>
      <c r="O988" s="30"/>
      <c r="P988" s="274"/>
    </row>
    <row r="989" spans="6:16" ht="13.2">
      <c r="F989" s="305"/>
      <c r="G989" s="306"/>
      <c r="H989" s="2"/>
      <c r="I989" s="304"/>
      <c r="J989" s="136"/>
      <c r="K989" s="67"/>
      <c r="O989" s="30"/>
      <c r="P989" s="274"/>
    </row>
    <row r="990" spans="6:16" ht="13.2">
      <c r="F990" s="305"/>
      <c r="G990" s="306"/>
      <c r="H990" s="2"/>
      <c r="I990" s="304"/>
      <c r="J990" s="136"/>
      <c r="K990" s="67"/>
      <c r="O990" s="30"/>
      <c r="P990" s="274"/>
    </row>
    <row r="991" spans="6:16" ht="13.2">
      <c r="F991" s="305"/>
      <c r="G991" s="306"/>
      <c r="H991" s="2"/>
      <c r="I991" s="304"/>
      <c r="J991" s="136"/>
      <c r="K991" s="67"/>
      <c r="O991" s="30"/>
      <c r="P991" s="274"/>
    </row>
    <row r="992" spans="6:16" ht="13.2">
      <c r="F992" s="305"/>
      <c r="G992" s="306"/>
      <c r="H992" s="2"/>
      <c r="I992" s="304"/>
      <c r="J992" s="136"/>
      <c r="K992" s="67"/>
      <c r="O992" s="30"/>
      <c r="P992" s="274"/>
    </row>
    <row r="993" spans="6:16" ht="13.2">
      <c r="F993" s="305"/>
      <c r="G993" s="306"/>
      <c r="H993" s="2"/>
      <c r="I993" s="304"/>
      <c r="J993" s="136"/>
      <c r="K993" s="67"/>
      <c r="O993" s="30"/>
      <c r="P993" s="274"/>
    </row>
    <row r="994" spans="6:16" ht="13.2">
      <c r="F994" s="305"/>
      <c r="G994" s="306"/>
      <c r="H994" s="2"/>
      <c r="I994" s="304"/>
      <c r="J994" s="136"/>
      <c r="K994" s="67"/>
      <c r="O994" s="30"/>
      <c r="P994" s="274"/>
    </row>
    <row r="995" spans="6:16" ht="13.2">
      <c r="F995" s="305"/>
      <c r="G995" s="306"/>
      <c r="H995" s="2"/>
      <c r="I995" s="304"/>
      <c r="J995" s="136"/>
      <c r="K995" s="67"/>
      <c r="O995" s="30"/>
      <c r="P995" s="274"/>
    </row>
    <row r="996" spans="6:16" ht="13.2">
      <c r="F996" s="305"/>
      <c r="G996" s="306"/>
      <c r="H996" s="2"/>
      <c r="I996" s="304"/>
      <c r="J996" s="136"/>
      <c r="K996" s="67"/>
      <c r="O996" s="30"/>
      <c r="P996" s="274"/>
    </row>
    <row r="997" spans="6:16" ht="13.2">
      <c r="F997" s="305"/>
      <c r="G997" s="306"/>
      <c r="H997" s="2"/>
      <c r="I997" s="304"/>
      <c r="J997" s="136"/>
      <c r="K997" s="67"/>
      <c r="O997" s="30"/>
      <c r="P997" s="274"/>
    </row>
    <row r="998" spans="6:16" ht="13.2">
      <c r="F998" s="305"/>
      <c r="G998" s="306"/>
      <c r="H998" s="2"/>
      <c r="I998" s="304"/>
      <c r="J998" s="136"/>
      <c r="K998" s="67"/>
      <c r="O998" s="30"/>
      <c r="P998" s="274"/>
    </row>
    <row r="999" spans="6:16" ht="13.2">
      <c r="F999" s="305"/>
      <c r="G999" s="306"/>
      <c r="H999" s="2"/>
      <c r="I999" s="304"/>
      <c r="J999" s="136"/>
      <c r="K999" s="67"/>
      <c r="O999" s="30"/>
      <c r="P999" s="274"/>
    </row>
    <row r="1000" spans="6:16" ht="13.2">
      <c r="F1000" s="305"/>
      <c r="G1000" s="306"/>
      <c r="H1000" s="2"/>
      <c r="I1000" s="304"/>
      <c r="J1000" s="136"/>
      <c r="K1000" s="67"/>
      <c r="O1000" s="30"/>
      <c r="P1000" s="274"/>
    </row>
    <row r="1001" spans="6:16" ht="13.2">
      <c r="F1001" s="305"/>
      <c r="G1001" s="306"/>
      <c r="H1001" s="2"/>
      <c r="I1001" s="304"/>
      <c r="J1001" s="136"/>
      <c r="K1001" s="67"/>
      <c r="O1001" s="30"/>
      <c r="P1001" s="274"/>
    </row>
    <row r="1002" spans="6:16" ht="13.2">
      <c r="F1002" s="305"/>
      <c r="G1002" s="306"/>
      <c r="H1002" s="2"/>
      <c r="I1002" s="304"/>
      <c r="J1002" s="136"/>
      <c r="K1002" s="67"/>
      <c r="O1002" s="30"/>
      <c r="P1002" s="274"/>
    </row>
    <row r="1003" spans="6:16" ht="13.2">
      <c r="F1003" s="305"/>
      <c r="G1003" s="306"/>
      <c r="H1003" s="2"/>
      <c r="I1003" s="304"/>
      <c r="J1003" s="136"/>
      <c r="K1003" s="67"/>
      <c r="O1003" s="30"/>
      <c r="P1003" s="274"/>
    </row>
    <row r="1004" spans="6:16" ht="13.2">
      <c r="F1004" s="305"/>
      <c r="G1004" s="306"/>
      <c r="H1004" s="2"/>
      <c r="I1004" s="304"/>
      <c r="J1004" s="136"/>
      <c r="K1004" s="67"/>
      <c r="O1004" s="30"/>
      <c r="P1004" s="274"/>
    </row>
    <row r="1005" spans="6:16" ht="13.2">
      <c r="F1005" s="305"/>
      <c r="G1005" s="306"/>
      <c r="H1005" s="2"/>
      <c r="I1005" s="304"/>
      <c r="J1005" s="136"/>
      <c r="K1005" s="67"/>
      <c r="O1005" s="30"/>
      <c r="P1005" s="274"/>
    </row>
    <row r="1006" spans="6:16" ht="13.2">
      <c r="F1006" s="305"/>
      <c r="G1006" s="306"/>
      <c r="H1006" s="2"/>
      <c r="I1006" s="304"/>
      <c r="J1006" s="136"/>
      <c r="K1006" s="67"/>
      <c r="O1006" s="30"/>
      <c r="P1006" s="274"/>
    </row>
    <row r="1007" spans="6:16" ht="13.2">
      <c r="F1007" s="305"/>
      <c r="G1007" s="306"/>
      <c r="H1007" s="2"/>
      <c r="I1007" s="304"/>
      <c r="J1007" s="136"/>
      <c r="K1007" s="67"/>
      <c r="O1007" s="30"/>
      <c r="P1007" s="274"/>
    </row>
    <row r="1008" spans="6:16" ht="13.2">
      <c r="F1008" s="305"/>
      <c r="G1008" s="306"/>
      <c r="H1008" s="2"/>
      <c r="I1008" s="304"/>
      <c r="J1008" s="136"/>
      <c r="K1008" s="67"/>
      <c r="O1008" s="30"/>
      <c r="P1008" s="274"/>
    </row>
    <row r="1009" spans="6:16" ht="13.2">
      <c r="F1009" s="305"/>
      <c r="G1009" s="306"/>
      <c r="H1009" s="2"/>
      <c r="I1009" s="304"/>
      <c r="J1009" s="136"/>
      <c r="K1009" s="67"/>
      <c r="O1009" s="30"/>
      <c r="P1009" s="274"/>
    </row>
    <row r="1010" spans="6:16" ht="13.2">
      <c r="F1010" s="305"/>
      <c r="G1010" s="306"/>
      <c r="H1010" s="2"/>
      <c r="I1010" s="304"/>
      <c r="J1010" s="136"/>
      <c r="K1010" s="67"/>
      <c r="O1010" s="30"/>
      <c r="P1010" s="274"/>
    </row>
    <row r="1011" spans="6:16" ht="13.2">
      <c r="F1011" s="305"/>
      <c r="G1011" s="306"/>
      <c r="H1011" s="2"/>
      <c r="I1011" s="304"/>
      <c r="J1011" s="136"/>
      <c r="K1011" s="67"/>
      <c r="O1011" s="30"/>
      <c r="P1011" s="274"/>
    </row>
    <row r="1012" spans="6:16" ht="13.2">
      <c r="F1012" s="305"/>
      <c r="G1012" s="306"/>
      <c r="H1012" s="2"/>
      <c r="I1012" s="304"/>
      <c r="J1012" s="136"/>
      <c r="K1012" s="67"/>
      <c r="O1012" s="30"/>
      <c r="P1012" s="274"/>
    </row>
    <row r="1013" spans="6:16" ht="13.2">
      <c r="F1013" s="305"/>
      <c r="G1013" s="306"/>
      <c r="H1013" s="2"/>
      <c r="I1013" s="304"/>
      <c r="J1013" s="136"/>
      <c r="K1013" s="67"/>
      <c r="O1013" s="30"/>
      <c r="P1013" s="274"/>
    </row>
    <row r="1014" spans="6:16" ht="13.2">
      <c r="F1014" s="305"/>
      <c r="G1014" s="306"/>
      <c r="H1014" s="2"/>
      <c r="I1014" s="304"/>
      <c r="J1014" s="136"/>
      <c r="K1014" s="67"/>
      <c r="O1014" s="30"/>
      <c r="P1014" s="274"/>
    </row>
    <row r="1015" spans="6:16" ht="13.2">
      <c r="F1015" s="305"/>
      <c r="G1015" s="306"/>
      <c r="H1015" s="2"/>
      <c r="I1015" s="304"/>
      <c r="J1015" s="136"/>
      <c r="K1015" s="67"/>
      <c r="O1015" s="30"/>
      <c r="P1015" s="274"/>
    </row>
    <row r="1016" spans="6:16" ht="13.2">
      <c r="F1016" s="305"/>
      <c r="G1016" s="306"/>
      <c r="H1016" s="2"/>
      <c r="I1016" s="304"/>
      <c r="J1016" s="136"/>
      <c r="K1016" s="67"/>
      <c r="O1016" s="30"/>
      <c r="P1016" s="274"/>
    </row>
    <row r="1017" spans="6:16" ht="13.2">
      <c r="F1017" s="305"/>
      <c r="G1017" s="306"/>
      <c r="H1017" s="2"/>
      <c r="I1017" s="304"/>
      <c r="J1017" s="136"/>
      <c r="K1017" s="67"/>
      <c r="O1017" s="30"/>
      <c r="P1017" s="274"/>
    </row>
    <row r="1018" spans="6:16" ht="13.2">
      <c r="F1018" s="305"/>
      <c r="G1018" s="306"/>
      <c r="H1018" s="2"/>
      <c r="I1018" s="304"/>
      <c r="J1018" s="136"/>
      <c r="K1018" s="67"/>
      <c r="O1018" s="30"/>
      <c r="P1018" s="274"/>
    </row>
    <row r="1019" spans="6:16" ht="13.2">
      <c r="F1019" s="305"/>
      <c r="G1019" s="306"/>
      <c r="H1019" s="2"/>
      <c r="I1019" s="304"/>
      <c r="J1019" s="136"/>
      <c r="K1019" s="67"/>
      <c r="O1019" s="30"/>
      <c r="P1019" s="274"/>
    </row>
    <row r="1020" spans="6:16" ht="13.2">
      <c r="F1020" s="305"/>
      <c r="G1020" s="306"/>
      <c r="H1020" s="2"/>
      <c r="I1020" s="304"/>
      <c r="J1020" s="136"/>
      <c r="K1020" s="67"/>
      <c r="O1020" s="30"/>
      <c r="P1020" s="274"/>
    </row>
    <row r="1021" spans="6:16" ht="13.2">
      <c r="F1021" s="305"/>
      <c r="G1021" s="306"/>
      <c r="H1021" s="2"/>
      <c r="I1021" s="304"/>
      <c r="J1021" s="136"/>
      <c r="K1021" s="67"/>
      <c r="O1021" s="30"/>
      <c r="P1021" s="274"/>
    </row>
    <row r="1022" spans="6:16" ht="13.2">
      <c r="F1022" s="305"/>
      <c r="G1022" s="306"/>
      <c r="H1022" s="2"/>
      <c r="I1022" s="304"/>
      <c r="J1022" s="136"/>
      <c r="K1022" s="67"/>
      <c r="O1022" s="30"/>
      <c r="P1022" s="274"/>
    </row>
    <row r="1023" spans="6:16" ht="13.2">
      <c r="F1023" s="305"/>
      <c r="G1023" s="306"/>
      <c r="H1023" s="2"/>
      <c r="I1023" s="304"/>
      <c r="J1023" s="136"/>
      <c r="K1023" s="67"/>
      <c r="O1023" s="30"/>
      <c r="P1023" s="274"/>
    </row>
    <row r="1024" spans="6:16" ht="13.2">
      <c r="F1024" s="305"/>
      <c r="G1024" s="306"/>
      <c r="H1024" s="2"/>
      <c r="I1024" s="304"/>
      <c r="J1024" s="136"/>
      <c r="K1024" s="67"/>
      <c r="O1024" s="30"/>
      <c r="P1024" s="274"/>
    </row>
    <row r="1025" spans="6:16" ht="13.2">
      <c r="F1025" s="305"/>
      <c r="G1025" s="306"/>
      <c r="H1025" s="2"/>
      <c r="I1025" s="304"/>
      <c r="J1025" s="136"/>
      <c r="K1025" s="67"/>
      <c r="O1025" s="30"/>
      <c r="P1025" s="274"/>
    </row>
    <row r="1026" spans="6:16" ht="13.2">
      <c r="F1026" s="305"/>
      <c r="G1026" s="306"/>
      <c r="H1026" s="2"/>
      <c r="I1026" s="304"/>
      <c r="J1026" s="136"/>
      <c r="K1026" s="67"/>
      <c r="O1026" s="30"/>
      <c r="P1026" s="274"/>
    </row>
    <row r="1027" spans="6:16" ht="13.2">
      <c r="F1027" s="305"/>
      <c r="G1027" s="306"/>
      <c r="H1027" s="2"/>
      <c r="I1027" s="304"/>
      <c r="J1027" s="136"/>
      <c r="K1027" s="67"/>
      <c r="O1027" s="30"/>
      <c r="P1027" s="274"/>
    </row>
    <row r="1028" spans="6:16" ht="13.2">
      <c r="F1028" s="305"/>
      <c r="G1028" s="306"/>
      <c r="H1028" s="2"/>
      <c r="I1028" s="304"/>
      <c r="J1028" s="136"/>
      <c r="K1028" s="67"/>
      <c r="O1028" s="30"/>
      <c r="P1028" s="274"/>
    </row>
    <row r="1029" spans="6:16" ht="13.2">
      <c r="F1029" s="305"/>
      <c r="G1029" s="306"/>
      <c r="H1029" s="2"/>
      <c r="I1029" s="304"/>
      <c r="J1029" s="136"/>
      <c r="K1029" s="67"/>
      <c r="O1029" s="30"/>
      <c r="P1029" s="274"/>
    </row>
    <row r="1030" spans="6:16" ht="13.2">
      <c r="F1030" s="305"/>
      <c r="G1030" s="306"/>
      <c r="H1030" s="2"/>
      <c r="I1030" s="304"/>
      <c r="J1030" s="136"/>
      <c r="K1030" s="67"/>
      <c r="O1030" s="30"/>
      <c r="P1030" s="274"/>
    </row>
    <row r="1031" spans="6:16" ht="13.2">
      <c r="F1031" s="305"/>
      <c r="G1031" s="306"/>
      <c r="H1031" s="2"/>
      <c r="I1031" s="304"/>
      <c r="J1031" s="136"/>
      <c r="K1031" s="67"/>
      <c r="O1031" s="30"/>
      <c r="P1031" s="274"/>
    </row>
    <row r="1032" spans="6:16" ht="13.2">
      <c r="F1032" s="305"/>
      <c r="G1032" s="306"/>
      <c r="H1032" s="2"/>
      <c r="I1032" s="304"/>
      <c r="J1032" s="136"/>
      <c r="K1032" s="67"/>
      <c r="O1032" s="30"/>
      <c r="P1032" s="274"/>
    </row>
    <row r="1033" spans="6:16" ht="13.2">
      <c r="F1033" s="305"/>
      <c r="G1033" s="306"/>
      <c r="H1033" s="2"/>
      <c r="I1033" s="304"/>
      <c r="J1033" s="136"/>
      <c r="K1033" s="67"/>
      <c r="O1033" s="30"/>
      <c r="P1033" s="274"/>
    </row>
    <row r="1034" spans="6:16" ht="13.2">
      <c r="F1034" s="305"/>
      <c r="G1034" s="306"/>
      <c r="H1034" s="2"/>
      <c r="I1034" s="304"/>
      <c r="J1034" s="136"/>
      <c r="K1034" s="67"/>
      <c r="O1034" s="30"/>
      <c r="P1034" s="274"/>
    </row>
    <row r="1035" spans="6:16" ht="13.2">
      <c r="F1035" s="305"/>
      <c r="G1035" s="306"/>
      <c r="H1035" s="2"/>
      <c r="I1035" s="304"/>
      <c r="J1035" s="136"/>
      <c r="K1035" s="67"/>
      <c r="O1035" s="30"/>
      <c r="P1035" s="274"/>
    </row>
    <row r="1036" spans="6:16" ht="13.2">
      <c r="F1036" s="305"/>
      <c r="G1036" s="306"/>
      <c r="H1036" s="2"/>
      <c r="I1036" s="304"/>
      <c r="J1036" s="136"/>
      <c r="K1036" s="67"/>
      <c r="O1036" s="30"/>
      <c r="P1036" s="274"/>
    </row>
    <row r="1037" spans="6:16" ht="13.2">
      <c r="F1037" s="305"/>
      <c r="G1037" s="306"/>
      <c r="H1037" s="2"/>
      <c r="I1037" s="304"/>
      <c r="J1037" s="136"/>
      <c r="K1037" s="67"/>
      <c r="O1037" s="30"/>
      <c r="P1037" s="274"/>
    </row>
    <row r="1038" spans="6:16" ht="13.2">
      <c r="F1038" s="305"/>
      <c r="G1038" s="306"/>
      <c r="H1038" s="2"/>
      <c r="I1038" s="304"/>
      <c r="J1038" s="136"/>
      <c r="K1038" s="67"/>
      <c r="O1038" s="30"/>
      <c r="P1038" s="274"/>
    </row>
    <row r="1039" spans="6:16" ht="13.2">
      <c r="F1039" s="305"/>
      <c r="G1039" s="306"/>
      <c r="H1039" s="2"/>
      <c r="I1039" s="304"/>
      <c r="J1039" s="136"/>
      <c r="K1039" s="67"/>
      <c r="O1039" s="30"/>
      <c r="P1039" s="274"/>
    </row>
    <row r="1040" spans="6:16" ht="13.2">
      <c r="F1040" s="305"/>
      <c r="G1040" s="306"/>
      <c r="H1040" s="2"/>
      <c r="I1040" s="304"/>
      <c r="J1040" s="136"/>
      <c r="K1040" s="67"/>
      <c r="O1040" s="30"/>
      <c r="P1040" s="274"/>
    </row>
    <row r="1041" spans="6:16" ht="13.2">
      <c r="F1041" s="305"/>
      <c r="G1041" s="306"/>
      <c r="H1041" s="2"/>
      <c r="I1041" s="304"/>
      <c r="J1041" s="136"/>
      <c r="K1041" s="67"/>
      <c r="O1041" s="30"/>
      <c r="P1041" s="274"/>
    </row>
    <row r="1042" spans="6:16" ht="13.2">
      <c r="F1042" s="305"/>
      <c r="G1042" s="306"/>
      <c r="H1042" s="2"/>
      <c r="I1042" s="304"/>
      <c r="J1042" s="136"/>
      <c r="K1042" s="67"/>
      <c r="O1042" s="30"/>
      <c r="P1042" s="274"/>
    </row>
    <row r="1043" spans="6:16" ht="13.2">
      <c r="F1043" s="305"/>
      <c r="G1043" s="306"/>
      <c r="H1043" s="2"/>
      <c r="I1043" s="304"/>
      <c r="J1043" s="136"/>
      <c r="K1043" s="67"/>
      <c r="O1043" s="30"/>
      <c r="P1043" s="274"/>
    </row>
    <row r="1044" spans="6:16" ht="13.2">
      <c r="F1044" s="305"/>
      <c r="G1044" s="306"/>
      <c r="H1044" s="2"/>
      <c r="I1044" s="304"/>
      <c r="J1044" s="136"/>
      <c r="K1044" s="67"/>
      <c r="O1044" s="30"/>
      <c r="P1044" s="274"/>
    </row>
    <row r="1045" spans="6:16" ht="13.2">
      <c r="F1045" s="305"/>
      <c r="G1045" s="306"/>
      <c r="H1045" s="2"/>
      <c r="I1045" s="304"/>
      <c r="J1045" s="136"/>
      <c r="K1045" s="67"/>
      <c r="O1045" s="30"/>
      <c r="P1045" s="274"/>
    </row>
    <row r="1046" spans="6:16" ht="13.2">
      <c r="F1046" s="305"/>
      <c r="G1046" s="306"/>
      <c r="H1046" s="2"/>
      <c r="I1046" s="304"/>
      <c r="J1046" s="136"/>
      <c r="K1046" s="67"/>
      <c r="O1046" s="30"/>
      <c r="P1046" s="274"/>
    </row>
    <row r="1047" spans="6:16" ht="13.2">
      <c r="F1047" s="305"/>
      <c r="G1047" s="306"/>
      <c r="H1047" s="2"/>
      <c r="I1047" s="304"/>
      <c r="J1047" s="136"/>
      <c r="K1047" s="67"/>
      <c r="O1047" s="30"/>
      <c r="P1047" s="274"/>
    </row>
    <row r="1048" spans="6:16" ht="13.2">
      <c r="F1048" s="305"/>
      <c r="G1048" s="306"/>
      <c r="H1048" s="2"/>
      <c r="I1048" s="304"/>
      <c r="J1048" s="136"/>
      <c r="K1048" s="67"/>
      <c r="O1048" s="30"/>
      <c r="P1048" s="274"/>
    </row>
    <row r="1049" spans="6:16" ht="13.2">
      <c r="F1049" s="305"/>
      <c r="G1049" s="306"/>
      <c r="H1049" s="2"/>
      <c r="I1049" s="304"/>
      <c r="J1049" s="136"/>
      <c r="K1049" s="67"/>
      <c r="O1049" s="30"/>
      <c r="P1049" s="274"/>
    </row>
    <row r="1050" spans="6:16" ht="13.2">
      <c r="F1050" s="305"/>
      <c r="G1050" s="306"/>
      <c r="H1050" s="2"/>
      <c r="I1050" s="304"/>
      <c r="J1050" s="136"/>
      <c r="K1050" s="67"/>
      <c r="O1050" s="30"/>
      <c r="P1050" s="274"/>
    </row>
    <row r="1051" spans="6:16" ht="13.2">
      <c r="F1051" s="305"/>
      <c r="G1051" s="306"/>
      <c r="H1051" s="2"/>
      <c r="I1051" s="304"/>
      <c r="J1051" s="136"/>
      <c r="K1051" s="67"/>
      <c r="O1051" s="30"/>
      <c r="P1051" s="274"/>
    </row>
    <row r="1052" spans="6:16" ht="13.2">
      <c r="F1052" s="305"/>
      <c r="G1052" s="306"/>
      <c r="H1052" s="2"/>
      <c r="I1052" s="304"/>
      <c r="J1052" s="136"/>
      <c r="K1052" s="67"/>
      <c r="O1052" s="30"/>
      <c r="P1052" s="274"/>
    </row>
    <row r="1053" spans="6:16" ht="13.2">
      <c r="F1053" s="305"/>
      <c r="G1053" s="306"/>
      <c r="H1053" s="2"/>
      <c r="I1053" s="304"/>
      <c r="J1053" s="136"/>
      <c r="K1053" s="67"/>
      <c r="O1053" s="30"/>
      <c r="P1053" s="274"/>
    </row>
    <row r="1054" spans="6:16" ht="13.2">
      <c r="F1054" s="305"/>
      <c r="G1054" s="306"/>
      <c r="H1054" s="2"/>
      <c r="I1054" s="304"/>
      <c r="J1054" s="136"/>
      <c r="K1054" s="67"/>
      <c r="O1054" s="30"/>
      <c r="P1054" s="274"/>
    </row>
    <row r="1055" spans="6:16" ht="13.2">
      <c r="F1055" s="305"/>
      <c r="G1055" s="306"/>
      <c r="H1055" s="2"/>
      <c r="I1055" s="304"/>
      <c r="J1055" s="136"/>
      <c r="K1055" s="67"/>
      <c r="O1055" s="30"/>
      <c r="P1055" s="274"/>
    </row>
    <row r="1056" spans="6:16" ht="13.2">
      <c r="F1056" s="305"/>
      <c r="G1056" s="306"/>
      <c r="H1056" s="2"/>
      <c r="I1056" s="304"/>
      <c r="J1056" s="136"/>
      <c r="K1056" s="67"/>
      <c r="O1056" s="30"/>
      <c r="P1056" s="274"/>
    </row>
    <row r="1057" spans="6:16" ht="13.2">
      <c r="F1057" s="305"/>
      <c r="G1057" s="306"/>
      <c r="H1057" s="2"/>
      <c r="I1057" s="304"/>
      <c r="J1057" s="136"/>
      <c r="K1057" s="67"/>
      <c r="O1057" s="30"/>
      <c r="P1057" s="274"/>
    </row>
    <row r="1058" spans="6:16" ht="13.2">
      <c r="F1058" s="305"/>
      <c r="G1058" s="306"/>
      <c r="H1058" s="2"/>
      <c r="I1058" s="304"/>
      <c r="J1058" s="136"/>
      <c r="K1058" s="67"/>
      <c r="O1058" s="30"/>
      <c r="P1058" s="274"/>
    </row>
    <row r="1059" spans="6:16" ht="13.2">
      <c r="F1059" s="305"/>
      <c r="G1059" s="306"/>
      <c r="H1059" s="2"/>
      <c r="I1059" s="304"/>
      <c r="J1059" s="136"/>
      <c r="K1059" s="67"/>
      <c r="O1059" s="30"/>
      <c r="P1059" s="274"/>
    </row>
    <row r="1060" spans="6:16" ht="13.2">
      <c r="F1060" s="305"/>
      <c r="G1060" s="306"/>
      <c r="H1060" s="2"/>
      <c r="I1060" s="304"/>
      <c r="J1060" s="136"/>
      <c r="K1060" s="67"/>
      <c r="O1060" s="30"/>
      <c r="P1060" s="274"/>
    </row>
    <row r="1061" spans="6:16" ht="13.2">
      <c r="F1061" s="305"/>
      <c r="G1061" s="306"/>
      <c r="H1061" s="2"/>
      <c r="I1061" s="304"/>
      <c r="J1061" s="136"/>
      <c r="K1061" s="67"/>
      <c r="O1061" s="30"/>
      <c r="P1061" s="274"/>
    </row>
    <row r="1062" spans="6:16" ht="13.2">
      <c r="F1062" s="305"/>
      <c r="G1062" s="306"/>
      <c r="H1062" s="2"/>
      <c r="I1062" s="304"/>
      <c r="J1062" s="136"/>
      <c r="K1062" s="67"/>
      <c r="O1062" s="30"/>
      <c r="P1062" s="274"/>
    </row>
    <row r="1063" spans="6:16" ht="13.2">
      <c r="F1063" s="305"/>
      <c r="G1063" s="306"/>
      <c r="H1063" s="2"/>
      <c r="I1063" s="304"/>
      <c r="J1063" s="136"/>
      <c r="K1063" s="67"/>
      <c r="O1063" s="30"/>
      <c r="P1063" s="274"/>
    </row>
    <row r="1064" spans="6:16" ht="13.2">
      <c r="F1064" s="305"/>
      <c r="G1064" s="306"/>
      <c r="H1064" s="2"/>
      <c r="I1064" s="304"/>
      <c r="J1064" s="136"/>
      <c r="K1064" s="67"/>
      <c r="O1064" s="30"/>
      <c r="P1064" s="274"/>
    </row>
    <row r="1065" spans="6:16" ht="13.2">
      <c r="F1065" s="305"/>
      <c r="G1065" s="306"/>
      <c r="H1065" s="2"/>
      <c r="I1065" s="304"/>
      <c r="J1065" s="136"/>
      <c r="K1065" s="67"/>
      <c r="O1065" s="30"/>
      <c r="P1065" s="274"/>
    </row>
    <row r="1066" spans="6:16" ht="13.2">
      <c r="F1066" s="305"/>
      <c r="G1066" s="306"/>
      <c r="H1066" s="2"/>
      <c r="I1066" s="304"/>
      <c r="J1066" s="136"/>
      <c r="K1066" s="67"/>
      <c r="O1066" s="30"/>
      <c r="P1066" s="274"/>
    </row>
    <row r="1067" spans="6:16" ht="13.2">
      <c r="F1067" s="305"/>
      <c r="G1067" s="306"/>
      <c r="H1067" s="2"/>
      <c r="I1067" s="304"/>
      <c r="J1067" s="136"/>
      <c r="K1067" s="67"/>
      <c r="O1067" s="30"/>
      <c r="P1067" s="274"/>
    </row>
    <row r="1068" spans="6:16" ht="13.2">
      <c r="F1068" s="305"/>
      <c r="G1068" s="306"/>
      <c r="H1068" s="2"/>
      <c r="I1068" s="304"/>
      <c r="J1068" s="136"/>
      <c r="K1068" s="67"/>
      <c r="O1068" s="30"/>
      <c r="P1068" s="274"/>
    </row>
    <row r="1069" spans="6:16" ht="13.2">
      <c r="F1069" s="305"/>
      <c r="G1069" s="306"/>
      <c r="H1069" s="2"/>
      <c r="I1069" s="304"/>
      <c r="J1069" s="136"/>
      <c r="K1069" s="67"/>
      <c r="O1069" s="30"/>
      <c r="P1069" s="274"/>
    </row>
    <row r="1070" spans="6:16" ht="13.2">
      <c r="F1070" s="305"/>
      <c r="G1070" s="306"/>
      <c r="H1070" s="2"/>
      <c r="I1070" s="304"/>
      <c r="J1070" s="136"/>
      <c r="K1070" s="67"/>
      <c r="O1070" s="30"/>
      <c r="P1070" s="274"/>
    </row>
    <row r="1071" spans="6:16" ht="13.2">
      <c r="F1071" s="305"/>
      <c r="G1071" s="306"/>
      <c r="H1071" s="2"/>
      <c r="I1071" s="304"/>
      <c r="J1071" s="136"/>
      <c r="K1071" s="67"/>
      <c r="O1071" s="30"/>
      <c r="P1071" s="274"/>
    </row>
    <row r="1072" spans="6:16" ht="13.2">
      <c r="F1072" s="305"/>
      <c r="G1072" s="306"/>
      <c r="H1072" s="2"/>
      <c r="I1072" s="304"/>
      <c r="J1072" s="136"/>
      <c r="K1072" s="67"/>
      <c r="O1072" s="30"/>
      <c r="P1072" s="274"/>
    </row>
    <row r="1073" spans="6:16" ht="13.2">
      <c r="F1073" s="305"/>
      <c r="G1073" s="306"/>
      <c r="H1073" s="2"/>
      <c r="I1073" s="304"/>
      <c r="J1073" s="136"/>
      <c r="K1073" s="67"/>
      <c r="O1073" s="30"/>
      <c r="P1073" s="274"/>
    </row>
    <row r="1074" spans="6:16" ht="13.2">
      <c r="F1074" s="305"/>
      <c r="G1074" s="306"/>
      <c r="H1074" s="2"/>
      <c r="I1074" s="304"/>
      <c r="J1074" s="136"/>
      <c r="K1074" s="67"/>
      <c r="O1074" s="30"/>
      <c r="P1074" s="274"/>
    </row>
    <row r="1075" spans="6:16" ht="13.2">
      <c r="F1075" s="305"/>
      <c r="G1075" s="306"/>
      <c r="H1075" s="2"/>
      <c r="I1075" s="304"/>
      <c r="J1075" s="136"/>
      <c r="K1075" s="67"/>
      <c r="O1075" s="30"/>
      <c r="P1075" s="274"/>
    </row>
    <row r="1076" spans="6:16" ht="13.2">
      <c r="F1076" s="305"/>
      <c r="G1076" s="306"/>
      <c r="H1076" s="2"/>
      <c r="I1076" s="304"/>
      <c r="J1076" s="136"/>
      <c r="K1076" s="67"/>
      <c r="O1076" s="30"/>
      <c r="P1076" s="274"/>
    </row>
    <row r="1077" spans="6:16" ht="13.2">
      <c r="F1077" s="305"/>
      <c r="G1077" s="306"/>
      <c r="H1077" s="2"/>
      <c r="I1077" s="304"/>
      <c r="J1077" s="136"/>
      <c r="K1077" s="67"/>
      <c r="O1077" s="30"/>
      <c r="P1077" s="274"/>
    </row>
    <row r="1078" spans="6:16" ht="13.2">
      <c r="F1078" s="305"/>
      <c r="G1078" s="306"/>
      <c r="H1078" s="2"/>
      <c r="I1078" s="304"/>
      <c r="J1078" s="136"/>
      <c r="K1078" s="67"/>
      <c r="O1078" s="30"/>
      <c r="P1078" s="274"/>
    </row>
    <row r="1079" spans="6:16" ht="13.2">
      <c r="F1079" s="305"/>
      <c r="G1079" s="306"/>
      <c r="H1079" s="2"/>
      <c r="I1079" s="304"/>
      <c r="J1079" s="136"/>
      <c r="K1079" s="67"/>
      <c r="O1079" s="30"/>
      <c r="P1079" s="274"/>
    </row>
    <row r="1080" spans="6:16" ht="13.2">
      <c r="F1080" s="305"/>
      <c r="G1080" s="306"/>
      <c r="H1080" s="2"/>
      <c r="I1080" s="304"/>
      <c r="J1080" s="136"/>
      <c r="K1080" s="67"/>
      <c r="O1080" s="30"/>
      <c r="P1080" s="274"/>
    </row>
    <row r="1081" spans="6:16" ht="13.2">
      <c r="F1081" s="305"/>
      <c r="G1081" s="306"/>
      <c r="H1081" s="2"/>
      <c r="I1081" s="304"/>
      <c r="J1081" s="136"/>
      <c r="K1081" s="67"/>
      <c r="O1081" s="30"/>
      <c r="P1081" s="274"/>
    </row>
    <row r="1082" spans="6:16" ht="13.2">
      <c r="F1082" s="305"/>
      <c r="G1082" s="306"/>
      <c r="H1082" s="2"/>
      <c r="I1082" s="304"/>
      <c r="J1082" s="136"/>
      <c r="K1082" s="67"/>
      <c r="O1082" s="30"/>
      <c r="P1082" s="274"/>
    </row>
    <row r="1083" spans="6:16" ht="13.2">
      <c r="F1083" s="305"/>
      <c r="G1083" s="306"/>
      <c r="H1083" s="2"/>
      <c r="I1083" s="304"/>
      <c r="J1083" s="136"/>
      <c r="K1083" s="67"/>
      <c r="O1083" s="30"/>
      <c r="P1083" s="274"/>
    </row>
    <row r="1084" spans="6:16" ht="13.2">
      <c r="F1084" s="305"/>
      <c r="G1084" s="306"/>
      <c r="H1084" s="2"/>
      <c r="I1084" s="304"/>
      <c r="J1084" s="136"/>
      <c r="K1084" s="67"/>
      <c r="O1084" s="30"/>
      <c r="P1084" s="274"/>
    </row>
    <row r="1085" spans="6:16" ht="13.2">
      <c r="F1085" s="305"/>
      <c r="G1085" s="306"/>
      <c r="H1085" s="2"/>
      <c r="I1085" s="304"/>
      <c r="J1085" s="136"/>
      <c r="K1085" s="67"/>
      <c r="O1085" s="30"/>
      <c r="P1085" s="274"/>
    </row>
    <row r="1086" spans="6:16" ht="13.2">
      <c r="F1086" s="305"/>
      <c r="G1086" s="306"/>
      <c r="H1086" s="2"/>
      <c r="I1086" s="304"/>
      <c r="J1086" s="136"/>
      <c r="K1086" s="67"/>
      <c r="O1086" s="30"/>
      <c r="P1086" s="274"/>
    </row>
    <row r="1087" spans="6:16" ht="13.2">
      <c r="F1087" s="305"/>
      <c r="G1087" s="306"/>
      <c r="H1087" s="2"/>
      <c r="I1087" s="304"/>
      <c r="J1087" s="136"/>
      <c r="K1087" s="67"/>
      <c r="O1087" s="30"/>
      <c r="P1087" s="274"/>
    </row>
    <row r="1088" spans="6:16" ht="13.2">
      <c r="F1088" s="305"/>
      <c r="G1088" s="306"/>
      <c r="H1088" s="2"/>
      <c r="I1088" s="304"/>
      <c r="J1088" s="136"/>
      <c r="K1088" s="67"/>
      <c r="O1088" s="30"/>
      <c r="P1088" s="274"/>
    </row>
    <row r="1089" spans="6:16" ht="13.2">
      <c r="F1089" s="305"/>
      <c r="G1089" s="306"/>
      <c r="H1089" s="2"/>
      <c r="I1089" s="304"/>
      <c r="J1089" s="136"/>
      <c r="K1089" s="67"/>
      <c r="O1089" s="30"/>
      <c r="P1089" s="274"/>
    </row>
    <row r="1090" spans="6:16" ht="13.2">
      <c r="F1090" s="305"/>
      <c r="G1090" s="306"/>
      <c r="H1090" s="2"/>
      <c r="I1090" s="304"/>
      <c r="J1090" s="136"/>
      <c r="K1090" s="67"/>
      <c r="O1090" s="30"/>
      <c r="P1090" s="274"/>
    </row>
    <row r="1091" spans="6:16" ht="13.2">
      <c r="F1091" s="305"/>
      <c r="G1091" s="306"/>
      <c r="H1091" s="2"/>
      <c r="I1091" s="304"/>
      <c r="J1091" s="136"/>
      <c r="K1091" s="67"/>
      <c r="O1091" s="30"/>
      <c r="P1091" s="274"/>
    </row>
    <row r="1092" spans="6:16" ht="13.2">
      <c r="F1092" s="305"/>
      <c r="G1092" s="306"/>
      <c r="H1092" s="2"/>
      <c r="I1092" s="304"/>
      <c r="J1092" s="136"/>
      <c r="K1092" s="67"/>
      <c r="O1092" s="30"/>
      <c r="P1092" s="274"/>
    </row>
    <row r="1093" spans="6:16" ht="13.2">
      <c r="F1093" s="305"/>
      <c r="G1093" s="306"/>
      <c r="H1093" s="2"/>
      <c r="I1093" s="304"/>
      <c r="J1093" s="136"/>
      <c r="K1093" s="67"/>
      <c r="O1093" s="30"/>
      <c r="P1093" s="274"/>
    </row>
    <row r="1094" spans="6:16" ht="13.2">
      <c r="F1094" s="305"/>
      <c r="G1094" s="306"/>
      <c r="H1094" s="2"/>
      <c r="I1094" s="304"/>
      <c r="J1094" s="136"/>
      <c r="K1094" s="67"/>
      <c r="O1094" s="30"/>
      <c r="P1094" s="274"/>
    </row>
    <row r="1095" spans="6:16" ht="13.2">
      <c r="F1095" s="305"/>
      <c r="G1095" s="306"/>
      <c r="H1095" s="2"/>
      <c r="I1095" s="304"/>
      <c r="J1095" s="136"/>
      <c r="K1095" s="67"/>
      <c r="O1095" s="30"/>
      <c r="P1095" s="274"/>
    </row>
    <row r="1096" spans="6:16" ht="13.2">
      <c r="F1096" s="305"/>
      <c r="G1096" s="306"/>
      <c r="H1096" s="2"/>
      <c r="I1096" s="304"/>
      <c r="J1096" s="136"/>
      <c r="K1096" s="67"/>
      <c r="O1096" s="30"/>
      <c r="P1096" s="274"/>
    </row>
    <row r="1097" spans="6:16" ht="13.2">
      <c r="F1097" s="305"/>
      <c r="G1097" s="306"/>
      <c r="H1097" s="2"/>
      <c r="I1097" s="304"/>
      <c r="J1097" s="136"/>
      <c r="K1097" s="67"/>
      <c r="O1097" s="30"/>
      <c r="P1097" s="274"/>
    </row>
    <row r="1098" spans="6:16" ht="13.2">
      <c r="F1098" s="305"/>
      <c r="G1098" s="306"/>
      <c r="H1098" s="2"/>
      <c r="I1098" s="304"/>
      <c r="J1098" s="136"/>
      <c r="K1098" s="67"/>
      <c r="O1098" s="30"/>
      <c r="P1098" s="274"/>
    </row>
    <row r="1099" spans="6:16" ht="13.2">
      <c r="F1099" s="305"/>
      <c r="G1099" s="306"/>
      <c r="H1099" s="2"/>
      <c r="I1099" s="304"/>
      <c r="J1099" s="136"/>
      <c r="K1099" s="67"/>
      <c r="O1099" s="30"/>
      <c r="P1099" s="274"/>
    </row>
    <row r="1100" spans="6:16" ht="13.2">
      <c r="F1100" s="305"/>
      <c r="G1100" s="306"/>
      <c r="H1100" s="2"/>
      <c r="I1100" s="304"/>
      <c r="J1100" s="136"/>
      <c r="K1100" s="67"/>
      <c r="O1100" s="30"/>
      <c r="P1100" s="274"/>
    </row>
    <row r="1101" spans="6:16" ht="13.2">
      <c r="F1101" s="305"/>
      <c r="G1101" s="306"/>
      <c r="H1101" s="2"/>
      <c r="I1101" s="304"/>
      <c r="J1101" s="136"/>
      <c r="K1101" s="67"/>
      <c r="O1101" s="30"/>
      <c r="P1101" s="274"/>
    </row>
    <row r="1102" spans="6:16" ht="13.2">
      <c r="F1102" s="305"/>
      <c r="G1102" s="306"/>
      <c r="H1102" s="2"/>
      <c r="I1102" s="304"/>
      <c r="J1102" s="136"/>
      <c r="K1102" s="67"/>
      <c r="O1102" s="30"/>
      <c r="P1102" s="274"/>
    </row>
    <row r="1103" spans="6:16" ht="13.2">
      <c r="F1103" s="305"/>
      <c r="G1103" s="306"/>
      <c r="H1103" s="2"/>
      <c r="I1103" s="304"/>
      <c r="J1103" s="136"/>
      <c r="K1103" s="67"/>
      <c r="O1103" s="30"/>
      <c r="P1103" s="274"/>
    </row>
    <row r="1104" spans="6:16" ht="13.2">
      <c r="F1104" s="305"/>
      <c r="G1104" s="306"/>
      <c r="H1104" s="2"/>
      <c r="I1104" s="304"/>
      <c r="J1104" s="136"/>
      <c r="K1104" s="67"/>
      <c r="O1104" s="30"/>
      <c r="P1104" s="274"/>
    </row>
    <row r="1105" spans="6:16" ht="13.2">
      <c r="F1105" s="305"/>
      <c r="G1105" s="306"/>
      <c r="H1105" s="2"/>
      <c r="I1105" s="304"/>
      <c r="J1105" s="136"/>
      <c r="K1105" s="67"/>
      <c r="O1105" s="30"/>
      <c r="P1105" s="274"/>
    </row>
    <row r="1106" spans="6:16" ht="13.2">
      <c r="F1106" s="305"/>
      <c r="G1106" s="306"/>
      <c r="H1106" s="2"/>
      <c r="I1106" s="304"/>
      <c r="J1106" s="136"/>
      <c r="K1106" s="67"/>
      <c r="O1106" s="30"/>
      <c r="P1106" s="274"/>
    </row>
    <row r="1107" spans="6:16" ht="13.2">
      <c r="F1107" s="305"/>
      <c r="G1107" s="306"/>
      <c r="H1107" s="2"/>
      <c r="I1107" s="304"/>
      <c r="J1107" s="136"/>
      <c r="K1107" s="67"/>
      <c r="O1107" s="30"/>
      <c r="P1107" s="274"/>
    </row>
    <row r="1108" spans="6:16" ht="13.2">
      <c r="F1108" s="305"/>
      <c r="G1108" s="306"/>
      <c r="H1108" s="2"/>
      <c r="I1108" s="304"/>
      <c r="J1108" s="136"/>
      <c r="K1108" s="67"/>
      <c r="O1108" s="30"/>
      <c r="P1108" s="274"/>
    </row>
    <row r="1109" spans="6:16" ht="13.2">
      <c r="F1109" s="305"/>
      <c r="G1109" s="306"/>
      <c r="H1109" s="2"/>
      <c r="I1109" s="304"/>
      <c r="J1109" s="136"/>
      <c r="K1109" s="67"/>
      <c r="O1109" s="30"/>
      <c r="P1109" s="274"/>
    </row>
    <row r="1110" spans="6:16" ht="13.2">
      <c r="F1110" s="305"/>
      <c r="G1110" s="306"/>
      <c r="H1110" s="2"/>
      <c r="I1110" s="304"/>
      <c r="J1110" s="136"/>
      <c r="K1110" s="67"/>
      <c r="O1110" s="30"/>
      <c r="P1110" s="274"/>
    </row>
    <row r="1111" spans="6:16" ht="13.2">
      <c r="F1111" s="305"/>
      <c r="G1111" s="306"/>
      <c r="H1111" s="2"/>
      <c r="I1111" s="304"/>
      <c r="J1111" s="136"/>
      <c r="K1111" s="67"/>
      <c r="O1111" s="30"/>
      <c r="P1111" s="274"/>
    </row>
    <row r="1112" spans="6:16" ht="13.2">
      <c r="F1112" s="305"/>
      <c r="G1112" s="306"/>
      <c r="H1112" s="2"/>
      <c r="I1112" s="304"/>
      <c r="J1112" s="136"/>
      <c r="K1112" s="67"/>
      <c r="O1112" s="30"/>
      <c r="P1112" s="274"/>
    </row>
    <row r="1113" spans="6:16" ht="13.2">
      <c r="F1113" s="305"/>
      <c r="G1113" s="306"/>
      <c r="H1113" s="2"/>
      <c r="I1113" s="304"/>
      <c r="J1113" s="136"/>
      <c r="K1113" s="67"/>
      <c r="O1113" s="30"/>
      <c r="P1113" s="274"/>
    </row>
    <row r="1114" spans="6:16" ht="13.2">
      <c r="F1114" s="305"/>
      <c r="G1114" s="306"/>
      <c r="H1114" s="2"/>
      <c r="I1114" s="304"/>
      <c r="J1114" s="136"/>
      <c r="K1114" s="67"/>
      <c r="O1114" s="30"/>
      <c r="P1114" s="274"/>
    </row>
    <row r="1115" spans="6:16" ht="13.2">
      <c r="F1115" s="305"/>
      <c r="G1115" s="306"/>
      <c r="H1115" s="2"/>
      <c r="I1115" s="304"/>
      <c r="J1115" s="136"/>
      <c r="K1115" s="67"/>
      <c r="O1115" s="30"/>
      <c r="P1115" s="274"/>
    </row>
    <row r="1116" spans="6:16" ht="13.2">
      <c r="F1116" s="305"/>
      <c r="G1116" s="306"/>
      <c r="H1116" s="2"/>
      <c r="I1116" s="304"/>
      <c r="J1116" s="136"/>
      <c r="K1116" s="67"/>
      <c r="O1116" s="30"/>
      <c r="P1116" s="274"/>
    </row>
    <row r="1117" spans="6:16" ht="13.2">
      <c r="F1117" s="305"/>
      <c r="G1117" s="306"/>
      <c r="H1117" s="2"/>
      <c r="I1117" s="304"/>
      <c r="J1117" s="136"/>
      <c r="K1117" s="67"/>
      <c r="O1117" s="30"/>
      <c r="P1117" s="274"/>
    </row>
    <row r="1118" spans="6:16" ht="13.2">
      <c r="F1118" s="305"/>
      <c r="G1118" s="306"/>
      <c r="H1118" s="2"/>
      <c r="I1118" s="304"/>
      <c r="J1118" s="136"/>
      <c r="K1118" s="67"/>
      <c r="O1118" s="30"/>
      <c r="P1118" s="274"/>
    </row>
    <row r="1119" spans="6:16" ht="13.2">
      <c r="F1119" s="305"/>
      <c r="G1119" s="306"/>
      <c r="H1119" s="2"/>
      <c r="I1119" s="304"/>
      <c r="J1119" s="136"/>
      <c r="K1119" s="67"/>
      <c r="O1119" s="30"/>
      <c r="P1119" s="274"/>
    </row>
    <row r="1120" spans="6:16" ht="13.2">
      <c r="F1120" s="305"/>
      <c r="G1120" s="306"/>
      <c r="H1120" s="2"/>
      <c r="I1120" s="304"/>
      <c r="J1120" s="136"/>
      <c r="K1120" s="67"/>
      <c r="O1120" s="30"/>
      <c r="P1120" s="274"/>
    </row>
    <row r="1121" spans="6:16" ht="13.2">
      <c r="F1121" s="305"/>
      <c r="G1121" s="306"/>
      <c r="H1121" s="2"/>
      <c r="I1121" s="304"/>
      <c r="J1121" s="136"/>
      <c r="K1121" s="67"/>
      <c r="O1121" s="30"/>
      <c r="P1121" s="274"/>
    </row>
    <row r="1122" spans="6:16" ht="13.2">
      <c r="F1122" s="305"/>
      <c r="G1122" s="306"/>
      <c r="H1122" s="2"/>
      <c r="I1122" s="304"/>
      <c r="J1122" s="136"/>
      <c r="K1122" s="67"/>
      <c r="O1122" s="30"/>
      <c r="P1122" s="274"/>
    </row>
    <row r="1123" spans="6:16" ht="13.2">
      <c r="F1123" s="305"/>
      <c r="G1123" s="306"/>
      <c r="H1123" s="2"/>
      <c r="I1123" s="304"/>
      <c r="J1123" s="136"/>
      <c r="K1123" s="67"/>
      <c r="O1123" s="30"/>
      <c r="P1123" s="274"/>
    </row>
    <row r="1124" spans="6:16" ht="13.2">
      <c r="F1124" s="305"/>
      <c r="G1124" s="306"/>
      <c r="H1124" s="2"/>
      <c r="I1124" s="304"/>
      <c r="J1124" s="136"/>
      <c r="K1124" s="67"/>
      <c r="O1124" s="30"/>
      <c r="P1124" s="274"/>
    </row>
    <row r="1125" spans="6:16" ht="13.2">
      <c r="F1125" s="305"/>
      <c r="G1125" s="306"/>
      <c r="H1125" s="2"/>
      <c r="I1125" s="304"/>
      <c r="J1125" s="136"/>
      <c r="K1125" s="67"/>
      <c r="O1125" s="30"/>
      <c r="P1125" s="274"/>
    </row>
    <row r="1126" spans="6:16" ht="13.2">
      <c r="F1126" s="305"/>
      <c r="G1126" s="306"/>
      <c r="H1126" s="2"/>
      <c r="I1126" s="304"/>
      <c r="J1126" s="136"/>
      <c r="K1126" s="67"/>
      <c r="O1126" s="30"/>
      <c r="P1126" s="274"/>
    </row>
    <row r="1127" spans="6:16" ht="13.2">
      <c r="F1127" s="305"/>
      <c r="G1127" s="306"/>
      <c r="H1127" s="2"/>
      <c r="I1127" s="304"/>
      <c r="J1127" s="136"/>
      <c r="K1127" s="67"/>
      <c r="O1127" s="30"/>
      <c r="P1127" s="274"/>
    </row>
    <row r="1128" spans="6:16" ht="13.2">
      <c r="F1128" s="305"/>
      <c r="G1128" s="306"/>
      <c r="H1128" s="2"/>
      <c r="I1128" s="304"/>
      <c r="J1128" s="136"/>
      <c r="K1128" s="67"/>
      <c r="O1128" s="30"/>
      <c r="P1128" s="274"/>
    </row>
    <row r="1129" spans="6:16" ht="13.2">
      <c r="F1129" s="305"/>
      <c r="G1129" s="306"/>
      <c r="H1129" s="2"/>
      <c r="I1129" s="304"/>
      <c r="J1129" s="136"/>
      <c r="K1129" s="67"/>
      <c r="O1129" s="30"/>
      <c r="P1129" s="274"/>
    </row>
    <row r="1130" spans="6:16" ht="13.2">
      <c r="F1130" s="305"/>
      <c r="G1130" s="306"/>
      <c r="H1130" s="2"/>
      <c r="I1130" s="304"/>
      <c r="J1130" s="136"/>
      <c r="K1130" s="67"/>
      <c r="O1130" s="30"/>
      <c r="P1130" s="274"/>
    </row>
    <row r="1131" spans="6:16" ht="13.2">
      <c r="F1131" s="305"/>
      <c r="G1131" s="306"/>
      <c r="H1131" s="2"/>
      <c r="I1131" s="304"/>
      <c r="J1131" s="136"/>
      <c r="K1131" s="67"/>
      <c r="O1131" s="30"/>
      <c r="P1131" s="274"/>
    </row>
    <row r="1132" spans="6:16" ht="13.2">
      <c r="F1132" s="305"/>
      <c r="G1132" s="306"/>
      <c r="H1132" s="2"/>
      <c r="I1132" s="304"/>
      <c r="J1132" s="136"/>
      <c r="K1132" s="67"/>
      <c r="O1132" s="30"/>
      <c r="P1132" s="274"/>
    </row>
    <row r="1133" spans="6:16" ht="13.2">
      <c r="F1133" s="305"/>
      <c r="G1133" s="306"/>
      <c r="H1133" s="2"/>
      <c r="I1133" s="304"/>
      <c r="J1133" s="136"/>
      <c r="K1133" s="67"/>
      <c r="O1133" s="30"/>
      <c r="P1133" s="274"/>
    </row>
    <row r="1134" spans="6:16" ht="13.2">
      <c r="F1134" s="305"/>
      <c r="G1134" s="306"/>
      <c r="H1134" s="2"/>
      <c r="I1134" s="304"/>
      <c r="J1134" s="136"/>
      <c r="K1134" s="67"/>
      <c r="O1134" s="30"/>
      <c r="P1134" s="274"/>
    </row>
    <row r="1135" spans="6:16" ht="13.2">
      <c r="F1135" s="305"/>
      <c r="G1135" s="306"/>
      <c r="H1135" s="2"/>
      <c r="I1135" s="304"/>
      <c r="J1135" s="136"/>
      <c r="K1135" s="67"/>
      <c r="O1135" s="30"/>
      <c r="P1135" s="274"/>
    </row>
    <row r="1136" spans="6:16" ht="13.2">
      <c r="F1136" s="305"/>
      <c r="G1136" s="306"/>
      <c r="H1136" s="2"/>
      <c r="I1136" s="304"/>
      <c r="J1136" s="136"/>
      <c r="K1136" s="67"/>
      <c r="O1136" s="30"/>
      <c r="P1136" s="274"/>
    </row>
    <row r="1137" spans="6:16" ht="13.2">
      <c r="F1137" s="305"/>
      <c r="G1137" s="306"/>
      <c r="H1137" s="2"/>
      <c r="I1137" s="304"/>
      <c r="J1137" s="136"/>
      <c r="K1137" s="67"/>
      <c r="O1137" s="30"/>
      <c r="P1137" s="274"/>
    </row>
    <row r="1138" spans="6:16" ht="13.2">
      <c r="F1138" s="305"/>
      <c r="G1138" s="306"/>
      <c r="H1138" s="2"/>
      <c r="I1138" s="304"/>
      <c r="J1138" s="136"/>
      <c r="K1138" s="67"/>
      <c r="O1138" s="30"/>
      <c r="P1138" s="274"/>
    </row>
    <row r="1139" spans="6:16" ht="13.2">
      <c r="F1139" s="305"/>
      <c r="G1139" s="306"/>
      <c r="H1139" s="2"/>
      <c r="I1139" s="304"/>
      <c r="J1139" s="136"/>
      <c r="K1139" s="67"/>
      <c r="O1139" s="30"/>
      <c r="P1139" s="274"/>
    </row>
    <row r="1140" spans="6:16" ht="13.2">
      <c r="F1140" s="305"/>
      <c r="G1140" s="306"/>
      <c r="H1140" s="2"/>
      <c r="I1140" s="304"/>
      <c r="J1140" s="136"/>
      <c r="K1140" s="67"/>
      <c r="O1140" s="30"/>
      <c r="P1140" s="274"/>
    </row>
    <row r="1141" spans="6:16" ht="13.2">
      <c r="F1141" s="305"/>
      <c r="G1141" s="306"/>
      <c r="H1141" s="2"/>
      <c r="I1141" s="304"/>
      <c r="J1141" s="136"/>
      <c r="K1141" s="67"/>
      <c r="O1141" s="30"/>
      <c r="P1141" s="274"/>
    </row>
    <row r="1142" spans="6:16" ht="13.2">
      <c r="F1142" s="305"/>
      <c r="G1142" s="306"/>
      <c r="H1142" s="2"/>
      <c r="I1142" s="304"/>
      <c r="J1142" s="136"/>
      <c r="K1142" s="67"/>
      <c r="O1142" s="30"/>
      <c r="P1142" s="274"/>
    </row>
    <row r="1143" spans="6:16" ht="13.2">
      <c r="F1143" s="305"/>
      <c r="G1143" s="306"/>
      <c r="H1143" s="2"/>
      <c r="I1143" s="304"/>
      <c r="J1143" s="136"/>
      <c r="K1143" s="67"/>
      <c r="O1143" s="30"/>
      <c r="P1143" s="274"/>
    </row>
    <row r="1144" spans="6:16" ht="13.2">
      <c r="F1144" s="305"/>
      <c r="G1144" s="306"/>
      <c r="H1144" s="2"/>
      <c r="I1144" s="304"/>
      <c r="J1144" s="136"/>
      <c r="K1144" s="67"/>
      <c r="O1144" s="30"/>
      <c r="P1144" s="274"/>
    </row>
    <row r="1145" spans="6:16" ht="13.2">
      <c r="F1145" s="305"/>
      <c r="G1145" s="306"/>
      <c r="H1145" s="2"/>
      <c r="I1145" s="304"/>
      <c r="J1145" s="136"/>
      <c r="K1145" s="67"/>
      <c r="O1145" s="30"/>
      <c r="P1145" s="274"/>
    </row>
    <row r="1146" spans="6:16" ht="13.2">
      <c r="F1146" s="305"/>
      <c r="G1146" s="306"/>
      <c r="H1146" s="2"/>
      <c r="I1146" s="304"/>
      <c r="J1146" s="136"/>
      <c r="K1146" s="67"/>
      <c r="O1146" s="30"/>
      <c r="P1146" s="274"/>
    </row>
    <row r="1147" spans="6:16" ht="13.2">
      <c r="F1147" s="305"/>
      <c r="G1147" s="306"/>
      <c r="H1147" s="2"/>
      <c r="I1147" s="304"/>
      <c r="J1147" s="136"/>
      <c r="K1147" s="67"/>
      <c r="O1147" s="30"/>
      <c r="P1147" s="274"/>
    </row>
    <row r="1148" spans="6:16" ht="13.2">
      <c r="F1148" s="305"/>
      <c r="G1148" s="306"/>
      <c r="H1148" s="2"/>
      <c r="I1148" s="304"/>
      <c r="J1148" s="136"/>
      <c r="K1148" s="67"/>
      <c r="O1148" s="30"/>
      <c r="P1148" s="274"/>
    </row>
    <row r="1149" spans="6:16" ht="13.2">
      <c r="F1149" s="305"/>
      <c r="G1149" s="306"/>
      <c r="H1149" s="2"/>
      <c r="I1149" s="304"/>
      <c r="J1149" s="136"/>
      <c r="K1149" s="67"/>
      <c r="O1149" s="30"/>
      <c r="P1149" s="274"/>
    </row>
    <row r="1150" spans="6:16" ht="13.2">
      <c r="F1150" s="305"/>
      <c r="G1150" s="306"/>
      <c r="H1150" s="2"/>
      <c r="I1150" s="304"/>
      <c r="J1150" s="136"/>
      <c r="K1150" s="67"/>
      <c r="O1150" s="30"/>
      <c r="P1150" s="274"/>
    </row>
    <row r="1151" spans="6:16" ht="13.2">
      <c r="F1151" s="305"/>
      <c r="G1151" s="306"/>
      <c r="H1151" s="2"/>
      <c r="I1151" s="304"/>
      <c r="J1151" s="136"/>
      <c r="K1151" s="67"/>
      <c r="O1151" s="30"/>
      <c r="P1151" s="274"/>
    </row>
    <row r="1152" spans="6:16" ht="13.2">
      <c r="F1152" s="305"/>
      <c r="G1152" s="306"/>
      <c r="H1152" s="2"/>
      <c r="I1152" s="304"/>
      <c r="J1152" s="136"/>
      <c r="K1152" s="67"/>
      <c r="O1152" s="30"/>
      <c r="P1152" s="274"/>
    </row>
    <row r="1153" spans="6:16" ht="13.2">
      <c r="F1153" s="305"/>
      <c r="G1153" s="306"/>
      <c r="H1153" s="2"/>
      <c r="I1153" s="304"/>
      <c r="J1153" s="136"/>
      <c r="K1153" s="67"/>
      <c r="O1153" s="30"/>
      <c r="P1153" s="274"/>
    </row>
    <row r="1154" spans="6:16" ht="13.2">
      <c r="F1154" s="305"/>
      <c r="G1154" s="306"/>
      <c r="H1154" s="2"/>
      <c r="I1154" s="304"/>
      <c r="J1154" s="136"/>
      <c r="K1154" s="67"/>
      <c r="O1154" s="30"/>
      <c r="P1154" s="274"/>
    </row>
    <row r="1155" spans="6:16" ht="13.2">
      <c r="F1155" s="305"/>
      <c r="G1155" s="306"/>
      <c r="H1155" s="2"/>
      <c r="I1155" s="304"/>
      <c r="J1155" s="136"/>
      <c r="K1155" s="67"/>
      <c r="O1155" s="30"/>
      <c r="P1155" s="274"/>
    </row>
    <row r="1156" spans="6:16" ht="13.2">
      <c r="F1156" s="305"/>
      <c r="G1156" s="306"/>
      <c r="H1156" s="2"/>
      <c r="I1156" s="304"/>
      <c r="J1156" s="136"/>
      <c r="K1156" s="67"/>
      <c r="O1156" s="30"/>
      <c r="P1156" s="274"/>
    </row>
    <row r="1157" spans="6:16" ht="13.2">
      <c r="F1157" s="305"/>
      <c r="G1157" s="306"/>
      <c r="H1157" s="2"/>
      <c r="I1157" s="304"/>
      <c r="J1157" s="136"/>
      <c r="K1157" s="67"/>
      <c r="O1157" s="30"/>
      <c r="P1157" s="274"/>
    </row>
    <row r="1158" spans="6:16" ht="13.2">
      <c r="F1158" s="305"/>
      <c r="G1158" s="306"/>
      <c r="H1158" s="2"/>
      <c r="I1158" s="304"/>
      <c r="J1158" s="136"/>
      <c r="K1158" s="67"/>
      <c r="O1158" s="30"/>
      <c r="P1158" s="274"/>
    </row>
    <row r="1159" spans="6:16" ht="13.2">
      <c r="F1159" s="305"/>
      <c r="G1159" s="306"/>
      <c r="H1159" s="2"/>
      <c r="I1159" s="304"/>
      <c r="J1159" s="136"/>
      <c r="K1159" s="67"/>
      <c r="O1159" s="30"/>
      <c r="P1159" s="274"/>
    </row>
    <row r="1160" spans="6:16" ht="13.2">
      <c r="F1160" s="305"/>
      <c r="G1160" s="306"/>
      <c r="H1160" s="2"/>
      <c r="I1160" s="304"/>
      <c r="J1160" s="136"/>
      <c r="K1160" s="67"/>
      <c r="O1160" s="30"/>
      <c r="P1160" s="274"/>
    </row>
    <row r="1161" spans="6:16" ht="13.2">
      <c r="F1161" s="305"/>
      <c r="G1161" s="306"/>
      <c r="H1161" s="2"/>
      <c r="I1161" s="304"/>
      <c r="J1161" s="136"/>
      <c r="K1161" s="67"/>
      <c r="O1161" s="30"/>
      <c r="P1161" s="274"/>
    </row>
  </sheetData>
  <autoFilter ref="B2:N223" xr:uid="{00000000-0009-0000-0000-00000F000000}"/>
  <mergeCells count="8">
    <mergeCell ref="A196:A217"/>
    <mergeCell ref="A218:A250"/>
    <mergeCell ref="A259:A264"/>
    <mergeCell ref="B1:N1"/>
    <mergeCell ref="A3:A21"/>
    <mergeCell ref="A22:A28"/>
    <mergeCell ref="A29:A42"/>
    <mergeCell ref="A43:A18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FF"/>
    <outlinePr summaryBelow="0" summaryRight="0"/>
  </sheetPr>
  <dimension ref="A1:O2017"/>
  <sheetViews>
    <sheetView workbookViewId="0"/>
  </sheetViews>
  <sheetFormatPr defaultColWidth="12.6640625" defaultRowHeight="15.75" customHeight="1"/>
  <cols>
    <col min="1" max="1" width="6.88671875" customWidth="1"/>
    <col min="2" max="2" width="7.77734375" customWidth="1"/>
    <col min="5" max="5" width="38" customWidth="1"/>
    <col min="13" max="13" width="16.109375" customWidth="1"/>
  </cols>
  <sheetData>
    <row r="1" spans="1:15" ht="15.75" customHeight="1">
      <c r="A1" s="412" t="s">
        <v>2190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6"/>
      <c r="M1" s="307"/>
      <c r="N1" s="308"/>
    </row>
    <row r="2" spans="1:15">
      <c r="A2" s="94" t="s">
        <v>381</v>
      </c>
      <c r="B2" s="95" t="s">
        <v>2133</v>
      </c>
      <c r="C2" s="94" t="s">
        <v>69</v>
      </c>
      <c r="D2" s="94" t="s">
        <v>382</v>
      </c>
      <c r="E2" s="94" t="s">
        <v>383</v>
      </c>
      <c r="F2" s="94" t="s">
        <v>384</v>
      </c>
      <c r="G2" s="161" t="s">
        <v>1577</v>
      </c>
      <c r="H2" s="162" t="s">
        <v>1578</v>
      </c>
      <c r="I2" s="162" t="s">
        <v>1758</v>
      </c>
      <c r="J2" s="95" t="s">
        <v>336</v>
      </c>
      <c r="K2" s="95" t="s">
        <v>337</v>
      </c>
      <c r="L2" s="94" t="s">
        <v>2134</v>
      </c>
      <c r="M2" s="96" t="s">
        <v>2191</v>
      </c>
      <c r="N2" s="309" t="s">
        <v>2107</v>
      </c>
      <c r="O2" s="310">
        <f>SUM(K3:K1923)</f>
        <v>33279940.999999985</v>
      </c>
    </row>
    <row r="3" spans="1:15">
      <c r="A3" s="146">
        <v>1</v>
      </c>
      <c r="B3" s="311" t="s">
        <v>336</v>
      </c>
      <c r="C3" s="312">
        <v>45274</v>
      </c>
      <c r="D3" s="28" t="s">
        <v>435</v>
      </c>
      <c r="E3" s="143" t="str">
        <f>VLOOKUP(D3,'Danh mục hàng hóa'!$C$3:$D$643,2,0)</f>
        <v>Bao lì xì Tết tài lộc</v>
      </c>
      <c r="F3" s="144" t="str">
        <f>VLOOKUP(D3,'Danh mục hàng hóa'!$C$3:$E$656,3,0)</f>
        <v>set 6 cái</v>
      </c>
      <c r="G3" s="166">
        <f t="shared" ref="G3:G7" si="0">640*6</f>
        <v>3840</v>
      </c>
      <c r="H3" s="313">
        <v>20</v>
      </c>
      <c r="I3" s="314"/>
      <c r="J3" s="166">
        <f t="shared" ref="J3:J25" si="1">H3*G3</f>
        <v>76800</v>
      </c>
      <c r="K3" s="168">
        <f t="shared" ref="K3:K209" si="2">G3*I3</f>
        <v>0</v>
      </c>
      <c r="L3" s="143"/>
      <c r="M3" s="315"/>
      <c r="N3" s="126"/>
    </row>
    <row r="4" spans="1:15">
      <c r="A4" s="146">
        <v>2</v>
      </c>
      <c r="B4" s="311" t="s">
        <v>336</v>
      </c>
      <c r="C4" s="312">
        <v>45274</v>
      </c>
      <c r="D4" s="28" t="s">
        <v>437</v>
      </c>
      <c r="E4" s="143" t="str">
        <f>VLOOKUP(D4,'Danh mục hàng hóa'!$C$3:$D$643,2,0)</f>
        <v>Bao lì xì Tết hoa</v>
      </c>
      <c r="F4" s="144" t="str">
        <f>VLOOKUP(D4,'Danh mục hàng hóa'!$C$3:$E$656,3,0)</f>
        <v>set 6 cái</v>
      </c>
      <c r="G4" s="166">
        <f t="shared" si="0"/>
        <v>3840</v>
      </c>
      <c r="H4" s="313">
        <v>20</v>
      </c>
      <c r="I4" s="314"/>
      <c r="J4" s="166">
        <f t="shared" si="1"/>
        <v>76800</v>
      </c>
      <c r="K4" s="168">
        <f t="shared" si="2"/>
        <v>0</v>
      </c>
      <c r="L4" s="143"/>
      <c r="M4" s="315"/>
      <c r="N4" s="126"/>
    </row>
    <row r="5" spans="1:15">
      <c r="A5" s="146">
        <v>3</v>
      </c>
      <c r="B5" s="311" t="s">
        <v>336</v>
      </c>
      <c r="C5" s="312">
        <v>45274</v>
      </c>
      <c r="D5" s="28" t="s">
        <v>438</v>
      </c>
      <c r="E5" s="143" t="str">
        <f>VLOOKUP(D5,'Danh mục hàng hóa'!$C$3:$D$643,2,0)</f>
        <v>Bao lì xì Tết xanh</v>
      </c>
      <c r="F5" s="144" t="str">
        <f>VLOOKUP(D5,'Danh mục hàng hóa'!$C$3:$E$656,3,0)</f>
        <v>set 6 cái</v>
      </c>
      <c r="G5" s="166">
        <f t="shared" si="0"/>
        <v>3840</v>
      </c>
      <c r="H5" s="313">
        <v>20</v>
      </c>
      <c r="I5" s="314"/>
      <c r="J5" s="166">
        <f t="shared" si="1"/>
        <v>76800</v>
      </c>
      <c r="K5" s="168">
        <f t="shared" si="2"/>
        <v>0</v>
      </c>
      <c r="L5" s="143"/>
      <c r="M5" s="315"/>
      <c r="N5" s="126"/>
    </row>
    <row r="6" spans="1:15">
      <c r="A6" s="146">
        <v>4</v>
      </c>
      <c r="B6" s="311" t="s">
        <v>336</v>
      </c>
      <c r="C6" s="312">
        <v>45274</v>
      </c>
      <c r="D6" s="28" t="s">
        <v>439</v>
      </c>
      <c r="E6" s="143" t="str">
        <f>VLOOKUP(D6,'Danh mục hàng hóa'!$C$3:$D$643,2,0)</f>
        <v>Bao lì xì vui vẻ</v>
      </c>
      <c r="F6" s="144" t="str">
        <f>VLOOKUP(D6,'Danh mục hàng hóa'!$C$3:$E$656,3,0)</f>
        <v>set 6 cái</v>
      </c>
      <c r="G6" s="166">
        <f t="shared" si="0"/>
        <v>3840</v>
      </c>
      <c r="H6" s="313">
        <v>20</v>
      </c>
      <c r="I6" s="314"/>
      <c r="J6" s="166">
        <f t="shared" si="1"/>
        <v>76800</v>
      </c>
      <c r="K6" s="168">
        <f t="shared" si="2"/>
        <v>0</v>
      </c>
      <c r="L6" s="143"/>
      <c r="M6" s="315"/>
      <c r="N6" s="126"/>
    </row>
    <row r="7" spans="1:15">
      <c r="A7" s="146">
        <v>5</v>
      </c>
      <c r="B7" s="311" t="s">
        <v>336</v>
      </c>
      <c r="C7" s="312">
        <v>45274</v>
      </c>
      <c r="D7" s="28" t="s">
        <v>440</v>
      </c>
      <c r="E7" s="143" t="str">
        <f>VLOOKUP(D7,'Danh mục hàng hóa'!$C$3:$D$643,2,0)</f>
        <v>Bao lì xì ngộ nghĩnh</v>
      </c>
      <c r="F7" s="144" t="str">
        <f>VLOOKUP(D7,'Danh mục hàng hóa'!$C$3:$E$656,3,0)</f>
        <v>set 6 cái</v>
      </c>
      <c r="G7" s="166">
        <f t="shared" si="0"/>
        <v>3840</v>
      </c>
      <c r="H7" s="313">
        <v>20</v>
      </c>
      <c r="I7" s="314"/>
      <c r="J7" s="166">
        <f t="shared" si="1"/>
        <v>76800</v>
      </c>
      <c r="K7" s="168">
        <f t="shared" si="2"/>
        <v>0</v>
      </c>
      <c r="L7" s="143"/>
      <c r="M7" s="315"/>
      <c r="N7" s="126"/>
    </row>
    <row r="8" spans="1:15">
      <c r="A8" s="146">
        <v>6</v>
      </c>
      <c r="B8" s="311" t="s">
        <v>336</v>
      </c>
      <c r="C8" s="312">
        <v>45278</v>
      </c>
      <c r="D8" s="28" t="s">
        <v>392</v>
      </c>
      <c r="E8" s="143" t="str">
        <f>VLOOKUP(D8,'Danh mục hàng hóa'!$C$3:$D$643,2,0)</f>
        <v>Túi chườm bụng trái bơ 1000ml</v>
      </c>
      <c r="F8" s="144" t="str">
        <f>VLOOKUP(D8,'Danh mục hàng hóa'!$C$3:$E$656,3,0)</f>
        <v>túi</v>
      </c>
      <c r="G8" s="166">
        <f>VLOOKUP(D8,'Danh mục hàng hóa'!$C$3:$M$656,5,0)</f>
        <v>50440</v>
      </c>
      <c r="H8" s="167">
        <v>0</v>
      </c>
      <c r="I8" s="314"/>
      <c r="J8" s="166">
        <f t="shared" si="1"/>
        <v>0</v>
      </c>
      <c r="K8" s="168">
        <f t="shared" si="2"/>
        <v>0</v>
      </c>
      <c r="L8" s="143"/>
      <c r="M8" s="315"/>
      <c r="N8" s="126"/>
    </row>
    <row r="9" spans="1:15">
      <c r="A9" s="146">
        <v>7</v>
      </c>
      <c r="B9" s="311" t="s">
        <v>336</v>
      </c>
      <c r="C9" s="312">
        <v>45278</v>
      </c>
      <c r="D9" s="28" t="s">
        <v>397</v>
      </c>
      <c r="E9" s="143" t="str">
        <f>VLOOKUP(D9,'Danh mục hàng hóa'!$C$3:$D$643,2,0)</f>
        <v>Túi chườm bụng dâu (xanh) 1000ml</v>
      </c>
      <c r="F9" s="144" t="str">
        <f>VLOOKUP(D9,'Danh mục hàng hóa'!$C$3:$E$656,3,0)</f>
        <v>túi</v>
      </c>
      <c r="G9" s="166">
        <f>VLOOKUP(D9,'Danh mục hàng hóa'!$C$3:$M$656,5,0)</f>
        <v>50440</v>
      </c>
      <c r="H9" s="313">
        <v>4</v>
      </c>
      <c r="I9" s="314"/>
      <c r="J9" s="166">
        <f t="shared" si="1"/>
        <v>201760</v>
      </c>
      <c r="K9" s="168">
        <f t="shared" si="2"/>
        <v>0</v>
      </c>
      <c r="L9" s="30"/>
      <c r="M9" s="67"/>
    </row>
    <row r="10" spans="1:15">
      <c r="A10" s="146">
        <v>8</v>
      </c>
      <c r="B10" s="311" t="s">
        <v>336</v>
      </c>
      <c r="C10" s="312">
        <v>45278</v>
      </c>
      <c r="D10" s="28" t="s">
        <v>401</v>
      </c>
      <c r="E10" s="143" t="str">
        <f>VLOOKUP(D10,'Danh mục hàng hóa'!$C$3:$D$643,2,0)</f>
        <v>Túi chườm bụng dứa xanh đậm  1000ml</v>
      </c>
      <c r="F10" s="144" t="str">
        <f>VLOOKUP(D10,'Danh mục hàng hóa'!$C$3:$E$656,3,0)</f>
        <v>túi</v>
      </c>
      <c r="G10" s="166">
        <f>VLOOKUP(D10,'Danh mục hàng hóa'!$C$3:$M$656,5,0)</f>
        <v>50440</v>
      </c>
      <c r="H10" s="313">
        <v>4</v>
      </c>
      <c r="I10" s="314"/>
      <c r="J10" s="166">
        <f t="shared" si="1"/>
        <v>201760</v>
      </c>
      <c r="K10" s="168">
        <f t="shared" si="2"/>
        <v>0</v>
      </c>
      <c r="L10" s="30"/>
      <c r="M10" s="67"/>
    </row>
    <row r="11" spans="1:15">
      <c r="A11" s="146">
        <v>9</v>
      </c>
      <c r="B11" s="311" t="s">
        <v>336</v>
      </c>
      <c r="C11" s="312">
        <v>45278</v>
      </c>
      <c r="D11" s="28" t="s">
        <v>405</v>
      </c>
      <c r="E11" s="143" t="str">
        <f>VLOOKUP(D11,'Danh mục hàng hóa'!$C$3:$D$643,2,0)</f>
        <v>Túi chườm bụng dâu xanh nhạt 1000ml</v>
      </c>
      <c r="F11" s="144" t="str">
        <f>VLOOKUP(D11,'Danh mục hàng hóa'!$C$3:$E$656,3,0)</f>
        <v>túi</v>
      </c>
      <c r="G11" s="166">
        <f>VLOOKUP(D11,'Danh mục hàng hóa'!$C$3:$M$656,5,0)</f>
        <v>50440</v>
      </c>
      <c r="H11" s="313">
        <v>3</v>
      </c>
      <c r="I11" s="314"/>
      <c r="J11" s="166">
        <f t="shared" si="1"/>
        <v>151320</v>
      </c>
      <c r="K11" s="168">
        <f t="shared" si="2"/>
        <v>0</v>
      </c>
      <c r="L11" s="30"/>
      <c r="M11" s="67"/>
    </row>
    <row r="12" spans="1:15">
      <c r="A12" s="146">
        <v>10</v>
      </c>
      <c r="B12" s="311" t="s">
        <v>336</v>
      </c>
      <c r="C12" s="312">
        <v>45278</v>
      </c>
      <c r="D12" s="28" t="s">
        <v>409</v>
      </c>
      <c r="E12" s="143" t="str">
        <f>VLOOKUP(D12,'Danh mục hàng hóa'!$C$3:$D$643,2,0)</f>
        <v>Túi chườm bụng thỏ dứa 1000ml</v>
      </c>
      <c r="F12" s="144" t="str">
        <f>VLOOKUP(D12,'Danh mục hàng hóa'!$C$3:$E$656,3,0)</f>
        <v>túi</v>
      </c>
      <c r="G12" s="166">
        <f>VLOOKUP(D12,'Danh mục hàng hóa'!$C$3:$M$656,5,0)</f>
        <v>50440</v>
      </c>
      <c r="H12" s="313">
        <v>4</v>
      </c>
      <c r="I12" s="314"/>
      <c r="J12" s="166">
        <f t="shared" si="1"/>
        <v>201760</v>
      </c>
      <c r="K12" s="168">
        <f t="shared" si="2"/>
        <v>0</v>
      </c>
      <c r="L12" s="30"/>
      <c r="M12" s="67"/>
    </row>
    <row r="13" spans="1:15">
      <c r="A13" s="146">
        <v>11</v>
      </c>
      <c r="B13" s="311" t="s">
        <v>336</v>
      </c>
      <c r="C13" s="312">
        <v>45278</v>
      </c>
      <c r="D13" s="28" t="s">
        <v>413</v>
      </c>
      <c r="E13" s="143" t="str">
        <f>VLOOKUP(D13,'Danh mục hàng hóa'!$C$3:$D$643,2,0)</f>
        <v>Túi chườm bụng trái bơ 500ml</v>
      </c>
      <c r="F13" s="144" t="str">
        <f>VLOOKUP(D13,'Danh mục hàng hóa'!$C$3:$E$656,3,0)</f>
        <v>túi</v>
      </c>
      <c r="G13" s="166">
        <f>VLOOKUP(D13,'Danh mục hàng hóa'!$C$3:$M$656,5,0)</f>
        <v>43340</v>
      </c>
      <c r="H13" s="313">
        <v>3</v>
      </c>
      <c r="I13" s="314"/>
      <c r="J13" s="166">
        <f t="shared" si="1"/>
        <v>130020</v>
      </c>
      <c r="K13" s="168">
        <f t="shared" si="2"/>
        <v>0</v>
      </c>
      <c r="L13" s="30"/>
      <c r="M13" s="67"/>
    </row>
    <row r="14" spans="1:15">
      <c r="A14" s="146">
        <v>12</v>
      </c>
      <c r="B14" s="311" t="s">
        <v>336</v>
      </c>
      <c r="C14" s="312">
        <v>45278</v>
      </c>
      <c r="D14" s="28" t="s">
        <v>414</v>
      </c>
      <c r="E14" s="143" t="str">
        <f>VLOOKUP(D14,'Danh mục hàng hóa'!$C$3:$D$643,2,0)</f>
        <v>Túi chườm bụng dâu tây 500ml</v>
      </c>
      <c r="F14" s="144" t="str">
        <f>VLOOKUP(D14,'Danh mục hàng hóa'!$C$3:$E$656,3,0)</f>
        <v>túi</v>
      </c>
      <c r="G14" s="166">
        <f>VLOOKUP(D14,'Danh mục hàng hóa'!$C$3:$M$656,5,0)</f>
        <v>43340</v>
      </c>
      <c r="H14" s="313">
        <v>2</v>
      </c>
      <c r="I14" s="314"/>
      <c r="J14" s="166">
        <f t="shared" si="1"/>
        <v>86680</v>
      </c>
      <c r="K14" s="168">
        <f t="shared" si="2"/>
        <v>0</v>
      </c>
      <c r="L14" s="30"/>
      <c r="M14" s="67"/>
    </row>
    <row r="15" spans="1:15">
      <c r="A15" s="146">
        <v>13</v>
      </c>
      <c r="B15" s="311" t="s">
        <v>336</v>
      </c>
      <c r="C15" s="312">
        <v>45278</v>
      </c>
      <c r="D15" s="28" t="s">
        <v>416</v>
      </c>
      <c r="E15" s="143" t="str">
        <f>VLOOKUP(D15,'Danh mục hàng hóa'!$C$3:$D$643,2,0)</f>
        <v>Túi chườm bụng dứa xanh đậm  500ml</v>
      </c>
      <c r="F15" s="144" t="str">
        <f>VLOOKUP(D15,'Danh mục hàng hóa'!$C$3:$E$656,3,0)</f>
        <v>túi</v>
      </c>
      <c r="G15" s="166">
        <f>VLOOKUP(D15,'Danh mục hàng hóa'!$C$3:$M$656,5,0)</f>
        <v>43340</v>
      </c>
      <c r="H15" s="313">
        <v>2</v>
      </c>
      <c r="I15" s="314"/>
      <c r="J15" s="166">
        <f t="shared" si="1"/>
        <v>86680</v>
      </c>
      <c r="K15" s="168">
        <f t="shared" si="2"/>
        <v>0</v>
      </c>
      <c r="L15" s="30"/>
      <c r="M15" s="67"/>
    </row>
    <row r="16" spans="1:15">
      <c r="A16" s="146">
        <v>14</v>
      </c>
      <c r="B16" s="311" t="s">
        <v>336</v>
      </c>
      <c r="C16" s="312">
        <v>45278</v>
      </c>
      <c r="D16" s="28" t="s">
        <v>418</v>
      </c>
      <c r="E16" s="143" t="str">
        <f>VLOOKUP(D16,'Danh mục hàng hóa'!$C$3:$D$643,2,0)</f>
        <v>Túi chườm bụng dâu xanh nhạt 500ml</v>
      </c>
      <c r="F16" s="144" t="str">
        <f>VLOOKUP(D16,'Danh mục hàng hóa'!$C$3:$E$656,3,0)</f>
        <v>túi</v>
      </c>
      <c r="G16" s="166">
        <f>VLOOKUP(D16,'Danh mục hàng hóa'!$C$3:$M$656,5,0)</f>
        <v>43340</v>
      </c>
      <c r="H16" s="313">
        <v>2</v>
      </c>
      <c r="I16" s="314"/>
      <c r="J16" s="166">
        <f t="shared" si="1"/>
        <v>86680</v>
      </c>
      <c r="K16" s="168">
        <f t="shared" si="2"/>
        <v>0</v>
      </c>
      <c r="L16" s="30"/>
      <c r="M16" s="67"/>
    </row>
    <row r="17" spans="1:13">
      <c r="A17" s="146">
        <v>15</v>
      </c>
      <c r="B17" s="311" t="s">
        <v>336</v>
      </c>
      <c r="C17" s="312">
        <v>45278</v>
      </c>
      <c r="D17" s="28" t="s">
        <v>420</v>
      </c>
      <c r="E17" s="143" t="str">
        <f>VLOOKUP(D17,'Danh mục hàng hóa'!$C$3:$D$643,2,0)</f>
        <v>Túi chườm bụng thỏ dứa 500ml</v>
      </c>
      <c r="F17" s="144" t="str">
        <f>VLOOKUP(D17,'Danh mục hàng hóa'!$C$3:$E$656,3,0)</f>
        <v>túi</v>
      </c>
      <c r="G17" s="166">
        <f>VLOOKUP(D17,'Danh mục hàng hóa'!$C$3:$M$656,5,0)</f>
        <v>43340</v>
      </c>
      <c r="H17" s="313">
        <v>2</v>
      </c>
      <c r="I17" s="314"/>
      <c r="J17" s="166">
        <f t="shared" si="1"/>
        <v>86680</v>
      </c>
      <c r="K17" s="168">
        <f t="shared" si="2"/>
        <v>0</v>
      </c>
      <c r="L17" s="30"/>
      <c r="M17" s="67"/>
    </row>
    <row r="18" spans="1:13">
      <c r="A18" s="146">
        <v>16</v>
      </c>
      <c r="B18" s="311" t="s">
        <v>336</v>
      </c>
      <c r="C18" s="312">
        <v>45278</v>
      </c>
      <c r="D18" s="28" t="s">
        <v>472</v>
      </c>
      <c r="E18" s="143" t="str">
        <f>VLOOKUP(D18,'Danh mục hàng hóa'!$C$3:$D$643,2,0)</f>
        <v>Trâm cài gỗ nâu trơn</v>
      </c>
      <c r="F18" s="144" t="str">
        <f>VLOOKUP(D18,'Danh mục hàng hóa'!$C$3:$E$656,3,0)</f>
        <v>cái</v>
      </c>
      <c r="G18" s="166">
        <f>VLOOKUP(D18,'Danh mục hàng hóa'!$C$3:$M$656,5,0)</f>
        <v>9970</v>
      </c>
      <c r="H18" s="313">
        <v>4</v>
      </c>
      <c r="I18" s="314"/>
      <c r="J18" s="166">
        <f t="shared" si="1"/>
        <v>39880</v>
      </c>
      <c r="K18" s="168">
        <f t="shared" si="2"/>
        <v>0</v>
      </c>
      <c r="L18" s="30"/>
      <c r="M18" s="67"/>
    </row>
    <row r="19" spans="1:13">
      <c r="A19" s="146">
        <v>17</v>
      </c>
      <c r="B19" s="311" t="s">
        <v>336</v>
      </c>
      <c r="C19" s="312">
        <v>45278</v>
      </c>
      <c r="D19" s="28" t="s">
        <v>474</v>
      </c>
      <c r="E19" s="143" t="str">
        <f>VLOOKUP(D19,'Danh mục hàng hóa'!$C$3:$D$643,2,0)</f>
        <v>Trâm cài hoa xanh</v>
      </c>
      <c r="F19" s="144" t="str">
        <f>VLOOKUP(D19,'Danh mục hàng hóa'!$C$3:$E$656,3,0)</f>
        <v>cái</v>
      </c>
      <c r="G19" s="166">
        <f>VLOOKUP(D19,'Danh mục hàng hóa'!$C$3:$M$656,5,0)</f>
        <v>12455</v>
      </c>
      <c r="H19" s="313">
        <v>4</v>
      </c>
      <c r="I19" s="314"/>
      <c r="J19" s="166">
        <f t="shared" si="1"/>
        <v>49820</v>
      </c>
      <c r="K19" s="168">
        <f t="shared" si="2"/>
        <v>0</v>
      </c>
      <c r="L19" s="30"/>
      <c r="M19" s="67"/>
    </row>
    <row r="20" spans="1:13">
      <c r="A20" s="146">
        <v>18</v>
      </c>
      <c r="B20" s="311" t="s">
        <v>336</v>
      </c>
      <c r="C20" s="312">
        <v>45278</v>
      </c>
      <c r="D20" s="28" t="s">
        <v>476</v>
      </c>
      <c r="E20" s="143" t="str">
        <f>VLOOKUP(D20,'Danh mục hàng hóa'!$C$3:$D$643,2,0)</f>
        <v>Trâm cài hoa trắng</v>
      </c>
      <c r="F20" s="144" t="str">
        <f>VLOOKUP(D20,'Danh mục hàng hóa'!$C$3:$E$656,3,0)</f>
        <v>cái</v>
      </c>
      <c r="G20" s="166">
        <f>VLOOKUP(D20,'Danh mục hàng hóa'!$C$3:$M$656,5,0)</f>
        <v>12100</v>
      </c>
      <c r="H20" s="313">
        <v>4</v>
      </c>
      <c r="I20" s="314"/>
      <c r="J20" s="166">
        <f t="shared" si="1"/>
        <v>48400</v>
      </c>
      <c r="K20" s="168">
        <f t="shared" si="2"/>
        <v>0</v>
      </c>
      <c r="L20" s="30"/>
      <c r="M20" s="67"/>
    </row>
    <row r="21" spans="1:13">
      <c r="A21" s="146">
        <v>19</v>
      </c>
      <c r="B21" s="311" t="s">
        <v>336</v>
      </c>
      <c r="C21" s="312">
        <v>45278</v>
      </c>
      <c r="D21" s="28" t="s">
        <v>478</v>
      </c>
      <c r="E21" s="143" t="str">
        <f>VLOOKUP(D21,'Danh mục hàng hóa'!$C$3:$D$643,2,0)</f>
        <v>Trâm cài hoa hồng</v>
      </c>
      <c r="F21" s="144" t="str">
        <f>VLOOKUP(D21,'Danh mục hàng hóa'!$C$3:$E$656,3,0)</f>
        <v>cái</v>
      </c>
      <c r="G21" s="166">
        <f>VLOOKUP(D21,'Danh mục hàng hóa'!$C$3:$M$656,5,0)</f>
        <v>13165</v>
      </c>
      <c r="H21" s="313">
        <v>4</v>
      </c>
      <c r="I21" s="314"/>
      <c r="J21" s="166">
        <f t="shared" si="1"/>
        <v>52660</v>
      </c>
      <c r="K21" s="168">
        <f t="shared" si="2"/>
        <v>0</v>
      </c>
      <c r="L21" s="30"/>
      <c r="M21" s="67"/>
    </row>
    <row r="22" spans="1:13">
      <c r="A22" s="146">
        <v>20</v>
      </c>
      <c r="B22" s="311" t="s">
        <v>336</v>
      </c>
      <c r="C22" s="312">
        <v>45278</v>
      </c>
      <c r="D22" s="28" t="s">
        <v>480</v>
      </c>
      <c r="E22" s="143" t="str">
        <f>VLOOKUP(D22,'Danh mục hàng hóa'!$C$3:$D$643,2,0)</f>
        <v>Trâm cài gỗ nâu có họa tiết</v>
      </c>
      <c r="F22" s="144" t="str">
        <f>VLOOKUP(D22,'Danh mục hàng hóa'!$C$3:$E$656,3,0)</f>
        <v>cái</v>
      </c>
      <c r="G22" s="166">
        <f>VLOOKUP(D22,'Danh mục hàng hóa'!$C$3:$M$656,5,0)</f>
        <v>9970</v>
      </c>
      <c r="H22" s="313">
        <v>4</v>
      </c>
      <c r="I22" s="314"/>
      <c r="J22" s="166">
        <f t="shared" si="1"/>
        <v>39880</v>
      </c>
      <c r="K22" s="168">
        <f t="shared" si="2"/>
        <v>0</v>
      </c>
      <c r="L22" s="30"/>
      <c r="M22" s="67"/>
    </row>
    <row r="23" spans="1:13">
      <c r="A23" s="146">
        <v>21</v>
      </c>
      <c r="B23" s="311" t="s">
        <v>336</v>
      </c>
      <c r="C23" s="312">
        <v>45278</v>
      </c>
      <c r="D23" s="28" t="s">
        <v>431</v>
      </c>
      <c r="E23" s="143" t="str">
        <f>VLOOKUP(D23,'Danh mục hàng hóa'!$C$3:$D$643,2,0)</f>
        <v>Bao lì xì rồng con</v>
      </c>
      <c r="F23" s="144" t="str">
        <f>VLOOKUP(D23,'Danh mục hàng hóa'!$C$3:$E$656,3,0)</f>
        <v>túi 4 cái</v>
      </c>
      <c r="G23" s="166">
        <f>VLOOKUP(D23,'Danh mục hàng hóa'!$C$3:$M$656,5,0)</f>
        <v>7167.5</v>
      </c>
      <c r="H23" s="313">
        <v>50</v>
      </c>
      <c r="I23" s="314"/>
      <c r="J23" s="166">
        <f t="shared" si="1"/>
        <v>358375</v>
      </c>
      <c r="K23" s="168">
        <f t="shared" si="2"/>
        <v>0</v>
      </c>
      <c r="L23" s="30"/>
      <c r="M23" s="67"/>
    </row>
    <row r="24" spans="1:13">
      <c r="A24" s="146">
        <v>22</v>
      </c>
      <c r="B24" s="311" t="s">
        <v>336</v>
      </c>
      <c r="C24" s="312">
        <v>45278</v>
      </c>
      <c r="D24" s="28" t="s">
        <v>433</v>
      </c>
      <c r="E24" s="143" t="str">
        <f>VLOOKUP(D24,'Danh mục hàng hóa'!$C$3:$D$643,2,0)</f>
        <v>Bao lì xì rồng lân</v>
      </c>
      <c r="F24" s="144" t="str">
        <f>VLOOKUP(D24,'Danh mục hàng hóa'!$C$3:$E$656,3,0)</f>
        <v>túi 4 cái</v>
      </c>
      <c r="G24" s="166">
        <f>VLOOKUP(D24,'Danh mục hàng hóa'!$C$3:$M$656,5,0)</f>
        <v>7167.5</v>
      </c>
      <c r="H24" s="313">
        <v>50</v>
      </c>
      <c r="I24" s="314"/>
      <c r="J24" s="166">
        <f t="shared" si="1"/>
        <v>358375</v>
      </c>
      <c r="K24" s="168">
        <f t="shared" si="2"/>
        <v>0</v>
      </c>
      <c r="L24" s="30"/>
      <c r="M24" s="67"/>
    </row>
    <row r="25" spans="1:13">
      <c r="A25" s="146">
        <v>23</v>
      </c>
      <c r="B25" s="311" t="s">
        <v>337</v>
      </c>
      <c r="C25" s="316">
        <v>45279</v>
      </c>
      <c r="D25" s="124" t="s">
        <v>401</v>
      </c>
      <c r="E25" s="143" t="str">
        <f>VLOOKUP(D25,'Danh mục hàng hóa'!$C$3:$D$643,2,0)</f>
        <v>Túi chườm bụng dứa xanh đậm  1000ml</v>
      </c>
      <c r="F25" s="144" t="str">
        <f>VLOOKUP(D25,'Danh mục hàng hóa'!$C$3:$E$656,3,0)</f>
        <v>túi</v>
      </c>
      <c r="G25" s="211">
        <v>75000</v>
      </c>
      <c r="H25" s="317"/>
      <c r="I25" s="313">
        <v>1</v>
      </c>
      <c r="J25" s="166">
        <f t="shared" si="1"/>
        <v>0</v>
      </c>
      <c r="K25" s="168">
        <f t="shared" si="2"/>
        <v>75000</v>
      </c>
      <c r="L25" s="387" t="s">
        <v>2135</v>
      </c>
      <c r="M25" s="67"/>
    </row>
    <row r="26" spans="1:13">
      <c r="A26" s="146">
        <v>243</v>
      </c>
      <c r="B26" s="311" t="s">
        <v>337</v>
      </c>
      <c r="C26" s="316">
        <v>45279</v>
      </c>
      <c r="D26" s="28" t="s">
        <v>431</v>
      </c>
      <c r="E26" s="143" t="str">
        <f>VLOOKUP(D26,'Danh mục hàng hóa'!$C$3:$D$643,2,0)</f>
        <v>Bao lì xì rồng con</v>
      </c>
      <c r="F26" s="144" t="str">
        <f>VLOOKUP(D26,'Danh mục hàng hóa'!$C$3:$E$656,3,0)</f>
        <v>túi 4 cái</v>
      </c>
      <c r="G26" s="211">
        <f>200000/15</f>
        <v>13333.333333333334</v>
      </c>
      <c r="H26" s="317"/>
      <c r="I26" s="313">
        <v>15</v>
      </c>
      <c r="J26" s="166"/>
      <c r="K26" s="168">
        <f t="shared" si="2"/>
        <v>200000</v>
      </c>
      <c r="L26" s="372"/>
      <c r="M26" s="67"/>
    </row>
    <row r="27" spans="1:13" ht="13.2">
      <c r="A27" s="146">
        <v>25</v>
      </c>
      <c r="B27" s="311" t="s">
        <v>337</v>
      </c>
      <c r="C27" s="316">
        <v>45279</v>
      </c>
      <c r="D27" s="28" t="s">
        <v>435</v>
      </c>
      <c r="E27" s="143" t="str">
        <f>VLOOKUP(D27,'Danh mục hàng hóa'!$C$3:$D$643,2,0)</f>
        <v>Bao lì xì Tết tài lộc</v>
      </c>
      <c r="F27" s="144" t="str">
        <f>VLOOKUP(D27,'Danh mục hàng hóa'!$C$3:$E$656,3,0)</f>
        <v>set 6 cái</v>
      </c>
      <c r="G27" s="211">
        <f>183540/(30+2/3)</f>
        <v>5985</v>
      </c>
      <c r="H27" s="317"/>
      <c r="I27" s="313">
        <f>30+2/3</f>
        <v>30.666666666666668</v>
      </c>
      <c r="J27" s="166">
        <f t="shared" ref="J27:J281" si="3">H27*G27</f>
        <v>0</v>
      </c>
      <c r="K27" s="168">
        <f t="shared" si="2"/>
        <v>183540</v>
      </c>
      <c r="L27" s="373"/>
      <c r="M27" s="67"/>
    </row>
    <row r="28" spans="1:13" ht="13.2">
      <c r="A28" s="146">
        <v>26</v>
      </c>
      <c r="B28" s="311" t="s">
        <v>337</v>
      </c>
      <c r="C28" s="316">
        <v>45281</v>
      </c>
      <c r="D28" s="124" t="s">
        <v>414</v>
      </c>
      <c r="E28" s="143" t="str">
        <f>VLOOKUP(D28,'Danh mục hàng hóa'!$C$3:$D$643,2,0)</f>
        <v>Túi chườm bụng dâu tây 500ml</v>
      </c>
      <c r="F28" s="144" t="str">
        <f>VLOOKUP(D28,'Danh mục hàng hóa'!$C$3:$E$656,3,0)</f>
        <v>túi</v>
      </c>
      <c r="G28" s="211">
        <v>75000</v>
      </c>
      <c r="H28" s="317"/>
      <c r="I28" s="313">
        <v>1</v>
      </c>
      <c r="J28" s="166">
        <f t="shared" si="3"/>
        <v>0</v>
      </c>
      <c r="K28" s="168">
        <f t="shared" si="2"/>
        <v>75000</v>
      </c>
      <c r="L28" s="227"/>
      <c r="M28" s="67"/>
    </row>
    <row r="29" spans="1:13" ht="13.2">
      <c r="A29" s="146">
        <v>27</v>
      </c>
      <c r="B29" s="311" t="s">
        <v>337</v>
      </c>
      <c r="C29" s="316">
        <v>45281</v>
      </c>
      <c r="D29" s="28" t="s">
        <v>409</v>
      </c>
      <c r="E29" s="143" t="str">
        <f>VLOOKUP(D29,'Danh mục hàng hóa'!$C$3:$D$643,2,0)</f>
        <v>Túi chườm bụng thỏ dứa 1000ml</v>
      </c>
      <c r="F29" s="144" t="str">
        <f>VLOOKUP(D29,'Danh mục hàng hóa'!$C$3:$E$656,3,0)</f>
        <v>túi</v>
      </c>
      <c r="G29" s="211">
        <v>90000</v>
      </c>
      <c r="H29" s="317"/>
      <c r="I29" s="313">
        <v>1</v>
      </c>
      <c r="J29" s="166">
        <f t="shared" si="3"/>
        <v>0</v>
      </c>
      <c r="K29" s="168">
        <f t="shared" si="2"/>
        <v>90000</v>
      </c>
      <c r="L29" s="227"/>
      <c r="M29" s="67"/>
    </row>
    <row r="30" spans="1:13" ht="13.2">
      <c r="A30" s="146">
        <v>28</v>
      </c>
      <c r="B30" s="311" t="s">
        <v>337</v>
      </c>
      <c r="C30" s="316">
        <v>45281</v>
      </c>
      <c r="D30" s="28" t="s">
        <v>433</v>
      </c>
      <c r="E30" s="143" t="str">
        <f>VLOOKUP(D30,'Danh mục hàng hóa'!$C$3:$D$643,2,0)</f>
        <v>Bao lì xì rồng lân</v>
      </c>
      <c r="F30" s="144" t="str">
        <f>VLOOKUP(D30,'Danh mục hàng hóa'!$C$3:$E$656,3,0)</f>
        <v>túi 4 cái</v>
      </c>
      <c r="G30" s="211">
        <f>449266/35</f>
        <v>12836.171428571428</v>
      </c>
      <c r="H30" s="317"/>
      <c r="I30" s="313">
        <v>35</v>
      </c>
      <c r="J30" s="166">
        <f t="shared" si="3"/>
        <v>0</v>
      </c>
      <c r="K30" s="168">
        <f t="shared" si="2"/>
        <v>449266</v>
      </c>
      <c r="L30" s="227"/>
      <c r="M30" s="67"/>
    </row>
    <row r="31" spans="1:13" ht="13.2">
      <c r="A31" s="146">
        <v>30</v>
      </c>
      <c r="B31" s="311" t="s">
        <v>337</v>
      </c>
      <c r="C31" s="316">
        <v>45283</v>
      </c>
      <c r="D31" s="124" t="s">
        <v>437</v>
      </c>
      <c r="E31" s="143" t="str">
        <f>VLOOKUP(D31,'Danh mục hàng hóa'!$C$3:$D$643,2,0)</f>
        <v>Bao lì xì Tết hoa</v>
      </c>
      <c r="F31" s="144" t="str">
        <f>VLOOKUP(D31,'Danh mục hàng hóa'!$C$3:$E$656,3,0)</f>
        <v>set 6 cái</v>
      </c>
      <c r="G31" s="211">
        <f>140150/(23+2/3)</f>
        <v>5921.8309859154924</v>
      </c>
      <c r="H31" s="317"/>
      <c r="I31" s="313">
        <f>23+2/3</f>
        <v>23.666666666666668</v>
      </c>
      <c r="J31" s="166">
        <f t="shared" si="3"/>
        <v>0</v>
      </c>
      <c r="K31" s="168">
        <f t="shared" si="2"/>
        <v>140150</v>
      </c>
      <c r="L31" s="227"/>
      <c r="M31" s="67"/>
    </row>
    <row r="32" spans="1:13" ht="13.2">
      <c r="A32" s="146">
        <v>31</v>
      </c>
      <c r="B32" s="311" t="s">
        <v>337</v>
      </c>
      <c r="C32" s="316">
        <v>45284</v>
      </c>
      <c r="D32" s="28" t="s">
        <v>438</v>
      </c>
      <c r="E32" s="143" t="str">
        <f>VLOOKUP(D32,'Danh mục hàng hóa'!$C$3:$D$643,2,0)</f>
        <v>Bao lì xì Tết xanh</v>
      </c>
      <c r="F32" s="144" t="str">
        <f>VLOOKUP(D32,'Danh mục hàng hóa'!$C$3:$E$656,3,0)</f>
        <v>set 6 cái</v>
      </c>
      <c r="G32" s="211">
        <f>131736/(20+2/3)</f>
        <v>6374.322580645161</v>
      </c>
      <c r="H32" s="317"/>
      <c r="I32" s="313">
        <f>20+2/3</f>
        <v>20.666666666666668</v>
      </c>
      <c r="J32" s="166">
        <f t="shared" si="3"/>
        <v>0</v>
      </c>
      <c r="K32" s="168">
        <f t="shared" si="2"/>
        <v>131736</v>
      </c>
      <c r="L32" s="227"/>
      <c r="M32" s="67"/>
    </row>
    <row r="33" spans="1:13" ht="13.2">
      <c r="A33" s="146">
        <v>32</v>
      </c>
      <c r="B33" s="311" t="s">
        <v>337</v>
      </c>
      <c r="C33" s="316">
        <v>45285</v>
      </c>
      <c r="D33" s="28" t="s">
        <v>439</v>
      </c>
      <c r="E33" s="143" t="str">
        <f>VLOOKUP(D33,'Danh mục hàng hóa'!$C$3:$D$643,2,0)</f>
        <v>Bao lì xì vui vẻ</v>
      </c>
      <c r="F33" s="144" t="str">
        <f>VLOOKUP(D33,'Danh mục hàng hóa'!$C$3:$E$656,3,0)</f>
        <v>set 6 cái</v>
      </c>
      <c r="G33" s="211">
        <f>183410/(30+2/3)</f>
        <v>5980.760869565217</v>
      </c>
      <c r="H33" s="317"/>
      <c r="I33" s="313">
        <f>30+2/3</f>
        <v>30.666666666666668</v>
      </c>
      <c r="J33" s="166">
        <f t="shared" si="3"/>
        <v>0</v>
      </c>
      <c r="K33" s="168">
        <f t="shared" si="2"/>
        <v>183410</v>
      </c>
      <c r="L33" s="227"/>
      <c r="M33" s="67"/>
    </row>
    <row r="34" spans="1:13" ht="13.2">
      <c r="A34" s="146">
        <v>33</v>
      </c>
      <c r="B34" s="311" t="s">
        <v>337</v>
      </c>
      <c r="C34" s="316">
        <v>45286</v>
      </c>
      <c r="D34" s="28" t="s">
        <v>440</v>
      </c>
      <c r="E34" s="143" t="str">
        <f>VLOOKUP(D34,'Danh mục hàng hóa'!$C$3:$D$643,2,0)</f>
        <v>Bao lì xì ngộ nghĩnh</v>
      </c>
      <c r="F34" s="144" t="str">
        <f>VLOOKUP(D34,'Danh mục hàng hóa'!$C$3:$E$656,3,0)</f>
        <v>set 6 cái</v>
      </c>
      <c r="G34" s="211">
        <f>191150/(29+2/3)</f>
        <v>6443.2584269662921</v>
      </c>
      <c r="H34" s="317"/>
      <c r="I34" s="313">
        <f>29+2/3</f>
        <v>29.666666666666668</v>
      </c>
      <c r="J34" s="166">
        <f t="shared" si="3"/>
        <v>0</v>
      </c>
      <c r="K34" s="168">
        <f t="shared" si="2"/>
        <v>191150</v>
      </c>
      <c r="L34" s="227"/>
      <c r="M34" s="67"/>
    </row>
    <row r="35" spans="1:13" ht="13.2">
      <c r="A35" s="146">
        <v>41</v>
      </c>
      <c r="B35" s="311" t="s">
        <v>337</v>
      </c>
      <c r="C35" s="316">
        <v>45280</v>
      </c>
      <c r="D35" s="28" t="s">
        <v>476</v>
      </c>
      <c r="E35" s="143" t="str">
        <f>VLOOKUP(D35,'Danh mục hàng hóa'!$C$3:$D$643,2,0)</f>
        <v>Trâm cài hoa trắng</v>
      </c>
      <c r="F35" s="144" t="str">
        <f>VLOOKUP(D35,'Danh mục hàng hóa'!$C$3:$E$656,3,0)</f>
        <v>cái</v>
      </c>
      <c r="G35" s="211">
        <v>14700</v>
      </c>
      <c r="H35" s="317"/>
      <c r="I35" s="313">
        <v>1</v>
      </c>
      <c r="J35" s="166">
        <f t="shared" si="3"/>
        <v>0</v>
      </c>
      <c r="K35" s="168">
        <f t="shared" si="2"/>
        <v>14700</v>
      </c>
      <c r="L35" s="227"/>
      <c r="M35" s="67"/>
    </row>
    <row r="36" spans="1:13" ht="13.2">
      <c r="A36" s="146">
        <v>45</v>
      </c>
      <c r="B36" s="311" t="s">
        <v>337</v>
      </c>
      <c r="C36" s="316">
        <v>45282</v>
      </c>
      <c r="D36" s="124" t="s">
        <v>401</v>
      </c>
      <c r="E36" s="143" t="str">
        <f>VLOOKUP(D36,'Danh mục hàng hóa'!$C$3:$D$643,2,0)</f>
        <v>Túi chườm bụng dứa xanh đậm  1000ml</v>
      </c>
      <c r="F36" s="144" t="str">
        <f>VLOOKUP(D36,'Danh mục hàng hóa'!$C$3:$E$656,3,0)</f>
        <v>túi</v>
      </c>
      <c r="G36" s="211">
        <v>80000</v>
      </c>
      <c r="H36" s="317"/>
      <c r="I36" s="313">
        <v>1</v>
      </c>
      <c r="J36" s="166">
        <f t="shared" si="3"/>
        <v>0</v>
      </c>
      <c r="K36" s="168">
        <f t="shared" si="2"/>
        <v>80000</v>
      </c>
      <c r="L36" s="227"/>
      <c r="M36" s="67"/>
    </row>
    <row r="37" spans="1:13" ht="13.2">
      <c r="A37" s="146">
        <v>46</v>
      </c>
      <c r="B37" s="311" t="s">
        <v>337</v>
      </c>
      <c r="C37" s="316">
        <v>45282</v>
      </c>
      <c r="D37" s="28" t="s">
        <v>416</v>
      </c>
      <c r="E37" s="143" t="str">
        <f>VLOOKUP(D37,'Danh mục hàng hóa'!$C$3:$D$643,2,0)</f>
        <v>Túi chườm bụng dứa xanh đậm  500ml</v>
      </c>
      <c r="F37" s="144" t="str">
        <f>VLOOKUP(D37,'Danh mục hàng hóa'!$C$3:$E$656,3,0)</f>
        <v>túi</v>
      </c>
      <c r="G37" s="211">
        <v>60000</v>
      </c>
      <c r="H37" s="317"/>
      <c r="I37" s="313">
        <v>1</v>
      </c>
      <c r="J37" s="166">
        <f t="shared" si="3"/>
        <v>0</v>
      </c>
      <c r="K37" s="168">
        <f t="shared" si="2"/>
        <v>60000</v>
      </c>
      <c r="L37" s="227"/>
      <c r="M37" s="67"/>
    </row>
    <row r="38" spans="1:13" ht="13.2">
      <c r="A38" s="146">
        <v>49</v>
      </c>
      <c r="B38" s="311" t="s">
        <v>336</v>
      </c>
      <c r="C38" s="312">
        <v>45282</v>
      </c>
      <c r="D38" s="28" t="s">
        <v>435</v>
      </c>
      <c r="E38" s="143" t="str">
        <f>VLOOKUP(D38,'Danh mục hàng hóa'!$C$3:$D$643,2,0)</f>
        <v>Bao lì xì Tết tài lộc</v>
      </c>
      <c r="F38" s="144" t="str">
        <f>VLOOKUP(D38,'Danh mục hàng hóa'!$C$3:$E$656,3,0)</f>
        <v>set 6 cái</v>
      </c>
      <c r="G38" s="211">
        <v>3665</v>
      </c>
      <c r="H38" s="313">
        <v>100</v>
      </c>
      <c r="I38" s="167"/>
      <c r="J38" s="166">
        <f t="shared" si="3"/>
        <v>366500</v>
      </c>
      <c r="K38" s="168">
        <f t="shared" si="2"/>
        <v>0</v>
      </c>
      <c r="L38" s="30"/>
      <c r="M38" s="67"/>
    </row>
    <row r="39" spans="1:13" ht="13.2">
      <c r="A39" s="146">
        <v>50</v>
      </c>
      <c r="B39" s="311" t="s">
        <v>336</v>
      </c>
      <c r="C39" s="312">
        <v>45282</v>
      </c>
      <c r="D39" s="124" t="s">
        <v>437</v>
      </c>
      <c r="E39" s="143" t="str">
        <f>VLOOKUP(D39,'Danh mục hàng hóa'!$C$3:$D$643,2,0)</f>
        <v>Bao lì xì Tết hoa</v>
      </c>
      <c r="F39" s="144" t="str">
        <f>VLOOKUP(D39,'Danh mục hàng hóa'!$C$3:$E$656,3,0)</f>
        <v>set 6 cái</v>
      </c>
      <c r="G39" s="211">
        <v>3665</v>
      </c>
      <c r="H39" s="313">
        <v>100</v>
      </c>
      <c r="I39" s="167"/>
      <c r="J39" s="166">
        <f t="shared" si="3"/>
        <v>366500</v>
      </c>
      <c r="K39" s="168">
        <f t="shared" si="2"/>
        <v>0</v>
      </c>
      <c r="L39" s="30"/>
      <c r="M39" s="67"/>
    </row>
    <row r="40" spans="1:13" ht="13.2">
      <c r="A40" s="146">
        <v>56</v>
      </c>
      <c r="B40" s="311" t="s">
        <v>336</v>
      </c>
      <c r="C40" s="312">
        <v>45283</v>
      </c>
      <c r="D40" s="128" t="s">
        <v>442</v>
      </c>
      <c r="E40" s="143" t="str">
        <f>VLOOKUP(D40,'Danh mục hàng hóa'!$C$3:$D$643,2,0)</f>
        <v>Cài áo hoa hồng đen</v>
      </c>
      <c r="F40" s="144" t="str">
        <f>VLOOKUP(D40,'Danh mục hàng hóa'!$C$3:$E$656,3,0)</f>
        <v>cái</v>
      </c>
      <c r="G40" s="166">
        <f>VLOOKUP(D40,'Danh mục hàng hóa'!$C$3:$M$656,5,0)</f>
        <v>16910</v>
      </c>
      <c r="H40" s="313">
        <v>3</v>
      </c>
      <c r="I40" s="314"/>
      <c r="J40" s="166">
        <f t="shared" si="3"/>
        <v>50730</v>
      </c>
      <c r="K40" s="168">
        <f t="shared" si="2"/>
        <v>0</v>
      </c>
      <c r="L40" s="30"/>
      <c r="M40" s="67"/>
    </row>
    <row r="41" spans="1:13" ht="13.2">
      <c r="A41" s="146">
        <v>57</v>
      </c>
      <c r="B41" s="311" t="s">
        <v>336</v>
      </c>
      <c r="C41" s="312">
        <v>45283</v>
      </c>
      <c r="D41" s="128" t="s">
        <v>445</v>
      </c>
      <c r="E41" s="143" t="str">
        <f>VLOOKUP(D41,'Danh mục hàng hóa'!$C$3:$D$643,2,0)</f>
        <v>Cài áo hoa hồng đỏ</v>
      </c>
      <c r="F41" s="144" t="str">
        <f>VLOOKUP(D41,'Danh mục hàng hóa'!$C$3:$E$656,3,0)</f>
        <v>cái</v>
      </c>
      <c r="G41" s="166">
        <f>VLOOKUP(D41,'Danh mục hàng hóa'!$C$3:$M$656,5,0)</f>
        <v>16910</v>
      </c>
      <c r="H41" s="313">
        <v>3</v>
      </c>
      <c r="I41" s="314"/>
      <c r="J41" s="166">
        <f t="shared" si="3"/>
        <v>50730</v>
      </c>
      <c r="K41" s="168">
        <f t="shared" si="2"/>
        <v>0</v>
      </c>
      <c r="L41" s="30"/>
      <c r="M41" s="67"/>
    </row>
    <row r="42" spans="1:13" ht="13.2">
      <c r="A42" s="146">
        <v>58</v>
      </c>
      <c r="B42" s="311" t="s">
        <v>336</v>
      </c>
      <c r="C42" s="312">
        <v>45283</v>
      </c>
      <c r="D42" s="128" t="s">
        <v>447</v>
      </c>
      <c r="E42" s="143" t="str">
        <f>VLOOKUP(D42,'Danh mục hàng hóa'!$C$3:$D$643,2,0)</f>
        <v>Cài áo hoa hồng xanh có ngọc trai</v>
      </c>
      <c r="F42" s="144" t="str">
        <f>VLOOKUP(D42,'Danh mục hàng hóa'!$C$3:$E$656,3,0)</f>
        <v>cái</v>
      </c>
      <c r="G42" s="166">
        <f>VLOOKUP(D42,'Danh mục hàng hóa'!$C$3:$M$656,5,0)</f>
        <v>9810</v>
      </c>
      <c r="H42" s="313">
        <v>3</v>
      </c>
      <c r="I42" s="314"/>
      <c r="J42" s="166">
        <f t="shared" si="3"/>
        <v>29430</v>
      </c>
      <c r="K42" s="168">
        <f t="shared" si="2"/>
        <v>0</v>
      </c>
      <c r="L42" s="30"/>
      <c r="M42" s="67"/>
    </row>
    <row r="43" spans="1:13" ht="13.2">
      <c r="A43" s="146">
        <v>59</v>
      </c>
      <c r="B43" s="311" t="s">
        <v>336</v>
      </c>
      <c r="C43" s="312">
        <v>45283</v>
      </c>
      <c r="D43" s="128" t="s">
        <v>449</v>
      </c>
      <c r="E43" s="143" t="str">
        <f>VLOOKUP(D43,'Danh mục hàng hóa'!$C$3:$D$643,2,0)</f>
        <v>Cài áo hoa hồng trắng có ngọc trai</v>
      </c>
      <c r="F43" s="144" t="str">
        <f>VLOOKUP(D43,'Danh mục hàng hóa'!$C$3:$E$656,3,0)</f>
        <v>cái</v>
      </c>
      <c r="G43" s="166">
        <f>VLOOKUP(D43,'Danh mục hàng hóa'!$C$3:$M$656,5,0)</f>
        <v>9810</v>
      </c>
      <c r="H43" s="313">
        <v>3</v>
      </c>
      <c r="I43" s="314"/>
      <c r="J43" s="166">
        <f t="shared" si="3"/>
        <v>29430</v>
      </c>
      <c r="K43" s="168">
        <f t="shared" si="2"/>
        <v>0</v>
      </c>
      <c r="L43" s="30"/>
      <c r="M43" s="67"/>
    </row>
    <row r="44" spans="1:13" ht="13.2">
      <c r="A44" s="146">
        <v>60</v>
      </c>
      <c r="B44" s="311" t="s">
        <v>336</v>
      </c>
      <c r="C44" s="312">
        <v>45283</v>
      </c>
      <c r="D44" s="128" t="s">
        <v>451</v>
      </c>
      <c r="E44" s="143" t="str">
        <f>VLOOKUP(D44,'Danh mục hàng hóa'!$C$3:$D$643,2,0)</f>
        <v>Cài áo ngọc trai bướm vàng</v>
      </c>
      <c r="F44" s="144" t="str">
        <f>VLOOKUP(D44,'Danh mục hàng hóa'!$C$3:$E$656,3,0)</f>
        <v>cái</v>
      </c>
      <c r="G44" s="166">
        <f>VLOOKUP(D44,'Danh mục hàng hóa'!$C$3:$M$656,5,0)</f>
        <v>9810</v>
      </c>
      <c r="H44" s="313">
        <v>3</v>
      </c>
      <c r="I44" s="314"/>
      <c r="J44" s="166">
        <f t="shared" si="3"/>
        <v>29430</v>
      </c>
      <c r="K44" s="168">
        <f t="shared" si="2"/>
        <v>0</v>
      </c>
      <c r="L44" s="30"/>
      <c r="M44" s="67"/>
    </row>
    <row r="45" spans="1:13" ht="13.2">
      <c r="A45" s="146">
        <v>61</v>
      </c>
      <c r="B45" s="311" t="s">
        <v>336</v>
      </c>
      <c r="C45" s="312">
        <v>45283</v>
      </c>
      <c r="D45" s="128" t="s">
        <v>453</v>
      </c>
      <c r="E45" s="143" t="str">
        <f>VLOOKUP(D45,'Danh mục hàng hóa'!$C$3:$D$643,2,0)</f>
        <v>Cài áo ngọc trai bướm bạc</v>
      </c>
      <c r="F45" s="144" t="str">
        <f>VLOOKUP(D45,'Danh mục hàng hóa'!$C$3:$E$656,3,0)</f>
        <v>cái</v>
      </c>
      <c r="G45" s="166">
        <f>VLOOKUP(D45,'Danh mục hàng hóa'!$C$3:$M$656,5,0)</f>
        <v>9810</v>
      </c>
      <c r="H45" s="313">
        <v>3</v>
      </c>
      <c r="I45" s="314"/>
      <c r="J45" s="166">
        <f t="shared" si="3"/>
        <v>29430</v>
      </c>
      <c r="K45" s="168">
        <f t="shared" si="2"/>
        <v>0</v>
      </c>
      <c r="L45" s="30"/>
      <c r="M45" s="67"/>
    </row>
    <row r="46" spans="1:13" ht="13.2">
      <c r="A46" s="146">
        <v>62</v>
      </c>
      <c r="B46" s="311" t="s">
        <v>336</v>
      </c>
      <c r="C46" s="312">
        <v>45283</v>
      </c>
      <c r="D46" s="128" t="s">
        <v>455</v>
      </c>
      <c r="E46" s="143" t="str">
        <f>VLOOKUP(D46,'Danh mục hàng hóa'!$C$3:$D$643,2,0)</f>
        <v>Cài áo tulip</v>
      </c>
      <c r="F46" s="144" t="str">
        <f>VLOOKUP(D46,'Danh mục hàng hóa'!$C$3:$E$656,3,0)</f>
        <v>cái</v>
      </c>
      <c r="G46" s="166">
        <f>VLOOKUP(D46,'Danh mục hàng hóa'!$C$3:$M$656,5,0)</f>
        <v>11940</v>
      </c>
      <c r="H46" s="313">
        <v>3</v>
      </c>
      <c r="I46" s="314"/>
      <c r="J46" s="166">
        <f t="shared" si="3"/>
        <v>35820</v>
      </c>
      <c r="K46" s="168">
        <f t="shared" si="2"/>
        <v>0</v>
      </c>
      <c r="L46" s="30"/>
      <c r="M46" s="67"/>
    </row>
    <row r="47" spans="1:13" ht="13.2">
      <c r="A47" s="146">
        <v>63</v>
      </c>
      <c r="B47" s="311" t="s">
        <v>336</v>
      </c>
      <c r="C47" s="312">
        <v>45283</v>
      </c>
      <c r="D47" s="128" t="s">
        <v>457</v>
      </c>
      <c r="E47" s="143" t="str">
        <f>VLOOKUP(D47,'Danh mục hàng hóa'!$C$3:$D$643,2,0)</f>
        <v>Cài áo lúa</v>
      </c>
      <c r="F47" s="144" t="str">
        <f>VLOOKUP(D47,'Danh mục hàng hóa'!$C$3:$E$656,3,0)</f>
        <v>cái</v>
      </c>
      <c r="G47" s="166">
        <f>VLOOKUP(D47,'Danh mục hàng hóa'!$C$3:$M$656,5,0)</f>
        <v>15135</v>
      </c>
      <c r="H47" s="313">
        <v>3</v>
      </c>
      <c r="I47" s="314"/>
      <c r="J47" s="166">
        <f t="shared" si="3"/>
        <v>45405</v>
      </c>
      <c r="K47" s="168">
        <f t="shared" si="2"/>
        <v>0</v>
      </c>
      <c r="L47" s="30"/>
      <c r="M47" s="67"/>
    </row>
    <row r="48" spans="1:13" ht="13.2">
      <c r="A48" s="146">
        <v>64</v>
      </c>
      <c r="B48" s="311" t="s">
        <v>336</v>
      </c>
      <c r="C48" s="312">
        <v>45283</v>
      </c>
      <c r="D48" s="128" t="s">
        <v>459</v>
      </c>
      <c r="E48" s="143" t="str">
        <f>VLOOKUP(D48,'Danh mục hàng hóa'!$C$3:$D$643,2,0)</f>
        <v>Cài áo xương rồng</v>
      </c>
      <c r="F48" s="144" t="str">
        <f>VLOOKUP(D48,'Danh mục hàng hóa'!$C$3:$E$656,3,0)</f>
        <v>cái</v>
      </c>
      <c r="G48" s="166">
        <f>VLOOKUP(D48,'Danh mục hàng hóa'!$C$3:$M$656,5,0)</f>
        <v>15490</v>
      </c>
      <c r="H48" s="313">
        <v>3</v>
      </c>
      <c r="I48" s="314"/>
      <c r="J48" s="166">
        <f t="shared" si="3"/>
        <v>46470</v>
      </c>
      <c r="K48" s="168">
        <f t="shared" si="2"/>
        <v>0</v>
      </c>
      <c r="L48" s="30"/>
      <c r="M48" s="67"/>
    </row>
    <row r="49" spans="1:13" ht="13.2">
      <c r="A49" s="146">
        <v>65</v>
      </c>
      <c r="B49" s="311" t="s">
        <v>336</v>
      </c>
      <c r="C49" s="312">
        <v>45283</v>
      </c>
      <c r="D49" s="128" t="s">
        <v>461</v>
      </c>
      <c r="E49" s="143" t="str">
        <f>VLOOKUP(D49,'Danh mục hàng hóa'!$C$3:$D$643,2,0)</f>
        <v>Cài áo trái tim vàng</v>
      </c>
      <c r="F49" s="144" t="str">
        <f>VLOOKUP(D49,'Danh mục hàng hóa'!$C$3:$E$656,3,0)</f>
        <v>cái</v>
      </c>
      <c r="G49" s="166">
        <f>VLOOKUP(D49,'Danh mục hàng hóa'!$C$3:$M$656,5,0)</f>
        <v>10165</v>
      </c>
      <c r="H49" s="313">
        <v>3</v>
      </c>
      <c r="I49" s="314"/>
      <c r="J49" s="166">
        <f t="shared" si="3"/>
        <v>30495</v>
      </c>
      <c r="K49" s="168">
        <f t="shared" si="2"/>
        <v>0</v>
      </c>
      <c r="L49" s="30"/>
      <c r="M49" s="67"/>
    </row>
    <row r="50" spans="1:13" ht="13.2">
      <c r="A50" s="146">
        <v>66</v>
      </c>
      <c r="B50" s="311" t="s">
        <v>336</v>
      </c>
      <c r="C50" s="312">
        <v>45283</v>
      </c>
      <c r="D50" s="128" t="s">
        <v>463</v>
      </c>
      <c r="E50" s="143" t="str">
        <f>VLOOKUP(D50,'Danh mục hàng hóa'!$C$3:$D$643,2,0)</f>
        <v>Cài áo trái tim bạc</v>
      </c>
      <c r="F50" s="144" t="str">
        <f>VLOOKUP(D50,'Danh mục hàng hóa'!$C$3:$E$656,3,0)</f>
        <v>cái</v>
      </c>
      <c r="G50" s="166">
        <f>VLOOKUP(D50,'Danh mục hàng hóa'!$C$3:$M$656,5,0)</f>
        <v>10165</v>
      </c>
      <c r="H50" s="313">
        <v>3</v>
      </c>
      <c r="I50" s="314"/>
      <c r="J50" s="166">
        <f t="shared" si="3"/>
        <v>30495</v>
      </c>
      <c r="K50" s="168">
        <f t="shared" si="2"/>
        <v>0</v>
      </c>
      <c r="L50" s="30"/>
      <c r="M50" s="67"/>
    </row>
    <row r="51" spans="1:13" ht="13.2">
      <c r="A51" s="146">
        <v>67</v>
      </c>
      <c r="B51" s="311" t="s">
        <v>336</v>
      </c>
      <c r="C51" s="312">
        <v>45283</v>
      </c>
      <c r="D51" s="128" t="s">
        <v>465</v>
      </c>
      <c r="E51" s="143" t="str">
        <f>VLOOKUP(D51,'Danh mục hàng hóa'!$C$3:$D$643,2,0)</f>
        <v>Cài áo kính vàng</v>
      </c>
      <c r="F51" s="144" t="str">
        <f>VLOOKUP(D51,'Danh mục hàng hóa'!$C$3:$E$656,3,0)</f>
        <v>cái</v>
      </c>
      <c r="G51" s="166">
        <f>VLOOKUP(D51,'Danh mục hàng hóa'!$C$3:$M$656,5,0)</f>
        <v>6260</v>
      </c>
      <c r="H51" s="313">
        <v>3</v>
      </c>
      <c r="I51" s="314"/>
      <c r="J51" s="166">
        <f t="shared" si="3"/>
        <v>18780</v>
      </c>
      <c r="K51" s="168">
        <f t="shared" si="2"/>
        <v>0</v>
      </c>
      <c r="L51" s="30"/>
      <c r="M51" s="67"/>
    </row>
    <row r="52" spans="1:13" ht="13.2">
      <c r="A52" s="146">
        <v>68</v>
      </c>
      <c r="B52" s="311" t="s">
        <v>336</v>
      </c>
      <c r="C52" s="312">
        <v>45283</v>
      </c>
      <c r="D52" s="128" t="s">
        <v>467</v>
      </c>
      <c r="E52" s="143" t="str">
        <f>VLOOKUP(D52,'Danh mục hàng hóa'!$C$3:$D$643,2,0)</f>
        <v>Cài áo kính bạc</v>
      </c>
      <c r="F52" s="144" t="str">
        <f>VLOOKUP(D52,'Danh mục hàng hóa'!$C$3:$E$656,3,0)</f>
        <v>cái</v>
      </c>
      <c r="G52" s="166">
        <f>VLOOKUP(D52,'Danh mục hàng hóa'!$C$3:$M$656,5,0)</f>
        <v>6260</v>
      </c>
      <c r="H52" s="313">
        <v>3</v>
      </c>
      <c r="I52" s="314"/>
      <c r="J52" s="166">
        <f t="shared" si="3"/>
        <v>18780</v>
      </c>
      <c r="K52" s="168">
        <f t="shared" si="2"/>
        <v>0</v>
      </c>
      <c r="L52" s="30"/>
      <c r="M52" s="67"/>
    </row>
    <row r="53" spans="1:13" ht="13.2">
      <c r="A53" s="146">
        <v>69</v>
      </c>
      <c r="B53" s="311" t="s">
        <v>336</v>
      </c>
      <c r="C53" s="312">
        <v>45283</v>
      </c>
      <c r="D53" s="128" t="s">
        <v>469</v>
      </c>
      <c r="E53" s="143" t="str">
        <f>VLOOKUP(D53,'Danh mục hàng hóa'!$C$3:$D$643,2,0)</f>
        <v>Cài áo ong</v>
      </c>
      <c r="F53" s="144" t="str">
        <f>VLOOKUP(D53,'Danh mục hàng hóa'!$C$3:$E$656,3,0)</f>
        <v>cái</v>
      </c>
      <c r="G53" s="166">
        <f>VLOOKUP(D53,'Danh mục hàng hóa'!$C$3:$M$656,5,0)</f>
        <v>14425</v>
      </c>
      <c r="H53" s="313">
        <v>3</v>
      </c>
      <c r="I53" s="314"/>
      <c r="J53" s="166">
        <f t="shared" si="3"/>
        <v>43275</v>
      </c>
      <c r="K53" s="168">
        <f t="shared" si="2"/>
        <v>0</v>
      </c>
      <c r="L53" s="30"/>
      <c r="M53" s="67"/>
    </row>
    <row r="54" spans="1:13" ht="13.2">
      <c r="A54" s="146">
        <v>70</v>
      </c>
      <c r="B54" s="311" t="s">
        <v>336</v>
      </c>
      <c r="C54" s="312">
        <v>45283</v>
      </c>
      <c r="D54" s="128" t="s">
        <v>455</v>
      </c>
      <c r="E54" s="143" t="str">
        <f>VLOOKUP(D54,'Danh mục hàng hóa'!$C$3:$D$643,2,0)</f>
        <v>Cài áo tulip</v>
      </c>
      <c r="F54" s="144" t="str">
        <f>VLOOKUP(D54,'Danh mục hàng hóa'!$C$3:$E$656,3,0)</f>
        <v>cái</v>
      </c>
      <c r="G54" s="166">
        <f>VLOOKUP(D54,'Danh mục hàng hóa'!$C$3:$M$656,5,0)</f>
        <v>11940</v>
      </c>
      <c r="H54" s="313"/>
      <c r="I54" s="167">
        <v>1</v>
      </c>
      <c r="J54" s="166">
        <f t="shared" si="3"/>
        <v>0</v>
      </c>
      <c r="K54" s="168">
        <f t="shared" si="2"/>
        <v>11940</v>
      </c>
      <c r="L54" s="30"/>
      <c r="M54" s="67"/>
    </row>
    <row r="55" spans="1:13" ht="13.2">
      <c r="A55" s="146">
        <v>71</v>
      </c>
      <c r="B55" s="311" t="s">
        <v>336</v>
      </c>
      <c r="C55" s="312">
        <v>45283</v>
      </c>
      <c r="D55" s="128" t="s">
        <v>457</v>
      </c>
      <c r="E55" s="143" t="str">
        <f>VLOOKUP(D55,'Danh mục hàng hóa'!$C$3:$D$643,2,0)</f>
        <v>Cài áo lúa</v>
      </c>
      <c r="F55" s="144" t="str">
        <f>VLOOKUP(D55,'Danh mục hàng hóa'!$C$3:$E$656,3,0)</f>
        <v>cái</v>
      </c>
      <c r="G55" s="166">
        <f>VLOOKUP(D55,'Danh mục hàng hóa'!$C$3:$M$656,5,0)</f>
        <v>15135</v>
      </c>
      <c r="H55" s="313"/>
      <c r="I55" s="167">
        <v>1</v>
      </c>
      <c r="J55" s="166">
        <f t="shared" si="3"/>
        <v>0</v>
      </c>
      <c r="K55" s="168">
        <f t="shared" si="2"/>
        <v>15135</v>
      </c>
      <c r="L55" s="30"/>
      <c r="M55" s="67"/>
    </row>
    <row r="56" spans="1:13" ht="13.2">
      <c r="A56" s="146">
        <v>72</v>
      </c>
      <c r="B56" s="311" t="s">
        <v>336</v>
      </c>
      <c r="C56" s="312">
        <v>45283</v>
      </c>
      <c r="D56" s="28" t="s">
        <v>552</v>
      </c>
      <c r="E56" s="143" t="str">
        <f>VLOOKUP(D56,'Danh mục hàng hóa'!$C$3:$D$643,2,0)</f>
        <v>Ống 20 dây cột tóc kem be nâu</v>
      </c>
      <c r="F56" s="144" t="str">
        <f>VLOOKUP(D56,'Danh mục hàng hóa'!$C$3:$E$656,3,0)</f>
        <v>ống</v>
      </c>
      <c r="G56" s="166">
        <f>VLOOKUP(D56,'Danh mục hàng hóa'!$C$3:$M$656,5,0)</f>
        <v>6680</v>
      </c>
      <c r="H56" s="313">
        <v>5</v>
      </c>
      <c r="I56" s="314"/>
      <c r="J56" s="166">
        <f t="shared" si="3"/>
        <v>33400</v>
      </c>
      <c r="K56" s="168">
        <f t="shared" si="2"/>
        <v>0</v>
      </c>
      <c r="L56" s="30"/>
      <c r="M56" s="67"/>
    </row>
    <row r="57" spans="1:13" ht="13.2">
      <c r="A57" s="146">
        <v>73</v>
      </c>
      <c r="B57" s="311" t="s">
        <v>336</v>
      </c>
      <c r="C57" s="312">
        <v>45283</v>
      </c>
      <c r="D57" s="28" t="s">
        <v>554</v>
      </c>
      <c r="E57" s="143" t="str">
        <f>VLOOKUP(D57,'Danh mục hàng hóa'!$C$3:$D$643,2,0)</f>
        <v>Ống 50 dây cột tóc đen</v>
      </c>
      <c r="F57" s="144" t="str">
        <f>VLOOKUP(D57,'Danh mục hàng hóa'!$C$3:$E$656,3,0)</f>
        <v>ống</v>
      </c>
      <c r="G57" s="166">
        <f>VLOOKUP(D57,'Danh mục hàng hóa'!$C$3:$M$656,5,0)</f>
        <v>10940</v>
      </c>
      <c r="H57" s="313">
        <v>8</v>
      </c>
      <c r="I57" s="314"/>
      <c r="J57" s="166">
        <f t="shared" si="3"/>
        <v>87520</v>
      </c>
      <c r="K57" s="168">
        <f t="shared" si="2"/>
        <v>0</v>
      </c>
      <c r="L57" s="30"/>
      <c r="M57" s="67"/>
    </row>
    <row r="58" spans="1:13" ht="13.2">
      <c r="A58" s="146">
        <v>74</v>
      </c>
      <c r="B58" s="311" t="s">
        <v>336</v>
      </c>
      <c r="C58" s="312">
        <v>45283</v>
      </c>
      <c r="D58" s="28" t="s">
        <v>556</v>
      </c>
      <c r="E58" s="143" t="str">
        <f>VLOOKUP(D58,'Danh mục hàng hóa'!$C$3:$D$643,2,0)</f>
        <v>Ống 50 dây cột tóc đen be nâu</v>
      </c>
      <c r="F58" s="144" t="str">
        <f>VLOOKUP(D58,'Danh mục hàng hóa'!$C$3:$E$656,3,0)</f>
        <v>ống</v>
      </c>
      <c r="G58" s="166">
        <f>VLOOKUP(D58,'Danh mục hàng hóa'!$C$3:$M$656,5,0)</f>
        <v>10940</v>
      </c>
      <c r="H58" s="313">
        <v>3</v>
      </c>
      <c r="I58" s="314"/>
      <c r="J58" s="166">
        <f t="shared" si="3"/>
        <v>32820</v>
      </c>
      <c r="K58" s="168">
        <f t="shared" si="2"/>
        <v>0</v>
      </c>
      <c r="L58" s="30"/>
      <c r="M58" s="67"/>
    </row>
    <row r="59" spans="1:13" ht="13.2">
      <c r="A59" s="146">
        <v>75</v>
      </c>
      <c r="B59" s="311" t="s">
        <v>336</v>
      </c>
      <c r="C59" s="312">
        <v>45283</v>
      </c>
      <c r="D59" s="28" t="s">
        <v>558</v>
      </c>
      <c r="E59" s="143" t="str">
        <f>VLOOKUP(D59,'Danh mục hàng hóa'!$C$3:$D$643,2,0)</f>
        <v>Ống 50 dây cột tóc be nâu</v>
      </c>
      <c r="F59" s="144" t="str">
        <f>VLOOKUP(D59,'Danh mục hàng hóa'!$C$3:$E$656,3,0)</f>
        <v>ống</v>
      </c>
      <c r="G59" s="166">
        <f>VLOOKUP(D59,'Danh mục hàng hóa'!$C$3:$M$656,5,0)</f>
        <v>10940</v>
      </c>
      <c r="H59" s="313">
        <v>4</v>
      </c>
      <c r="I59" s="314"/>
      <c r="J59" s="166">
        <f t="shared" si="3"/>
        <v>43760</v>
      </c>
      <c r="K59" s="168">
        <f t="shared" si="2"/>
        <v>0</v>
      </c>
      <c r="L59" s="30"/>
      <c r="M59" s="67"/>
    </row>
    <row r="60" spans="1:13" ht="13.2">
      <c r="A60" s="146">
        <v>76</v>
      </c>
      <c r="B60" s="311" t="s">
        <v>336</v>
      </c>
      <c r="C60" s="312">
        <v>45283</v>
      </c>
      <c r="D60" s="28" t="s">
        <v>560</v>
      </c>
      <c r="E60" s="143" t="str">
        <f>VLOOKUP(D60,'Danh mục hàng hóa'!$C$3:$D$643,2,0)</f>
        <v>Ống 50 dây cột tóc nhiều màu</v>
      </c>
      <c r="F60" s="144" t="str">
        <f>VLOOKUP(D60,'Danh mục hàng hóa'!$C$3:$E$656,3,0)</f>
        <v>ống</v>
      </c>
      <c r="G60" s="166">
        <f>VLOOKUP(D60,'Danh mục hàng hóa'!$C$3:$M$656,5,0)</f>
        <v>10940</v>
      </c>
      <c r="H60" s="313">
        <v>1</v>
      </c>
      <c r="I60" s="314"/>
      <c r="J60" s="166">
        <f t="shared" si="3"/>
        <v>10940</v>
      </c>
      <c r="K60" s="168">
        <f t="shared" si="2"/>
        <v>0</v>
      </c>
      <c r="L60" s="30"/>
      <c r="M60" s="67"/>
    </row>
    <row r="61" spans="1:13" ht="13.2">
      <c r="A61" s="146">
        <v>77</v>
      </c>
      <c r="B61" s="311" t="s">
        <v>336</v>
      </c>
      <c r="C61" s="312">
        <v>45283</v>
      </c>
      <c r="D61" s="28" t="s">
        <v>562</v>
      </c>
      <c r="E61" s="143" t="str">
        <f>VLOOKUP(D61,'Danh mục hàng hóa'!$C$3:$D$643,2,0)</f>
        <v>Ống 10 dây cột tóc đen</v>
      </c>
      <c r="F61" s="144" t="str">
        <f>VLOOKUP(D61,'Danh mục hàng hóa'!$C$3:$E$656,3,0)</f>
        <v>ống</v>
      </c>
      <c r="G61" s="166">
        <f>VLOOKUP(D61,'Danh mục hàng hóa'!$C$3:$M$656,5,0)</f>
        <v>15200</v>
      </c>
      <c r="H61" s="313">
        <v>5</v>
      </c>
      <c r="I61" s="314"/>
      <c r="J61" s="166">
        <f t="shared" si="3"/>
        <v>76000</v>
      </c>
      <c r="K61" s="168">
        <f t="shared" si="2"/>
        <v>0</v>
      </c>
      <c r="L61" s="30"/>
      <c r="M61" s="67"/>
    </row>
    <row r="62" spans="1:13" ht="13.2">
      <c r="A62" s="146">
        <v>78</v>
      </c>
      <c r="B62" s="311" t="s">
        <v>336</v>
      </c>
      <c r="C62" s="312">
        <v>45283</v>
      </c>
      <c r="D62" s="28" t="s">
        <v>564</v>
      </c>
      <c r="E62" s="143" t="str">
        <f>VLOOKUP(D62,'Danh mục hàng hóa'!$C$3:$D$643,2,0)</f>
        <v>Ống 8 dây cột tóc đen xoắn</v>
      </c>
      <c r="F62" s="144" t="str">
        <f>VLOOKUP(D62,'Danh mục hàng hóa'!$C$3:$E$656,3,0)</f>
        <v>ống</v>
      </c>
      <c r="G62" s="166">
        <f>VLOOKUP(D62,'Danh mục hàng hóa'!$C$3:$M$656,5,0)</f>
        <v>15200</v>
      </c>
      <c r="H62" s="313">
        <v>2</v>
      </c>
      <c r="I62" s="314"/>
      <c r="J62" s="166">
        <f t="shared" si="3"/>
        <v>30400</v>
      </c>
      <c r="K62" s="168">
        <f t="shared" si="2"/>
        <v>0</v>
      </c>
      <c r="L62" s="30"/>
      <c r="M62" s="67"/>
    </row>
    <row r="63" spans="1:13" ht="13.2">
      <c r="A63" s="146">
        <v>79</v>
      </c>
      <c r="B63" s="311" t="s">
        <v>336</v>
      </c>
      <c r="C63" s="312">
        <v>45283</v>
      </c>
      <c r="D63" s="28" t="s">
        <v>566</v>
      </c>
      <c r="E63" s="143" t="str">
        <f>VLOOKUP(D63,'Danh mục hàng hóa'!$C$3:$D$643,2,0)</f>
        <v>Ống 8 dây cột tóc đen nâu be</v>
      </c>
      <c r="F63" s="144" t="str">
        <f>VLOOKUP(D63,'Danh mục hàng hóa'!$C$3:$E$656,3,0)</f>
        <v>ống</v>
      </c>
      <c r="G63" s="166">
        <f>VLOOKUP(D63,'Danh mục hàng hóa'!$C$3:$M$656,5,0)</f>
        <v>15200</v>
      </c>
      <c r="H63" s="313">
        <v>2</v>
      </c>
      <c r="I63" s="314"/>
      <c r="J63" s="166">
        <f t="shared" si="3"/>
        <v>30400</v>
      </c>
      <c r="K63" s="168">
        <f t="shared" si="2"/>
        <v>0</v>
      </c>
      <c r="L63" s="30"/>
      <c r="M63" s="67"/>
    </row>
    <row r="64" spans="1:13" ht="13.2">
      <c r="A64" s="146">
        <v>80</v>
      </c>
      <c r="B64" s="311" t="s">
        <v>336</v>
      </c>
      <c r="C64" s="312">
        <v>45283</v>
      </c>
      <c r="D64" s="28" t="s">
        <v>568</v>
      </c>
      <c r="E64" s="143" t="str">
        <f>VLOOKUP(D64,'Danh mục hàng hóa'!$C$3:$D$643,2,0)</f>
        <v>Ống 100 dây cột tóc đen</v>
      </c>
      <c r="F64" s="144" t="str">
        <f>VLOOKUP(D64,'Danh mục hàng hóa'!$C$3:$E$656,3,0)</f>
        <v>ống</v>
      </c>
      <c r="G64" s="166">
        <f>VLOOKUP(D64,'Danh mục hàng hóa'!$C$3:$M$656,5,0)</f>
        <v>14490</v>
      </c>
      <c r="H64" s="313">
        <v>8</v>
      </c>
      <c r="I64" s="314"/>
      <c r="J64" s="166">
        <f t="shared" si="3"/>
        <v>115920</v>
      </c>
      <c r="K64" s="168">
        <f t="shared" si="2"/>
        <v>0</v>
      </c>
      <c r="L64" s="30"/>
      <c r="M64" s="67"/>
    </row>
    <row r="65" spans="1:13" ht="13.2">
      <c r="A65" s="146">
        <v>81</v>
      </c>
      <c r="B65" s="311" t="s">
        <v>336</v>
      </c>
      <c r="C65" s="312">
        <v>45283</v>
      </c>
      <c r="D65" s="28" t="s">
        <v>570</v>
      </c>
      <c r="E65" s="143" t="str">
        <f>VLOOKUP(D65,'Danh mục hàng hóa'!$C$3:$D$643,2,0)</f>
        <v>Ống 100 dây cột tóc đen nâu be</v>
      </c>
      <c r="F65" s="144" t="str">
        <f>VLOOKUP(D65,'Danh mục hàng hóa'!$C$3:$E$656,3,0)</f>
        <v>ống</v>
      </c>
      <c r="G65" s="166">
        <f>VLOOKUP(D65,'Danh mục hàng hóa'!$C$3:$M$656,5,0)</f>
        <v>14490</v>
      </c>
      <c r="H65" s="313">
        <v>3</v>
      </c>
      <c r="I65" s="314"/>
      <c r="J65" s="166">
        <f t="shared" si="3"/>
        <v>43470</v>
      </c>
      <c r="K65" s="168">
        <f t="shared" si="2"/>
        <v>0</v>
      </c>
      <c r="L65" s="30"/>
      <c r="M65" s="67"/>
    </row>
    <row r="66" spans="1:13" ht="13.2">
      <c r="A66" s="146">
        <v>82</v>
      </c>
      <c r="B66" s="311" t="s">
        <v>336</v>
      </c>
      <c r="C66" s="312">
        <v>45283</v>
      </c>
      <c r="D66" s="28" t="s">
        <v>572</v>
      </c>
      <c r="E66" s="143" t="str">
        <f>VLOOKUP(D66,'Danh mục hàng hóa'!$C$3:$D$643,2,0)</f>
        <v>Ống 100 dây cột tóc be nâu</v>
      </c>
      <c r="F66" s="144" t="str">
        <f>VLOOKUP(D66,'Danh mục hàng hóa'!$C$3:$E$656,3,0)</f>
        <v>ống</v>
      </c>
      <c r="G66" s="166">
        <f>VLOOKUP(D66,'Danh mục hàng hóa'!$C$3:$M$656,5,0)</f>
        <v>14490</v>
      </c>
      <c r="H66" s="313">
        <v>4</v>
      </c>
      <c r="I66" s="314"/>
      <c r="J66" s="166">
        <f t="shared" si="3"/>
        <v>57960</v>
      </c>
      <c r="K66" s="168">
        <f t="shared" si="2"/>
        <v>0</v>
      </c>
      <c r="L66" s="30"/>
      <c r="M66" s="67"/>
    </row>
    <row r="67" spans="1:13" ht="13.2">
      <c r="A67" s="146">
        <v>83</v>
      </c>
      <c r="B67" s="311" t="s">
        <v>336</v>
      </c>
      <c r="C67" s="312">
        <v>45283</v>
      </c>
      <c r="D67" s="28" t="s">
        <v>574</v>
      </c>
      <c r="E67" s="143" t="str">
        <f>VLOOKUP(D67,'Danh mục hàng hóa'!$C$3:$D$643,2,0)</f>
        <v>Ống 100 dây cột tóc nhiều màu</v>
      </c>
      <c r="F67" s="144" t="str">
        <f>VLOOKUP(D67,'Danh mục hàng hóa'!$C$3:$E$656,3,0)</f>
        <v>ống</v>
      </c>
      <c r="G67" s="166">
        <f>VLOOKUP(D67,'Danh mục hàng hóa'!$C$3:$M$656,5,0)</f>
        <v>14490</v>
      </c>
      <c r="H67" s="313">
        <v>1</v>
      </c>
      <c r="I67" s="314"/>
      <c r="J67" s="166">
        <f t="shared" si="3"/>
        <v>14490</v>
      </c>
      <c r="K67" s="168">
        <f t="shared" si="2"/>
        <v>0</v>
      </c>
      <c r="L67" s="30"/>
      <c r="M67" s="67"/>
    </row>
    <row r="68" spans="1:13" ht="13.2">
      <c r="A68" s="146">
        <v>84</v>
      </c>
      <c r="B68" s="311" t="s">
        <v>336</v>
      </c>
      <c r="C68" s="312">
        <v>45283</v>
      </c>
      <c r="D68" s="28" t="s">
        <v>576</v>
      </c>
      <c r="E68" s="143" t="str">
        <f>VLOOKUP(D68,'Danh mục hàng hóa'!$C$3:$D$643,2,0)</f>
        <v>Ống 6 dây cột tóc đen</v>
      </c>
      <c r="F68" s="144" t="str">
        <f>VLOOKUP(D68,'Danh mục hàng hóa'!$C$3:$E$656,3,0)</f>
        <v>ống</v>
      </c>
      <c r="G68" s="166">
        <f>VLOOKUP(D68,'Danh mục hàng hóa'!$C$3:$M$656,5,0)</f>
        <v>8100</v>
      </c>
      <c r="H68" s="313">
        <v>10</v>
      </c>
      <c r="I68" s="314"/>
      <c r="J68" s="166">
        <f t="shared" si="3"/>
        <v>81000</v>
      </c>
      <c r="K68" s="168">
        <f t="shared" si="2"/>
        <v>0</v>
      </c>
      <c r="L68" s="30"/>
      <c r="M68" s="67"/>
    </row>
    <row r="69" spans="1:13" ht="13.2">
      <c r="A69" s="146">
        <v>85</v>
      </c>
      <c r="B69" s="311" t="s">
        <v>336</v>
      </c>
      <c r="C69" s="312">
        <v>45283</v>
      </c>
      <c r="D69" s="28" t="s">
        <v>578</v>
      </c>
      <c r="E69" s="143" t="str">
        <f>VLOOKUP(D69,'Danh mục hàng hóa'!$C$3:$D$643,2,0)</f>
        <v>Ống 6 dâu cột tóc nâu</v>
      </c>
      <c r="F69" s="144" t="str">
        <f>VLOOKUP(D69,'Danh mục hàng hóa'!$C$3:$E$656,3,0)</f>
        <v>ống</v>
      </c>
      <c r="G69" s="166">
        <f>VLOOKUP(D69,'Danh mục hàng hóa'!$C$3:$M$656,5,0)</f>
        <v>8100</v>
      </c>
      <c r="H69" s="313">
        <v>10</v>
      </c>
      <c r="I69" s="314"/>
      <c r="J69" s="166">
        <f t="shared" si="3"/>
        <v>81000</v>
      </c>
      <c r="K69" s="168">
        <f t="shared" si="2"/>
        <v>0</v>
      </c>
      <c r="L69" s="30"/>
      <c r="M69" s="67"/>
    </row>
    <row r="70" spans="1:13" ht="13.2">
      <c r="A70" s="146">
        <v>86</v>
      </c>
      <c r="B70" s="311" t="s">
        <v>336</v>
      </c>
      <c r="C70" s="312">
        <v>45283</v>
      </c>
      <c r="D70" s="28" t="s">
        <v>580</v>
      </c>
      <c r="E70" s="143" t="str">
        <f>VLOOKUP(D70,'Danh mục hàng hóa'!$C$3:$D$643,2,0)</f>
        <v>Ống 6 dây cột tóc be nâu</v>
      </c>
      <c r="F70" s="144" t="str">
        <f>VLOOKUP(D70,'Danh mục hàng hóa'!$C$3:$E$656,3,0)</f>
        <v>ống</v>
      </c>
      <c r="G70" s="166">
        <f>VLOOKUP(D70,'Danh mục hàng hóa'!$C$3:$M$656,5,0)</f>
        <v>8100</v>
      </c>
      <c r="H70" s="313">
        <v>10</v>
      </c>
      <c r="I70" s="314"/>
      <c r="J70" s="166">
        <f t="shared" si="3"/>
        <v>81000</v>
      </c>
      <c r="K70" s="168">
        <f t="shared" si="2"/>
        <v>0</v>
      </c>
      <c r="L70" s="30"/>
      <c r="M70" s="67"/>
    </row>
    <row r="71" spans="1:13" ht="13.2">
      <c r="A71" s="146">
        <v>87</v>
      </c>
      <c r="B71" s="311" t="s">
        <v>336</v>
      </c>
      <c r="C71" s="312">
        <v>45283</v>
      </c>
      <c r="D71" s="28" t="s">
        <v>582</v>
      </c>
      <c r="E71" s="143" t="str">
        <f>VLOOKUP(D71,'Danh mục hàng hóa'!$C$3:$D$643,2,0)</f>
        <v>Kẹp tóc nhựa đen</v>
      </c>
      <c r="F71" s="144" t="str">
        <f>VLOOKUP(D71,'Danh mục hàng hóa'!$C$3:$E$656,3,0)</f>
        <v>cái</v>
      </c>
      <c r="G71" s="166">
        <f>VLOOKUP(D71,'Danh mục hàng hóa'!$C$3:$M$656,5,0)</f>
        <v>8810</v>
      </c>
      <c r="H71" s="313">
        <v>3</v>
      </c>
      <c r="I71" s="314"/>
      <c r="J71" s="166">
        <f t="shared" si="3"/>
        <v>26430</v>
      </c>
      <c r="K71" s="168">
        <f t="shared" si="2"/>
        <v>0</v>
      </c>
      <c r="L71" s="30"/>
      <c r="M71" s="67"/>
    </row>
    <row r="72" spans="1:13" ht="13.2">
      <c r="A72" s="146">
        <v>88</v>
      </c>
      <c r="B72" s="311" t="s">
        <v>336</v>
      </c>
      <c r="C72" s="312">
        <v>45283</v>
      </c>
      <c r="D72" s="28" t="s">
        <v>584</v>
      </c>
      <c r="E72" s="143" t="str">
        <f>VLOOKUP(D72,'Danh mục hàng hóa'!$C$3:$D$643,2,0)</f>
        <v>Kẹp tóc nhựa nâu đậm</v>
      </c>
      <c r="F72" s="144" t="str">
        <f>VLOOKUP(D72,'Danh mục hàng hóa'!$C$3:$E$656,3,0)</f>
        <v>cái</v>
      </c>
      <c r="G72" s="166">
        <f>VLOOKUP(D72,'Danh mục hàng hóa'!$C$3:$M$656,5,0)</f>
        <v>8810</v>
      </c>
      <c r="H72" s="313">
        <v>3</v>
      </c>
      <c r="I72" s="314"/>
      <c r="J72" s="166">
        <f t="shared" si="3"/>
        <v>26430</v>
      </c>
      <c r="K72" s="168">
        <f t="shared" si="2"/>
        <v>0</v>
      </c>
      <c r="L72" s="30"/>
      <c r="M72" s="67"/>
    </row>
    <row r="73" spans="1:13" ht="13.2">
      <c r="A73" s="146">
        <v>89</v>
      </c>
      <c r="B73" s="311" t="s">
        <v>336</v>
      </c>
      <c r="C73" s="312">
        <v>45283</v>
      </c>
      <c r="D73" s="28" t="s">
        <v>586</v>
      </c>
      <c r="E73" s="143" t="str">
        <f>VLOOKUP(D73,'Danh mục hàng hóa'!$C$3:$D$643,2,0)</f>
        <v>Kẹp tóc nhựa nâu nhạt</v>
      </c>
      <c r="F73" s="144" t="str">
        <f>VLOOKUP(D73,'Danh mục hàng hóa'!$C$3:$E$656,3,0)</f>
        <v>cái</v>
      </c>
      <c r="G73" s="166">
        <f>VLOOKUP(D73,'Danh mục hàng hóa'!$C$3:$M$656,5,0)</f>
        <v>8810</v>
      </c>
      <c r="H73" s="313">
        <v>3</v>
      </c>
      <c r="I73" s="314"/>
      <c r="J73" s="166">
        <f t="shared" si="3"/>
        <v>26430</v>
      </c>
      <c r="K73" s="168">
        <f t="shared" si="2"/>
        <v>0</v>
      </c>
      <c r="L73" s="30"/>
      <c r="M73" s="67"/>
    </row>
    <row r="74" spans="1:13" ht="13.2">
      <c r="A74" s="146">
        <v>90</v>
      </c>
      <c r="B74" s="311" t="s">
        <v>336</v>
      </c>
      <c r="C74" s="312">
        <v>45283</v>
      </c>
      <c r="D74" s="28" t="s">
        <v>588</v>
      </c>
      <c r="E74" s="143" t="str">
        <f>VLOOKUP(D74,'Danh mục hàng hóa'!$C$3:$D$643,2,0)</f>
        <v>Kẹp tóc nhựa be</v>
      </c>
      <c r="F74" s="144" t="str">
        <f>VLOOKUP(D74,'Danh mục hàng hóa'!$C$3:$E$656,3,0)</f>
        <v>cái</v>
      </c>
      <c r="G74" s="166">
        <f>VLOOKUP(D74,'Danh mục hàng hóa'!$C$3:$M$656,5,0)</f>
        <v>8810</v>
      </c>
      <c r="H74" s="313">
        <v>2</v>
      </c>
      <c r="I74" s="314"/>
      <c r="J74" s="166">
        <f t="shared" si="3"/>
        <v>17620</v>
      </c>
      <c r="K74" s="168">
        <f t="shared" si="2"/>
        <v>0</v>
      </c>
      <c r="L74" s="30"/>
      <c r="M74" s="67"/>
    </row>
    <row r="75" spans="1:13" ht="13.2">
      <c r="A75" s="146">
        <v>91</v>
      </c>
      <c r="B75" s="311" t="s">
        <v>336</v>
      </c>
      <c r="C75" s="312">
        <v>45283</v>
      </c>
      <c r="D75" s="28" t="s">
        <v>590</v>
      </c>
      <c r="E75" s="143" t="str">
        <f>VLOOKUP(D75,'Danh mục hàng hóa'!$C$3:$D$643,2,0)</f>
        <v>Kẹp tóc nhựa kem</v>
      </c>
      <c r="F75" s="144" t="str">
        <f>VLOOKUP(D75,'Danh mục hàng hóa'!$C$3:$E$656,3,0)</f>
        <v>cái</v>
      </c>
      <c r="G75" s="166">
        <f>VLOOKUP(D75,'Danh mục hàng hóa'!$C$3:$M$656,5,0)</f>
        <v>8810</v>
      </c>
      <c r="H75" s="313">
        <v>3</v>
      </c>
      <c r="I75" s="314"/>
      <c r="J75" s="166">
        <f t="shared" si="3"/>
        <v>26430</v>
      </c>
      <c r="K75" s="168">
        <f t="shared" si="2"/>
        <v>0</v>
      </c>
      <c r="L75" s="30"/>
      <c r="M75" s="67"/>
    </row>
    <row r="76" spans="1:13" ht="13.2">
      <c r="A76" s="146">
        <v>92</v>
      </c>
      <c r="B76" s="311" t="s">
        <v>336</v>
      </c>
      <c r="C76" s="312">
        <v>45283</v>
      </c>
      <c r="D76" s="28" t="s">
        <v>629</v>
      </c>
      <c r="E76" s="143" t="str">
        <f>VLOOKUP(D76,'Danh mục hàng hóa'!$C$3:$D$643,2,0)</f>
        <v>Kẹp tóc lông nâu đậm</v>
      </c>
      <c r="F76" s="144" t="str">
        <f>VLOOKUP(D76,'Danh mục hàng hóa'!$C$3:$E$656,3,0)</f>
        <v>cái</v>
      </c>
      <c r="G76" s="166">
        <f>VLOOKUP(D76,'Danh mục hàng hóa'!$C$3:$M$656,5,0)</f>
        <v>9875</v>
      </c>
      <c r="H76" s="313">
        <v>3</v>
      </c>
      <c r="I76" s="314"/>
      <c r="J76" s="166">
        <f t="shared" si="3"/>
        <v>29625</v>
      </c>
      <c r="K76" s="168">
        <f t="shared" si="2"/>
        <v>0</v>
      </c>
      <c r="L76" s="30"/>
      <c r="M76" s="67"/>
    </row>
    <row r="77" spans="1:13" ht="13.2">
      <c r="A77" s="146">
        <v>93</v>
      </c>
      <c r="B77" s="311" t="s">
        <v>336</v>
      </c>
      <c r="C77" s="312">
        <v>45283</v>
      </c>
      <c r="D77" s="28" t="s">
        <v>631</v>
      </c>
      <c r="E77" s="143" t="str">
        <f>VLOOKUP(D77,'Danh mục hàng hóa'!$C$3:$D$643,2,0)</f>
        <v>Kẹp tóc lông nâu nhạt</v>
      </c>
      <c r="F77" s="144" t="str">
        <f>VLOOKUP(D77,'Danh mục hàng hóa'!$C$3:$E$656,3,0)</f>
        <v>cái</v>
      </c>
      <c r="G77" s="166">
        <f>VLOOKUP(D77,'Danh mục hàng hóa'!$C$3:$M$656,5,0)</f>
        <v>9875</v>
      </c>
      <c r="H77" s="313">
        <v>3</v>
      </c>
      <c r="I77" s="314"/>
      <c r="J77" s="166">
        <f t="shared" si="3"/>
        <v>29625</v>
      </c>
      <c r="K77" s="168">
        <f t="shared" si="2"/>
        <v>0</v>
      </c>
      <c r="L77" s="30"/>
      <c r="M77" s="67"/>
    </row>
    <row r="78" spans="1:13" ht="13.2">
      <c r="A78" s="146">
        <v>94</v>
      </c>
      <c r="B78" s="311" t="s">
        <v>336</v>
      </c>
      <c r="C78" s="312">
        <v>45283</v>
      </c>
      <c r="D78" s="28" t="s">
        <v>633</v>
      </c>
      <c r="E78" s="143" t="str">
        <f>VLOOKUP(D78,'Danh mục hàng hóa'!$C$3:$D$643,2,0)</f>
        <v>Kẹp tóc lông be</v>
      </c>
      <c r="F78" s="144" t="str">
        <f>VLOOKUP(D78,'Danh mục hàng hóa'!$C$3:$E$656,3,0)</f>
        <v>cái</v>
      </c>
      <c r="G78" s="166">
        <f>VLOOKUP(D78,'Danh mục hàng hóa'!$C$3:$M$656,5,0)</f>
        <v>9875</v>
      </c>
      <c r="H78" s="313">
        <v>3</v>
      </c>
      <c r="I78" s="314"/>
      <c r="J78" s="166">
        <f t="shared" si="3"/>
        <v>29625</v>
      </c>
      <c r="K78" s="168">
        <f t="shared" si="2"/>
        <v>0</v>
      </c>
      <c r="L78" s="30"/>
      <c r="M78" s="67"/>
    </row>
    <row r="79" spans="1:13" ht="13.2">
      <c r="A79" s="146">
        <v>95</v>
      </c>
      <c r="B79" s="311" t="s">
        <v>336</v>
      </c>
      <c r="C79" s="312">
        <v>45283</v>
      </c>
      <c r="D79" s="28" t="s">
        <v>635</v>
      </c>
      <c r="E79" s="143" t="str">
        <f>VLOOKUP(D79,'Danh mục hàng hóa'!$C$3:$D$643,2,0)</f>
        <v>Kẹp tóc len hoa cam</v>
      </c>
      <c r="F79" s="144" t="str">
        <f>VLOOKUP(D79,'Danh mục hàng hóa'!$C$3:$E$656,3,0)</f>
        <v>cái</v>
      </c>
      <c r="G79" s="166">
        <f>VLOOKUP(D79,'Danh mục hàng hóa'!$C$3:$M$656,5,0)</f>
        <v>18750</v>
      </c>
      <c r="H79" s="313">
        <v>7</v>
      </c>
      <c r="I79" s="314"/>
      <c r="J79" s="166">
        <f t="shared" si="3"/>
        <v>131250</v>
      </c>
      <c r="K79" s="168">
        <f t="shared" si="2"/>
        <v>0</v>
      </c>
      <c r="L79" s="30"/>
      <c r="M79" s="67"/>
    </row>
    <row r="80" spans="1:13" ht="13.2">
      <c r="A80" s="146">
        <v>96</v>
      </c>
      <c r="B80" s="311" t="s">
        <v>336</v>
      </c>
      <c r="C80" s="312">
        <v>45283</v>
      </c>
      <c r="D80" s="28" t="s">
        <v>637</v>
      </c>
      <c r="E80" s="143" t="str">
        <f>VLOOKUP(D80,'Danh mục hàng hóa'!$C$3:$D$643,2,0)</f>
        <v>Kẹp tóc len hoa trắng</v>
      </c>
      <c r="F80" s="144" t="str">
        <f>VLOOKUP(D80,'Danh mục hàng hóa'!$C$3:$E$656,3,0)</f>
        <v>cái</v>
      </c>
      <c r="G80" s="166">
        <f>VLOOKUP(D80,'Danh mục hàng hóa'!$C$3:$M$656,5,0)</f>
        <v>18750</v>
      </c>
      <c r="H80" s="313">
        <v>2</v>
      </c>
      <c r="I80" s="314"/>
      <c r="J80" s="166">
        <f t="shared" si="3"/>
        <v>37500</v>
      </c>
      <c r="K80" s="168">
        <f t="shared" si="2"/>
        <v>0</v>
      </c>
      <c r="L80" s="30"/>
      <c r="M80" s="67"/>
    </row>
    <row r="81" spans="1:13" ht="13.2">
      <c r="A81" s="146">
        <v>97</v>
      </c>
      <c r="B81" s="311" t="s">
        <v>336</v>
      </c>
      <c r="C81" s="312">
        <v>45283</v>
      </c>
      <c r="D81" s="28" t="s">
        <v>639</v>
      </c>
      <c r="E81" s="143" t="str">
        <f>VLOOKUP(D81,'Danh mục hàng hóa'!$C$3:$D$643,2,0)</f>
        <v>Kẹp tóc len hoa be</v>
      </c>
      <c r="F81" s="144" t="str">
        <f>VLOOKUP(D81,'Danh mục hàng hóa'!$C$3:$E$656,3,0)</f>
        <v>cái</v>
      </c>
      <c r="G81" s="166">
        <f>VLOOKUP(D81,'Danh mục hàng hóa'!$C$3:$M$656,5,0)</f>
        <v>18750</v>
      </c>
      <c r="H81" s="313">
        <v>2</v>
      </c>
      <c r="I81" s="314"/>
      <c r="J81" s="166">
        <f t="shared" si="3"/>
        <v>37500</v>
      </c>
      <c r="K81" s="168">
        <f t="shared" si="2"/>
        <v>0</v>
      </c>
      <c r="L81" s="30"/>
      <c r="M81" s="67"/>
    </row>
    <row r="82" spans="1:13" ht="13.2">
      <c r="A82" s="146">
        <v>98</v>
      </c>
      <c r="B82" s="311" t="s">
        <v>336</v>
      </c>
      <c r="C82" s="312">
        <v>45283</v>
      </c>
      <c r="D82" s="28" t="s">
        <v>641</v>
      </c>
      <c r="E82" s="143" t="str">
        <f>VLOOKUP(D82,'Danh mục hàng hóa'!$C$3:$D$643,2,0)</f>
        <v>Cài tóc đen</v>
      </c>
      <c r="F82" s="144" t="str">
        <f>VLOOKUP(D82,'Danh mục hàng hóa'!$C$3:$E$656,3,0)</f>
        <v>cái</v>
      </c>
      <c r="G82" s="166">
        <f>VLOOKUP(D82,'Danh mục hàng hóa'!$C$3:$M$656,5,0)</f>
        <v>11650</v>
      </c>
      <c r="H82" s="313">
        <v>3</v>
      </c>
      <c r="I82" s="314"/>
      <c r="J82" s="166">
        <f t="shared" si="3"/>
        <v>34950</v>
      </c>
      <c r="K82" s="168">
        <f t="shared" si="2"/>
        <v>0</v>
      </c>
      <c r="L82" s="30"/>
      <c r="M82" s="67"/>
    </row>
    <row r="83" spans="1:13" ht="13.2">
      <c r="A83" s="146">
        <v>99</v>
      </c>
      <c r="B83" s="311" t="s">
        <v>336</v>
      </c>
      <c r="C83" s="312">
        <v>45283</v>
      </c>
      <c r="D83" s="28" t="s">
        <v>643</v>
      </c>
      <c r="E83" s="143" t="str">
        <f>VLOOKUP(D83,'Danh mục hàng hóa'!$C$3:$D$643,2,0)</f>
        <v>Cài tóc nâu</v>
      </c>
      <c r="F83" s="144" t="str">
        <f>VLOOKUP(D83,'Danh mục hàng hóa'!$C$3:$E$656,3,0)</f>
        <v>cái</v>
      </c>
      <c r="G83" s="166">
        <f>VLOOKUP(D83,'Danh mục hàng hóa'!$C$3:$M$656,5,0)</f>
        <v>11650</v>
      </c>
      <c r="H83" s="313">
        <v>3</v>
      </c>
      <c r="I83" s="314"/>
      <c r="J83" s="166">
        <f t="shared" si="3"/>
        <v>34950</v>
      </c>
      <c r="K83" s="168">
        <f t="shared" si="2"/>
        <v>0</v>
      </c>
      <c r="L83" s="30"/>
      <c r="M83" s="67"/>
    </row>
    <row r="84" spans="1:13" ht="13.2">
      <c r="A84" s="146">
        <v>100</v>
      </c>
      <c r="B84" s="311" t="s">
        <v>336</v>
      </c>
      <c r="C84" s="312">
        <v>45283</v>
      </c>
      <c r="D84" s="28" t="s">
        <v>645</v>
      </c>
      <c r="E84" s="143" t="str">
        <f>VLOOKUP(D84,'Danh mục hàng hóa'!$C$3:$D$643,2,0)</f>
        <v>Cài tóc be</v>
      </c>
      <c r="F84" s="144" t="str">
        <f>VLOOKUP(D84,'Danh mục hàng hóa'!$C$3:$E$656,3,0)</f>
        <v>cái</v>
      </c>
      <c r="G84" s="166">
        <f>VLOOKUP(D84,'Danh mục hàng hóa'!$C$3:$M$656,5,0)</f>
        <v>11650</v>
      </c>
      <c r="H84" s="313">
        <v>3</v>
      </c>
      <c r="I84" s="314"/>
      <c r="J84" s="166">
        <f t="shared" si="3"/>
        <v>34950</v>
      </c>
      <c r="K84" s="168">
        <f t="shared" si="2"/>
        <v>0</v>
      </c>
      <c r="L84" s="30"/>
      <c r="M84" s="67"/>
    </row>
    <row r="85" spans="1:13" ht="13.2">
      <c r="A85" s="146">
        <v>101</v>
      </c>
      <c r="B85" s="311" t="s">
        <v>336</v>
      </c>
      <c r="C85" s="312">
        <v>45283</v>
      </c>
      <c r="D85" s="28" t="s">
        <v>647</v>
      </c>
      <c r="E85" s="143" t="str">
        <f>VLOOKUP(D85,'Danh mục hàng hóa'!$C$3:$D$643,2,0)</f>
        <v>Cài tóc kem</v>
      </c>
      <c r="F85" s="144" t="str">
        <f>VLOOKUP(D85,'Danh mục hàng hóa'!$C$3:$E$656,3,0)</f>
        <v>cái</v>
      </c>
      <c r="G85" s="166">
        <f>VLOOKUP(D85,'Danh mục hàng hóa'!$C$3:$M$656,5,0)</f>
        <v>11650</v>
      </c>
      <c r="H85" s="313">
        <v>3</v>
      </c>
      <c r="I85" s="314"/>
      <c r="J85" s="166">
        <f t="shared" si="3"/>
        <v>34950</v>
      </c>
      <c r="K85" s="168">
        <f t="shared" si="2"/>
        <v>0</v>
      </c>
      <c r="L85" s="30"/>
      <c r="M85" s="67"/>
    </row>
    <row r="86" spans="1:13" ht="13.2">
      <c r="A86" s="146">
        <v>102</v>
      </c>
      <c r="B86" s="311" t="s">
        <v>336</v>
      </c>
      <c r="C86" s="312">
        <v>45283</v>
      </c>
      <c r="D86" s="28" t="s">
        <v>649</v>
      </c>
      <c r="E86" s="143" t="str">
        <f>VLOOKUP(D86,'Danh mục hàng hóa'!$C$3:$D$643,2,0)</f>
        <v>Buộc tóc hoa cam</v>
      </c>
      <c r="F86" s="144" t="str">
        <f>VLOOKUP(D86,'Danh mục hàng hóa'!$C$3:$E$656,3,0)</f>
        <v>cái</v>
      </c>
      <c r="G86" s="166">
        <f>VLOOKUP(D86,'Danh mục hàng hóa'!$C$3:$M$656,5,0)</f>
        <v>10230</v>
      </c>
      <c r="H86" s="313">
        <v>3</v>
      </c>
      <c r="I86" s="314"/>
      <c r="J86" s="166">
        <f t="shared" si="3"/>
        <v>30690</v>
      </c>
      <c r="K86" s="168">
        <f t="shared" si="2"/>
        <v>0</v>
      </c>
      <c r="L86" s="30"/>
      <c r="M86" s="67"/>
    </row>
    <row r="87" spans="1:13" ht="13.2">
      <c r="A87" s="146">
        <v>103</v>
      </c>
      <c r="B87" s="311" t="s">
        <v>336</v>
      </c>
      <c r="C87" s="312">
        <v>45283</v>
      </c>
      <c r="D87" s="28" t="s">
        <v>651</v>
      </c>
      <c r="E87" s="143" t="str">
        <f>VLOOKUP(D87,'Danh mục hàng hóa'!$C$3:$D$643,2,0)</f>
        <v>Buộc tóc hoa hồng</v>
      </c>
      <c r="F87" s="144" t="str">
        <f>VLOOKUP(D87,'Danh mục hàng hóa'!$C$3:$E$656,3,0)</f>
        <v>cái</v>
      </c>
      <c r="G87" s="166">
        <f>VLOOKUP(D87,'Danh mục hàng hóa'!$C$3:$M$656,5,0)</f>
        <v>10230</v>
      </c>
      <c r="H87" s="313">
        <v>3</v>
      </c>
      <c r="I87" s="314"/>
      <c r="J87" s="166">
        <f t="shared" si="3"/>
        <v>30690</v>
      </c>
      <c r="K87" s="168">
        <f t="shared" si="2"/>
        <v>0</v>
      </c>
      <c r="L87" s="30"/>
      <c r="M87" s="67"/>
    </row>
    <row r="88" spans="1:13" ht="13.2">
      <c r="A88" s="146">
        <v>104</v>
      </c>
      <c r="B88" s="311" t="s">
        <v>336</v>
      </c>
      <c r="C88" s="312">
        <v>45283</v>
      </c>
      <c r="D88" s="28" t="s">
        <v>653</v>
      </c>
      <c r="E88" s="143" t="str">
        <f>VLOOKUP(D88,'Danh mục hàng hóa'!$C$3:$D$643,2,0)</f>
        <v>Buộc tóc hoa tím</v>
      </c>
      <c r="F88" s="144" t="str">
        <f>VLOOKUP(D88,'Danh mục hàng hóa'!$C$3:$E$656,3,0)</f>
        <v>cái</v>
      </c>
      <c r="G88" s="166">
        <f>VLOOKUP(D88,'Danh mục hàng hóa'!$C$3:$M$656,5,0)</f>
        <v>10230</v>
      </c>
      <c r="H88" s="313">
        <v>3</v>
      </c>
      <c r="I88" s="314"/>
      <c r="J88" s="166">
        <f t="shared" si="3"/>
        <v>30690</v>
      </c>
      <c r="K88" s="168">
        <f t="shared" si="2"/>
        <v>0</v>
      </c>
      <c r="L88" s="30"/>
      <c r="M88" s="67"/>
    </row>
    <row r="89" spans="1:13" ht="13.2">
      <c r="A89" s="146">
        <v>105</v>
      </c>
      <c r="B89" s="311" t="s">
        <v>336</v>
      </c>
      <c r="C89" s="312">
        <v>45283</v>
      </c>
      <c r="D89" s="28" t="s">
        <v>655</v>
      </c>
      <c r="E89" s="143" t="str">
        <f>VLOOKUP(D89,'Danh mục hàng hóa'!$C$3:$D$643,2,0)</f>
        <v>Buộc tóc hoa vàng</v>
      </c>
      <c r="F89" s="144" t="str">
        <f>VLOOKUP(D89,'Danh mục hàng hóa'!$C$3:$E$656,3,0)</f>
        <v>cái</v>
      </c>
      <c r="G89" s="166">
        <f>VLOOKUP(D89,'Danh mục hàng hóa'!$C$3:$M$656,5,0)</f>
        <v>10230</v>
      </c>
      <c r="H89" s="313">
        <v>2</v>
      </c>
      <c r="I89" s="314"/>
      <c r="J89" s="166">
        <f t="shared" si="3"/>
        <v>20460</v>
      </c>
      <c r="K89" s="168">
        <f t="shared" si="2"/>
        <v>0</v>
      </c>
      <c r="L89" s="30"/>
      <c r="M89" s="67"/>
    </row>
    <row r="90" spans="1:13" ht="13.2">
      <c r="A90" s="146">
        <v>106</v>
      </c>
      <c r="B90" s="311" t="s">
        <v>336</v>
      </c>
      <c r="C90" s="312">
        <v>45283</v>
      </c>
      <c r="D90" s="28" t="s">
        <v>657</v>
      </c>
      <c r="E90" s="143" t="str">
        <f>VLOOKUP(D90,'Danh mục hàng hóa'!$C$3:$D$643,2,0)</f>
        <v>Buộc tóc hoa xanh</v>
      </c>
      <c r="F90" s="144" t="str">
        <f>VLOOKUP(D90,'Danh mục hàng hóa'!$C$3:$E$656,3,0)</f>
        <v>cái</v>
      </c>
      <c r="G90" s="166">
        <f>VLOOKUP(D90,'Danh mục hàng hóa'!$C$3:$M$656,5,0)</f>
        <v>10230</v>
      </c>
      <c r="H90" s="313">
        <v>2</v>
      </c>
      <c r="I90" s="314"/>
      <c r="J90" s="166">
        <f t="shared" si="3"/>
        <v>20460</v>
      </c>
      <c r="K90" s="168">
        <f t="shared" si="2"/>
        <v>0</v>
      </c>
      <c r="L90" s="30"/>
      <c r="M90" s="67"/>
    </row>
    <row r="91" spans="1:13" ht="13.2">
      <c r="A91" s="146">
        <v>107</v>
      </c>
      <c r="B91" s="311" t="s">
        <v>336</v>
      </c>
      <c r="C91" s="312">
        <v>45283</v>
      </c>
      <c r="D91" s="28" t="s">
        <v>659</v>
      </c>
      <c r="E91" s="143" t="str">
        <f>VLOOKUP(D91,'Danh mục hàng hóa'!$C$3:$D$643,2,0)</f>
        <v>Buộc tóc ngọc trai trắng</v>
      </c>
      <c r="F91" s="144" t="str">
        <f>VLOOKUP(D91,'Danh mục hàng hóa'!$C$3:$E$656,3,0)</f>
        <v>cái</v>
      </c>
      <c r="G91" s="166">
        <f>VLOOKUP(D91,'Danh mục hàng hóa'!$C$3:$M$656,5,0)</f>
        <v>13425</v>
      </c>
      <c r="H91" s="313">
        <v>3</v>
      </c>
      <c r="I91" s="314"/>
      <c r="J91" s="166">
        <f t="shared" si="3"/>
        <v>40275</v>
      </c>
      <c r="K91" s="168">
        <f t="shared" si="2"/>
        <v>0</v>
      </c>
      <c r="L91" s="30"/>
      <c r="M91" s="67"/>
    </row>
    <row r="92" spans="1:13" ht="13.2">
      <c r="A92" s="146">
        <v>108</v>
      </c>
      <c r="B92" s="311" t="s">
        <v>336</v>
      </c>
      <c r="C92" s="312">
        <v>45283</v>
      </c>
      <c r="D92" s="28" t="s">
        <v>661</v>
      </c>
      <c r="E92" s="143" t="str">
        <f>VLOOKUP(D92,'Danh mục hàng hóa'!$C$3:$D$643,2,0)</f>
        <v>Buộc tóc ngọc trai đen</v>
      </c>
      <c r="F92" s="144" t="str">
        <f>VLOOKUP(D92,'Danh mục hàng hóa'!$C$3:$E$656,3,0)</f>
        <v>cái</v>
      </c>
      <c r="G92" s="166">
        <f>VLOOKUP(D92,'Danh mục hàng hóa'!$C$3:$M$656,5,0)</f>
        <v>13425</v>
      </c>
      <c r="H92" s="313">
        <v>3</v>
      </c>
      <c r="I92" s="314"/>
      <c r="J92" s="166">
        <f t="shared" si="3"/>
        <v>40275</v>
      </c>
      <c r="K92" s="168">
        <f t="shared" si="2"/>
        <v>0</v>
      </c>
      <c r="L92" s="30"/>
      <c r="M92" s="67"/>
    </row>
    <row r="93" spans="1:13" ht="13.2">
      <c r="A93" s="146">
        <v>109</v>
      </c>
      <c r="B93" s="311" t="s">
        <v>336</v>
      </c>
      <c r="C93" s="312">
        <v>45283</v>
      </c>
      <c r="D93" s="28" t="s">
        <v>663</v>
      </c>
      <c r="E93" s="143" t="str">
        <f>VLOOKUP(D93,'Danh mục hàng hóa'!$C$3:$D$643,2,0)</f>
        <v>Buộc tóc trắng lông nhỏ</v>
      </c>
      <c r="F93" s="144" t="str">
        <f>VLOOKUP(D93,'Danh mục hàng hóa'!$C$3:$E$656,3,0)</f>
        <v>cái</v>
      </c>
      <c r="G93" s="166">
        <f>VLOOKUP(D93,'Danh mục hàng hóa'!$C$3:$M$656,5,0)</f>
        <v>2775</v>
      </c>
      <c r="H93" s="313">
        <v>2</v>
      </c>
      <c r="I93" s="314"/>
      <c r="J93" s="166">
        <f t="shared" si="3"/>
        <v>5550</v>
      </c>
      <c r="K93" s="168">
        <f t="shared" si="2"/>
        <v>0</v>
      </c>
      <c r="L93" s="30"/>
      <c r="M93" s="67"/>
    </row>
    <row r="94" spans="1:13" ht="13.2">
      <c r="A94" s="146">
        <v>110</v>
      </c>
      <c r="B94" s="311" t="s">
        <v>336</v>
      </c>
      <c r="C94" s="312">
        <v>45283</v>
      </c>
      <c r="D94" s="28" t="s">
        <v>665</v>
      </c>
      <c r="E94" s="143" t="str">
        <f>VLOOKUP(D94,'Danh mục hàng hóa'!$C$3:$D$643,2,0)</f>
        <v>Buộc tóc trắng lông</v>
      </c>
      <c r="F94" s="144" t="str">
        <f>VLOOKUP(D94,'Danh mục hàng hóa'!$C$3:$E$656,3,0)</f>
        <v>cái</v>
      </c>
      <c r="G94" s="166">
        <f>VLOOKUP(D94,'Danh mục hàng hóa'!$C$3:$M$656,5,0)</f>
        <v>5260</v>
      </c>
      <c r="H94" s="313">
        <v>2</v>
      </c>
      <c r="I94" s="314"/>
      <c r="J94" s="166">
        <f t="shared" si="3"/>
        <v>10520</v>
      </c>
      <c r="K94" s="168">
        <f t="shared" si="2"/>
        <v>0</v>
      </c>
      <c r="L94" s="30"/>
      <c r="M94" s="67"/>
    </row>
    <row r="95" spans="1:13" ht="13.2">
      <c r="A95" s="146">
        <v>111</v>
      </c>
      <c r="B95" s="311" t="s">
        <v>336</v>
      </c>
      <c r="C95" s="312">
        <v>45283</v>
      </c>
      <c r="D95" s="28" t="s">
        <v>667</v>
      </c>
      <c r="E95" s="143" t="str">
        <f>VLOOKUP(D95,'Danh mục hàng hóa'!$C$3:$D$643,2,0)</f>
        <v>Buộc tóc trắng nhung tăm</v>
      </c>
      <c r="F95" s="144" t="str">
        <f>VLOOKUP(D95,'Danh mục hàng hóa'!$C$3:$E$656,3,0)</f>
        <v>cái</v>
      </c>
      <c r="G95" s="166">
        <f>VLOOKUP(D95,'Danh mục hàng hóa'!$C$3:$M$656,5,0)</f>
        <v>5615</v>
      </c>
      <c r="H95" s="313">
        <v>2</v>
      </c>
      <c r="I95" s="314"/>
      <c r="J95" s="166">
        <f t="shared" si="3"/>
        <v>11230</v>
      </c>
      <c r="K95" s="168">
        <f t="shared" si="2"/>
        <v>0</v>
      </c>
      <c r="L95" s="30"/>
      <c r="M95" s="67"/>
    </row>
    <row r="96" spans="1:13" ht="13.2">
      <c r="A96" s="146">
        <v>112</v>
      </c>
      <c r="B96" s="311" t="s">
        <v>336</v>
      </c>
      <c r="C96" s="312">
        <v>45283</v>
      </c>
      <c r="D96" s="28" t="s">
        <v>669</v>
      </c>
      <c r="E96" s="143" t="str">
        <f>VLOOKUP(D96,'Danh mục hàng hóa'!$C$3:$D$643,2,0)</f>
        <v>Buộc tóc trắng vải</v>
      </c>
      <c r="F96" s="144" t="str">
        <f>VLOOKUP(D96,'Danh mục hàng hóa'!$C$3:$E$656,3,0)</f>
        <v>cái</v>
      </c>
      <c r="G96" s="166">
        <f>VLOOKUP(D96,'Danh mục hàng hóa'!$C$3:$M$656,5,0)</f>
        <v>6680</v>
      </c>
      <c r="H96" s="313">
        <v>2</v>
      </c>
      <c r="I96" s="314"/>
      <c r="J96" s="166">
        <f t="shared" si="3"/>
        <v>13360</v>
      </c>
      <c r="K96" s="168">
        <f t="shared" si="2"/>
        <v>0</v>
      </c>
      <c r="L96" s="30"/>
      <c r="M96" s="67"/>
    </row>
    <row r="97" spans="1:13" ht="13.2">
      <c r="A97" s="146">
        <v>113</v>
      </c>
      <c r="B97" s="311" t="s">
        <v>336</v>
      </c>
      <c r="C97" s="312">
        <v>45283</v>
      </c>
      <c r="D97" s="28" t="s">
        <v>671</v>
      </c>
      <c r="E97" s="143" t="str">
        <f>VLOOKUP(D97,'Danh mục hàng hóa'!$C$3:$D$643,2,0)</f>
        <v>Buộc tóc trắng vải nhung</v>
      </c>
      <c r="F97" s="144" t="str">
        <f>VLOOKUP(D97,'Danh mục hàng hóa'!$C$3:$E$656,3,0)</f>
        <v>cái</v>
      </c>
      <c r="G97" s="166">
        <f>VLOOKUP(D97,'Danh mục hàng hóa'!$C$3:$M$656,5,0)</f>
        <v>5260</v>
      </c>
      <c r="H97" s="313">
        <v>2</v>
      </c>
      <c r="I97" s="314"/>
      <c r="J97" s="166">
        <f t="shared" si="3"/>
        <v>10520</v>
      </c>
      <c r="K97" s="168">
        <f t="shared" si="2"/>
        <v>0</v>
      </c>
      <c r="L97" s="30"/>
      <c r="M97" s="67"/>
    </row>
    <row r="98" spans="1:13" ht="13.2">
      <c r="A98" s="146">
        <v>114</v>
      </c>
      <c r="B98" s="311" t="s">
        <v>336</v>
      </c>
      <c r="C98" s="312">
        <v>45283</v>
      </c>
      <c r="D98" s="28" t="s">
        <v>673</v>
      </c>
      <c r="E98" s="143" t="str">
        <f>VLOOKUP(D98,'Danh mục hàng hóa'!$C$3:$D$643,2,0)</f>
        <v>Buộc tóc trắng vải xù</v>
      </c>
      <c r="F98" s="144" t="str">
        <f>VLOOKUP(D98,'Danh mục hàng hóa'!$C$3:$E$656,3,0)</f>
        <v>cái</v>
      </c>
      <c r="G98" s="166">
        <f>VLOOKUP(D98,'Danh mục hàng hóa'!$C$3:$M$656,5,0)</f>
        <v>5615</v>
      </c>
      <c r="H98" s="313">
        <v>2</v>
      </c>
      <c r="I98" s="314"/>
      <c r="J98" s="166">
        <f t="shared" si="3"/>
        <v>11230</v>
      </c>
      <c r="K98" s="168">
        <f t="shared" si="2"/>
        <v>0</v>
      </c>
      <c r="L98" s="30"/>
      <c r="M98" s="67"/>
    </row>
    <row r="99" spans="1:13" ht="13.2">
      <c r="A99" s="146">
        <v>115</v>
      </c>
      <c r="B99" s="311" t="s">
        <v>336</v>
      </c>
      <c r="C99" s="312">
        <v>45283</v>
      </c>
      <c r="D99" s="28" t="s">
        <v>675</v>
      </c>
      <c r="E99" s="143" t="str">
        <f>VLOOKUP(D99,'Danh mục hàng hóa'!$C$3:$D$643,2,0)</f>
        <v>Buộc tóc vải xốp trắng</v>
      </c>
      <c r="F99" s="144" t="str">
        <f>VLOOKUP(D99,'Danh mục hàng hóa'!$C$3:$E$656,3,0)</f>
        <v>cái</v>
      </c>
      <c r="G99" s="166">
        <f>VLOOKUP(D99,'Danh mục hàng hóa'!$C$3:$M$656,5,0)</f>
        <v>9875</v>
      </c>
      <c r="H99" s="313">
        <v>2</v>
      </c>
      <c r="I99" s="314"/>
      <c r="J99" s="166">
        <f t="shared" si="3"/>
        <v>19750</v>
      </c>
      <c r="K99" s="168">
        <f t="shared" si="2"/>
        <v>0</v>
      </c>
      <c r="L99" s="30"/>
      <c r="M99" s="67"/>
    </row>
    <row r="100" spans="1:13" ht="13.2">
      <c r="A100" s="146">
        <v>116</v>
      </c>
      <c r="B100" s="311" t="s">
        <v>336</v>
      </c>
      <c r="C100" s="312">
        <v>45283</v>
      </c>
      <c r="D100" s="28" t="s">
        <v>677</v>
      </c>
      <c r="E100" s="143" t="str">
        <f>VLOOKUP(D100,'Danh mục hàng hóa'!$C$3:$D$643,2,0)</f>
        <v>Buộc tóc voan hồng nhỏ</v>
      </c>
      <c r="F100" s="144" t="str">
        <f>VLOOKUP(D100,'Danh mục hàng hóa'!$C$3:$E$656,3,0)</f>
        <v>cái</v>
      </c>
      <c r="G100" s="166">
        <f>VLOOKUP(D100,'Danh mục hàng hóa'!$C$3:$M$656,5,0)</f>
        <v>7390</v>
      </c>
      <c r="H100" s="313">
        <v>2</v>
      </c>
      <c r="I100" s="314"/>
      <c r="J100" s="166">
        <f t="shared" si="3"/>
        <v>14780</v>
      </c>
      <c r="K100" s="168">
        <f t="shared" si="2"/>
        <v>0</v>
      </c>
      <c r="L100" s="30"/>
      <c r="M100" s="67"/>
    </row>
    <row r="101" spans="1:13" ht="13.2">
      <c r="A101" s="146">
        <v>117</v>
      </c>
      <c r="B101" s="311" t="s">
        <v>336</v>
      </c>
      <c r="C101" s="312">
        <v>45283</v>
      </c>
      <c r="D101" s="28" t="s">
        <v>679</v>
      </c>
      <c r="E101" s="143" t="str">
        <f>VLOOKUP(D101,'Danh mục hàng hóa'!$C$3:$D$643,2,0)</f>
        <v>Buộc tóc voan hồng lớn</v>
      </c>
      <c r="F101" s="144" t="str">
        <f>VLOOKUP(D101,'Danh mục hàng hóa'!$C$3:$E$656,3,0)</f>
        <v>cái</v>
      </c>
      <c r="G101" s="166">
        <f>VLOOKUP(D101,'Danh mục hàng hóa'!$C$3:$M$656,5,0)</f>
        <v>10940</v>
      </c>
      <c r="H101" s="313">
        <v>2</v>
      </c>
      <c r="I101" s="314"/>
      <c r="J101" s="166">
        <f t="shared" si="3"/>
        <v>21880</v>
      </c>
      <c r="K101" s="168">
        <f t="shared" si="2"/>
        <v>0</v>
      </c>
      <c r="L101" s="30"/>
      <c r="M101" s="67"/>
    </row>
    <row r="102" spans="1:13" ht="13.2">
      <c r="A102" s="146">
        <v>118</v>
      </c>
      <c r="B102" s="311" t="s">
        <v>336</v>
      </c>
      <c r="C102" s="312">
        <v>45283</v>
      </c>
      <c r="D102" s="28" t="s">
        <v>681</v>
      </c>
      <c r="E102" s="143" t="str">
        <f>VLOOKUP(D102,'Danh mục hàng hóa'!$C$3:$D$643,2,0)</f>
        <v>Buộc tóc voan kem nhỏ</v>
      </c>
      <c r="F102" s="144" t="str">
        <f>VLOOKUP(D102,'Danh mục hàng hóa'!$C$3:$E$656,3,0)</f>
        <v>cái</v>
      </c>
      <c r="G102" s="166">
        <f>VLOOKUP(D102,'Danh mục hàng hóa'!$C$3:$M$656,5,0)</f>
        <v>7390</v>
      </c>
      <c r="H102" s="313">
        <v>2</v>
      </c>
      <c r="I102" s="314"/>
      <c r="J102" s="166">
        <f t="shared" si="3"/>
        <v>14780</v>
      </c>
      <c r="K102" s="168">
        <f t="shared" si="2"/>
        <v>0</v>
      </c>
      <c r="L102" s="30"/>
      <c r="M102" s="67"/>
    </row>
    <row r="103" spans="1:13" ht="13.2">
      <c r="A103" s="146">
        <v>119</v>
      </c>
      <c r="B103" s="311" t="s">
        <v>336</v>
      </c>
      <c r="C103" s="312">
        <v>45283</v>
      </c>
      <c r="D103" s="28" t="s">
        <v>683</v>
      </c>
      <c r="E103" s="143" t="str">
        <f>VLOOKUP(D103,'Danh mục hàng hóa'!$C$3:$D$643,2,0)</f>
        <v>Buộc tóc voan kem lớn</v>
      </c>
      <c r="F103" s="144" t="str">
        <f>VLOOKUP(D103,'Danh mục hàng hóa'!$C$3:$E$656,3,0)</f>
        <v>cái</v>
      </c>
      <c r="G103" s="166">
        <f>VLOOKUP(D103,'Danh mục hàng hóa'!$C$3:$M$656,5,0)</f>
        <v>10940</v>
      </c>
      <c r="H103" s="313">
        <v>2</v>
      </c>
      <c r="I103" s="314"/>
      <c r="J103" s="166">
        <f t="shared" si="3"/>
        <v>21880</v>
      </c>
      <c r="K103" s="168">
        <f t="shared" si="2"/>
        <v>0</v>
      </c>
      <c r="L103" s="30"/>
      <c r="M103" s="67"/>
    </row>
    <row r="104" spans="1:13" ht="13.2">
      <c r="A104" s="146">
        <v>120</v>
      </c>
      <c r="B104" s="311" t="s">
        <v>336</v>
      </c>
      <c r="C104" s="312">
        <v>45283</v>
      </c>
      <c r="D104" s="28" t="s">
        <v>685</v>
      </c>
      <c r="E104" s="143" t="str">
        <f>VLOOKUP(D104,'Danh mục hàng hóa'!$C$3:$D$643,2,0)</f>
        <v>Buộc tóc voan xanh lớn</v>
      </c>
      <c r="F104" s="144" t="str">
        <f>VLOOKUP(D104,'Danh mục hàng hóa'!$C$3:$E$656,3,0)</f>
        <v>cái</v>
      </c>
      <c r="G104" s="166">
        <f>VLOOKUP(D104,'Danh mục hàng hóa'!$C$3:$M$656,5,0)</f>
        <v>10940</v>
      </c>
      <c r="H104" s="313">
        <v>2</v>
      </c>
      <c r="I104" s="314"/>
      <c r="J104" s="166">
        <f t="shared" si="3"/>
        <v>21880</v>
      </c>
      <c r="K104" s="168">
        <f t="shared" si="2"/>
        <v>0</v>
      </c>
      <c r="L104" s="30"/>
      <c r="M104" s="67"/>
    </row>
    <row r="105" spans="1:13" ht="13.2">
      <c r="A105" s="146">
        <v>121</v>
      </c>
      <c r="B105" s="311" t="s">
        <v>336</v>
      </c>
      <c r="C105" s="312">
        <v>45283</v>
      </c>
      <c r="D105" s="28" t="s">
        <v>687</v>
      </c>
      <c r="E105" s="143" t="str">
        <f>VLOOKUP(D105,'Danh mục hàng hóa'!$C$3:$D$643,2,0)</f>
        <v>Buộc tóc hoa xốp hồng</v>
      </c>
      <c r="F105" s="144" t="str">
        <f>VLOOKUP(D105,'Danh mục hàng hóa'!$C$3:$E$656,3,0)</f>
        <v>cái</v>
      </c>
      <c r="G105" s="166">
        <f>VLOOKUP(D105,'Danh mục hàng hóa'!$C$3:$M$656,5,0)</f>
        <v>8455</v>
      </c>
      <c r="H105" s="313">
        <v>2</v>
      </c>
      <c r="I105" s="314"/>
      <c r="J105" s="166">
        <f t="shared" si="3"/>
        <v>16910</v>
      </c>
      <c r="K105" s="168">
        <f t="shared" si="2"/>
        <v>0</v>
      </c>
      <c r="L105" s="30"/>
      <c r="M105" s="67"/>
    </row>
    <row r="106" spans="1:13" ht="13.2">
      <c r="A106" s="146">
        <v>122</v>
      </c>
      <c r="B106" s="311" t="s">
        <v>336</v>
      </c>
      <c r="C106" s="312">
        <v>45283</v>
      </c>
      <c r="D106" s="28" t="s">
        <v>689</v>
      </c>
      <c r="E106" s="143" t="str">
        <f>VLOOKUP(D106,'Danh mục hàng hóa'!$C$3:$D$643,2,0)</f>
        <v>Buộc tóc hoa xốp kem</v>
      </c>
      <c r="F106" s="144" t="str">
        <f>VLOOKUP(D106,'Danh mục hàng hóa'!$C$3:$E$656,3,0)</f>
        <v>cái</v>
      </c>
      <c r="G106" s="166">
        <f>VLOOKUP(D106,'Danh mục hàng hóa'!$C$3:$M$656,5,0)</f>
        <v>8455</v>
      </c>
      <c r="H106" s="313">
        <v>3</v>
      </c>
      <c r="I106" s="314"/>
      <c r="J106" s="166">
        <f t="shared" si="3"/>
        <v>25365</v>
      </c>
      <c r="K106" s="168">
        <f t="shared" si="2"/>
        <v>0</v>
      </c>
      <c r="L106" s="30"/>
      <c r="M106" s="67"/>
    </row>
    <row r="107" spans="1:13" ht="13.2">
      <c r="A107" s="146">
        <v>123</v>
      </c>
      <c r="B107" s="311" t="s">
        <v>336</v>
      </c>
      <c r="C107" s="312">
        <v>45283</v>
      </c>
      <c r="D107" s="28" t="s">
        <v>691</v>
      </c>
      <c r="E107" s="143" t="str">
        <f>VLOOKUP(D107,'Danh mục hàng hóa'!$C$3:$D$643,2,0)</f>
        <v>Buộc tóc vải xốp nâu</v>
      </c>
      <c r="F107" s="144" t="str">
        <f>VLOOKUP(D107,'Danh mục hàng hóa'!$C$3:$E$656,3,0)</f>
        <v>cái</v>
      </c>
      <c r="G107" s="166">
        <f>VLOOKUP(D107,'Danh mục hàng hóa'!$C$3:$M$656,5,0)</f>
        <v>9875</v>
      </c>
      <c r="H107" s="313">
        <v>3</v>
      </c>
      <c r="I107" s="314"/>
      <c r="J107" s="166">
        <f t="shared" si="3"/>
        <v>29625</v>
      </c>
      <c r="K107" s="168">
        <f t="shared" si="2"/>
        <v>0</v>
      </c>
      <c r="L107" s="30"/>
      <c r="M107" s="67"/>
    </row>
    <row r="108" spans="1:13" ht="13.2">
      <c r="A108" s="146">
        <v>124</v>
      </c>
      <c r="B108" s="311" t="s">
        <v>336</v>
      </c>
      <c r="C108" s="312">
        <v>45283</v>
      </c>
      <c r="D108" s="28" t="s">
        <v>693</v>
      </c>
      <c r="E108" s="143" t="str">
        <f>VLOOKUP(D108,'Danh mục hàng hóa'!$C$3:$D$643,2,0)</f>
        <v>Buộc tóc vải xốp đen</v>
      </c>
      <c r="F108" s="144" t="str">
        <f>VLOOKUP(D108,'Danh mục hàng hóa'!$C$3:$E$656,3,0)</f>
        <v>cái</v>
      </c>
      <c r="G108" s="166">
        <f>VLOOKUP(D108,'Danh mục hàng hóa'!$C$3:$M$656,5,0)</f>
        <v>9875</v>
      </c>
      <c r="H108" s="313">
        <v>3</v>
      </c>
      <c r="I108" s="314"/>
      <c r="J108" s="166">
        <f t="shared" si="3"/>
        <v>29625</v>
      </c>
      <c r="K108" s="168">
        <f t="shared" si="2"/>
        <v>0</v>
      </c>
      <c r="L108" s="30"/>
      <c r="M108" s="67"/>
    </row>
    <row r="109" spans="1:13" ht="13.2">
      <c r="A109" s="146">
        <v>125</v>
      </c>
      <c r="B109" s="311" t="s">
        <v>336</v>
      </c>
      <c r="C109" s="312">
        <v>45283</v>
      </c>
      <c r="D109" s="28" t="s">
        <v>695</v>
      </c>
      <c r="E109" s="143" t="str">
        <f>VLOOKUP(D109,'Danh mục hàng hóa'!$C$3:$D$643,2,0)</f>
        <v>Buộc tóc lụa hoa đen</v>
      </c>
      <c r="F109" s="144" t="str">
        <f>VLOOKUP(D109,'Danh mục hàng hóa'!$C$3:$E$656,3,0)</f>
        <v>cái</v>
      </c>
      <c r="G109" s="166">
        <f>VLOOKUP(D109,'Danh mục hàng hóa'!$C$3:$M$656,5,0)</f>
        <v>16265</v>
      </c>
      <c r="H109" s="313">
        <v>3</v>
      </c>
      <c r="I109" s="314"/>
      <c r="J109" s="166">
        <f t="shared" si="3"/>
        <v>48795</v>
      </c>
      <c r="K109" s="168">
        <f t="shared" si="2"/>
        <v>0</v>
      </c>
      <c r="L109" s="30"/>
      <c r="M109" s="67"/>
    </row>
    <row r="110" spans="1:13" ht="13.2">
      <c r="A110" s="146">
        <v>126</v>
      </c>
      <c r="B110" s="311" t="s">
        <v>336</v>
      </c>
      <c r="C110" s="312">
        <v>45283</v>
      </c>
      <c r="D110" s="28" t="s">
        <v>697</v>
      </c>
      <c r="E110" s="143" t="str">
        <f>VLOOKUP(D110,'Danh mục hàng hóa'!$C$3:$D$643,2,0)</f>
        <v>Buộc tóc lụa hoa be</v>
      </c>
      <c r="F110" s="144" t="str">
        <f>VLOOKUP(D110,'Danh mục hàng hóa'!$C$3:$E$656,3,0)</f>
        <v>cái</v>
      </c>
      <c r="G110" s="166">
        <f>VLOOKUP(D110,'Danh mục hàng hóa'!$C$3:$M$656,5,0)</f>
        <v>16265</v>
      </c>
      <c r="H110" s="313">
        <v>3</v>
      </c>
      <c r="I110" s="314"/>
      <c r="J110" s="166">
        <f t="shared" si="3"/>
        <v>48795</v>
      </c>
      <c r="K110" s="168">
        <f t="shared" si="2"/>
        <v>0</v>
      </c>
      <c r="L110" s="30"/>
      <c r="M110" s="67"/>
    </row>
    <row r="111" spans="1:13" ht="13.2">
      <c r="A111" s="146">
        <v>127</v>
      </c>
      <c r="B111" s="311" t="s">
        <v>336</v>
      </c>
      <c r="C111" s="312">
        <v>45283</v>
      </c>
      <c r="D111" s="28" t="s">
        <v>699</v>
      </c>
      <c r="E111" s="143" t="str">
        <f>VLOOKUP(D111,'Danh mục hàng hóa'!$C$3:$D$643,2,0)</f>
        <v>Buộc tóc lụa hoa xanh</v>
      </c>
      <c r="F111" s="144" t="str">
        <f>VLOOKUP(D111,'Danh mục hàng hóa'!$C$3:$E$656,3,0)</f>
        <v>cái</v>
      </c>
      <c r="G111" s="166">
        <f>VLOOKUP(D111,'Danh mục hàng hóa'!$C$3:$M$656,5,0)</f>
        <v>16265</v>
      </c>
      <c r="H111" s="313">
        <v>3</v>
      </c>
      <c r="I111" s="314"/>
      <c r="J111" s="166">
        <f t="shared" si="3"/>
        <v>48795</v>
      </c>
      <c r="K111" s="168">
        <f t="shared" si="2"/>
        <v>0</v>
      </c>
      <c r="L111" s="30"/>
      <c r="M111" s="67"/>
    </row>
    <row r="112" spans="1:13" ht="13.2">
      <c r="A112" s="146">
        <v>128</v>
      </c>
      <c r="B112" s="311" t="s">
        <v>336</v>
      </c>
      <c r="C112" s="312">
        <v>45283</v>
      </c>
      <c r="D112" s="28" t="s">
        <v>701</v>
      </c>
      <c r="E112" s="143" t="str">
        <f>VLOOKUP(D112,'Danh mục hàng hóa'!$C$3:$D$643,2,0)</f>
        <v>Buộc tóc hồng len</v>
      </c>
      <c r="F112" s="144" t="str">
        <f>VLOOKUP(D112,'Danh mục hàng hóa'!$C$3:$E$656,3,0)</f>
        <v>cái</v>
      </c>
      <c r="G112" s="166">
        <f>VLOOKUP(D112,'Danh mục hàng hóa'!$C$3:$M$656,5,0)</f>
        <v>7035</v>
      </c>
      <c r="H112" s="313">
        <v>2</v>
      </c>
      <c r="I112" s="314"/>
      <c r="J112" s="166">
        <f t="shared" si="3"/>
        <v>14070</v>
      </c>
      <c r="K112" s="168">
        <f t="shared" si="2"/>
        <v>0</v>
      </c>
      <c r="L112" s="30"/>
      <c r="M112" s="67"/>
    </row>
    <row r="113" spans="1:13" ht="13.2">
      <c r="A113" s="146">
        <v>129</v>
      </c>
      <c r="B113" s="311" t="s">
        <v>336</v>
      </c>
      <c r="C113" s="312">
        <v>45283</v>
      </c>
      <c r="D113" s="28" t="s">
        <v>703</v>
      </c>
      <c r="E113" s="143" t="str">
        <f>VLOOKUP(D113,'Danh mục hàng hóa'!$C$3:$D$643,2,0)</f>
        <v>Buộc tóc hồng vải xù</v>
      </c>
      <c r="F113" s="144" t="str">
        <f>VLOOKUP(D113,'Danh mục hàng hóa'!$C$3:$E$656,3,0)</f>
        <v>cái</v>
      </c>
      <c r="G113" s="166">
        <f>VLOOKUP(D113,'Danh mục hàng hóa'!$C$3:$M$656,5,0)</f>
        <v>6325</v>
      </c>
      <c r="H113" s="313">
        <v>2</v>
      </c>
      <c r="I113" s="314"/>
      <c r="J113" s="166">
        <f t="shared" si="3"/>
        <v>12650</v>
      </c>
      <c r="K113" s="168">
        <f t="shared" si="2"/>
        <v>0</v>
      </c>
      <c r="L113" s="30"/>
      <c r="M113" s="67"/>
    </row>
    <row r="114" spans="1:13" ht="13.2">
      <c r="A114" s="146">
        <v>130</v>
      </c>
      <c r="B114" s="311" t="s">
        <v>336</v>
      </c>
      <c r="C114" s="312">
        <v>45283</v>
      </c>
      <c r="D114" s="28" t="s">
        <v>705</v>
      </c>
      <c r="E114" s="143" t="str">
        <f>VLOOKUP(D114,'Danh mục hàng hóa'!$C$3:$D$643,2,0)</f>
        <v>Buộc tóc hồng nhung</v>
      </c>
      <c r="F114" s="144" t="str">
        <f>VLOOKUP(D114,'Danh mục hàng hóa'!$C$3:$E$656,3,0)</f>
        <v>cái</v>
      </c>
      <c r="G114" s="166">
        <f>VLOOKUP(D114,'Danh mục hàng hóa'!$C$3:$M$656,5,0)</f>
        <v>6680</v>
      </c>
      <c r="H114" s="313">
        <v>3</v>
      </c>
      <c r="I114" s="314"/>
      <c r="J114" s="166">
        <f t="shared" si="3"/>
        <v>20040</v>
      </c>
      <c r="K114" s="168">
        <f t="shared" si="2"/>
        <v>0</v>
      </c>
      <c r="L114" s="30"/>
      <c r="M114" s="67"/>
    </row>
    <row r="115" spans="1:13" ht="13.2">
      <c r="A115" s="146">
        <v>131</v>
      </c>
      <c r="B115" s="311" t="s">
        <v>336</v>
      </c>
      <c r="C115" s="312">
        <v>45283</v>
      </c>
      <c r="D115" s="28" t="s">
        <v>707</v>
      </c>
      <c r="E115" s="143" t="str">
        <f>VLOOKUP(D115,'Danh mục hàng hóa'!$C$3:$D$643,2,0)</f>
        <v>Buộc tóc hồng nhung tăm</v>
      </c>
      <c r="F115" s="144" t="str">
        <f>VLOOKUP(D115,'Danh mục hàng hóa'!$C$3:$E$656,3,0)</f>
        <v>cái</v>
      </c>
      <c r="G115" s="166">
        <f>VLOOKUP(D115,'Danh mục hàng hóa'!$C$3:$M$656,5,0)</f>
        <v>6325</v>
      </c>
      <c r="H115" s="313">
        <v>2</v>
      </c>
      <c r="I115" s="314"/>
      <c r="J115" s="166">
        <f t="shared" si="3"/>
        <v>12650</v>
      </c>
      <c r="K115" s="168">
        <f t="shared" si="2"/>
        <v>0</v>
      </c>
      <c r="L115" s="30"/>
      <c r="M115" s="67"/>
    </row>
    <row r="116" spans="1:13" ht="13.2">
      <c r="A116" s="146">
        <v>132</v>
      </c>
      <c r="B116" s="311" t="s">
        <v>336</v>
      </c>
      <c r="C116" s="312">
        <v>45283</v>
      </c>
      <c r="D116" s="28" t="s">
        <v>709</v>
      </c>
      <c r="E116" s="143" t="str">
        <f>VLOOKUP(D116,'Danh mục hàng hóa'!$C$3:$D$643,2,0)</f>
        <v>Buộc tóc hồng lông nhỏ</v>
      </c>
      <c r="F116" s="144" t="str">
        <f>VLOOKUP(D116,'Danh mục hàng hóa'!$C$3:$E$656,3,0)</f>
        <v>cái</v>
      </c>
      <c r="G116" s="166">
        <f>VLOOKUP(D116,'Danh mục hàng hóa'!$C$3:$M$656,5,0)</f>
        <v>3840</v>
      </c>
      <c r="H116" s="313">
        <v>2</v>
      </c>
      <c r="I116" s="314"/>
      <c r="J116" s="166">
        <f t="shared" si="3"/>
        <v>7680</v>
      </c>
      <c r="K116" s="168">
        <f t="shared" si="2"/>
        <v>0</v>
      </c>
      <c r="L116" s="30"/>
      <c r="M116" s="67"/>
    </row>
    <row r="117" spans="1:13" ht="13.2">
      <c r="A117" s="146">
        <v>133</v>
      </c>
      <c r="B117" s="311" t="s">
        <v>336</v>
      </c>
      <c r="C117" s="312">
        <v>45283</v>
      </c>
      <c r="D117" s="28" t="s">
        <v>711</v>
      </c>
      <c r="E117" s="143" t="str">
        <f>VLOOKUP(D117,'Danh mục hàng hóa'!$C$3:$D$643,2,0)</f>
        <v>Buộc tóc hồng lông lớn</v>
      </c>
      <c r="F117" s="144" t="str">
        <f>VLOOKUP(D117,'Danh mục hàng hóa'!$C$3:$E$656,3,0)</f>
        <v>cái</v>
      </c>
      <c r="G117" s="166">
        <f>VLOOKUP(D117,'Danh mục hàng hóa'!$C$3:$M$656,5,0)</f>
        <v>6325</v>
      </c>
      <c r="H117" s="313">
        <v>2</v>
      </c>
      <c r="I117" s="314"/>
      <c r="J117" s="166">
        <f t="shared" si="3"/>
        <v>12650</v>
      </c>
      <c r="K117" s="168">
        <f t="shared" si="2"/>
        <v>0</v>
      </c>
      <c r="L117" s="30"/>
      <c r="M117" s="67"/>
    </row>
    <row r="118" spans="1:13" ht="13.2">
      <c r="A118" s="146">
        <v>134</v>
      </c>
      <c r="B118" s="311" t="s">
        <v>336</v>
      </c>
      <c r="C118" s="312">
        <v>45283</v>
      </c>
      <c r="D118" s="28" t="s">
        <v>715</v>
      </c>
      <c r="E118" s="143" t="str">
        <f>VLOOKUP(D118,'Danh mục hàng hóa'!$C$3:$D$643,2,0)</f>
        <v>Buộc tóc trắng nhỏ</v>
      </c>
      <c r="F118" s="144" t="str">
        <f>VLOOKUP(D118,'Danh mục hàng hóa'!$C$3:$E$656,3,0)</f>
        <v>cái</v>
      </c>
      <c r="G118" s="166">
        <f>VLOOKUP(D118,'Danh mục hàng hóa'!$C$3:$M$656,5,0)</f>
        <v>3840</v>
      </c>
      <c r="H118" s="313">
        <v>1</v>
      </c>
      <c r="I118" s="314"/>
      <c r="J118" s="166">
        <f t="shared" si="3"/>
        <v>3840</v>
      </c>
      <c r="K118" s="168">
        <f t="shared" si="2"/>
        <v>0</v>
      </c>
      <c r="L118" s="30"/>
      <c r="M118" s="67"/>
    </row>
    <row r="119" spans="1:13" ht="13.2">
      <c r="A119" s="146">
        <v>135</v>
      </c>
      <c r="B119" s="311" t="s">
        <v>336</v>
      </c>
      <c r="C119" s="312">
        <v>45283</v>
      </c>
      <c r="D119" s="28" t="s">
        <v>717</v>
      </c>
      <c r="E119" s="143" t="str">
        <f>VLOOKUP(D119,'Danh mục hàng hóa'!$C$3:$D$643,2,0)</f>
        <v>Kẹp nơ hồng</v>
      </c>
      <c r="F119" s="144" t="str">
        <f>VLOOKUP(D119,'Danh mục hàng hóa'!$C$3:$E$656,3,0)</f>
        <v>cái</v>
      </c>
      <c r="G119" s="166">
        <f>VLOOKUP(D119,'Danh mục hàng hóa'!$C$3:$M$656,5,0)</f>
        <v>9697.5</v>
      </c>
      <c r="H119" s="313">
        <v>3</v>
      </c>
      <c r="I119" s="314"/>
      <c r="J119" s="166">
        <f t="shared" si="3"/>
        <v>29092.5</v>
      </c>
      <c r="K119" s="168">
        <f t="shared" si="2"/>
        <v>0</v>
      </c>
      <c r="L119" s="30"/>
      <c r="M119" s="67"/>
    </row>
    <row r="120" spans="1:13" ht="13.2">
      <c r="A120" s="146">
        <v>136</v>
      </c>
      <c r="B120" s="311" t="s">
        <v>337</v>
      </c>
      <c r="C120" s="312">
        <v>45283</v>
      </c>
      <c r="D120" s="28" t="s">
        <v>590</v>
      </c>
      <c r="E120" s="143" t="str">
        <f>VLOOKUP(D120,'Danh mục hàng hóa'!$C$3:$D$643,2,0)</f>
        <v>Kẹp tóc nhựa kem</v>
      </c>
      <c r="F120" s="144" t="str">
        <f>VLOOKUP(D120,'Danh mục hàng hóa'!$C$3:$E$656,3,0)</f>
        <v>cái</v>
      </c>
      <c r="G120" s="166">
        <f>VLOOKUP(D120,'Danh mục hàng hóa'!$C$3:$M$656,5,0)</f>
        <v>8810</v>
      </c>
      <c r="H120" s="317"/>
      <c r="I120" s="313">
        <v>2</v>
      </c>
      <c r="J120" s="166">
        <f t="shared" si="3"/>
        <v>0</v>
      </c>
      <c r="K120" s="168">
        <f t="shared" si="2"/>
        <v>17620</v>
      </c>
      <c r="L120" s="101" t="s">
        <v>2136</v>
      </c>
      <c r="M120" s="67"/>
    </row>
    <row r="121" spans="1:13" ht="13.2">
      <c r="A121" s="146">
        <v>137</v>
      </c>
      <c r="B121" s="311" t="s">
        <v>337</v>
      </c>
      <c r="C121" s="312">
        <v>45283</v>
      </c>
      <c r="D121" s="28" t="s">
        <v>657</v>
      </c>
      <c r="E121" s="143" t="str">
        <f>VLOOKUP(D121,'Danh mục hàng hóa'!$C$3:$D$643,2,0)</f>
        <v>Buộc tóc hoa xanh</v>
      </c>
      <c r="F121" s="144" t="str">
        <f>VLOOKUP(D121,'Danh mục hàng hóa'!$C$3:$E$656,3,0)</f>
        <v>cái</v>
      </c>
      <c r="G121" s="166">
        <f>VLOOKUP(D121,'Danh mục hàng hóa'!$C$3:$M$656,5,0)</f>
        <v>10230</v>
      </c>
      <c r="H121" s="317"/>
      <c r="I121" s="313">
        <v>2</v>
      </c>
      <c r="J121" s="166">
        <f t="shared" si="3"/>
        <v>0</v>
      </c>
      <c r="K121" s="168">
        <f t="shared" si="2"/>
        <v>20460</v>
      </c>
      <c r="L121" s="101" t="s">
        <v>2137</v>
      </c>
      <c r="M121" s="67"/>
    </row>
    <row r="122" spans="1:13" ht="13.2">
      <c r="A122" s="146">
        <v>138</v>
      </c>
      <c r="B122" s="311" t="s">
        <v>336</v>
      </c>
      <c r="C122" s="312">
        <v>45283</v>
      </c>
      <c r="D122" s="28" t="s">
        <v>839</v>
      </c>
      <c r="E122" s="143" t="str">
        <f>VLOOKUP(D122,'Danh mục hàng hóa'!$C$3:$D$643,2,0)</f>
        <v>Hộp thuốc nơ nâu</v>
      </c>
      <c r="F122" s="144" t="str">
        <f>VLOOKUP(D122,'Danh mục hàng hóa'!$C$3:$E$656,3,0)</f>
        <v>hộp</v>
      </c>
      <c r="G122" s="166">
        <f>VLOOKUP(D122,'Danh mục hàng hóa'!$C$3:$M$656,5,0)</f>
        <v>4479</v>
      </c>
      <c r="H122" s="313">
        <v>5</v>
      </c>
      <c r="I122" s="314"/>
      <c r="J122" s="166">
        <f t="shared" si="3"/>
        <v>22395</v>
      </c>
      <c r="K122" s="168">
        <f t="shared" si="2"/>
        <v>0</v>
      </c>
      <c r="L122" s="30"/>
      <c r="M122" s="67"/>
    </row>
    <row r="123" spans="1:13" ht="13.2">
      <c r="A123" s="146">
        <v>139</v>
      </c>
      <c r="B123" s="311" t="s">
        <v>336</v>
      </c>
      <c r="C123" s="312">
        <v>45283</v>
      </c>
      <c r="D123" s="28" t="s">
        <v>842</v>
      </c>
      <c r="E123" s="143" t="str">
        <f>VLOOKUP(D123,'Danh mục hàng hóa'!$C$3:$D$643,2,0)</f>
        <v>Hộp thuốc dấu chân cún</v>
      </c>
      <c r="F123" s="144" t="str">
        <f>VLOOKUP(D123,'Danh mục hàng hóa'!$C$3:$E$656,3,0)</f>
        <v>hộp</v>
      </c>
      <c r="G123" s="166">
        <f>VLOOKUP(D123,'Danh mục hàng hóa'!$C$3:$M$656,5,0)</f>
        <v>4479</v>
      </c>
      <c r="H123" s="313">
        <v>7</v>
      </c>
      <c r="I123" s="314"/>
      <c r="J123" s="166">
        <f t="shared" si="3"/>
        <v>31353</v>
      </c>
      <c r="K123" s="168">
        <f t="shared" si="2"/>
        <v>0</v>
      </c>
      <c r="L123" s="30"/>
      <c r="M123" s="67"/>
    </row>
    <row r="124" spans="1:13" ht="13.2">
      <c r="A124" s="146">
        <v>140</v>
      </c>
      <c r="B124" s="311" t="s">
        <v>336</v>
      </c>
      <c r="C124" s="312">
        <v>45283</v>
      </c>
      <c r="D124" s="28" t="s">
        <v>844</v>
      </c>
      <c r="E124" s="143" t="str">
        <f>VLOOKUP(D124,'Danh mục hàng hóa'!$C$3:$D$643,2,0)</f>
        <v>Hộp thuốc mây hồng</v>
      </c>
      <c r="F124" s="144" t="str">
        <f>VLOOKUP(D124,'Danh mục hàng hóa'!$C$3:$E$656,3,0)</f>
        <v>hộp</v>
      </c>
      <c r="G124" s="166">
        <f>VLOOKUP(D124,'Danh mục hàng hóa'!$C$3:$M$656,5,0)</f>
        <v>4479</v>
      </c>
      <c r="H124" s="313">
        <v>5</v>
      </c>
      <c r="I124" s="314"/>
      <c r="J124" s="166">
        <f t="shared" si="3"/>
        <v>22395</v>
      </c>
      <c r="K124" s="168">
        <f t="shared" si="2"/>
        <v>0</v>
      </c>
      <c r="L124" s="30"/>
      <c r="M124" s="67"/>
    </row>
    <row r="125" spans="1:13" ht="13.2">
      <c r="A125" s="146">
        <v>141</v>
      </c>
      <c r="B125" s="311" t="s">
        <v>336</v>
      </c>
      <c r="C125" s="312">
        <v>45283</v>
      </c>
      <c r="D125" s="28" t="s">
        <v>846</v>
      </c>
      <c r="E125" s="143" t="str">
        <f>VLOOKUP(D125,'Danh mục hàng hóa'!$C$3:$D$643,2,0)</f>
        <v>Hộp thuốc ngôi sao xanh</v>
      </c>
      <c r="F125" s="144" t="str">
        <f>VLOOKUP(D125,'Danh mục hàng hóa'!$C$3:$E$656,3,0)</f>
        <v>hộp</v>
      </c>
      <c r="G125" s="166">
        <f>VLOOKUP(D125,'Danh mục hàng hóa'!$C$3:$M$656,5,0)</f>
        <v>4479</v>
      </c>
      <c r="H125" s="313">
        <v>5</v>
      </c>
      <c r="I125" s="314"/>
      <c r="J125" s="166">
        <f t="shared" si="3"/>
        <v>22395</v>
      </c>
      <c r="K125" s="168">
        <f t="shared" si="2"/>
        <v>0</v>
      </c>
      <c r="L125" s="30"/>
      <c r="M125" s="67"/>
    </row>
    <row r="126" spans="1:13" ht="13.2">
      <c r="A126" s="146">
        <v>142</v>
      </c>
      <c r="B126" s="311" t="s">
        <v>336</v>
      </c>
      <c r="C126" s="312">
        <v>45283</v>
      </c>
      <c r="D126" s="28" t="s">
        <v>848</v>
      </c>
      <c r="E126" s="143" t="str">
        <f>VLOOKUP(D126,'Danh mục hàng hóa'!$C$3:$D$643,2,0)</f>
        <v>Hộp thuốc ông mặt trời</v>
      </c>
      <c r="F126" s="144" t="str">
        <f>VLOOKUP(D126,'Danh mục hàng hóa'!$C$3:$E$656,3,0)</f>
        <v>hộp</v>
      </c>
      <c r="G126" s="166">
        <f>VLOOKUP(D126,'Danh mục hàng hóa'!$C$3:$M$656,5,0)</f>
        <v>4479</v>
      </c>
      <c r="H126" s="313">
        <v>5</v>
      </c>
      <c r="I126" s="314"/>
      <c r="J126" s="166">
        <f t="shared" si="3"/>
        <v>22395</v>
      </c>
      <c r="K126" s="168">
        <f t="shared" si="2"/>
        <v>0</v>
      </c>
      <c r="L126" s="30"/>
      <c r="M126" s="67"/>
    </row>
    <row r="127" spans="1:13" ht="13.2">
      <c r="A127" s="146">
        <v>143</v>
      </c>
      <c r="B127" s="311" t="s">
        <v>336</v>
      </c>
      <c r="C127" s="312">
        <v>45283</v>
      </c>
      <c r="D127" s="28" t="s">
        <v>850</v>
      </c>
      <c r="E127" s="143" t="str">
        <f>VLOOKUP(D127,'Danh mục hàng hóa'!$C$3:$D$643,2,0)</f>
        <v>Hộp thuốc cô bé tóc nâu</v>
      </c>
      <c r="F127" s="144" t="str">
        <f>VLOOKUP(D127,'Danh mục hàng hóa'!$C$3:$E$656,3,0)</f>
        <v>hộp</v>
      </c>
      <c r="G127" s="166">
        <f>VLOOKUP(D127,'Danh mục hàng hóa'!$C$3:$M$656,5,0)</f>
        <v>4479</v>
      </c>
      <c r="H127" s="313">
        <v>3</v>
      </c>
      <c r="I127" s="314"/>
      <c r="J127" s="166">
        <f t="shared" si="3"/>
        <v>13437</v>
      </c>
      <c r="K127" s="168">
        <f t="shared" si="2"/>
        <v>0</v>
      </c>
      <c r="L127" s="30"/>
      <c r="M127" s="67"/>
    </row>
    <row r="128" spans="1:13" ht="13.2">
      <c r="A128" s="146">
        <v>144</v>
      </c>
      <c r="B128" s="311" t="s">
        <v>336</v>
      </c>
      <c r="C128" s="312">
        <v>45283</v>
      </c>
      <c r="D128" s="28" t="s">
        <v>852</v>
      </c>
      <c r="E128" s="143" t="str">
        <f>VLOOKUP(D128,'Danh mục hàng hóa'!$C$3:$D$643,2,0)</f>
        <v>Hộp thuốc nơ hồng</v>
      </c>
      <c r="F128" s="144" t="str">
        <f>VLOOKUP(D128,'Danh mục hàng hóa'!$C$3:$E$656,3,0)</f>
        <v>hộp</v>
      </c>
      <c r="G128" s="166">
        <f>VLOOKUP(D128,'Danh mục hàng hóa'!$C$3:$M$656,5,0)</f>
        <v>4479</v>
      </c>
      <c r="H128" s="313">
        <v>10</v>
      </c>
      <c r="I128" s="314"/>
      <c r="J128" s="166">
        <f t="shared" si="3"/>
        <v>44790</v>
      </c>
      <c r="K128" s="168">
        <f t="shared" si="2"/>
        <v>0</v>
      </c>
      <c r="L128" s="30"/>
      <c r="M128" s="67"/>
    </row>
    <row r="129" spans="1:13" ht="13.2">
      <c r="A129" s="146">
        <v>145</v>
      </c>
      <c r="B129" s="311" t="s">
        <v>336</v>
      </c>
      <c r="C129" s="312">
        <v>45283</v>
      </c>
      <c r="D129" s="28" t="s">
        <v>854</v>
      </c>
      <c r="E129" s="143" t="str">
        <f>VLOOKUP(D129,'Danh mục hàng hóa'!$C$3:$D$643,2,0)</f>
        <v>Hộp thuốc thỏ nâu</v>
      </c>
      <c r="F129" s="144" t="str">
        <f>VLOOKUP(D129,'Danh mục hàng hóa'!$C$3:$E$656,3,0)</f>
        <v>hộp</v>
      </c>
      <c r="G129" s="166">
        <f>VLOOKUP(D129,'Danh mục hàng hóa'!$C$3:$M$656,5,0)</f>
        <v>4479</v>
      </c>
      <c r="H129" s="313">
        <v>3</v>
      </c>
      <c r="I129" s="314"/>
      <c r="J129" s="166">
        <f t="shared" si="3"/>
        <v>13437</v>
      </c>
      <c r="K129" s="168">
        <f t="shared" si="2"/>
        <v>0</v>
      </c>
      <c r="L129" s="30"/>
      <c r="M129" s="67"/>
    </row>
    <row r="130" spans="1:13" ht="13.2">
      <c r="A130" s="146">
        <v>146</v>
      </c>
      <c r="B130" s="311" t="s">
        <v>336</v>
      </c>
      <c r="C130" s="312">
        <v>45283</v>
      </c>
      <c r="D130" s="28" t="s">
        <v>856</v>
      </c>
      <c r="E130" s="143" t="str">
        <f>VLOOKUP(D130,'Danh mục hàng hóa'!$C$3:$D$643,2,0)</f>
        <v>Hộp thuốc nơ tím</v>
      </c>
      <c r="F130" s="144" t="str">
        <f>VLOOKUP(D130,'Danh mục hàng hóa'!$C$3:$E$656,3,0)</f>
        <v>hộp</v>
      </c>
      <c r="G130" s="166">
        <f>VLOOKUP(D130,'Danh mục hàng hóa'!$C$3:$M$656,5,0)</f>
        <v>4479</v>
      </c>
      <c r="H130" s="313">
        <v>7</v>
      </c>
      <c r="I130" s="314"/>
      <c r="J130" s="166">
        <f t="shared" si="3"/>
        <v>31353</v>
      </c>
      <c r="K130" s="168">
        <f t="shared" si="2"/>
        <v>0</v>
      </c>
      <c r="L130" s="30"/>
      <c r="M130" s="67"/>
    </row>
    <row r="131" spans="1:13" ht="13.2">
      <c r="A131" s="146">
        <v>147</v>
      </c>
      <c r="B131" s="311" t="s">
        <v>336</v>
      </c>
      <c r="C131" s="312">
        <v>45283</v>
      </c>
      <c r="D131" s="28" t="s">
        <v>858</v>
      </c>
      <c r="E131" s="143" t="str">
        <f>VLOOKUP(D131,'Danh mục hàng hóa'!$C$3:$D$643,2,0)</f>
        <v>Hộp thuốc gấu vàng</v>
      </c>
      <c r="F131" s="144" t="str">
        <f>VLOOKUP(D131,'Danh mục hàng hóa'!$C$3:$E$656,3,0)</f>
        <v>hộp</v>
      </c>
      <c r="G131" s="166">
        <f>VLOOKUP(D131,'Danh mục hàng hóa'!$C$3:$M$656,5,0)</f>
        <v>4479</v>
      </c>
      <c r="H131" s="313">
        <v>3</v>
      </c>
      <c r="I131" s="314"/>
      <c r="J131" s="166">
        <f t="shared" si="3"/>
        <v>13437</v>
      </c>
      <c r="K131" s="168">
        <f t="shared" si="2"/>
        <v>0</v>
      </c>
      <c r="L131" s="30"/>
      <c r="M131" s="67"/>
    </row>
    <row r="132" spans="1:13" ht="13.2">
      <c r="A132" s="146">
        <v>148</v>
      </c>
      <c r="B132" s="311" t="s">
        <v>336</v>
      </c>
      <c r="C132" s="312">
        <v>45283</v>
      </c>
      <c r="D132" s="28" t="s">
        <v>860</v>
      </c>
      <c r="E132" s="143" t="str">
        <f>VLOOKUP(D132,'Danh mục hàng hóa'!$C$3:$D$643,2,0)</f>
        <v>Thước dây trắng</v>
      </c>
      <c r="F132" s="144" t="str">
        <f>VLOOKUP(D132,'Danh mục hàng hóa'!$C$3:$E$656,3,0)</f>
        <v>cái</v>
      </c>
      <c r="G132" s="166">
        <f>VLOOKUP(D132,'Danh mục hàng hóa'!$C$3:$M$656,5,0)</f>
        <v>3840</v>
      </c>
      <c r="H132" s="313">
        <v>2</v>
      </c>
      <c r="I132" s="314"/>
      <c r="J132" s="166">
        <f t="shared" si="3"/>
        <v>7680</v>
      </c>
      <c r="K132" s="168">
        <f t="shared" si="2"/>
        <v>0</v>
      </c>
      <c r="L132" s="30"/>
      <c r="M132" s="67"/>
    </row>
    <row r="133" spans="1:13" ht="13.2">
      <c r="A133" s="146">
        <v>149</v>
      </c>
      <c r="B133" s="311" t="s">
        <v>336</v>
      </c>
      <c r="C133" s="312">
        <v>45283</v>
      </c>
      <c r="D133" s="28" t="s">
        <v>862</v>
      </c>
      <c r="E133" s="143" t="str">
        <f>VLOOKUP(D133,'Danh mục hàng hóa'!$C$3:$D$643,2,0)</f>
        <v>Thước dây vàng</v>
      </c>
      <c r="F133" s="144" t="str">
        <f>VLOOKUP(D133,'Danh mục hàng hóa'!$C$3:$E$656,3,0)</f>
        <v>cái</v>
      </c>
      <c r="G133" s="166">
        <f>VLOOKUP(D133,'Danh mục hàng hóa'!$C$3:$M$656,5,0)</f>
        <v>3840</v>
      </c>
      <c r="H133" s="313">
        <v>2</v>
      </c>
      <c r="I133" s="314"/>
      <c r="J133" s="166">
        <f t="shared" si="3"/>
        <v>7680</v>
      </c>
      <c r="K133" s="168">
        <f t="shared" si="2"/>
        <v>0</v>
      </c>
      <c r="L133" s="30"/>
      <c r="M133" s="67"/>
    </row>
    <row r="134" spans="1:13" ht="13.2">
      <c r="A134" s="146">
        <v>150</v>
      </c>
      <c r="B134" s="311" t="s">
        <v>336</v>
      </c>
      <c r="C134" s="312">
        <v>45283</v>
      </c>
      <c r="D134" s="28" t="s">
        <v>864</v>
      </c>
      <c r="E134" s="143" t="str">
        <f>VLOOKUP(D134,'Danh mục hàng hóa'!$C$3:$D$643,2,0)</f>
        <v>Thước dây hồng đất</v>
      </c>
      <c r="F134" s="144" t="str">
        <f>VLOOKUP(D134,'Danh mục hàng hóa'!$C$3:$E$656,3,0)</f>
        <v>cái</v>
      </c>
      <c r="G134" s="166">
        <f>VLOOKUP(D134,'Danh mục hàng hóa'!$C$3:$M$656,5,0)</f>
        <v>3840</v>
      </c>
      <c r="H134" s="313">
        <v>2</v>
      </c>
      <c r="I134" s="314"/>
      <c r="J134" s="166">
        <f t="shared" si="3"/>
        <v>7680</v>
      </c>
      <c r="K134" s="168">
        <f t="shared" si="2"/>
        <v>0</v>
      </c>
      <c r="L134" s="30"/>
      <c r="M134" s="67"/>
    </row>
    <row r="135" spans="1:13" ht="13.2">
      <c r="A135" s="146">
        <v>151</v>
      </c>
      <c r="B135" s="311" t="s">
        <v>336</v>
      </c>
      <c r="C135" s="312">
        <v>45283</v>
      </c>
      <c r="D135" s="28" t="s">
        <v>866</v>
      </c>
      <c r="E135" s="143" t="str">
        <f>VLOOKUP(D135,'Danh mục hàng hóa'!$C$3:$D$643,2,0)</f>
        <v>Thước dây hồng phấn</v>
      </c>
      <c r="F135" s="144" t="str">
        <f>VLOOKUP(D135,'Danh mục hàng hóa'!$C$3:$E$656,3,0)</f>
        <v>cái</v>
      </c>
      <c r="G135" s="166">
        <f>VLOOKUP(D135,'Danh mục hàng hóa'!$C$3:$M$656,5,0)</f>
        <v>3840</v>
      </c>
      <c r="H135" s="313">
        <v>4</v>
      </c>
      <c r="I135" s="314"/>
      <c r="J135" s="166">
        <f t="shared" si="3"/>
        <v>15360</v>
      </c>
      <c r="K135" s="168">
        <f t="shared" si="2"/>
        <v>0</v>
      </c>
      <c r="L135" s="30"/>
      <c r="M135" s="67"/>
    </row>
    <row r="136" spans="1:13" ht="13.2">
      <c r="A136" s="146">
        <v>152</v>
      </c>
      <c r="B136" s="311" t="s">
        <v>336</v>
      </c>
      <c r="C136" s="312">
        <v>45283</v>
      </c>
      <c r="D136" s="28" t="s">
        <v>868</v>
      </c>
      <c r="E136" s="143" t="str">
        <f>VLOOKUP(D136,'Danh mục hàng hóa'!$C$3:$D$643,2,0)</f>
        <v>Thước dây xám</v>
      </c>
      <c r="F136" s="144" t="str">
        <f>VLOOKUP(D136,'Danh mục hàng hóa'!$C$3:$E$656,3,0)</f>
        <v>cái</v>
      </c>
      <c r="G136" s="166">
        <f>VLOOKUP(D136,'Danh mục hàng hóa'!$C$3:$M$656,5,0)</f>
        <v>3840</v>
      </c>
      <c r="H136" s="313">
        <v>2</v>
      </c>
      <c r="I136" s="314"/>
      <c r="J136" s="166">
        <f t="shared" si="3"/>
        <v>7680</v>
      </c>
      <c r="K136" s="168">
        <f t="shared" si="2"/>
        <v>0</v>
      </c>
      <c r="L136" s="30"/>
      <c r="M136" s="67"/>
    </row>
    <row r="137" spans="1:13" ht="13.2">
      <c r="A137" s="146">
        <v>153</v>
      </c>
      <c r="B137" s="311" t="s">
        <v>336</v>
      </c>
      <c r="C137" s="312">
        <v>45283</v>
      </c>
      <c r="D137" s="28" t="s">
        <v>870</v>
      </c>
      <c r="E137" s="143" t="str">
        <f>VLOOKUP(D137,'Danh mục hàng hóa'!$C$3:$D$643,2,0)</f>
        <v>Thước dây xanh</v>
      </c>
      <c r="F137" s="144" t="str">
        <f>VLOOKUP(D137,'Danh mục hàng hóa'!$C$3:$E$656,3,0)</f>
        <v>cái</v>
      </c>
      <c r="G137" s="166">
        <f>VLOOKUP(D137,'Danh mục hàng hóa'!$C$3:$M$656,5,0)</f>
        <v>3840</v>
      </c>
      <c r="H137" s="313">
        <v>2</v>
      </c>
      <c r="I137" s="314"/>
      <c r="J137" s="166">
        <f t="shared" si="3"/>
        <v>7680</v>
      </c>
      <c r="K137" s="168">
        <f t="shared" si="2"/>
        <v>0</v>
      </c>
      <c r="L137" s="30"/>
      <c r="M137" s="67"/>
    </row>
    <row r="138" spans="1:13" ht="13.2">
      <c r="A138" s="146">
        <v>154</v>
      </c>
      <c r="B138" s="311" t="s">
        <v>336</v>
      </c>
      <c r="C138" s="312">
        <v>45283</v>
      </c>
      <c r="D138" s="28" t="s">
        <v>872</v>
      </c>
      <c r="E138" s="143" t="str">
        <f>VLOOKUP(D138,'Danh mục hàng hóa'!$C$3:$D$643,2,0)</f>
        <v>Dao rọc giấy cún vàng</v>
      </c>
      <c r="F138" s="144" t="str">
        <f>VLOOKUP(D138,'Danh mục hàng hóa'!$C$3:$E$656,3,0)</f>
        <v>cái</v>
      </c>
      <c r="G138" s="166">
        <f>VLOOKUP(D138,'Danh mục hàng hóa'!$C$3:$M$656,5,0)</f>
        <v>3840</v>
      </c>
      <c r="H138" s="313">
        <v>5</v>
      </c>
      <c r="I138" s="314"/>
      <c r="J138" s="166">
        <f t="shared" si="3"/>
        <v>19200</v>
      </c>
      <c r="K138" s="168">
        <f t="shared" si="2"/>
        <v>0</v>
      </c>
      <c r="L138" s="30"/>
      <c r="M138" s="67"/>
    </row>
    <row r="139" spans="1:13" ht="13.2">
      <c r="A139" s="146">
        <v>155</v>
      </c>
      <c r="B139" s="311" t="s">
        <v>336</v>
      </c>
      <c r="C139" s="312">
        <v>45283</v>
      </c>
      <c r="D139" s="28" t="s">
        <v>874</v>
      </c>
      <c r="E139" s="143" t="str">
        <f>VLOOKUP(D139,'Danh mục hàng hóa'!$C$3:$D$643,2,0)</f>
        <v>Dao rọc giấy cún xanh</v>
      </c>
      <c r="F139" s="144" t="str">
        <f>VLOOKUP(D139,'Danh mục hàng hóa'!$C$3:$E$656,3,0)</f>
        <v>cái</v>
      </c>
      <c r="G139" s="166">
        <f>VLOOKUP(D139,'Danh mục hàng hóa'!$C$3:$M$656,5,0)</f>
        <v>3840</v>
      </c>
      <c r="H139" s="313">
        <v>5</v>
      </c>
      <c r="I139" s="314"/>
      <c r="J139" s="166">
        <f t="shared" si="3"/>
        <v>19200</v>
      </c>
      <c r="K139" s="168">
        <f t="shared" si="2"/>
        <v>0</v>
      </c>
      <c r="L139" s="30"/>
      <c r="M139" s="67"/>
    </row>
    <row r="140" spans="1:13" ht="13.2">
      <c r="A140" s="146">
        <v>156</v>
      </c>
      <c r="B140" s="311" t="s">
        <v>336</v>
      </c>
      <c r="C140" s="312">
        <v>45283</v>
      </c>
      <c r="D140" s="28" t="s">
        <v>876</v>
      </c>
      <c r="E140" s="143" t="str">
        <f>VLOOKUP(D140,'Danh mục hàng hóa'!$C$3:$D$643,2,0)</f>
        <v>Dao rọc giấy cún trắng</v>
      </c>
      <c r="F140" s="144" t="str">
        <f>VLOOKUP(D140,'Danh mục hàng hóa'!$C$3:$E$656,3,0)</f>
        <v>cái</v>
      </c>
      <c r="G140" s="166">
        <f>VLOOKUP(D140,'Danh mục hàng hóa'!$C$3:$M$656,5,0)</f>
        <v>3840</v>
      </c>
      <c r="H140" s="313">
        <v>5</v>
      </c>
      <c r="I140" s="314"/>
      <c r="J140" s="166">
        <f t="shared" si="3"/>
        <v>19200</v>
      </c>
      <c r="K140" s="168">
        <f t="shared" si="2"/>
        <v>0</v>
      </c>
      <c r="L140" s="30"/>
      <c r="M140" s="67"/>
    </row>
    <row r="141" spans="1:13" ht="13.2">
      <c r="A141" s="146">
        <v>157</v>
      </c>
      <c r="B141" s="311" t="s">
        <v>336</v>
      </c>
      <c r="C141" s="312">
        <v>45283</v>
      </c>
      <c r="D141" s="28" t="s">
        <v>878</v>
      </c>
      <c r="E141" s="143" t="str">
        <f>VLOOKUP(D141,'Danh mục hàng hóa'!$C$3:$D$643,2,0)</f>
        <v>Dao rọc giấy cún hồng</v>
      </c>
      <c r="F141" s="144" t="str">
        <f>VLOOKUP(D141,'Danh mục hàng hóa'!$C$3:$E$656,3,0)</f>
        <v>cái</v>
      </c>
      <c r="G141" s="166">
        <f>VLOOKUP(D141,'Danh mục hàng hóa'!$C$3:$M$656,5,0)</f>
        <v>3840</v>
      </c>
      <c r="H141" s="313">
        <v>5</v>
      </c>
      <c r="I141" s="314"/>
      <c r="J141" s="166">
        <f t="shared" si="3"/>
        <v>19200</v>
      </c>
      <c r="K141" s="168">
        <f t="shared" si="2"/>
        <v>0</v>
      </c>
      <c r="L141" s="30"/>
      <c r="M141" s="67"/>
    </row>
    <row r="142" spans="1:13" ht="13.2">
      <c r="A142" s="146">
        <v>158</v>
      </c>
      <c r="B142" s="311" t="s">
        <v>336</v>
      </c>
      <c r="C142" s="312">
        <v>45283</v>
      </c>
      <c r="D142" s="28" t="s">
        <v>880</v>
      </c>
      <c r="E142" s="143" t="str">
        <f>VLOOKUP(D142,'Danh mục hàng hóa'!$C$3:$D$643,2,0)</f>
        <v>Dao rọc giấy mèo tím</v>
      </c>
      <c r="F142" s="144" t="str">
        <f>VLOOKUP(D142,'Danh mục hàng hóa'!$C$3:$E$656,3,0)</f>
        <v>cái</v>
      </c>
      <c r="G142" s="166">
        <f>VLOOKUP(D142,'Danh mục hàng hóa'!$C$3:$M$656,5,0)</f>
        <v>3840</v>
      </c>
      <c r="H142" s="313">
        <v>5</v>
      </c>
      <c r="I142" s="314"/>
      <c r="J142" s="166">
        <f t="shared" si="3"/>
        <v>19200</v>
      </c>
      <c r="K142" s="168">
        <f t="shared" si="2"/>
        <v>0</v>
      </c>
      <c r="L142" s="30"/>
      <c r="M142" s="67"/>
    </row>
    <row r="143" spans="1:13" ht="13.2">
      <c r="A143" s="146">
        <v>159</v>
      </c>
      <c r="B143" s="311" t="s">
        <v>336</v>
      </c>
      <c r="C143" s="312">
        <v>45283</v>
      </c>
      <c r="D143" s="28" t="s">
        <v>882</v>
      </c>
      <c r="E143" s="143" t="str">
        <f>VLOOKUP(D143,'Danh mục hàng hóa'!$C$3:$D$643,2,0)</f>
        <v>Dao rọc giấy gấu nâu</v>
      </c>
      <c r="F143" s="144" t="str">
        <f>VLOOKUP(D143,'Danh mục hàng hóa'!$C$3:$E$656,3,0)</f>
        <v>cái</v>
      </c>
      <c r="G143" s="166">
        <f>VLOOKUP(D143,'Danh mục hàng hóa'!$C$3:$M$656,5,0)</f>
        <v>3840</v>
      </c>
      <c r="H143" s="313">
        <v>5</v>
      </c>
      <c r="I143" s="314"/>
      <c r="J143" s="166">
        <f t="shared" si="3"/>
        <v>19200</v>
      </c>
      <c r="K143" s="168">
        <f t="shared" si="2"/>
        <v>0</v>
      </c>
      <c r="L143" s="30"/>
      <c r="M143" s="67"/>
    </row>
    <row r="144" spans="1:13" ht="13.2">
      <c r="A144" s="146">
        <v>160</v>
      </c>
      <c r="B144" s="311" t="s">
        <v>337</v>
      </c>
      <c r="C144" s="312">
        <v>45283</v>
      </c>
      <c r="D144" s="28" t="s">
        <v>409</v>
      </c>
      <c r="E144" s="143" t="str">
        <f>VLOOKUP(D144,'Danh mục hàng hóa'!$C$3:$D$643,2,0)</f>
        <v>Túi chườm bụng thỏ dứa 1000ml</v>
      </c>
      <c r="F144" s="146" t="s">
        <v>444</v>
      </c>
      <c r="G144" s="211">
        <v>90000</v>
      </c>
      <c r="H144" s="317"/>
      <c r="I144" s="313">
        <v>1</v>
      </c>
      <c r="J144" s="166">
        <f t="shared" si="3"/>
        <v>0</v>
      </c>
      <c r="K144" s="168">
        <f t="shared" si="2"/>
        <v>90000</v>
      </c>
      <c r="L144" s="30"/>
      <c r="M144" s="67"/>
    </row>
    <row r="145" spans="1:13" ht="13.2">
      <c r="A145" s="146">
        <v>161</v>
      </c>
      <c r="B145" s="311" t="s">
        <v>337</v>
      </c>
      <c r="C145" s="312">
        <v>45283</v>
      </c>
      <c r="D145" s="28" t="s">
        <v>418</v>
      </c>
      <c r="E145" s="143" t="str">
        <f>VLOOKUP(D145,'Danh mục hàng hóa'!$C$3:$D$643,2,0)</f>
        <v>Túi chườm bụng dâu xanh nhạt 500ml</v>
      </c>
      <c r="F145" s="146" t="s">
        <v>444</v>
      </c>
      <c r="G145" s="211">
        <v>74574</v>
      </c>
      <c r="H145" s="317"/>
      <c r="I145" s="313">
        <v>1</v>
      </c>
      <c r="J145" s="166">
        <f t="shared" si="3"/>
        <v>0</v>
      </c>
      <c r="K145" s="168">
        <f t="shared" si="2"/>
        <v>74574</v>
      </c>
      <c r="L145" s="30"/>
      <c r="M145" s="67"/>
    </row>
    <row r="146" spans="1:13" ht="13.2">
      <c r="A146" s="146">
        <v>171</v>
      </c>
      <c r="B146" s="311" t="s">
        <v>337</v>
      </c>
      <c r="C146" s="316">
        <v>45285</v>
      </c>
      <c r="D146" s="28" t="s">
        <v>414</v>
      </c>
      <c r="E146" s="143" t="str">
        <f>VLOOKUP(D146,'Danh mục hàng hóa'!$C$3:$D$643,2,0)</f>
        <v>Túi chườm bụng dâu tây 500ml</v>
      </c>
      <c r="F146" s="144" t="str">
        <f>VLOOKUP(D146,'Danh mục hàng hóa'!$C$3:$E$656,3,0)</f>
        <v>túi</v>
      </c>
      <c r="G146" s="211">
        <v>60000</v>
      </c>
      <c r="H146" s="317"/>
      <c r="I146" s="313">
        <v>1</v>
      </c>
      <c r="J146" s="166">
        <f t="shared" si="3"/>
        <v>0</v>
      </c>
      <c r="K146" s="168">
        <f t="shared" si="2"/>
        <v>60000</v>
      </c>
      <c r="L146" s="30"/>
      <c r="M146" s="67"/>
    </row>
    <row r="147" spans="1:13" ht="13.2">
      <c r="A147" s="146">
        <v>173</v>
      </c>
      <c r="B147" s="311" t="s">
        <v>337</v>
      </c>
      <c r="C147" s="316">
        <v>45285</v>
      </c>
      <c r="D147" s="28" t="s">
        <v>588</v>
      </c>
      <c r="E147" s="143" t="str">
        <f>VLOOKUP(D147,'Danh mục hàng hóa'!$C$3:$D$643,2,0)</f>
        <v>Kẹp tóc nhựa be</v>
      </c>
      <c r="F147" s="144" t="str">
        <f>VLOOKUP(D147,'Danh mục hàng hóa'!$C$3:$E$656,3,0)</f>
        <v>cái</v>
      </c>
      <c r="G147" s="166">
        <f>VLOOKUP(D147,'Danh mục hàng hóa'!$C$3:$M$656,6,0)</f>
        <v>17000</v>
      </c>
      <c r="H147" s="317"/>
      <c r="I147" s="313">
        <v>1</v>
      </c>
      <c r="J147" s="166">
        <f t="shared" si="3"/>
        <v>0</v>
      </c>
      <c r="K147" s="168">
        <f t="shared" si="2"/>
        <v>17000</v>
      </c>
      <c r="L147" s="30"/>
      <c r="M147" s="67"/>
    </row>
    <row r="148" spans="1:13" ht="13.2">
      <c r="A148" s="146">
        <v>175</v>
      </c>
      <c r="B148" s="311" t="s">
        <v>337</v>
      </c>
      <c r="C148" s="316">
        <v>45285</v>
      </c>
      <c r="D148" s="28" t="s">
        <v>401</v>
      </c>
      <c r="E148" s="143" t="str">
        <f>VLOOKUP(D148,'Danh mục hàng hóa'!$C$3:$D$643,2,0)</f>
        <v>Túi chườm bụng dứa xanh đậm  1000ml</v>
      </c>
      <c r="F148" s="144" t="str">
        <f>VLOOKUP(D148,'Danh mục hàng hóa'!$C$3:$E$656,3,0)</f>
        <v>túi</v>
      </c>
      <c r="G148" s="211">
        <v>99348</v>
      </c>
      <c r="H148" s="317"/>
      <c r="I148" s="313">
        <v>1</v>
      </c>
      <c r="J148" s="166">
        <f t="shared" si="3"/>
        <v>0</v>
      </c>
      <c r="K148" s="168">
        <f t="shared" si="2"/>
        <v>99348</v>
      </c>
      <c r="L148" s="30"/>
      <c r="M148" s="67"/>
    </row>
    <row r="149" spans="1:13" ht="13.2">
      <c r="A149" s="146">
        <v>176</v>
      </c>
      <c r="B149" s="311" t="s">
        <v>337</v>
      </c>
      <c r="C149" s="316">
        <v>45286</v>
      </c>
      <c r="D149" s="28" t="s">
        <v>568</v>
      </c>
      <c r="E149" s="143" t="str">
        <f>VLOOKUP(D149,'Danh mục hàng hóa'!$C$3:$D$643,2,0)</f>
        <v>Ống 100 dây cột tóc đen</v>
      </c>
      <c r="F149" s="144" t="str">
        <f>VLOOKUP(D149,'Danh mục hàng hóa'!$C$3:$E$656,3,0)</f>
        <v>ống</v>
      </c>
      <c r="G149" s="211">
        <v>26000</v>
      </c>
      <c r="H149" s="317"/>
      <c r="I149" s="313">
        <v>1</v>
      </c>
      <c r="J149" s="166">
        <f t="shared" si="3"/>
        <v>0</v>
      </c>
      <c r="K149" s="168">
        <f t="shared" si="2"/>
        <v>26000</v>
      </c>
      <c r="L149" s="30"/>
      <c r="M149" s="67"/>
    </row>
    <row r="150" spans="1:13" ht="13.2">
      <c r="A150" s="146">
        <v>177</v>
      </c>
      <c r="B150" s="311" t="s">
        <v>337</v>
      </c>
      <c r="C150" s="316">
        <v>45286</v>
      </c>
      <c r="D150" s="28" t="s">
        <v>709</v>
      </c>
      <c r="E150" s="143" t="str">
        <f>VLOOKUP(D150,'Danh mục hàng hóa'!$C$3:$D$643,2,0)</f>
        <v>Buộc tóc hồng lông nhỏ</v>
      </c>
      <c r="F150" s="144" t="str">
        <f>VLOOKUP(D150,'Danh mục hàng hóa'!$C$3:$E$656,3,0)</f>
        <v>cái</v>
      </c>
      <c r="G150" s="211">
        <v>12000</v>
      </c>
      <c r="H150" s="317"/>
      <c r="I150" s="313">
        <v>1</v>
      </c>
      <c r="J150" s="166">
        <f t="shared" si="3"/>
        <v>0</v>
      </c>
      <c r="K150" s="168">
        <f t="shared" si="2"/>
        <v>12000</v>
      </c>
      <c r="L150" s="30"/>
      <c r="M150" s="67"/>
    </row>
    <row r="151" spans="1:13" ht="13.2">
      <c r="A151" s="146">
        <v>178</v>
      </c>
      <c r="B151" s="311" t="s">
        <v>337</v>
      </c>
      <c r="C151" s="316">
        <v>45286</v>
      </c>
      <c r="D151" s="28" t="s">
        <v>476</v>
      </c>
      <c r="E151" s="143" t="str">
        <f>VLOOKUP(D151,'Danh mục hàng hóa'!$C$3:$D$643,2,0)</f>
        <v>Trâm cài hoa trắng</v>
      </c>
      <c r="F151" s="144" t="str">
        <f>VLOOKUP(D151,'Danh mục hàng hóa'!$C$3:$E$656,3,0)</f>
        <v>cái</v>
      </c>
      <c r="G151" s="211">
        <v>16000</v>
      </c>
      <c r="H151" s="317"/>
      <c r="I151" s="313">
        <v>1</v>
      </c>
      <c r="J151" s="166">
        <f t="shared" si="3"/>
        <v>0</v>
      </c>
      <c r="K151" s="168">
        <f t="shared" si="2"/>
        <v>16000</v>
      </c>
      <c r="L151" s="30"/>
      <c r="M151" s="67"/>
    </row>
    <row r="152" spans="1:13" ht="13.2">
      <c r="A152" s="146">
        <v>179</v>
      </c>
      <c r="B152" s="311" t="s">
        <v>337</v>
      </c>
      <c r="C152" s="316">
        <v>45286</v>
      </c>
      <c r="D152" s="28" t="s">
        <v>480</v>
      </c>
      <c r="E152" s="143" t="str">
        <f>VLOOKUP(D152,'Danh mục hàng hóa'!$C$3:$D$643,2,0)</f>
        <v>Trâm cài gỗ nâu có họa tiết</v>
      </c>
      <c r="F152" s="144" t="str">
        <f>VLOOKUP(D152,'Danh mục hàng hóa'!$C$3:$E$656,3,0)</f>
        <v>cái</v>
      </c>
      <c r="G152" s="211">
        <v>6016</v>
      </c>
      <c r="H152" s="317"/>
      <c r="I152" s="313">
        <v>1</v>
      </c>
      <c r="J152" s="166">
        <f t="shared" si="3"/>
        <v>0</v>
      </c>
      <c r="K152" s="168">
        <f t="shared" si="2"/>
        <v>6016</v>
      </c>
      <c r="L152" s="30"/>
      <c r="M152" s="67"/>
    </row>
    <row r="153" spans="1:13" ht="13.2">
      <c r="A153" s="146">
        <v>190</v>
      </c>
      <c r="B153" s="311" t="s">
        <v>337</v>
      </c>
      <c r="C153" s="316">
        <v>45286</v>
      </c>
      <c r="D153" s="28" t="s">
        <v>629</v>
      </c>
      <c r="E153" s="143" t="str">
        <f>VLOOKUP(D153,'Danh mục hàng hóa'!$C$3:$D$643,2,0)</f>
        <v>Kẹp tóc lông nâu đậm</v>
      </c>
      <c r="F153" s="144" t="str">
        <f>VLOOKUP(D153,'Danh mục hàng hóa'!$C$3:$E$656,3,0)</f>
        <v>cái</v>
      </c>
      <c r="G153" s="211">
        <v>25000</v>
      </c>
      <c r="H153" s="313"/>
      <c r="I153" s="313">
        <v>1</v>
      </c>
      <c r="J153" s="166">
        <f t="shared" si="3"/>
        <v>0</v>
      </c>
      <c r="K153" s="168">
        <f t="shared" si="2"/>
        <v>25000</v>
      </c>
      <c r="L153" s="30"/>
      <c r="M153" s="67"/>
    </row>
    <row r="154" spans="1:13" ht="13.2">
      <c r="A154" s="146">
        <v>191</v>
      </c>
      <c r="B154" s="311" t="s">
        <v>337</v>
      </c>
      <c r="C154" s="316">
        <v>45286</v>
      </c>
      <c r="D154" s="28" t="s">
        <v>568</v>
      </c>
      <c r="E154" s="143" t="str">
        <f>VLOOKUP(D154,'Danh mục hàng hóa'!$C$3:$D$643,2,0)</f>
        <v>Ống 100 dây cột tóc đen</v>
      </c>
      <c r="F154" s="144" t="str">
        <f>VLOOKUP(D154,'Danh mục hàng hóa'!$C$3:$E$656,3,0)</f>
        <v>ống</v>
      </c>
      <c r="G154" s="211">
        <v>15000</v>
      </c>
      <c r="H154" s="313"/>
      <c r="I154" s="313">
        <v>1</v>
      </c>
      <c r="J154" s="166">
        <f t="shared" si="3"/>
        <v>0</v>
      </c>
      <c r="K154" s="168">
        <f t="shared" si="2"/>
        <v>15000</v>
      </c>
      <c r="L154" s="30"/>
      <c r="M154" s="67"/>
    </row>
    <row r="155" spans="1:13" ht="13.2">
      <c r="A155" s="146">
        <v>192</v>
      </c>
      <c r="B155" s="311" t="s">
        <v>336</v>
      </c>
      <c r="C155" s="316">
        <v>45287</v>
      </c>
      <c r="D155" s="28" t="s">
        <v>439</v>
      </c>
      <c r="E155" s="143" t="str">
        <f>VLOOKUP(D155,'Danh mục hàng hóa'!$C$3:$D$643,2,0)</f>
        <v>Bao lì xì vui vẻ</v>
      </c>
      <c r="F155" s="144" t="str">
        <f>VLOOKUP(D155,'Danh mục hàng hóa'!$C$3:$E$656,3,0)</f>
        <v>set 6 cái</v>
      </c>
      <c r="G155" s="211">
        <v>3640</v>
      </c>
      <c r="H155" s="313">
        <v>100</v>
      </c>
      <c r="I155" s="317"/>
      <c r="J155" s="166">
        <f t="shared" si="3"/>
        <v>364000</v>
      </c>
      <c r="K155" s="168">
        <f t="shared" si="2"/>
        <v>0</v>
      </c>
      <c r="L155" s="30"/>
      <c r="M155" s="67"/>
    </row>
    <row r="156" spans="1:13" ht="13.2">
      <c r="A156" s="146">
        <v>193</v>
      </c>
      <c r="B156" s="311" t="s">
        <v>336</v>
      </c>
      <c r="C156" s="316">
        <v>45287</v>
      </c>
      <c r="D156" s="28" t="s">
        <v>440</v>
      </c>
      <c r="E156" s="143" t="str">
        <f>VLOOKUP(D156,'Danh mục hàng hóa'!$C$3:$D$643,2,0)</f>
        <v>Bao lì xì ngộ nghĩnh</v>
      </c>
      <c r="F156" s="144" t="str">
        <f>VLOOKUP(D156,'Danh mục hàng hóa'!$C$3:$E$656,3,0)</f>
        <v>set 6 cái</v>
      </c>
      <c r="G156" s="211">
        <v>3640</v>
      </c>
      <c r="H156" s="313">
        <v>100</v>
      </c>
      <c r="I156" s="317"/>
      <c r="J156" s="166">
        <f t="shared" si="3"/>
        <v>364000</v>
      </c>
      <c r="K156" s="168">
        <f t="shared" si="2"/>
        <v>0</v>
      </c>
      <c r="L156" s="30"/>
      <c r="M156" s="67"/>
    </row>
    <row r="157" spans="1:13" ht="13.2">
      <c r="A157" s="146">
        <v>210</v>
      </c>
      <c r="B157" s="311" t="s">
        <v>337</v>
      </c>
      <c r="C157" s="318">
        <v>45288</v>
      </c>
      <c r="D157" s="28" t="s">
        <v>431</v>
      </c>
      <c r="E157" s="143" t="str">
        <f>VLOOKUP(D157,'Danh mục hàng hóa'!$C$3:$D$643,2,0)</f>
        <v>Bao lì xì rồng con</v>
      </c>
      <c r="F157" s="144" t="str">
        <f>VLOOKUP(D157,'Danh mục hàng hóa'!$C$3:$E$656,3,0)</f>
        <v>túi 4 cái</v>
      </c>
      <c r="G157" s="211">
        <v>14000</v>
      </c>
      <c r="H157" s="317"/>
      <c r="I157" s="313">
        <v>3</v>
      </c>
      <c r="J157" s="166">
        <f t="shared" si="3"/>
        <v>0</v>
      </c>
      <c r="K157" s="168">
        <f t="shared" si="2"/>
        <v>42000</v>
      </c>
      <c r="L157" s="30"/>
      <c r="M157" s="67"/>
    </row>
    <row r="158" spans="1:13" ht="13.2">
      <c r="A158" s="146">
        <v>217</v>
      </c>
      <c r="B158" s="311" t="s">
        <v>336</v>
      </c>
      <c r="C158" s="318">
        <v>45288</v>
      </c>
      <c r="D158" s="28" t="s">
        <v>438</v>
      </c>
      <c r="E158" s="143" t="str">
        <f>VLOOKUP(D158,'Danh mục hàng hóa'!$C$3:$D$643,2,0)</f>
        <v>Bao lì xì Tết xanh</v>
      </c>
      <c r="F158" s="144" t="str">
        <f>VLOOKUP(D158,'Danh mục hàng hóa'!$C$3:$E$656,3,0)</f>
        <v>set 6 cái</v>
      </c>
      <c r="G158" s="211">
        <v>3600</v>
      </c>
      <c r="H158" s="313">
        <v>100</v>
      </c>
      <c r="I158" s="313">
        <v>0</v>
      </c>
      <c r="J158" s="166">
        <f t="shared" si="3"/>
        <v>360000</v>
      </c>
      <c r="K158" s="168">
        <f t="shared" si="2"/>
        <v>0</v>
      </c>
      <c r="L158" s="30"/>
      <c r="M158" s="67"/>
    </row>
    <row r="159" spans="1:13" ht="13.2">
      <c r="A159" s="146">
        <v>220</v>
      </c>
      <c r="B159" s="311" t="s">
        <v>337</v>
      </c>
      <c r="C159" s="319">
        <v>45291</v>
      </c>
      <c r="D159" s="28" t="s">
        <v>709</v>
      </c>
      <c r="E159" s="143" t="str">
        <f>VLOOKUP(D159,'Danh mục hàng hóa'!$C$3:$D$643,2,0)</f>
        <v>Buộc tóc hồng lông nhỏ</v>
      </c>
      <c r="F159" s="144" t="str">
        <f>VLOOKUP(D159,'Danh mục hàng hóa'!$C$3:$E$656,3,0)</f>
        <v>cái</v>
      </c>
      <c r="G159" s="320">
        <v>8890</v>
      </c>
      <c r="H159" s="317"/>
      <c r="I159" s="313">
        <v>1</v>
      </c>
      <c r="J159" s="166">
        <f t="shared" si="3"/>
        <v>0</v>
      </c>
      <c r="K159" s="168">
        <f t="shared" si="2"/>
        <v>8890</v>
      </c>
      <c r="L159" s="30"/>
      <c r="M159" s="67"/>
    </row>
    <row r="160" spans="1:13" ht="13.2">
      <c r="A160" s="146">
        <v>231</v>
      </c>
      <c r="B160" s="311" t="s">
        <v>337</v>
      </c>
      <c r="C160" s="319">
        <v>45292</v>
      </c>
      <c r="D160" s="28" t="s">
        <v>418</v>
      </c>
      <c r="E160" s="143" t="str">
        <f>VLOOKUP(D160,'Danh mục hàng hóa'!$C$3:$D$643,2,0)</f>
        <v>Túi chườm bụng dâu xanh nhạt 500ml</v>
      </c>
      <c r="F160" s="144" t="str">
        <f>VLOOKUP(D160,'Danh mục hàng hóa'!$C$3:$E$656,3,0)</f>
        <v>túi</v>
      </c>
      <c r="G160" s="320">
        <v>79150</v>
      </c>
      <c r="H160" s="317"/>
      <c r="I160" s="313">
        <v>1</v>
      </c>
      <c r="J160" s="166">
        <f t="shared" si="3"/>
        <v>0</v>
      </c>
      <c r="K160" s="168">
        <f t="shared" si="2"/>
        <v>79150</v>
      </c>
      <c r="L160" s="30"/>
      <c r="M160" s="67"/>
    </row>
    <row r="161" spans="1:13" ht="13.2">
      <c r="A161" s="146">
        <v>232</v>
      </c>
      <c r="B161" s="311" t="s">
        <v>337</v>
      </c>
      <c r="C161" s="319">
        <v>45292</v>
      </c>
      <c r="D161" s="28" t="s">
        <v>438</v>
      </c>
      <c r="E161" s="143" t="str">
        <f>VLOOKUP(D161,'Danh mục hàng hóa'!$C$3:$D$643,2,0)</f>
        <v>Bao lì xì Tết xanh</v>
      </c>
      <c r="F161" s="144" t="str">
        <f>VLOOKUP(D161,'Danh mục hàng hóa'!$C$3:$E$656,3,0)</f>
        <v>set 6 cái</v>
      </c>
      <c r="G161" s="320">
        <v>7500</v>
      </c>
      <c r="H161" s="317"/>
      <c r="I161" s="313">
        <v>1</v>
      </c>
      <c r="J161" s="166">
        <f t="shared" si="3"/>
        <v>0</v>
      </c>
      <c r="K161" s="168">
        <f t="shared" si="2"/>
        <v>7500</v>
      </c>
      <c r="L161" s="30"/>
      <c r="M161" s="67"/>
    </row>
    <row r="162" spans="1:13" ht="13.2">
      <c r="A162" s="146">
        <v>233</v>
      </c>
      <c r="B162" s="311" t="s">
        <v>337</v>
      </c>
      <c r="C162" s="319">
        <v>45292</v>
      </c>
      <c r="D162" s="28" t="s">
        <v>439</v>
      </c>
      <c r="E162" s="143" t="str">
        <f>VLOOKUP(D162,'Danh mục hàng hóa'!$C$3:$D$643,2,0)</f>
        <v>Bao lì xì vui vẻ</v>
      </c>
      <c r="F162" s="144" t="str">
        <f>VLOOKUP(D162,'Danh mục hàng hóa'!$C$3:$E$656,3,0)</f>
        <v>set 6 cái</v>
      </c>
      <c r="G162" s="320">
        <v>7500</v>
      </c>
      <c r="H162" s="317"/>
      <c r="I162" s="313">
        <v>2</v>
      </c>
      <c r="J162" s="166">
        <f t="shared" si="3"/>
        <v>0</v>
      </c>
      <c r="K162" s="168">
        <f t="shared" si="2"/>
        <v>15000</v>
      </c>
      <c r="L162" s="30"/>
      <c r="M162" s="67"/>
    </row>
    <row r="163" spans="1:13" ht="13.2">
      <c r="A163" s="146">
        <v>234</v>
      </c>
      <c r="B163" s="311" t="s">
        <v>337</v>
      </c>
      <c r="C163" s="319">
        <v>45292</v>
      </c>
      <c r="D163" s="28" t="s">
        <v>440</v>
      </c>
      <c r="E163" s="143" t="str">
        <f>VLOOKUP(D163,'Danh mục hàng hóa'!$C$3:$D$643,2,0)</f>
        <v>Bao lì xì ngộ nghĩnh</v>
      </c>
      <c r="F163" s="144" t="str">
        <f>VLOOKUP(D163,'Danh mục hàng hóa'!$C$3:$E$656,3,0)</f>
        <v>set 6 cái</v>
      </c>
      <c r="G163" s="320">
        <v>7500</v>
      </c>
      <c r="H163" s="317"/>
      <c r="I163" s="313">
        <v>3</v>
      </c>
      <c r="J163" s="166">
        <f t="shared" si="3"/>
        <v>0</v>
      </c>
      <c r="K163" s="168">
        <f t="shared" si="2"/>
        <v>22500</v>
      </c>
      <c r="L163" s="30"/>
      <c r="M163" s="67"/>
    </row>
    <row r="164" spans="1:13" ht="13.2">
      <c r="A164" s="146">
        <v>235</v>
      </c>
      <c r="B164" s="311" t="s">
        <v>337</v>
      </c>
      <c r="C164" s="319">
        <v>45292</v>
      </c>
      <c r="D164" s="28" t="s">
        <v>874</v>
      </c>
      <c r="E164" s="143" t="str">
        <f>VLOOKUP(D164,'Danh mục hàng hóa'!$C$3:$D$643,2,0)</f>
        <v>Dao rọc giấy cún xanh</v>
      </c>
      <c r="F164" s="144" t="str">
        <f>VLOOKUP(D164,'Danh mục hàng hóa'!$C$3:$E$656,3,0)</f>
        <v>cái</v>
      </c>
      <c r="G164" s="320">
        <v>7746</v>
      </c>
      <c r="H164" s="317"/>
      <c r="I164" s="313">
        <v>1</v>
      </c>
      <c r="J164" s="166">
        <f t="shared" si="3"/>
        <v>0</v>
      </c>
      <c r="K164" s="168">
        <f t="shared" si="2"/>
        <v>7746</v>
      </c>
      <c r="L164" s="30"/>
      <c r="M164" s="67"/>
    </row>
    <row r="165" spans="1:13" ht="13.2">
      <c r="A165" s="146">
        <v>236</v>
      </c>
      <c r="B165" s="311" t="s">
        <v>337</v>
      </c>
      <c r="C165" s="319">
        <v>45292</v>
      </c>
      <c r="D165" s="28" t="s">
        <v>431</v>
      </c>
      <c r="E165" s="143" t="str">
        <f>VLOOKUP(D165,'Danh mục hàng hóa'!$C$3:$D$643,2,0)</f>
        <v>Bao lì xì rồng con</v>
      </c>
      <c r="F165" s="144" t="str">
        <f>VLOOKUP(D165,'Danh mục hàng hóa'!$C$3:$E$656,3,0)</f>
        <v>túi 4 cái</v>
      </c>
      <c r="G165" s="320">
        <v>14148.5</v>
      </c>
      <c r="H165" s="317"/>
      <c r="I165" s="313">
        <v>2</v>
      </c>
      <c r="J165" s="166">
        <f t="shared" si="3"/>
        <v>0</v>
      </c>
      <c r="K165" s="168">
        <f t="shared" si="2"/>
        <v>28297</v>
      </c>
      <c r="L165" s="30"/>
      <c r="M165" s="67"/>
    </row>
    <row r="166" spans="1:13" ht="13.2">
      <c r="A166" s="146">
        <v>237</v>
      </c>
      <c r="B166" s="311" t="s">
        <v>337</v>
      </c>
      <c r="C166" s="319">
        <v>45292</v>
      </c>
      <c r="D166" s="28" t="s">
        <v>437</v>
      </c>
      <c r="E166" s="143" t="str">
        <f>VLOOKUP(D166,'Danh mục hàng hóa'!$C$3:$D$643,2,0)</f>
        <v>Bao lì xì Tết hoa</v>
      </c>
      <c r="F166" s="144" t="str">
        <f>VLOOKUP(D166,'Danh mục hàng hóa'!$C$3:$E$656,3,0)</f>
        <v>set 6 cái</v>
      </c>
      <c r="G166" s="320">
        <v>8900</v>
      </c>
      <c r="H166" s="317"/>
      <c r="I166" s="313">
        <v>1</v>
      </c>
      <c r="J166" s="166">
        <f t="shared" si="3"/>
        <v>0</v>
      </c>
      <c r="K166" s="168">
        <f t="shared" si="2"/>
        <v>8900</v>
      </c>
      <c r="L166" s="30"/>
      <c r="M166" s="67"/>
    </row>
    <row r="167" spans="1:13" ht="13.2">
      <c r="A167" s="146">
        <v>238</v>
      </c>
      <c r="B167" s="311" t="s">
        <v>337</v>
      </c>
      <c r="C167" s="319">
        <v>45292</v>
      </c>
      <c r="D167" s="28" t="s">
        <v>440</v>
      </c>
      <c r="E167" s="143" t="str">
        <f>VLOOKUP(D167,'Danh mục hàng hóa'!$C$3:$D$643,2,0)</f>
        <v>Bao lì xì ngộ nghĩnh</v>
      </c>
      <c r="F167" s="144" t="str">
        <f>VLOOKUP(D167,'Danh mục hàng hóa'!$C$3:$E$656,3,0)</f>
        <v>set 6 cái</v>
      </c>
      <c r="G167" s="320">
        <v>8400</v>
      </c>
      <c r="H167" s="317"/>
      <c r="I167" s="313">
        <v>1</v>
      </c>
      <c r="J167" s="166">
        <f t="shared" si="3"/>
        <v>0</v>
      </c>
      <c r="K167" s="168">
        <f t="shared" si="2"/>
        <v>8400</v>
      </c>
      <c r="L167" s="30"/>
      <c r="M167" s="67"/>
    </row>
    <row r="168" spans="1:13" ht="13.2">
      <c r="A168" s="146">
        <v>239</v>
      </c>
      <c r="B168" s="311" t="s">
        <v>337</v>
      </c>
      <c r="C168" s="319">
        <v>45292</v>
      </c>
      <c r="D168" s="28" t="s">
        <v>435</v>
      </c>
      <c r="E168" s="143" t="str">
        <f>VLOOKUP(D168,'Danh mục hàng hóa'!$C$3:$D$643,2,0)</f>
        <v>Bao lì xì Tết tài lộc</v>
      </c>
      <c r="F168" s="144" t="str">
        <f>VLOOKUP(D168,'Danh mục hàng hóa'!$C$3:$E$656,3,0)</f>
        <v>set 6 cái</v>
      </c>
      <c r="G168" s="321">
        <f t="shared" ref="G168:G172" si="4">28420/5</f>
        <v>5684</v>
      </c>
      <c r="H168" s="317"/>
      <c r="I168" s="313">
        <v>1</v>
      </c>
      <c r="J168" s="166">
        <f t="shared" si="3"/>
        <v>0</v>
      </c>
      <c r="K168" s="168">
        <f t="shared" si="2"/>
        <v>5684</v>
      </c>
      <c r="L168" s="30"/>
      <c r="M168" s="67"/>
    </row>
    <row r="169" spans="1:13" ht="13.2">
      <c r="A169" s="146">
        <v>240</v>
      </c>
      <c r="B169" s="311" t="s">
        <v>337</v>
      </c>
      <c r="C169" s="319">
        <v>45292</v>
      </c>
      <c r="D169" s="28" t="s">
        <v>437</v>
      </c>
      <c r="E169" s="143" t="str">
        <f>VLOOKUP(D169,'Danh mục hàng hóa'!$C$3:$D$643,2,0)</f>
        <v>Bao lì xì Tết hoa</v>
      </c>
      <c r="F169" s="144" t="str">
        <f>VLOOKUP(D169,'Danh mục hàng hóa'!$C$3:$E$656,3,0)</f>
        <v>set 6 cái</v>
      </c>
      <c r="G169" s="321">
        <f t="shared" si="4"/>
        <v>5684</v>
      </c>
      <c r="H169" s="317"/>
      <c r="I169" s="313">
        <v>1</v>
      </c>
      <c r="J169" s="166">
        <f t="shared" si="3"/>
        <v>0</v>
      </c>
      <c r="K169" s="168">
        <f t="shared" si="2"/>
        <v>5684</v>
      </c>
      <c r="L169" s="30"/>
      <c r="M169" s="67"/>
    </row>
    <row r="170" spans="1:13" ht="13.2">
      <c r="A170" s="146">
        <v>241</v>
      </c>
      <c r="B170" s="311" t="s">
        <v>337</v>
      </c>
      <c r="C170" s="319">
        <v>45292</v>
      </c>
      <c r="D170" s="28" t="s">
        <v>438</v>
      </c>
      <c r="E170" s="143" t="str">
        <f>VLOOKUP(D170,'Danh mục hàng hóa'!$C$3:$D$643,2,0)</f>
        <v>Bao lì xì Tết xanh</v>
      </c>
      <c r="F170" s="144" t="str">
        <f>VLOOKUP(D170,'Danh mục hàng hóa'!$C$3:$E$656,3,0)</f>
        <v>set 6 cái</v>
      </c>
      <c r="G170" s="321">
        <f t="shared" si="4"/>
        <v>5684</v>
      </c>
      <c r="H170" s="317"/>
      <c r="I170" s="313">
        <v>1</v>
      </c>
      <c r="J170" s="166">
        <f t="shared" si="3"/>
        <v>0</v>
      </c>
      <c r="K170" s="168">
        <f t="shared" si="2"/>
        <v>5684</v>
      </c>
      <c r="L170" s="30"/>
      <c r="M170" s="67"/>
    </row>
    <row r="171" spans="1:13" ht="13.2">
      <c r="A171" s="146">
        <v>242</v>
      </c>
      <c r="B171" s="311" t="s">
        <v>337</v>
      </c>
      <c r="C171" s="319">
        <v>45292</v>
      </c>
      <c r="D171" s="28" t="s">
        <v>439</v>
      </c>
      <c r="E171" s="143" t="str">
        <f>VLOOKUP(D171,'Danh mục hàng hóa'!$C$3:$D$643,2,0)</f>
        <v>Bao lì xì vui vẻ</v>
      </c>
      <c r="F171" s="144" t="str">
        <f>VLOOKUP(D171,'Danh mục hàng hóa'!$C$3:$E$656,3,0)</f>
        <v>set 6 cái</v>
      </c>
      <c r="G171" s="321">
        <f t="shared" si="4"/>
        <v>5684</v>
      </c>
      <c r="H171" s="317"/>
      <c r="I171" s="313">
        <v>1</v>
      </c>
      <c r="J171" s="166">
        <f t="shared" si="3"/>
        <v>0</v>
      </c>
      <c r="K171" s="168">
        <f t="shared" si="2"/>
        <v>5684</v>
      </c>
      <c r="L171" s="30"/>
      <c r="M171" s="67"/>
    </row>
    <row r="172" spans="1:13" ht="13.2">
      <c r="A172" s="146">
        <v>243</v>
      </c>
      <c r="B172" s="311" t="s">
        <v>337</v>
      </c>
      <c r="C172" s="319">
        <v>45292</v>
      </c>
      <c r="D172" s="28" t="s">
        <v>440</v>
      </c>
      <c r="E172" s="143" t="str">
        <f>VLOOKUP(D172,'Danh mục hàng hóa'!$C$3:$D$643,2,0)</f>
        <v>Bao lì xì ngộ nghĩnh</v>
      </c>
      <c r="F172" s="144" t="str">
        <f>VLOOKUP(D172,'Danh mục hàng hóa'!$C$3:$E$656,3,0)</f>
        <v>set 6 cái</v>
      </c>
      <c r="G172" s="321">
        <f t="shared" si="4"/>
        <v>5684</v>
      </c>
      <c r="H172" s="317"/>
      <c r="I172" s="313">
        <v>1</v>
      </c>
      <c r="J172" s="166">
        <f t="shared" si="3"/>
        <v>0</v>
      </c>
      <c r="K172" s="168">
        <f t="shared" si="2"/>
        <v>5684</v>
      </c>
      <c r="L172" s="30"/>
      <c r="M172" s="67"/>
    </row>
    <row r="173" spans="1:13" ht="13.2">
      <c r="A173" s="146">
        <v>244</v>
      </c>
      <c r="B173" s="311" t="s">
        <v>337</v>
      </c>
      <c r="C173" s="319">
        <v>45292</v>
      </c>
      <c r="D173" s="28" t="s">
        <v>435</v>
      </c>
      <c r="E173" s="143" t="str">
        <f>VLOOKUP(D173,'Danh mục hàng hóa'!$C$3:$D$643,2,0)</f>
        <v>Bao lì xì Tết tài lộc</v>
      </c>
      <c r="F173" s="144" t="str">
        <f>VLOOKUP(D173,'Danh mục hàng hóa'!$C$3:$E$656,3,0)</f>
        <v>set 6 cái</v>
      </c>
      <c r="G173" s="320">
        <v>6000</v>
      </c>
      <c r="H173" s="317"/>
      <c r="I173" s="313">
        <v>1</v>
      </c>
      <c r="J173" s="166">
        <f t="shared" si="3"/>
        <v>0</v>
      </c>
      <c r="K173" s="168">
        <f t="shared" si="2"/>
        <v>6000</v>
      </c>
      <c r="L173" s="30"/>
      <c r="M173" s="67"/>
    </row>
    <row r="174" spans="1:13" ht="13.2">
      <c r="A174" s="146">
        <v>245</v>
      </c>
      <c r="B174" s="311" t="s">
        <v>337</v>
      </c>
      <c r="C174" s="319">
        <v>45292</v>
      </c>
      <c r="D174" s="28" t="s">
        <v>437</v>
      </c>
      <c r="E174" s="143" t="str">
        <f>VLOOKUP(D174,'Danh mục hàng hóa'!$C$3:$D$643,2,0)</f>
        <v>Bao lì xì Tết hoa</v>
      </c>
      <c r="F174" s="144" t="str">
        <f>VLOOKUP(D174,'Danh mục hàng hóa'!$C$3:$E$656,3,0)</f>
        <v>set 6 cái</v>
      </c>
      <c r="G174" s="320">
        <v>6000</v>
      </c>
      <c r="H174" s="317"/>
      <c r="I174" s="313">
        <v>1</v>
      </c>
      <c r="J174" s="166">
        <f t="shared" si="3"/>
        <v>0</v>
      </c>
      <c r="K174" s="168">
        <f t="shared" si="2"/>
        <v>6000</v>
      </c>
      <c r="L174" s="30"/>
      <c r="M174" s="67"/>
    </row>
    <row r="175" spans="1:13" ht="13.2">
      <c r="A175" s="146">
        <v>246</v>
      </c>
      <c r="B175" s="311" t="s">
        <v>337</v>
      </c>
      <c r="C175" s="319">
        <v>45292</v>
      </c>
      <c r="D175" s="28" t="s">
        <v>438</v>
      </c>
      <c r="E175" s="143" t="str">
        <f>VLOOKUP(D175,'Danh mục hàng hóa'!$C$3:$D$643,2,0)</f>
        <v>Bao lì xì Tết xanh</v>
      </c>
      <c r="F175" s="144" t="str">
        <f>VLOOKUP(D175,'Danh mục hàng hóa'!$C$3:$E$656,3,0)</f>
        <v>set 6 cái</v>
      </c>
      <c r="G175" s="320">
        <v>6000</v>
      </c>
      <c r="H175" s="317"/>
      <c r="I175" s="313">
        <v>1</v>
      </c>
      <c r="J175" s="166">
        <f t="shared" si="3"/>
        <v>0</v>
      </c>
      <c r="K175" s="168">
        <f t="shared" si="2"/>
        <v>6000</v>
      </c>
      <c r="L175" s="30"/>
      <c r="M175" s="67"/>
    </row>
    <row r="176" spans="1:13" ht="13.2">
      <c r="A176" s="146">
        <v>247</v>
      </c>
      <c r="B176" s="311" t="s">
        <v>337</v>
      </c>
      <c r="C176" s="319">
        <v>45292</v>
      </c>
      <c r="D176" s="28" t="s">
        <v>439</v>
      </c>
      <c r="E176" s="143" t="str">
        <f>VLOOKUP(D176,'Danh mục hàng hóa'!$C$3:$D$643,2,0)</f>
        <v>Bao lì xì vui vẻ</v>
      </c>
      <c r="F176" s="144" t="str">
        <f>VLOOKUP(D176,'Danh mục hàng hóa'!$C$3:$E$656,3,0)</f>
        <v>set 6 cái</v>
      </c>
      <c r="G176" s="320">
        <v>6000</v>
      </c>
      <c r="H176" s="317"/>
      <c r="I176" s="313">
        <v>1</v>
      </c>
      <c r="J176" s="166">
        <f t="shared" si="3"/>
        <v>0</v>
      </c>
      <c r="K176" s="168">
        <f t="shared" si="2"/>
        <v>6000</v>
      </c>
      <c r="L176" s="30"/>
      <c r="M176" s="67"/>
    </row>
    <row r="177" spans="1:13" ht="13.2">
      <c r="A177" s="146">
        <v>248</v>
      </c>
      <c r="B177" s="311" t="s">
        <v>337</v>
      </c>
      <c r="C177" s="319">
        <v>45292</v>
      </c>
      <c r="D177" s="28" t="s">
        <v>440</v>
      </c>
      <c r="E177" s="143" t="str">
        <f>VLOOKUP(D177,'Danh mục hàng hóa'!$C$3:$D$643,2,0)</f>
        <v>Bao lì xì ngộ nghĩnh</v>
      </c>
      <c r="F177" s="144" t="str">
        <f>VLOOKUP(D177,'Danh mục hàng hóa'!$C$3:$E$656,3,0)</f>
        <v>set 6 cái</v>
      </c>
      <c r="G177" s="320">
        <v>6000</v>
      </c>
      <c r="H177" s="317"/>
      <c r="I177" s="313">
        <v>1</v>
      </c>
      <c r="J177" s="166">
        <f t="shared" si="3"/>
        <v>0</v>
      </c>
      <c r="K177" s="168">
        <f t="shared" si="2"/>
        <v>6000</v>
      </c>
      <c r="L177" s="30"/>
      <c r="M177" s="67"/>
    </row>
    <row r="178" spans="1:13" ht="13.2">
      <c r="A178" s="146">
        <v>249</v>
      </c>
      <c r="B178" s="311" t="s">
        <v>337</v>
      </c>
      <c r="C178" s="319">
        <v>45292</v>
      </c>
      <c r="D178" s="28" t="s">
        <v>435</v>
      </c>
      <c r="E178" s="143" t="str">
        <f>VLOOKUP(D178,'Danh mục hàng hóa'!$C$3:$D$643,2,0)</f>
        <v>Bao lì xì Tết tài lộc</v>
      </c>
      <c r="F178" s="144" t="str">
        <f>VLOOKUP(D178,'Danh mục hàng hóa'!$C$3:$E$656,3,0)</f>
        <v>set 6 cái</v>
      </c>
      <c r="G178" s="211">
        <f t="shared" ref="G178:G182" si="5">877.1*6</f>
        <v>5262.6</v>
      </c>
      <c r="H178" s="317"/>
      <c r="I178" s="313">
        <f t="shared" ref="I178:I182" si="6">2/6</f>
        <v>0.33333333333333331</v>
      </c>
      <c r="J178" s="166">
        <f t="shared" si="3"/>
        <v>0</v>
      </c>
      <c r="K178" s="168">
        <f t="shared" si="2"/>
        <v>1754.2</v>
      </c>
      <c r="L178" s="30"/>
      <c r="M178" s="67"/>
    </row>
    <row r="179" spans="1:13" ht="13.2">
      <c r="A179" s="146">
        <v>250</v>
      </c>
      <c r="B179" s="311" t="s">
        <v>337</v>
      </c>
      <c r="C179" s="319">
        <v>45292</v>
      </c>
      <c r="D179" s="28" t="s">
        <v>437</v>
      </c>
      <c r="E179" s="143" t="str">
        <f>VLOOKUP(D179,'Danh mục hàng hóa'!$C$3:$D$643,2,0)</f>
        <v>Bao lì xì Tết hoa</v>
      </c>
      <c r="F179" s="144" t="str">
        <f>VLOOKUP(D179,'Danh mục hàng hóa'!$C$3:$E$656,3,0)</f>
        <v>set 6 cái</v>
      </c>
      <c r="G179" s="211">
        <f t="shared" si="5"/>
        <v>5262.6</v>
      </c>
      <c r="H179" s="317"/>
      <c r="I179" s="313">
        <f t="shared" si="6"/>
        <v>0.33333333333333331</v>
      </c>
      <c r="J179" s="166">
        <f t="shared" si="3"/>
        <v>0</v>
      </c>
      <c r="K179" s="168">
        <f t="shared" si="2"/>
        <v>1754.2</v>
      </c>
      <c r="L179" s="30"/>
      <c r="M179" s="67"/>
    </row>
    <row r="180" spans="1:13" ht="13.2">
      <c r="A180" s="146">
        <v>251</v>
      </c>
      <c r="B180" s="311" t="s">
        <v>337</v>
      </c>
      <c r="C180" s="319">
        <v>45292</v>
      </c>
      <c r="D180" s="28" t="s">
        <v>438</v>
      </c>
      <c r="E180" s="143" t="str">
        <f>VLOOKUP(D180,'Danh mục hàng hóa'!$C$3:$D$643,2,0)</f>
        <v>Bao lì xì Tết xanh</v>
      </c>
      <c r="F180" s="144" t="str">
        <f>VLOOKUP(D180,'Danh mục hàng hóa'!$C$3:$E$656,3,0)</f>
        <v>set 6 cái</v>
      </c>
      <c r="G180" s="211">
        <f t="shared" si="5"/>
        <v>5262.6</v>
      </c>
      <c r="H180" s="317"/>
      <c r="I180" s="313">
        <f t="shared" si="6"/>
        <v>0.33333333333333331</v>
      </c>
      <c r="J180" s="166">
        <f t="shared" si="3"/>
        <v>0</v>
      </c>
      <c r="K180" s="168">
        <f t="shared" si="2"/>
        <v>1754.2</v>
      </c>
      <c r="L180" s="30"/>
      <c r="M180" s="67"/>
    </row>
    <row r="181" spans="1:13" ht="13.2">
      <c r="A181" s="146">
        <v>252</v>
      </c>
      <c r="B181" s="311" t="s">
        <v>337</v>
      </c>
      <c r="C181" s="319">
        <v>45292</v>
      </c>
      <c r="D181" s="28" t="s">
        <v>439</v>
      </c>
      <c r="E181" s="143" t="str">
        <f>VLOOKUP(D181,'Danh mục hàng hóa'!$C$3:$D$643,2,0)</f>
        <v>Bao lì xì vui vẻ</v>
      </c>
      <c r="F181" s="144" t="str">
        <f>VLOOKUP(D181,'Danh mục hàng hóa'!$C$3:$E$656,3,0)</f>
        <v>set 6 cái</v>
      </c>
      <c r="G181" s="211">
        <f t="shared" si="5"/>
        <v>5262.6</v>
      </c>
      <c r="H181" s="317"/>
      <c r="I181" s="313">
        <f t="shared" si="6"/>
        <v>0.33333333333333331</v>
      </c>
      <c r="J181" s="166">
        <f t="shared" si="3"/>
        <v>0</v>
      </c>
      <c r="K181" s="168">
        <f t="shared" si="2"/>
        <v>1754.2</v>
      </c>
      <c r="L181" s="30"/>
      <c r="M181" s="67"/>
    </row>
    <row r="182" spans="1:13" ht="13.2">
      <c r="A182" s="146">
        <v>253</v>
      </c>
      <c r="B182" s="311" t="s">
        <v>337</v>
      </c>
      <c r="C182" s="319">
        <v>45292</v>
      </c>
      <c r="D182" s="28" t="s">
        <v>440</v>
      </c>
      <c r="E182" s="143" t="str">
        <f>VLOOKUP(D182,'Danh mục hàng hóa'!$C$3:$D$643,2,0)</f>
        <v>Bao lì xì ngộ nghĩnh</v>
      </c>
      <c r="F182" s="144" t="str">
        <f>VLOOKUP(D182,'Danh mục hàng hóa'!$C$3:$E$656,3,0)</f>
        <v>set 6 cái</v>
      </c>
      <c r="G182" s="211">
        <f t="shared" si="5"/>
        <v>5262.6</v>
      </c>
      <c r="H182" s="317"/>
      <c r="I182" s="313">
        <f t="shared" si="6"/>
        <v>0.33333333333333331</v>
      </c>
      <c r="J182" s="166">
        <f t="shared" si="3"/>
        <v>0</v>
      </c>
      <c r="K182" s="168">
        <f t="shared" si="2"/>
        <v>1754.2</v>
      </c>
      <c r="L182" s="30"/>
      <c r="M182" s="67"/>
    </row>
    <row r="183" spans="1:13" ht="13.2">
      <c r="A183" s="146">
        <v>254</v>
      </c>
      <c r="B183" s="311" t="s">
        <v>337</v>
      </c>
      <c r="C183" s="319">
        <v>45292</v>
      </c>
      <c r="D183" s="28" t="s">
        <v>435</v>
      </c>
      <c r="E183" s="143" t="str">
        <f>VLOOKUP(D183,'Danh mục hàng hóa'!$C$3:$D$643,2,0)</f>
        <v>Bao lì xì Tết tài lộc</v>
      </c>
      <c r="F183" s="144" t="str">
        <f>VLOOKUP(D183,'Danh mục hàng hóa'!$C$3:$E$656,3,0)</f>
        <v>set 6 cái</v>
      </c>
      <c r="G183" s="320">
        <v>6000</v>
      </c>
      <c r="H183" s="317"/>
      <c r="I183" s="313">
        <v>2</v>
      </c>
      <c r="J183" s="166">
        <f t="shared" si="3"/>
        <v>0</v>
      </c>
      <c r="K183" s="168">
        <f t="shared" si="2"/>
        <v>12000</v>
      </c>
      <c r="L183" s="30"/>
      <c r="M183" s="67"/>
    </row>
    <row r="184" spans="1:13" ht="13.2">
      <c r="A184" s="146">
        <v>255</v>
      </c>
      <c r="B184" s="311" t="s">
        <v>337</v>
      </c>
      <c r="C184" s="319">
        <v>45292</v>
      </c>
      <c r="D184" s="28" t="s">
        <v>437</v>
      </c>
      <c r="E184" s="143" t="str">
        <f>VLOOKUP(D184,'Danh mục hàng hóa'!$C$3:$D$643,2,0)</f>
        <v>Bao lì xì Tết hoa</v>
      </c>
      <c r="F184" s="144" t="str">
        <f>VLOOKUP(D184,'Danh mục hàng hóa'!$C$3:$E$656,3,0)</f>
        <v>set 6 cái</v>
      </c>
      <c r="G184" s="320">
        <v>6000</v>
      </c>
      <c r="H184" s="317"/>
      <c r="I184" s="313">
        <v>2</v>
      </c>
      <c r="J184" s="166">
        <f t="shared" si="3"/>
        <v>0</v>
      </c>
      <c r="K184" s="168">
        <f t="shared" si="2"/>
        <v>12000</v>
      </c>
      <c r="L184" s="30"/>
      <c r="M184" s="67"/>
    </row>
    <row r="185" spans="1:13" ht="13.2">
      <c r="A185" s="146">
        <v>256</v>
      </c>
      <c r="B185" s="311" t="s">
        <v>337</v>
      </c>
      <c r="C185" s="319">
        <v>45292</v>
      </c>
      <c r="D185" s="28" t="s">
        <v>438</v>
      </c>
      <c r="E185" s="143" t="str">
        <f>VLOOKUP(D185,'Danh mục hàng hóa'!$C$3:$D$643,2,0)</f>
        <v>Bao lì xì Tết xanh</v>
      </c>
      <c r="F185" s="144" t="str">
        <f>VLOOKUP(D185,'Danh mục hàng hóa'!$C$3:$E$656,3,0)</f>
        <v>set 6 cái</v>
      </c>
      <c r="G185" s="320">
        <v>6000</v>
      </c>
      <c r="H185" s="317"/>
      <c r="I185" s="313">
        <v>2</v>
      </c>
      <c r="J185" s="166">
        <f t="shared" si="3"/>
        <v>0</v>
      </c>
      <c r="K185" s="168">
        <f t="shared" si="2"/>
        <v>12000</v>
      </c>
      <c r="L185" s="30"/>
      <c r="M185" s="67"/>
    </row>
    <row r="186" spans="1:13" ht="13.2">
      <c r="A186" s="146">
        <v>257</v>
      </c>
      <c r="B186" s="311" t="s">
        <v>337</v>
      </c>
      <c r="C186" s="319">
        <v>45292</v>
      </c>
      <c r="D186" s="28" t="s">
        <v>439</v>
      </c>
      <c r="E186" s="143" t="str">
        <f>VLOOKUP(D186,'Danh mục hàng hóa'!$C$3:$D$643,2,0)</f>
        <v>Bao lì xì vui vẻ</v>
      </c>
      <c r="F186" s="144" t="str">
        <f>VLOOKUP(D186,'Danh mục hàng hóa'!$C$3:$E$656,3,0)</f>
        <v>set 6 cái</v>
      </c>
      <c r="G186" s="320">
        <v>6000</v>
      </c>
      <c r="H186" s="317"/>
      <c r="I186" s="313">
        <v>2</v>
      </c>
      <c r="J186" s="166">
        <f t="shared" si="3"/>
        <v>0</v>
      </c>
      <c r="K186" s="168">
        <f t="shared" si="2"/>
        <v>12000</v>
      </c>
      <c r="L186" s="30"/>
      <c r="M186" s="67"/>
    </row>
    <row r="187" spans="1:13" ht="13.2">
      <c r="A187" s="146">
        <v>258</v>
      </c>
      <c r="B187" s="311" t="s">
        <v>337</v>
      </c>
      <c r="C187" s="319">
        <v>45292</v>
      </c>
      <c r="D187" s="28" t="s">
        <v>440</v>
      </c>
      <c r="E187" s="143" t="str">
        <f>VLOOKUP(D187,'Danh mục hàng hóa'!$C$3:$D$643,2,0)</f>
        <v>Bao lì xì ngộ nghĩnh</v>
      </c>
      <c r="F187" s="144" t="str">
        <f>VLOOKUP(D187,'Danh mục hàng hóa'!$C$3:$E$656,3,0)</f>
        <v>set 6 cái</v>
      </c>
      <c r="G187" s="320">
        <v>6000</v>
      </c>
      <c r="H187" s="317"/>
      <c r="I187" s="313">
        <v>2</v>
      </c>
      <c r="J187" s="166">
        <f t="shared" si="3"/>
        <v>0</v>
      </c>
      <c r="K187" s="168">
        <f t="shared" si="2"/>
        <v>12000</v>
      </c>
      <c r="L187" s="30"/>
      <c r="M187" s="67"/>
    </row>
    <row r="188" spans="1:13" ht="13.2">
      <c r="A188" s="146">
        <v>259</v>
      </c>
      <c r="B188" s="311" t="s">
        <v>337</v>
      </c>
      <c r="C188" s="319">
        <v>45292</v>
      </c>
      <c r="D188" s="28" t="s">
        <v>431</v>
      </c>
      <c r="E188" s="143" t="str">
        <f>VLOOKUP(D188,'Danh mục hàng hóa'!$C$3:$D$643,2,0)</f>
        <v>Bao lì xì rồng con</v>
      </c>
      <c r="F188" s="144" t="str">
        <f>VLOOKUP(D188,'Danh mục hàng hóa'!$C$3:$E$656,3,0)</f>
        <v>túi 4 cái</v>
      </c>
      <c r="G188" s="320">
        <v>10278</v>
      </c>
      <c r="H188" s="317"/>
      <c r="I188" s="313">
        <v>1</v>
      </c>
      <c r="J188" s="166">
        <f t="shared" si="3"/>
        <v>0</v>
      </c>
      <c r="K188" s="168">
        <f t="shared" si="2"/>
        <v>10278</v>
      </c>
      <c r="L188" s="30"/>
      <c r="M188" s="67"/>
    </row>
    <row r="189" spans="1:13" ht="13.2">
      <c r="A189" s="146">
        <v>260</v>
      </c>
      <c r="B189" s="311" t="s">
        <v>337</v>
      </c>
      <c r="C189" s="319">
        <v>45292</v>
      </c>
      <c r="D189" s="28" t="s">
        <v>435</v>
      </c>
      <c r="E189" s="143" t="str">
        <f>VLOOKUP(D189,'Danh mục hàng hóa'!$C$3:$D$643,2,0)</f>
        <v>Bao lì xì Tết tài lộc</v>
      </c>
      <c r="F189" s="144" t="str">
        <f>VLOOKUP(D189,'Danh mục hàng hóa'!$C$3:$E$656,3,0)</f>
        <v>set 6 cái</v>
      </c>
      <c r="G189" s="320">
        <v>5000</v>
      </c>
      <c r="H189" s="317"/>
      <c r="I189" s="313">
        <v>1</v>
      </c>
      <c r="J189" s="166">
        <f t="shared" si="3"/>
        <v>0</v>
      </c>
      <c r="K189" s="168">
        <f t="shared" si="2"/>
        <v>5000</v>
      </c>
      <c r="L189" s="30"/>
      <c r="M189" s="67"/>
    </row>
    <row r="190" spans="1:13" ht="13.2">
      <c r="A190" s="146">
        <v>261</v>
      </c>
      <c r="B190" s="311" t="s">
        <v>337</v>
      </c>
      <c r="C190" s="319">
        <v>45292</v>
      </c>
      <c r="D190" s="28" t="s">
        <v>438</v>
      </c>
      <c r="E190" s="143" t="str">
        <f>VLOOKUP(D190,'Danh mục hàng hóa'!$C$3:$D$643,2,0)</f>
        <v>Bao lì xì Tết xanh</v>
      </c>
      <c r="F190" s="144" t="str">
        <f>VLOOKUP(D190,'Danh mục hàng hóa'!$C$3:$E$656,3,0)</f>
        <v>set 6 cái</v>
      </c>
      <c r="G190" s="320">
        <v>5000</v>
      </c>
      <c r="H190" s="317"/>
      <c r="I190" s="313">
        <v>1</v>
      </c>
      <c r="J190" s="166">
        <f t="shared" si="3"/>
        <v>0</v>
      </c>
      <c r="K190" s="168">
        <f t="shared" si="2"/>
        <v>5000</v>
      </c>
      <c r="L190" s="30"/>
      <c r="M190" s="67"/>
    </row>
    <row r="191" spans="1:13" ht="13.2">
      <c r="A191" s="146">
        <v>262</v>
      </c>
      <c r="B191" s="311" t="s">
        <v>337</v>
      </c>
      <c r="C191" s="319">
        <v>45292</v>
      </c>
      <c r="D191" s="28" t="s">
        <v>440</v>
      </c>
      <c r="E191" s="143" t="str">
        <f>VLOOKUP(D191,'Danh mục hàng hóa'!$C$3:$D$643,2,0)</f>
        <v>Bao lì xì ngộ nghĩnh</v>
      </c>
      <c r="F191" s="144" t="str">
        <f>VLOOKUP(D191,'Danh mục hàng hóa'!$C$3:$E$656,3,0)</f>
        <v>set 6 cái</v>
      </c>
      <c r="G191" s="320">
        <v>5000</v>
      </c>
      <c r="H191" s="317"/>
      <c r="I191" s="313">
        <v>1</v>
      </c>
      <c r="J191" s="166">
        <f t="shared" si="3"/>
        <v>0</v>
      </c>
      <c r="K191" s="168">
        <f t="shared" si="2"/>
        <v>5000</v>
      </c>
      <c r="L191" s="30"/>
      <c r="M191" s="67"/>
    </row>
    <row r="192" spans="1:13" ht="13.2">
      <c r="A192" s="146">
        <v>263</v>
      </c>
      <c r="B192" s="311" t="s">
        <v>337</v>
      </c>
      <c r="C192" s="319">
        <v>45292</v>
      </c>
      <c r="D192" s="28" t="s">
        <v>438</v>
      </c>
      <c r="E192" s="143" t="str">
        <f>VLOOKUP(D192,'Danh mục hàng hóa'!$C$3:$D$643,2,0)</f>
        <v>Bao lì xì Tết xanh</v>
      </c>
      <c r="F192" s="144" t="str">
        <f>VLOOKUP(D192,'Danh mục hàng hóa'!$C$3:$E$656,3,0)</f>
        <v>set 6 cái</v>
      </c>
      <c r="G192" s="321">
        <f>22368/3</f>
        <v>7456</v>
      </c>
      <c r="H192" s="317"/>
      <c r="I192" s="313">
        <v>3</v>
      </c>
      <c r="J192" s="166">
        <f t="shared" si="3"/>
        <v>0</v>
      </c>
      <c r="K192" s="168">
        <f t="shared" si="2"/>
        <v>22368</v>
      </c>
      <c r="L192" s="30"/>
      <c r="M192" s="67"/>
    </row>
    <row r="193" spans="1:13" ht="13.2">
      <c r="A193" s="146">
        <v>264</v>
      </c>
      <c r="B193" s="311" t="s">
        <v>337</v>
      </c>
      <c r="C193" s="319">
        <v>45292</v>
      </c>
      <c r="D193" s="28" t="s">
        <v>439</v>
      </c>
      <c r="E193" s="143" t="str">
        <f>VLOOKUP(D193,'Danh mục hàng hóa'!$C$3:$D$643,2,0)</f>
        <v>Bao lì xì vui vẻ</v>
      </c>
      <c r="F193" s="144" t="str">
        <f>VLOOKUP(D193,'Danh mục hàng hóa'!$C$3:$E$656,3,0)</f>
        <v>set 6 cái</v>
      </c>
      <c r="G193" s="321">
        <f t="shared" ref="G193:G194" si="7">38458/5</f>
        <v>7691.6</v>
      </c>
      <c r="H193" s="317"/>
      <c r="I193" s="313">
        <v>2</v>
      </c>
      <c r="J193" s="166">
        <f t="shared" si="3"/>
        <v>0</v>
      </c>
      <c r="K193" s="168">
        <f t="shared" si="2"/>
        <v>15383.2</v>
      </c>
      <c r="L193" s="30"/>
      <c r="M193" s="67"/>
    </row>
    <row r="194" spans="1:13" ht="13.2">
      <c r="A194" s="146">
        <v>265</v>
      </c>
      <c r="B194" s="311" t="s">
        <v>337</v>
      </c>
      <c r="C194" s="319">
        <v>45292</v>
      </c>
      <c r="D194" s="28" t="s">
        <v>440</v>
      </c>
      <c r="E194" s="143" t="str">
        <f>VLOOKUP(D194,'Danh mục hàng hóa'!$C$3:$D$643,2,0)</f>
        <v>Bao lì xì ngộ nghĩnh</v>
      </c>
      <c r="F194" s="144" t="str">
        <f>VLOOKUP(D194,'Danh mục hàng hóa'!$C$3:$E$656,3,0)</f>
        <v>set 6 cái</v>
      </c>
      <c r="G194" s="321">
        <f t="shared" si="7"/>
        <v>7691.6</v>
      </c>
      <c r="H194" s="317"/>
      <c r="I194" s="313">
        <v>3</v>
      </c>
      <c r="J194" s="166">
        <f t="shared" si="3"/>
        <v>0</v>
      </c>
      <c r="K194" s="168">
        <f t="shared" si="2"/>
        <v>23074.800000000003</v>
      </c>
      <c r="L194" s="30"/>
      <c r="M194" s="67"/>
    </row>
    <row r="195" spans="1:13" ht="13.2">
      <c r="A195" s="146">
        <v>266</v>
      </c>
      <c r="B195" s="311" t="s">
        <v>337</v>
      </c>
      <c r="C195" s="319">
        <v>45293</v>
      </c>
      <c r="D195" s="28" t="s">
        <v>435</v>
      </c>
      <c r="E195" s="143" t="str">
        <f>VLOOKUP(D195,'Danh mục hàng hóa'!$C$3:$D$643,2,0)</f>
        <v>Bao lì xì Tết tài lộc</v>
      </c>
      <c r="F195" s="144" t="str">
        <f>VLOOKUP(D195,'Danh mục hàng hóa'!$C$3:$E$656,3,0)</f>
        <v>set 6 cái</v>
      </c>
      <c r="G195" s="320">
        <v>6000</v>
      </c>
      <c r="H195" s="317"/>
      <c r="I195" s="313">
        <v>1</v>
      </c>
      <c r="J195" s="166">
        <f t="shared" si="3"/>
        <v>0</v>
      </c>
      <c r="K195" s="168">
        <f t="shared" si="2"/>
        <v>6000</v>
      </c>
      <c r="L195" s="28" t="s">
        <v>2138</v>
      </c>
      <c r="M195" s="67"/>
    </row>
    <row r="196" spans="1:13" ht="13.2">
      <c r="A196" s="146">
        <v>267</v>
      </c>
      <c r="B196" s="311" t="s">
        <v>337</v>
      </c>
      <c r="C196" s="319">
        <v>45293</v>
      </c>
      <c r="D196" s="28" t="s">
        <v>437</v>
      </c>
      <c r="E196" s="143" t="str">
        <f>VLOOKUP(D196,'Danh mục hàng hóa'!$C$3:$D$643,2,0)</f>
        <v>Bao lì xì Tết hoa</v>
      </c>
      <c r="F196" s="144" t="str">
        <f>VLOOKUP(D196,'Danh mục hàng hóa'!$C$3:$E$656,3,0)</f>
        <v>set 6 cái</v>
      </c>
      <c r="G196" s="320">
        <v>6000</v>
      </c>
      <c r="H196" s="317"/>
      <c r="I196" s="313">
        <v>1</v>
      </c>
      <c r="J196" s="166">
        <f t="shared" si="3"/>
        <v>0</v>
      </c>
      <c r="K196" s="168">
        <f t="shared" si="2"/>
        <v>6000</v>
      </c>
      <c r="L196" s="30"/>
      <c r="M196" s="67"/>
    </row>
    <row r="197" spans="1:13" ht="13.2">
      <c r="A197" s="146">
        <v>268</v>
      </c>
      <c r="B197" s="311" t="s">
        <v>337</v>
      </c>
      <c r="C197" s="319">
        <v>45293</v>
      </c>
      <c r="D197" s="28" t="s">
        <v>438</v>
      </c>
      <c r="E197" s="143" t="str">
        <f>VLOOKUP(D197,'Danh mục hàng hóa'!$C$3:$D$643,2,0)</f>
        <v>Bao lì xì Tết xanh</v>
      </c>
      <c r="F197" s="144" t="str">
        <f>VLOOKUP(D197,'Danh mục hàng hóa'!$C$3:$E$656,3,0)</f>
        <v>set 6 cái</v>
      </c>
      <c r="G197" s="320">
        <v>6000</v>
      </c>
      <c r="H197" s="317"/>
      <c r="I197" s="313">
        <v>1</v>
      </c>
      <c r="J197" s="166">
        <f t="shared" si="3"/>
        <v>0</v>
      </c>
      <c r="K197" s="168">
        <f t="shared" si="2"/>
        <v>6000</v>
      </c>
      <c r="L197" s="30"/>
      <c r="M197" s="67"/>
    </row>
    <row r="198" spans="1:13" ht="13.2">
      <c r="A198" s="146">
        <v>269</v>
      </c>
      <c r="B198" s="311" t="s">
        <v>337</v>
      </c>
      <c r="C198" s="319">
        <v>45293</v>
      </c>
      <c r="D198" s="28" t="s">
        <v>439</v>
      </c>
      <c r="E198" s="143" t="str">
        <f>VLOOKUP(D198,'Danh mục hàng hóa'!$C$3:$D$643,2,0)</f>
        <v>Bao lì xì vui vẻ</v>
      </c>
      <c r="F198" s="144" t="str">
        <f>VLOOKUP(D198,'Danh mục hàng hóa'!$C$3:$E$656,3,0)</f>
        <v>set 6 cái</v>
      </c>
      <c r="G198" s="320">
        <v>6000</v>
      </c>
      <c r="H198" s="317"/>
      <c r="I198" s="313">
        <v>1</v>
      </c>
      <c r="J198" s="166">
        <f t="shared" si="3"/>
        <v>0</v>
      </c>
      <c r="K198" s="168">
        <f t="shared" si="2"/>
        <v>6000</v>
      </c>
      <c r="L198" s="30"/>
      <c r="M198" s="67"/>
    </row>
    <row r="199" spans="1:13" ht="13.2">
      <c r="A199" s="146">
        <v>270</v>
      </c>
      <c r="B199" s="311" t="s">
        <v>337</v>
      </c>
      <c r="C199" s="319">
        <v>45293</v>
      </c>
      <c r="D199" s="28" t="s">
        <v>440</v>
      </c>
      <c r="E199" s="143" t="str">
        <f>VLOOKUP(D199,'Danh mục hàng hóa'!$C$3:$D$643,2,0)</f>
        <v>Bao lì xì ngộ nghĩnh</v>
      </c>
      <c r="F199" s="144" t="str">
        <f>VLOOKUP(D199,'Danh mục hàng hóa'!$C$3:$E$656,3,0)</f>
        <v>set 6 cái</v>
      </c>
      <c r="G199" s="320">
        <v>6000</v>
      </c>
      <c r="H199" s="317"/>
      <c r="I199" s="313">
        <v>1</v>
      </c>
      <c r="J199" s="166">
        <f t="shared" si="3"/>
        <v>0</v>
      </c>
      <c r="K199" s="168">
        <f t="shared" si="2"/>
        <v>6000</v>
      </c>
      <c r="L199" s="30"/>
      <c r="M199" s="67"/>
    </row>
    <row r="200" spans="1:13" ht="13.2">
      <c r="A200" s="146">
        <v>271</v>
      </c>
      <c r="B200" s="311" t="s">
        <v>337</v>
      </c>
      <c r="C200" s="319">
        <v>45293</v>
      </c>
      <c r="D200" s="28" t="s">
        <v>437</v>
      </c>
      <c r="E200" s="143" t="str">
        <f>VLOOKUP(D200,'Danh mục hàng hóa'!$C$3:$D$643,2,0)</f>
        <v>Bao lì xì Tết hoa</v>
      </c>
      <c r="F200" s="144" t="str">
        <f>VLOOKUP(D200,'Danh mục hàng hóa'!$C$3:$E$656,3,0)</f>
        <v>set 6 cái</v>
      </c>
      <c r="G200" s="321">
        <f t="shared" ref="G200:G203" si="8">64452/8</f>
        <v>8056.5</v>
      </c>
      <c r="H200" s="317"/>
      <c r="I200" s="313">
        <v>2</v>
      </c>
      <c r="J200" s="166">
        <f t="shared" si="3"/>
        <v>0</v>
      </c>
      <c r="K200" s="168">
        <f t="shared" si="2"/>
        <v>16113</v>
      </c>
      <c r="L200" s="30"/>
      <c r="M200" s="67"/>
    </row>
    <row r="201" spans="1:13" ht="13.2">
      <c r="A201" s="146">
        <v>272</v>
      </c>
      <c r="B201" s="311" t="s">
        <v>337</v>
      </c>
      <c r="C201" s="319">
        <v>45293</v>
      </c>
      <c r="D201" s="28" t="s">
        <v>438</v>
      </c>
      <c r="E201" s="143" t="str">
        <f>VLOOKUP(D201,'Danh mục hàng hóa'!$C$3:$D$643,2,0)</f>
        <v>Bao lì xì Tết xanh</v>
      </c>
      <c r="F201" s="144" t="str">
        <f>VLOOKUP(D201,'Danh mục hàng hóa'!$C$3:$E$656,3,0)</f>
        <v>set 6 cái</v>
      </c>
      <c r="G201" s="321">
        <f t="shared" si="8"/>
        <v>8056.5</v>
      </c>
      <c r="H201" s="317"/>
      <c r="I201" s="313">
        <v>2</v>
      </c>
      <c r="J201" s="166">
        <f t="shared" si="3"/>
        <v>0</v>
      </c>
      <c r="K201" s="168">
        <f t="shared" si="2"/>
        <v>16113</v>
      </c>
      <c r="L201" s="30"/>
      <c r="M201" s="67"/>
    </row>
    <row r="202" spans="1:13" ht="13.2">
      <c r="A202" s="146">
        <v>273</v>
      </c>
      <c r="B202" s="311" t="s">
        <v>337</v>
      </c>
      <c r="C202" s="319">
        <v>45293</v>
      </c>
      <c r="D202" s="28" t="s">
        <v>439</v>
      </c>
      <c r="E202" s="143" t="str">
        <f>VLOOKUP(D202,'Danh mục hàng hóa'!$C$3:$D$643,2,0)</f>
        <v>Bao lì xì vui vẻ</v>
      </c>
      <c r="F202" s="144" t="str">
        <f>VLOOKUP(D202,'Danh mục hàng hóa'!$C$3:$E$656,3,0)</f>
        <v>set 6 cái</v>
      </c>
      <c r="G202" s="321">
        <f t="shared" si="8"/>
        <v>8056.5</v>
      </c>
      <c r="H202" s="317"/>
      <c r="I202" s="313">
        <v>2</v>
      </c>
      <c r="J202" s="166">
        <f t="shared" si="3"/>
        <v>0</v>
      </c>
      <c r="K202" s="168">
        <f t="shared" si="2"/>
        <v>16113</v>
      </c>
      <c r="L202" s="30"/>
      <c r="M202" s="67"/>
    </row>
    <row r="203" spans="1:13" ht="13.2">
      <c r="A203" s="146">
        <v>274</v>
      </c>
      <c r="B203" s="311" t="s">
        <v>337</v>
      </c>
      <c r="C203" s="319">
        <v>45293</v>
      </c>
      <c r="D203" s="28" t="s">
        <v>440</v>
      </c>
      <c r="E203" s="143" t="str">
        <f>VLOOKUP(D203,'Danh mục hàng hóa'!$C$3:$D$643,2,0)</f>
        <v>Bao lì xì ngộ nghĩnh</v>
      </c>
      <c r="F203" s="144" t="str">
        <f>VLOOKUP(D203,'Danh mục hàng hóa'!$C$3:$E$656,3,0)</f>
        <v>set 6 cái</v>
      </c>
      <c r="G203" s="321">
        <f t="shared" si="8"/>
        <v>8056.5</v>
      </c>
      <c r="H203" s="317"/>
      <c r="I203" s="313">
        <v>2</v>
      </c>
      <c r="J203" s="166">
        <f t="shared" si="3"/>
        <v>0</v>
      </c>
      <c r="K203" s="168">
        <f t="shared" si="2"/>
        <v>16113</v>
      </c>
      <c r="L203" s="30"/>
      <c r="M203" s="67"/>
    </row>
    <row r="204" spans="1:13" ht="13.2">
      <c r="A204" s="146">
        <v>275</v>
      </c>
      <c r="B204" s="311" t="s">
        <v>337</v>
      </c>
      <c r="C204" s="319">
        <v>45293</v>
      </c>
      <c r="D204" s="28" t="s">
        <v>431</v>
      </c>
      <c r="E204" s="143" t="str">
        <f>VLOOKUP(D204,'Danh mục hàng hóa'!$C$3:$D$643,2,0)</f>
        <v>Bao lì xì rồng con</v>
      </c>
      <c r="F204" s="144" t="str">
        <f>VLOOKUP(D204,'Danh mục hàng hóa'!$C$3:$E$656,3,0)</f>
        <v>túi 4 cái</v>
      </c>
      <c r="G204" s="321">
        <f t="shared" ref="G204:G205" si="9">100000/7</f>
        <v>14285.714285714286</v>
      </c>
      <c r="H204" s="317"/>
      <c r="I204" s="313">
        <v>2</v>
      </c>
      <c r="J204" s="166">
        <f t="shared" si="3"/>
        <v>0</v>
      </c>
      <c r="K204" s="168">
        <f t="shared" si="2"/>
        <v>28571.428571428572</v>
      </c>
      <c r="L204" s="30"/>
      <c r="M204" s="67"/>
    </row>
    <row r="205" spans="1:13" ht="13.2">
      <c r="A205" s="146">
        <v>276</v>
      </c>
      <c r="B205" s="311" t="s">
        <v>337</v>
      </c>
      <c r="C205" s="319">
        <v>45293</v>
      </c>
      <c r="D205" s="28" t="s">
        <v>433</v>
      </c>
      <c r="E205" s="143" t="str">
        <f>VLOOKUP(D205,'Danh mục hàng hóa'!$C$3:$D$643,2,0)</f>
        <v>Bao lì xì rồng lân</v>
      </c>
      <c r="F205" s="144" t="str">
        <f>VLOOKUP(D205,'Danh mục hàng hóa'!$C$3:$E$656,3,0)</f>
        <v>túi 4 cái</v>
      </c>
      <c r="G205" s="321">
        <f t="shared" si="9"/>
        <v>14285.714285714286</v>
      </c>
      <c r="H205" s="317"/>
      <c r="I205" s="313">
        <v>5</v>
      </c>
      <c r="J205" s="166">
        <f t="shared" si="3"/>
        <v>0</v>
      </c>
      <c r="K205" s="168">
        <f t="shared" si="2"/>
        <v>71428.571428571435</v>
      </c>
      <c r="L205" s="30"/>
      <c r="M205" s="67"/>
    </row>
    <row r="206" spans="1:13" ht="13.2">
      <c r="A206" s="146">
        <v>277</v>
      </c>
      <c r="B206" s="311" t="s">
        <v>336</v>
      </c>
      <c r="C206" s="319">
        <v>45294</v>
      </c>
      <c r="D206" s="28" t="s">
        <v>885</v>
      </c>
      <c r="E206" s="143" t="str">
        <f>VLOOKUP(D206,'Danh mục hàng hóa'!$C$3:$D$643,2,0)</f>
        <v>Gấu chong chóng</v>
      </c>
      <c r="F206" s="144" t="str">
        <f>VLOOKUP(D206,'Danh mục hàng hóa'!$C$3:$E$656,3,0)</f>
        <v>cái</v>
      </c>
      <c r="G206" s="321">
        <v>33045</v>
      </c>
      <c r="H206" s="313">
        <v>7</v>
      </c>
      <c r="I206" s="313"/>
      <c r="J206" s="166">
        <f t="shared" si="3"/>
        <v>231315</v>
      </c>
      <c r="K206" s="168">
        <f t="shared" si="2"/>
        <v>0</v>
      </c>
      <c r="L206" s="30"/>
      <c r="M206" s="67"/>
    </row>
    <row r="207" spans="1:13" ht="13.2">
      <c r="A207" s="146">
        <v>278</v>
      </c>
      <c r="B207" s="311" t="s">
        <v>336</v>
      </c>
      <c r="C207" s="319">
        <v>45294</v>
      </c>
      <c r="D207" s="28" t="s">
        <v>887</v>
      </c>
      <c r="E207" s="143" t="str">
        <f>VLOOKUP(D207,'Danh mục hàng hóa'!$C$3:$D$643,2,0)</f>
        <v>Mèo chong chóng</v>
      </c>
      <c r="F207" s="144" t="str">
        <f>VLOOKUP(D207,'Danh mục hàng hóa'!$C$3:$E$656,3,0)</f>
        <v>cái</v>
      </c>
      <c r="G207" s="321">
        <v>33045</v>
      </c>
      <c r="H207" s="313">
        <v>7</v>
      </c>
      <c r="I207" s="313"/>
      <c r="J207" s="166">
        <f t="shared" si="3"/>
        <v>231315</v>
      </c>
      <c r="K207" s="168">
        <f t="shared" si="2"/>
        <v>0</v>
      </c>
      <c r="L207" s="30"/>
      <c r="M207" s="67"/>
    </row>
    <row r="208" spans="1:13" ht="13.2">
      <c r="A208" s="146">
        <v>279</v>
      </c>
      <c r="B208" s="311" t="s">
        <v>336</v>
      </c>
      <c r="C208" s="319">
        <v>45294</v>
      </c>
      <c r="D208" s="28" t="s">
        <v>891</v>
      </c>
      <c r="E208" s="143" t="str">
        <f>VLOOKUP(D208,'Danh mục hàng hóa'!$C$3:$D$643,2,0)</f>
        <v>Heo ú</v>
      </c>
      <c r="F208" s="144" t="str">
        <f>VLOOKUP(D208,'Danh mục hàng hóa'!$C$3:$E$656,3,0)</f>
        <v>cái</v>
      </c>
      <c r="G208" s="321">
        <v>33045</v>
      </c>
      <c r="H208" s="313">
        <v>7</v>
      </c>
      <c r="I208" s="313"/>
      <c r="J208" s="166">
        <f t="shared" si="3"/>
        <v>231315</v>
      </c>
      <c r="K208" s="168">
        <f t="shared" si="2"/>
        <v>0</v>
      </c>
      <c r="L208" s="30"/>
      <c r="M208" s="67"/>
    </row>
    <row r="209" spans="1:13" ht="13.2">
      <c r="A209" s="146">
        <v>280</v>
      </c>
      <c r="B209" s="311" t="s">
        <v>336</v>
      </c>
      <c r="C209" s="319">
        <v>45294</v>
      </c>
      <c r="D209" s="28" t="s">
        <v>895</v>
      </c>
      <c r="E209" s="143" t="str">
        <f>VLOOKUP(D209,'Danh mục hàng hóa'!$C$3:$D$643,2,0)</f>
        <v>Thỏ chong chóng</v>
      </c>
      <c r="F209" s="144" t="str">
        <f>VLOOKUP(D209,'Danh mục hàng hóa'!$C$3:$E$656,3,0)</f>
        <v>cái</v>
      </c>
      <c r="G209" s="321">
        <v>33045</v>
      </c>
      <c r="H209" s="313">
        <v>7</v>
      </c>
      <c r="I209" s="313"/>
      <c r="J209" s="166">
        <f t="shared" si="3"/>
        <v>231315</v>
      </c>
      <c r="K209" s="168">
        <f t="shared" si="2"/>
        <v>0</v>
      </c>
      <c r="L209" s="30"/>
      <c r="M209" s="67"/>
    </row>
    <row r="210" spans="1:13" ht="13.2">
      <c r="A210" s="146"/>
      <c r="B210" s="311" t="s">
        <v>336</v>
      </c>
      <c r="C210" s="319"/>
      <c r="D210" s="28" t="s">
        <v>392</v>
      </c>
      <c r="E210" s="143" t="str">
        <f>VLOOKUP(D210,'Danh mục hàng hóa'!$C$3:$D$643,2,0)</f>
        <v>Túi chườm bụng trái bơ 1000ml</v>
      </c>
      <c r="F210" s="144" t="str">
        <f>VLOOKUP(D210,'Danh mục hàng hóa'!$C$3:$E$656,3,0)</f>
        <v>túi</v>
      </c>
      <c r="G210" s="320"/>
      <c r="H210" s="313">
        <v>2</v>
      </c>
      <c r="I210" s="317"/>
      <c r="J210" s="166">
        <f t="shared" si="3"/>
        <v>0</v>
      </c>
      <c r="K210" s="168"/>
      <c r="L210" s="30"/>
      <c r="M210" s="67"/>
    </row>
    <row r="211" spans="1:13" ht="13.2">
      <c r="A211" s="146"/>
      <c r="B211" s="311" t="s">
        <v>336</v>
      </c>
      <c r="C211" s="319"/>
      <c r="D211" s="28" t="s">
        <v>397</v>
      </c>
      <c r="E211" s="143" t="str">
        <f>VLOOKUP(D211,'Danh mục hàng hóa'!$C$3:$D$643,2,0)</f>
        <v>Túi chườm bụng dâu (xanh) 1000ml</v>
      </c>
      <c r="F211" s="144" t="str">
        <f>VLOOKUP(D211,'Danh mục hàng hóa'!$C$3:$E$656,3,0)</f>
        <v>túi</v>
      </c>
      <c r="G211" s="320"/>
      <c r="H211" s="313">
        <v>2</v>
      </c>
      <c r="I211" s="317"/>
      <c r="J211" s="166">
        <f t="shared" si="3"/>
        <v>0</v>
      </c>
      <c r="K211" s="168"/>
      <c r="L211" s="30"/>
      <c r="M211" s="67"/>
    </row>
    <row r="212" spans="1:13" ht="13.2">
      <c r="A212" s="146"/>
      <c r="B212" s="311" t="s">
        <v>336</v>
      </c>
      <c r="C212" s="319"/>
      <c r="D212" s="28" t="s">
        <v>401</v>
      </c>
      <c r="E212" s="143" t="str">
        <f>VLOOKUP(D212,'Danh mục hàng hóa'!$C$3:$D$643,2,0)</f>
        <v>Túi chườm bụng dứa xanh đậm  1000ml</v>
      </c>
      <c r="F212" s="144" t="str">
        <f>VLOOKUP(D212,'Danh mục hàng hóa'!$C$3:$E$656,3,0)</f>
        <v>túi</v>
      </c>
      <c r="G212" s="320"/>
      <c r="H212" s="313">
        <v>2</v>
      </c>
      <c r="I212" s="317"/>
      <c r="J212" s="166">
        <f t="shared" si="3"/>
        <v>0</v>
      </c>
      <c r="K212" s="168"/>
      <c r="L212" s="30"/>
      <c r="M212" s="67"/>
    </row>
    <row r="213" spans="1:13" ht="13.2">
      <c r="A213" s="146"/>
      <c r="B213" s="311" t="s">
        <v>336</v>
      </c>
      <c r="C213" s="319"/>
      <c r="D213" s="28" t="s">
        <v>405</v>
      </c>
      <c r="E213" s="143" t="str">
        <f>VLOOKUP(D213,'Danh mục hàng hóa'!$C$3:$D$643,2,0)</f>
        <v>Túi chườm bụng dâu xanh nhạt 1000ml</v>
      </c>
      <c r="F213" s="144" t="str">
        <f>VLOOKUP(D213,'Danh mục hàng hóa'!$C$3:$E$656,3,0)</f>
        <v>túi</v>
      </c>
      <c r="G213" s="320"/>
      <c r="H213" s="313">
        <v>1</v>
      </c>
      <c r="I213" s="317"/>
      <c r="J213" s="166">
        <f t="shared" si="3"/>
        <v>0</v>
      </c>
      <c r="K213" s="168"/>
      <c r="L213" s="30"/>
      <c r="M213" s="67"/>
    </row>
    <row r="214" spans="1:13" ht="13.2">
      <c r="A214" s="146"/>
      <c r="B214" s="311" t="s">
        <v>336</v>
      </c>
      <c r="C214" s="319"/>
      <c r="D214" s="28" t="s">
        <v>409</v>
      </c>
      <c r="E214" s="143" t="str">
        <f>VLOOKUP(D214,'Danh mục hàng hóa'!$C$3:$D$643,2,0)</f>
        <v>Túi chườm bụng thỏ dứa 1000ml</v>
      </c>
      <c r="F214" s="144" t="str">
        <f>VLOOKUP(D214,'Danh mục hàng hóa'!$C$3:$E$656,3,0)</f>
        <v>túi</v>
      </c>
      <c r="G214" s="320"/>
      <c r="H214" s="313">
        <v>2</v>
      </c>
      <c r="I214" s="317"/>
      <c r="J214" s="166">
        <f t="shared" si="3"/>
        <v>0</v>
      </c>
      <c r="K214" s="168"/>
      <c r="L214" s="30"/>
      <c r="M214" s="67"/>
    </row>
    <row r="215" spans="1:13" ht="13.2">
      <c r="A215" s="146"/>
      <c r="B215" s="311" t="s">
        <v>336</v>
      </c>
      <c r="C215" s="319"/>
      <c r="D215" s="28" t="s">
        <v>413</v>
      </c>
      <c r="E215" s="143" t="str">
        <f>VLOOKUP(D215,'Danh mục hàng hóa'!$C$3:$D$643,2,0)</f>
        <v>Túi chườm bụng trái bơ 500ml</v>
      </c>
      <c r="F215" s="144" t="str">
        <f>VLOOKUP(D215,'Danh mục hàng hóa'!$C$3:$E$656,3,0)</f>
        <v>túi</v>
      </c>
      <c r="G215" s="320"/>
      <c r="H215" s="313">
        <v>0</v>
      </c>
      <c r="I215" s="317"/>
      <c r="J215" s="166">
        <f t="shared" si="3"/>
        <v>0</v>
      </c>
      <c r="K215" s="168"/>
      <c r="L215" s="30"/>
      <c r="M215" s="67"/>
    </row>
    <row r="216" spans="1:13" ht="13.2">
      <c r="A216" s="146"/>
      <c r="B216" s="311" t="s">
        <v>336</v>
      </c>
      <c r="C216" s="319"/>
      <c r="D216" s="28" t="s">
        <v>414</v>
      </c>
      <c r="E216" s="143" t="str">
        <f>VLOOKUP(D216,'Danh mục hàng hóa'!$C$3:$D$643,2,0)</f>
        <v>Túi chườm bụng dâu tây 500ml</v>
      </c>
      <c r="F216" s="144" t="str">
        <f>VLOOKUP(D216,'Danh mục hàng hóa'!$C$3:$E$656,3,0)</f>
        <v>túi</v>
      </c>
      <c r="G216" s="320"/>
      <c r="H216" s="313">
        <v>2</v>
      </c>
      <c r="I216" s="317"/>
      <c r="J216" s="166">
        <f t="shared" si="3"/>
        <v>0</v>
      </c>
      <c r="K216" s="168"/>
      <c r="L216" s="30"/>
      <c r="M216" s="67"/>
    </row>
    <row r="217" spans="1:13" ht="13.2">
      <c r="A217" s="146"/>
      <c r="B217" s="311" t="s">
        <v>336</v>
      </c>
      <c r="C217" s="319"/>
      <c r="D217" s="28" t="s">
        <v>416</v>
      </c>
      <c r="E217" s="143" t="str">
        <f>VLOOKUP(D217,'Danh mục hàng hóa'!$C$3:$D$643,2,0)</f>
        <v>Túi chườm bụng dứa xanh đậm  500ml</v>
      </c>
      <c r="F217" s="144" t="str">
        <f>VLOOKUP(D217,'Danh mục hàng hóa'!$C$3:$E$656,3,0)</f>
        <v>túi</v>
      </c>
      <c r="G217" s="320"/>
      <c r="H217" s="313">
        <v>2</v>
      </c>
      <c r="I217" s="317"/>
      <c r="J217" s="166">
        <f t="shared" si="3"/>
        <v>0</v>
      </c>
      <c r="K217" s="168"/>
      <c r="L217" s="30"/>
      <c r="M217" s="67"/>
    </row>
    <row r="218" spans="1:13" ht="13.2">
      <c r="A218" s="146"/>
      <c r="B218" s="311" t="s">
        <v>336</v>
      </c>
      <c r="C218" s="319"/>
      <c r="D218" s="28" t="s">
        <v>418</v>
      </c>
      <c r="E218" s="143" t="str">
        <f>VLOOKUP(D218,'Danh mục hàng hóa'!$C$3:$D$643,2,0)</f>
        <v>Túi chườm bụng dâu xanh nhạt 500ml</v>
      </c>
      <c r="F218" s="144" t="str">
        <f>VLOOKUP(D218,'Danh mục hàng hóa'!$C$3:$E$656,3,0)</f>
        <v>túi</v>
      </c>
      <c r="G218" s="320"/>
      <c r="H218" s="313">
        <v>1</v>
      </c>
      <c r="I218" s="317"/>
      <c r="J218" s="166">
        <f t="shared" si="3"/>
        <v>0</v>
      </c>
      <c r="K218" s="168"/>
      <c r="L218" s="30"/>
      <c r="M218" s="67"/>
    </row>
    <row r="219" spans="1:13" ht="13.2">
      <c r="A219" s="146"/>
      <c r="B219" s="311" t="s">
        <v>336</v>
      </c>
      <c r="C219" s="319"/>
      <c r="D219" s="28" t="s">
        <v>420</v>
      </c>
      <c r="E219" s="143" t="str">
        <f>VLOOKUP(D219,'Danh mục hàng hóa'!$C$3:$D$643,2,0)</f>
        <v>Túi chườm bụng thỏ dứa 500ml</v>
      </c>
      <c r="F219" s="144" t="str">
        <f>VLOOKUP(D219,'Danh mục hàng hóa'!$C$3:$E$656,3,0)</f>
        <v>túi</v>
      </c>
      <c r="G219" s="320"/>
      <c r="H219" s="313">
        <v>2</v>
      </c>
      <c r="I219" s="317"/>
      <c r="J219" s="166">
        <f t="shared" si="3"/>
        <v>0</v>
      </c>
      <c r="K219" s="168"/>
      <c r="L219" s="30"/>
      <c r="M219" s="67"/>
    </row>
    <row r="220" spans="1:13" ht="13.2">
      <c r="A220" s="146">
        <v>281</v>
      </c>
      <c r="B220" s="311" t="s">
        <v>337</v>
      </c>
      <c r="C220" s="319">
        <v>45294</v>
      </c>
      <c r="D220" s="28" t="s">
        <v>891</v>
      </c>
      <c r="E220" s="143" t="str">
        <f>VLOOKUP(D220,'Danh mục hàng hóa'!$C$3:$D$643,2,0)</f>
        <v>Heo ú</v>
      </c>
      <c r="F220" s="144" t="str">
        <f>VLOOKUP(D220,'Danh mục hàng hóa'!$C$3:$E$656,3,0)</f>
        <v>cái</v>
      </c>
      <c r="G220" s="320">
        <v>42000</v>
      </c>
      <c r="H220" s="317"/>
      <c r="I220" s="313">
        <v>2</v>
      </c>
      <c r="J220" s="166">
        <f t="shared" si="3"/>
        <v>0</v>
      </c>
      <c r="K220" s="168">
        <f t="shared" ref="K220:K474" si="10">G220*I220</f>
        <v>84000</v>
      </c>
      <c r="L220" s="30"/>
      <c r="M220" s="67"/>
    </row>
    <row r="221" spans="1:13" ht="13.2">
      <c r="A221" s="146">
        <v>282</v>
      </c>
      <c r="B221" s="311" t="s">
        <v>337</v>
      </c>
      <c r="C221" s="319">
        <v>45294</v>
      </c>
      <c r="D221" s="28" t="s">
        <v>895</v>
      </c>
      <c r="E221" s="143" t="str">
        <f>VLOOKUP(D221,'Danh mục hàng hóa'!$C$3:$D$643,2,0)</f>
        <v>Thỏ chong chóng</v>
      </c>
      <c r="F221" s="144" t="str">
        <f>VLOOKUP(D221,'Danh mục hàng hóa'!$C$3:$E$656,3,0)</f>
        <v>cái</v>
      </c>
      <c r="G221" s="320">
        <v>42000</v>
      </c>
      <c r="H221" s="317"/>
      <c r="I221" s="313">
        <v>1</v>
      </c>
      <c r="J221" s="166">
        <f t="shared" si="3"/>
        <v>0</v>
      </c>
      <c r="K221" s="168">
        <f t="shared" si="10"/>
        <v>42000</v>
      </c>
      <c r="L221" s="30"/>
      <c r="M221" s="67"/>
    </row>
    <row r="222" spans="1:13" ht="13.2">
      <c r="A222" s="146">
        <v>283</v>
      </c>
      <c r="B222" s="311" t="s">
        <v>337</v>
      </c>
      <c r="C222" s="319">
        <v>45294</v>
      </c>
      <c r="D222" s="28" t="s">
        <v>431</v>
      </c>
      <c r="E222" s="143" t="str">
        <f>VLOOKUP(D222,'Danh mục hàng hóa'!$C$3:$D$643,2,0)</f>
        <v>Bao lì xì rồng con</v>
      </c>
      <c r="F222" s="144" t="str">
        <f>VLOOKUP(D222,'Danh mục hàng hóa'!$C$3:$E$656,3,0)</f>
        <v>túi 4 cái</v>
      </c>
      <c r="G222" s="320">
        <v>25000</v>
      </c>
      <c r="H222" s="317"/>
      <c r="I222" s="313">
        <v>1</v>
      </c>
      <c r="J222" s="166">
        <f t="shared" si="3"/>
        <v>0</v>
      </c>
      <c r="K222" s="168">
        <f t="shared" si="10"/>
        <v>25000</v>
      </c>
      <c r="L222" s="30"/>
      <c r="M222" s="67"/>
    </row>
    <row r="223" spans="1:13" ht="13.2">
      <c r="A223" s="146">
        <v>284</v>
      </c>
      <c r="B223" s="311" t="s">
        <v>337</v>
      </c>
      <c r="C223" s="319">
        <v>45294</v>
      </c>
      <c r="D223" s="28" t="s">
        <v>433</v>
      </c>
      <c r="E223" s="143" t="str">
        <f>VLOOKUP(D223,'Danh mục hàng hóa'!$C$3:$D$643,2,0)</f>
        <v>Bao lì xì rồng lân</v>
      </c>
      <c r="F223" s="144" t="str">
        <f>VLOOKUP(D223,'Danh mục hàng hóa'!$C$3:$E$656,3,0)</f>
        <v>túi 4 cái</v>
      </c>
      <c r="G223" s="320">
        <v>25000</v>
      </c>
      <c r="H223" s="317"/>
      <c r="I223" s="313">
        <v>1</v>
      </c>
      <c r="J223" s="166">
        <f t="shared" si="3"/>
        <v>0</v>
      </c>
      <c r="K223" s="168">
        <f t="shared" si="10"/>
        <v>25000</v>
      </c>
      <c r="L223" s="30"/>
      <c r="M223" s="67"/>
    </row>
    <row r="224" spans="1:13" ht="13.2">
      <c r="A224" s="146">
        <v>285</v>
      </c>
      <c r="B224" s="311" t="s">
        <v>337</v>
      </c>
      <c r="C224" s="319">
        <v>45294</v>
      </c>
      <c r="D224" s="28" t="s">
        <v>435</v>
      </c>
      <c r="E224" s="143" t="str">
        <f>VLOOKUP(D224,'Danh mục hàng hóa'!$C$3:$D$643,2,0)</f>
        <v>Bao lì xì Tết tài lộc</v>
      </c>
      <c r="F224" s="144" t="str">
        <f>VLOOKUP(D224,'Danh mục hàng hóa'!$C$3:$E$656,3,0)</f>
        <v>set 6 cái</v>
      </c>
      <c r="G224" s="320">
        <v>10000</v>
      </c>
      <c r="H224" s="317"/>
      <c r="I224" s="313">
        <v>1</v>
      </c>
      <c r="J224" s="166">
        <f t="shared" si="3"/>
        <v>0</v>
      </c>
      <c r="K224" s="168">
        <f t="shared" si="10"/>
        <v>10000</v>
      </c>
      <c r="L224" s="30"/>
      <c r="M224" s="67"/>
    </row>
    <row r="225" spans="1:13" ht="13.2">
      <c r="A225" s="146">
        <v>286</v>
      </c>
      <c r="B225" s="311" t="s">
        <v>337</v>
      </c>
      <c r="C225" s="319">
        <v>45294</v>
      </c>
      <c r="D225" s="28" t="s">
        <v>437</v>
      </c>
      <c r="E225" s="143" t="str">
        <f>VLOOKUP(D225,'Danh mục hàng hóa'!$C$3:$D$643,2,0)</f>
        <v>Bao lì xì Tết hoa</v>
      </c>
      <c r="F225" s="144" t="str">
        <f>VLOOKUP(D225,'Danh mục hàng hóa'!$C$3:$E$656,3,0)</f>
        <v>set 6 cái</v>
      </c>
      <c r="G225" s="320">
        <v>10000</v>
      </c>
      <c r="H225" s="317"/>
      <c r="I225" s="313">
        <v>1</v>
      </c>
      <c r="J225" s="166">
        <f t="shared" si="3"/>
        <v>0</v>
      </c>
      <c r="K225" s="168">
        <f t="shared" si="10"/>
        <v>10000</v>
      </c>
      <c r="L225" s="30"/>
      <c r="M225" s="67"/>
    </row>
    <row r="226" spans="1:13" ht="13.2">
      <c r="A226" s="146">
        <v>287</v>
      </c>
      <c r="B226" s="311" t="s">
        <v>337</v>
      </c>
      <c r="C226" s="319">
        <v>45294</v>
      </c>
      <c r="D226" s="28" t="s">
        <v>438</v>
      </c>
      <c r="E226" s="143" t="str">
        <f>VLOOKUP(D226,'Danh mục hàng hóa'!$C$3:$D$643,2,0)</f>
        <v>Bao lì xì Tết xanh</v>
      </c>
      <c r="F226" s="144" t="str">
        <f>VLOOKUP(D226,'Danh mục hàng hóa'!$C$3:$E$656,3,0)</f>
        <v>set 6 cái</v>
      </c>
      <c r="G226" s="320">
        <v>10000</v>
      </c>
      <c r="H226" s="317"/>
      <c r="I226" s="313">
        <v>1</v>
      </c>
      <c r="J226" s="166">
        <f t="shared" si="3"/>
        <v>0</v>
      </c>
      <c r="K226" s="168">
        <f t="shared" si="10"/>
        <v>10000</v>
      </c>
      <c r="L226" s="30"/>
      <c r="M226" s="67"/>
    </row>
    <row r="227" spans="1:13" ht="13.2">
      <c r="A227" s="146">
        <v>288</v>
      </c>
      <c r="B227" s="311" t="s">
        <v>337</v>
      </c>
      <c r="C227" s="319">
        <v>45294</v>
      </c>
      <c r="D227" s="28" t="s">
        <v>439</v>
      </c>
      <c r="E227" s="143" t="str">
        <f>VLOOKUP(D227,'Danh mục hàng hóa'!$C$3:$D$643,2,0)</f>
        <v>Bao lì xì vui vẻ</v>
      </c>
      <c r="F227" s="144" t="str">
        <f>VLOOKUP(D227,'Danh mục hàng hóa'!$C$3:$E$656,3,0)</f>
        <v>set 6 cái</v>
      </c>
      <c r="G227" s="320">
        <v>10000</v>
      </c>
      <c r="H227" s="317"/>
      <c r="I227" s="313">
        <v>1</v>
      </c>
      <c r="J227" s="166">
        <f t="shared" si="3"/>
        <v>0</v>
      </c>
      <c r="K227" s="168">
        <f t="shared" si="10"/>
        <v>10000</v>
      </c>
      <c r="L227" s="30"/>
      <c r="M227" s="67"/>
    </row>
    <row r="228" spans="1:13" ht="13.2">
      <c r="A228" s="146">
        <v>289</v>
      </c>
      <c r="B228" s="311" t="s">
        <v>337</v>
      </c>
      <c r="C228" s="319">
        <v>45294</v>
      </c>
      <c r="D228" s="28" t="s">
        <v>440</v>
      </c>
      <c r="E228" s="143" t="str">
        <f>VLOOKUP(D228,'Danh mục hàng hóa'!$C$3:$D$643,2,0)</f>
        <v>Bao lì xì ngộ nghĩnh</v>
      </c>
      <c r="F228" s="144" t="str">
        <f>VLOOKUP(D228,'Danh mục hàng hóa'!$C$3:$E$656,3,0)</f>
        <v>set 6 cái</v>
      </c>
      <c r="G228" s="320">
        <v>10000</v>
      </c>
      <c r="H228" s="317"/>
      <c r="I228" s="313">
        <v>1</v>
      </c>
      <c r="J228" s="166">
        <f t="shared" si="3"/>
        <v>0</v>
      </c>
      <c r="K228" s="168">
        <f t="shared" si="10"/>
        <v>10000</v>
      </c>
      <c r="L228" s="30"/>
      <c r="M228" s="67"/>
    </row>
    <row r="229" spans="1:13" ht="13.2">
      <c r="A229" s="146">
        <v>290</v>
      </c>
      <c r="B229" s="311" t="s">
        <v>337</v>
      </c>
      <c r="C229" s="319">
        <v>45294</v>
      </c>
      <c r="D229" s="28" t="s">
        <v>438</v>
      </c>
      <c r="E229" s="143" t="str">
        <f>VLOOKUP(D229,'Danh mục hàng hóa'!$C$3:$D$643,2,0)</f>
        <v>Bao lì xì Tết xanh</v>
      </c>
      <c r="F229" s="144" t="str">
        <f>VLOOKUP(D229,'Danh mục hàng hóa'!$C$3:$E$656,3,0)</f>
        <v>set 6 cái</v>
      </c>
      <c r="G229" s="320">
        <v>6000</v>
      </c>
      <c r="H229" s="317"/>
      <c r="I229" s="313">
        <v>3</v>
      </c>
      <c r="J229" s="166">
        <f t="shared" si="3"/>
        <v>0</v>
      </c>
      <c r="K229" s="168">
        <f t="shared" si="10"/>
        <v>18000</v>
      </c>
      <c r="L229" s="30"/>
      <c r="M229" s="67"/>
    </row>
    <row r="230" spans="1:13" ht="13.2">
      <c r="A230" s="146">
        <v>291</v>
      </c>
      <c r="B230" s="311" t="s">
        <v>337</v>
      </c>
      <c r="C230" s="319">
        <v>45294</v>
      </c>
      <c r="D230" s="28" t="s">
        <v>439</v>
      </c>
      <c r="E230" s="143" t="str">
        <f>VLOOKUP(D230,'Danh mục hàng hóa'!$C$3:$D$643,2,0)</f>
        <v>Bao lì xì vui vẻ</v>
      </c>
      <c r="F230" s="144" t="str">
        <f>VLOOKUP(D230,'Danh mục hàng hóa'!$C$3:$E$656,3,0)</f>
        <v>set 6 cái</v>
      </c>
      <c r="G230" s="320">
        <v>6000</v>
      </c>
      <c r="H230" s="317"/>
      <c r="I230" s="313">
        <v>1</v>
      </c>
      <c r="J230" s="166">
        <f t="shared" si="3"/>
        <v>0</v>
      </c>
      <c r="K230" s="168">
        <f t="shared" si="10"/>
        <v>6000</v>
      </c>
      <c r="L230" s="30"/>
      <c r="M230" s="67"/>
    </row>
    <row r="231" spans="1:13" ht="13.2">
      <c r="A231" s="146">
        <v>292</v>
      </c>
      <c r="B231" s="311" t="s">
        <v>337</v>
      </c>
      <c r="C231" s="319">
        <v>45294</v>
      </c>
      <c r="D231" s="28" t="s">
        <v>437</v>
      </c>
      <c r="E231" s="143" t="str">
        <f>VLOOKUP(D231,'Danh mục hàng hóa'!$C$3:$D$643,2,0)</f>
        <v>Bao lì xì Tết hoa</v>
      </c>
      <c r="F231" s="144" t="str">
        <f>VLOOKUP(D231,'Danh mục hàng hóa'!$C$3:$E$656,3,0)</f>
        <v>set 6 cái</v>
      </c>
      <c r="G231" s="320">
        <v>6000</v>
      </c>
      <c r="H231" s="317"/>
      <c r="I231" s="313">
        <v>1</v>
      </c>
      <c r="J231" s="166">
        <f t="shared" si="3"/>
        <v>0</v>
      </c>
      <c r="K231" s="168">
        <f t="shared" si="10"/>
        <v>6000</v>
      </c>
      <c r="L231" s="30"/>
      <c r="M231" s="67"/>
    </row>
    <row r="232" spans="1:13" ht="13.2">
      <c r="A232" s="146">
        <v>293</v>
      </c>
      <c r="B232" s="311" t="s">
        <v>337</v>
      </c>
      <c r="C232" s="319">
        <v>45294</v>
      </c>
      <c r="D232" s="28" t="s">
        <v>433</v>
      </c>
      <c r="E232" s="143" t="str">
        <f>VLOOKUP(D232,'Danh mục hàng hóa'!$C$3:$D$643,2,0)</f>
        <v>Bao lì xì rồng lân</v>
      </c>
      <c r="F232" s="144" t="str">
        <f>VLOOKUP(D232,'Danh mục hàng hóa'!$C$3:$E$656,3,0)</f>
        <v>túi 4 cái</v>
      </c>
      <c r="G232" s="320">
        <v>10000</v>
      </c>
      <c r="H232" s="317"/>
      <c r="I232" s="313">
        <v>6</v>
      </c>
      <c r="J232" s="166">
        <f t="shared" si="3"/>
        <v>0</v>
      </c>
      <c r="K232" s="168">
        <f t="shared" si="10"/>
        <v>60000</v>
      </c>
      <c r="L232" s="30"/>
      <c r="M232" s="67"/>
    </row>
    <row r="233" spans="1:13" ht="13.2">
      <c r="A233" s="146">
        <v>294</v>
      </c>
      <c r="B233" s="311" t="s">
        <v>337</v>
      </c>
      <c r="C233" s="319">
        <v>45294</v>
      </c>
      <c r="D233" s="28" t="s">
        <v>431</v>
      </c>
      <c r="E233" s="143" t="str">
        <f>VLOOKUP(D233,'Danh mục hàng hóa'!$C$3:$D$643,2,0)</f>
        <v>Bao lì xì rồng con</v>
      </c>
      <c r="F233" s="144" t="str">
        <f>VLOOKUP(D233,'Danh mục hàng hóa'!$C$3:$E$656,3,0)</f>
        <v>túi 4 cái</v>
      </c>
      <c r="G233" s="320">
        <v>10000</v>
      </c>
      <c r="H233" s="317"/>
      <c r="I233" s="313">
        <v>1</v>
      </c>
      <c r="J233" s="166">
        <f t="shared" si="3"/>
        <v>0</v>
      </c>
      <c r="K233" s="168">
        <f t="shared" si="10"/>
        <v>10000</v>
      </c>
      <c r="L233" s="30"/>
      <c r="M233" s="67"/>
    </row>
    <row r="234" spans="1:13" ht="13.2">
      <c r="A234" s="146">
        <v>295</v>
      </c>
      <c r="B234" s="311" t="s">
        <v>337</v>
      </c>
      <c r="C234" s="319">
        <v>45294</v>
      </c>
      <c r="D234" s="28" t="s">
        <v>435</v>
      </c>
      <c r="E234" s="143" t="str">
        <f>VLOOKUP(D234,'Danh mục hàng hóa'!$C$3:$D$643,2,0)</f>
        <v>Bao lì xì Tết tài lộc</v>
      </c>
      <c r="F234" s="144" t="str">
        <f>VLOOKUP(D234,'Danh mục hàng hóa'!$C$3:$E$656,3,0)</f>
        <v>set 6 cái</v>
      </c>
      <c r="G234" s="320">
        <v>6000</v>
      </c>
      <c r="H234" s="317"/>
      <c r="I234" s="313">
        <v>2</v>
      </c>
      <c r="J234" s="166">
        <f t="shared" si="3"/>
        <v>0</v>
      </c>
      <c r="K234" s="168">
        <f t="shared" si="10"/>
        <v>12000</v>
      </c>
      <c r="L234" s="30"/>
      <c r="M234" s="67"/>
    </row>
    <row r="235" spans="1:13" ht="13.2">
      <c r="A235" s="146">
        <v>296</v>
      </c>
      <c r="B235" s="311" t="s">
        <v>337</v>
      </c>
      <c r="C235" s="319">
        <v>45294</v>
      </c>
      <c r="D235" s="28" t="s">
        <v>437</v>
      </c>
      <c r="E235" s="143" t="str">
        <f>VLOOKUP(D235,'Danh mục hàng hóa'!$C$3:$D$643,2,0)</f>
        <v>Bao lì xì Tết hoa</v>
      </c>
      <c r="F235" s="144" t="str">
        <f>VLOOKUP(D235,'Danh mục hàng hóa'!$C$3:$E$656,3,0)</f>
        <v>set 6 cái</v>
      </c>
      <c r="G235" s="320">
        <v>6000</v>
      </c>
      <c r="H235" s="317"/>
      <c r="I235" s="313">
        <v>2</v>
      </c>
      <c r="J235" s="166">
        <f t="shared" si="3"/>
        <v>0</v>
      </c>
      <c r="K235" s="168">
        <f t="shared" si="10"/>
        <v>12000</v>
      </c>
      <c r="L235" s="30"/>
      <c r="M235" s="67"/>
    </row>
    <row r="236" spans="1:13" ht="13.2">
      <c r="A236" s="146">
        <v>297</v>
      </c>
      <c r="B236" s="311" t="s">
        <v>337</v>
      </c>
      <c r="C236" s="319">
        <v>45294</v>
      </c>
      <c r="D236" s="28" t="s">
        <v>438</v>
      </c>
      <c r="E236" s="143" t="str">
        <f>VLOOKUP(D236,'Danh mục hàng hóa'!$C$3:$D$643,2,0)</f>
        <v>Bao lì xì Tết xanh</v>
      </c>
      <c r="F236" s="144" t="str">
        <f>VLOOKUP(D236,'Danh mục hàng hóa'!$C$3:$E$656,3,0)</f>
        <v>set 6 cái</v>
      </c>
      <c r="G236" s="320">
        <v>6000</v>
      </c>
      <c r="H236" s="317"/>
      <c r="I236" s="313">
        <v>1</v>
      </c>
      <c r="J236" s="166">
        <f t="shared" si="3"/>
        <v>0</v>
      </c>
      <c r="K236" s="168">
        <f t="shared" si="10"/>
        <v>6000</v>
      </c>
      <c r="L236" s="30"/>
      <c r="M236" s="67"/>
    </row>
    <row r="237" spans="1:13" ht="13.2">
      <c r="A237" s="146">
        <v>298</v>
      </c>
      <c r="B237" s="311" t="s">
        <v>337</v>
      </c>
      <c r="C237" s="319">
        <v>45294</v>
      </c>
      <c r="D237" s="28" t="s">
        <v>439</v>
      </c>
      <c r="E237" s="143" t="str">
        <f>VLOOKUP(D237,'Danh mục hàng hóa'!$C$3:$D$643,2,0)</f>
        <v>Bao lì xì vui vẻ</v>
      </c>
      <c r="F237" s="144" t="str">
        <f>VLOOKUP(D237,'Danh mục hàng hóa'!$C$3:$E$656,3,0)</f>
        <v>set 6 cái</v>
      </c>
      <c r="G237" s="320">
        <v>6000</v>
      </c>
      <c r="H237" s="317"/>
      <c r="I237" s="313">
        <v>1</v>
      </c>
      <c r="J237" s="166">
        <f t="shared" si="3"/>
        <v>0</v>
      </c>
      <c r="K237" s="168">
        <f t="shared" si="10"/>
        <v>6000</v>
      </c>
      <c r="L237" s="30"/>
      <c r="M237" s="67"/>
    </row>
    <row r="238" spans="1:13" ht="13.2">
      <c r="A238" s="146">
        <v>299</v>
      </c>
      <c r="B238" s="311" t="s">
        <v>337</v>
      </c>
      <c r="C238" s="319">
        <v>45294</v>
      </c>
      <c r="D238" s="28" t="s">
        <v>440</v>
      </c>
      <c r="E238" s="143" t="str">
        <f>VLOOKUP(D238,'Danh mục hàng hóa'!$C$3:$D$643,2,0)</f>
        <v>Bao lì xì ngộ nghĩnh</v>
      </c>
      <c r="F238" s="144" t="str">
        <f>VLOOKUP(D238,'Danh mục hàng hóa'!$C$3:$E$656,3,0)</f>
        <v>set 6 cái</v>
      </c>
      <c r="G238" s="320">
        <v>6000</v>
      </c>
      <c r="H238" s="317"/>
      <c r="I238" s="313">
        <v>1</v>
      </c>
      <c r="J238" s="166">
        <f t="shared" si="3"/>
        <v>0</v>
      </c>
      <c r="K238" s="168">
        <f t="shared" si="10"/>
        <v>6000</v>
      </c>
      <c r="L238" s="30"/>
      <c r="M238" s="67"/>
    </row>
    <row r="239" spans="1:13" ht="13.2">
      <c r="A239" s="146">
        <v>300</v>
      </c>
      <c r="B239" s="311" t="s">
        <v>337</v>
      </c>
      <c r="C239" s="319">
        <v>45294</v>
      </c>
      <c r="D239" s="28" t="s">
        <v>438</v>
      </c>
      <c r="E239" s="143" t="str">
        <f>VLOOKUP(D239,'Danh mục hàng hóa'!$C$3:$D$643,2,0)</f>
        <v>Bao lì xì Tết xanh</v>
      </c>
      <c r="F239" s="144" t="str">
        <f>VLOOKUP(D239,'Danh mục hàng hóa'!$C$3:$E$656,3,0)</f>
        <v>set 6 cái</v>
      </c>
      <c r="G239" s="321">
        <f>118212/16</f>
        <v>7388.25</v>
      </c>
      <c r="H239" s="317"/>
      <c r="I239" s="313">
        <v>16</v>
      </c>
      <c r="J239" s="166">
        <f t="shared" si="3"/>
        <v>0</v>
      </c>
      <c r="K239" s="168">
        <f t="shared" si="10"/>
        <v>118212</v>
      </c>
      <c r="L239" s="30"/>
      <c r="M239" s="67"/>
    </row>
    <row r="240" spans="1:13" ht="13.2">
      <c r="A240" s="146">
        <v>301</v>
      </c>
      <c r="B240" s="311" t="s">
        <v>337</v>
      </c>
      <c r="C240" s="319">
        <v>45294</v>
      </c>
      <c r="D240" s="28" t="s">
        <v>435</v>
      </c>
      <c r="E240" s="143" t="str">
        <f>VLOOKUP(D240,'Danh mục hàng hóa'!$C$3:$D$643,2,0)</f>
        <v>Bao lì xì Tết tài lộc</v>
      </c>
      <c r="F240" s="144" t="str">
        <f>VLOOKUP(D240,'Danh mục hàng hóa'!$C$3:$E$656,3,0)</f>
        <v>set 6 cái</v>
      </c>
      <c r="G240" s="321">
        <f>139920/20</f>
        <v>6996</v>
      </c>
      <c r="H240" s="317"/>
      <c r="I240" s="313">
        <v>20</v>
      </c>
      <c r="J240" s="166">
        <f t="shared" si="3"/>
        <v>0</v>
      </c>
      <c r="K240" s="168">
        <f t="shared" si="10"/>
        <v>139920</v>
      </c>
      <c r="L240" s="30"/>
      <c r="M240" s="67"/>
    </row>
    <row r="241" spans="1:13" ht="13.2">
      <c r="A241" s="146">
        <v>302</v>
      </c>
      <c r="B241" s="311" t="s">
        <v>337</v>
      </c>
      <c r="C241" s="319">
        <v>45294</v>
      </c>
      <c r="D241" s="28" t="s">
        <v>431</v>
      </c>
      <c r="E241" s="143" t="str">
        <f>VLOOKUP(D241,'Danh mục hàng hóa'!$C$3:$D$643,2,0)</f>
        <v>Bao lì xì rồng con</v>
      </c>
      <c r="F241" s="144" t="str">
        <f>VLOOKUP(D241,'Danh mục hàng hóa'!$C$3:$E$656,3,0)</f>
        <v>túi 4 cái</v>
      </c>
      <c r="G241" s="321">
        <f>29860/2</f>
        <v>14930</v>
      </c>
      <c r="H241" s="317"/>
      <c r="I241" s="313">
        <v>2</v>
      </c>
      <c r="J241" s="166">
        <f t="shared" si="3"/>
        <v>0</v>
      </c>
      <c r="K241" s="168">
        <f t="shared" si="10"/>
        <v>29860</v>
      </c>
      <c r="L241" s="30"/>
      <c r="M241" s="67"/>
    </row>
    <row r="242" spans="1:13" ht="13.2">
      <c r="A242" s="146">
        <v>303</v>
      </c>
      <c r="B242" s="311" t="s">
        <v>337</v>
      </c>
      <c r="C242" s="319">
        <v>45294</v>
      </c>
      <c r="D242" s="28" t="s">
        <v>659</v>
      </c>
      <c r="E242" s="143" t="str">
        <f>VLOOKUP(D242,'Danh mục hàng hóa'!$C$3:$D$643,2,0)</f>
        <v>Buộc tóc ngọc trai trắng</v>
      </c>
      <c r="F242" s="144" t="str">
        <f>VLOOKUP(D242,'Danh mục hàng hóa'!$C$3:$E$656,3,0)</f>
        <v>cái</v>
      </c>
      <c r="G242" s="320">
        <v>18000</v>
      </c>
      <c r="H242" s="317"/>
      <c r="I242" s="313">
        <v>1</v>
      </c>
      <c r="J242" s="166">
        <f t="shared" si="3"/>
        <v>0</v>
      </c>
      <c r="K242" s="168">
        <f t="shared" si="10"/>
        <v>18000</v>
      </c>
      <c r="L242" s="30"/>
      <c r="M242" s="67"/>
    </row>
    <row r="243" spans="1:13" ht="13.2">
      <c r="A243" s="146">
        <v>304</v>
      </c>
      <c r="B243" s="311" t="s">
        <v>337</v>
      </c>
      <c r="C243" s="319">
        <v>45294</v>
      </c>
      <c r="D243" s="28" t="s">
        <v>661</v>
      </c>
      <c r="E243" s="143" t="str">
        <f>VLOOKUP(D243,'Danh mục hàng hóa'!$C$3:$D$643,2,0)</f>
        <v>Buộc tóc ngọc trai đen</v>
      </c>
      <c r="F243" s="144" t="str">
        <f>VLOOKUP(D243,'Danh mục hàng hóa'!$C$3:$E$656,3,0)</f>
        <v>cái</v>
      </c>
      <c r="G243" s="320">
        <v>18000</v>
      </c>
      <c r="H243" s="317"/>
      <c r="I243" s="313">
        <v>1</v>
      </c>
      <c r="J243" s="166">
        <f t="shared" si="3"/>
        <v>0</v>
      </c>
      <c r="K243" s="168">
        <f t="shared" si="10"/>
        <v>18000</v>
      </c>
      <c r="L243" s="30"/>
      <c r="M243" s="67"/>
    </row>
    <row r="244" spans="1:13" ht="13.2">
      <c r="A244" s="146">
        <v>305</v>
      </c>
      <c r="B244" s="311" t="s">
        <v>337</v>
      </c>
      <c r="C244" s="319">
        <v>45294</v>
      </c>
      <c r="D244" s="28" t="s">
        <v>685</v>
      </c>
      <c r="E244" s="143" t="str">
        <f>VLOOKUP(D244,'Danh mục hàng hóa'!$C$3:$D$643,2,0)</f>
        <v>Buộc tóc voan xanh lớn</v>
      </c>
      <c r="F244" s="144" t="str">
        <f>VLOOKUP(D244,'Danh mục hàng hóa'!$C$3:$E$656,3,0)</f>
        <v>cái</v>
      </c>
      <c r="G244" s="320">
        <v>12000</v>
      </c>
      <c r="H244" s="317"/>
      <c r="I244" s="313">
        <v>1</v>
      </c>
      <c r="J244" s="166">
        <f t="shared" si="3"/>
        <v>0</v>
      </c>
      <c r="K244" s="168">
        <f t="shared" si="10"/>
        <v>12000</v>
      </c>
      <c r="L244" s="30"/>
      <c r="M244" s="67"/>
    </row>
    <row r="245" spans="1:13" ht="13.2">
      <c r="A245" s="146">
        <v>306</v>
      </c>
      <c r="B245" s="311" t="s">
        <v>337</v>
      </c>
      <c r="C245" s="319">
        <v>45294</v>
      </c>
      <c r="D245" s="28" t="s">
        <v>695</v>
      </c>
      <c r="E245" s="143" t="str">
        <f>VLOOKUP(D245,'Danh mục hàng hóa'!$C$3:$D$643,2,0)</f>
        <v>Buộc tóc lụa hoa đen</v>
      </c>
      <c r="F245" s="144" t="str">
        <f>VLOOKUP(D245,'Danh mục hàng hóa'!$C$3:$E$656,3,0)</f>
        <v>cái</v>
      </c>
      <c r="G245" s="320">
        <v>12000</v>
      </c>
      <c r="H245" s="317"/>
      <c r="I245" s="313">
        <v>1</v>
      </c>
      <c r="J245" s="166">
        <f t="shared" si="3"/>
        <v>0</v>
      </c>
      <c r="K245" s="168">
        <f t="shared" si="10"/>
        <v>12000</v>
      </c>
      <c r="L245" s="30"/>
      <c r="M245" s="67"/>
    </row>
    <row r="246" spans="1:13" ht="13.2">
      <c r="A246" s="146">
        <v>307</v>
      </c>
      <c r="B246" s="311" t="s">
        <v>337</v>
      </c>
      <c r="C246" s="319">
        <v>45294</v>
      </c>
      <c r="D246" s="28" t="s">
        <v>637</v>
      </c>
      <c r="E246" s="143" t="str">
        <f>VLOOKUP(D246,'Danh mục hàng hóa'!$C$3:$D$643,2,0)</f>
        <v>Kẹp tóc len hoa trắng</v>
      </c>
      <c r="F246" s="144" t="str">
        <f>VLOOKUP(D246,'Danh mục hàng hóa'!$C$3:$E$656,3,0)</f>
        <v>cái</v>
      </c>
      <c r="G246" s="320">
        <v>25000</v>
      </c>
      <c r="H246" s="317"/>
      <c r="I246" s="313">
        <v>1</v>
      </c>
      <c r="J246" s="166">
        <f t="shared" si="3"/>
        <v>0</v>
      </c>
      <c r="K246" s="168">
        <f t="shared" si="10"/>
        <v>25000</v>
      </c>
      <c r="L246" s="30"/>
      <c r="M246" s="67"/>
    </row>
    <row r="247" spans="1:13" ht="13.2">
      <c r="A247" s="146">
        <v>308</v>
      </c>
      <c r="B247" s="311" t="s">
        <v>337</v>
      </c>
      <c r="C247" s="319">
        <v>45294</v>
      </c>
      <c r="D247" s="28" t="s">
        <v>629</v>
      </c>
      <c r="E247" s="143" t="str">
        <f>VLOOKUP(D247,'Danh mục hàng hóa'!$C$3:$D$643,2,0)</f>
        <v>Kẹp tóc lông nâu đậm</v>
      </c>
      <c r="F247" s="144" t="str">
        <f>VLOOKUP(D247,'Danh mục hàng hóa'!$C$3:$E$656,3,0)</f>
        <v>cái</v>
      </c>
      <c r="G247" s="320">
        <v>15000</v>
      </c>
      <c r="H247" s="317"/>
      <c r="I247" s="313">
        <v>1</v>
      </c>
      <c r="J247" s="166">
        <f t="shared" si="3"/>
        <v>0</v>
      </c>
      <c r="K247" s="168">
        <f t="shared" si="10"/>
        <v>15000</v>
      </c>
      <c r="L247" s="30"/>
      <c r="M247" s="67"/>
    </row>
    <row r="248" spans="1:13" ht="13.2">
      <c r="A248" s="146">
        <v>309</v>
      </c>
      <c r="B248" s="311" t="s">
        <v>337</v>
      </c>
      <c r="C248" s="319">
        <v>45294</v>
      </c>
      <c r="D248" s="28" t="s">
        <v>438</v>
      </c>
      <c r="E248" s="143" t="str">
        <f>VLOOKUP(D248,'Danh mục hàng hóa'!$C$3:$D$643,2,0)</f>
        <v>Bao lì xì Tết xanh</v>
      </c>
      <c r="F248" s="144" t="str">
        <f>VLOOKUP(D248,'Danh mục hàng hóa'!$C$3:$E$656,3,0)</f>
        <v>set 6 cái</v>
      </c>
      <c r="G248" s="320">
        <f t="shared" ref="G248:G250" si="11">44512/8</f>
        <v>5564</v>
      </c>
      <c r="H248" s="317"/>
      <c r="I248" s="313">
        <v>3</v>
      </c>
      <c r="J248" s="166">
        <f t="shared" si="3"/>
        <v>0</v>
      </c>
      <c r="K248" s="168">
        <f t="shared" si="10"/>
        <v>16692</v>
      </c>
      <c r="L248" s="30"/>
      <c r="M248" s="67"/>
    </row>
    <row r="249" spans="1:13" ht="13.2">
      <c r="A249" s="146">
        <v>310</v>
      </c>
      <c r="B249" s="311" t="s">
        <v>337</v>
      </c>
      <c r="C249" s="319">
        <v>45294</v>
      </c>
      <c r="D249" s="28" t="s">
        <v>439</v>
      </c>
      <c r="E249" s="143" t="str">
        <f>VLOOKUP(D249,'Danh mục hàng hóa'!$C$3:$D$643,2,0)</f>
        <v>Bao lì xì vui vẻ</v>
      </c>
      <c r="F249" s="144" t="str">
        <f>VLOOKUP(D249,'Danh mục hàng hóa'!$C$3:$E$656,3,0)</f>
        <v>set 6 cái</v>
      </c>
      <c r="G249" s="320">
        <f t="shared" si="11"/>
        <v>5564</v>
      </c>
      <c r="H249" s="317"/>
      <c r="I249" s="313">
        <v>3</v>
      </c>
      <c r="J249" s="166">
        <f t="shared" si="3"/>
        <v>0</v>
      </c>
      <c r="K249" s="168">
        <f t="shared" si="10"/>
        <v>16692</v>
      </c>
      <c r="L249" s="30"/>
      <c r="M249" s="67"/>
    </row>
    <row r="250" spans="1:13" ht="13.2">
      <c r="A250" s="146">
        <v>311</v>
      </c>
      <c r="B250" s="311" t="s">
        <v>337</v>
      </c>
      <c r="C250" s="319">
        <v>45294</v>
      </c>
      <c r="D250" s="28" t="s">
        <v>440</v>
      </c>
      <c r="E250" s="143" t="str">
        <f>VLOOKUP(D250,'Danh mục hàng hóa'!$C$3:$D$643,2,0)</f>
        <v>Bao lì xì ngộ nghĩnh</v>
      </c>
      <c r="F250" s="144" t="str">
        <f>VLOOKUP(D250,'Danh mục hàng hóa'!$C$3:$E$656,3,0)</f>
        <v>set 6 cái</v>
      </c>
      <c r="G250" s="320">
        <f t="shared" si="11"/>
        <v>5564</v>
      </c>
      <c r="H250" s="317"/>
      <c r="I250" s="313">
        <v>2</v>
      </c>
      <c r="J250" s="166">
        <f t="shared" si="3"/>
        <v>0</v>
      </c>
      <c r="K250" s="168">
        <f t="shared" si="10"/>
        <v>11128</v>
      </c>
      <c r="L250" s="30"/>
      <c r="M250" s="67"/>
    </row>
    <row r="251" spans="1:13" ht="13.2">
      <c r="A251" s="146">
        <v>312</v>
      </c>
      <c r="B251" s="311" t="s">
        <v>337</v>
      </c>
      <c r="C251" s="319">
        <v>45295</v>
      </c>
      <c r="D251" s="28" t="s">
        <v>876</v>
      </c>
      <c r="E251" s="143" t="str">
        <f>VLOOKUP(D251,'Danh mục hàng hóa'!$C$3:$D$643,2,0)</f>
        <v>Dao rọc giấy cún trắng</v>
      </c>
      <c r="F251" s="144" t="str">
        <f>VLOOKUP(D251,'Danh mục hàng hóa'!$C$3:$E$656,3,0)</f>
        <v>cái</v>
      </c>
      <c r="G251" s="320">
        <v>0</v>
      </c>
      <c r="H251" s="317"/>
      <c r="I251" s="313">
        <v>1</v>
      </c>
      <c r="J251" s="166">
        <f t="shared" si="3"/>
        <v>0</v>
      </c>
      <c r="K251" s="168">
        <f t="shared" si="10"/>
        <v>0</v>
      </c>
      <c r="L251" s="30"/>
      <c r="M251" s="67"/>
    </row>
    <row r="252" spans="1:13" ht="13.2">
      <c r="A252" s="146">
        <v>313</v>
      </c>
      <c r="B252" s="311" t="s">
        <v>337</v>
      </c>
      <c r="C252" s="319">
        <v>45295</v>
      </c>
      <c r="D252" s="143" t="s">
        <v>677</v>
      </c>
      <c r="E252" s="143" t="str">
        <f>VLOOKUP(D252,'Danh mục hàng hóa'!$C$3:$D$643,2,0)</f>
        <v>Buộc tóc voan hồng nhỏ</v>
      </c>
      <c r="F252" s="144" t="str">
        <f>VLOOKUP(D252,'Danh mục hàng hóa'!$C$3:$E$656,3,0)</f>
        <v>cái</v>
      </c>
      <c r="G252" s="320">
        <v>10000</v>
      </c>
      <c r="H252" s="317"/>
      <c r="I252" s="313">
        <v>1</v>
      </c>
      <c r="J252" s="166">
        <f t="shared" si="3"/>
        <v>0</v>
      </c>
      <c r="K252" s="168">
        <f t="shared" si="10"/>
        <v>10000</v>
      </c>
      <c r="L252" s="30"/>
      <c r="M252" s="67"/>
    </row>
    <row r="253" spans="1:13" ht="13.2">
      <c r="A253" s="146">
        <v>314</v>
      </c>
      <c r="B253" s="311" t="s">
        <v>337</v>
      </c>
      <c r="C253" s="319">
        <v>45295</v>
      </c>
      <c r="D253" s="143" t="s">
        <v>681</v>
      </c>
      <c r="E253" s="143" t="str">
        <f>VLOOKUP(D253,'Danh mục hàng hóa'!$C$3:$D$643,2,0)</f>
        <v>Buộc tóc voan kem nhỏ</v>
      </c>
      <c r="F253" s="144" t="str">
        <f>VLOOKUP(D253,'Danh mục hàng hóa'!$C$3:$E$656,3,0)</f>
        <v>cái</v>
      </c>
      <c r="G253" s="320">
        <v>10000</v>
      </c>
      <c r="H253" s="317"/>
      <c r="I253" s="313">
        <v>1</v>
      </c>
      <c r="J253" s="166">
        <f t="shared" si="3"/>
        <v>0</v>
      </c>
      <c r="K253" s="168">
        <f t="shared" si="10"/>
        <v>10000</v>
      </c>
      <c r="L253" s="30"/>
      <c r="M253" s="67"/>
    </row>
    <row r="254" spans="1:13" ht="13.2">
      <c r="A254" s="146">
        <v>315</v>
      </c>
      <c r="B254" s="311" t="s">
        <v>337</v>
      </c>
      <c r="C254" s="319">
        <v>45295</v>
      </c>
      <c r="D254" s="143" t="s">
        <v>685</v>
      </c>
      <c r="E254" s="143" t="str">
        <f>VLOOKUP(D254,'Danh mục hàng hóa'!$C$3:$D$643,2,0)</f>
        <v>Buộc tóc voan xanh lớn</v>
      </c>
      <c r="F254" s="144" t="str">
        <f>VLOOKUP(D254,'Danh mục hàng hóa'!$C$3:$E$656,3,0)</f>
        <v>cái</v>
      </c>
      <c r="G254" s="320">
        <v>10000</v>
      </c>
      <c r="H254" s="317"/>
      <c r="I254" s="313">
        <v>1</v>
      </c>
      <c r="J254" s="166">
        <f t="shared" si="3"/>
        <v>0</v>
      </c>
      <c r="K254" s="168">
        <f t="shared" si="10"/>
        <v>10000</v>
      </c>
      <c r="L254" s="30"/>
      <c r="M254" s="67"/>
    </row>
    <row r="255" spans="1:13" ht="13.2">
      <c r="A255" s="146">
        <v>316</v>
      </c>
      <c r="B255" s="311" t="s">
        <v>337</v>
      </c>
      <c r="C255" s="319">
        <v>45295</v>
      </c>
      <c r="D255" s="28" t="s">
        <v>435</v>
      </c>
      <c r="E255" s="143" t="str">
        <f>VLOOKUP(D255,'Danh mục hàng hóa'!$C$3:$D$643,2,0)</f>
        <v>Bao lì xì Tết tài lộc</v>
      </c>
      <c r="F255" s="144" t="str">
        <f>VLOOKUP(D255,'Danh mục hàng hóa'!$C$3:$E$656,3,0)</f>
        <v>set 6 cái</v>
      </c>
      <c r="G255" s="320">
        <f t="shared" ref="G255:G259" si="12">26460/5</f>
        <v>5292</v>
      </c>
      <c r="H255" s="317"/>
      <c r="I255" s="313">
        <v>1</v>
      </c>
      <c r="J255" s="166">
        <f t="shared" si="3"/>
        <v>0</v>
      </c>
      <c r="K255" s="168">
        <f t="shared" si="10"/>
        <v>5292</v>
      </c>
      <c r="L255" s="30"/>
      <c r="M255" s="67"/>
    </row>
    <row r="256" spans="1:13" ht="13.2">
      <c r="A256" s="146">
        <v>317</v>
      </c>
      <c r="B256" s="311" t="s">
        <v>337</v>
      </c>
      <c r="C256" s="319">
        <v>45295</v>
      </c>
      <c r="D256" s="28" t="s">
        <v>437</v>
      </c>
      <c r="E256" s="143" t="str">
        <f>VLOOKUP(D256,'Danh mục hàng hóa'!$C$3:$D$643,2,0)</f>
        <v>Bao lì xì Tết hoa</v>
      </c>
      <c r="F256" s="144" t="str">
        <f>VLOOKUP(D256,'Danh mục hàng hóa'!$C$3:$E$656,3,0)</f>
        <v>set 6 cái</v>
      </c>
      <c r="G256" s="320">
        <f t="shared" si="12"/>
        <v>5292</v>
      </c>
      <c r="H256" s="317"/>
      <c r="I256" s="313">
        <v>1</v>
      </c>
      <c r="J256" s="166">
        <f t="shared" si="3"/>
        <v>0</v>
      </c>
      <c r="K256" s="168">
        <f t="shared" si="10"/>
        <v>5292</v>
      </c>
      <c r="L256" s="30"/>
      <c r="M256" s="67"/>
    </row>
    <row r="257" spans="1:13" ht="13.2">
      <c r="A257" s="146">
        <v>318</v>
      </c>
      <c r="B257" s="311" t="s">
        <v>337</v>
      </c>
      <c r="C257" s="319">
        <v>45295</v>
      </c>
      <c r="D257" s="28" t="s">
        <v>438</v>
      </c>
      <c r="E257" s="143" t="str">
        <f>VLOOKUP(D257,'Danh mục hàng hóa'!$C$3:$D$643,2,0)</f>
        <v>Bao lì xì Tết xanh</v>
      </c>
      <c r="F257" s="144" t="str">
        <f>VLOOKUP(D257,'Danh mục hàng hóa'!$C$3:$E$656,3,0)</f>
        <v>set 6 cái</v>
      </c>
      <c r="G257" s="320">
        <f t="shared" si="12"/>
        <v>5292</v>
      </c>
      <c r="H257" s="317"/>
      <c r="I257" s="313">
        <v>1</v>
      </c>
      <c r="J257" s="166">
        <f t="shared" si="3"/>
        <v>0</v>
      </c>
      <c r="K257" s="168">
        <f t="shared" si="10"/>
        <v>5292</v>
      </c>
      <c r="L257" s="30"/>
      <c r="M257" s="67"/>
    </row>
    <row r="258" spans="1:13" ht="13.2">
      <c r="A258" s="146">
        <v>319</v>
      </c>
      <c r="B258" s="311" t="s">
        <v>337</v>
      </c>
      <c r="C258" s="319">
        <v>45295</v>
      </c>
      <c r="D258" s="28" t="s">
        <v>439</v>
      </c>
      <c r="E258" s="143" t="str">
        <f>VLOOKUP(D258,'Danh mục hàng hóa'!$C$3:$D$643,2,0)</f>
        <v>Bao lì xì vui vẻ</v>
      </c>
      <c r="F258" s="144" t="str">
        <f>VLOOKUP(D258,'Danh mục hàng hóa'!$C$3:$E$656,3,0)</f>
        <v>set 6 cái</v>
      </c>
      <c r="G258" s="320">
        <f t="shared" si="12"/>
        <v>5292</v>
      </c>
      <c r="H258" s="317"/>
      <c r="I258" s="313">
        <v>1</v>
      </c>
      <c r="J258" s="166">
        <f t="shared" si="3"/>
        <v>0</v>
      </c>
      <c r="K258" s="168">
        <f t="shared" si="10"/>
        <v>5292</v>
      </c>
      <c r="L258" s="30"/>
      <c r="M258" s="67"/>
    </row>
    <row r="259" spans="1:13" ht="13.2">
      <c r="A259" s="146">
        <v>320</v>
      </c>
      <c r="B259" s="311" t="s">
        <v>337</v>
      </c>
      <c r="C259" s="319">
        <v>45295</v>
      </c>
      <c r="D259" s="28" t="s">
        <v>440</v>
      </c>
      <c r="E259" s="143" t="str">
        <f>VLOOKUP(D259,'Danh mục hàng hóa'!$C$3:$D$643,2,0)</f>
        <v>Bao lì xì ngộ nghĩnh</v>
      </c>
      <c r="F259" s="144" t="str">
        <f>VLOOKUP(D259,'Danh mục hàng hóa'!$C$3:$E$656,3,0)</f>
        <v>set 6 cái</v>
      </c>
      <c r="G259" s="320">
        <f t="shared" si="12"/>
        <v>5292</v>
      </c>
      <c r="H259" s="317"/>
      <c r="I259" s="313">
        <v>1</v>
      </c>
      <c r="J259" s="166">
        <f t="shared" si="3"/>
        <v>0</v>
      </c>
      <c r="K259" s="168">
        <f t="shared" si="10"/>
        <v>5292</v>
      </c>
      <c r="L259" s="30"/>
      <c r="M259" s="67"/>
    </row>
    <row r="260" spans="1:13" ht="13.2">
      <c r="A260" s="146">
        <v>321</v>
      </c>
      <c r="B260" s="311" t="s">
        <v>337</v>
      </c>
      <c r="C260" s="319">
        <v>45296</v>
      </c>
      <c r="D260" s="28" t="s">
        <v>645</v>
      </c>
      <c r="E260" s="143" t="str">
        <f>VLOOKUP(D260,'Danh mục hàng hóa'!$C$3:$D$643,2,0)</f>
        <v>Cài tóc be</v>
      </c>
      <c r="F260" s="144" t="str">
        <f>VLOOKUP(D260,'Danh mục hàng hóa'!$C$3:$E$656,3,0)</f>
        <v>cái</v>
      </c>
      <c r="G260" s="320">
        <v>15000</v>
      </c>
      <c r="H260" s="317"/>
      <c r="I260" s="313">
        <v>1</v>
      </c>
      <c r="J260" s="166">
        <f t="shared" si="3"/>
        <v>0</v>
      </c>
      <c r="K260" s="168">
        <f t="shared" si="10"/>
        <v>15000</v>
      </c>
      <c r="L260" s="30"/>
      <c r="M260" s="67"/>
    </row>
    <row r="261" spans="1:13" ht="13.2">
      <c r="A261" s="146">
        <v>322</v>
      </c>
      <c r="B261" s="311" t="s">
        <v>337</v>
      </c>
      <c r="C261" s="319">
        <v>45296</v>
      </c>
      <c r="D261" s="28" t="s">
        <v>647</v>
      </c>
      <c r="E261" s="143" t="str">
        <f>VLOOKUP(D261,'Danh mục hàng hóa'!$C$3:$D$643,2,0)</f>
        <v>Cài tóc kem</v>
      </c>
      <c r="F261" s="144" t="str">
        <f>VLOOKUP(D261,'Danh mục hàng hóa'!$C$3:$E$656,3,0)</f>
        <v>cái</v>
      </c>
      <c r="G261" s="320">
        <v>15000</v>
      </c>
      <c r="H261" s="317"/>
      <c r="I261" s="313">
        <v>1</v>
      </c>
      <c r="J261" s="166">
        <f t="shared" si="3"/>
        <v>0</v>
      </c>
      <c r="K261" s="168">
        <f t="shared" si="10"/>
        <v>15000</v>
      </c>
      <c r="L261" s="30"/>
      <c r="M261" s="67"/>
    </row>
    <row r="262" spans="1:13" ht="13.2">
      <c r="A262" s="146">
        <v>323</v>
      </c>
      <c r="B262" s="311" t="s">
        <v>337</v>
      </c>
      <c r="C262" s="319">
        <v>45296</v>
      </c>
      <c r="D262" s="28" t="s">
        <v>556</v>
      </c>
      <c r="E262" s="143" t="str">
        <f>VLOOKUP(D262,'Danh mục hàng hóa'!$C$3:$D$643,2,0)</f>
        <v>Ống 50 dây cột tóc đen be nâu</v>
      </c>
      <c r="F262" s="144" t="str">
        <f>VLOOKUP(D262,'Danh mục hàng hóa'!$C$3:$E$656,3,0)</f>
        <v>ống</v>
      </c>
      <c r="G262" s="320">
        <v>18000</v>
      </c>
      <c r="H262" s="317"/>
      <c r="I262" s="313">
        <v>1</v>
      </c>
      <c r="J262" s="166">
        <f t="shared" si="3"/>
        <v>0</v>
      </c>
      <c r="K262" s="168">
        <f t="shared" si="10"/>
        <v>18000</v>
      </c>
      <c r="L262" s="30"/>
      <c r="M262" s="67"/>
    </row>
    <row r="263" spans="1:13" ht="13.2">
      <c r="A263" s="146">
        <v>324</v>
      </c>
      <c r="B263" s="311" t="s">
        <v>337</v>
      </c>
      <c r="C263" s="319">
        <v>45296</v>
      </c>
      <c r="D263" s="28" t="s">
        <v>435</v>
      </c>
      <c r="E263" s="143" t="str">
        <f>VLOOKUP(D263,'Danh mục hàng hóa'!$C$3:$D$643,2,0)</f>
        <v>Bao lì xì Tết tài lộc</v>
      </c>
      <c r="F263" s="144" t="str">
        <f>VLOOKUP(D263,'Danh mục hàng hóa'!$C$3:$E$656,3,0)</f>
        <v>set 6 cái</v>
      </c>
      <c r="G263" s="321">
        <f t="shared" ref="G263:G266" si="13">44292/6</f>
        <v>7382</v>
      </c>
      <c r="H263" s="317"/>
      <c r="I263" s="313">
        <v>1</v>
      </c>
      <c r="J263" s="166">
        <f t="shared" si="3"/>
        <v>0</v>
      </c>
      <c r="K263" s="168">
        <f t="shared" si="10"/>
        <v>7382</v>
      </c>
      <c r="L263" s="30"/>
      <c r="M263" s="67"/>
    </row>
    <row r="264" spans="1:13" ht="13.2">
      <c r="A264" s="146">
        <v>325</v>
      </c>
      <c r="B264" s="311" t="s">
        <v>337</v>
      </c>
      <c r="C264" s="319">
        <v>45296</v>
      </c>
      <c r="D264" s="28" t="s">
        <v>437</v>
      </c>
      <c r="E264" s="143" t="str">
        <f>VLOOKUP(D264,'Danh mục hàng hóa'!$C$3:$D$643,2,0)</f>
        <v>Bao lì xì Tết hoa</v>
      </c>
      <c r="F264" s="144" t="str">
        <f>VLOOKUP(D264,'Danh mục hàng hóa'!$C$3:$E$656,3,0)</f>
        <v>set 6 cái</v>
      </c>
      <c r="G264" s="321">
        <f t="shared" si="13"/>
        <v>7382</v>
      </c>
      <c r="H264" s="317"/>
      <c r="I264" s="313">
        <v>1</v>
      </c>
      <c r="J264" s="166">
        <f t="shared" si="3"/>
        <v>0</v>
      </c>
      <c r="K264" s="168">
        <f t="shared" si="10"/>
        <v>7382</v>
      </c>
      <c r="L264" s="30"/>
      <c r="M264" s="67"/>
    </row>
    <row r="265" spans="1:13" ht="13.2">
      <c r="A265" s="146">
        <v>326</v>
      </c>
      <c r="B265" s="311" t="s">
        <v>337</v>
      </c>
      <c r="C265" s="319">
        <v>45296</v>
      </c>
      <c r="D265" s="28" t="s">
        <v>439</v>
      </c>
      <c r="E265" s="143" t="str">
        <f>VLOOKUP(D265,'Danh mục hàng hóa'!$C$3:$D$643,2,0)</f>
        <v>Bao lì xì vui vẻ</v>
      </c>
      <c r="F265" s="144" t="str">
        <f>VLOOKUP(D265,'Danh mục hàng hóa'!$C$3:$E$656,3,0)</f>
        <v>set 6 cái</v>
      </c>
      <c r="G265" s="321">
        <f t="shared" si="13"/>
        <v>7382</v>
      </c>
      <c r="H265" s="317"/>
      <c r="I265" s="313">
        <v>2</v>
      </c>
      <c r="J265" s="166">
        <f t="shared" si="3"/>
        <v>0</v>
      </c>
      <c r="K265" s="168">
        <f t="shared" si="10"/>
        <v>14764</v>
      </c>
      <c r="L265" s="30"/>
      <c r="M265" s="67"/>
    </row>
    <row r="266" spans="1:13" ht="13.2">
      <c r="A266" s="146">
        <v>327</v>
      </c>
      <c r="B266" s="311" t="s">
        <v>337</v>
      </c>
      <c r="C266" s="319">
        <v>45296</v>
      </c>
      <c r="D266" s="28" t="s">
        <v>440</v>
      </c>
      <c r="E266" s="143" t="str">
        <f>VLOOKUP(D266,'Danh mục hàng hóa'!$C$3:$D$643,2,0)</f>
        <v>Bao lì xì ngộ nghĩnh</v>
      </c>
      <c r="F266" s="144" t="str">
        <f>VLOOKUP(D266,'Danh mục hàng hóa'!$C$3:$E$656,3,0)</f>
        <v>set 6 cái</v>
      </c>
      <c r="G266" s="321">
        <f t="shared" si="13"/>
        <v>7382</v>
      </c>
      <c r="H266" s="317"/>
      <c r="I266" s="313">
        <v>2</v>
      </c>
      <c r="J266" s="166">
        <f t="shared" si="3"/>
        <v>0</v>
      </c>
      <c r="K266" s="168">
        <f t="shared" si="10"/>
        <v>14764</v>
      </c>
      <c r="L266" s="30"/>
      <c r="M266" s="67"/>
    </row>
    <row r="267" spans="1:13" ht="13.2">
      <c r="A267" s="146">
        <v>328</v>
      </c>
      <c r="B267" s="311" t="s">
        <v>337</v>
      </c>
      <c r="C267" s="319">
        <v>45299</v>
      </c>
      <c r="D267" s="28" t="s">
        <v>420</v>
      </c>
      <c r="E267" s="143" t="str">
        <f>VLOOKUP(D267,'Danh mục hàng hóa'!$C$3:$D$643,2,0)</f>
        <v>Túi chườm bụng thỏ dứa 500ml</v>
      </c>
      <c r="F267" s="144" t="str">
        <f>VLOOKUP(D267,'Danh mục hàng hóa'!$C$3:$E$656,3,0)</f>
        <v>túi</v>
      </c>
      <c r="G267" s="320">
        <v>80000</v>
      </c>
      <c r="H267" s="317"/>
      <c r="I267" s="313">
        <v>1</v>
      </c>
      <c r="J267" s="166">
        <f t="shared" si="3"/>
        <v>0</v>
      </c>
      <c r="K267" s="168">
        <f t="shared" si="10"/>
        <v>80000</v>
      </c>
      <c r="L267" s="30"/>
      <c r="M267" s="67"/>
    </row>
    <row r="268" spans="1:13" ht="13.2">
      <c r="A268" s="146">
        <v>329</v>
      </c>
      <c r="B268" s="311" t="s">
        <v>337</v>
      </c>
      <c r="C268" s="319">
        <v>45299</v>
      </c>
      <c r="D268" s="28" t="s">
        <v>435</v>
      </c>
      <c r="E268" s="143" t="str">
        <f>VLOOKUP(D268,'Danh mục hàng hóa'!$C$3:$D$643,2,0)</f>
        <v>Bao lì xì Tết tài lộc</v>
      </c>
      <c r="F268" s="144" t="str">
        <f>VLOOKUP(D268,'Danh mục hàng hóa'!$C$3:$E$656,3,0)</f>
        <v>set 6 cái</v>
      </c>
      <c r="G268" s="320">
        <v>6032</v>
      </c>
      <c r="H268" s="317"/>
      <c r="I268" s="313">
        <v>2</v>
      </c>
      <c r="J268" s="166">
        <f t="shared" si="3"/>
        <v>0</v>
      </c>
      <c r="K268" s="168">
        <f t="shared" si="10"/>
        <v>12064</v>
      </c>
      <c r="L268" s="30"/>
      <c r="M268" s="67"/>
    </row>
    <row r="269" spans="1:13" ht="13.2">
      <c r="A269" s="146">
        <v>330</v>
      </c>
      <c r="B269" s="311" t="s">
        <v>337</v>
      </c>
      <c r="C269" s="319">
        <v>45299</v>
      </c>
      <c r="D269" s="28" t="s">
        <v>437</v>
      </c>
      <c r="E269" s="143" t="str">
        <f>VLOOKUP(D269,'Danh mục hàng hóa'!$C$3:$D$643,2,0)</f>
        <v>Bao lì xì Tết hoa</v>
      </c>
      <c r="F269" s="144" t="str">
        <f>VLOOKUP(D269,'Danh mục hàng hóa'!$C$3:$E$656,3,0)</f>
        <v>set 6 cái</v>
      </c>
      <c r="G269" s="320">
        <v>6032</v>
      </c>
      <c r="H269" s="317"/>
      <c r="I269" s="313">
        <v>2</v>
      </c>
      <c r="J269" s="166">
        <f t="shared" si="3"/>
        <v>0</v>
      </c>
      <c r="K269" s="168">
        <f t="shared" si="10"/>
        <v>12064</v>
      </c>
      <c r="L269" s="30"/>
      <c r="M269" s="67"/>
    </row>
    <row r="270" spans="1:13" ht="13.2">
      <c r="A270" s="146">
        <v>331</v>
      </c>
      <c r="B270" s="311" t="s">
        <v>337</v>
      </c>
      <c r="C270" s="319">
        <v>45299</v>
      </c>
      <c r="D270" s="28" t="s">
        <v>438</v>
      </c>
      <c r="E270" s="143" t="str">
        <f>VLOOKUP(D270,'Danh mục hàng hóa'!$C$3:$D$643,2,0)</f>
        <v>Bao lì xì Tết xanh</v>
      </c>
      <c r="F270" s="144" t="str">
        <f>VLOOKUP(D270,'Danh mục hàng hóa'!$C$3:$E$656,3,0)</f>
        <v>set 6 cái</v>
      </c>
      <c r="G270" s="320">
        <v>6032</v>
      </c>
      <c r="H270" s="317"/>
      <c r="I270" s="313">
        <v>2</v>
      </c>
      <c r="J270" s="166">
        <f t="shared" si="3"/>
        <v>0</v>
      </c>
      <c r="K270" s="168">
        <f t="shared" si="10"/>
        <v>12064</v>
      </c>
      <c r="L270" s="30"/>
      <c r="M270" s="67"/>
    </row>
    <row r="271" spans="1:13" ht="13.2">
      <c r="A271" s="146">
        <v>332</v>
      </c>
      <c r="B271" s="311" t="s">
        <v>337</v>
      </c>
      <c r="C271" s="319">
        <v>45299</v>
      </c>
      <c r="D271" s="28" t="s">
        <v>439</v>
      </c>
      <c r="E271" s="143" t="str">
        <f>VLOOKUP(D271,'Danh mục hàng hóa'!$C$3:$D$643,2,0)</f>
        <v>Bao lì xì vui vẻ</v>
      </c>
      <c r="F271" s="144" t="str">
        <f>VLOOKUP(D271,'Danh mục hàng hóa'!$C$3:$E$656,3,0)</f>
        <v>set 6 cái</v>
      </c>
      <c r="G271" s="320">
        <v>6032</v>
      </c>
      <c r="H271" s="317"/>
      <c r="I271" s="313">
        <v>2</v>
      </c>
      <c r="J271" s="166">
        <f t="shared" si="3"/>
        <v>0</v>
      </c>
      <c r="K271" s="168">
        <f t="shared" si="10"/>
        <v>12064</v>
      </c>
      <c r="L271" s="30"/>
      <c r="M271" s="67"/>
    </row>
    <row r="272" spans="1:13" ht="13.2">
      <c r="A272" s="146">
        <v>333</v>
      </c>
      <c r="B272" s="311" t="s">
        <v>337</v>
      </c>
      <c r="C272" s="319">
        <v>45299</v>
      </c>
      <c r="D272" s="28" t="s">
        <v>440</v>
      </c>
      <c r="E272" s="143" t="str">
        <f>VLOOKUP(D272,'Danh mục hàng hóa'!$C$3:$D$643,2,0)</f>
        <v>Bao lì xì ngộ nghĩnh</v>
      </c>
      <c r="F272" s="144" t="str">
        <f>VLOOKUP(D272,'Danh mục hàng hóa'!$C$3:$E$656,3,0)</f>
        <v>set 6 cái</v>
      </c>
      <c r="G272" s="320">
        <v>6032</v>
      </c>
      <c r="H272" s="317"/>
      <c r="I272" s="313">
        <v>2</v>
      </c>
      <c r="J272" s="166">
        <f t="shared" si="3"/>
        <v>0</v>
      </c>
      <c r="K272" s="168">
        <f t="shared" si="10"/>
        <v>12064</v>
      </c>
      <c r="L272" s="30"/>
      <c r="M272" s="67"/>
    </row>
    <row r="273" spans="1:13" ht="13.2">
      <c r="A273" s="146">
        <v>334</v>
      </c>
      <c r="B273" s="311" t="s">
        <v>337</v>
      </c>
      <c r="C273" s="319">
        <v>45299</v>
      </c>
      <c r="D273" s="28" t="s">
        <v>435</v>
      </c>
      <c r="E273" s="143" t="str">
        <f>VLOOKUP(D273,'Danh mục hàng hóa'!$C$3:$D$643,2,0)</f>
        <v>Bao lì xì Tết tài lộc</v>
      </c>
      <c r="F273" s="144" t="str">
        <f>VLOOKUP(D273,'Danh mục hàng hóa'!$C$3:$E$656,3,0)</f>
        <v>set 6 cái</v>
      </c>
      <c r="G273" s="321">
        <f t="shared" ref="G273:G277" si="14">23000/5</f>
        <v>4600</v>
      </c>
      <c r="H273" s="317"/>
      <c r="I273" s="313">
        <v>1</v>
      </c>
      <c r="J273" s="166">
        <f t="shared" si="3"/>
        <v>0</v>
      </c>
      <c r="K273" s="168">
        <f t="shared" si="10"/>
        <v>4600</v>
      </c>
      <c r="L273" s="30"/>
      <c r="M273" s="67"/>
    </row>
    <row r="274" spans="1:13" ht="13.2">
      <c r="A274" s="146">
        <v>335</v>
      </c>
      <c r="B274" s="311" t="s">
        <v>337</v>
      </c>
      <c r="C274" s="319">
        <v>45299</v>
      </c>
      <c r="D274" s="28" t="s">
        <v>437</v>
      </c>
      <c r="E274" s="143" t="str">
        <f>VLOOKUP(D274,'Danh mục hàng hóa'!$C$3:$D$643,2,0)</f>
        <v>Bao lì xì Tết hoa</v>
      </c>
      <c r="F274" s="144" t="str">
        <f>VLOOKUP(D274,'Danh mục hàng hóa'!$C$3:$E$656,3,0)</f>
        <v>set 6 cái</v>
      </c>
      <c r="G274" s="321">
        <f t="shared" si="14"/>
        <v>4600</v>
      </c>
      <c r="H274" s="317"/>
      <c r="I274" s="313">
        <v>1</v>
      </c>
      <c r="J274" s="166">
        <f t="shared" si="3"/>
        <v>0</v>
      </c>
      <c r="K274" s="168">
        <f t="shared" si="10"/>
        <v>4600</v>
      </c>
      <c r="L274" s="30"/>
      <c r="M274" s="67"/>
    </row>
    <row r="275" spans="1:13" ht="13.2">
      <c r="A275" s="146">
        <v>336</v>
      </c>
      <c r="B275" s="311" t="s">
        <v>337</v>
      </c>
      <c r="C275" s="319">
        <v>45299</v>
      </c>
      <c r="D275" s="28" t="s">
        <v>438</v>
      </c>
      <c r="E275" s="143" t="str">
        <f>VLOOKUP(D275,'Danh mục hàng hóa'!$C$3:$D$643,2,0)</f>
        <v>Bao lì xì Tết xanh</v>
      </c>
      <c r="F275" s="144" t="str">
        <f>VLOOKUP(D275,'Danh mục hàng hóa'!$C$3:$E$656,3,0)</f>
        <v>set 6 cái</v>
      </c>
      <c r="G275" s="321">
        <f t="shared" si="14"/>
        <v>4600</v>
      </c>
      <c r="H275" s="317"/>
      <c r="I275" s="313">
        <v>1</v>
      </c>
      <c r="J275" s="166">
        <f t="shared" si="3"/>
        <v>0</v>
      </c>
      <c r="K275" s="168">
        <f t="shared" si="10"/>
        <v>4600</v>
      </c>
      <c r="L275" s="30"/>
      <c r="M275" s="67"/>
    </row>
    <row r="276" spans="1:13" ht="13.2">
      <c r="A276" s="146">
        <v>337</v>
      </c>
      <c r="B276" s="311" t="s">
        <v>337</v>
      </c>
      <c r="C276" s="319">
        <v>45299</v>
      </c>
      <c r="D276" s="28" t="s">
        <v>439</v>
      </c>
      <c r="E276" s="143" t="str">
        <f>VLOOKUP(D276,'Danh mục hàng hóa'!$C$3:$D$643,2,0)</f>
        <v>Bao lì xì vui vẻ</v>
      </c>
      <c r="F276" s="144" t="str">
        <f>VLOOKUP(D276,'Danh mục hàng hóa'!$C$3:$E$656,3,0)</f>
        <v>set 6 cái</v>
      </c>
      <c r="G276" s="321">
        <f t="shared" si="14"/>
        <v>4600</v>
      </c>
      <c r="H276" s="317"/>
      <c r="I276" s="313">
        <v>1</v>
      </c>
      <c r="J276" s="166">
        <f t="shared" si="3"/>
        <v>0</v>
      </c>
      <c r="K276" s="168">
        <f t="shared" si="10"/>
        <v>4600</v>
      </c>
      <c r="L276" s="30"/>
      <c r="M276" s="67"/>
    </row>
    <row r="277" spans="1:13" ht="13.2">
      <c r="A277" s="146">
        <v>338</v>
      </c>
      <c r="B277" s="311" t="s">
        <v>337</v>
      </c>
      <c r="C277" s="319">
        <v>45299</v>
      </c>
      <c r="D277" s="28" t="s">
        <v>440</v>
      </c>
      <c r="E277" s="143" t="str">
        <f>VLOOKUP(D277,'Danh mục hàng hóa'!$C$3:$D$643,2,0)</f>
        <v>Bao lì xì ngộ nghĩnh</v>
      </c>
      <c r="F277" s="144" t="str">
        <f>VLOOKUP(D277,'Danh mục hàng hóa'!$C$3:$E$656,3,0)</f>
        <v>set 6 cái</v>
      </c>
      <c r="G277" s="321">
        <f t="shared" si="14"/>
        <v>4600</v>
      </c>
      <c r="H277" s="317"/>
      <c r="I277" s="313">
        <v>1</v>
      </c>
      <c r="J277" s="166">
        <f t="shared" si="3"/>
        <v>0</v>
      </c>
      <c r="K277" s="168">
        <f t="shared" si="10"/>
        <v>4600</v>
      </c>
      <c r="L277" s="30"/>
      <c r="M277" s="67"/>
    </row>
    <row r="278" spans="1:13" ht="13.2">
      <c r="A278" s="146">
        <v>339</v>
      </c>
      <c r="B278" s="311" t="s">
        <v>337</v>
      </c>
      <c r="C278" s="319">
        <v>45300</v>
      </c>
      <c r="D278" s="28" t="s">
        <v>435</v>
      </c>
      <c r="E278" s="143" t="str">
        <f>VLOOKUP(D278,'Danh mục hàng hóa'!$C$3:$D$643,2,0)</f>
        <v>Bao lì xì Tết tài lộc</v>
      </c>
      <c r="F278" s="144" t="str">
        <f>VLOOKUP(D278,'Danh mục hàng hóa'!$C$3:$E$656,3,0)</f>
        <v>set 6 cái</v>
      </c>
      <c r="G278" s="321">
        <f t="shared" ref="G278:G282" si="15">27500/5</f>
        <v>5500</v>
      </c>
      <c r="H278" s="317"/>
      <c r="I278" s="313">
        <v>1</v>
      </c>
      <c r="J278" s="166">
        <f t="shared" si="3"/>
        <v>0</v>
      </c>
      <c r="K278" s="168">
        <f t="shared" si="10"/>
        <v>5500</v>
      </c>
      <c r="L278" s="30"/>
      <c r="M278" s="67"/>
    </row>
    <row r="279" spans="1:13" ht="13.2">
      <c r="A279" s="146">
        <v>340</v>
      </c>
      <c r="B279" s="311" t="s">
        <v>337</v>
      </c>
      <c r="C279" s="319">
        <v>45300</v>
      </c>
      <c r="D279" s="28" t="s">
        <v>437</v>
      </c>
      <c r="E279" s="143" t="str">
        <f>VLOOKUP(D279,'Danh mục hàng hóa'!$C$3:$D$643,2,0)</f>
        <v>Bao lì xì Tết hoa</v>
      </c>
      <c r="F279" s="144" t="str">
        <f>VLOOKUP(D279,'Danh mục hàng hóa'!$C$3:$E$656,3,0)</f>
        <v>set 6 cái</v>
      </c>
      <c r="G279" s="321">
        <f t="shared" si="15"/>
        <v>5500</v>
      </c>
      <c r="H279" s="317"/>
      <c r="I279" s="313">
        <v>1</v>
      </c>
      <c r="J279" s="166">
        <f t="shared" si="3"/>
        <v>0</v>
      </c>
      <c r="K279" s="168">
        <f t="shared" si="10"/>
        <v>5500</v>
      </c>
      <c r="L279" s="30"/>
      <c r="M279" s="67"/>
    </row>
    <row r="280" spans="1:13" ht="13.2">
      <c r="A280" s="146">
        <v>341</v>
      </c>
      <c r="B280" s="311" t="s">
        <v>337</v>
      </c>
      <c r="C280" s="319">
        <v>45300</v>
      </c>
      <c r="D280" s="28" t="s">
        <v>438</v>
      </c>
      <c r="E280" s="143" t="str">
        <f>VLOOKUP(D280,'Danh mục hàng hóa'!$C$3:$D$643,2,0)</f>
        <v>Bao lì xì Tết xanh</v>
      </c>
      <c r="F280" s="144" t="str">
        <f>VLOOKUP(D280,'Danh mục hàng hóa'!$C$3:$E$656,3,0)</f>
        <v>set 6 cái</v>
      </c>
      <c r="G280" s="321">
        <f t="shared" si="15"/>
        <v>5500</v>
      </c>
      <c r="H280" s="317"/>
      <c r="I280" s="313">
        <v>1</v>
      </c>
      <c r="J280" s="166">
        <f t="shared" si="3"/>
        <v>0</v>
      </c>
      <c r="K280" s="168">
        <f t="shared" si="10"/>
        <v>5500</v>
      </c>
      <c r="L280" s="30"/>
      <c r="M280" s="67"/>
    </row>
    <row r="281" spans="1:13" ht="13.2">
      <c r="A281" s="146">
        <v>342</v>
      </c>
      <c r="B281" s="311" t="s">
        <v>337</v>
      </c>
      <c r="C281" s="319">
        <v>45300</v>
      </c>
      <c r="D281" s="28" t="s">
        <v>439</v>
      </c>
      <c r="E281" s="143" t="str">
        <f>VLOOKUP(D281,'Danh mục hàng hóa'!$C$3:$D$643,2,0)</f>
        <v>Bao lì xì vui vẻ</v>
      </c>
      <c r="F281" s="144" t="str">
        <f>VLOOKUP(D281,'Danh mục hàng hóa'!$C$3:$E$656,3,0)</f>
        <v>set 6 cái</v>
      </c>
      <c r="G281" s="321">
        <f t="shared" si="15"/>
        <v>5500</v>
      </c>
      <c r="H281" s="317"/>
      <c r="I281" s="313">
        <v>1</v>
      </c>
      <c r="J281" s="166">
        <f t="shared" si="3"/>
        <v>0</v>
      </c>
      <c r="K281" s="168">
        <f t="shared" si="10"/>
        <v>5500</v>
      </c>
      <c r="L281" s="30"/>
      <c r="M281" s="67"/>
    </row>
    <row r="282" spans="1:13" ht="13.2">
      <c r="A282" s="146">
        <v>343</v>
      </c>
      <c r="B282" s="311" t="s">
        <v>337</v>
      </c>
      <c r="C282" s="319">
        <v>45300</v>
      </c>
      <c r="D282" s="28" t="s">
        <v>440</v>
      </c>
      <c r="E282" s="143" t="str">
        <f>VLOOKUP(D282,'Danh mục hàng hóa'!$C$3:$D$643,2,0)</f>
        <v>Bao lì xì ngộ nghĩnh</v>
      </c>
      <c r="F282" s="144" t="str">
        <f>VLOOKUP(D282,'Danh mục hàng hóa'!$C$3:$E$656,3,0)</f>
        <v>set 6 cái</v>
      </c>
      <c r="G282" s="321">
        <f t="shared" si="15"/>
        <v>5500</v>
      </c>
      <c r="H282" s="317"/>
      <c r="I282" s="313">
        <v>1</v>
      </c>
      <c r="J282" s="166">
        <f t="shared" ref="J282:J536" si="16">H282*G282</f>
        <v>0</v>
      </c>
      <c r="K282" s="168">
        <f t="shared" si="10"/>
        <v>5500</v>
      </c>
      <c r="L282" s="30"/>
      <c r="M282" s="67"/>
    </row>
    <row r="283" spans="1:13" ht="13.2">
      <c r="A283" s="146">
        <v>344</v>
      </c>
      <c r="B283" s="311" t="s">
        <v>337</v>
      </c>
      <c r="C283" s="319">
        <v>45300</v>
      </c>
      <c r="D283" s="28" t="s">
        <v>437</v>
      </c>
      <c r="E283" s="143" t="str">
        <f>VLOOKUP(D283,'Danh mục hàng hóa'!$C$3:$D$643,2,0)</f>
        <v>Bao lì xì Tết hoa</v>
      </c>
      <c r="F283" s="144" t="str">
        <f>VLOOKUP(D283,'Danh mục hàng hóa'!$C$3:$E$656,3,0)</f>
        <v>set 6 cái</v>
      </c>
      <c r="G283" s="321">
        <f t="shared" ref="G283:G286" si="17">166764/24</f>
        <v>6948.5</v>
      </c>
      <c r="H283" s="317"/>
      <c r="I283" s="313">
        <v>1</v>
      </c>
      <c r="J283" s="166">
        <f t="shared" si="16"/>
        <v>0</v>
      </c>
      <c r="K283" s="168">
        <f t="shared" si="10"/>
        <v>6948.5</v>
      </c>
      <c r="L283" s="30"/>
      <c r="M283" s="67"/>
    </row>
    <row r="284" spans="1:13" ht="13.2">
      <c r="A284" s="146">
        <v>345</v>
      </c>
      <c r="B284" s="311" t="s">
        <v>337</v>
      </c>
      <c r="C284" s="319">
        <v>45300</v>
      </c>
      <c r="D284" s="28" t="s">
        <v>438</v>
      </c>
      <c r="E284" s="143" t="str">
        <f>VLOOKUP(D284,'Danh mục hàng hóa'!$C$3:$D$643,2,0)</f>
        <v>Bao lì xì Tết xanh</v>
      </c>
      <c r="F284" s="144" t="str">
        <f>VLOOKUP(D284,'Danh mục hàng hóa'!$C$3:$E$656,3,0)</f>
        <v>set 6 cái</v>
      </c>
      <c r="G284" s="321">
        <f t="shared" si="17"/>
        <v>6948.5</v>
      </c>
      <c r="H284" s="317"/>
      <c r="I284" s="313">
        <v>3</v>
      </c>
      <c r="J284" s="166">
        <f t="shared" si="16"/>
        <v>0</v>
      </c>
      <c r="K284" s="168">
        <f t="shared" si="10"/>
        <v>20845.5</v>
      </c>
      <c r="L284" s="30"/>
      <c r="M284" s="67"/>
    </row>
    <row r="285" spans="1:13" ht="13.2">
      <c r="A285" s="146">
        <v>346</v>
      </c>
      <c r="B285" s="311" t="s">
        <v>337</v>
      </c>
      <c r="C285" s="319">
        <v>45300</v>
      </c>
      <c r="D285" s="28" t="s">
        <v>439</v>
      </c>
      <c r="E285" s="143" t="str">
        <f>VLOOKUP(D285,'Danh mục hàng hóa'!$C$3:$D$643,2,0)</f>
        <v>Bao lì xì vui vẻ</v>
      </c>
      <c r="F285" s="144" t="str">
        <f>VLOOKUP(D285,'Danh mục hàng hóa'!$C$3:$E$656,3,0)</f>
        <v>set 6 cái</v>
      </c>
      <c r="G285" s="321">
        <f t="shared" si="17"/>
        <v>6948.5</v>
      </c>
      <c r="H285" s="317"/>
      <c r="I285" s="313">
        <v>10</v>
      </c>
      <c r="J285" s="166">
        <f t="shared" si="16"/>
        <v>0</v>
      </c>
      <c r="K285" s="168">
        <f t="shared" si="10"/>
        <v>69485</v>
      </c>
      <c r="L285" s="30"/>
      <c r="M285" s="67"/>
    </row>
    <row r="286" spans="1:13" ht="13.2">
      <c r="A286" s="146">
        <v>347</v>
      </c>
      <c r="B286" s="311" t="s">
        <v>337</v>
      </c>
      <c r="C286" s="319">
        <v>45300</v>
      </c>
      <c r="D286" s="28" t="s">
        <v>440</v>
      </c>
      <c r="E286" s="143" t="str">
        <f>VLOOKUP(D286,'Danh mục hàng hóa'!$C$3:$D$643,2,0)</f>
        <v>Bao lì xì ngộ nghĩnh</v>
      </c>
      <c r="F286" s="144" t="str">
        <f>VLOOKUP(D286,'Danh mục hàng hóa'!$C$3:$E$656,3,0)</f>
        <v>set 6 cái</v>
      </c>
      <c r="G286" s="321">
        <f t="shared" si="17"/>
        <v>6948.5</v>
      </c>
      <c r="H286" s="317"/>
      <c r="I286" s="313">
        <v>10</v>
      </c>
      <c r="J286" s="166">
        <f t="shared" si="16"/>
        <v>0</v>
      </c>
      <c r="K286" s="168">
        <f t="shared" si="10"/>
        <v>69485</v>
      </c>
      <c r="L286" s="30"/>
      <c r="M286" s="67"/>
    </row>
    <row r="287" spans="1:13" ht="13.2">
      <c r="A287" s="146">
        <v>348</v>
      </c>
      <c r="B287" s="311" t="s">
        <v>337</v>
      </c>
      <c r="C287" s="319">
        <v>45300</v>
      </c>
      <c r="D287" s="28" t="s">
        <v>435</v>
      </c>
      <c r="E287" s="143" t="str">
        <f>VLOOKUP(D287,'Danh mục hàng hóa'!$C$3:$D$643,2,0)</f>
        <v>Bao lì xì Tết tài lộc</v>
      </c>
      <c r="F287" s="144" t="str">
        <f>VLOOKUP(D287,'Danh mục hàng hóa'!$C$3:$E$656,3,0)</f>
        <v>set 6 cái</v>
      </c>
      <c r="G287" s="321">
        <f>49396/SUM(I287:I291)</f>
        <v>5699.5384615384619</v>
      </c>
      <c r="H287" s="317"/>
      <c r="I287" s="317">
        <f t="shared" ref="I287:I288" si="18">2+1/3</f>
        <v>2.3333333333333335</v>
      </c>
      <c r="J287" s="166">
        <f t="shared" si="16"/>
        <v>0</v>
      </c>
      <c r="K287" s="168">
        <f t="shared" si="10"/>
        <v>13298.923076923078</v>
      </c>
      <c r="L287" s="30"/>
      <c r="M287" s="67"/>
    </row>
    <row r="288" spans="1:13" ht="13.2">
      <c r="A288" s="146">
        <v>349</v>
      </c>
      <c r="B288" s="311" t="s">
        <v>337</v>
      </c>
      <c r="C288" s="319">
        <v>45300</v>
      </c>
      <c r="D288" s="28" t="s">
        <v>437</v>
      </c>
      <c r="E288" s="143" t="str">
        <f>VLOOKUP(D288,'Danh mục hàng hóa'!$C$3:$D$643,2,0)</f>
        <v>Bao lì xì Tết hoa</v>
      </c>
      <c r="F288" s="144" t="str">
        <f>VLOOKUP(D288,'Danh mục hàng hóa'!$C$3:$E$656,3,0)</f>
        <v>set 6 cái</v>
      </c>
      <c r="G288" s="321">
        <v>5699.5384615384619</v>
      </c>
      <c r="H288" s="317"/>
      <c r="I288" s="317">
        <f t="shared" si="18"/>
        <v>2.3333333333333335</v>
      </c>
      <c r="J288" s="166">
        <f t="shared" si="16"/>
        <v>0</v>
      </c>
      <c r="K288" s="168">
        <f t="shared" si="10"/>
        <v>13298.923076923078</v>
      </c>
      <c r="L288" s="30"/>
      <c r="M288" s="67"/>
    </row>
    <row r="289" spans="1:13" ht="13.2">
      <c r="A289" s="146">
        <v>350</v>
      </c>
      <c r="B289" s="311" t="s">
        <v>337</v>
      </c>
      <c r="C289" s="319">
        <v>45300</v>
      </c>
      <c r="D289" s="28" t="s">
        <v>438</v>
      </c>
      <c r="E289" s="143" t="str">
        <f>VLOOKUP(D289,'Danh mục hàng hóa'!$C$3:$D$643,2,0)</f>
        <v>Bao lì xì Tết xanh</v>
      </c>
      <c r="F289" s="144" t="str">
        <f>VLOOKUP(D289,'Danh mục hàng hóa'!$C$3:$E$656,3,0)</f>
        <v>set 6 cái</v>
      </c>
      <c r="G289" s="321">
        <v>5699.5384615384619</v>
      </c>
      <c r="H289" s="317"/>
      <c r="I289" s="317">
        <f t="shared" ref="I289:I291" si="19">1+1/3</f>
        <v>1.3333333333333333</v>
      </c>
      <c r="J289" s="166">
        <f t="shared" si="16"/>
        <v>0</v>
      </c>
      <c r="K289" s="168">
        <f t="shared" si="10"/>
        <v>7599.3846153846152</v>
      </c>
      <c r="L289" s="30"/>
      <c r="M289" s="67"/>
    </row>
    <row r="290" spans="1:13" ht="13.2">
      <c r="A290" s="146">
        <v>351</v>
      </c>
      <c r="B290" s="311" t="s">
        <v>337</v>
      </c>
      <c r="C290" s="319">
        <v>45300</v>
      </c>
      <c r="D290" s="28" t="s">
        <v>439</v>
      </c>
      <c r="E290" s="143" t="str">
        <f>VLOOKUP(D290,'Danh mục hàng hóa'!$C$3:$D$643,2,0)</f>
        <v>Bao lì xì vui vẻ</v>
      </c>
      <c r="F290" s="144" t="str">
        <f>VLOOKUP(D290,'Danh mục hàng hóa'!$C$3:$E$656,3,0)</f>
        <v>set 6 cái</v>
      </c>
      <c r="G290" s="321">
        <v>5699.5384615384619</v>
      </c>
      <c r="H290" s="317"/>
      <c r="I290" s="317">
        <f t="shared" si="19"/>
        <v>1.3333333333333333</v>
      </c>
      <c r="J290" s="166">
        <f t="shared" si="16"/>
        <v>0</v>
      </c>
      <c r="K290" s="168">
        <f t="shared" si="10"/>
        <v>7599.3846153846152</v>
      </c>
      <c r="L290" s="30"/>
      <c r="M290" s="67"/>
    </row>
    <row r="291" spans="1:13" ht="13.2">
      <c r="A291" s="146">
        <v>352</v>
      </c>
      <c r="B291" s="311" t="s">
        <v>337</v>
      </c>
      <c r="C291" s="319">
        <v>45300</v>
      </c>
      <c r="D291" s="28" t="s">
        <v>440</v>
      </c>
      <c r="E291" s="143" t="str">
        <f>VLOOKUP(D291,'Danh mục hàng hóa'!$C$3:$D$643,2,0)</f>
        <v>Bao lì xì ngộ nghĩnh</v>
      </c>
      <c r="F291" s="144" t="str">
        <f>VLOOKUP(D291,'Danh mục hàng hóa'!$C$3:$E$656,3,0)</f>
        <v>set 6 cái</v>
      </c>
      <c r="G291" s="321">
        <v>5699.5384615384619</v>
      </c>
      <c r="H291" s="317"/>
      <c r="I291" s="317">
        <f t="shared" si="19"/>
        <v>1.3333333333333333</v>
      </c>
      <c r="J291" s="166">
        <f t="shared" si="16"/>
        <v>0</v>
      </c>
      <c r="K291" s="168">
        <f t="shared" si="10"/>
        <v>7599.3846153846152</v>
      </c>
      <c r="L291" s="30"/>
      <c r="M291" s="67"/>
    </row>
    <row r="292" spans="1:13" ht="13.2">
      <c r="A292" s="146">
        <v>353</v>
      </c>
      <c r="B292" s="311" t="s">
        <v>337</v>
      </c>
      <c r="C292" s="319">
        <v>45300</v>
      </c>
      <c r="D292" s="28" t="s">
        <v>435</v>
      </c>
      <c r="E292" s="143" t="str">
        <f>VLOOKUP(D292,'Danh mục hàng hóa'!$C$3:$D$643,2,0)</f>
        <v>Bao lì xì Tết tài lộc</v>
      </c>
      <c r="F292" s="144" t="str">
        <f>VLOOKUP(D292,'Danh mục hàng hóa'!$C$3:$E$656,3,0)</f>
        <v>set 6 cái</v>
      </c>
      <c r="G292" s="321">
        <f t="shared" ref="G292:G294" si="20">21916/3</f>
        <v>7305.333333333333</v>
      </c>
      <c r="H292" s="317"/>
      <c r="I292" s="313">
        <v>1</v>
      </c>
      <c r="J292" s="166">
        <f t="shared" si="16"/>
        <v>0</v>
      </c>
      <c r="K292" s="168">
        <f t="shared" si="10"/>
        <v>7305.333333333333</v>
      </c>
      <c r="L292" s="30"/>
      <c r="M292" s="67"/>
    </row>
    <row r="293" spans="1:13" ht="13.2">
      <c r="A293" s="146">
        <v>354</v>
      </c>
      <c r="B293" s="311" t="s">
        <v>337</v>
      </c>
      <c r="C293" s="319">
        <v>45300</v>
      </c>
      <c r="D293" s="28" t="s">
        <v>439</v>
      </c>
      <c r="E293" s="143" t="str">
        <f>VLOOKUP(D293,'Danh mục hàng hóa'!$C$3:$D$643,2,0)</f>
        <v>Bao lì xì vui vẻ</v>
      </c>
      <c r="F293" s="144" t="str">
        <f>VLOOKUP(D293,'Danh mục hàng hóa'!$C$3:$E$656,3,0)</f>
        <v>set 6 cái</v>
      </c>
      <c r="G293" s="321">
        <f t="shared" si="20"/>
        <v>7305.333333333333</v>
      </c>
      <c r="H293" s="317"/>
      <c r="I293" s="313">
        <v>1</v>
      </c>
      <c r="J293" s="166">
        <f t="shared" si="16"/>
        <v>0</v>
      </c>
      <c r="K293" s="168">
        <f t="shared" si="10"/>
        <v>7305.333333333333</v>
      </c>
      <c r="L293" s="30"/>
      <c r="M293" s="67"/>
    </row>
    <row r="294" spans="1:13" ht="13.2">
      <c r="A294" s="146">
        <v>355</v>
      </c>
      <c r="B294" s="311" t="s">
        <v>337</v>
      </c>
      <c r="C294" s="319">
        <v>45300</v>
      </c>
      <c r="D294" s="28" t="s">
        <v>440</v>
      </c>
      <c r="E294" s="143" t="str">
        <f>VLOOKUP(D294,'Danh mục hàng hóa'!$C$3:$D$643,2,0)</f>
        <v>Bao lì xì ngộ nghĩnh</v>
      </c>
      <c r="F294" s="144" t="str">
        <f>VLOOKUP(D294,'Danh mục hàng hóa'!$C$3:$E$656,3,0)</f>
        <v>set 6 cái</v>
      </c>
      <c r="G294" s="321">
        <f t="shared" si="20"/>
        <v>7305.333333333333</v>
      </c>
      <c r="H294" s="317"/>
      <c r="I294" s="313">
        <v>1</v>
      </c>
      <c r="J294" s="166">
        <f t="shared" si="16"/>
        <v>0</v>
      </c>
      <c r="K294" s="168">
        <f t="shared" si="10"/>
        <v>7305.333333333333</v>
      </c>
      <c r="L294" s="30"/>
      <c r="M294" s="67"/>
    </row>
    <row r="295" spans="1:13" ht="13.2">
      <c r="A295" s="146">
        <v>356</v>
      </c>
      <c r="B295" s="311" t="s">
        <v>337</v>
      </c>
      <c r="C295" s="319">
        <v>45300</v>
      </c>
      <c r="D295" s="28" t="s">
        <v>435</v>
      </c>
      <c r="E295" s="143" t="str">
        <f>VLOOKUP(D295,'Danh mục hàng hóa'!$C$3:$D$643,2,0)</f>
        <v>Bao lì xì Tết tài lộc</v>
      </c>
      <c r="F295" s="144" t="str">
        <f>VLOOKUP(D295,'Danh mục hàng hóa'!$C$3:$E$656,3,0)</f>
        <v>set 6 cái</v>
      </c>
      <c r="G295" s="321">
        <f t="shared" ref="G295:G299" si="21">50036/8</f>
        <v>6254.5</v>
      </c>
      <c r="H295" s="317"/>
      <c r="I295" s="313">
        <v>2</v>
      </c>
      <c r="J295" s="166">
        <f t="shared" si="16"/>
        <v>0</v>
      </c>
      <c r="K295" s="168">
        <f t="shared" si="10"/>
        <v>12509</v>
      </c>
      <c r="L295" s="30"/>
      <c r="M295" s="67"/>
    </row>
    <row r="296" spans="1:13" ht="13.2">
      <c r="A296" s="146">
        <v>357</v>
      </c>
      <c r="B296" s="311" t="s">
        <v>337</v>
      </c>
      <c r="C296" s="319">
        <v>45300</v>
      </c>
      <c r="D296" s="28" t="s">
        <v>437</v>
      </c>
      <c r="E296" s="143" t="str">
        <f>VLOOKUP(D296,'Danh mục hàng hóa'!$C$3:$D$643,2,0)</f>
        <v>Bao lì xì Tết hoa</v>
      </c>
      <c r="F296" s="144" t="str">
        <f>VLOOKUP(D296,'Danh mục hàng hóa'!$C$3:$E$656,3,0)</f>
        <v>set 6 cái</v>
      </c>
      <c r="G296" s="321">
        <f t="shared" si="21"/>
        <v>6254.5</v>
      </c>
      <c r="H296" s="317"/>
      <c r="I296" s="313">
        <v>2</v>
      </c>
      <c r="J296" s="166">
        <f t="shared" si="16"/>
        <v>0</v>
      </c>
      <c r="K296" s="168">
        <f t="shared" si="10"/>
        <v>12509</v>
      </c>
      <c r="L296" s="30"/>
      <c r="M296" s="67"/>
    </row>
    <row r="297" spans="1:13" ht="13.2">
      <c r="A297" s="146">
        <v>358</v>
      </c>
      <c r="B297" s="311" t="s">
        <v>337</v>
      </c>
      <c r="C297" s="319">
        <v>45300</v>
      </c>
      <c r="D297" s="28" t="s">
        <v>438</v>
      </c>
      <c r="E297" s="143" t="str">
        <f>VLOOKUP(D297,'Danh mục hàng hóa'!$C$3:$D$643,2,0)</f>
        <v>Bao lì xì Tết xanh</v>
      </c>
      <c r="F297" s="144" t="str">
        <f>VLOOKUP(D297,'Danh mục hàng hóa'!$C$3:$E$656,3,0)</f>
        <v>set 6 cái</v>
      </c>
      <c r="G297" s="321">
        <f t="shared" si="21"/>
        <v>6254.5</v>
      </c>
      <c r="H297" s="317"/>
      <c r="I297" s="313">
        <v>2</v>
      </c>
      <c r="J297" s="166">
        <f t="shared" si="16"/>
        <v>0</v>
      </c>
      <c r="K297" s="168">
        <f t="shared" si="10"/>
        <v>12509</v>
      </c>
      <c r="L297" s="30"/>
      <c r="M297" s="67"/>
    </row>
    <row r="298" spans="1:13" ht="13.2">
      <c r="A298" s="146">
        <v>359</v>
      </c>
      <c r="B298" s="311" t="s">
        <v>337</v>
      </c>
      <c r="C298" s="319">
        <v>45300</v>
      </c>
      <c r="D298" s="28" t="s">
        <v>439</v>
      </c>
      <c r="E298" s="143" t="str">
        <f>VLOOKUP(D298,'Danh mục hàng hóa'!$C$3:$D$643,2,0)</f>
        <v>Bao lì xì vui vẻ</v>
      </c>
      <c r="F298" s="144" t="str">
        <f>VLOOKUP(D298,'Danh mục hàng hóa'!$C$3:$E$656,3,0)</f>
        <v>set 6 cái</v>
      </c>
      <c r="G298" s="321">
        <f t="shared" si="21"/>
        <v>6254.5</v>
      </c>
      <c r="H298" s="317"/>
      <c r="I298" s="313">
        <v>1</v>
      </c>
      <c r="J298" s="166">
        <f t="shared" si="16"/>
        <v>0</v>
      </c>
      <c r="K298" s="168">
        <f t="shared" si="10"/>
        <v>6254.5</v>
      </c>
      <c r="L298" s="30"/>
      <c r="M298" s="67"/>
    </row>
    <row r="299" spans="1:13" ht="13.2">
      <c r="A299" s="146">
        <v>360</v>
      </c>
      <c r="B299" s="311" t="s">
        <v>337</v>
      </c>
      <c r="C299" s="319">
        <v>45300</v>
      </c>
      <c r="D299" s="28" t="s">
        <v>440</v>
      </c>
      <c r="E299" s="143" t="str">
        <f>VLOOKUP(D299,'Danh mục hàng hóa'!$C$3:$D$643,2,0)</f>
        <v>Bao lì xì ngộ nghĩnh</v>
      </c>
      <c r="F299" s="144" t="str">
        <f>VLOOKUP(D299,'Danh mục hàng hóa'!$C$3:$E$656,3,0)</f>
        <v>set 6 cái</v>
      </c>
      <c r="G299" s="321">
        <f t="shared" si="21"/>
        <v>6254.5</v>
      </c>
      <c r="H299" s="317"/>
      <c r="I299" s="313">
        <v>1</v>
      </c>
      <c r="J299" s="166">
        <f t="shared" si="16"/>
        <v>0</v>
      </c>
      <c r="K299" s="168">
        <f t="shared" si="10"/>
        <v>6254.5</v>
      </c>
      <c r="L299" s="30"/>
      <c r="M299" s="67"/>
    </row>
    <row r="300" spans="1:13" ht="13.2">
      <c r="A300" s="146">
        <v>361</v>
      </c>
      <c r="B300" s="311" t="s">
        <v>337</v>
      </c>
      <c r="C300" s="319">
        <v>45300</v>
      </c>
      <c r="D300" s="28" t="s">
        <v>478</v>
      </c>
      <c r="E300" s="143" t="str">
        <f>VLOOKUP(D300,'Danh mục hàng hóa'!$C$3:$D$643,2,0)</f>
        <v>Trâm cài hoa hồng</v>
      </c>
      <c r="F300" s="144" t="str">
        <f>VLOOKUP(D300,'Danh mục hàng hóa'!$C$3:$E$656,3,0)</f>
        <v>cái</v>
      </c>
      <c r="G300" s="321">
        <f t="shared" ref="G300:G301" si="22">27500/2</f>
        <v>13750</v>
      </c>
      <c r="H300" s="317"/>
      <c r="I300" s="313">
        <v>1</v>
      </c>
      <c r="J300" s="166">
        <f t="shared" si="16"/>
        <v>0</v>
      </c>
      <c r="K300" s="168">
        <f t="shared" si="10"/>
        <v>13750</v>
      </c>
      <c r="L300" s="30"/>
      <c r="M300" s="67"/>
    </row>
    <row r="301" spans="1:13" ht="13.2">
      <c r="A301" s="146">
        <v>362</v>
      </c>
      <c r="B301" s="311" t="s">
        <v>337</v>
      </c>
      <c r="C301" s="319">
        <v>45300</v>
      </c>
      <c r="D301" s="28" t="s">
        <v>474</v>
      </c>
      <c r="E301" s="143" t="str">
        <f>VLOOKUP(D301,'Danh mục hàng hóa'!$C$3:$D$643,2,0)</f>
        <v>Trâm cài hoa xanh</v>
      </c>
      <c r="F301" s="144" t="str">
        <f>VLOOKUP(D301,'Danh mục hàng hóa'!$C$3:$E$656,3,0)</f>
        <v>cái</v>
      </c>
      <c r="G301" s="321">
        <f t="shared" si="22"/>
        <v>13750</v>
      </c>
      <c r="H301" s="317"/>
      <c r="I301" s="313">
        <v>1</v>
      </c>
      <c r="J301" s="166">
        <f t="shared" si="16"/>
        <v>0</v>
      </c>
      <c r="K301" s="168">
        <f t="shared" si="10"/>
        <v>13750</v>
      </c>
      <c r="L301" s="30"/>
      <c r="M301" s="67"/>
    </row>
    <row r="302" spans="1:13" ht="13.2">
      <c r="A302" s="146">
        <v>363</v>
      </c>
      <c r="B302" s="311" t="s">
        <v>337</v>
      </c>
      <c r="C302" s="319">
        <v>45300</v>
      </c>
      <c r="D302" s="28" t="s">
        <v>431</v>
      </c>
      <c r="E302" s="143" t="str">
        <f>VLOOKUP(D302,'Danh mục hàng hóa'!$C$3:$D$643,2,0)</f>
        <v>Bao lì xì rồng con</v>
      </c>
      <c r="F302" s="144" t="str">
        <f>VLOOKUP(D302,'Danh mục hàng hóa'!$C$3:$E$656,3,0)</f>
        <v>túi 4 cái</v>
      </c>
      <c r="G302" s="320">
        <v>14000</v>
      </c>
      <c r="H302" s="317"/>
      <c r="I302" s="313">
        <v>4</v>
      </c>
      <c r="J302" s="166">
        <f t="shared" si="16"/>
        <v>0</v>
      </c>
      <c r="K302" s="168">
        <f t="shared" si="10"/>
        <v>56000</v>
      </c>
      <c r="L302" s="30"/>
      <c r="M302" s="67"/>
    </row>
    <row r="303" spans="1:13" ht="13.2">
      <c r="A303" s="146">
        <v>364</v>
      </c>
      <c r="B303" s="311" t="s">
        <v>337</v>
      </c>
      <c r="C303" s="319">
        <v>45300</v>
      </c>
      <c r="D303" s="28" t="s">
        <v>438</v>
      </c>
      <c r="E303" s="143" t="str">
        <f>VLOOKUP(D303,'Danh mục hàng hóa'!$C$3:$D$643,2,0)</f>
        <v>Bao lì xì Tết xanh</v>
      </c>
      <c r="F303" s="144" t="str">
        <f>VLOOKUP(D303,'Danh mục hàng hóa'!$C$3:$E$656,3,0)</f>
        <v>set 6 cái</v>
      </c>
      <c r="G303" s="320">
        <v>6000</v>
      </c>
      <c r="H303" s="317"/>
      <c r="I303" s="313">
        <v>5</v>
      </c>
      <c r="J303" s="166">
        <f t="shared" si="16"/>
        <v>0</v>
      </c>
      <c r="K303" s="168">
        <f t="shared" si="10"/>
        <v>30000</v>
      </c>
      <c r="L303" s="28" t="s">
        <v>2140</v>
      </c>
      <c r="M303" s="67"/>
    </row>
    <row r="304" spans="1:13" ht="13.2">
      <c r="A304" s="146">
        <v>365</v>
      </c>
      <c r="B304" s="311" t="s">
        <v>337</v>
      </c>
      <c r="C304" s="319">
        <v>45300</v>
      </c>
      <c r="D304" s="28" t="s">
        <v>438</v>
      </c>
      <c r="E304" s="143" t="str">
        <f>VLOOKUP(D304,'Danh mục hàng hóa'!$C$3:$D$643,2,0)</f>
        <v>Bao lì xì Tết xanh</v>
      </c>
      <c r="F304" s="144" t="str">
        <f>VLOOKUP(D304,'Danh mục hàng hóa'!$C$3:$E$656,3,0)</f>
        <v>set 6 cái</v>
      </c>
      <c r="G304" s="320">
        <v>6000</v>
      </c>
      <c r="H304" s="317"/>
      <c r="I304" s="313">
        <v>1</v>
      </c>
      <c r="J304" s="166">
        <f t="shared" si="16"/>
        <v>0</v>
      </c>
      <c r="K304" s="168">
        <f t="shared" si="10"/>
        <v>6000</v>
      </c>
      <c r="L304" s="30"/>
      <c r="M304" s="67"/>
    </row>
    <row r="305" spans="1:13" ht="13.2">
      <c r="A305" s="146">
        <v>366</v>
      </c>
      <c r="B305" s="311" t="s">
        <v>337</v>
      </c>
      <c r="C305" s="319">
        <v>45300</v>
      </c>
      <c r="D305" s="28" t="s">
        <v>439</v>
      </c>
      <c r="E305" s="143" t="str">
        <f>VLOOKUP(D305,'Danh mục hàng hóa'!$C$3:$D$643,2,0)</f>
        <v>Bao lì xì vui vẻ</v>
      </c>
      <c r="F305" s="144" t="str">
        <f>VLOOKUP(D305,'Danh mục hàng hóa'!$C$3:$E$656,3,0)</f>
        <v>set 6 cái</v>
      </c>
      <c r="G305" s="320">
        <v>6000</v>
      </c>
      <c r="H305" s="317"/>
      <c r="I305" s="313">
        <v>1</v>
      </c>
      <c r="J305" s="166">
        <f t="shared" si="16"/>
        <v>0</v>
      </c>
      <c r="K305" s="168">
        <f t="shared" si="10"/>
        <v>6000</v>
      </c>
      <c r="L305" s="30"/>
      <c r="M305" s="67"/>
    </row>
    <row r="306" spans="1:13" ht="13.2">
      <c r="A306" s="146">
        <v>367</v>
      </c>
      <c r="B306" s="311" t="s">
        <v>337</v>
      </c>
      <c r="C306" s="319">
        <v>45300</v>
      </c>
      <c r="D306" s="28" t="s">
        <v>435</v>
      </c>
      <c r="E306" s="143" t="str">
        <f>VLOOKUP(D306,'Danh mục hàng hóa'!$C$3:$D$643,2,0)</f>
        <v>Bao lì xì Tết tài lộc</v>
      </c>
      <c r="F306" s="144" t="str">
        <f>VLOOKUP(D306,'Danh mục hàng hóa'!$C$3:$E$656,3,0)</f>
        <v>set 6 cái</v>
      </c>
      <c r="G306" s="320">
        <v>6000</v>
      </c>
      <c r="H306" s="317"/>
      <c r="I306" s="313">
        <v>2</v>
      </c>
      <c r="J306" s="166">
        <f t="shared" si="16"/>
        <v>0</v>
      </c>
      <c r="K306" s="168">
        <f t="shared" si="10"/>
        <v>12000</v>
      </c>
      <c r="L306" s="30"/>
      <c r="M306" s="67"/>
    </row>
    <row r="307" spans="1:13" ht="13.2">
      <c r="A307" s="146">
        <v>368</v>
      </c>
      <c r="B307" s="311" t="s">
        <v>337</v>
      </c>
      <c r="C307" s="319">
        <v>45300</v>
      </c>
      <c r="D307" s="28" t="s">
        <v>437</v>
      </c>
      <c r="E307" s="143" t="str">
        <f>VLOOKUP(D307,'Danh mục hàng hóa'!$C$3:$D$643,2,0)</f>
        <v>Bao lì xì Tết hoa</v>
      </c>
      <c r="F307" s="144" t="str">
        <f>VLOOKUP(D307,'Danh mục hàng hóa'!$C$3:$E$656,3,0)</f>
        <v>set 6 cái</v>
      </c>
      <c r="G307" s="320">
        <v>6000</v>
      </c>
      <c r="H307" s="317"/>
      <c r="I307" s="313">
        <v>1</v>
      </c>
      <c r="J307" s="166">
        <f t="shared" si="16"/>
        <v>0</v>
      </c>
      <c r="K307" s="168">
        <f t="shared" si="10"/>
        <v>6000</v>
      </c>
      <c r="L307" s="30"/>
      <c r="M307" s="67"/>
    </row>
    <row r="308" spans="1:13" ht="13.2">
      <c r="A308" s="146">
        <v>369</v>
      </c>
      <c r="B308" s="311" t="s">
        <v>337</v>
      </c>
      <c r="C308" s="319">
        <v>45300</v>
      </c>
      <c r="D308" s="28" t="s">
        <v>438</v>
      </c>
      <c r="E308" s="143" t="str">
        <f>VLOOKUP(D308,'Danh mục hàng hóa'!$C$3:$D$643,2,0)</f>
        <v>Bao lì xì Tết xanh</v>
      </c>
      <c r="F308" s="144" t="str">
        <f>VLOOKUP(D308,'Danh mục hàng hóa'!$C$3:$E$656,3,0)</f>
        <v>set 6 cái</v>
      </c>
      <c r="G308" s="320">
        <v>6000</v>
      </c>
      <c r="H308" s="317"/>
      <c r="I308" s="313">
        <v>1</v>
      </c>
      <c r="J308" s="166">
        <f t="shared" si="16"/>
        <v>0</v>
      </c>
      <c r="K308" s="168">
        <f t="shared" si="10"/>
        <v>6000</v>
      </c>
      <c r="L308" s="30"/>
      <c r="M308" s="67"/>
    </row>
    <row r="309" spans="1:13" ht="13.2">
      <c r="A309" s="146">
        <v>370</v>
      </c>
      <c r="B309" s="311" t="s">
        <v>337</v>
      </c>
      <c r="C309" s="319">
        <v>45300</v>
      </c>
      <c r="D309" s="28" t="s">
        <v>439</v>
      </c>
      <c r="E309" s="143" t="str">
        <f>VLOOKUP(D309,'Danh mục hàng hóa'!$C$3:$D$643,2,0)</f>
        <v>Bao lì xì vui vẻ</v>
      </c>
      <c r="F309" s="144" t="str">
        <f>VLOOKUP(D309,'Danh mục hàng hóa'!$C$3:$E$656,3,0)</f>
        <v>set 6 cái</v>
      </c>
      <c r="G309" s="320">
        <v>6000</v>
      </c>
      <c r="H309" s="317"/>
      <c r="I309" s="313">
        <v>2</v>
      </c>
      <c r="J309" s="166">
        <f t="shared" si="16"/>
        <v>0</v>
      </c>
      <c r="K309" s="168">
        <f t="shared" si="10"/>
        <v>12000</v>
      </c>
      <c r="L309" s="30"/>
      <c r="M309" s="67"/>
    </row>
    <row r="310" spans="1:13" ht="13.2">
      <c r="A310" s="146">
        <v>371</v>
      </c>
      <c r="B310" s="311" t="s">
        <v>337</v>
      </c>
      <c r="C310" s="319">
        <v>45300</v>
      </c>
      <c r="D310" s="28" t="s">
        <v>431</v>
      </c>
      <c r="E310" s="143" t="str">
        <f>VLOOKUP(D310,'Danh mục hàng hóa'!$C$3:$D$643,2,0)</f>
        <v>Bao lì xì rồng con</v>
      </c>
      <c r="F310" s="144" t="str">
        <f>VLOOKUP(D310,'Danh mục hàng hóa'!$C$3:$E$656,3,0)</f>
        <v>túi 4 cái</v>
      </c>
      <c r="G310" s="320">
        <v>14000</v>
      </c>
      <c r="H310" s="317"/>
      <c r="I310" s="313">
        <v>4</v>
      </c>
      <c r="J310" s="166">
        <f t="shared" si="16"/>
        <v>0</v>
      </c>
      <c r="K310" s="168">
        <f t="shared" si="10"/>
        <v>56000</v>
      </c>
      <c r="L310" s="30"/>
      <c r="M310" s="67"/>
    </row>
    <row r="311" spans="1:13" ht="13.2">
      <c r="A311" s="146">
        <v>372</v>
      </c>
      <c r="B311" s="311" t="s">
        <v>337</v>
      </c>
      <c r="C311" s="319">
        <v>45332</v>
      </c>
      <c r="D311" s="28" t="s">
        <v>431</v>
      </c>
      <c r="E311" s="143" t="str">
        <f>VLOOKUP(D311,'Danh mục hàng hóa'!$C$3:$D$643,2,0)</f>
        <v>Bao lì xì rồng con</v>
      </c>
      <c r="F311" s="144" t="str">
        <f>VLOOKUP(D311,'Danh mục hàng hóa'!$C$3:$E$656,3,0)</f>
        <v>túi 4 cái</v>
      </c>
      <c r="G311" s="320">
        <v>14000</v>
      </c>
      <c r="H311" s="317"/>
      <c r="I311" s="313">
        <v>5</v>
      </c>
      <c r="J311" s="166">
        <f t="shared" si="16"/>
        <v>0</v>
      </c>
      <c r="K311" s="168">
        <f t="shared" si="10"/>
        <v>70000</v>
      </c>
      <c r="L311" s="30"/>
      <c r="M311" s="67"/>
    </row>
    <row r="312" spans="1:13" ht="13.2">
      <c r="A312" s="146">
        <v>373</v>
      </c>
      <c r="B312" s="311" t="s">
        <v>337</v>
      </c>
      <c r="C312" s="319">
        <v>45332</v>
      </c>
      <c r="D312" s="28" t="s">
        <v>435</v>
      </c>
      <c r="E312" s="143" t="str">
        <f>VLOOKUP(D312,'Danh mục hàng hóa'!$C$3:$D$643,2,0)</f>
        <v>Bao lì xì Tết tài lộc</v>
      </c>
      <c r="F312" s="144" t="str">
        <f>VLOOKUP(D312,'Danh mục hàng hóa'!$C$3:$E$656,3,0)</f>
        <v>set 6 cái</v>
      </c>
      <c r="G312" s="320">
        <v>6000</v>
      </c>
      <c r="H312" s="317"/>
      <c r="I312" s="313">
        <v>12</v>
      </c>
      <c r="J312" s="166">
        <f t="shared" si="16"/>
        <v>0</v>
      </c>
      <c r="K312" s="168">
        <f t="shared" si="10"/>
        <v>72000</v>
      </c>
      <c r="L312" s="30"/>
      <c r="M312" s="67"/>
    </row>
    <row r="313" spans="1:13" ht="13.2">
      <c r="A313" s="146">
        <v>374</v>
      </c>
      <c r="B313" s="311" t="s">
        <v>337</v>
      </c>
      <c r="C313" s="319">
        <v>45332</v>
      </c>
      <c r="D313" s="28" t="s">
        <v>437</v>
      </c>
      <c r="E313" s="143" t="str">
        <f>VLOOKUP(D313,'Danh mục hàng hóa'!$C$3:$D$643,2,0)</f>
        <v>Bao lì xì Tết hoa</v>
      </c>
      <c r="F313" s="144" t="str">
        <f>VLOOKUP(D313,'Danh mục hàng hóa'!$C$3:$E$656,3,0)</f>
        <v>set 6 cái</v>
      </c>
      <c r="G313" s="320">
        <v>6000</v>
      </c>
      <c r="H313" s="317"/>
      <c r="I313" s="313">
        <v>11</v>
      </c>
      <c r="J313" s="166">
        <f t="shared" si="16"/>
        <v>0</v>
      </c>
      <c r="K313" s="168">
        <f t="shared" si="10"/>
        <v>66000</v>
      </c>
      <c r="L313" s="30"/>
      <c r="M313" s="67"/>
    </row>
    <row r="314" spans="1:13" ht="13.2">
      <c r="A314" s="146">
        <v>375</v>
      </c>
      <c r="B314" s="311" t="s">
        <v>337</v>
      </c>
      <c r="C314" s="319">
        <v>45332</v>
      </c>
      <c r="D314" s="28" t="s">
        <v>438</v>
      </c>
      <c r="E314" s="143" t="str">
        <f>VLOOKUP(D314,'Danh mục hàng hóa'!$C$3:$D$643,2,0)</f>
        <v>Bao lì xì Tết xanh</v>
      </c>
      <c r="F314" s="144" t="str">
        <f>VLOOKUP(D314,'Danh mục hàng hóa'!$C$3:$E$656,3,0)</f>
        <v>set 6 cái</v>
      </c>
      <c r="G314" s="320">
        <v>6000</v>
      </c>
      <c r="H314" s="317"/>
      <c r="I314" s="313">
        <v>12</v>
      </c>
      <c r="J314" s="166">
        <f t="shared" si="16"/>
        <v>0</v>
      </c>
      <c r="K314" s="168">
        <f t="shared" si="10"/>
        <v>72000</v>
      </c>
      <c r="L314" s="30"/>
      <c r="M314" s="67"/>
    </row>
    <row r="315" spans="1:13" ht="13.2">
      <c r="A315" s="146">
        <v>376</v>
      </c>
      <c r="B315" s="311" t="s">
        <v>337</v>
      </c>
      <c r="C315" s="319">
        <v>45332</v>
      </c>
      <c r="D315" s="28" t="s">
        <v>439</v>
      </c>
      <c r="E315" s="143" t="str">
        <f>VLOOKUP(D315,'Danh mục hàng hóa'!$C$3:$D$643,2,0)</f>
        <v>Bao lì xì vui vẻ</v>
      </c>
      <c r="F315" s="144" t="str">
        <f>VLOOKUP(D315,'Danh mục hàng hóa'!$C$3:$E$656,3,0)</f>
        <v>set 6 cái</v>
      </c>
      <c r="G315" s="320">
        <v>6000</v>
      </c>
      <c r="H315" s="317"/>
      <c r="I315" s="313">
        <v>11</v>
      </c>
      <c r="J315" s="166">
        <f t="shared" si="16"/>
        <v>0</v>
      </c>
      <c r="K315" s="168">
        <f t="shared" si="10"/>
        <v>66000</v>
      </c>
      <c r="L315" s="30"/>
      <c r="M315" s="67"/>
    </row>
    <row r="316" spans="1:13" ht="13.2">
      <c r="A316" s="146">
        <v>377</v>
      </c>
      <c r="B316" s="311" t="s">
        <v>337</v>
      </c>
      <c r="C316" s="319">
        <v>45332</v>
      </c>
      <c r="D316" s="28" t="s">
        <v>440</v>
      </c>
      <c r="E316" s="143" t="str">
        <f>VLOOKUP(D316,'Danh mục hàng hóa'!$C$3:$D$643,2,0)</f>
        <v>Bao lì xì ngộ nghĩnh</v>
      </c>
      <c r="F316" s="144" t="str">
        <f>VLOOKUP(D316,'Danh mục hàng hóa'!$C$3:$E$656,3,0)</f>
        <v>set 6 cái</v>
      </c>
      <c r="G316" s="320">
        <v>6000</v>
      </c>
      <c r="H316" s="317"/>
      <c r="I316" s="313">
        <v>10</v>
      </c>
      <c r="J316" s="166">
        <f t="shared" si="16"/>
        <v>0</v>
      </c>
      <c r="K316" s="168">
        <f t="shared" si="10"/>
        <v>60000</v>
      </c>
      <c r="L316" s="30"/>
      <c r="M316" s="67"/>
    </row>
    <row r="317" spans="1:13" ht="13.2">
      <c r="A317" s="146">
        <v>378</v>
      </c>
      <c r="B317" s="311" t="s">
        <v>337</v>
      </c>
      <c r="C317" s="319">
        <v>45332</v>
      </c>
      <c r="D317" s="28" t="s">
        <v>866</v>
      </c>
      <c r="E317" s="143" t="str">
        <f>VLOOKUP(D317,'Danh mục hàng hóa'!$C$3:$D$643,2,0)</f>
        <v>Thước dây hồng phấn</v>
      </c>
      <c r="F317" s="144" t="str">
        <f>VLOOKUP(D317,'Danh mục hàng hóa'!$C$3:$E$656,3,0)</f>
        <v>cái</v>
      </c>
      <c r="G317" s="320">
        <v>8000</v>
      </c>
      <c r="H317" s="317"/>
      <c r="I317" s="313">
        <v>1</v>
      </c>
      <c r="J317" s="166">
        <f t="shared" si="16"/>
        <v>0</v>
      </c>
      <c r="K317" s="168">
        <f t="shared" si="10"/>
        <v>8000</v>
      </c>
      <c r="L317" s="30"/>
      <c r="M317" s="67"/>
    </row>
    <row r="318" spans="1:13" ht="13.2">
      <c r="A318" s="146">
        <v>379</v>
      </c>
      <c r="B318" s="311" t="s">
        <v>337</v>
      </c>
      <c r="C318" s="319">
        <v>45332</v>
      </c>
      <c r="D318" s="28" t="s">
        <v>874</v>
      </c>
      <c r="E318" s="143" t="str">
        <f>VLOOKUP(D318,'Danh mục hàng hóa'!$C$3:$D$643,2,0)</f>
        <v>Dao rọc giấy cún xanh</v>
      </c>
      <c r="F318" s="144" t="str">
        <f>VLOOKUP(D318,'Danh mục hàng hóa'!$C$3:$E$656,3,0)</f>
        <v>cái</v>
      </c>
      <c r="G318" s="320">
        <v>8000</v>
      </c>
      <c r="H318" s="317"/>
      <c r="I318" s="313">
        <v>1</v>
      </c>
      <c r="J318" s="166">
        <f t="shared" si="16"/>
        <v>0</v>
      </c>
      <c r="K318" s="168">
        <f t="shared" si="10"/>
        <v>8000</v>
      </c>
      <c r="L318" s="30"/>
      <c r="M318" s="67"/>
    </row>
    <row r="319" spans="1:13" ht="13.2">
      <c r="A319" s="146">
        <v>380</v>
      </c>
      <c r="B319" s="311" t="s">
        <v>337</v>
      </c>
      <c r="C319" s="319">
        <v>45332</v>
      </c>
      <c r="D319" s="28" t="s">
        <v>878</v>
      </c>
      <c r="E319" s="143" t="str">
        <f>VLOOKUP(D319,'Danh mục hàng hóa'!$C$3:$D$643,2,0)</f>
        <v>Dao rọc giấy cún hồng</v>
      </c>
      <c r="F319" s="144" t="str">
        <f>VLOOKUP(D319,'Danh mục hàng hóa'!$C$3:$E$656,3,0)</f>
        <v>cái</v>
      </c>
      <c r="G319" s="320">
        <v>9000</v>
      </c>
      <c r="H319" s="317"/>
      <c r="I319" s="313">
        <v>1</v>
      </c>
      <c r="J319" s="166">
        <f t="shared" si="16"/>
        <v>0</v>
      </c>
      <c r="K319" s="168">
        <f t="shared" si="10"/>
        <v>9000</v>
      </c>
      <c r="L319" s="30"/>
      <c r="M319" s="67"/>
    </row>
    <row r="320" spans="1:13" ht="13.2">
      <c r="A320" s="146">
        <v>381</v>
      </c>
      <c r="B320" s="311" t="s">
        <v>337</v>
      </c>
      <c r="C320" s="319">
        <v>45332</v>
      </c>
      <c r="D320" s="28" t="s">
        <v>438</v>
      </c>
      <c r="E320" s="143" t="str">
        <f>VLOOKUP(D320,'Danh mục hàng hóa'!$C$3:$D$643,2,0)</f>
        <v>Bao lì xì Tết xanh</v>
      </c>
      <c r="F320" s="144" t="str">
        <f>VLOOKUP(D320,'Danh mục hàng hóa'!$C$3:$E$656,3,0)</f>
        <v>set 6 cái</v>
      </c>
      <c r="G320" s="321">
        <f>31092-G317-G318-G319</f>
        <v>6092</v>
      </c>
      <c r="H320" s="317"/>
      <c r="I320" s="313">
        <v>1</v>
      </c>
      <c r="J320" s="166">
        <f t="shared" si="16"/>
        <v>0</v>
      </c>
      <c r="K320" s="168">
        <f t="shared" si="10"/>
        <v>6092</v>
      </c>
      <c r="L320" s="30"/>
      <c r="M320" s="67"/>
    </row>
    <row r="321" spans="1:13" ht="13.2">
      <c r="A321" s="146">
        <v>382</v>
      </c>
      <c r="B321" s="311" t="s">
        <v>337</v>
      </c>
      <c r="C321" s="319">
        <v>45333</v>
      </c>
      <c r="D321" s="28" t="s">
        <v>431</v>
      </c>
      <c r="E321" s="143" t="str">
        <f>VLOOKUP(D321,'Danh mục hàng hóa'!$C$3:$D$643,2,0)</f>
        <v>Bao lì xì rồng con</v>
      </c>
      <c r="F321" s="144" t="str">
        <f>VLOOKUP(D321,'Danh mục hàng hóa'!$C$3:$E$656,3,0)</f>
        <v>túi 4 cái</v>
      </c>
      <c r="G321" s="320">
        <v>14000</v>
      </c>
      <c r="H321" s="317"/>
      <c r="I321" s="313">
        <v>1</v>
      </c>
      <c r="J321" s="166">
        <f t="shared" si="16"/>
        <v>0</v>
      </c>
      <c r="K321" s="168">
        <f t="shared" si="10"/>
        <v>14000</v>
      </c>
      <c r="L321" s="30"/>
      <c r="M321" s="67"/>
    </row>
    <row r="322" spans="1:13" ht="13.2">
      <c r="A322" s="146">
        <v>383</v>
      </c>
      <c r="B322" s="311" t="s">
        <v>337</v>
      </c>
      <c r="C322" s="319">
        <v>45333</v>
      </c>
      <c r="D322" s="28" t="s">
        <v>435</v>
      </c>
      <c r="E322" s="143" t="str">
        <f>VLOOKUP(D322,'Danh mục hàng hóa'!$C$3:$D$643,2,0)</f>
        <v>Bao lì xì Tết tài lộc</v>
      </c>
      <c r="F322" s="144" t="str">
        <f>VLOOKUP(D322,'Danh mục hàng hóa'!$C$3:$E$656,3,0)</f>
        <v>set 6 cái</v>
      </c>
      <c r="G322" s="320">
        <v>6000</v>
      </c>
      <c r="H322" s="317"/>
      <c r="I322" s="313">
        <v>2</v>
      </c>
      <c r="J322" s="166">
        <f t="shared" si="16"/>
        <v>0</v>
      </c>
      <c r="K322" s="168">
        <f t="shared" si="10"/>
        <v>12000</v>
      </c>
      <c r="L322" s="30"/>
      <c r="M322" s="67"/>
    </row>
    <row r="323" spans="1:13" ht="13.2">
      <c r="A323" s="146">
        <v>384</v>
      </c>
      <c r="B323" s="311" t="s">
        <v>337</v>
      </c>
      <c r="C323" s="319">
        <v>45333</v>
      </c>
      <c r="D323" s="28" t="s">
        <v>437</v>
      </c>
      <c r="E323" s="143" t="str">
        <f>VLOOKUP(D323,'Danh mục hàng hóa'!$C$3:$D$643,2,0)</f>
        <v>Bao lì xì Tết hoa</v>
      </c>
      <c r="F323" s="144" t="str">
        <f>VLOOKUP(D323,'Danh mục hàng hóa'!$C$3:$E$656,3,0)</f>
        <v>set 6 cái</v>
      </c>
      <c r="G323" s="320">
        <v>6000</v>
      </c>
      <c r="H323" s="317"/>
      <c r="I323" s="313">
        <v>1</v>
      </c>
      <c r="J323" s="166">
        <f t="shared" si="16"/>
        <v>0</v>
      </c>
      <c r="K323" s="168">
        <f t="shared" si="10"/>
        <v>6000</v>
      </c>
      <c r="L323" s="30"/>
      <c r="M323" s="67"/>
    </row>
    <row r="324" spans="1:13" ht="13.2">
      <c r="A324" s="146">
        <v>385</v>
      </c>
      <c r="B324" s="311" t="s">
        <v>337</v>
      </c>
      <c r="C324" s="319">
        <v>45333</v>
      </c>
      <c r="D324" s="28" t="s">
        <v>438</v>
      </c>
      <c r="E324" s="143" t="str">
        <f>VLOOKUP(D324,'Danh mục hàng hóa'!$C$3:$D$643,2,0)</f>
        <v>Bao lì xì Tết xanh</v>
      </c>
      <c r="F324" s="144" t="str">
        <f>VLOOKUP(D324,'Danh mục hàng hóa'!$C$3:$E$656,3,0)</f>
        <v>set 6 cái</v>
      </c>
      <c r="G324" s="320">
        <v>6000</v>
      </c>
      <c r="H324" s="317"/>
      <c r="I324" s="313">
        <v>2</v>
      </c>
      <c r="J324" s="166">
        <f t="shared" si="16"/>
        <v>0</v>
      </c>
      <c r="K324" s="168">
        <f t="shared" si="10"/>
        <v>12000</v>
      </c>
      <c r="L324" s="30"/>
      <c r="M324" s="67"/>
    </row>
    <row r="325" spans="1:13" ht="13.2">
      <c r="A325" s="146">
        <v>386</v>
      </c>
      <c r="B325" s="311" t="s">
        <v>337</v>
      </c>
      <c r="C325" s="319">
        <v>45333</v>
      </c>
      <c r="D325" s="28" t="s">
        <v>439</v>
      </c>
      <c r="E325" s="143" t="str">
        <f>VLOOKUP(D325,'Danh mục hàng hóa'!$C$3:$D$643,2,0)</f>
        <v>Bao lì xì vui vẻ</v>
      </c>
      <c r="F325" s="144" t="str">
        <f>VLOOKUP(D325,'Danh mục hàng hóa'!$C$3:$E$656,3,0)</f>
        <v>set 6 cái</v>
      </c>
      <c r="G325" s="320">
        <v>6000</v>
      </c>
      <c r="H325" s="317"/>
      <c r="I325" s="313">
        <v>1</v>
      </c>
      <c r="J325" s="166">
        <f t="shared" si="16"/>
        <v>0</v>
      </c>
      <c r="K325" s="168">
        <f t="shared" si="10"/>
        <v>6000</v>
      </c>
      <c r="L325" s="30"/>
      <c r="M325" s="67"/>
    </row>
    <row r="326" spans="1:13" ht="13.2">
      <c r="A326" s="146">
        <v>387</v>
      </c>
      <c r="B326" s="311" t="s">
        <v>337</v>
      </c>
      <c r="C326" s="319">
        <v>45333</v>
      </c>
      <c r="D326" s="28" t="s">
        <v>440</v>
      </c>
      <c r="E326" s="143" t="str">
        <f>VLOOKUP(D326,'Danh mục hàng hóa'!$C$3:$D$643,2,0)</f>
        <v>Bao lì xì ngộ nghĩnh</v>
      </c>
      <c r="F326" s="144" t="str">
        <f>VLOOKUP(D326,'Danh mục hàng hóa'!$C$3:$E$656,3,0)</f>
        <v>set 6 cái</v>
      </c>
      <c r="G326" s="320">
        <v>6000</v>
      </c>
      <c r="H326" s="317"/>
      <c r="I326" s="313">
        <v>1</v>
      </c>
      <c r="J326" s="166">
        <f t="shared" si="16"/>
        <v>0</v>
      </c>
      <c r="K326" s="168">
        <f t="shared" si="10"/>
        <v>6000</v>
      </c>
      <c r="L326" s="30"/>
      <c r="M326" s="67"/>
    </row>
    <row r="327" spans="1:13" ht="13.2">
      <c r="A327" s="146">
        <v>388</v>
      </c>
      <c r="B327" s="311" t="s">
        <v>337</v>
      </c>
      <c r="C327" s="319">
        <v>45333</v>
      </c>
      <c r="D327" s="28" t="s">
        <v>878</v>
      </c>
      <c r="E327" s="143" t="str">
        <f>VLOOKUP(D327,'Danh mục hàng hóa'!$C$3:$D$643,2,0)</f>
        <v>Dao rọc giấy cún hồng</v>
      </c>
      <c r="F327" s="144" t="str">
        <f>VLOOKUP(D327,'Danh mục hàng hóa'!$C$3:$E$656,3,0)</f>
        <v>cái</v>
      </c>
      <c r="G327" s="320">
        <v>5000</v>
      </c>
      <c r="H327" s="317"/>
      <c r="I327" s="313">
        <v>1</v>
      </c>
      <c r="J327" s="166">
        <f t="shared" si="16"/>
        <v>0</v>
      </c>
      <c r="K327" s="168">
        <f t="shared" si="10"/>
        <v>5000</v>
      </c>
      <c r="L327" s="30"/>
      <c r="M327" s="67"/>
    </row>
    <row r="328" spans="1:13" ht="13.2">
      <c r="A328" s="146">
        <v>389</v>
      </c>
      <c r="B328" s="311" t="s">
        <v>337</v>
      </c>
      <c r="C328" s="319">
        <v>45333</v>
      </c>
      <c r="D328" s="28" t="s">
        <v>2141</v>
      </c>
      <c r="E328" s="143" t="str">
        <f>VLOOKUP(D328,'Danh mục hàng hóa'!$C$3:$D$643,2,0)</f>
        <v>Dao rọc giấy mèo tím</v>
      </c>
      <c r="F328" s="144" t="str">
        <f>VLOOKUP(D328,'Danh mục hàng hóa'!$C$3:$E$656,3,0)</f>
        <v>cái</v>
      </c>
      <c r="G328" s="320">
        <v>5000</v>
      </c>
      <c r="H328" s="317"/>
      <c r="I328" s="313">
        <v>1</v>
      </c>
      <c r="J328" s="166">
        <f t="shared" si="16"/>
        <v>0</v>
      </c>
      <c r="K328" s="168">
        <f t="shared" si="10"/>
        <v>5000</v>
      </c>
      <c r="L328" s="30"/>
      <c r="M328" s="67"/>
    </row>
    <row r="329" spans="1:13" ht="13.2">
      <c r="A329" s="146">
        <v>390</v>
      </c>
      <c r="B329" s="311" t="s">
        <v>337</v>
      </c>
      <c r="C329" s="319">
        <v>45333</v>
      </c>
      <c r="D329" s="28" t="s">
        <v>2141</v>
      </c>
      <c r="E329" s="143" t="str">
        <f>VLOOKUP(D329,'Danh mục hàng hóa'!$C$3:$D$643,2,0)</f>
        <v>Dao rọc giấy mèo tím</v>
      </c>
      <c r="F329" s="144" t="str">
        <f>VLOOKUP(D329,'Danh mục hàng hóa'!$C$3:$E$656,3,0)</f>
        <v>cái</v>
      </c>
      <c r="G329" s="320">
        <v>0</v>
      </c>
      <c r="H329" s="317"/>
      <c r="I329" s="313">
        <v>1</v>
      </c>
      <c r="J329" s="166">
        <f t="shared" si="16"/>
        <v>0</v>
      </c>
      <c r="K329" s="168">
        <f t="shared" si="10"/>
        <v>0</v>
      </c>
      <c r="L329" s="30"/>
      <c r="M329" s="67"/>
    </row>
    <row r="330" spans="1:13" ht="13.2">
      <c r="A330" s="146">
        <v>391</v>
      </c>
      <c r="B330" s="311" t="s">
        <v>337</v>
      </c>
      <c r="C330" s="319">
        <v>45333</v>
      </c>
      <c r="D330" s="28" t="s">
        <v>438</v>
      </c>
      <c r="E330" s="143" t="str">
        <f>VLOOKUP(D330,'Danh mục hàng hóa'!$C$3:$D$643,2,0)</f>
        <v>Bao lì xì Tết xanh</v>
      </c>
      <c r="F330" s="144" t="str">
        <f>VLOOKUP(D330,'Danh mục hàng hóa'!$C$3:$E$656,3,0)</f>
        <v>set 6 cái</v>
      </c>
      <c r="G330" s="321">
        <f>51684/7</f>
        <v>7383.4285714285716</v>
      </c>
      <c r="H330" s="317"/>
      <c r="I330" s="313">
        <v>7</v>
      </c>
      <c r="J330" s="166">
        <f t="shared" si="16"/>
        <v>0</v>
      </c>
      <c r="K330" s="168">
        <f t="shared" si="10"/>
        <v>51684</v>
      </c>
      <c r="L330" s="30"/>
      <c r="M330" s="67"/>
    </row>
    <row r="331" spans="1:13" ht="13.2">
      <c r="A331" s="146">
        <v>392</v>
      </c>
      <c r="B331" s="311" t="s">
        <v>337</v>
      </c>
      <c r="C331" s="319">
        <v>45333</v>
      </c>
      <c r="D331" s="28" t="s">
        <v>438</v>
      </c>
      <c r="E331" s="143" t="str">
        <f>VLOOKUP(D331,'Danh mục hàng hóa'!$C$3:$D$643,2,0)</f>
        <v>Bao lì xì Tết xanh</v>
      </c>
      <c r="F331" s="144" t="str">
        <f>VLOOKUP(D331,'Danh mục hàng hóa'!$C$3:$E$656,3,0)</f>
        <v>set 6 cái</v>
      </c>
      <c r="G331" s="321">
        <f>45920/5</f>
        <v>9184</v>
      </c>
      <c r="H331" s="317"/>
      <c r="I331" s="313">
        <v>5</v>
      </c>
      <c r="J331" s="166">
        <f t="shared" si="16"/>
        <v>0</v>
      </c>
      <c r="K331" s="168">
        <f t="shared" si="10"/>
        <v>45920</v>
      </c>
      <c r="L331" s="30"/>
      <c r="M331" s="67"/>
    </row>
    <row r="332" spans="1:13" ht="13.2">
      <c r="A332" s="146">
        <v>393</v>
      </c>
      <c r="B332" s="311" t="s">
        <v>337</v>
      </c>
      <c r="C332" s="319">
        <v>45333</v>
      </c>
      <c r="D332" s="28" t="s">
        <v>435</v>
      </c>
      <c r="E332" s="143" t="str">
        <f>VLOOKUP(D332,'Danh mục hàng hóa'!$C$3:$D$643,2,0)</f>
        <v>Bao lì xì Tết tài lộc</v>
      </c>
      <c r="F332" s="144" t="str">
        <f>VLOOKUP(D332,'Danh mục hàng hóa'!$C$3:$E$656,3,0)</f>
        <v>set 6 cái</v>
      </c>
      <c r="G332" s="320">
        <v>0</v>
      </c>
      <c r="H332" s="317"/>
      <c r="I332" s="317">
        <f>33-18</f>
        <v>15</v>
      </c>
      <c r="J332" s="166">
        <f t="shared" si="16"/>
        <v>0</v>
      </c>
      <c r="K332" s="168">
        <f t="shared" si="10"/>
        <v>0</v>
      </c>
      <c r="L332" s="30"/>
      <c r="M332" s="67"/>
    </row>
    <row r="333" spans="1:13" ht="13.2">
      <c r="A333" s="146">
        <v>394</v>
      </c>
      <c r="B333" s="311" t="s">
        <v>337</v>
      </c>
      <c r="C333" s="319">
        <v>45333</v>
      </c>
      <c r="D333" s="28" t="s">
        <v>437</v>
      </c>
      <c r="E333" s="143" t="str">
        <f>VLOOKUP(D333,'Danh mục hàng hóa'!$C$3:$D$643,2,0)</f>
        <v>Bao lì xì Tết hoa</v>
      </c>
      <c r="F333" s="144" t="str">
        <f>VLOOKUP(D333,'Danh mục hàng hóa'!$C$3:$E$656,3,0)</f>
        <v>set 6 cái</v>
      </c>
      <c r="G333" s="320">
        <v>0</v>
      </c>
      <c r="H333" s="317"/>
      <c r="I333" s="313">
        <v>11</v>
      </c>
      <c r="J333" s="166">
        <f t="shared" si="16"/>
        <v>0</v>
      </c>
      <c r="K333" s="168">
        <f t="shared" si="10"/>
        <v>0</v>
      </c>
      <c r="L333" s="30"/>
      <c r="M333" s="67"/>
    </row>
    <row r="334" spans="1:13" ht="13.2">
      <c r="A334" s="146">
        <v>395</v>
      </c>
      <c r="B334" s="311" t="s">
        <v>337</v>
      </c>
      <c r="C334" s="319">
        <v>45333</v>
      </c>
      <c r="D334" s="28" t="s">
        <v>438</v>
      </c>
      <c r="E334" s="143" t="str">
        <f>VLOOKUP(D334,'Danh mục hàng hóa'!$C$3:$D$643,2,0)</f>
        <v>Bao lì xì Tết xanh</v>
      </c>
      <c r="F334" s="144" t="str">
        <f>VLOOKUP(D334,'Danh mục hàng hóa'!$C$3:$E$656,3,0)</f>
        <v>set 6 cái</v>
      </c>
      <c r="G334" s="320">
        <v>0</v>
      </c>
      <c r="H334" s="317"/>
      <c r="I334" s="313">
        <v>0</v>
      </c>
      <c r="J334" s="166">
        <f t="shared" si="16"/>
        <v>0</v>
      </c>
      <c r="K334" s="168">
        <f t="shared" si="10"/>
        <v>0</v>
      </c>
      <c r="L334" s="30"/>
      <c r="M334" s="67"/>
    </row>
    <row r="335" spans="1:13" ht="13.2">
      <c r="A335" s="146">
        <v>396</v>
      </c>
      <c r="B335" s="311" t="s">
        <v>337</v>
      </c>
      <c r="C335" s="319">
        <v>45333</v>
      </c>
      <c r="D335" s="28" t="s">
        <v>439</v>
      </c>
      <c r="E335" s="143" t="str">
        <f>VLOOKUP(D335,'Danh mục hàng hóa'!$C$3:$D$643,2,0)</f>
        <v>Bao lì xì vui vẻ</v>
      </c>
      <c r="F335" s="144" t="str">
        <f>VLOOKUP(D335,'Danh mục hàng hóa'!$C$3:$E$656,3,0)</f>
        <v>set 6 cái</v>
      </c>
      <c r="G335" s="320">
        <v>0</v>
      </c>
      <c r="H335" s="317"/>
      <c r="I335" s="313">
        <v>0</v>
      </c>
      <c r="J335" s="166">
        <f t="shared" si="16"/>
        <v>0</v>
      </c>
      <c r="K335" s="168">
        <f t="shared" si="10"/>
        <v>0</v>
      </c>
      <c r="L335" s="30"/>
      <c r="M335" s="67"/>
    </row>
    <row r="336" spans="1:13" ht="13.2">
      <c r="A336" s="146">
        <v>397</v>
      </c>
      <c r="B336" s="311" t="s">
        <v>337</v>
      </c>
      <c r="C336" s="319">
        <v>45333</v>
      </c>
      <c r="D336" s="28" t="s">
        <v>440</v>
      </c>
      <c r="E336" s="143" t="str">
        <f>VLOOKUP(D336,'Danh mục hàng hóa'!$C$3:$D$643,2,0)</f>
        <v>Bao lì xì ngộ nghĩnh</v>
      </c>
      <c r="F336" s="144" t="str">
        <f>VLOOKUP(D336,'Danh mục hàng hóa'!$C$3:$E$656,3,0)</f>
        <v>set 6 cái</v>
      </c>
      <c r="G336" s="320">
        <v>0</v>
      </c>
      <c r="H336" s="317"/>
      <c r="I336" s="313">
        <v>4</v>
      </c>
      <c r="J336" s="166">
        <f t="shared" si="16"/>
        <v>0</v>
      </c>
      <c r="K336" s="168">
        <f t="shared" si="10"/>
        <v>0</v>
      </c>
      <c r="L336" s="30"/>
      <c r="M336" s="67"/>
    </row>
    <row r="337" spans="1:13" ht="13.2">
      <c r="A337" s="146">
        <v>398</v>
      </c>
      <c r="B337" s="311" t="s">
        <v>337</v>
      </c>
      <c r="C337" s="319">
        <v>45333</v>
      </c>
      <c r="D337" s="28" t="s">
        <v>431</v>
      </c>
      <c r="E337" s="143" t="str">
        <f>VLOOKUP(D337,'Danh mục hàng hóa'!$C$3:$D$643,2,0)</f>
        <v>Bao lì xì rồng con</v>
      </c>
      <c r="F337" s="144" t="str">
        <f>VLOOKUP(D337,'Danh mục hàng hóa'!$C$3:$E$656,3,0)</f>
        <v>túi 4 cái</v>
      </c>
      <c r="G337" s="320">
        <v>14000</v>
      </c>
      <c r="H337" s="317"/>
      <c r="I337" s="313">
        <v>2</v>
      </c>
      <c r="J337" s="166">
        <f t="shared" si="16"/>
        <v>0</v>
      </c>
      <c r="K337" s="168">
        <f t="shared" si="10"/>
        <v>28000</v>
      </c>
      <c r="L337" s="427" t="s">
        <v>2142</v>
      </c>
      <c r="M337" s="67"/>
    </row>
    <row r="338" spans="1:13" ht="13.2">
      <c r="A338" s="146">
        <v>399</v>
      </c>
      <c r="B338" s="311" t="s">
        <v>337</v>
      </c>
      <c r="C338" s="319">
        <v>45333</v>
      </c>
      <c r="D338" s="28" t="s">
        <v>435</v>
      </c>
      <c r="E338" s="143" t="str">
        <f>VLOOKUP(D338,'Danh mục hàng hóa'!$C$3:$D$643,2,0)</f>
        <v>Bao lì xì Tết tài lộc</v>
      </c>
      <c r="F338" s="144" t="str">
        <f>VLOOKUP(D338,'Danh mục hàng hóa'!$C$3:$E$656,3,0)</f>
        <v>set 6 cái</v>
      </c>
      <c r="G338" s="320">
        <v>6000</v>
      </c>
      <c r="H338" s="317"/>
      <c r="I338" s="313">
        <v>1</v>
      </c>
      <c r="J338" s="166">
        <f t="shared" si="16"/>
        <v>0</v>
      </c>
      <c r="K338" s="168">
        <f t="shared" si="10"/>
        <v>6000</v>
      </c>
      <c r="L338" s="372"/>
      <c r="M338" s="67"/>
    </row>
    <row r="339" spans="1:13" ht="13.2">
      <c r="A339" s="146">
        <v>400</v>
      </c>
      <c r="B339" s="311" t="s">
        <v>337</v>
      </c>
      <c r="C339" s="319">
        <v>45333</v>
      </c>
      <c r="D339" s="28" t="s">
        <v>437</v>
      </c>
      <c r="E339" s="143" t="str">
        <f>VLOOKUP(D339,'Danh mục hàng hóa'!$C$3:$D$643,2,0)</f>
        <v>Bao lì xì Tết hoa</v>
      </c>
      <c r="F339" s="144" t="str">
        <f>VLOOKUP(D339,'Danh mục hàng hóa'!$C$3:$E$656,3,0)</f>
        <v>set 6 cái</v>
      </c>
      <c r="G339" s="320">
        <v>6000</v>
      </c>
      <c r="H339" s="317"/>
      <c r="I339" s="313">
        <v>1</v>
      </c>
      <c r="J339" s="166">
        <f t="shared" si="16"/>
        <v>0</v>
      </c>
      <c r="K339" s="168">
        <f t="shared" si="10"/>
        <v>6000</v>
      </c>
      <c r="L339" s="373"/>
      <c r="M339" s="67"/>
    </row>
    <row r="340" spans="1:13" ht="13.2">
      <c r="A340" s="146">
        <v>401</v>
      </c>
      <c r="B340" s="311" t="s">
        <v>337</v>
      </c>
      <c r="C340" s="319">
        <v>45333</v>
      </c>
      <c r="D340" s="28" t="s">
        <v>438</v>
      </c>
      <c r="E340" s="143"/>
      <c r="F340" s="144"/>
      <c r="G340" s="320">
        <f>40000/5</f>
        <v>8000</v>
      </c>
      <c r="H340" s="317"/>
      <c r="I340" s="313">
        <v>5</v>
      </c>
      <c r="J340" s="166">
        <f t="shared" si="16"/>
        <v>0</v>
      </c>
      <c r="K340" s="168">
        <f t="shared" si="10"/>
        <v>40000</v>
      </c>
      <c r="L340" s="28"/>
      <c r="M340" s="67"/>
    </row>
    <row r="341" spans="1:13" ht="13.2">
      <c r="A341" s="146">
        <v>402</v>
      </c>
      <c r="B341" s="311" t="s">
        <v>337</v>
      </c>
      <c r="C341" s="319">
        <v>45333</v>
      </c>
      <c r="D341" s="28" t="s">
        <v>842</v>
      </c>
      <c r="E341" s="143" t="str">
        <f>VLOOKUP(D341,'Danh mục hàng hóa'!$C$3:$D$643,2,0)</f>
        <v>Hộp thuốc dấu chân cún</v>
      </c>
      <c r="F341" s="144"/>
      <c r="G341" s="320">
        <v>5920</v>
      </c>
      <c r="H341" s="317"/>
      <c r="I341" s="313">
        <v>1</v>
      </c>
      <c r="J341" s="166">
        <f t="shared" si="16"/>
        <v>0</v>
      </c>
      <c r="K341" s="168">
        <f t="shared" si="10"/>
        <v>5920</v>
      </c>
      <c r="L341" s="28"/>
      <c r="M341" s="67"/>
    </row>
    <row r="342" spans="1:13" ht="13.2">
      <c r="A342" s="146">
        <v>403</v>
      </c>
      <c r="B342" s="311" t="s">
        <v>337</v>
      </c>
      <c r="C342" s="319">
        <v>45333</v>
      </c>
      <c r="D342" s="28" t="s">
        <v>431</v>
      </c>
      <c r="E342" s="143" t="str">
        <f>VLOOKUP(D342,'Danh mục hàng hóa'!$C$3:$D$643,2,0)</f>
        <v>Bao lì xì rồng con</v>
      </c>
      <c r="F342" s="144" t="str">
        <f>VLOOKUP(D342,'Danh mục hàng hóa'!$C$3:$E$656,3,0)</f>
        <v>túi 4 cái</v>
      </c>
      <c r="G342" s="320">
        <v>14000</v>
      </c>
      <c r="H342" s="317"/>
      <c r="I342" s="313">
        <v>2</v>
      </c>
      <c r="J342" s="166">
        <f t="shared" si="16"/>
        <v>0</v>
      </c>
      <c r="K342" s="168">
        <f t="shared" si="10"/>
        <v>28000</v>
      </c>
      <c r="L342" s="28" t="s">
        <v>2143</v>
      </c>
      <c r="M342" s="67"/>
    </row>
    <row r="343" spans="1:13" ht="13.2">
      <c r="A343" s="146">
        <v>404</v>
      </c>
      <c r="B343" s="311" t="s">
        <v>337</v>
      </c>
      <c r="C343" s="319">
        <v>45333</v>
      </c>
      <c r="D343" s="28" t="s">
        <v>431</v>
      </c>
      <c r="E343" s="143" t="str">
        <f>VLOOKUP(D343,'Danh mục hàng hóa'!$C$3:$D$643,2,0)</f>
        <v>Bao lì xì rồng con</v>
      </c>
      <c r="F343" s="144" t="str">
        <f>VLOOKUP(D343,'Danh mục hàng hóa'!$C$3:$E$656,3,0)</f>
        <v>túi 4 cái</v>
      </c>
      <c r="G343" s="320">
        <v>14000</v>
      </c>
      <c r="H343" s="317"/>
      <c r="I343" s="313">
        <v>2</v>
      </c>
      <c r="J343" s="166">
        <f t="shared" si="16"/>
        <v>0</v>
      </c>
      <c r="K343" s="168">
        <f t="shared" si="10"/>
        <v>28000</v>
      </c>
      <c r="L343" s="28" t="s">
        <v>2144</v>
      </c>
      <c r="M343" s="67"/>
    </row>
    <row r="344" spans="1:13" ht="13.2">
      <c r="A344" s="146">
        <v>405</v>
      </c>
      <c r="B344" s="311" t="s">
        <v>337</v>
      </c>
      <c r="C344" s="319">
        <v>45333</v>
      </c>
      <c r="D344" s="28" t="s">
        <v>433</v>
      </c>
      <c r="E344" s="143" t="str">
        <f>VLOOKUP(D344,'Danh mục hàng hóa'!$C$3:$D$643,2,0)</f>
        <v>Bao lì xì rồng lân</v>
      </c>
      <c r="F344" s="144" t="str">
        <f>VLOOKUP(D344,'Danh mục hàng hóa'!$C$3:$E$656,3,0)</f>
        <v>túi 4 cái</v>
      </c>
      <c r="G344" s="320">
        <v>14000</v>
      </c>
      <c r="H344" s="317"/>
      <c r="I344" s="313">
        <v>2</v>
      </c>
      <c r="J344" s="166">
        <f t="shared" si="16"/>
        <v>0</v>
      </c>
      <c r="K344" s="168">
        <f t="shared" si="10"/>
        <v>28000</v>
      </c>
      <c r="L344" s="28" t="s">
        <v>2144</v>
      </c>
      <c r="M344" s="67"/>
    </row>
    <row r="345" spans="1:13" ht="13.2">
      <c r="A345" s="146">
        <v>406</v>
      </c>
      <c r="B345" s="311" t="s">
        <v>337</v>
      </c>
      <c r="C345" s="319">
        <v>45303</v>
      </c>
      <c r="D345" s="28" t="s">
        <v>438</v>
      </c>
      <c r="E345" s="143" t="str">
        <f>VLOOKUP(D345,'Danh mục hàng hóa'!$C$3:$D$643,2,0)</f>
        <v>Bao lì xì Tết xanh</v>
      </c>
      <c r="F345" s="144" t="str">
        <f>VLOOKUP(D345,'Danh mục hàng hóa'!$C$3:$E$656,3,0)</f>
        <v>set 6 cái</v>
      </c>
      <c r="G345" s="320">
        <v>6852</v>
      </c>
      <c r="H345" s="317"/>
      <c r="I345" s="313">
        <v>1</v>
      </c>
      <c r="J345" s="166">
        <f t="shared" si="16"/>
        <v>0</v>
      </c>
      <c r="K345" s="168">
        <f t="shared" si="10"/>
        <v>6852</v>
      </c>
      <c r="L345" s="30"/>
      <c r="M345" s="67"/>
    </row>
    <row r="346" spans="1:13" ht="13.2">
      <c r="A346" s="146">
        <v>407</v>
      </c>
      <c r="B346" s="311" t="s">
        <v>337</v>
      </c>
      <c r="C346" s="319">
        <v>45303</v>
      </c>
      <c r="D346" s="28" t="s">
        <v>438</v>
      </c>
      <c r="E346" s="143" t="str">
        <f>VLOOKUP(D346,'Danh mục hàng hóa'!$C$3:$D$643,2,0)</f>
        <v>Bao lì xì Tết xanh</v>
      </c>
      <c r="F346" s="144" t="str">
        <f>VLOOKUP(D346,'Danh mục hàng hóa'!$C$3:$E$656,3,0)</f>
        <v>set 6 cái</v>
      </c>
      <c r="G346" s="320">
        <f>51680/7</f>
        <v>7382.8571428571431</v>
      </c>
      <c r="H346" s="317"/>
      <c r="I346" s="313">
        <v>7</v>
      </c>
      <c r="J346" s="166">
        <f t="shared" si="16"/>
        <v>0</v>
      </c>
      <c r="K346" s="168">
        <f t="shared" si="10"/>
        <v>51680</v>
      </c>
      <c r="L346" s="30"/>
      <c r="M346" s="67"/>
    </row>
    <row r="347" spans="1:13" ht="13.2">
      <c r="A347" s="146">
        <v>408</v>
      </c>
      <c r="B347" s="311" t="s">
        <v>337</v>
      </c>
      <c r="C347" s="319">
        <v>45303</v>
      </c>
      <c r="D347" s="28" t="s">
        <v>586</v>
      </c>
      <c r="E347" s="143" t="str">
        <f>VLOOKUP(D347,'Danh mục hàng hóa'!$C$3:$D$643,2,0)</f>
        <v>Kẹp tóc nhựa nâu nhạt</v>
      </c>
      <c r="F347" s="144" t="str">
        <f>VLOOKUP(D347,'Danh mục hàng hóa'!$C$3:$E$656,3,0)</f>
        <v>cái</v>
      </c>
      <c r="G347" s="320">
        <v>13860</v>
      </c>
      <c r="H347" s="317"/>
      <c r="I347" s="313">
        <v>1</v>
      </c>
      <c r="J347" s="166">
        <f t="shared" si="16"/>
        <v>0</v>
      </c>
      <c r="K347" s="168">
        <f t="shared" si="10"/>
        <v>13860</v>
      </c>
      <c r="L347" s="30"/>
      <c r="M347" s="67"/>
    </row>
    <row r="348" spans="1:13" ht="13.2">
      <c r="A348" s="146">
        <v>409</v>
      </c>
      <c r="B348" s="311" t="s">
        <v>337</v>
      </c>
      <c r="C348" s="319">
        <v>45303</v>
      </c>
      <c r="D348" s="28" t="s">
        <v>878</v>
      </c>
      <c r="E348" s="143" t="str">
        <f>VLOOKUP(D348,'Danh mục hàng hóa'!$C$3:$D$643,2,0)</f>
        <v>Dao rọc giấy cún hồng</v>
      </c>
      <c r="F348" s="144" t="str">
        <f>VLOOKUP(D348,'Danh mục hàng hóa'!$C$3:$E$656,3,0)</f>
        <v>cái</v>
      </c>
      <c r="G348" s="320">
        <v>8000</v>
      </c>
      <c r="H348" s="317"/>
      <c r="I348" s="313">
        <v>1</v>
      </c>
      <c r="J348" s="166">
        <f t="shared" si="16"/>
        <v>0</v>
      </c>
      <c r="K348" s="168">
        <f t="shared" si="10"/>
        <v>8000</v>
      </c>
      <c r="L348" s="30"/>
      <c r="M348" s="67"/>
    </row>
    <row r="349" spans="1:13" ht="13.2">
      <c r="A349" s="146">
        <v>410</v>
      </c>
      <c r="B349" s="311" t="s">
        <v>337</v>
      </c>
      <c r="C349" s="319">
        <v>45303</v>
      </c>
      <c r="D349" s="28" t="s">
        <v>440</v>
      </c>
      <c r="E349" s="143" t="str">
        <f>VLOOKUP(D349,'Danh mục hàng hóa'!$C$3:$D$643,2,0)</f>
        <v>Bao lì xì ngộ nghĩnh</v>
      </c>
      <c r="F349" s="144" t="str">
        <f>VLOOKUP(D349,'Danh mục hàng hóa'!$C$3:$E$656,3,0)</f>
        <v>set 6 cái</v>
      </c>
      <c r="G349" s="320">
        <v>8000</v>
      </c>
      <c r="H349" s="317"/>
      <c r="I349" s="313">
        <v>1</v>
      </c>
      <c r="J349" s="166">
        <f t="shared" si="16"/>
        <v>0</v>
      </c>
      <c r="K349" s="168">
        <f t="shared" si="10"/>
        <v>8000</v>
      </c>
      <c r="L349" s="30"/>
      <c r="M349" s="67"/>
    </row>
    <row r="350" spans="1:13" ht="13.2">
      <c r="A350" s="146">
        <v>411</v>
      </c>
      <c r="B350" s="311" t="s">
        <v>337</v>
      </c>
      <c r="C350" s="319">
        <v>45303</v>
      </c>
      <c r="D350" s="28" t="s">
        <v>895</v>
      </c>
      <c r="E350" s="143" t="str">
        <f>VLOOKUP(D350,'Danh mục hàng hóa'!$C$3:$D$643,2,0)</f>
        <v>Thỏ chong chóng</v>
      </c>
      <c r="F350" s="144" t="str">
        <f>VLOOKUP(D350,'Danh mục hàng hóa'!$C$3:$E$656,3,0)</f>
        <v>cái</v>
      </c>
      <c r="G350" s="321">
        <f t="shared" ref="G350:G351" si="23">(110292-16000)/2</f>
        <v>47146</v>
      </c>
      <c r="H350" s="317"/>
      <c r="I350" s="313">
        <v>1</v>
      </c>
      <c r="J350" s="166">
        <f t="shared" si="16"/>
        <v>0</v>
      </c>
      <c r="K350" s="168">
        <f t="shared" si="10"/>
        <v>47146</v>
      </c>
      <c r="L350" s="30"/>
      <c r="M350" s="67"/>
    </row>
    <row r="351" spans="1:13" ht="13.2">
      <c r="A351" s="146">
        <v>412</v>
      </c>
      <c r="B351" s="311" t="s">
        <v>337</v>
      </c>
      <c r="C351" s="319">
        <v>45303</v>
      </c>
      <c r="D351" s="28" t="s">
        <v>885</v>
      </c>
      <c r="E351" s="143" t="str">
        <f>VLOOKUP(D351,'Danh mục hàng hóa'!$C$3:$D$643,2,0)</f>
        <v>Gấu chong chóng</v>
      </c>
      <c r="F351" s="144" t="str">
        <f>VLOOKUP(D351,'Danh mục hàng hóa'!$C$3:$E$656,3,0)</f>
        <v>cái</v>
      </c>
      <c r="G351" s="321">
        <f t="shared" si="23"/>
        <v>47146</v>
      </c>
      <c r="H351" s="317"/>
      <c r="I351" s="313">
        <v>1</v>
      </c>
      <c r="J351" s="166">
        <f t="shared" si="16"/>
        <v>0</v>
      </c>
      <c r="K351" s="168">
        <f t="shared" si="10"/>
        <v>47146</v>
      </c>
      <c r="L351" s="30"/>
      <c r="M351" s="67"/>
    </row>
    <row r="352" spans="1:13" ht="13.2">
      <c r="A352" s="146">
        <v>413</v>
      </c>
      <c r="B352" s="311" t="s">
        <v>337</v>
      </c>
      <c r="C352" s="319">
        <v>45303</v>
      </c>
      <c r="D352" s="28" t="s">
        <v>392</v>
      </c>
      <c r="E352" s="143" t="str">
        <f>VLOOKUP(D352,'Danh mục hàng hóa'!$C$3:$D$643,2,0)</f>
        <v>Túi chườm bụng trái bơ 1000ml</v>
      </c>
      <c r="F352" s="144" t="str">
        <f>VLOOKUP(D352,'Danh mục hàng hóa'!$C$3:$E$656,3,0)</f>
        <v>túi</v>
      </c>
      <c r="G352" s="320">
        <v>95920</v>
      </c>
      <c r="H352" s="317"/>
      <c r="I352" s="313">
        <v>1</v>
      </c>
      <c r="J352" s="166">
        <f t="shared" si="16"/>
        <v>0</v>
      </c>
      <c r="K352" s="168">
        <f t="shared" si="10"/>
        <v>95920</v>
      </c>
      <c r="L352" s="30"/>
      <c r="M352" s="67"/>
    </row>
    <row r="353" spans="1:13" ht="13.2">
      <c r="A353" s="146">
        <v>414</v>
      </c>
      <c r="B353" s="311" t="s">
        <v>337</v>
      </c>
      <c r="C353" s="319">
        <v>45304</v>
      </c>
      <c r="D353" s="28" t="s">
        <v>413</v>
      </c>
      <c r="E353" s="143" t="str">
        <f>VLOOKUP(D353,'Danh mục hàng hóa'!$C$3:$D$643,2,0)</f>
        <v>Túi chườm bụng trái bơ 500ml</v>
      </c>
      <c r="F353" s="144" t="str">
        <f>VLOOKUP(D353,'Danh mục hàng hóa'!$C$3:$E$656,3,0)</f>
        <v>túi</v>
      </c>
      <c r="G353" s="320">
        <v>78000</v>
      </c>
      <c r="H353" s="317"/>
      <c r="I353" s="313">
        <v>1</v>
      </c>
      <c r="J353" s="166">
        <f t="shared" si="16"/>
        <v>0</v>
      </c>
      <c r="K353" s="168">
        <f t="shared" si="10"/>
        <v>78000</v>
      </c>
      <c r="L353" s="30"/>
      <c r="M353" s="67"/>
    </row>
    <row r="354" spans="1:13" ht="13.2">
      <c r="A354" s="146">
        <v>415</v>
      </c>
      <c r="B354" s="311" t="s">
        <v>337</v>
      </c>
      <c r="C354" s="319">
        <v>45304</v>
      </c>
      <c r="D354" s="28" t="s">
        <v>435</v>
      </c>
      <c r="E354" s="143" t="str">
        <f>VLOOKUP(D354,'Danh mục hàng hóa'!$C$3:$D$643,2,0)</f>
        <v>Bao lì xì Tết tài lộc</v>
      </c>
      <c r="F354" s="144" t="str">
        <f>VLOOKUP(D354,'Danh mục hàng hóa'!$C$3:$E$656,3,0)</f>
        <v>set 6 cái</v>
      </c>
      <c r="G354" s="320">
        <v>6154</v>
      </c>
      <c r="H354" s="317"/>
      <c r="I354" s="313">
        <v>2</v>
      </c>
      <c r="J354" s="166">
        <f t="shared" si="16"/>
        <v>0</v>
      </c>
      <c r="K354" s="168">
        <f t="shared" si="10"/>
        <v>12308</v>
      </c>
      <c r="L354" s="30"/>
      <c r="M354" s="67"/>
    </row>
    <row r="355" spans="1:13" ht="13.2">
      <c r="A355" s="146">
        <v>416</v>
      </c>
      <c r="B355" s="311" t="s">
        <v>337</v>
      </c>
      <c r="C355" s="319">
        <v>45304</v>
      </c>
      <c r="D355" s="28" t="s">
        <v>437</v>
      </c>
      <c r="E355" s="143" t="str">
        <f>VLOOKUP(D355,'Danh mục hàng hóa'!$C$3:$D$643,2,0)</f>
        <v>Bao lì xì Tết hoa</v>
      </c>
      <c r="F355" s="144" t="str">
        <f>VLOOKUP(D355,'Danh mục hàng hóa'!$C$3:$E$656,3,0)</f>
        <v>set 6 cái</v>
      </c>
      <c r="G355" s="320">
        <v>6154</v>
      </c>
      <c r="H355" s="317"/>
      <c r="I355" s="313">
        <v>2</v>
      </c>
      <c r="J355" s="166">
        <f t="shared" si="16"/>
        <v>0</v>
      </c>
      <c r="K355" s="168">
        <f t="shared" si="10"/>
        <v>12308</v>
      </c>
      <c r="L355" s="30"/>
      <c r="M355" s="67"/>
    </row>
    <row r="356" spans="1:13" ht="13.2">
      <c r="A356" s="146">
        <v>417</v>
      </c>
      <c r="B356" s="311" t="s">
        <v>337</v>
      </c>
      <c r="C356" s="319">
        <v>45304</v>
      </c>
      <c r="D356" s="28" t="s">
        <v>438</v>
      </c>
      <c r="E356" s="143" t="str">
        <f>VLOOKUP(D356,'Danh mục hàng hóa'!$C$3:$D$643,2,0)</f>
        <v>Bao lì xì Tết xanh</v>
      </c>
      <c r="F356" s="144" t="str">
        <f>VLOOKUP(D356,'Danh mục hàng hóa'!$C$3:$E$656,3,0)</f>
        <v>set 6 cái</v>
      </c>
      <c r="G356" s="320">
        <v>6154</v>
      </c>
      <c r="H356" s="317"/>
      <c r="I356" s="313">
        <v>2</v>
      </c>
      <c r="J356" s="166">
        <f t="shared" si="16"/>
        <v>0</v>
      </c>
      <c r="K356" s="168">
        <f t="shared" si="10"/>
        <v>12308</v>
      </c>
      <c r="L356" s="30"/>
      <c r="M356" s="67"/>
    </row>
    <row r="357" spans="1:13" ht="13.2">
      <c r="A357" s="146">
        <v>418</v>
      </c>
      <c r="B357" s="311" t="s">
        <v>337</v>
      </c>
      <c r="C357" s="319">
        <v>45304</v>
      </c>
      <c r="D357" s="28" t="s">
        <v>2145</v>
      </c>
      <c r="E357" s="143" t="str">
        <f>VLOOKUP(D357,'Danh mục hàng hóa'!$C$3:$D$643,2,0)</f>
        <v>Bao lì xì vui vẻ</v>
      </c>
      <c r="F357" s="144" t="str">
        <f>VLOOKUP(D357,'Danh mục hàng hóa'!$C$3:$E$656,3,0)</f>
        <v>set 6 cái</v>
      </c>
      <c r="G357" s="320">
        <v>6154</v>
      </c>
      <c r="H357" s="317"/>
      <c r="I357" s="313">
        <v>2</v>
      </c>
      <c r="J357" s="166">
        <f t="shared" si="16"/>
        <v>0</v>
      </c>
      <c r="K357" s="168">
        <f t="shared" si="10"/>
        <v>12308</v>
      </c>
      <c r="L357" s="30"/>
      <c r="M357" s="67"/>
    </row>
    <row r="358" spans="1:13" ht="13.2">
      <c r="A358" s="146">
        <v>419</v>
      </c>
      <c r="B358" s="311" t="s">
        <v>337</v>
      </c>
      <c r="C358" s="319">
        <v>45304</v>
      </c>
      <c r="D358" s="28" t="s">
        <v>1712</v>
      </c>
      <c r="E358" s="143" t="str">
        <f>VLOOKUP(D358,'Danh mục hàng hóa'!$C$3:$D$643,2,0)</f>
        <v>Bao lì xì ngộ nghĩnh</v>
      </c>
      <c r="F358" s="144" t="str">
        <f>VLOOKUP(D358,'Danh mục hàng hóa'!$C$3:$E$656,3,0)</f>
        <v>set 6 cái</v>
      </c>
      <c r="G358" s="320">
        <v>6154</v>
      </c>
      <c r="H358" s="317"/>
      <c r="I358" s="313">
        <v>2</v>
      </c>
      <c r="J358" s="166">
        <f t="shared" si="16"/>
        <v>0</v>
      </c>
      <c r="K358" s="168">
        <f t="shared" si="10"/>
        <v>12308</v>
      </c>
      <c r="L358" s="30"/>
      <c r="M358" s="67"/>
    </row>
    <row r="359" spans="1:13" ht="13.2">
      <c r="A359" s="146">
        <v>420</v>
      </c>
      <c r="B359" s="311" t="s">
        <v>337</v>
      </c>
      <c r="C359" s="319">
        <v>45304</v>
      </c>
      <c r="D359" s="28" t="s">
        <v>435</v>
      </c>
      <c r="E359" s="143" t="str">
        <f>VLOOKUP(D359,'Danh mục hàng hóa'!$C$3:$D$643,2,0)</f>
        <v>Bao lì xì Tết tài lộc</v>
      </c>
      <c r="F359" s="144" t="str">
        <f>VLOOKUP(D359,'Danh mục hàng hóa'!$C$3:$E$656,3,0)</f>
        <v>set 6 cái</v>
      </c>
      <c r="G359" s="321">
        <f t="shared" ref="G359:G360" si="24">39892/6</f>
        <v>6648.666666666667</v>
      </c>
      <c r="H359" s="317"/>
      <c r="I359" s="313">
        <v>3</v>
      </c>
      <c r="J359" s="166">
        <f t="shared" si="16"/>
        <v>0</v>
      </c>
      <c r="K359" s="168">
        <f t="shared" si="10"/>
        <v>19946</v>
      </c>
      <c r="L359" s="30"/>
      <c r="M359" s="67"/>
    </row>
    <row r="360" spans="1:13" ht="13.2">
      <c r="A360" s="146">
        <v>421</v>
      </c>
      <c r="B360" s="311" t="s">
        <v>337</v>
      </c>
      <c r="C360" s="319">
        <v>45304</v>
      </c>
      <c r="D360" s="28" t="s">
        <v>440</v>
      </c>
      <c r="E360" s="143" t="str">
        <f>VLOOKUP(D360,'Danh mục hàng hóa'!$C$3:$D$643,2,0)</f>
        <v>Bao lì xì ngộ nghĩnh</v>
      </c>
      <c r="F360" s="144" t="str">
        <f>VLOOKUP(D360,'Danh mục hàng hóa'!$C$3:$E$656,3,0)</f>
        <v>set 6 cái</v>
      </c>
      <c r="G360" s="321">
        <f t="shared" si="24"/>
        <v>6648.666666666667</v>
      </c>
      <c r="H360" s="317"/>
      <c r="I360" s="313">
        <v>3</v>
      </c>
      <c r="J360" s="166">
        <f t="shared" si="16"/>
        <v>0</v>
      </c>
      <c r="K360" s="168">
        <f t="shared" si="10"/>
        <v>19946</v>
      </c>
      <c r="L360" s="30"/>
      <c r="M360" s="67"/>
    </row>
    <row r="361" spans="1:13" ht="13.2">
      <c r="A361" s="146">
        <v>422</v>
      </c>
      <c r="B361" s="311" t="s">
        <v>337</v>
      </c>
      <c r="C361" s="319">
        <v>45304</v>
      </c>
      <c r="D361" s="28" t="s">
        <v>435</v>
      </c>
      <c r="E361" s="143" t="str">
        <f>VLOOKUP(D361,'Danh mục hàng hóa'!$C$3:$D$643,2,0)</f>
        <v>Bao lì xì Tết tài lộc</v>
      </c>
      <c r="F361" s="144" t="str">
        <f>VLOOKUP(D361,'Danh mục hàng hóa'!$C$3:$E$656,3,0)</f>
        <v>set 6 cái</v>
      </c>
      <c r="G361" s="321">
        <f t="shared" ref="G361:G364" si="25">30800/5</f>
        <v>6160</v>
      </c>
      <c r="H361" s="317"/>
      <c r="I361" s="313">
        <v>1</v>
      </c>
      <c r="J361" s="166">
        <f t="shared" si="16"/>
        <v>0</v>
      </c>
      <c r="K361" s="168">
        <f t="shared" si="10"/>
        <v>6160</v>
      </c>
      <c r="L361" s="30"/>
      <c r="M361" s="67"/>
    </row>
    <row r="362" spans="1:13" ht="13.2">
      <c r="A362" s="146">
        <v>423</v>
      </c>
      <c r="B362" s="311" t="s">
        <v>337</v>
      </c>
      <c r="C362" s="319">
        <v>45304</v>
      </c>
      <c r="D362" s="28" t="s">
        <v>437</v>
      </c>
      <c r="E362" s="143" t="str">
        <f>VLOOKUP(D362,'Danh mục hàng hóa'!$C$3:$D$643,2,0)</f>
        <v>Bao lì xì Tết hoa</v>
      </c>
      <c r="F362" s="144" t="str">
        <f>VLOOKUP(D362,'Danh mục hàng hóa'!$C$3:$E$656,3,0)</f>
        <v>set 6 cái</v>
      </c>
      <c r="G362" s="321">
        <f t="shared" si="25"/>
        <v>6160</v>
      </c>
      <c r="H362" s="317"/>
      <c r="I362" s="313">
        <v>1</v>
      </c>
      <c r="J362" s="166">
        <f t="shared" si="16"/>
        <v>0</v>
      </c>
      <c r="K362" s="168">
        <f t="shared" si="10"/>
        <v>6160</v>
      </c>
      <c r="L362" s="30"/>
      <c r="M362" s="67"/>
    </row>
    <row r="363" spans="1:13" ht="13.2">
      <c r="A363" s="146">
        <v>424</v>
      </c>
      <c r="B363" s="311" t="s">
        <v>337</v>
      </c>
      <c r="C363" s="319">
        <v>45304</v>
      </c>
      <c r="D363" s="28" t="s">
        <v>438</v>
      </c>
      <c r="E363" s="143" t="str">
        <f>VLOOKUP(D363,'Danh mục hàng hóa'!$C$3:$D$643,2,0)</f>
        <v>Bao lì xì Tết xanh</v>
      </c>
      <c r="F363" s="144" t="str">
        <f>VLOOKUP(D363,'Danh mục hàng hóa'!$C$3:$E$656,3,0)</f>
        <v>set 6 cái</v>
      </c>
      <c r="G363" s="321">
        <f t="shared" si="25"/>
        <v>6160</v>
      </c>
      <c r="H363" s="317"/>
      <c r="I363" s="313">
        <v>1</v>
      </c>
      <c r="J363" s="166">
        <f t="shared" si="16"/>
        <v>0</v>
      </c>
      <c r="K363" s="168">
        <f t="shared" si="10"/>
        <v>6160</v>
      </c>
      <c r="L363" s="30"/>
      <c r="M363" s="67"/>
    </row>
    <row r="364" spans="1:13" ht="13.2">
      <c r="A364" s="146">
        <v>425</v>
      </c>
      <c r="B364" s="311" t="s">
        <v>337</v>
      </c>
      <c r="C364" s="319">
        <v>45304</v>
      </c>
      <c r="D364" s="28" t="s">
        <v>2145</v>
      </c>
      <c r="E364" s="143" t="str">
        <f>VLOOKUP(D364,'Danh mục hàng hóa'!$C$3:$D$643,2,0)</f>
        <v>Bao lì xì vui vẻ</v>
      </c>
      <c r="F364" s="144" t="str">
        <f>VLOOKUP(D364,'Danh mục hàng hóa'!$C$3:$E$656,3,0)</f>
        <v>set 6 cái</v>
      </c>
      <c r="G364" s="321">
        <f t="shared" si="25"/>
        <v>6160</v>
      </c>
      <c r="H364" s="317"/>
      <c r="I364" s="313">
        <v>1</v>
      </c>
      <c r="J364" s="166">
        <f t="shared" si="16"/>
        <v>0</v>
      </c>
      <c r="K364" s="168">
        <f t="shared" si="10"/>
        <v>6160</v>
      </c>
      <c r="L364" s="30"/>
      <c r="M364" s="67"/>
    </row>
    <row r="365" spans="1:13" ht="13.2">
      <c r="A365" s="146">
        <v>426</v>
      </c>
      <c r="B365" s="311" t="s">
        <v>337</v>
      </c>
      <c r="C365" s="319">
        <v>45304</v>
      </c>
      <c r="D365" s="28" t="s">
        <v>435</v>
      </c>
      <c r="E365" s="143" t="str">
        <f>VLOOKUP(D365,'Danh mục hàng hóa'!$C$3:$D$643,2,0)</f>
        <v>Bao lì xì Tết tài lộc</v>
      </c>
      <c r="F365" s="144" t="str">
        <f>VLOOKUP(D365,'Danh mục hàng hóa'!$C$3:$E$656,3,0)</f>
        <v>set 6 cái</v>
      </c>
      <c r="G365" s="321">
        <f t="shared" ref="G365:G369" si="26">61540/10</f>
        <v>6154</v>
      </c>
      <c r="H365" s="317"/>
      <c r="I365" s="313">
        <v>2</v>
      </c>
      <c r="J365" s="166">
        <f t="shared" si="16"/>
        <v>0</v>
      </c>
      <c r="K365" s="168">
        <f t="shared" si="10"/>
        <v>12308</v>
      </c>
      <c r="L365" s="30"/>
      <c r="M365" s="67"/>
    </row>
    <row r="366" spans="1:13" ht="13.2">
      <c r="A366" s="146">
        <v>427</v>
      </c>
      <c r="B366" s="311" t="s">
        <v>337</v>
      </c>
      <c r="C366" s="319">
        <v>45304</v>
      </c>
      <c r="D366" s="28" t="s">
        <v>437</v>
      </c>
      <c r="E366" s="143" t="str">
        <f>VLOOKUP(D366,'Danh mục hàng hóa'!$C$3:$D$643,2,0)</f>
        <v>Bao lì xì Tết hoa</v>
      </c>
      <c r="F366" s="144" t="str">
        <f>VLOOKUP(D366,'Danh mục hàng hóa'!$C$3:$E$656,3,0)</f>
        <v>set 6 cái</v>
      </c>
      <c r="G366" s="321">
        <f t="shared" si="26"/>
        <v>6154</v>
      </c>
      <c r="H366" s="317"/>
      <c r="I366" s="313">
        <v>2</v>
      </c>
      <c r="J366" s="166">
        <f t="shared" si="16"/>
        <v>0</v>
      </c>
      <c r="K366" s="168">
        <f t="shared" si="10"/>
        <v>12308</v>
      </c>
      <c r="L366" s="30"/>
      <c r="M366" s="67"/>
    </row>
    <row r="367" spans="1:13" ht="13.2">
      <c r="A367" s="146">
        <v>428</v>
      </c>
      <c r="B367" s="311" t="s">
        <v>337</v>
      </c>
      <c r="C367" s="319">
        <v>45304</v>
      </c>
      <c r="D367" s="28" t="s">
        <v>438</v>
      </c>
      <c r="E367" s="143" t="str">
        <f>VLOOKUP(D367,'Danh mục hàng hóa'!$C$3:$D$643,2,0)</f>
        <v>Bao lì xì Tết xanh</v>
      </c>
      <c r="F367" s="144" t="str">
        <f>VLOOKUP(D367,'Danh mục hàng hóa'!$C$3:$E$656,3,0)</f>
        <v>set 6 cái</v>
      </c>
      <c r="G367" s="321">
        <f t="shared" si="26"/>
        <v>6154</v>
      </c>
      <c r="H367" s="317"/>
      <c r="I367" s="313">
        <v>2</v>
      </c>
      <c r="J367" s="166">
        <f t="shared" si="16"/>
        <v>0</v>
      </c>
      <c r="K367" s="168">
        <f t="shared" si="10"/>
        <v>12308</v>
      </c>
      <c r="L367" s="30"/>
      <c r="M367" s="67"/>
    </row>
    <row r="368" spans="1:13" ht="13.2">
      <c r="A368" s="146">
        <v>429</v>
      </c>
      <c r="B368" s="311" t="s">
        <v>337</v>
      </c>
      <c r="C368" s="319">
        <v>45304</v>
      </c>
      <c r="D368" s="28" t="s">
        <v>2145</v>
      </c>
      <c r="E368" s="143" t="str">
        <f>VLOOKUP(D368,'Danh mục hàng hóa'!$C$3:$D$643,2,0)</f>
        <v>Bao lì xì vui vẻ</v>
      </c>
      <c r="F368" s="144" t="str">
        <f>VLOOKUP(D368,'Danh mục hàng hóa'!$C$3:$E$656,3,0)</f>
        <v>set 6 cái</v>
      </c>
      <c r="G368" s="321">
        <f t="shared" si="26"/>
        <v>6154</v>
      </c>
      <c r="H368" s="317"/>
      <c r="I368" s="313">
        <v>2</v>
      </c>
      <c r="J368" s="166">
        <f t="shared" si="16"/>
        <v>0</v>
      </c>
      <c r="K368" s="168">
        <f t="shared" si="10"/>
        <v>12308</v>
      </c>
      <c r="L368" s="30"/>
      <c r="M368" s="67"/>
    </row>
    <row r="369" spans="1:13" ht="13.2">
      <c r="A369" s="146">
        <v>430</v>
      </c>
      <c r="B369" s="311" t="s">
        <v>337</v>
      </c>
      <c r="C369" s="319">
        <v>45304</v>
      </c>
      <c r="D369" s="28" t="s">
        <v>2146</v>
      </c>
      <c r="E369" s="143" t="str">
        <f>VLOOKUP(D369,'Danh mục hàng hóa'!$C$3:$D$643,2,0)</f>
        <v>Bao lì xì ngộ nghĩnh</v>
      </c>
      <c r="F369" s="144" t="str">
        <f>VLOOKUP(D369,'Danh mục hàng hóa'!$C$3:$E$656,3,0)</f>
        <v>set 6 cái</v>
      </c>
      <c r="G369" s="321">
        <f t="shared" si="26"/>
        <v>6154</v>
      </c>
      <c r="H369" s="317"/>
      <c r="I369" s="313">
        <v>2</v>
      </c>
      <c r="J369" s="166">
        <f t="shared" si="16"/>
        <v>0</v>
      </c>
      <c r="K369" s="168">
        <f t="shared" si="10"/>
        <v>12308</v>
      </c>
      <c r="L369" s="30"/>
      <c r="M369" s="67"/>
    </row>
    <row r="370" spans="1:13" ht="13.2">
      <c r="A370" s="146">
        <v>431</v>
      </c>
      <c r="B370" s="311" t="s">
        <v>337</v>
      </c>
      <c r="C370" s="319">
        <v>45305</v>
      </c>
      <c r="D370" s="28" t="s">
        <v>435</v>
      </c>
      <c r="E370" s="143" t="str">
        <f>VLOOKUP(D370,'Danh mục hàng hóa'!$C$3:$D$643,2,0)</f>
        <v>Bao lì xì Tết tài lộc</v>
      </c>
      <c r="F370" s="144" t="str">
        <f>VLOOKUP(D370,'Danh mục hàng hóa'!$C$3:$E$656,3,0)</f>
        <v>set 6 cái</v>
      </c>
      <c r="G370" s="321">
        <f t="shared" ref="G370:G374" si="27">30660/5</f>
        <v>6132</v>
      </c>
      <c r="H370" s="317"/>
      <c r="I370" s="313">
        <v>1</v>
      </c>
      <c r="J370" s="166">
        <f t="shared" si="16"/>
        <v>0</v>
      </c>
      <c r="K370" s="168">
        <f t="shared" si="10"/>
        <v>6132</v>
      </c>
      <c r="L370" s="30"/>
      <c r="M370" s="67"/>
    </row>
    <row r="371" spans="1:13" ht="13.2">
      <c r="A371" s="146">
        <v>432</v>
      </c>
      <c r="B371" s="311" t="s">
        <v>337</v>
      </c>
      <c r="C371" s="319">
        <v>45305</v>
      </c>
      <c r="D371" s="28" t="s">
        <v>437</v>
      </c>
      <c r="E371" s="143" t="str">
        <f>VLOOKUP(D371,'Danh mục hàng hóa'!$C$3:$D$643,2,0)</f>
        <v>Bao lì xì Tết hoa</v>
      </c>
      <c r="F371" s="144" t="str">
        <f>VLOOKUP(D371,'Danh mục hàng hóa'!$C$3:$E$656,3,0)</f>
        <v>set 6 cái</v>
      </c>
      <c r="G371" s="321">
        <f t="shared" si="27"/>
        <v>6132</v>
      </c>
      <c r="H371" s="317"/>
      <c r="I371" s="313">
        <v>1</v>
      </c>
      <c r="J371" s="166">
        <f t="shared" si="16"/>
        <v>0</v>
      </c>
      <c r="K371" s="168">
        <f t="shared" si="10"/>
        <v>6132</v>
      </c>
      <c r="L371" s="30"/>
      <c r="M371" s="67"/>
    </row>
    <row r="372" spans="1:13" ht="13.2">
      <c r="A372" s="146">
        <v>433</v>
      </c>
      <c r="B372" s="311" t="s">
        <v>337</v>
      </c>
      <c r="C372" s="319">
        <v>45305</v>
      </c>
      <c r="D372" s="28" t="s">
        <v>438</v>
      </c>
      <c r="E372" s="143" t="str">
        <f>VLOOKUP(D372,'Danh mục hàng hóa'!$C$3:$D$643,2,0)</f>
        <v>Bao lì xì Tết xanh</v>
      </c>
      <c r="F372" s="144" t="str">
        <f>VLOOKUP(D372,'Danh mục hàng hóa'!$C$3:$E$656,3,0)</f>
        <v>set 6 cái</v>
      </c>
      <c r="G372" s="321">
        <f t="shared" si="27"/>
        <v>6132</v>
      </c>
      <c r="H372" s="317"/>
      <c r="I372" s="313">
        <v>1</v>
      </c>
      <c r="J372" s="166">
        <f t="shared" si="16"/>
        <v>0</v>
      </c>
      <c r="K372" s="168">
        <f t="shared" si="10"/>
        <v>6132</v>
      </c>
      <c r="L372" s="30"/>
      <c r="M372" s="67"/>
    </row>
    <row r="373" spans="1:13" ht="13.2">
      <c r="A373" s="146">
        <v>434</v>
      </c>
      <c r="B373" s="311" t="s">
        <v>337</v>
      </c>
      <c r="C373" s="319">
        <v>45305</v>
      </c>
      <c r="D373" s="28" t="s">
        <v>2145</v>
      </c>
      <c r="E373" s="143" t="str">
        <f>VLOOKUP(D373,'Danh mục hàng hóa'!$C$3:$D$643,2,0)</f>
        <v>Bao lì xì vui vẻ</v>
      </c>
      <c r="F373" s="144" t="str">
        <f>VLOOKUP(D373,'Danh mục hàng hóa'!$C$3:$E$656,3,0)</f>
        <v>set 6 cái</v>
      </c>
      <c r="G373" s="321">
        <f t="shared" si="27"/>
        <v>6132</v>
      </c>
      <c r="H373" s="317"/>
      <c r="I373" s="313">
        <v>1</v>
      </c>
      <c r="J373" s="166">
        <f t="shared" si="16"/>
        <v>0</v>
      </c>
      <c r="K373" s="168">
        <f t="shared" si="10"/>
        <v>6132</v>
      </c>
      <c r="L373" s="30"/>
      <c r="M373" s="67"/>
    </row>
    <row r="374" spans="1:13" ht="13.2">
      <c r="A374" s="146">
        <v>435</v>
      </c>
      <c r="B374" s="311" t="s">
        <v>337</v>
      </c>
      <c r="C374" s="319">
        <v>45305</v>
      </c>
      <c r="D374" s="28" t="s">
        <v>2146</v>
      </c>
      <c r="E374" s="143" t="str">
        <f>VLOOKUP(D374,'Danh mục hàng hóa'!$C$3:$D$643,2,0)</f>
        <v>Bao lì xì ngộ nghĩnh</v>
      </c>
      <c r="F374" s="144" t="str">
        <f>VLOOKUP(D374,'Danh mục hàng hóa'!$C$3:$E$656,3,0)</f>
        <v>set 6 cái</v>
      </c>
      <c r="G374" s="321">
        <f t="shared" si="27"/>
        <v>6132</v>
      </c>
      <c r="H374" s="317"/>
      <c r="I374" s="313">
        <v>1</v>
      </c>
      <c r="J374" s="166">
        <f t="shared" si="16"/>
        <v>0</v>
      </c>
      <c r="K374" s="168">
        <f t="shared" si="10"/>
        <v>6132</v>
      </c>
      <c r="L374" s="30"/>
      <c r="M374" s="67"/>
    </row>
    <row r="375" spans="1:13" ht="13.2">
      <c r="A375" s="146">
        <v>436</v>
      </c>
      <c r="B375" s="311" t="s">
        <v>337</v>
      </c>
      <c r="C375" s="319">
        <v>45305</v>
      </c>
      <c r="D375" s="28" t="s">
        <v>435</v>
      </c>
      <c r="E375" s="143" t="str">
        <f>VLOOKUP(D375,'Danh mục hàng hóa'!$C$3:$D$643,2,0)</f>
        <v>Bao lì xì Tết tài lộc</v>
      </c>
      <c r="F375" s="144" t="str">
        <f>VLOOKUP(D375,'Danh mục hàng hóa'!$C$3:$E$656,3,0)</f>
        <v>set 6 cái</v>
      </c>
      <c r="G375" s="321">
        <f t="shared" ref="G375:G379" si="28">30800/5</f>
        <v>6160</v>
      </c>
      <c r="H375" s="317"/>
      <c r="I375" s="313">
        <v>1</v>
      </c>
      <c r="J375" s="166">
        <f t="shared" si="16"/>
        <v>0</v>
      </c>
      <c r="K375" s="168">
        <f t="shared" si="10"/>
        <v>6160</v>
      </c>
      <c r="L375" s="30"/>
      <c r="M375" s="67"/>
    </row>
    <row r="376" spans="1:13" ht="13.2">
      <c r="A376" s="146">
        <v>437</v>
      </c>
      <c r="B376" s="311" t="s">
        <v>337</v>
      </c>
      <c r="C376" s="319">
        <v>45305</v>
      </c>
      <c r="D376" s="28" t="s">
        <v>437</v>
      </c>
      <c r="E376" s="143" t="str">
        <f>VLOOKUP(D376,'Danh mục hàng hóa'!$C$3:$D$643,2,0)</f>
        <v>Bao lì xì Tết hoa</v>
      </c>
      <c r="F376" s="144" t="str">
        <f>VLOOKUP(D376,'Danh mục hàng hóa'!$C$3:$E$656,3,0)</f>
        <v>set 6 cái</v>
      </c>
      <c r="G376" s="321">
        <f t="shared" si="28"/>
        <v>6160</v>
      </c>
      <c r="H376" s="317"/>
      <c r="I376" s="313">
        <v>1</v>
      </c>
      <c r="J376" s="166">
        <f t="shared" si="16"/>
        <v>0</v>
      </c>
      <c r="K376" s="168">
        <f t="shared" si="10"/>
        <v>6160</v>
      </c>
      <c r="L376" s="30"/>
      <c r="M376" s="67"/>
    </row>
    <row r="377" spans="1:13" ht="13.2">
      <c r="A377" s="146">
        <v>438</v>
      </c>
      <c r="B377" s="311" t="s">
        <v>337</v>
      </c>
      <c r="C377" s="319">
        <v>45305</v>
      </c>
      <c r="D377" s="28" t="s">
        <v>438</v>
      </c>
      <c r="E377" s="143" t="str">
        <f>VLOOKUP(D377,'Danh mục hàng hóa'!$C$3:$D$643,2,0)</f>
        <v>Bao lì xì Tết xanh</v>
      </c>
      <c r="F377" s="144" t="str">
        <f>VLOOKUP(D377,'Danh mục hàng hóa'!$C$3:$E$656,3,0)</f>
        <v>set 6 cái</v>
      </c>
      <c r="G377" s="321">
        <f t="shared" si="28"/>
        <v>6160</v>
      </c>
      <c r="H377" s="317"/>
      <c r="I377" s="313">
        <v>1</v>
      </c>
      <c r="J377" s="166">
        <f t="shared" si="16"/>
        <v>0</v>
      </c>
      <c r="K377" s="168">
        <f t="shared" si="10"/>
        <v>6160</v>
      </c>
      <c r="L377" s="30"/>
      <c r="M377" s="67"/>
    </row>
    <row r="378" spans="1:13" ht="13.2">
      <c r="A378" s="146">
        <v>439</v>
      </c>
      <c r="B378" s="311" t="s">
        <v>337</v>
      </c>
      <c r="C378" s="319">
        <v>45305</v>
      </c>
      <c r="D378" s="28" t="s">
        <v>2145</v>
      </c>
      <c r="E378" s="143" t="str">
        <f>VLOOKUP(D378,'Danh mục hàng hóa'!$C$3:$D$643,2,0)</f>
        <v>Bao lì xì vui vẻ</v>
      </c>
      <c r="F378" s="144" t="str">
        <f>VLOOKUP(D378,'Danh mục hàng hóa'!$C$3:$E$656,3,0)</f>
        <v>set 6 cái</v>
      </c>
      <c r="G378" s="321">
        <f t="shared" si="28"/>
        <v>6160</v>
      </c>
      <c r="H378" s="317"/>
      <c r="I378" s="313">
        <v>1</v>
      </c>
      <c r="J378" s="166">
        <f t="shared" si="16"/>
        <v>0</v>
      </c>
      <c r="K378" s="168">
        <f t="shared" si="10"/>
        <v>6160</v>
      </c>
      <c r="L378" s="30"/>
      <c r="M378" s="67"/>
    </row>
    <row r="379" spans="1:13" ht="13.2">
      <c r="A379" s="146">
        <v>440</v>
      </c>
      <c r="B379" s="311" t="s">
        <v>337</v>
      </c>
      <c r="C379" s="319">
        <v>45305</v>
      </c>
      <c r="D379" s="28" t="s">
        <v>2146</v>
      </c>
      <c r="E379" s="143" t="str">
        <f>VLOOKUP(D379,'Danh mục hàng hóa'!$C$3:$D$643,2,0)</f>
        <v>Bao lì xì ngộ nghĩnh</v>
      </c>
      <c r="F379" s="144" t="str">
        <f>VLOOKUP(D379,'Danh mục hàng hóa'!$C$3:$E$656,3,0)</f>
        <v>set 6 cái</v>
      </c>
      <c r="G379" s="321">
        <f t="shared" si="28"/>
        <v>6160</v>
      </c>
      <c r="H379" s="317"/>
      <c r="I379" s="313">
        <v>1</v>
      </c>
      <c r="J379" s="166">
        <f t="shared" si="16"/>
        <v>0</v>
      </c>
      <c r="K379" s="168">
        <f t="shared" si="10"/>
        <v>6160</v>
      </c>
      <c r="L379" s="30"/>
      <c r="M379" s="67"/>
    </row>
    <row r="380" spans="1:13" ht="13.2">
      <c r="A380" s="146">
        <v>441</v>
      </c>
      <c r="B380" s="311" t="s">
        <v>337</v>
      </c>
      <c r="C380" s="319">
        <v>45305</v>
      </c>
      <c r="D380" s="28" t="s">
        <v>2146</v>
      </c>
      <c r="E380" s="143" t="str">
        <f>VLOOKUP(D380,'Danh mục hàng hóa'!$C$3:$D$643,2,0)</f>
        <v>Bao lì xì ngộ nghĩnh</v>
      </c>
      <c r="F380" s="144" t="str">
        <f>VLOOKUP(D380,'Danh mục hàng hóa'!$C$3:$E$656,3,0)</f>
        <v>set 6 cái</v>
      </c>
      <c r="G380" s="321">
        <f>29580/4</f>
        <v>7395</v>
      </c>
      <c r="H380" s="317"/>
      <c r="I380" s="313">
        <v>4</v>
      </c>
      <c r="J380" s="166">
        <f t="shared" si="16"/>
        <v>0</v>
      </c>
      <c r="K380" s="168">
        <f t="shared" si="10"/>
        <v>29580</v>
      </c>
      <c r="L380" s="30"/>
      <c r="M380" s="67"/>
    </row>
    <row r="381" spans="1:13" ht="13.2">
      <c r="A381" s="146">
        <v>442</v>
      </c>
      <c r="B381" s="311" t="s">
        <v>337</v>
      </c>
      <c r="C381" s="319">
        <v>45305</v>
      </c>
      <c r="D381" s="28" t="s">
        <v>405</v>
      </c>
      <c r="E381" s="143" t="str">
        <f>VLOOKUP(D381,'Danh mục hàng hóa'!$C$3:$D$643,2,0)</f>
        <v>Túi chườm bụng dâu xanh nhạt 1000ml</v>
      </c>
      <c r="F381" s="144" t="str">
        <f>VLOOKUP(D381,'Danh mục hàng hóa'!$C$3:$E$656,3,0)</f>
        <v>túi</v>
      </c>
      <c r="G381" s="320">
        <v>81868</v>
      </c>
      <c r="H381" s="317"/>
      <c r="I381" s="313">
        <v>1</v>
      </c>
      <c r="J381" s="166">
        <f t="shared" si="16"/>
        <v>0</v>
      </c>
      <c r="K381" s="168">
        <f t="shared" si="10"/>
        <v>81868</v>
      </c>
      <c r="L381" s="30"/>
      <c r="M381" s="67"/>
    </row>
    <row r="382" spans="1:13" ht="13.2">
      <c r="A382" s="146">
        <v>443</v>
      </c>
      <c r="B382" s="311" t="s">
        <v>337</v>
      </c>
      <c r="C382" s="319">
        <v>45306</v>
      </c>
      <c r="D382" s="28" t="s">
        <v>431</v>
      </c>
      <c r="E382" s="143" t="str">
        <f>VLOOKUP(D382,'Danh mục hàng hóa'!$C$3:$D$643,2,0)</f>
        <v>Bao lì xì rồng con</v>
      </c>
      <c r="F382" s="144" t="str">
        <f>VLOOKUP(D382,'Danh mục hàng hóa'!$C$3:$E$656,3,0)</f>
        <v>túi 4 cái</v>
      </c>
      <c r="G382" s="320">
        <v>7000</v>
      </c>
      <c r="H382" s="317"/>
      <c r="I382" s="313">
        <v>1</v>
      </c>
      <c r="J382" s="166">
        <f t="shared" si="16"/>
        <v>0</v>
      </c>
      <c r="K382" s="168">
        <f t="shared" si="10"/>
        <v>7000</v>
      </c>
      <c r="L382" s="30"/>
      <c r="M382" s="67"/>
    </row>
    <row r="383" spans="1:13" ht="13.2">
      <c r="A383" s="146">
        <v>444</v>
      </c>
      <c r="B383" s="311" t="s">
        <v>337</v>
      </c>
      <c r="C383" s="319">
        <v>45306</v>
      </c>
      <c r="D383" s="28" t="s">
        <v>438</v>
      </c>
      <c r="E383" s="143" t="str">
        <f>VLOOKUP(D383,'Danh mục hàng hóa'!$C$3:$D$643,2,0)</f>
        <v>Bao lì xì Tết xanh</v>
      </c>
      <c r="F383" s="144" t="str">
        <f>VLOOKUP(D383,'Danh mục hàng hóa'!$C$3:$E$656,3,0)</f>
        <v>set 6 cái</v>
      </c>
      <c r="G383" s="320">
        <v>7000</v>
      </c>
      <c r="H383" s="317"/>
      <c r="I383" s="313">
        <v>2</v>
      </c>
      <c r="J383" s="166">
        <f t="shared" si="16"/>
        <v>0</v>
      </c>
      <c r="K383" s="168">
        <f t="shared" si="10"/>
        <v>14000</v>
      </c>
      <c r="L383" s="30"/>
      <c r="M383" s="67"/>
    </row>
    <row r="384" spans="1:13" ht="13.2">
      <c r="A384" s="146">
        <v>445</v>
      </c>
      <c r="B384" s="311" t="s">
        <v>337</v>
      </c>
      <c r="C384" s="319">
        <v>45306</v>
      </c>
      <c r="D384" s="28" t="s">
        <v>439</v>
      </c>
      <c r="E384" s="143" t="str">
        <f>VLOOKUP(D384,'Danh mục hàng hóa'!$C$3:$D$643,2,0)</f>
        <v>Bao lì xì vui vẻ</v>
      </c>
      <c r="F384" s="144" t="str">
        <f>VLOOKUP(D384,'Danh mục hàng hóa'!$C$3:$E$656,3,0)</f>
        <v>set 6 cái</v>
      </c>
      <c r="G384" s="320">
        <v>7000</v>
      </c>
      <c r="H384" s="317"/>
      <c r="I384" s="313">
        <v>2</v>
      </c>
      <c r="J384" s="166">
        <f t="shared" si="16"/>
        <v>0</v>
      </c>
      <c r="K384" s="168">
        <f t="shared" si="10"/>
        <v>14000</v>
      </c>
      <c r="L384" s="30"/>
      <c r="M384" s="67"/>
    </row>
    <row r="385" spans="1:13" ht="13.2">
      <c r="A385" s="146">
        <v>446</v>
      </c>
      <c r="B385" s="311" t="s">
        <v>337</v>
      </c>
      <c r="C385" s="319">
        <v>45306</v>
      </c>
      <c r="D385" s="28" t="s">
        <v>560</v>
      </c>
      <c r="E385" s="143" t="str">
        <f>VLOOKUP(D385,'Danh mục hàng hóa'!$C$3:$D$643,2,0)</f>
        <v>Ống 50 dây cột tóc nhiều màu</v>
      </c>
      <c r="F385" s="144" t="str">
        <f>VLOOKUP(D385,'Danh mục hàng hóa'!$C$3:$E$656,3,0)</f>
        <v>ống</v>
      </c>
      <c r="G385" s="321">
        <f>53680-35000</f>
        <v>18680</v>
      </c>
      <c r="H385" s="317"/>
      <c r="I385" s="313">
        <v>1</v>
      </c>
      <c r="J385" s="166">
        <f t="shared" si="16"/>
        <v>0</v>
      </c>
      <c r="K385" s="168">
        <f t="shared" si="10"/>
        <v>18680</v>
      </c>
      <c r="L385" s="30"/>
      <c r="M385" s="67"/>
    </row>
    <row r="386" spans="1:13" ht="13.2">
      <c r="A386" s="146">
        <v>447</v>
      </c>
      <c r="B386" s="311" t="s">
        <v>337</v>
      </c>
      <c r="C386" s="319">
        <v>45306</v>
      </c>
      <c r="D386" s="28" t="s">
        <v>435</v>
      </c>
      <c r="E386" s="143" t="str">
        <f>VLOOKUP(D386,'Danh mục hàng hóa'!$C$3:$D$643,2,0)</f>
        <v>Bao lì xì Tết tài lộc</v>
      </c>
      <c r="F386" s="144" t="str">
        <f>VLOOKUP(D386,'Danh mục hàng hóa'!$C$3:$E$656,3,0)</f>
        <v>set 6 cái</v>
      </c>
      <c r="G386" s="320">
        <v>6154</v>
      </c>
      <c r="H386" s="317"/>
      <c r="I386" s="313">
        <v>2</v>
      </c>
      <c r="J386" s="166">
        <f t="shared" si="16"/>
        <v>0</v>
      </c>
      <c r="K386" s="168">
        <f t="shared" si="10"/>
        <v>12308</v>
      </c>
      <c r="L386" s="30"/>
      <c r="M386" s="67"/>
    </row>
    <row r="387" spans="1:13" ht="13.2">
      <c r="A387" s="146">
        <v>448</v>
      </c>
      <c r="B387" s="311" t="s">
        <v>337</v>
      </c>
      <c r="C387" s="319">
        <v>45306</v>
      </c>
      <c r="D387" s="28" t="s">
        <v>437</v>
      </c>
      <c r="E387" s="143" t="str">
        <f>VLOOKUP(D387,'Danh mục hàng hóa'!$C$3:$D$643,2,0)</f>
        <v>Bao lì xì Tết hoa</v>
      </c>
      <c r="F387" s="144" t="str">
        <f>VLOOKUP(D387,'Danh mục hàng hóa'!$C$3:$E$656,3,0)</f>
        <v>set 6 cái</v>
      </c>
      <c r="G387" s="320">
        <v>6154</v>
      </c>
      <c r="H387" s="317"/>
      <c r="I387" s="313">
        <v>2</v>
      </c>
      <c r="J387" s="166">
        <f t="shared" si="16"/>
        <v>0</v>
      </c>
      <c r="K387" s="168">
        <f t="shared" si="10"/>
        <v>12308</v>
      </c>
      <c r="L387" s="30"/>
      <c r="M387" s="67"/>
    </row>
    <row r="388" spans="1:13" ht="13.2">
      <c r="A388" s="146">
        <v>449</v>
      </c>
      <c r="B388" s="311" t="s">
        <v>337</v>
      </c>
      <c r="C388" s="319">
        <v>45306</v>
      </c>
      <c r="D388" s="28" t="s">
        <v>438</v>
      </c>
      <c r="E388" s="143" t="str">
        <f>VLOOKUP(D388,'Danh mục hàng hóa'!$C$3:$D$643,2,0)</f>
        <v>Bao lì xì Tết xanh</v>
      </c>
      <c r="F388" s="144" t="str">
        <f>VLOOKUP(D388,'Danh mục hàng hóa'!$C$3:$E$656,3,0)</f>
        <v>set 6 cái</v>
      </c>
      <c r="G388" s="320">
        <v>6154</v>
      </c>
      <c r="H388" s="317"/>
      <c r="I388" s="313">
        <v>2</v>
      </c>
      <c r="J388" s="166">
        <f t="shared" si="16"/>
        <v>0</v>
      </c>
      <c r="K388" s="168">
        <f t="shared" si="10"/>
        <v>12308</v>
      </c>
      <c r="L388" s="30"/>
      <c r="M388" s="67"/>
    </row>
    <row r="389" spans="1:13" ht="13.2">
      <c r="A389" s="146">
        <v>450</v>
      </c>
      <c r="B389" s="311" t="s">
        <v>337</v>
      </c>
      <c r="C389" s="319">
        <v>45306</v>
      </c>
      <c r="D389" s="28" t="s">
        <v>2145</v>
      </c>
      <c r="E389" s="143" t="str">
        <f>VLOOKUP(D389,'Danh mục hàng hóa'!$C$3:$D$643,2,0)</f>
        <v>Bao lì xì vui vẻ</v>
      </c>
      <c r="F389" s="144" t="str">
        <f>VLOOKUP(D389,'Danh mục hàng hóa'!$C$3:$E$656,3,0)</f>
        <v>set 6 cái</v>
      </c>
      <c r="G389" s="320">
        <v>6154</v>
      </c>
      <c r="H389" s="317"/>
      <c r="I389" s="313">
        <v>2</v>
      </c>
      <c r="J389" s="166">
        <f t="shared" si="16"/>
        <v>0</v>
      </c>
      <c r="K389" s="168">
        <f t="shared" si="10"/>
        <v>12308</v>
      </c>
      <c r="L389" s="30"/>
      <c r="M389" s="67"/>
    </row>
    <row r="390" spans="1:13" ht="13.2">
      <c r="A390" s="146">
        <v>451</v>
      </c>
      <c r="B390" s="311" t="s">
        <v>337</v>
      </c>
      <c r="C390" s="319">
        <v>45306</v>
      </c>
      <c r="D390" s="28" t="s">
        <v>2146</v>
      </c>
      <c r="E390" s="143" t="str">
        <f>VLOOKUP(D390,'Danh mục hàng hóa'!$C$3:$D$643,2,0)</f>
        <v>Bao lì xì ngộ nghĩnh</v>
      </c>
      <c r="F390" s="144" t="str">
        <f>VLOOKUP(D390,'Danh mục hàng hóa'!$C$3:$E$656,3,0)</f>
        <v>set 6 cái</v>
      </c>
      <c r="G390" s="320">
        <v>6154</v>
      </c>
      <c r="H390" s="317"/>
      <c r="I390" s="313">
        <v>2</v>
      </c>
      <c r="J390" s="166">
        <f t="shared" si="16"/>
        <v>0</v>
      </c>
      <c r="K390" s="168">
        <f t="shared" si="10"/>
        <v>12308</v>
      </c>
      <c r="L390" s="30"/>
      <c r="M390" s="67"/>
    </row>
    <row r="391" spans="1:13" ht="13.2">
      <c r="A391" s="146">
        <v>452</v>
      </c>
      <c r="B391" s="311" t="s">
        <v>337</v>
      </c>
      <c r="C391" s="319">
        <v>45306</v>
      </c>
      <c r="D391" s="28" t="s">
        <v>435</v>
      </c>
      <c r="E391" s="143" t="str">
        <f>VLOOKUP(D391,'Danh mục hàng hóa'!$C$3:$D$643,2,0)</f>
        <v>Bao lì xì Tết tài lộc</v>
      </c>
      <c r="F391" s="144" t="str">
        <f>VLOOKUP(D391,'Danh mục hàng hóa'!$C$3:$E$656,3,0)</f>
        <v>set 6 cái</v>
      </c>
      <c r="G391" s="321">
        <f t="shared" ref="G391:G395" si="29">30740/5</f>
        <v>6148</v>
      </c>
      <c r="H391" s="317"/>
      <c r="I391" s="313">
        <v>1</v>
      </c>
      <c r="J391" s="166">
        <f t="shared" si="16"/>
        <v>0</v>
      </c>
      <c r="K391" s="168">
        <f t="shared" si="10"/>
        <v>6148</v>
      </c>
      <c r="L391" s="30"/>
      <c r="M391" s="67"/>
    </row>
    <row r="392" spans="1:13" ht="13.2">
      <c r="A392" s="146">
        <v>453</v>
      </c>
      <c r="B392" s="311" t="s">
        <v>337</v>
      </c>
      <c r="C392" s="319">
        <v>45306</v>
      </c>
      <c r="D392" s="28" t="s">
        <v>437</v>
      </c>
      <c r="E392" s="143" t="str">
        <f>VLOOKUP(D392,'Danh mục hàng hóa'!$C$3:$D$643,2,0)</f>
        <v>Bao lì xì Tết hoa</v>
      </c>
      <c r="F392" s="144" t="str">
        <f>VLOOKUP(D392,'Danh mục hàng hóa'!$C$3:$E$656,3,0)</f>
        <v>set 6 cái</v>
      </c>
      <c r="G392" s="321">
        <f t="shared" si="29"/>
        <v>6148</v>
      </c>
      <c r="H392" s="317"/>
      <c r="I392" s="313">
        <v>1</v>
      </c>
      <c r="J392" s="166">
        <f t="shared" si="16"/>
        <v>0</v>
      </c>
      <c r="K392" s="168">
        <f t="shared" si="10"/>
        <v>6148</v>
      </c>
      <c r="L392" s="30"/>
      <c r="M392" s="67"/>
    </row>
    <row r="393" spans="1:13" ht="13.2">
      <c r="A393" s="146">
        <v>454</v>
      </c>
      <c r="B393" s="311" t="s">
        <v>337</v>
      </c>
      <c r="C393" s="319">
        <v>45306</v>
      </c>
      <c r="D393" s="28" t="s">
        <v>438</v>
      </c>
      <c r="E393" s="143" t="str">
        <f>VLOOKUP(D393,'Danh mục hàng hóa'!$C$3:$D$643,2,0)</f>
        <v>Bao lì xì Tết xanh</v>
      </c>
      <c r="F393" s="144" t="str">
        <f>VLOOKUP(D393,'Danh mục hàng hóa'!$C$3:$E$656,3,0)</f>
        <v>set 6 cái</v>
      </c>
      <c r="G393" s="321">
        <f t="shared" si="29"/>
        <v>6148</v>
      </c>
      <c r="H393" s="317"/>
      <c r="I393" s="313">
        <v>1</v>
      </c>
      <c r="J393" s="166">
        <f t="shared" si="16"/>
        <v>0</v>
      </c>
      <c r="K393" s="168">
        <f t="shared" si="10"/>
        <v>6148</v>
      </c>
      <c r="L393" s="30"/>
      <c r="M393" s="67"/>
    </row>
    <row r="394" spans="1:13" ht="13.2">
      <c r="A394" s="146">
        <v>455</v>
      </c>
      <c r="B394" s="311" t="s">
        <v>337</v>
      </c>
      <c r="C394" s="319">
        <v>45306</v>
      </c>
      <c r="D394" s="28" t="s">
        <v>2145</v>
      </c>
      <c r="E394" s="143" t="str">
        <f>VLOOKUP(D394,'Danh mục hàng hóa'!$C$3:$D$643,2,0)</f>
        <v>Bao lì xì vui vẻ</v>
      </c>
      <c r="F394" s="144" t="str">
        <f>VLOOKUP(D394,'Danh mục hàng hóa'!$C$3:$E$656,3,0)</f>
        <v>set 6 cái</v>
      </c>
      <c r="G394" s="321">
        <f t="shared" si="29"/>
        <v>6148</v>
      </c>
      <c r="H394" s="317"/>
      <c r="I394" s="313">
        <v>1</v>
      </c>
      <c r="J394" s="166">
        <f t="shared" si="16"/>
        <v>0</v>
      </c>
      <c r="K394" s="168">
        <f t="shared" si="10"/>
        <v>6148</v>
      </c>
      <c r="L394" s="30"/>
      <c r="M394" s="67"/>
    </row>
    <row r="395" spans="1:13" ht="13.2">
      <c r="A395" s="146">
        <v>456</v>
      </c>
      <c r="B395" s="311" t="s">
        <v>337</v>
      </c>
      <c r="C395" s="319">
        <v>45306</v>
      </c>
      <c r="D395" s="28" t="s">
        <v>2146</v>
      </c>
      <c r="E395" s="143" t="str">
        <f>VLOOKUP(D395,'Danh mục hàng hóa'!$C$3:$D$643,2,0)</f>
        <v>Bao lì xì ngộ nghĩnh</v>
      </c>
      <c r="F395" s="144" t="str">
        <f>VLOOKUP(D395,'Danh mục hàng hóa'!$C$3:$E$656,3,0)</f>
        <v>set 6 cái</v>
      </c>
      <c r="G395" s="321">
        <f t="shared" si="29"/>
        <v>6148</v>
      </c>
      <c r="H395" s="317"/>
      <c r="I395" s="313">
        <v>1</v>
      </c>
      <c r="J395" s="166">
        <f t="shared" si="16"/>
        <v>0</v>
      </c>
      <c r="K395" s="168">
        <f t="shared" si="10"/>
        <v>6148</v>
      </c>
      <c r="L395" s="30"/>
      <c r="M395" s="67"/>
    </row>
    <row r="396" spans="1:13" ht="13.2">
      <c r="A396" s="146">
        <v>457</v>
      </c>
      <c r="B396" s="311" t="s">
        <v>337</v>
      </c>
      <c r="C396" s="319">
        <v>45306</v>
      </c>
      <c r="D396" s="28" t="s">
        <v>435</v>
      </c>
      <c r="E396" s="143" t="str">
        <f>VLOOKUP(D396,'Danh mục hàng hóa'!$C$3:$D$643,2,0)</f>
        <v>Bao lì xì Tết tài lộc</v>
      </c>
      <c r="F396" s="144" t="str">
        <f>VLOOKUP(D396,'Danh mục hàng hóa'!$C$3:$E$656,3,0)</f>
        <v>set 6 cái</v>
      </c>
      <c r="G396" s="321">
        <f t="shared" ref="G396:G400" si="30">36884/6</f>
        <v>6147.333333333333</v>
      </c>
      <c r="H396" s="317"/>
      <c r="I396" s="313">
        <v>1</v>
      </c>
      <c r="J396" s="166">
        <f t="shared" si="16"/>
        <v>0</v>
      </c>
      <c r="K396" s="168">
        <f t="shared" si="10"/>
        <v>6147.333333333333</v>
      </c>
      <c r="L396" s="30"/>
      <c r="M396" s="67"/>
    </row>
    <row r="397" spans="1:13" ht="13.2">
      <c r="A397" s="146">
        <v>458</v>
      </c>
      <c r="B397" s="311" t="s">
        <v>337</v>
      </c>
      <c r="C397" s="319">
        <v>45306</v>
      </c>
      <c r="D397" s="28" t="s">
        <v>437</v>
      </c>
      <c r="E397" s="143" t="str">
        <f>VLOOKUP(D397,'Danh mục hàng hóa'!$C$3:$D$643,2,0)</f>
        <v>Bao lì xì Tết hoa</v>
      </c>
      <c r="F397" s="144" t="str">
        <f>VLOOKUP(D397,'Danh mục hàng hóa'!$C$3:$E$656,3,0)</f>
        <v>set 6 cái</v>
      </c>
      <c r="G397" s="321">
        <f t="shared" si="30"/>
        <v>6147.333333333333</v>
      </c>
      <c r="H397" s="317"/>
      <c r="I397" s="313">
        <v>1</v>
      </c>
      <c r="J397" s="166">
        <f t="shared" si="16"/>
        <v>0</v>
      </c>
      <c r="K397" s="168">
        <f t="shared" si="10"/>
        <v>6147.333333333333</v>
      </c>
      <c r="L397" s="30"/>
      <c r="M397" s="67"/>
    </row>
    <row r="398" spans="1:13" ht="13.2">
      <c r="A398" s="146">
        <v>459</v>
      </c>
      <c r="B398" s="311" t="s">
        <v>337</v>
      </c>
      <c r="C398" s="319">
        <v>45306</v>
      </c>
      <c r="D398" s="28" t="s">
        <v>438</v>
      </c>
      <c r="E398" s="143" t="str">
        <f>VLOOKUP(D398,'Danh mục hàng hóa'!$C$3:$D$643,2,0)</f>
        <v>Bao lì xì Tết xanh</v>
      </c>
      <c r="F398" s="144" t="str">
        <f>VLOOKUP(D398,'Danh mục hàng hóa'!$C$3:$E$656,3,0)</f>
        <v>set 6 cái</v>
      </c>
      <c r="G398" s="321">
        <f t="shared" si="30"/>
        <v>6147.333333333333</v>
      </c>
      <c r="H398" s="317"/>
      <c r="I398" s="313">
        <v>1</v>
      </c>
      <c r="J398" s="166">
        <f t="shared" si="16"/>
        <v>0</v>
      </c>
      <c r="K398" s="168">
        <f t="shared" si="10"/>
        <v>6147.333333333333</v>
      </c>
      <c r="L398" s="30"/>
      <c r="M398" s="67"/>
    </row>
    <row r="399" spans="1:13" ht="13.2">
      <c r="A399" s="146">
        <v>460</v>
      </c>
      <c r="B399" s="311" t="s">
        <v>337</v>
      </c>
      <c r="C399" s="319">
        <v>45306</v>
      </c>
      <c r="D399" s="28" t="s">
        <v>2145</v>
      </c>
      <c r="E399" s="143" t="str">
        <f>VLOOKUP(D399,'Danh mục hàng hóa'!$C$3:$D$643,2,0)</f>
        <v>Bao lì xì vui vẻ</v>
      </c>
      <c r="F399" s="144" t="str">
        <f>VLOOKUP(D399,'Danh mục hàng hóa'!$C$3:$E$656,3,0)</f>
        <v>set 6 cái</v>
      </c>
      <c r="G399" s="321">
        <f t="shared" si="30"/>
        <v>6147.333333333333</v>
      </c>
      <c r="H399" s="317"/>
      <c r="I399" s="313">
        <v>2</v>
      </c>
      <c r="J399" s="166">
        <f t="shared" si="16"/>
        <v>0</v>
      </c>
      <c r="K399" s="168">
        <f t="shared" si="10"/>
        <v>12294.666666666666</v>
      </c>
      <c r="L399" s="30"/>
      <c r="M399" s="67"/>
    </row>
    <row r="400" spans="1:13" ht="13.2">
      <c r="A400" s="146">
        <v>461</v>
      </c>
      <c r="B400" s="311" t="s">
        <v>337</v>
      </c>
      <c r="C400" s="319">
        <v>45306</v>
      </c>
      <c r="D400" s="28" t="s">
        <v>2146</v>
      </c>
      <c r="E400" s="143" t="str">
        <f>VLOOKUP(D400,'Danh mục hàng hóa'!$C$3:$D$643,2,0)</f>
        <v>Bao lì xì ngộ nghĩnh</v>
      </c>
      <c r="F400" s="144" t="str">
        <f>VLOOKUP(D400,'Danh mục hàng hóa'!$C$3:$E$656,3,0)</f>
        <v>set 6 cái</v>
      </c>
      <c r="G400" s="321">
        <f t="shared" si="30"/>
        <v>6147.333333333333</v>
      </c>
      <c r="H400" s="317"/>
      <c r="I400" s="313">
        <v>1</v>
      </c>
      <c r="J400" s="166">
        <f t="shared" si="16"/>
        <v>0</v>
      </c>
      <c r="K400" s="168">
        <f t="shared" si="10"/>
        <v>6147.333333333333</v>
      </c>
      <c r="L400" s="30"/>
      <c r="M400" s="67"/>
    </row>
    <row r="401" spans="1:13" ht="13.2">
      <c r="A401" s="146">
        <v>462</v>
      </c>
      <c r="B401" s="311" t="s">
        <v>337</v>
      </c>
      <c r="C401" s="319">
        <v>45306</v>
      </c>
      <c r="D401" s="28" t="s">
        <v>435</v>
      </c>
      <c r="E401" s="143" t="str">
        <f>VLOOKUP(D401,'Danh mục hàng hóa'!$C$3:$D$643,2,0)</f>
        <v>Bao lì xì Tết tài lộc</v>
      </c>
      <c r="F401" s="144" t="str">
        <f>VLOOKUP(D401,'Danh mục hàng hóa'!$C$3:$E$656,3,0)</f>
        <v>set 6 cái</v>
      </c>
      <c r="G401" s="321">
        <f t="shared" ref="G401:G404" si="31">57552/8</f>
        <v>7194</v>
      </c>
      <c r="H401" s="317"/>
      <c r="I401" s="313">
        <v>2</v>
      </c>
      <c r="J401" s="166">
        <f t="shared" si="16"/>
        <v>0</v>
      </c>
      <c r="K401" s="168">
        <f t="shared" si="10"/>
        <v>14388</v>
      </c>
      <c r="L401" s="30"/>
      <c r="M401" s="67"/>
    </row>
    <row r="402" spans="1:13" ht="13.2">
      <c r="A402" s="146">
        <v>463</v>
      </c>
      <c r="B402" s="311" t="s">
        <v>337</v>
      </c>
      <c r="C402" s="319">
        <v>45306</v>
      </c>
      <c r="D402" s="28" t="s">
        <v>437</v>
      </c>
      <c r="E402" s="143" t="str">
        <f>VLOOKUP(D402,'Danh mục hàng hóa'!$C$3:$D$643,2,0)</f>
        <v>Bao lì xì Tết hoa</v>
      </c>
      <c r="F402" s="144" t="str">
        <f>VLOOKUP(D402,'Danh mục hàng hóa'!$C$3:$E$656,3,0)</f>
        <v>set 6 cái</v>
      </c>
      <c r="G402" s="321">
        <f t="shared" si="31"/>
        <v>7194</v>
      </c>
      <c r="H402" s="317"/>
      <c r="I402" s="313">
        <v>1</v>
      </c>
      <c r="J402" s="166">
        <f t="shared" si="16"/>
        <v>0</v>
      </c>
      <c r="K402" s="168">
        <f t="shared" si="10"/>
        <v>7194</v>
      </c>
      <c r="L402" s="30"/>
      <c r="M402" s="67"/>
    </row>
    <row r="403" spans="1:13" ht="13.2">
      <c r="A403" s="146">
        <v>464</v>
      </c>
      <c r="B403" s="311" t="s">
        <v>337</v>
      </c>
      <c r="C403" s="319">
        <v>45306</v>
      </c>
      <c r="D403" s="28" t="s">
        <v>2145</v>
      </c>
      <c r="E403" s="143" t="str">
        <f>VLOOKUP(D403,'Danh mục hàng hóa'!$C$3:$D$643,2,0)</f>
        <v>Bao lì xì vui vẻ</v>
      </c>
      <c r="F403" s="144" t="str">
        <f>VLOOKUP(D403,'Danh mục hàng hóa'!$C$3:$E$656,3,0)</f>
        <v>set 6 cái</v>
      </c>
      <c r="G403" s="321">
        <f t="shared" si="31"/>
        <v>7194</v>
      </c>
      <c r="H403" s="317"/>
      <c r="I403" s="313">
        <v>3</v>
      </c>
      <c r="J403" s="166">
        <f t="shared" si="16"/>
        <v>0</v>
      </c>
      <c r="K403" s="168">
        <f t="shared" si="10"/>
        <v>21582</v>
      </c>
      <c r="L403" s="30"/>
      <c r="M403" s="67"/>
    </row>
    <row r="404" spans="1:13" ht="13.2">
      <c r="A404" s="146">
        <v>465</v>
      </c>
      <c r="B404" s="311" t="s">
        <v>337</v>
      </c>
      <c r="C404" s="319">
        <v>45306</v>
      </c>
      <c r="D404" s="28" t="s">
        <v>2146</v>
      </c>
      <c r="E404" s="143" t="str">
        <f>VLOOKUP(D404,'Danh mục hàng hóa'!$C$3:$D$643,2,0)</f>
        <v>Bao lì xì ngộ nghĩnh</v>
      </c>
      <c r="F404" s="144" t="str">
        <f>VLOOKUP(D404,'Danh mục hàng hóa'!$C$3:$E$656,3,0)</f>
        <v>set 6 cái</v>
      </c>
      <c r="G404" s="321">
        <f t="shared" si="31"/>
        <v>7194</v>
      </c>
      <c r="H404" s="317"/>
      <c r="I404" s="313">
        <v>2</v>
      </c>
      <c r="J404" s="166">
        <f t="shared" si="16"/>
        <v>0</v>
      </c>
      <c r="K404" s="168">
        <f t="shared" si="10"/>
        <v>14388</v>
      </c>
      <c r="L404" s="30"/>
      <c r="M404" s="67"/>
    </row>
    <row r="405" spans="1:13" ht="13.2">
      <c r="A405" s="146">
        <v>466</v>
      </c>
      <c r="B405" s="311" t="s">
        <v>336</v>
      </c>
      <c r="C405" s="319">
        <v>45306</v>
      </c>
      <c r="D405" s="28" t="s">
        <v>907</v>
      </c>
      <c r="E405" s="143" t="str">
        <f>VLOOKUP(D405,'Danh mục hàng hóa'!$C$3:$D$643,2,0)</f>
        <v>Cáo gắn xe</v>
      </c>
      <c r="F405" s="144" t="str">
        <f>VLOOKUP(D405,'Danh mục hàng hóa'!$C$3:$E$656,3,0)</f>
        <v>cái</v>
      </c>
      <c r="G405" s="321">
        <v>20605</v>
      </c>
      <c r="H405" s="313">
        <v>4</v>
      </c>
      <c r="I405" s="317"/>
      <c r="J405" s="166">
        <f t="shared" si="16"/>
        <v>82420</v>
      </c>
      <c r="K405" s="168">
        <f t="shared" si="10"/>
        <v>0</v>
      </c>
      <c r="L405" s="30"/>
      <c r="M405" s="67"/>
    </row>
    <row r="406" spans="1:13" ht="13.2">
      <c r="A406" s="146">
        <v>467</v>
      </c>
      <c r="B406" s="311" t="s">
        <v>336</v>
      </c>
      <c r="C406" s="319">
        <v>45306</v>
      </c>
      <c r="D406" s="28" t="s">
        <v>909</v>
      </c>
      <c r="E406" s="143" t="str">
        <f>VLOOKUP(D406,'Danh mục hàng hóa'!$C$3:$D$643,2,0)</f>
        <v>Gấu trúc gắn xe</v>
      </c>
      <c r="F406" s="144" t="str">
        <f>VLOOKUP(D406,'Danh mục hàng hóa'!$C$3:$E$656,3,0)</f>
        <v>cái</v>
      </c>
      <c r="G406" s="321">
        <v>20605</v>
      </c>
      <c r="H406" s="313">
        <v>4</v>
      </c>
      <c r="I406" s="317"/>
      <c r="J406" s="166">
        <f t="shared" si="16"/>
        <v>82420</v>
      </c>
      <c r="K406" s="168">
        <f t="shared" si="10"/>
        <v>0</v>
      </c>
      <c r="L406" s="30"/>
      <c r="M406" s="67"/>
    </row>
    <row r="407" spans="1:13" ht="13.2">
      <c r="A407" s="146">
        <v>468</v>
      </c>
      <c r="B407" s="311" t="s">
        <v>336</v>
      </c>
      <c r="C407" s="319">
        <v>45306</v>
      </c>
      <c r="D407" s="28" t="s">
        <v>911</v>
      </c>
      <c r="E407" s="143" t="str">
        <f>VLOOKUP(D407,'Danh mục hàng hóa'!$C$3:$D$643,2,0)</f>
        <v>Gấu nâu gắn xe</v>
      </c>
      <c r="F407" s="144" t="str">
        <f>VLOOKUP(D407,'Danh mục hàng hóa'!$C$3:$E$656,3,0)</f>
        <v>cái</v>
      </c>
      <c r="G407" s="321">
        <v>20605</v>
      </c>
      <c r="H407" s="313">
        <v>4</v>
      </c>
      <c r="I407" s="317"/>
      <c r="J407" s="166">
        <f t="shared" si="16"/>
        <v>82420</v>
      </c>
      <c r="K407" s="168">
        <f t="shared" si="10"/>
        <v>0</v>
      </c>
      <c r="L407" s="30"/>
      <c r="M407" s="67"/>
    </row>
    <row r="408" spans="1:13" ht="13.2">
      <c r="A408" s="146">
        <v>469</v>
      </c>
      <c r="B408" s="311" t="s">
        <v>336</v>
      </c>
      <c r="C408" s="319">
        <v>45306</v>
      </c>
      <c r="D408" s="28" t="s">
        <v>2147</v>
      </c>
      <c r="E408" s="143" t="e">
        <f>VLOOKUP(D408,'Danh mục hàng hóa'!$C$3:$D$643,2,0)</f>
        <v>#N/A</v>
      </c>
      <c r="F408" s="144" t="e">
        <f>VLOOKUP(D408,'Danh mục hàng hóa'!$C$3:$E$656,3,0)</f>
        <v>#N/A</v>
      </c>
      <c r="G408" s="321">
        <v>20605</v>
      </c>
      <c r="H408" s="313">
        <v>3</v>
      </c>
      <c r="I408" s="317"/>
      <c r="J408" s="166">
        <f t="shared" si="16"/>
        <v>61815</v>
      </c>
      <c r="K408" s="168">
        <f t="shared" si="10"/>
        <v>0</v>
      </c>
      <c r="L408" s="30"/>
      <c r="M408" s="67"/>
    </row>
    <row r="409" spans="1:13" ht="13.2">
      <c r="A409" s="146">
        <v>470</v>
      </c>
      <c r="B409" s="311" t="s">
        <v>336</v>
      </c>
      <c r="C409" s="319">
        <v>45306</v>
      </c>
      <c r="D409" s="28" t="s">
        <v>913</v>
      </c>
      <c r="E409" s="143" t="str">
        <f>VLOOKUP(D409,'Danh mục hàng hóa'!$C$3:$D$643,2,0)</f>
        <v>Thỏ máy bay gắn xe</v>
      </c>
      <c r="F409" s="144" t="str">
        <f>VLOOKUP(D409,'Danh mục hàng hóa'!$C$3:$E$656,3,0)</f>
        <v>cái</v>
      </c>
      <c r="G409" s="321">
        <v>20605</v>
      </c>
      <c r="H409" s="313">
        <v>4</v>
      </c>
      <c r="I409" s="317"/>
      <c r="J409" s="166">
        <f t="shared" si="16"/>
        <v>82420</v>
      </c>
      <c r="K409" s="168">
        <f t="shared" si="10"/>
        <v>0</v>
      </c>
      <c r="L409" s="30"/>
      <c r="M409" s="67"/>
    </row>
    <row r="410" spans="1:13" ht="13.2">
      <c r="A410" s="146">
        <v>471</v>
      </c>
      <c r="B410" s="311" t="s">
        <v>336</v>
      </c>
      <c r="C410" s="319">
        <v>45306</v>
      </c>
      <c r="D410" s="28" t="s">
        <v>915</v>
      </c>
      <c r="E410" s="143" t="str">
        <f>VLOOKUP(D410,'Danh mục hàng hóa'!$C$3:$D$643,2,0)</f>
        <v>Thỏ chạy xe gắn xe</v>
      </c>
      <c r="F410" s="144" t="str">
        <f>VLOOKUP(D410,'Danh mục hàng hóa'!$C$3:$E$656,3,0)</f>
        <v>cái</v>
      </c>
      <c r="G410" s="321">
        <v>20605</v>
      </c>
      <c r="H410" s="313">
        <v>4</v>
      </c>
      <c r="I410" s="317"/>
      <c r="J410" s="166">
        <f t="shared" si="16"/>
        <v>82420</v>
      </c>
      <c r="K410" s="168">
        <f t="shared" si="10"/>
        <v>0</v>
      </c>
      <c r="L410" s="30"/>
      <c r="M410" s="67"/>
    </row>
    <row r="411" spans="1:13" ht="13.2">
      <c r="A411" s="146">
        <v>472</v>
      </c>
      <c r="B411" s="311" t="s">
        <v>336</v>
      </c>
      <c r="C411" s="319">
        <v>45306</v>
      </c>
      <c r="D411" s="28" t="s">
        <v>917</v>
      </c>
      <c r="E411" s="143" t="str">
        <f>VLOOKUP(D411,'Danh mục hàng hóa'!$C$3:$D$643,2,0)</f>
        <v>Thỏ đi vịt gắn xe</v>
      </c>
      <c r="F411" s="144" t="str">
        <f>VLOOKUP(D411,'Danh mục hàng hóa'!$C$3:$E$656,3,0)</f>
        <v>cái</v>
      </c>
      <c r="G411" s="321">
        <v>20605</v>
      </c>
      <c r="H411" s="313">
        <v>4</v>
      </c>
      <c r="I411" s="317"/>
      <c r="J411" s="166">
        <f t="shared" si="16"/>
        <v>82420</v>
      </c>
      <c r="K411" s="168">
        <f t="shared" si="10"/>
        <v>0</v>
      </c>
      <c r="L411" s="30"/>
      <c r="M411" s="67"/>
    </row>
    <row r="412" spans="1:13" ht="13.2">
      <c r="A412" s="146">
        <v>473</v>
      </c>
      <c r="B412" s="311" t="s">
        <v>336</v>
      </c>
      <c r="C412" s="319">
        <v>45306</v>
      </c>
      <c r="D412" s="28" t="s">
        <v>977</v>
      </c>
      <c r="E412" s="143" t="str">
        <f>VLOOKUP(D412,'Danh mục hàng hóa'!$C$3:$D$643,2,0)</f>
        <v>Móc khóa đôi heo</v>
      </c>
      <c r="F412" s="144" t="str">
        <f>VLOOKUP(D412,'Danh mục hàng hóa'!$C$3:$E$656,3,0)</f>
        <v>cái</v>
      </c>
      <c r="G412" s="321">
        <v>25168</v>
      </c>
      <c r="H412" s="313">
        <v>8</v>
      </c>
      <c r="I412" s="317"/>
      <c r="J412" s="166">
        <f t="shared" si="16"/>
        <v>201344</v>
      </c>
      <c r="K412" s="168">
        <f t="shared" si="10"/>
        <v>0</v>
      </c>
      <c r="L412" s="30"/>
      <c r="M412" s="67"/>
    </row>
    <row r="413" spans="1:13" ht="13.2">
      <c r="A413" s="146">
        <v>474</v>
      </c>
      <c r="B413" s="311" t="s">
        <v>336</v>
      </c>
      <c r="C413" s="319">
        <v>45306</v>
      </c>
      <c r="D413" s="28" t="s">
        <v>979</v>
      </c>
      <c r="E413" s="143" t="str">
        <f>VLOOKUP(D413,'Danh mục hàng hóa'!$C$3:$D$643,2,0)</f>
        <v>Móc khóa đôi thỏ cà rốt</v>
      </c>
      <c r="F413" s="144" t="str">
        <f>VLOOKUP(D413,'Danh mục hàng hóa'!$C$3:$E$656,3,0)</f>
        <v>cái</v>
      </c>
      <c r="G413" s="321">
        <v>21658</v>
      </c>
      <c r="H413" s="313">
        <v>3</v>
      </c>
      <c r="I413" s="317"/>
      <c r="J413" s="166">
        <f t="shared" si="16"/>
        <v>64974</v>
      </c>
      <c r="K413" s="168">
        <f t="shared" si="10"/>
        <v>0</v>
      </c>
      <c r="L413" s="30"/>
      <c r="M413" s="67"/>
    </row>
    <row r="414" spans="1:13" ht="13.2">
      <c r="A414" s="146">
        <v>475</v>
      </c>
      <c r="B414" s="311" t="s">
        <v>336</v>
      </c>
      <c r="C414" s="319">
        <v>45306</v>
      </c>
      <c r="D414" s="28" t="s">
        <v>981</v>
      </c>
      <c r="E414" s="143" t="str">
        <f>VLOOKUP(D414,'Danh mục hàng hóa'!$C$3:$D$643,2,0)</f>
        <v>Móc khóa đôi corgy</v>
      </c>
      <c r="F414" s="144" t="str">
        <f>VLOOKUP(D414,'Danh mục hàng hóa'!$C$3:$E$656,3,0)</f>
        <v>cái</v>
      </c>
      <c r="G414" s="321">
        <v>25168</v>
      </c>
      <c r="H414" s="313">
        <v>3</v>
      </c>
      <c r="I414" s="317"/>
      <c r="J414" s="166">
        <f t="shared" si="16"/>
        <v>75504</v>
      </c>
      <c r="K414" s="168">
        <f t="shared" si="10"/>
        <v>0</v>
      </c>
      <c r="L414" s="30"/>
      <c r="M414" s="67"/>
    </row>
    <row r="415" spans="1:13" ht="13.2">
      <c r="A415" s="146">
        <v>476</v>
      </c>
      <c r="B415" s="311" t="s">
        <v>337</v>
      </c>
      <c r="C415" s="319">
        <v>45306</v>
      </c>
      <c r="D415" s="28" t="s">
        <v>977</v>
      </c>
      <c r="E415" s="143" t="str">
        <f>VLOOKUP(D415,'Danh mục hàng hóa'!$C$3:$D$643,2,0)</f>
        <v>Móc khóa đôi heo</v>
      </c>
      <c r="F415" s="144" t="str">
        <f>VLOOKUP(D415,'Danh mục hàng hóa'!$C$3:$E$656,3,0)</f>
        <v>cái</v>
      </c>
      <c r="G415" s="320">
        <v>45000</v>
      </c>
      <c r="H415" s="317"/>
      <c r="I415" s="313">
        <v>1</v>
      </c>
      <c r="J415" s="166">
        <f t="shared" si="16"/>
        <v>0</v>
      </c>
      <c r="K415" s="168">
        <f t="shared" si="10"/>
        <v>45000</v>
      </c>
      <c r="L415" s="30"/>
      <c r="M415" s="67"/>
    </row>
    <row r="416" spans="1:13" ht="13.2">
      <c r="A416" s="146">
        <v>477</v>
      </c>
      <c r="B416" s="311" t="s">
        <v>336</v>
      </c>
      <c r="C416" s="319">
        <v>45307</v>
      </c>
      <c r="D416" s="28" t="s">
        <v>1035</v>
      </c>
      <c r="E416" s="143" t="str">
        <f>VLOOKUP(D416,'Danh mục hàng hóa'!$C$3:$D$643,2,0)</f>
        <v>Vớ cổ ngắn trắng thêu họa tiết mẫu 1</v>
      </c>
      <c r="F416" s="144" t="str">
        <f>VLOOKUP(D416,'Danh mục hàng hóa'!$C$3:$E$656,3,0)</f>
        <v>đôi</v>
      </c>
      <c r="G416" s="321">
        <v>4123.8999999999996</v>
      </c>
      <c r="H416" s="313">
        <v>5</v>
      </c>
      <c r="I416" s="317"/>
      <c r="J416" s="166">
        <f t="shared" si="16"/>
        <v>20619.5</v>
      </c>
      <c r="K416" s="168">
        <f t="shared" si="10"/>
        <v>0</v>
      </c>
      <c r="L416" s="30"/>
      <c r="M416" s="67"/>
    </row>
    <row r="417" spans="1:13" ht="13.2">
      <c r="A417" s="146">
        <v>478</v>
      </c>
      <c r="B417" s="311" t="s">
        <v>336</v>
      </c>
      <c r="C417" s="319">
        <v>45307</v>
      </c>
      <c r="D417" s="28" t="s">
        <v>1038</v>
      </c>
      <c r="E417" s="143" t="str">
        <f>VLOOKUP(D417,'Danh mục hàng hóa'!$C$3:$D$643,2,0)</f>
        <v>Vớ cổ ngắn trắng thêu họa tiết mẫu 2</v>
      </c>
      <c r="F417" s="144" t="str">
        <f>VLOOKUP(D417,'Danh mục hàng hóa'!$C$3:$E$656,3,0)</f>
        <v>đôi</v>
      </c>
      <c r="G417" s="321">
        <v>4123.8999999999996</v>
      </c>
      <c r="H417" s="313">
        <v>5</v>
      </c>
      <c r="I417" s="317"/>
      <c r="J417" s="166">
        <f t="shared" si="16"/>
        <v>20619.5</v>
      </c>
      <c r="K417" s="168">
        <f t="shared" si="10"/>
        <v>0</v>
      </c>
      <c r="L417" s="30"/>
      <c r="M417" s="67"/>
    </row>
    <row r="418" spans="1:13" ht="13.2">
      <c r="A418" s="146">
        <v>479</v>
      </c>
      <c r="B418" s="311" t="s">
        <v>336</v>
      </c>
      <c r="C418" s="319">
        <v>45307</v>
      </c>
      <c r="D418" s="28" t="s">
        <v>1040</v>
      </c>
      <c r="E418" s="143" t="str">
        <f>VLOOKUP(D418,'Danh mục hàng hóa'!$C$3:$D$643,2,0)</f>
        <v>Vớ cổ ngắn trắng thêu họa tiết mẫu 3</v>
      </c>
      <c r="F418" s="144" t="str">
        <f>VLOOKUP(D418,'Danh mục hàng hóa'!$C$3:$E$656,3,0)</f>
        <v>đôi</v>
      </c>
      <c r="G418" s="321">
        <v>4123.8999999999996</v>
      </c>
      <c r="H418" s="313">
        <v>5</v>
      </c>
      <c r="I418" s="317"/>
      <c r="J418" s="166">
        <f t="shared" si="16"/>
        <v>20619.5</v>
      </c>
      <c r="K418" s="168">
        <f t="shared" si="10"/>
        <v>0</v>
      </c>
      <c r="L418" s="30"/>
      <c r="M418" s="67"/>
    </row>
    <row r="419" spans="1:13" ht="13.2">
      <c r="A419" s="146">
        <v>480</v>
      </c>
      <c r="B419" s="311" t="s">
        <v>336</v>
      </c>
      <c r="C419" s="319">
        <v>45307</v>
      </c>
      <c r="D419" s="28" t="s">
        <v>1042</v>
      </c>
      <c r="E419" s="143" t="str">
        <f>VLOOKUP(D419,'Danh mục hàng hóa'!$C$3:$D$643,2,0)</f>
        <v>Vớ cổ ngắn trắng thêu họa tiết mẫu 4</v>
      </c>
      <c r="F419" s="144" t="str">
        <f>VLOOKUP(D419,'Danh mục hàng hóa'!$C$3:$E$656,3,0)</f>
        <v>đôi</v>
      </c>
      <c r="G419" s="321">
        <v>4123.8999999999996</v>
      </c>
      <c r="H419" s="313">
        <v>5</v>
      </c>
      <c r="I419" s="317"/>
      <c r="J419" s="166">
        <f t="shared" si="16"/>
        <v>20619.5</v>
      </c>
      <c r="K419" s="168">
        <f t="shared" si="10"/>
        <v>0</v>
      </c>
      <c r="L419" s="30"/>
      <c r="M419" s="67"/>
    </row>
    <row r="420" spans="1:13" ht="13.2">
      <c r="A420" s="146">
        <v>481</v>
      </c>
      <c r="B420" s="311" t="s">
        <v>336</v>
      </c>
      <c r="C420" s="319">
        <v>45307</v>
      </c>
      <c r="D420" s="28" t="s">
        <v>1044</v>
      </c>
      <c r="E420" s="143" t="str">
        <f>VLOOKUP(D420,'Danh mục hàng hóa'!$C$3:$D$643,2,0)</f>
        <v>Vớ cổ ngắn trắng thêu họa tiết mẫu 5</v>
      </c>
      <c r="F420" s="144" t="str">
        <f>VLOOKUP(D420,'Danh mục hàng hóa'!$C$3:$E$656,3,0)</f>
        <v>đôi</v>
      </c>
      <c r="G420" s="321">
        <v>4123.8999999999996</v>
      </c>
      <c r="H420" s="313">
        <v>5</v>
      </c>
      <c r="I420" s="317"/>
      <c r="J420" s="166">
        <f t="shared" si="16"/>
        <v>20619.5</v>
      </c>
      <c r="K420" s="168">
        <f t="shared" si="10"/>
        <v>0</v>
      </c>
      <c r="L420" s="30"/>
      <c r="M420" s="67"/>
    </row>
    <row r="421" spans="1:13" ht="13.2">
      <c r="A421" s="146">
        <v>482</v>
      </c>
      <c r="B421" s="311" t="s">
        <v>336</v>
      </c>
      <c r="C421" s="319">
        <v>45307</v>
      </c>
      <c r="D421" s="28" t="s">
        <v>1046</v>
      </c>
      <c r="E421" s="143" t="str">
        <f>VLOOKUP(D421,'Danh mục hàng hóa'!$C$3:$D$643,2,0)</f>
        <v>Vớ cổ ngắn set xanh bơ 1</v>
      </c>
      <c r="F421" s="144" t="str">
        <f>VLOOKUP(D421,'Danh mục hàng hóa'!$C$3:$E$656,3,0)</f>
        <v>đôi</v>
      </c>
      <c r="G421" s="321">
        <v>3808</v>
      </c>
      <c r="H421" s="313">
        <v>3</v>
      </c>
      <c r="I421" s="317"/>
      <c r="J421" s="166">
        <f t="shared" si="16"/>
        <v>11424</v>
      </c>
      <c r="K421" s="168">
        <f t="shared" si="10"/>
        <v>0</v>
      </c>
      <c r="L421" s="30"/>
      <c r="M421" s="67"/>
    </row>
    <row r="422" spans="1:13" ht="13.2">
      <c r="A422" s="146">
        <v>483</v>
      </c>
      <c r="B422" s="311" t="s">
        <v>336</v>
      </c>
      <c r="C422" s="319">
        <v>45307</v>
      </c>
      <c r="D422" s="28" t="s">
        <v>1048</v>
      </c>
      <c r="E422" s="143" t="str">
        <f>VLOOKUP(D422,'Danh mục hàng hóa'!$C$3:$D$643,2,0)</f>
        <v>Vớ cổ ngắn set xanh bơ 2</v>
      </c>
      <c r="F422" s="144" t="str">
        <f>VLOOKUP(D422,'Danh mục hàng hóa'!$C$3:$E$656,3,0)</f>
        <v>đôi</v>
      </c>
      <c r="G422" s="321">
        <v>3808</v>
      </c>
      <c r="H422" s="313">
        <v>3</v>
      </c>
      <c r="I422" s="317"/>
      <c r="J422" s="166">
        <f t="shared" si="16"/>
        <v>11424</v>
      </c>
      <c r="K422" s="168">
        <f t="shared" si="10"/>
        <v>0</v>
      </c>
      <c r="L422" s="30"/>
      <c r="M422" s="67"/>
    </row>
    <row r="423" spans="1:13" ht="13.2">
      <c r="A423" s="146">
        <v>484</v>
      </c>
      <c r="B423" s="311" t="s">
        <v>336</v>
      </c>
      <c r="C423" s="319">
        <v>45307</v>
      </c>
      <c r="D423" s="28" t="s">
        <v>1050</v>
      </c>
      <c r="E423" s="143" t="str">
        <f>VLOOKUP(D423,'Danh mục hàng hóa'!$C$3:$D$643,2,0)</f>
        <v>Vớ cổ ngắn set xanh bơ 3</v>
      </c>
      <c r="F423" s="144" t="str">
        <f>VLOOKUP(D423,'Danh mục hàng hóa'!$C$3:$E$656,3,0)</f>
        <v>đôi</v>
      </c>
      <c r="G423" s="321">
        <v>3808</v>
      </c>
      <c r="H423" s="313">
        <v>3</v>
      </c>
      <c r="I423" s="317"/>
      <c r="J423" s="166">
        <f t="shared" si="16"/>
        <v>11424</v>
      </c>
      <c r="K423" s="168">
        <f t="shared" si="10"/>
        <v>0</v>
      </c>
      <c r="L423" s="30"/>
      <c r="M423" s="67"/>
    </row>
    <row r="424" spans="1:13" ht="13.2">
      <c r="A424" s="146">
        <v>485</v>
      </c>
      <c r="B424" s="311" t="s">
        <v>336</v>
      </c>
      <c r="C424" s="319">
        <v>45307</v>
      </c>
      <c r="D424" s="28" t="s">
        <v>1052</v>
      </c>
      <c r="E424" s="143" t="str">
        <f>VLOOKUP(D424,'Danh mục hàng hóa'!$C$3:$D$643,2,0)</f>
        <v>Vớ cổ ngắn set xanh bơ 4</v>
      </c>
      <c r="F424" s="144" t="str">
        <f>VLOOKUP(D424,'Danh mục hàng hóa'!$C$3:$E$656,3,0)</f>
        <v>đôi</v>
      </c>
      <c r="G424" s="321">
        <v>3808</v>
      </c>
      <c r="H424" s="313">
        <v>3</v>
      </c>
      <c r="I424" s="317"/>
      <c r="J424" s="166">
        <f t="shared" si="16"/>
        <v>11424</v>
      </c>
      <c r="K424" s="168">
        <f t="shared" si="10"/>
        <v>0</v>
      </c>
      <c r="L424" s="30"/>
      <c r="M424" s="67"/>
    </row>
    <row r="425" spans="1:13" ht="13.2">
      <c r="A425" s="146">
        <v>486</v>
      </c>
      <c r="B425" s="311" t="s">
        <v>336</v>
      </c>
      <c r="C425" s="319">
        <v>45307</v>
      </c>
      <c r="D425" s="28" t="s">
        <v>1054</v>
      </c>
      <c r="E425" s="143" t="str">
        <f>VLOOKUP(D425,'Danh mục hàng hóa'!$C$3:$D$643,2,0)</f>
        <v>Vớ cổ ngắn set xanh bơ 5</v>
      </c>
      <c r="F425" s="144" t="str">
        <f>VLOOKUP(D425,'Danh mục hàng hóa'!$C$3:$E$656,3,0)</f>
        <v>đôi</v>
      </c>
      <c r="G425" s="321">
        <v>3808</v>
      </c>
      <c r="H425" s="313">
        <v>3</v>
      </c>
      <c r="I425" s="317"/>
      <c r="J425" s="166">
        <f t="shared" si="16"/>
        <v>11424</v>
      </c>
      <c r="K425" s="168">
        <f t="shared" si="10"/>
        <v>0</v>
      </c>
      <c r="L425" s="30"/>
      <c r="M425" s="67"/>
    </row>
    <row r="426" spans="1:13" ht="13.2">
      <c r="A426" s="146">
        <v>487</v>
      </c>
      <c r="B426" s="311" t="s">
        <v>336</v>
      </c>
      <c r="C426" s="319">
        <v>45307</v>
      </c>
      <c r="D426" s="28" t="s">
        <v>1056</v>
      </c>
      <c r="E426" s="143" t="str">
        <f>VLOOKUP(D426,'Danh mục hàng hóa'!$C$3:$D$643,2,0)</f>
        <v>Vớ cổ ngắn họa tiết hoa thỏ be</v>
      </c>
      <c r="F426" s="144" t="str">
        <f>VLOOKUP(D426,'Danh mục hàng hóa'!$C$3:$E$656,3,0)</f>
        <v>đôi</v>
      </c>
      <c r="G426" s="321">
        <v>3983.5</v>
      </c>
      <c r="H426" s="313">
        <v>5</v>
      </c>
      <c r="I426" s="317"/>
      <c r="J426" s="166">
        <f t="shared" si="16"/>
        <v>19917.5</v>
      </c>
      <c r="K426" s="168">
        <f t="shared" si="10"/>
        <v>0</v>
      </c>
      <c r="L426" s="30"/>
      <c r="M426" s="67"/>
    </row>
    <row r="427" spans="1:13" ht="13.2">
      <c r="A427" s="146">
        <v>488</v>
      </c>
      <c r="B427" s="311" t="s">
        <v>336</v>
      </c>
      <c r="C427" s="319">
        <v>45307</v>
      </c>
      <c r="D427" s="28" t="s">
        <v>1058</v>
      </c>
      <c r="E427" s="143" t="str">
        <f>VLOOKUP(D427,'Danh mục hàng hóa'!$C$3:$D$643,2,0)</f>
        <v>Vớ cổ ngắn họa tiết hoa thỏ hồng</v>
      </c>
      <c r="F427" s="144" t="str">
        <f>VLOOKUP(D427,'Danh mục hàng hóa'!$C$3:$E$656,3,0)</f>
        <v>đôi</v>
      </c>
      <c r="G427" s="321">
        <v>3983.5</v>
      </c>
      <c r="H427" s="313">
        <v>3</v>
      </c>
      <c r="I427" s="317"/>
      <c r="J427" s="166">
        <f t="shared" si="16"/>
        <v>11950.5</v>
      </c>
      <c r="K427" s="168">
        <f t="shared" si="10"/>
        <v>0</v>
      </c>
      <c r="L427" s="30"/>
      <c r="M427" s="67"/>
    </row>
    <row r="428" spans="1:13" ht="13.2">
      <c r="A428" s="146">
        <v>489</v>
      </c>
      <c r="B428" s="311" t="s">
        <v>336</v>
      </c>
      <c r="C428" s="319">
        <v>45307</v>
      </c>
      <c r="D428" s="28" t="s">
        <v>1060</v>
      </c>
      <c r="E428" s="143" t="str">
        <f>VLOOKUP(D428,'Danh mục hàng hóa'!$C$3:$D$643,2,0)</f>
        <v>Vớ cổ ngắn họa tiết hoa thỏ kem</v>
      </c>
      <c r="F428" s="144" t="str">
        <f>VLOOKUP(D428,'Danh mục hàng hóa'!$C$3:$E$656,3,0)</f>
        <v>đôi</v>
      </c>
      <c r="G428" s="321">
        <v>3983.5</v>
      </c>
      <c r="H428" s="313">
        <v>5</v>
      </c>
      <c r="I428" s="317"/>
      <c r="J428" s="166">
        <f t="shared" si="16"/>
        <v>19917.5</v>
      </c>
      <c r="K428" s="168">
        <f t="shared" si="10"/>
        <v>0</v>
      </c>
      <c r="L428" s="30"/>
      <c r="M428" s="67"/>
    </row>
    <row r="429" spans="1:13" ht="13.2">
      <c r="A429" s="146">
        <v>490</v>
      </c>
      <c r="B429" s="311" t="s">
        <v>336</v>
      </c>
      <c r="C429" s="319">
        <v>45307</v>
      </c>
      <c r="D429" s="28" t="s">
        <v>1062</v>
      </c>
      <c r="E429" s="143" t="str">
        <f>VLOOKUP(D429,'Danh mục hàng hóa'!$C$3:$D$643,2,0)</f>
        <v>Vớ cổ ngắn họa tiết hoa thỏ đen</v>
      </c>
      <c r="F429" s="144" t="str">
        <f>VLOOKUP(D429,'Danh mục hàng hóa'!$C$3:$E$656,3,0)</f>
        <v>đôi</v>
      </c>
      <c r="G429" s="321">
        <v>3983.5</v>
      </c>
      <c r="H429" s="313">
        <v>5</v>
      </c>
      <c r="I429" s="317"/>
      <c r="J429" s="166">
        <f t="shared" si="16"/>
        <v>19917.5</v>
      </c>
      <c r="K429" s="168">
        <f t="shared" si="10"/>
        <v>0</v>
      </c>
      <c r="L429" s="30"/>
      <c r="M429" s="67"/>
    </row>
    <row r="430" spans="1:13" ht="13.2">
      <c r="A430" s="146">
        <v>491</v>
      </c>
      <c r="B430" s="311" t="s">
        <v>336</v>
      </c>
      <c r="C430" s="319">
        <v>45307</v>
      </c>
      <c r="D430" s="28" t="s">
        <v>1064</v>
      </c>
      <c r="E430" s="143" t="str">
        <f>VLOOKUP(D430,'Danh mục hàng hóa'!$C$3:$D$643,2,0)</f>
        <v>Vớ trắng mỏng nhiều gấu</v>
      </c>
      <c r="F430" s="144" t="str">
        <f>VLOOKUP(D430,'Danh mục hàng hóa'!$C$3:$E$656,3,0)</f>
        <v>đôi</v>
      </c>
      <c r="G430" s="321">
        <v>3983.5</v>
      </c>
      <c r="H430" s="313">
        <v>6</v>
      </c>
      <c r="I430" s="317"/>
      <c r="J430" s="166">
        <f t="shared" si="16"/>
        <v>23901</v>
      </c>
      <c r="K430" s="168">
        <f t="shared" si="10"/>
        <v>0</v>
      </c>
      <c r="L430" s="30"/>
      <c r="M430" s="67"/>
    </row>
    <row r="431" spans="1:13" ht="13.2">
      <c r="A431" s="146">
        <v>492</v>
      </c>
      <c r="B431" s="311" t="s">
        <v>336</v>
      </c>
      <c r="C431" s="319">
        <v>45307</v>
      </c>
      <c r="D431" s="28" t="s">
        <v>1066</v>
      </c>
      <c r="E431" s="143" t="str">
        <f>VLOOKUP(D431,'Danh mục hàng hóa'!$C$3:$D$643,2,0)</f>
        <v>Vớ trắng mỏng nhiều hoa</v>
      </c>
      <c r="F431" s="144" t="str">
        <f>VLOOKUP(D431,'Danh mục hàng hóa'!$C$3:$E$656,3,0)</f>
        <v>đôi</v>
      </c>
      <c r="G431" s="321">
        <v>4685.5</v>
      </c>
      <c r="H431" s="313">
        <v>6</v>
      </c>
      <c r="I431" s="317"/>
      <c r="J431" s="166">
        <f t="shared" si="16"/>
        <v>28113</v>
      </c>
      <c r="K431" s="168">
        <f t="shared" si="10"/>
        <v>0</v>
      </c>
      <c r="L431" s="30"/>
      <c r="M431" s="67"/>
    </row>
    <row r="432" spans="1:13" ht="13.2">
      <c r="A432" s="146">
        <v>493</v>
      </c>
      <c r="B432" s="311" t="s">
        <v>336</v>
      </c>
      <c r="C432" s="319">
        <v>45307</v>
      </c>
      <c r="D432" s="28" t="s">
        <v>1068</v>
      </c>
      <c r="E432" s="143" t="str">
        <f>VLOOKUP(D432,'Danh mục hàng hóa'!$C$3:$D$643,2,0)</f>
        <v>Vớ trắng mỏng hoa vàng</v>
      </c>
      <c r="F432" s="144" t="str">
        <f>VLOOKUP(D432,'Danh mục hàng hóa'!$C$3:$E$656,3,0)</f>
        <v>đôi</v>
      </c>
      <c r="G432" s="321">
        <v>4685.5</v>
      </c>
      <c r="H432" s="313">
        <v>6</v>
      </c>
      <c r="I432" s="317"/>
      <c r="J432" s="166">
        <f t="shared" si="16"/>
        <v>28113</v>
      </c>
      <c r="K432" s="168">
        <f t="shared" si="10"/>
        <v>0</v>
      </c>
      <c r="L432" s="30"/>
      <c r="M432" s="67"/>
    </row>
    <row r="433" spans="1:13" ht="13.2">
      <c r="A433" s="146">
        <v>494</v>
      </c>
      <c r="B433" s="311" t="s">
        <v>336</v>
      </c>
      <c r="C433" s="319">
        <v>45307</v>
      </c>
      <c r="D433" s="28" t="s">
        <v>1070</v>
      </c>
      <c r="E433" s="143" t="str">
        <f>VLOOKUP(D433,'Danh mục hàng hóa'!$C$3:$D$643,2,0)</f>
        <v>Vớ trắng mỏng gấu</v>
      </c>
      <c r="F433" s="144" t="str">
        <f>VLOOKUP(D433,'Danh mục hàng hóa'!$C$3:$E$656,3,0)</f>
        <v>đôi</v>
      </c>
      <c r="G433" s="321">
        <v>4685.5</v>
      </c>
      <c r="H433" s="313">
        <v>6</v>
      </c>
      <c r="I433" s="317"/>
      <c r="J433" s="166">
        <f t="shared" si="16"/>
        <v>28113</v>
      </c>
      <c r="K433" s="168">
        <f t="shared" si="10"/>
        <v>0</v>
      </c>
      <c r="L433" s="30"/>
      <c r="M433" s="67"/>
    </row>
    <row r="434" spans="1:13" ht="13.2">
      <c r="A434" s="146">
        <v>495</v>
      </c>
      <c r="B434" s="311" t="s">
        <v>336</v>
      </c>
      <c r="C434" s="319">
        <v>45307</v>
      </c>
      <c r="D434" s="28" t="s">
        <v>1072</v>
      </c>
      <c r="E434" s="143" t="str">
        <f>VLOOKUP(D434,'Danh mục hàng hóa'!$C$3:$D$643,2,0)</f>
        <v>Vớ trắng mỏng tulip hồng</v>
      </c>
      <c r="F434" s="144" t="str">
        <f>VLOOKUP(D434,'Danh mục hàng hóa'!$C$3:$E$656,3,0)</f>
        <v>đôi</v>
      </c>
      <c r="G434" s="321">
        <v>4685.5</v>
      </c>
      <c r="H434" s="313">
        <v>6</v>
      </c>
      <c r="I434" s="317"/>
      <c r="J434" s="166">
        <f t="shared" si="16"/>
        <v>28113</v>
      </c>
      <c r="K434" s="168">
        <f t="shared" si="10"/>
        <v>0</v>
      </c>
      <c r="L434" s="30"/>
      <c r="M434" s="67"/>
    </row>
    <row r="435" spans="1:13" ht="13.2">
      <c r="A435" s="146">
        <v>496</v>
      </c>
      <c r="B435" s="311" t="s">
        <v>336</v>
      </c>
      <c r="C435" s="319">
        <v>45307</v>
      </c>
      <c r="D435" s="28" t="s">
        <v>1074</v>
      </c>
      <c r="E435" s="143" t="str">
        <f>VLOOKUP(D435,'Danh mục hàng hóa'!$C$3:$D$643,2,0)</f>
        <v>Vớ trắng icon be 1</v>
      </c>
      <c r="F435" s="144" t="str">
        <f>VLOOKUP(D435,'Danh mục hàng hóa'!$C$3:$E$656,3,0)</f>
        <v>đôi</v>
      </c>
      <c r="G435" s="321">
        <v>4685.5</v>
      </c>
      <c r="H435" s="313">
        <v>4</v>
      </c>
      <c r="I435" s="317"/>
      <c r="J435" s="166">
        <f t="shared" si="16"/>
        <v>18742</v>
      </c>
      <c r="K435" s="168">
        <f t="shared" si="10"/>
        <v>0</v>
      </c>
      <c r="L435" s="30"/>
      <c r="M435" s="67"/>
    </row>
    <row r="436" spans="1:13" ht="13.2">
      <c r="A436" s="146">
        <v>497</v>
      </c>
      <c r="B436" s="311" t="s">
        <v>336</v>
      </c>
      <c r="C436" s="319">
        <v>45307</v>
      </c>
      <c r="D436" s="28" t="s">
        <v>1076</v>
      </c>
      <c r="E436" s="143" t="str">
        <f>VLOOKUP(D436,'Danh mục hàng hóa'!$C$3:$D$643,2,0)</f>
        <v>Vớ trắng icon be 2</v>
      </c>
      <c r="F436" s="144" t="str">
        <f>VLOOKUP(D436,'Danh mục hàng hóa'!$C$3:$E$656,3,0)</f>
        <v>đôi</v>
      </c>
      <c r="G436" s="321">
        <v>4510</v>
      </c>
      <c r="H436" s="313">
        <v>4</v>
      </c>
      <c r="I436" s="317"/>
      <c r="J436" s="166">
        <f t="shared" si="16"/>
        <v>18040</v>
      </c>
      <c r="K436" s="168">
        <f t="shared" si="10"/>
        <v>0</v>
      </c>
      <c r="L436" s="30"/>
      <c r="M436" s="67"/>
    </row>
    <row r="437" spans="1:13" ht="13.2">
      <c r="A437" s="146">
        <v>498</v>
      </c>
      <c r="B437" s="311" t="s">
        <v>336</v>
      </c>
      <c r="C437" s="319">
        <v>45307</v>
      </c>
      <c r="D437" s="28" t="s">
        <v>1078</v>
      </c>
      <c r="E437" s="143" t="str">
        <f>VLOOKUP(D437,'Danh mục hàng hóa'!$C$3:$D$643,2,0)</f>
        <v>Vớ trắng icon be 3</v>
      </c>
      <c r="F437" s="144" t="str">
        <f>VLOOKUP(D437,'Danh mục hàng hóa'!$C$3:$E$656,3,0)</f>
        <v>đôi</v>
      </c>
      <c r="G437" s="321">
        <v>4510</v>
      </c>
      <c r="H437" s="313">
        <v>4</v>
      </c>
      <c r="I437" s="317"/>
      <c r="J437" s="166">
        <f t="shared" si="16"/>
        <v>18040</v>
      </c>
      <c r="K437" s="168">
        <f t="shared" si="10"/>
        <v>0</v>
      </c>
      <c r="L437" s="30"/>
      <c r="M437" s="67"/>
    </row>
    <row r="438" spans="1:13" ht="13.2">
      <c r="A438" s="146">
        <v>499</v>
      </c>
      <c r="B438" s="311" t="s">
        <v>336</v>
      </c>
      <c r="C438" s="319">
        <v>45307</v>
      </c>
      <c r="D438" s="28" t="s">
        <v>1080</v>
      </c>
      <c r="E438" s="143" t="str">
        <f>VLOOKUP(D438,'Danh mục hàng hóa'!$C$3:$D$643,2,0)</f>
        <v>Vớ trắng icon be 4</v>
      </c>
      <c r="F438" s="144" t="str">
        <f>VLOOKUP(D438,'Danh mục hàng hóa'!$C$3:$E$656,3,0)</f>
        <v>đôi</v>
      </c>
      <c r="G438" s="321">
        <v>4510</v>
      </c>
      <c r="H438" s="313">
        <v>4</v>
      </c>
      <c r="I438" s="317"/>
      <c r="J438" s="166">
        <f t="shared" si="16"/>
        <v>18040</v>
      </c>
      <c r="K438" s="168">
        <f t="shared" si="10"/>
        <v>0</v>
      </c>
      <c r="L438" s="30"/>
      <c r="M438" s="67"/>
    </row>
    <row r="439" spans="1:13" ht="13.2">
      <c r="A439" s="146">
        <v>500</v>
      </c>
      <c r="B439" s="311" t="s">
        <v>336</v>
      </c>
      <c r="C439" s="319">
        <v>45307</v>
      </c>
      <c r="D439" s="28" t="s">
        <v>1082</v>
      </c>
      <c r="E439" s="143" t="str">
        <f>VLOOKUP(D439,'Danh mục hàng hóa'!$C$3:$D$643,2,0)</f>
        <v>Vớ trắng icon be 5</v>
      </c>
      <c r="F439" s="144" t="str">
        <f>VLOOKUP(D439,'Danh mục hàng hóa'!$C$3:$E$656,3,0)</f>
        <v>đôi</v>
      </c>
      <c r="G439" s="321">
        <v>4510</v>
      </c>
      <c r="H439" s="313">
        <v>4</v>
      </c>
      <c r="I439" s="317"/>
      <c r="J439" s="166">
        <f t="shared" si="16"/>
        <v>18040</v>
      </c>
      <c r="K439" s="168">
        <f t="shared" si="10"/>
        <v>0</v>
      </c>
      <c r="L439" s="30"/>
      <c r="M439" s="67"/>
    </row>
    <row r="440" spans="1:13" ht="13.2">
      <c r="A440" s="146">
        <v>501</v>
      </c>
      <c r="B440" s="311" t="s">
        <v>336</v>
      </c>
      <c r="C440" s="319">
        <v>45307</v>
      </c>
      <c r="D440" s="28" t="s">
        <v>1084</v>
      </c>
      <c r="E440" s="143" t="str">
        <f>VLOOKUP(D440,'Danh mục hàng hóa'!$C$3:$D$643,2,0)</f>
        <v>Vớ trắng đen mẫu 1</v>
      </c>
      <c r="F440" s="144" t="str">
        <f>VLOOKUP(D440,'Danh mục hàng hóa'!$C$3:$E$656,3,0)</f>
        <v>đôi</v>
      </c>
      <c r="G440" s="321">
        <v>7669</v>
      </c>
      <c r="H440" s="313">
        <v>4</v>
      </c>
      <c r="I440" s="317"/>
      <c r="J440" s="166">
        <f t="shared" si="16"/>
        <v>30676</v>
      </c>
      <c r="K440" s="168">
        <f t="shared" si="10"/>
        <v>0</v>
      </c>
      <c r="L440" s="30"/>
      <c r="M440" s="67"/>
    </row>
    <row r="441" spans="1:13" ht="13.2">
      <c r="A441" s="146">
        <v>502</v>
      </c>
      <c r="B441" s="311" t="s">
        <v>336</v>
      </c>
      <c r="C441" s="319">
        <v>45307</v>
      </c>
      <c r="D441" s="28" t="s">
        <v>1086</v>
      </c>
      <c r="E441" s="143" t="str">
        <f>VLOOKUP(D441,'Danh mục hàng hóa'!$C$3:$D$643,2,0)</f>
        <v>Vớ trắng đen mẫu 2</v>
      </c>
      <c r="F441" s="144" t="str">
        <f>VLOOKUP(D441,'Danh mục hàng hóa'!$C$3:$E$656,3,0)</f>
        <v>đôi</v>
      </c>
      <c r="G441" s="321">
        <v>7669</v>
      </c>
      <c r="H441" s="313">
        <v>4</v>
      </c>
      <c r="I441" s="317"/>
      <c r="J441" s="166">
        <f t="shared" si="16"/>
        <v>30676</v>
      </c>
      <c r="K441" s="168">
        <f t="shared" si="10"/>
        <v>0</v>
      </c>
      <c r="L441" s="30"/>
      <c r="M441" s="67"/>
    </row>
    <row r="442" spans="1:13" ht="13.2">
      <c r="A442" s="146">
        <v>503</v>
      </c>
      <c r="B442" s="311" t="s">
        <v>336</v>
      </c>
      <c r="C442" s="319">
        <v>45307</v>
      </c>
      <c r="D442" s="28" t="s">
        <v>1088</v>
      </c>
      <c r="E442" s="143" t="str">
        <f>VLOOKUP(D442,'Danh mục hàng hóa'!$C$3:$D$643,2,0)</f>
        <v>Vớ trắng đen mẫu 3</v>
      </c>
      <c r="F442" s="144" t="str">
        <f>VLOOKUP(D442,'Danh mục hàng hóa'!$C$3:$E$656,3,0)</f>
        <v>đôi</v>
      </c>
      <c r="G442" s="321">
        <v>7669</v>
      </c>
      <c r="H442" s="313">
        <v>4</v>
      </c>
      <c r="I442" s="317"/>
      <c r="J442" s="166">
        <f t="shared" si="16"/>
        <v>30676</v>
      </c>
      <c r="K442" s="168">
        <f t="shared" si="10"/>
        <v>0</v>
      </c>
      <c r="L442" s="30"/>
      <c r="M442" s="67"/>
    </row>
    <row r="443" spans="1:13" ht="13.2">
      <c r="A443" s="146">
        <v>504</v>
      </c>
      <c r="B443" s="311" t="s">
        <v>336</v>
      </c>
      <c r="C443" s="319">
        <v>45307</v>
      </c>
      <c r="D443" s="28" t="s">
        <v>1090</v>
      </c>
      <c r="E443" s="143" t="str">
        <f>VLOOKUP(D443,'Danh mục hàng hóa'!$C$3:$D$643,2,0)</f>
        <v>Vớ trắng đen mẫu 4</v>
      </c>
      <c r="F443" s="144" t="str">
        <f>VLOOKUP(D443,'Danh mục hàng hóa'!$C$3:$E$656,3,0)</f>
        <v>đôi</v>
      </c>
      <c r="G443" s="321">
        <v>7669</v>
      </c>
      <c r="H443" s="313">
        <v>4</v>
      </c>
      <c r="I443" s="317"/>
      <c r="J443" s="166">
        <f t="shared" si="16"/>
        <v>30676</v>
      </c>
      <c r="K443" s="168">
        <f t="shared" si="10"/>
        <v>0</v>
      </c>
      <c r="L443" s="30"/>
      <c r="M443" s="67"/>
    </row>
    <row r="444" spans="1:13" ht="13.2">
      <c r="A444" s="146">
        <v>505</v>
      </c>
      <c r="B444" s="311" t="s">
        <v>336</v>
      </c>
      <c r="C444" s="319">
        <v>45307</v>
      </c>
      <c r="D444" s="28" t="s">
        <v>1092</v>
      </c>
      <c r="E444" s="143" t="str">
        <f>VLOOKUP(D444,'Danh mục hàng hóa'!$C$3:$D$643,2,0)</f>
        <v>Vớ trắng đen mẫu 5</v>
      </c>
      <c r="F444" s="144" t="str">
        <f>VLOOKUP(D444,'Danh mục hàng hóa'!$C$3:$E$656,3,0)</f>
        <v>đôi</v>
      </c>
      <c r="G444" s="321">
        <v>9704.7999999999993</v>
      </c>
      <c r="H444" s="313">
        <v>4</v>
      </c>
      <c r="I444" s="317"/>
      <c r="J444" s="166">
        <f t="shared" si="16"/>
        <v>38819.199999999997</v>
      </c>
      <c r="K444" s="168">
        <f t="shared" si="10"/>
        <v>0</v>
      </c>
      <c r="L444" s="30"/>
      <c r="M444" s="67"/>
    </row>
    <row r="445" spans="1:13" ht="13.2">
      <c r="A445" s="146">
        <v>506</v>
      </c>
      <c r="B445" s="311" t="s">
        <v>336</v>
      </c>
      <c r="C445" s="319">
        <v>45307</v>
      </c>
      <c r="D445" s="28" t="s">
        <v>1094</v>
      </c>
      <c r="E445" s="143" t="str">
        <f>VLOOKUP(D445,'Danh mục hàng hóa'!$C$3:$D$643,2,0)</f>
        <v>Vớ cổ cao full hồng</v>
      </c>
      <c r="F445" s="144" t="str">
        <f>VLOOKUP(D445,'Danh mục hàng hóa'!$C$3:$E$656,3,0)</f>
        <v>đôi</v>
      </c>
      <c r="G445" s="321">
        <v>9704.7999999999993</v>
      </c>
      <c r="H445" s="313">
        <v>3</v>
      </c>
      <c r="I445" s="317"/>
      <c r="J445" s="166">
        <f t="shared" si="16"/>
        <v>29114.399999999998</v>
      </c>
      <c r="K445" s="168">
        <f t="shared" si="10"/>
        <v>0</v>
      </c>
      <c r="L445" s="30"/>
      <c r="M445" s="67"/>
    </row>
    <row r="446" spans="1:13" ht="13.2">
      <c r="A446" s="146">
        <v>507</v>
      </c>
      <c r="B446" s="311" t="s">
        <v>336</v>
      </c>
      <c r="C446" s="319">
        <v>45307</v>
      </c>
      <c r="D446" s="28" t="s">
        <v>1096</v>
      </c>
      <c r="E446" s="143" t="str">
        <f>VLOOKUP(D446,'Danh mục hàng hóa'!$C$3:$D$643,2,0)</f>
        <v>Vớ cổ cao hồng be</v>
      </c>
      <c r="F446" s="144" t="str">
        <f>VLOOKUP(D446,'Danh mục hàng hóa'!$C$3:$E$656,3,0)</f>
        <v>đôi</v>
      </c>
      <c r="G446" s="321">
        <v>9704.7999999999993</v>
      </c>
      <c r="H446" s="313">
        <v>3</v>
      </c>
      <c r="I446" s="317"/>
      <c r="J446" s="166">
        <f t="shared" si="16"/>
        <v>29114.399999999998</v>
      </c>
      <c r="K446" s="168">
        <f t="shared" si="10"/>
        <v>0</v>
      </c>
      <c r="L446" s="30"/>
      <c r="M446" s="67"/>
    </row>
    <row r="447" spans="1:13" ht="13.2">
      <c r="A447" s="146">
        <v>508</v>
      </c>
      <c r="B447" s="311" t="s">
        <v>336</v>
      </c>
      <c r="C447" s="319">
        <v>45307</v>
      </c>
      <c r="D447" s="28" t="s">
        <v>1098</v>
      </c>
      <c r="E447" s="143" t="str">
        <f>VLOOKUP(D447,'Danh mục hàng hóa'!$C$3:$D$643,2,0)</f>
        <v>Vớ cổ cao trắng hoa hồng</v>
      </c>
      <c r="F447" s="144" t="str">
        <f>VLOOKUP(D447,'Danh mục hàng hóa'!$C$3:$E$656,3,0)</f>
        <v>đôi</v>
      </c>
      <c r="G447" s="321">
        <v>9704.7999999999993</v>
      </c>
      <c r="H447" s="313">
        <v>3</v>
      </c>
      <c r="I447" s="317"/>
      <c r="J447" s="166">
        <f t="shared" si="16"/>
        <v>29114.399999999998</v>
      </c>
      <c r="K447" s="168">
        <f t="shared" si="10"/>
        <v>0</v>
      </c>
      <c r="L447" s="30"/>
      <c r="M447" s="67"/>
    </row>
    <row r="448" spans="1:13" ht="13.2">
      <c r="A448" s="146">
        <v>509</v>
      </c>
      <c r="B448" s="311" t="s">
        <v>336</v>
      </c>
      <c r="C448" s="319">
        <v>45307</v>
      </c>
      <c r="D448" s="28" t="s">
        <v>1100</v>
      </c>
      <c r="E448" s="143" t="str">
        <f>VLOOKUP(D448,'Danh mục hàng hóa'!$C$3:$D$643,2,0)</f>
        <v>Vớ cổ cao sọc hồng</v>
      </c>
      <c r="F448" s="144" t="str">
        <f>VLOOKUP(D448,'Danh mục hàng hóa'!$C$3:$E$656,3,0)</f>
        <v>đôi</v>
      </c>
      <c r="G448" s="321">
        <v>9704.7999999999993</v>
      </c>
      <c r="H448" s="313">
        <v>3</v>
      </c>
      <c r="I448" s="317"/>
      <c r="J448" s="166">
        <f t="shared" si="16"/>
        <v>29114.399999999998</v>
      </c>
      <c r="K448" s="168">
        <f t="shared" si="10"/>
        <v>0</v>
      </c>
      <c r="L448" s="30"/>
      <c r="M448" s="67"/>
    </row>
    <row r="449" spans="1:13" ht="13.2">
      <c r="A449" s="146">
        <v>510</v>
      </c>
      <c r="B449" s="311" t="s">
        <v>336</v>
      </c>
      <c r="C449" s="319">
        <v>45307</v>
      </c>
      <c r="D449" s="28" t="s">
        <v>1102</v>
      </c>
      <c r="E449" s="143" t="str">
        <f>VLOOKUP(D449,'Danh mục hàng hóa'!$C$3:$D$643,2,0)</f>
        <v>Vớ cổ cao trắng hoa vàng</v>
      </c>
      <c r="F449" s="144" t="str">
        <f>VLOOKUP(D449,'Danh mục hàng hóa'!$C$3:$E$656,3,0)</f>
        <v>đôi</v>
      </c>
      <c r="G449" s="321">
        <v>9704.7999999999993</v>
      </c>
      <c r="H449" s="313">
        <v>5</v>
      </c>
      <c r="I449" s="317"/>
      <c r="J449" s="166">
        <f t="shared" si="16"/>
        <v>48524</v>
      </c>
      <c r="K449" s="168">
        <f t="shared" si="10"/>
        <v>0</v>
      </c>
      <c r="L449" s="30"/>
      <c r="M449" s="67"/>
    </row>
    <row r="450" spans="1:13" ht="13.2">
      <c r="A450" s="146">
        <v>511</v>
      </c>
      <c r="B450" s="311" t="s">
        <v>336</v>
      </c>
      <c r="C450" s="319">
        <v>45307</v>
      </c>
      <c r="D450" s="28" t="s">
        <v>1104</v>
      </c>
      <c r="E450" s="143" t="str">
        <f>VLOOKUP(D450,'Danh mục hàng hóa'!$C$3:$D$643,2,0)</f>
        <v>Vớ cổ cao trắng cỏ ba lá xanh</v>
      </c>
      <c r="F450" s="144" t="str">
        <f>VLOOKUP(D450,'Danh mục hàng hóa'!$C$3:$E$656,3,0)</f>
        <v>đôi</v>
      </c>
      <c r="G450" s="321">
        <v>9704.7999999999993</v>
      </c>
      <c r="H450" s="313">
        <v>5</v>
      </c>
      <c r="I450" s="317"/>
      <c r="J450" s="166">
        <f t="shared" si="16"/>
        <v>48524</v>
      </c>
      <c r="K450" s="168">
        <f t="shared" si="10"/>
        <v>0</v>
      </c>
      <c r="L450" s="30"/>
      <c r="M450" s="67"/>
    </row>
    <row r="451" spans="1:13" ht="13.2">
      <c r="A451" s="146">
        <v>512</v>
      </c>
      <c r="B451" s="311" t="s">
        <v>336</v>
      </c>
      <c r="C451" s="319">
        <v>45307</v>
      </c>
      <c r="D451" s="28" t="s">
        <v>1106</v>
      </c>
      <c r="E451" s="143" t="str">
        <f>VLOOKUP(D451,'Danh mục hàng hóa'!$C$3:$D$643,2,0)</f>
        <v>Vớ cổ cao trắng hoa đen</v>
      </c>
      <c r="F451" s="144" t="str">
        <f>VLOOKUP(D451,'Danh mục hàng hóa'!$C$3:$E$656,3,0)</f>
        <v>đôi</v>
      </c>
      <c r="G451" s="321">
        <v>9704.7999999999993</v>
      </c>
      <c r="H451" s="313">
        <v>5</v>
      </c>
      <c r="I451" s="317"/>
      <c r="J451" s="166">
        <f t="shared" si="16"/>
        <v>48524</v>
      </c>
      <c r="K451" s="168">
        <f t="shared" si="10"/>
        <v>0</v>
      </c>
      <c r="L451" s="30"/>
      <c r="M451" s="67"/>
    </row>
    <row r="452" spans="1:13" ht="13.2">
      <c r="A452" s="146">
        <v>513</v>
      </c>
      <c r="B452" s="311" t="s">
        <v>336</v>
      </c>
      <c r="C452" s="319">
        <v>45307</v>
      </c>
      <c r="D452" s="28" t="s">
        <v>1108</v>
      </c>
      <c r="E452" s="143" t="str">
        <f>VLOOKUP(D452,'Danh mục hàng hóa'!$C$3:$D$643,2,0)</f>
        <v>Vớ cổ cao trắng hoa hồng</v>
      </c>
      <c r="F452" s="144" t="str">
        <f>VLOOKUP(D452,'Danh mục hàng hóa'!$C$3:$E$656,3,0)</f>
        <v>đôi</v>
      </c>
      <c r="G452" s="321">
        <v>9704.7999999999993</v>
      </c>
      <c r="H452" s="313">
        <v>5</v>
      </c>
      <c r="I452" s="317"/>
      <c r="J452" s="166">
        <f t="shared" si="16"/>
        <v>48524</v>
      </c>
      <c r="K452" s="168">
        <f t="shared" si="10"/>
        <v>0</v>
      </c>
      <c r="L452" s="30"/>
      <c r="M452" s="67"/>
    </row>
    <row r="453" spans="1:13" ht="13.2">
      <c r="A453" s="146">
        <v>514</v>
      </c>
      <c r="B453" s="311" t="s">
        <v>336</v>
      </c>
      <c r="C453" s="319">
        <v>45307</v>
      </c>
      <c r="D453" s="28" t="s">
        <v>2148</v>
      </c>
      <c r="E453" s="143" t="e">
        <f>VLOOKUP(D453,'Danh mục hàng hóa'!$C$3:$D$643,2,0)</f>
        <v>#N/A</v>
      </c>
      <c r="F453" s="144" t="e">
        <f>VLOOKUP(D453,'Danh mục hàng hóa'!$C$3:$E$656,3,0)</f>
        <v>#N/A</v>
      </c>
      <c r="G453" s="321">
        <v>9704.7999999999993</v>
      </c>
      <c r="H453" s="313">
        <v>5</v>
      </c>
      <c r="I453" s="317"/>
      <c r="J453" s="166">
        <f t="shared" si="16"/>
        <v>48524</v>
      </c>
      <c r="K453" s="168">
        <f t="shared" si="10"/>
        <v>0</v>
      </c>
      <c r="L453" s="30"/>
      <c r="M453" s="67"/>
    </row>
    <row r="454" spans="1:13" ht="13.2">
      <c r="A454" s="146">
        <v>515</v>
      </c>
      <c r="B454" s="311" t="s">
        <v>337</v>
      </c>
      <c r="C454" s="319">
        <v>45307</v>
      </c>
      <c r="D454" s="28" t="s">
        <v>435</v>
      </c>
      <c r="E454" s="143" t="str">
        <f>VLOOKUP(D454,'Danh mục hàng hóa'!$C$3:$D$643,2,0)</f>
        <v>Bao lì xì Tết tài lộc</v>
      </c>
      <c r="F454" s="144" t="str">
        <f>VLOOKUP(D454,'Danh mục hàng hóa'!$C$3:$E$656,3,0)</f>
        <v>set 6 cái</v>
      </c>
      <c r="G454" s="320">
        <v>6706</v>
      </c>
      <c r="H454" s="317"/>
      <c r="I454" s="313">
        <v>1</v>
      </c>
      <c r="J454" s="166">
        <f t="shared" si="16"/>
        <v>0</v>
      </c>
      <c r="K454" s="168">
        <f t="shared" si="10"/>
        <v>6706</v>
      </c>
      <c r="L454" s="30"/>
      <c r="M454" s="67"/>
    </row>
    <row r="455" spans="1:13" ht="13.2">
      <c r="A455" s="146">
        <v>516</v>
      </c>
      <c r="B455" s="311" t="s">
        <v>337</v>
      </c>
      <c r="C455" s="319">
        <v>45307</v>
      </c>
      <c r="D455" s="28" t="s">
        <v>437</v>
      </c>
      <c r="E455" s="143" t="str">
        <f>VLOOKUP(D455,'Danh mục hàng hóa'!$C$3:$D$643,2,0)</f>
        <v>Bao lì xì Tết hoa</v>
      </c>
      <c r="F455" s="144" t="str">
        <f>VLOOKUP(D455,'Danh mục hàng hóa'!$C$3:$E$656,3,0)</f>
        <v>set 6 cái</v>
      </c>
      <c r="G455" s="320">
        <v>6706</v>
      </c>
      <c r="H455" s="317"/>
      <c r="I455" s="313">
        <v>6</v>
      </c>
      <c r="J455" s="166">
        <f t="shared" si="16"/>
        <v>0</v>
      </c>
      <c r="K455" s="168">
        <f t="shared" si="10"/>
        <v>40236</v>
      </c>
      <c r="L455" s="30"/>
      <c r="M455" s="67"/>
    </row>
    <row r="456" spans="1:13" ht="13.2">
      <c r="A456" s="146">
        <v>517</v>
      </c>
      <c r="B456" s="311" t="s">
        <v>337</v>
      </c>
      <c r="C456" s="319">
        <v>45307</v>
      </c>
      <c r="D456" s="28" t="s">
        <v>438</v>
      </c>
      <c r="E456" s="143" t="str">
        <f>VLOOKUP(D456,'Danh mục hàng hóa'!$C$3:$D$643,2,0)</f>
        <v>Bao lì xì Tết xanh</v>
      </c>
      <c r="F456" s="144" t="str">
        <f>VLOOKUP(D456,'Danh mục hàng hóa'!$C$3:$E$656,3,0)</f>
        <v>set 6 cái</v>
      </c>
      <c r="G456" s="320">
        <v>6706</v>
      </c>
      <c r="H456" s="317"/>
      <c r="I456" s="313">
        <v>1</v>
      </c>
      <c r="J456" s="166">
        <f t="shared" si="16"/>
        <v>0</v>
      </c>
      <c r="K456" s="168">
        <f t="shared" si="10"/>
        <v>6706</v>
      </c>
      <c r="L456" s="30"/>
      <c r="M456" s="67"/>
    </row>
    <row r="457" spans="1:13" ht="13.2">
      <c r="A457" s="146">
        <v>518</v>
      </c>
      <c r="B457" s="311" t="s">
        <v>337</v>
      </c>
      <c r="C457" s="319">
        <v>45307</v>
      </c>
      <c r="D457" s="28" t="s">
        <v>439</v>
      </c>
      <c r="E457" s="143" t="str">
        <f>VLOOKUP(D457,'Danh mục hàng hóa'!$C$3:$D$643,2,0)</f>
        <v>Bao lì xì vui vẻ</v>
      </c>
      <c r="F457" s="144" t="str">
        <f>VLOOKUP(D457,'Danh mục hàng hóa'!$C$3:$E$656,3,0)</f>
        <v>set 6 cái</v>
      </c>
      <c r="G457" s="320">
        <v>6706</v>
      </c>
      <c r="H457" s="317"/>
      <c r="I457" s="313">
        <v>1</v>
      </c>
      <c r="J457" s="166">
        <f t="shared" si="16"/>
        <v>0</v>
      </c>
      <c r="K457" s="168">
        <f t="shared" si="10"/>
        <v>6706</v>
      </c>
      <c r="L457" s="30"/>
      <c r="M457" s="67"/>
    </row>
    <row r="458" spans="1:13" ht="13.2">
      <c r="A458" s="146">
        <v>519</v>
      </c>
      <c r="B458" s="311" t="s">
        <v>337</v>
      </c>
      <c r="C458" s="319">
        <v>45307</v>
      </c>
      <c r="D458" s="28" t="s">
        <v>440</v>
      </c>
      <c r="E458" s="143" t="str">
        <f>VLOOKUP(D458,'Danh mục hàng hóa'!$C$3:$D$643,2,0)</f>
        <v>Bao lì xì ngộ nghĩnh</v>
      </c>
      <c r="F458" s="144" t="str">
        <f>VLOOKUP(D458,'Danh mục hàng hóa'!$C$3:$E$656,3,0)</f>
        <v>set 6 cái</v>
      </c>
      <c r="G458" s="320">
        <v>6706</v>
      </c>
      <c r="H458" s="317"/>
      <c r="I458" s="313">
        <v>1</v>
      </c>
      <c r="J458" s="166">
        <f t="shared" si="16"/>
        <v>0</v>
      </c>
      <c r="K458" s="168">
        <f t="shared" si="10"/>
        <v>6706</v>
      </c>
      <c r="L458" s="30"/>
      <c r="M458" s="67"/>
    </row>
    <row r="459" spans="1:13" ht="13.2">
      <c r="A459" s="146">
        <v>520</v>
      </c>
      <c r="B459" s="311" t="s">
        <v>337</v>
      </c>
      <c r="C459" s="319">
        <v>45307</v>
      </c>
      <c r="D459" s="28" t="s">
        <v>588</v>
      </c>
      <c r="E459" s="143" t="str">
        <f>VLOOKUP(D459,'Danh mục hàng hóa'!$C$3:$D$643,2,0)</f>
        <v>Kẹp tóc nhựa be</v>
      </c>
      <c r="F459" s="144" t="str">
        <f>VLOOKUP(D459,'Danh mục hàng hóa'!$C$3:$E$656,3,0)</f>
        <v>cái</v>
      </c>
      <c r="G459" s="320">
        <v>14900</v>
      </c>
      <c r="H459" s="317"/>
      <c r="I459" s="313">
        <v>1</v>
      </c>
      <c r="J459" s="166">
        <f t="shared" si="16"/>
        <v>0</v>
      </c>
      <c r="K459" s="168">
        <f t="shared" si="10"/>
        <v>14900</v>
      </c>
      <c r="L459" s="30"/>
      <c r="M459" s="67"/>
    </row>
    <row r="460" spans="1:13" ht="13.2">
      <c r="A460" s="146">
        <v>521</v>
      </c>
      <c r="B460" s="311" t="s">
        <v>337</v>
      </c>
      <c r="C460" s="319">
        <v>45307</v>
      </c>
      <c r="D460" s="28" t="s">
        <v>437</v>
      </c>
      <c r="E460" s="143" t="str">
        <f>VLOOKUP(D460,'Danh mục hàng hóa'!$C$3:$D$643,2,0)</f>
        <v>Bao lì xì Tết hoa</v>
      </c>
      <c r="F460" s="144" t="str">
        <f>VLOOKUP(D460,'Danh mục hàng hóa'!$C$3:$E$656,3,0)</f>
        <v>set 6 cái</v>
      </c>
      <c r="G460" s="321">
        <f t="shared" ref="G460:G462" si="32">45744/6</f>
        <v>7624</v>
      </c>
      <c r="H460" s="317"/>
      <c r="I460" s="313">
        <v>2</v>
      </c>
      <c r="J460" s="166">
        <f t="shared" si="16"/>
        <v>0</v>
      </c>
      <c r="K460" s="168">
        <f t="shared" si="10"/>
        <v>15248</v>
      </c>
      <c r="L460" s="30"/>
      <c r="M460" s="67"/>
    </row>
    <row r="461" spans="1:13" ht="13.2">
      <c r="A461" s="146">
        <v>522</v>
      </c>
      <c r="B461" s="311" t="s">
        <v>337</v>
      </c>
      <c r="C461" s="319">
        <v>45307</v>
      </c>
      <c r="D461" s="28" t="s">
        <v>439</v>
      </c>
      <c r="E461" s="143" t="str">
        <f>VLOOKUP(D461,'Danh mục hàng hóa'!$C$3:$D$643,2,0)</f>
        <v>Bao lì xì vui vẻ</v>
      </c>
      <c r="F461" s="144" t="str">
        <f>VLOOKUP(D461,'Danh mục hàng hóa'!$C$3:$E$656,3,0)</f>
        <v>set 6 cái</v>
      </c>
      <c r="G461" s="321">
        <f t="shared" si="32"/>
        <v>7624</v>
      </c>
      <c r="H461" s="317"/>
      <c r="I461" s="313">
        <v>2</v>
      </c>
      <c r="J461" s="166">
        <f t="shared" si="16"/>
        <v>0</v>
      </c>
      <c r="K461" s="168">
        <f t="shared" si="10"/>
        <v>15248</v>
      </c>
      <c r="L461" s="30"/>
      <c r="M461" s="67"/>
    </row>
    <row r="462" spans="1:13" ht="13.2">
      <c r="A462" s="146">
        <v>523</v>
      </c>
      <c r="B462" s="311" t="s">
        <v>337</v>
      </c>
      <c r="C462" s="319">
        <v>45307</v>
      </c>
      <c r="D462" s="28" t="s">
        <v>440</v>
      </c>
      <c r="E462" s="143" t="str">
        <f>VLOOKUP(D462,'Danh mục hàng hóa'!$C$3:$D$643,2,0)</f>
        <v>Bao lì xì ngộ nghĩnh</v>
      </c>
      <c r="F462" s="144" t="str">
        <f>VLOOKUP(D462,'Danh mục hàng hóa'!$C$3:$E$656,3,0)</f>
        <v>set 6 cái</v>
      </c>
      <c r="G462" s="321">
        <f t="shared" si="32"/>
        <v>7624</v>
      </c>
      <c r="H462" s="317"/>
      <c r="I462" s="313">
        <v>2</v>
      </c>
      <c r="J462" s="166">
        <f t="shared" si="16"/>
        <v>0</v>
      </c>
      <c r="K462" s="168">
        <f t="shared" si="10"/>
        <v>15248</v>
      </c>
      <c r="L462" s="30"/>
      <c r="M462" s="67"/>
    </row>
    <row r="463" spans="1:13" ht="13.2">
      <c r="A463" s="146">
        <v>524</v>
      </c>
      <c r="B463" s="311" t="s">
        <v>337</v>
      </c>
      <c r="C463" s="319">
        <v>45307</v>
      </c>
      <c r="D463" s="28" t="s">
        <v>414</v>
      </c>
      <c r="E463" s="143" t="str">
        <f>VLOOKUP(D463,'Danh mục hàng hóa'!$C$3:$D$643,2,0)</f>
        <v>Túi chườm bụng dâu tây 500ml</v>
      </c>
      <c r="F463" s="144" t="str">
        <f>VLOOKUP(D463,'Danh mục hàng hóa'!$C$3:$E$656,3,0)</f>
        <v>túi</v>
      </c>
      <c r="G463" s="320">
        <v>78320</v>
      </c>
      <c r="H463" s="317"/>
      <c r="I463" s="313">
        <v>1</v>
      </c>
      <c r="J463" s="166">
        <f t="shared" si="16"/>
        <v>0</v>
      </c>
      <c r="K463" s="168">
        <f t="shared" si="10"/>
        <v>78320</v>
      </c>
      <c r="L463" s="30"/>
      <c r="M463" s="67"/>
    </row>
    <row r="464" spans="1:13" ht="13.2">
      <c r="A464" s="146">
        <v>525</v>
      </c>
      <c r="B464" s="311" t="s">
        <v>337</v>
      </c>
      <c r="C464" s="319">
        <v>45307</v>
      </c>
      <c r="D464" s="28" t="s">
        <v>437</v>
      </c>
      <c r="E464" s="143" t="str">
        <f>VLOOKUP(D464,'Danh mục hàng hóa'!$C$3:$D$643,2,0)</f>
        <v>Bao lì xì Tết hoa</v>
      </c>
      <c r="F464" s="144" t="str">
        <f>VLOOKUP(D464,'Danh mục hàng hóa'!$C$3:$E$656,3,0)</f>
        <v>set 6 cái</v>
      </c>
      <c r="G464" s="321">
        <f t="shared" ref="G464:G465" si="33">15448/2</f>
        <v>7724</v>
      </c>
      <c r="H464" s="317"/>
      <c r="I464" s="313">
        <v>1</v>
      </c>
      <c r="J464" s="166">
        <f t="shared" si="16"/>
        <v>0</v>
      </c>
      <c r="K464" s="168">
        <f t="shared" si="10"/>
        <v>7724</v>
      </c>
      <c r="L464" s="30"/>
      <c r="M464" s="67"/>
    </row>
    <row r="465" spans="1:13" ht="13.2">
      <c r="A465" s="146">
        <v>526</v>
      </c>
      <c r="B465" s="311" t="s">
        <v>337</v>
      </c>
      <c r="C465" s="319">
        <v>45307</v>
      </c>
      <c r="D465" s="28" t="s">
        <v>440</v>
      </c>
      <c r="E465" s="143" t="str">
        <f>VLOOKUP(D465,'Danh mục hàng hóa'!$C$3:$D$643,2,0)</f>
        <v>Bao lì xì ngộ nghĩnh</v>
      </c>
      <c r="F465" s="144" t="str">
        <f>VLOOKUP(D465,'Danh mục hàng hóa'!$C$3:$E$656,3,0)</f>
        <v>set 6 cái</v>
      </c>
      <c r="G465" s="321">
        <f t="shared" si="33"/>
        <v>7724</v>
      </c>
      <c r="H465" s="317"/>
      <c r="I465" s="313">
        <v>1</v>
      </c>
      <c r="J465" s="166">
        <f t="shared" si="16"/>
        <v>0</v>
      </c>
      <c r="K465" s="168">
        <f t="shared" si="10"/>
        <v>7724</v>
      </c>
      <c r="L465" s="30"/>
      <c r="M465" s="67"/>
    </row>
    <row r="466" spans="1:13" ht="13.2">
      <c r="A466" s="146">
        <v>527</v>
      </c>
      <c r="B466" s="311" t="s">
        <v>337</v>
      </c>
      <c r="C466" s="319">
        <v>45308</v>
      </c>
      <c r="D466" s="28" t="s">
        <v>440</v>
      </c>
      <c r="E466" s="143" t="str">
        <f>VLOOKUP(D466,'Danh mục hàng hóa'!$C$3:$D$643,2,0)</f>
        <v>Bao lì xì ngộ nghĩnh</v>
      </c>
      <c r="F466" s="144" t="str">
        <f>VLOOKUP(D466,'Danh mục hàng hóa'!$C$3:$E$656,3,0)</f>
        <v>set 6 cái</v>
      </c>
      <c r="G466" s="321">
        <f>61052/8</f>
        <v>7631.5</v>
      </c>
      <c r="H466" s="317"/>
      <c r="I466" s="313">
        <v>8</v>
      </c>
      <c r="J466" s="166">
        <f t="shared" si="16"/>
        <v>0</v>
      </c>
      <c r="K466" s="168">
        <f t="shared" si="10"/>
        <v>61052</v>
      </c>
      <c r="L466" s="30"/>
      <c r="M466" s="67"/>
    </row>
    <row r="467" spans="1:13" ht="13.2">
      <c r="A467" s="146">
        <v>528</v>
      </c>
      <c r="B467" s="311" t="s">
        <v>337</v>
      </c>
      <c r="C467" s="319">
        <v>45308</v>
      </c>
      <c r="D467" s="28" t="s">
        <v>440</v>
      </c>
      <c r="E467" s="143" t="str">
        <f>VLOOKUP(D467,'Danh mục hàng hóa'!$C$3:$D$643,2,0)</f>
        <v>Bao lì xì ngộ nghĩnh</v>
      </c>
      <c r="F467" s="144" t="str">
        <f>VLOOKUP(D467,'Danh mục hàng hóa'!$C$3:$E$656,3,0)</f>
        <v>set 6 cái</v>
      </c>
      <c r="G467" s="321">
        <f t="shared" ref="G467:G468" si="34">15428/2</f>
        <v>7714</v>
      </c>
      <c r="H467" s="317"/>
      <c r="I467" s="313">
        <v>1</v>
      </c>
      <c r="J467" s="166">
        <f t="shared" si="16"/>
        <v>0</v>
      </c>
      <c r="K467" s="168">
        <f t="shared" si="10"/>
        <v>7714</v>
      </c>
      <c r="L467" s="30"/>
      <c r="M467" s="67"/>
    </row>
    <row r="468" spans="1:13" ht="13.2">
      <c r="A468" s="146"/>
      <c r="B468" s="311" t="s">
        <v>337</v>
      </c>
      <c r="C468" s="319">
        <v>45308</v>
      </c>
      <c r="D468" s="28" t="s">
        <v>439</v>
      </c>
      <c r="E468" s="143" t="str">
        <f>VLOOKUP(D468,'Danh mục hàng hóa'!$C$3:$D$643,2,0)</f>
        <v>Bao lì xì vui vẻ</v>
      </c>
      <c r="F468" s="144" t="str">
        <f>VLOOKUP(D468,'Danh mục hàng hóa'!$C$3:$E$656,3,0)</f>
        <v>set 6 cái</v>
      </c>
      <c r="G468" s="321">
        <f t="shared" si="34"/>
        <v>7714</v>
      </c>
      <c r="H468" s="317"/>
      <c r="I468" s="313">
        <v>1</v>
      </c>
      <c r="J468" s="166">
        <f t="shared" si="16"/>
        <v>0</v>
      </c>
      <c r="K468" s="168">
        <f t="shared" si="10"/>
        <v>7714</v>
      </c>
      <c r="L468" s="30"/>
      <c r="M468" s="67"/>
    </row>
    <row r="469" spans="1:13" ht="13.2">
      <c r="A469" s="146">
        <v>530</v>
      </c>
      <c r="B469" s="311" t="s">
        <v>337</v>
      </c>
      <c r="C469" s="319">
        <v>45309</v>
      </c>
      <c r="D469" s="28" t="s">
        <v>439</v>
      </c>
      <c r="E469" s="143" t="str">
        <f>VLOOKUP(D469,'Danh mục hàng hóa'!$C$3:$D$643,2,0)</f>
        <v>Bao lì xì vui vẻ</v>
      </c>
      <c r="F469" s="144" t="str">
        <f>VLOOKUP(D469,'Danh mục hàng hóa'!$C$3:$E$656,3,0)</f>
        <v>set 6 cái</v>
      </c>
      <c r="G469" s="321">
        <f>76920/10</f>
        <v>7692</v>
      </c>
      <c r="H469" s="317"/>
      <c r="I469" s="313">
        <v>10</v>
      </c>
      <c r="J469" s="166">
        <f t="shared" si="16"/>
        <v>0</v>
      </c>
      <c r="K469" s="168">
        <f t="shared" si="10"/>
        <v>76920</v>
      </c>
      <c r="L469" s="30"/>
      <c r="M469" s="67"/>
    </row>
    <row r="470" spans="1:13" ht="13.2">
      <c r="A470" s="146">
        <v>531</v>
      </c>
      <c r="B470" s="311" t="s">
        <v>337</v>
      </c>
      <c r="C470" s="319">
        <v>45309</v>
      </c>
      <c r="D470" s="28" t="s">
        <v>1108</v>
      </c>
      <c r="E470" s="143" t="str">
        <f>VLOOKUP(D470,'Danh mục hàng hóa'!$C$3:$D$643,2,0)</f>
        <v>Vớ cổ cao trắng hoa hồng</v>
      </c>
      <c r="F470" s="144" t="str">
        <f>VLOOKUP(D470,'Danh mục hàng hóa'!$C$3:$E$656,3,0)</f>
        <v>đôi</v>
      </c>
      <c r="G470" s="320">
        <v>18000</v>
      </c>
      <c r="H470" s="317"/>
      <c r="I470" s="313">
        <v>1</v>
      </c>
      <c r="J470" s="166">
        <f t="shared" si="16"/>
        <v>0</v>
      </c>
      <c r="K470" s="168">
        <f t="shared" si="10"/>
        <v>18000</v>
      </c>
      <c r="L470" s="30"/>
      <c r="M470" s="67"/>
    </row>
    <row r="471" spans="1:13" ht="13.2">
      <c r="A471" s="146">
        <v>532</v>
      </c>
      <c r="B471" s="311" t="s">
        <v>337</v>
      </c>
      <c r="C471" s="319">
        <v>45309</v>
      </c>
      <c r="D471" s="28" t="s">
        <v>1062</v>
      </c>
      <c r="E471" s="143" t="str">
        <f>VLOOKUP(D471,'Danh mục hàng hóa'!$C$3:$D$643,2,0)</f>
        <v>Vớ cổ ngắn họa tiết hoa thỏ đen</v>
      </c>
      <c r="F471" s="144" t="str">
        <f>VLOOKUP(D471,'Danh mục hàng hóa'!$C$3:$E$656,3,0)</f>
        <v>đôi</v>
      </c>
      <c r="G471" s="320">
        <v>8000</v>
      </c>
      <c r="H471" s="317"/>
      <c r="I471" s="313">
        <v>5</v>
      </c>
      <c r="J471" s="166">
        <f t="shared" si="16"/>
        <v>0</v>
      </c>
      <c r="K471" s="168">
        <f t="shared" si="10"/>
        <v>40000</v>
      </c>
      <c r="L471" s="30"/>
      <c r="M471" s="67"/>
    </row>
    <row r="472" spans="1:13" ht="13.2">
      <c r="A472" s="146">
        <v>533</v>
      </c>
      <c r="B472" s="311" t="s">
        <v>337</v>
      </c>
      <c r="C472" s="319">
        <v>45309</v>
      </c>
      <c r="D472" s="28" t="s">
        <v>1048</v>
      </c>
      <c r="E472" s="143" t="str">
        <f>VLOOKUP(D472,'Danh mục hàng hóa'!$C$3:$D$643,2,0)</f>
        <v>Vớ cổ ngắn set xanh bơ 2</v>
      </c>
      <c r="F472" s="144" t="str">
        <f>VLOOKUP(D472,'Danh mục hàng hóa'!$C$3:$E$656,3,0)</f>
        <v>đôi</v>
      </c>
      <c r="G472" s="320">
        <v>9000</v>
      </c>
      <c r="H472" s="317"/>
      <c r="I472" s="313">
        <v>2</v>
      </c>
      <c r="J472" s="166">
        <f t="shared" si="16"/>
        <v>0</v>
      </c>
      <c r="K472" s="168">
        <f t="shared" si="10"/>
        <v>18000</v>
      </c>
      <c r="L472" s="30"/>
      <c r="M472" s="67"/>
    </row>
    <row r="473" spans="1:13" ht="13.2">
      <c r="A473" s="146">
        <v>534</v>
      </c>
      <c r="B473" s="311" t="s">
        <v>337</v>
      </c>
      <c r="C473" s="319">
        <v>45309</v>
      </c>
      <c r="D473" s="28" t="s">
        <v>1054</v>
      </c>
      <c r="E473" s="143" t="str">
        <f>VLOOKUP(D473,'Danh mục hàng hóa'!$C$3:$D$643,2,0)</f>
        <v>Vớ cổ ngắn set xanh bơ 5</v>
      </c>
      <c r="F473" s="144" t="str">
        <f>VLOOKUP(D473,'Danh mục hàng hóa'!$C$3:$E$656,3,0)</f>
        <v>đôi</v>
      </c>
      <c r="G473" s="320">
        <v>9000</v>
      </c>
      <c r="H473" s="317"/>
      <c r="I473" s="313">
        <v>1</v>
      </c>
      <c r="J473" s="166">
        <f t="shared" si="16"/>
        <v>0</v>
      </c>
      <c r="K473" s="168">
        <f t="shared" si="10"/>
        <v>9000</v>
      </c>
      <c r="L473" s="30"/>
      <c r="M473" s="67"/>
    </row>
    <row r="474" spans="1:13" ht="13.2">
      <c r="A474" s="146">
        <v>535</v>
      </c>
      <c r="B474" s="311" t="s">
        <v>337</v>
      </c>
      <c r="C474" s="319">
        <v>45309</v>
      </c>
      <c r="D474" s="28" t="s">
        <v>1035</v>
      </c>
      <c r="E474" s="143" t="str">
        <f>VLOOKUP(D474,'Danh mục hàng hóa'!$C$3:$D$643,2,0)</f>
        <v>Vớ cổ ngắn trắng thêu họa tiết mẫu 1</v>
      </c>
      <c r="F474" s="144" t="str">
        <f>VLOOKUP(D474,'Danh mục hàng hóa'!$C$3:$E$656,3,0)</f>
        <v>đôi</v>
      </c>
      <c r="G474" s="320">
        <v>11000</v>
      </c>
      <c r="H474" s="317"/>
      <c r="I474" s="313">
        <v>1</v>
      </c>
      <c r="J474" s="166">
        <f t="shared" si="16"/>
        <v>0</v>
      </c>
      <c r="K474" s="168">
        <f t="shared" si="10"/>
        <v>11000</v>
      </c>
      <c r="L474" s="30"/>
      <c r="M474" s="67"/>
    </row>
    <row r="475" spans="1:13" ht="13.2">
      <c r="A475" s="146">
        <v>536</v>
      </c>
      <c r="B475" s="311" t="s">
        <v>337</v>
      </c>
      <c r="C475" s="319">
        <v>45309</v>
      </c>
      <c r="D475" s="28" t="s">
        <v>1040</v>
      </c>
      <c r="E475" s="143" t="str">
        <f>VLOOKUP(D475,'Danh mục hàng hóa'!$C$3:$D$643,2,0)</f>
        <v>Vớ cổ ngắn trắng thêu họa tiết mẫu 3</v>
      </c>
      <c r="F475" s="144" t="str">
        <f>VLOOKUP(D475,'Danh mục hàng hóa'!$C$3:$E$656,3,0)</f>
        <v>đôi</v>
      </c>
      <c r="G475" s="320">
        <v>11000</v>
      </c>
      <c r="H475" s="317"/>
      <c r="I475" s="313">
        <v>2</v>
      </c>
      <c r="J475" s="166">
        <f t="shared" si="16"/>
        <v>0</v>
      </c>
      <c r="K475" s="168">
        <f t="shared" ref="K475:K729" si="35">G475*I475</f>
        <v>22000</v>
      </c>
      <c r="L475" s="30"/>
      <c r="M475" s="67"/>
    </row>
    <row r="476" spans="1:13" ht="13.2">
      <c r="A476" s="146">
        <v>537</v>
      </c>
      <c r="B476" s="311" t="s">
        <v>337</v>
      </c>
      <c r="C476" s="319">
        <v>45309</v>
      </c>
      <c r="D476" s="28" t="s">
        <v>1044</v>
      </c>
      <c r="E476" s="143" t="str">
        <f>VLOOKUP(D476,'Danh mục hàng hóa'!$C$3:$D$643,2,0)</f>
        <v>Vớ cổ ngắn trắng thêu họa tiết mẫu 5</v>
      </c>
      <c r="F476" s="144" t="str">
        <f>VLOOKUP(D476,'Danh mục hàng hóa'!$C$3:$E$656,3,0)</f>
        <v>đôi</v>
      </c>
      <c r="G476" s="320">
        <v>11000</v>
      </c>
      <c r="H476" s="317"/>
      <c r="I476" s="313">
        <v>1</v>
      </c>
      <c r="J476" s="166">
        <f t="shared" si="16"/>
        <v>0</v>
      </c>
      <c r="K476" s="168">
        <f t="shared" si="35"/>
        <v>11000</v>
      </c>
      <c r="L476" s="30"/>
      <c r="M476" s="67"/>
    </row>
    <row r="477" spans="1:13" ht="13.2">
      <c r="A477" s="227"/>
      <c r="B477" s="311" t="s">
        <v>337</v>
      </c>
      <c r="C477" s="319">
        <v>45309</v>
      </c>
      <c r="D477" s="28" t="s">
        <v>438</v>
      </c>
      <c r="E477" s="143" t="str">
        <f>VLOOKUP(D477,'Danh mục hàng hóa'!$C$3:$D$643,2,0)</f>
        <v>Bao lì xì Tết xanh</v>
      </c>
      <c r="F477" s="144" t="str">
        <f>VLOOKUP(D477,'Danh mục hàng hóa'!$C$3:$E$656,3,0)</f>
        <v>set 6 cái</v>
      </c>
      <c r="G477" s="320">
        <v>14000</v>
      </c>
      <c r="H477" s="317"/>
      <c r="I477" s="313">
        <v>2</v>
      </c>
      <c r="J477" s="166">
        <f t="shared" si="16"/>
        <v>0</v>
      </c>
      <c r="K477" s="168">
        <f t="shared" si="35"/>
        <v>28000</v>
      </c>
      <c r="L477" s="30"/>
      <c r="M477" s="67"/>
    </row>
    <row r="478" spans="1:13" ht="13.2">
      <c r="A478" s="227"/>
      <c r="B478" s="311" t="s">
        <v>337</v>
      </c>
      <c r="C478" s="319">
        <v>45310</v>
      </c>
      <c r="D478" s="28" t="s">
        <v>915</v>
      </c>
      <c r="E478" s="143" t="str">
        <f>VLOOKUP(D478,'Danh mục hàng hóa'!$C$3:$D$643,2,0)</f>
        <v>Thỏ chạy xe gắn xe</v>
      </c>
      <c r="F478" s="144" t="str">
        <f>VLOOKUP(D478,'Danh mục hàng hóa'!$C$3:$E$656,3,0)</f>
        <v>cái</v>
      </c>
      <c r="G478" s="211">
        <v>28222</v>
      </c>
      <c r="H478" s="317"/>
      <c r="I478" s="313">
        <v>1</v>
      </c>
      <c r="J478" s="166">
        <f t="shared" si="16"/>
        <v>0</v>
      </c>
      <c r="K478" s="168">
        <f t="shared" si="35"/>
        <v>28222</v>
      </c>
      <c r="L478" s="30"/>
      <c r="M478" s="67"/>
    </row>
    <row r="479" spans="1:13" ht="13.2">
      <c r="A479" s="227"/>
      <c r="B479" s="311" t="s">
        <v>337</v>
      </c>
      <c r="C479" s="319">
        <v>45310</v>
      </c>
      <c r="D479" s="28" t="s">
        <v>566</v>
      </c>
      <c r="E479" s="143" t="str">
        <f>VLOOKUP(D479,'Danh mục hàng hóa'!$C$3:$D$643,2,0)</f>
        <v>Ống 8 dây cột tóc đen nâu be</v>
      </c>
      <c r="F479" s="144" t="str">
        <f>VLOOKUP(D479,'Danh mục hàng hóa'!$C$3:$E$656,3,0)</f>
        <v>ống</v>
      </c>
      <c r="G479" s="321">
        <f>49220/2</f>
        <v>24610</v>
      </c>
      <c r="H479" s="317"/>
      <c r="I479" s="313">
        <v>2</v>
      </c>
      <c r="J479" s="166">
        <f t="shared" si="16"/>
        <v>0</v>
      </c>
      <c r="K479" s="168">
        <f t="shared" si="35"/>
        <v>49220</v>
      </c>
      <c r="L479" s="30"/>
      <c r="M479" s="67"/>
    </row>
    <row r="480" spans="1:13" ht="13.2">
      <c r="A480" s="227"/>
      <c r="B480" s="311" t="s">
        <v>337</v>
      </c>
      <c r="C480" s="319">
        <v>45311</v>
      </c>
      <c r="D480" s="28" t="s">
        <v>435</v>
      </c>
      <c r="E480" s="143" t="str">
        <f>VLOOKUP(D480,'Danh mục hàng hóa'!$C$3:$D$643,2,0)</f>
        <v>Bao lì xì Tết tài lộc</v>
      </c>
      <c r="F480" s="144" t="str">
        <f>VLOOKUP(D480,'Danh mục hàng hóa'!$C$3:$E$656,3,0)</f>
        <v>set 6 cái</v>
      </c>
      <c r="G480" s="321">
        <f t="shared" ref="G480:G483" si="36">77648/9</f>
        <v>8627.5555555555547</v>
      </c>
      <c r="H480" s="317"/>
      <c r="I480" s="313">
        <v>2</v>
      </c>
      <c r="J480" s="166">
        <f t="shared" si="16"/>
        <v>0</v>
      </c>
      <c r="K480" s="168">
        <f t="shared" si="35"/>
        <v>17255.111111111109</v>
      </c>
      <c r="L480" s="30"/>
      <c r="M480" s="67"/>
    </row>
    <row r="481" spans="1:13" ht="13.2">
      <c r="A481" s="227"/>
      <c r="B481" s="311" t="s">
        <v>337</v>
      </c>
      <c r="C481" s="319">
        <v>45311</v>
      </c>
      <c r="D481" s="28" t="s">
        <v>437</v>
      </c>
      <c r="E481" s="143" t="str">
        <f>VLOOKUP(D481,'Danh mục hàng hóa'!$C$3:$D$643,2,0)</f>
        <v>Bao lì xì Tết hoa</v>
      </c>
      <c r="F481" s="144" t="str">
        <f>VLOOKUP(D481,'Danh mục hàng hóa'!$C$3:$E$656,3,0)</f>
        <v>set 6 cái</v>
      </c>
      <c r="G481" s="321">
        <f t="shared" si="36"/>
        <v>8627.5555555555547</v>
      </c>
      <c r="H481" s="317"/>
      <c r="I481" s="313">
        <v>3</v>
      </c>
      <c r="J481" s="166">
        <f t="shared" si="16"/>
        <v>0</v>
      </c>
      <c r="K481" s="168">
        <f t="shared" si="35"/>
        <v>25882.666666666664</v>
      </c>
      <c r="L481" s="30"/>
      <c r="M481" s="67"/>
    </row>
    <row r="482" spans="1:13" ht="13.2">
      <c r="A482" s="227"/>
      <c r="B482" s="311" t="s">
        <v>337</v>
      </c>
      <c r="C482" s="319">
        <v>45311</v>
      </c>
      <c r="D482" s="28" t="s">
        <v>438</v>
      </c>
      <c r="E482" s="143" t="str">
        <f>VLOOKUP(D482,'Danh mục hàng hóa'!$C$3:$D$643,2,0)</f>
        <v>Bao lì xì Tết xanh</v>
      </c>
      <c r="F482" s="144" t="str">
        <f>VLOOKUP(D482,'Danh mục hàng hóa'!$C$3:$E$656,3,0)</f>
        <v>set 6 cái</v>
      </c>
      <c r="G482" s="321">
        <f t="shared" si="36"/>
        <v>8627.5555555555547</v>
      </c>
      <c r="H482" s="317"/>
      <c r="I482" s="313">
        <v>2</v>
      </c>
      <c r="J482" s="166">
        <f t="shared" si="16"/>
        <v>0</v>
      </c>
      <c r="K482" s="168">
        <f t="shared" si="35"/>
        <v>17255.111111111109</v>
      </c>
      <c r="L482" s="30"/>
      <c r="M482" s="67"/>
    </row>
    <row r="483" spans="1:13" ht="13.2">
      <c r="A483" s="227"/>
      <c r="B483" s="311" t="s">
        <v>337</v>
      </c>
      <c r="C483" s="319">
        <v>45311</v>
      </c>
      <c r="D483" s="28" t="s">
        <v>439</v>
      </c>
      <c r="E483" s="143" t="str">
        <f>VLOOKUP(D483,'Danh mục hàng hóa'!$C$3:$D$643,2,0)</f>
        <v>Bao lì xì vui vẻ</v>
      </c>
      <c r="F483" s="144" t="str">
        <f>VLOOKUP(D483,'Danh mục hàng hóa'!$C$3:$E$656,3,0)</f>
        <v>set 6 cái</v>
      </c>
      <c r="G483" s="321">
        <f t="shared" si="36"/>
        <v>8627.5555555555547</v>
      </c>
      <c r="H483" s="317"/>
      <c r="I483" s="313">
        <v>2</v>
      </c>
      <c r="J483" s="166">
        <f t="shared" si="16"/>
        <v>0</v>
      </c>
      <c r="K483" s="168">
        <f t="shared" si="35"/>
        <v>17255.111111111109</v>
      </c>
      <c r="L483" s="30"/>
      <c r="M483" s="67"/>
    </row>
    <row r="484" spans="1:13" ht="13.2">
      <c r="A484" s="227"/>
      <c r="B484" s="311" t="s">
        <v>336</v>
      </c>
      <c r="C484" s="319"/>
      <c r="D484" s="28" t="s">
        <v>482</v>
      </c>
      <c r="E484" s="143" t="str">
        <f>VLOOKUP(D484,'Danh mục hàng hóa'!$C$3:$D$643,2,0)</f>
        <v>Trâm cài 01</v>
      </c>
      <c r="F484" s="144" t="str">
        <f>VLOOKUP(D484,'Danh mục hàng hóa'!$C$3:$E$656,3,0)</f>
        <v>cây</v>
      </c>
      <c r="G484" s="321">
        <v>16610.900000000001</v>
      </c>
      <c r="H484" s="313">
        <v>3</v>
      </c>
      <c r="I484" s="317"/>
      <c r="J484" s="166">
        <f t="shared" si="16"/>
        <v>49832.700000000004</v>
      </c>
      <c r="K484" s="168">
        <f t="shared" si="35"/>
        <v>0</v>
      </c>
      <c r="L484" s="30"/>
      <c r="M484" s="67"/>
    </row>
    <row r="485" spans="1:13" ht="13.2">
      <c r="A485" s="227"/>
      <c r="B485" s="311" t="s">
        <v>336</v>
      </c>
      <c r="C485" s="319"/>
      <c r="D485" s="28" t="s">
        <v>485</v>
      </c>
      <c r="E485" s="143" t="str">
        <f>VLOOKUP(D485,'Danh mục hàng hóa'!$C$3:$D$643,2,0)</f>
        <v>Trâm cài 02</v>
      </c>
      <c r="F485" s="144" t="str">
        <f>VLOOKUP(D485,'Danh mục hàng hóa'!$C$3:$E$656,3,0)</f>
        <v>cây</v>
      </c>
      <c r="G485" s="321">
        <v>16014.199999999999</v>
      </c>
      <c r="H485" s="313">
        <v>10</v>
      </c>
      <c r="I485" s="317"/>
      <c r="J485" s="166">
        <f t="shared" si="16"/>
        <v>160142</v>
      </c>
      <c r="K485" s="168">
        <f t="shared" si="35"/>
        <v>0</v>
      </c>
      <c r="L485" s="30"/>
      <c r="M485" s="67"/>
    </row>
    <row r="486" spans="1:13" ht="13.2">
      <c r="A486" s="227"/>
      <c r="B486" s="311" t="s">
        <v>336</v>
      </c>
      <c r="C486" s="319"/>
      <c r="D486" s="28" t="s">
        <v>487</v>
      </c>
      <c r="E486" s="143" t="str">
        <f>VLOOKUP(D486,'Danh mục hàng hóa'!$C$3:$D$643,2,0)</f>
        <v>Trâm cài 03</v>
      </c>
      <c r="F486" s="144" t="str">
        <f>VLOOKUP(D486,'Danh mục hàng hóa'!$C$3:$E$656,3,0)</f>
        <v>cây</v>
      </c>
      <c r="G486" s="321">
        <v>17488.399999999998</v>
      </c>
      <c r="H486" s="313">
        <v>10</v>
      </c>
      <c r="I486" s="317"/>
      <c r="J486" s="166">
        <f t="shared" si="16"/>
        <v>174883.99999999997</v>
      </c>
      <c r="K486" s="168">
        <f t="shared" si="35"/>
        <v>0</v>
      </c>
      <c r="L486" s="30"/>
      <c r="M486" s="67"/>
    </row>
    <row r="487" spans="1:13" ht="13.2">
      <c r="A487" s="227"/>
      <c r="B487" s="311" t="s">
        <v>336</v>
      </c>
      <c r="C487" s="319"/>
      <c r="D487" s="28" t="s">
        <v>489</v>
      </c>
      <c r="E487" s="143" t="str">
        <f>VLOOKUP(D487,'Danh mục hàng hóa'!$C$3:$D$643,2,0)</f>
        <v>Trâm cài 04</v>
      </c>
      <c r="F487" s="144" t="str">
        <f>VLOOKUP(D487,'Danh mục hàng hóa'!$C$3:$E$656,3,0)</f>
        <v>cây</v>
      </c>
      <c r="G487" s="321">
        <v>4361</v>
      </c>
      <c r="H487" s="313">
        <v>10</v>
      </c>
      <c r="I487" s="317"/>
      <c r="J487" s="166">
        <f t="shared" si="16"/>
        <v>43610</v>
      </c>
      <c r="K487" s="168">
        <f t="shared" si="35"/>
        <v>0</v>
      </c>
      <c r="L487" s="30"/>
      <c r="M487" s="67"/>
    </row>
    <row r="488" spans="1:13" ht="13.2">
      <c r="A488" s="227"/>
      <c r="B488" s="311" t="s">
        <v>336</v>
      </c>
      <c r="C488" s="319"/>
      <c r="D488" s="28" t="s">
        <v>491</v>
      </c>
      <c r="E488" s="143" t="str">
        <f>VLOOKUP(D488,'Danh mục hàng hóa'!$C$3:$D$643,2,0)</f>
        <v>Trâm cài 05</v>
      </c>
      <c r="F488" s="144" t="str">
        <f>VLOOKUP(D488,'Danh mục hàng hóa'!$C$3:$E$656,3,0)</f>
        <v>cây</v>
      </c>
      <c r="G488" s="321">
        <v>10643.9</v>
      </c>
      <c r="H488" s="313">
        <v>3</v>
      </c>
      <c r="I488" s="317"/>
      <c r="J488" s="166">
        <f t="shared" si="16"/>
        <v>31931.699999999997</v>
      </c>
      <c r="K488" s="168">
        <f t="shared" si="35"/>
        <v>0</v>
      </c>
      <c r="L488" s="30"/>
      <c r="M488" s="67"/>
    </row>
    <row r="489" spans="1:13" ht="13.2">
      <c r="A489" s="227"/>
      <c r="B489" s="311" t="s">
        <v>336</v>
      </c>
      <c r="C489" s="319"/>
      <c r="D489" s="28" t="s">
        <v>493</v>
      </c>
      <c r="E489" s="143" t="str">
        <f>VLOOKUP(D489,'Danh mục hàng hóa'!$C$3:$D$643,2,0)</f>
        <v>Trâm cài 06</v>
      </c>
      <c r="F489" s="144" t="str">
        <f>VLOOKUP(D489,'Danh mục hàng hóa'!$C$3:$E$656,3,0)</f>
        <v>cây</v>
      </c>
      <c r="G489" s="321">
        <v>6221.2999999999993</v>
      </c>
      <c r="H489" s="313">
        <v>15</v>
      </c>
      <c r="I489" s="317"/>
      <c r="J489" s="166">
        <f t="shared" si="16"/>
        <v>93319.499999999985</v>
      </c>
      <c r="K489" s="168">
        <f t="shared" si="35"/>
        <v>0</v>
      </c>
      <c r="L489" s="30"/>
      <c r="M489" s="67"/>
    </row>
    <row r="490" spans="1:13" ht="13.2">
      <c r="A490" s="227"/>
      <c r="B490" s="311" t="s">
        <v>336</v>
      </c>
      <c r="C490" s="319"/>
      <c r="D490" s="28" t="s">
        <v>495</v>
      </c>
      <c r="E490" s="143" t="str">
        <f>VLOOKUP(D490,'Danh mục hàng hóa'!$C$3:$D$643,2,0)</f>
        <v>Trâm cài 07</v>
      </c>
      <c r="F490" s="144" t="str">
        <f>VLOOKUP(D490,'Danh mục hàng hóa'!$C$3:$E$656,3,0)</f>
        <v>cây</v>
      </c>
      <c r="G490" s="321">
        <v>11837.3</v>
      </c>
      <c r="H490" s="313">
        <v>15</v>
      </c>
      <c r="I490" s="317"/>
      <c r="J490" s="166">
        <f t="shared" si="16"/>
        <v>177559.5</v>
      </c>
      <c r="K490" s="168">
        <f t="shared" si="35"/>
        <v>0</v>
      </c>
      <c r="L490" s="30"/>
      <c r="M490" s="67"/>
    </row>
    <row r="491" spans="1:13" ht="13.2">
      <c r="A491" s="227"/>
      <c r="B491" s="311" t="s">
        <v>336</v>
      </c>
      <c r="C491" s="319"/>
      <c r="D491" s="28" t="s">
        <v>497</v>
      </c>
      <c r="E491" s="143" t="str">
        <f>VLOOKUP(D491,'Danh mục hàng hóa'!$C$3:$D$643,2,0)</f>
        <v>Trâm cài 08</v>
      </c>
      <c r="F491" s="144" t="str">
        <f>VLOOKUP(D491,'Danh mục hàng hóa'!$C$3:$E$656,3,0)</f>
        <v>cây</v>
      </c>
      <c r="G491" s="321">
        <v>29141.600000000002</v>
      </c>
      <c r="H491" s="313">
        <v>7</v>
      </c>
      <c r="I491" s="317"/>
      <c r="J491" s="166">
        <f t="shared" si="16"/>
        <v>203991.2</v>
      </c>
      <c r="K491" s="168">
        <f t="shared" si="35"/>
        <v>0</v>
      </c>
      <c r="L491" s="30"/>
      <c r="M491" s="67"/>
    </row>
    <row r="492" spans="1:13" ht="13.2">
      <c r="A492" s="227"/>
      <c r="B492" s="311" t="s">
        <v>336</v>
      </c>
      <c r="C492" s="319"/>
      <c r="D492" s="28" t="s">
        <v>499</v>
      </c>
      <c r="E492" s="143" t="str">
        <f>VLOOKUP(D492,'Danh mục hàng hóa'!$C$3:$D$643,2,0)</f>
        <v>Trâm cài 09</v>
      </c>
      <c r="F492" s="144" t="str">
        <f>VLOOKUP(D492,'Danh mục hàng hóa'!$C$3:$E$656,3,0)</f>
        <v>cây</v>
      </c>
      <c r="G492" s="321">
        <v>15417.5</v>
      </c>
      <c r="H492" s="313">
        <v>15</v>
      </c>
      <c r="I492" s="317"/>
      <c r="J492" s="166">
        <f t="shared" si="16"/>
        <v>231262.5</v>
      </c>
      <c r="K492" s="168">
        <f t="shared" si="35"/>
        <v>0</v>
      </c>
      <c r="L492" s="30"/>
      <c r="M492" s="67"/>
    </row>
    <row r="493" spans="1:13" ht="13.2">
      <c r="A493" s="227"/>
      <c r="B493" s="311" t="s">
        <v>336</v>
      </c>
      <c r="C493" s="319"/>
      <c r="D493" s="28" t="s">
        <v>501</v>
      </c>
      <c r="E493" s="143" t="str">
        <f>VLOOKUP(D493,'Danh mục hàng hóa'!$C$3:$D$643,2,0)</f>
        <v>Trâm cài 10</v>
      </c>
      <c r="F493" s="144" t="str">
        <f>VLOOKUP(D493,'Danh mục hàng hóa'!$C$3:$E$656,3,0)</f>
        <v>cây</v>
      </c>
      <c r="G493" s="321">
        <v>4361</v>
      </c>
      <c r="H493" s="313">
        <v>15</v>
      </c>
      <c r="I493" s="317"/>
      <c r="J493" s="166">
        <f t="shared" si="16"/>
        <v>65415</v>
      </c>
      <c r="K493" s="168">
        <f t="shared" si="35"/>
        <v>0</v>
      </c>
      <c r="L493" s="30"/>
      <c r="M493" s="67"/>
    </row>
    <row r="494" spans="1:13" ht="13.2">
      <c r="A494" s="227"/>
      <c r="B494" s="311" t="s">
        <v>336</v>
      </c>
      <c r="C494" s="319"/>
      <c r="D494" s="28" t="s">
        <v>503</v>
      </c>
      <c r="E494" s="143" t="str">
        <f>VLOOKUP(D494,'Danh mục hàng hóa'!$C$3:$D$643,2,0)</f>
        <v>Trâm cài 11</v>
      </c>
      <c r="F494" s="144" t="str">
        <f>VLOOKUP(D494,'Danh mục hàng hóa'!$C$3:$E$656,3,0)</f>
        <v>cây</v>
      </c>
      <c r="G494" s="321">
        <v>17207.599999999999</v>
      </c>
      <c r="H494" s="313">
        <v>10</v>
      </c>
      <c r="I494" s="317"/>
      <c r="J494" s="166">
        <f t="shared" si="16"/>
        <v>172076</v>
      </c>
      <c r="K494" s="168">
        <f t="shared" si="35"/>
        <v>0</v>
      </c>
      <c r="L494" s="30"/>
      <c r="M494" s="67"/>
    </row>
    <row r="495" spans="1:13" ht="13.2">
      <c r="A495" s="227"/>
      <c r="B495" s="311" t="s">
        <v>336</v>
      </c>
      <c r="C495" s="319"/>
      <c r="D495" s="28" t="s">
        <v>505</v>
      </c>
      <c r="E495" s="143" t="str">
        <f>VLOOKUP(D495,'Danh mục hàng hóa'!$C$3:$D$643,2,0)</f>
        <v>Trâm cài 12</v>
      </c>
      <c r="F495" s="144" t="str">
        <f>VLOOKUP(D495,'Danh mục hàng hóa'!$C$3:$E$656,3,0)</f>
        <v>cây</v>
      </c>
      <c r="G495" s="321">
        <v>19278.5</v>
      </c>
      <c r="H495" s="313">
        <v>10</v>
      </c>
      <c r="I495" s="317"/>
      <c r="J495" s="166">
        <f t="shared" si="16"/>
        <v>192785</v>
      </c>
      <c r="K495" s="168">
        <f t="shared" si="35"/>
        <v>0</v>
      </c>
      <c r="L495" s="30"/>
      <c r="M495" s="67"/>
    </row>
    <row r="496" spans="1:13" ht="13.2">
      <c r="A496" s="227"/>
      <c r="B496" s="311" t="s">
        <v>336</v>
      </c>
      <c r="C496" s="319"/>
      <c r="D496" s="28" t="s">
        <v>507</v>
      </c>
      <c r="E496" s="143" t="str">
        <f>VLOOKUP(D496,'Danh mục hàng hóa'!$C$3:$D$643,2,0)</f>
        <v>Trâm cài 13</v>
      </c>
      <c r="F496" s="144" t="str">
        <f>VLOOKUP(D496,'Danh mục hàng hóa'!$C$3:$E$656,3,0)</f>
        <v>cây</v>
      </c>
      <c r="G496" s="321">
        <v>21981.200000000001</v>
      </c>
      <c r="H496" s="313">
        <v>3</v>
      </c>
      <c r="I496" s="317"/>
      <c r="J496" s="166">
        <f t="shared" si="16"/>
        <v>65943.600000000006</v>
      </c>
      <c r="K496" s="168">
        <f t="shared" si="35"/>
        <v>0</v>
      </c>
      <c r="L496" s="30"/>
      <c r="M496" s="67"/>
    </row>
    <row r="497" spans="1:13" ht="13.2">
      <c r="A497" s="227"/>
      <c r="B497" s="311" t="s">
        <v>336</v>
      </c>
      <c r="C497" s="319"/>
      <c r="D497" s="28" t="s">
        <v>509</v>
      </c>
      <c r="E497" s="143" t="str">
        <f>VLOOKUP(D497,'Danh mục hàng hóa'!$C$3:$D$643,2,0)</f>
        <v>Trâm cài 14</v>
      </c>
      <c r="F497" s="144" t="str">
        <f>VLOOKUP(D497,'Danh mục hàng hóa'!$C$3:$E$656,3,0)</f>
        <v>cây</v>
      </c>
      <c r="G497" s="321">
        <v>25561.399999999998</v>
      </c>
      <c r="H497" s="313">
        <v>2</v>
      </c>
      <c r="I497" s="317"/>
      <c r="J497" s="166">
        <f t="shared" si="16"/>
        <v>51122.799999999996</v>
      </c>
      <c r="K497" s="168">
        <f t="shared" si="35"/>
        <v>0</v>
      </c>
      <c r="L497" s="30"/>
      <c r="M497" s="67"/>
    </row>
    <row r="498" spans="1:13" ht="13.2">
      <c r="A498" s="227"/>
      <c r="B498" s="311" t="s">
        <v>336</v>
      </c>
      <c r="C498" s="319"/>
      <c r="D498" s="28" t="s">
        <v>511</v>
      </c>
      <c r="E498" s="143" t="str">
        <f>VLOOKUP(D498,'Danh mục hàng hóa'!$C$3:$D$643,2,0)</f>
        <v>Trâm cài 15</v>
      </c>
      <c r="F498" s="144" t="str">
        <f>VLOOKUP(D498,'Danh mục hàng hóa'!$C$3:$E$656,3,0)</f>
        <v>cây</v>
      </c>
      <c r="G498" s="321">
        <v>14820.800000000001</v>
      </c>
      <c r="H498" s="313">
        <v>3</v>
      </c>
      <c r="I498" s="317"/>
      <c r="J498" s="166">
        <f t="shared" si="16"/>
        <v>44462.400000000001</v>
      </c>
      <c r="K498" s="168">
        <f t="shared" si="35"/>
        <v>0</v>
      </c>
      <c r="L498" s="30"/>
      <c r="M498" s="67"/>
    </row>
    <row r="499" spans="1:13" ht="13.2">
      <c r="A499" s="227"/>
      <c r="B499" s="311" t="s">
        <v>336</v>
      </c>
      <c r="C499" s="319"/>
      <c r="D499" s="28" t="s">
        <v>513</v>
      </c>
      <c r="E499" s="143" t="str">
        <f>VLOOKUP(D499,'Danh mục hàng hóa'!$C$3:$D$643,2,0)</f>
        <v>Trâm cài 16</v>
      </c>
      <c r="F499" s="144" t="str">
        <f>VLOOKUP(D499,'Danh mục hàng hóa'!$C$3:$E$656,3,0)</f>
        <v>cây</v>
      </c>
      <c r="G499" s="321">
        <v>14504.900000000001</v>
      </c>
      <c r="H499" s="313">
        <v>5</v>
      </c>
      <c r="I499" s="317"/>
      <c r="J499" s="166">
        <f t="shared" si="16"/>
        <v>72524.5</v>
      </c>
      <c r="K499" s="168">
        <f t="shared" si="35"/>
        <v>0</v>
      </c>
      <c r="L499" s="30"/>
      <c r="M499" s="67"/>
    </row>
    <row r="500" spans="1:13" ht="13.2">
      <c r="A500" s="227"/>
      <c r="B500" s="311" t="s">
        <v>336</v>
      </c>
      <c r="C500" s="319"/>
      <c r="D500" s="28" t="s">
        <v>515</v>
      </c>
      <c r="E500" s="143" t="str">
        <f>VLOOKUP(D500,'Danh mục hàng hóa'!$C$3:$D$643,2,0)</f>
        <v>Trâm cài 17</v>
      </c>
      <c r="F500" s="144" t="str">
        <f>VLOOKUP(D500,'Danh mục hàng hóa'!$C$3:$E$656,3,0)</f>
        <v>cây</v>
      </c>
      <c r="G500" s="321">
        <v>14504.900000000001</v>
      </c>
      <c r="H500" s="313">
        <v>5</v>
      </c>
      <c r="I500" s="317"/>
      <c r="J500" s="166">
        <f t="shared" si="16"/>
        <v>72524.5</v>
      </c>
      <c r="K500" s="168">
        <f t="shared" si="35"/>
        <v>0</v>
      </c>
      <c r="L500" s="30"/>
      <c r="M500" s="67"/>
    </row>
    <row r="501" spans="1:13" ht="13.2">
      <c r="A501" s="227"/>
      <c r="B501" s="311" t="s">
        <v>336</v>
      </c>
      <c r="C501" s="319"/>
      <c r="D501" s="28" t="s">
        <v>517</v>
      </c>
      <c r="E501" s="143" t="str">
        <f>VLOOKUP(D501,'Danh mục hàng hóa'!$C$3:$D$643,2,0)</f>
        <v>Trâm cài 18</v>
      </c>
      <c r="F501" s="144" t="str">
        <f>VLOOKUP(D501,'Danh mục hàng hóa'!$C$3:$E$656,3,0)</f>
        <v>cây</v>
      </c>
      <c r="G501" s="321">
        <v>14504.900000000001</v>
      </c>
      <c r="H501" s="313">
        <v>5</v>
      </c>
      <c r="I501" s="317"/>
      <c r="J501" s="166">
        <f t="shared" si="16"/>
        <v>72524.5</v>
      </c>
      <c r="K501" s="168">
        <f t="shared" si="35"/>
        <v>0</v>
      </c>
      <c r="L501" s="30"/>
      <c r="M501" s="67"/>
    </row>
    <row r="502" spans="1:13" ht="13.2">
      <c r="A502" s="227"/>
      <c r="B502" s="311" t="s">
        <v>336</v>
      </c>
      <c r="C502" s="319"/>
      <c r="D502" s="28" t="s">
        <v>519</v>
      </c>
      <c r="E502" s="143" t="str">
        <f>VLOOKUP(D502,'Danh mục hàng hóa'!$C$3:$D$643,2,0)</f>
        <v>Trâm cài 19</v>
      </c>
      <c r="F502" s="144" t="str">
        <f>VLOOKUP(D502,'Danh mục hàng hóa'!$C$3:$E$656,3,0)</f>
        <v>cây</v>
      </c>
      <c r="G502" s="321">
        <v>20436.8</v>
      </c>
      <c r="H502" s="313">
        <v>5</v>
      </c>
      <c r="I502" s="317"/>
      <c r="J502" s="166">
        <f t="shared" si="16"/>
        <v>102184</v>
      </c>
      <c r="K502" s="168">
        <f t="shared" si="35"/>
        <v>0</v>
      </c>
      <c r="L502" s="30"/>
      <c r="M502" s="67"/>
    </row>
    <row r="503" spans="1:13" ht="13.2">
      <c r="A503" s="227"/>
      <c r="B503" s="311" t="s">
        <v>336</v>
      </c>
      <c r="C503" s="319"/>
      <c r="D503" s="28" t="s">
        <v>521</v>
      </c>
      <c r="E503" s="143" t="str">
        <f>VLOOKUP(D503,'Danh mục hàng hóa'!$C$3:$D$643,2,0)</f>
        <v>Trâm cài 20</v>
      </c>
      <c r="F503" s="144" t="str">
        <f>VLOOKUP(D503,'Danh mục hàng hóa'!$C$3:$E$656,3,0)</f>
        <v>cây</v>
      </c>
      <c r="G503" s="321">
        <v>14504.900000000001</v>
      </c>
      <c r="H503" s="313">
        <v>5</v>
      </c>
      <c r="I503" s="313"/>
      <c r="J503" s="166">
        <f t="shared" si="16"/>
        <v>72524.5</v>
      </c>
      <c r="K503" s="168">
        <f t="shared" si="35"/>
        <v>0</v>
      </c>
      <c r="L503" s="30"/>
      <c r="M503" s="67"/>
    </row>
    <row r="504" spans="1:13" ht="13.2">
      <c r="A504" s="227"/>
      <c r="B504" s="311" t="s">
        <v>336</v>
      </c>
      <c r="C504" s="319"/>
      <c r="D504" s="28" t="s">
        <v>523</v>
      </c>
      <c r="E504" s="143" t="str">
        <f>VLOOKUP(D504,'Danh mục hàng hóa'!$C$3:$D$643,2,0)</f>
        <v>Trâm cài 21</v>
      </c>
      <c r="F504" s="144" t="str">
        <f>VLOOKUP(D504,'Danh mục hàng hóa'!$C$3:$E$656,3,0)</f>
        <v>cây</v>
      </c>
      <c r="G504" s="321">
        <v>14504.900000000001</v>
      </c>
      <c r="H504" s="313">
        <v>5</v>
      </c>
      <c r="I504" s="313"/>
      <c r="J504" s="166">
        <f t="shared" si="16"/>
        <v>72524.5</v>
      </c>
      <c r="K504" s="168">
        <f t="shared" si="35"/>
        <v>0</v>
      </c>
      <c r="L504" s="30"/>
      <c r="M504" s="67"/>
    </row>
    <row r="505" spans="1:13" ht="13.2">
      <c r="A505" s="227"/>
      <c r="B505" s="311" t="s">
        <v>336</v>
      </c>
      <c r="C505" s="319"/>
      <c r="D505" s="28" t="s">
        <v>543</v>
      </c>
      <c r="E505" s="143" t="str">
        <f>VLOOKUP(D505,'Danh mục hàng hóa'!$C$3:$D$643,2,0)</f>
        <v>Kẹp tóc kim loại bông hoa</v>
      </c>
      <c r="F505" s="144" t="str">
        <f>VLOOKUP(D505,'Danh mục hàng hóa'!$C$3:$E$656,3,0)</f>
        <v>cái</v>
      </c>
      <c r="G505" s="320">
        <v>7064</v>
      </c>
      <c r="H505" s="313">
        <v>9</v>
      </c>
      <c r="I505" s="313"/>
      <c r="J505" s="166">
        <f t="shared" si="16"/>
        <v>63576</v>
      </c>
      <c r="K505" s="168">
        <f t="shared" si="35"/>
        <v>0</v>
      </c>
      <c r="L505" s="30"/>
      <c r="M505" s="67"/>
    </row>
    <row r="506" spans="1:13" ht="13.2">
      <c r="A506" s="227"/>
      <c r="B506" s="311" t="s">
        <v>336</v>
      </c>
      <c r="C506" s="319"/>
      <c r="D506" s="28" t="s">
        <v>545</v>
      </c>
      <c r="E506" s="143" t="str">
        <f>VLOOKUP(D506,'Danh mục hàng hóa'!$C$3:$D$643,2,0)</f>
        <v>Kẹp tóc kim loại ngôi sao</v>
      </c>
      <c r="F506" s="144" t="str">
        <f>VLOOKUP(D506,'Danh mục hàng hóa'!$C$3:$E$656,3,0)</f>
        <v>cái</v>
      </c>
      <c r="G506" s="320">
        <v>7064</v>
      </c>
      <c r="H506" s="313">
        <v>10</v>
      </c>
      <c r="I506" s="313"/>
      <c r="J506" s="166">
        <f t="shared" si="16"/>
        <v>70640</v>
      </c>
      <c r="K506" s="168">
        <f t="shared" si="35"/>
        <v>0</v>
      </c>
      <c r="L506" s="30"/>
      <c r="M506" s="67"/>
    </row>
    <row r="507" spans="1:13" ht="13.2">
      <c r="A507" s="227"/>
      <c r="B507" s="311" t="s">
        <v>336</v>
      </c>
      <c r="C507" s="319"/>
      <c r="D507" s="28" t="s">
        <v>547</v>
      </c>
      <c r="E507" s="143" t="str">
        <f>VLOOKUP(D507,'Danh mục hàng hóa'!$C$3:$D$643,2,0)</f>
        <v>Kẹp tóc kim loại vỏ sò</v>
      </c>
      <c r="F507" s="144" t="str">
        <f>VLOOKUP(D507,'Danh mục hàng hóa'!$C$3:$E$656,3,0)</f>
        <v>cái</v>
      </c>
      <c r="G507" s="320">
        <v>7064</v>
      </c>
      <c r="H507" s="313">
        <v>10</v>
      </c>
      <c r="I507" s="313"/>
      <c r="J507" s="166">
        <f t="shared" si="16"/>
        <v>70640</v>
      </c>
      <c r="K507" s="168">
        <f t="shared" si="35"/>
        <v>0</v>
      </c>
      <c r="L507" s="30"/>
      <c r="M507" s="67"/>
    </row>
    <row r="508" spans="1:13" ht="13.2">
      <c r="A508" s="227"/>
      <c r="B508" s="311" t="s">
        <v>337</v>
      </c>
      <c r="C508" s="319">
        <v>45312</v>
      </c>
      <c r="D508" s="28" t="s">
        <v>505</v>
      </c>
      <c r="E508" s="143" t="str">
        <f>VLOOKUP(D508,'Danh mục hàng hóa'!$C$3:$D$643,2,0)</f>
        <v>Trâm cài 12</v>
      </c>
      <c r="F508" s="144" t="str">
        <f>VLOOKUP(D508,'Danh mục hàng hóa'!$C$3:$E$656,3,0)</f>
        <v>cây</v>
      </c>
      <c r="G508" s="320">
        <v>35572</v>
      </c>
      <c r="H508" s="317"/>
      <c r="I508" s="313">
        <v>1</v>
      </c>
      <c r="J508" s="166">
        <f t="shared" si="16"/>
        <v>0</v>
      </c>
      <c r="K508" s="168">
        <f t="shared" si="35"/>
        <v>35572</v>
      </c>
      <c r="L508" s="30"/>
      <c r="M508" s="67"/>
    </row>
    <row r="509" spans="1:13" ht="13.2">
      <c r="A509" s="227"/>
      <c r="B509" s="311" t="s">
        <v>337</v>
      </c>
      <c r="C509" s="319">
        <v>45312</v>
      </c>
      <c r="D509" s="28" t="s">
        <v>517</v>
      </c>
      <c r="E509" s="143" t="str">
        <f>VLOOKUP(D509,'Danh mục hàng hóa'!$C$3:$D$643,2,0)</f>
        <v>Trâm cài 18</v>
      </c>
      <c r="F509" s="144" t="str">
        <f>VLOOKUP(D509,'Danh mục hàng hóa'!$C$3:$E$656,3,0)</f>
        <v>cây</v>
      </c>
      <c r="G509" s="320">
        <v>25000</v>
      </c>
      <c r="H509" s="317"/>
      <c r="I509" s="313">
        <v>1</v>
      </c>
      <c r="J509" s="166">
        <f t="shared" si="16"/>
        <v>0</v>
      </c>
      <c r="K509" s="168">
        <f t="shared" si="35"/>
        <v>25000</v>
      </c>
      <c r="L509" s="30"/>
      <c r="M509" s="67"/>
    </row>
    <row r="510" spans="1:13" ht="13.2">
      <c r="A510" s="227"/>
      <c r="B510" s="311" t="s">
        <v>337</v>
      </c>
      <c r="C510" s="319">
        <v>45312</v>
      </c>
      <c r="D510" s="28" t="s">
        <v>505</v>
      </c>
      <c r="E510" s="143" t="str">
        <f>VLOOKUP(D510,'Danh mục hàng hóa'!$C$3:$D$643,2,0)</f>
        <v>Trâm cài 12</v>
      </c>
      <c r="F510" s="144" t="str">
        <f>VLOOKUP(D510,'Danh mục hàng hóa'!$C$3:$E$656,3,0)</f>
        <v>cây</v>
      </c>
      <c r="G510" s="320">
        <v>34260</v>
      </c>
      <c r="H510" s="317"/>
      <c r="I510" s="313">
        <v>1</v>
      </c>
      <c r="J510" s="166">
        <f t="shared" si="16"/>
        <v>0</v>
      </c>
      <c r="K510" s="168">
        <f t="shared" si="35"/>
        <v>34260</v>
      </c>
      <c r="L510" s="30"/>
      <c r="M510" s="67"/>
    </row>
    <row r="511" spans="1:13" ht="13.2">
      <c r="A511" s="227"/>
      <c r="B511" s="311" t="s">
        <v>337</v>
      </c>
      <c r="C511" s="319">
        <v>45313</v>
      </c>
      <c r="D511" s="28" t="s">
        <v>437</v>
      </c>
      <c r="E511" s="143" t="str">
        <f>VLOOKUP(D511,'Danh mục hàng hóa'!$C$3:$D$643,2,0)</f>
        <v>Bao lì xì Tết hoa</v>
      </c>
      <c r="F511" s="144" t="str">
        <f>VLOOKUP(D511,'Danh mục hàng hóa'!$C$3:$E$656,3,0)</f>
        <v>set 6 cái</v>
      </c>
      <c r="G511" s="321">
        <f t="shared" ref="G511:G513" si="37">43508/4</f>
        <v>10877</v>
      </c>
      <c r="H511" s="317"/>
      <c r="I511" s="313">
        <v>1</v>
      </c>
      <c r="J511" s="166">
        <f t="shared" si="16"/>
        <v>0</v>
      </c>
      <c r="K511" s="168">
        <f t="shared" si="35"/>
        <v>10877</v>
      </c>
      <c r="L511" s="30"/>
      <c r="M511" s="67"/>
    </row>
    <row r="512" spans="1:13" ht="13.2">
      <c r="A512" s="227"/>
      <c r="B512" s="311" t="s">
        <v>337</v>
      </c>
      <c r="C512" s="319">
        <v>45313</v>
      </c>
      <c r="D512" s="28" t="s">
        <v>438</v>
      </c>
      <c r="E512" s="143" t="str">
        <f>VLOOKUP(D512,'Danh mục hàng hóa'!$C$3:$D$643,2,0)</f>
        <v>Bao lì xì Tết xanh</v>
      </c>
      <c r="F512" s="144" t="str">
        <f>VLOOKUP(D512,'Danh mục hàng hóa'!$C$3:$E$656,3,0)</f>
        <v>set 6 cái</v>
      </c>
      <c r="G512" s="321">
        <f t="shared" si="37"/>
        <v>10877</v>
      </c>
      <c r="H512" s="317"/>
      <c r="I512" s="313">
        <v>2</v>
      </c>
      <c r="J512" s="166">
        <f t="shared" si="16"/>
        <v>0</v>
      </c>
      <c r="K512" s="168">
        <f t="shared" si="35"/>
        <v>21754</v>
      </c>
      <c r="L512" s="30"/>
      <c r="M512" s="67"/>
    </row>
    <row r="513" spans="1:13" ht="13.2">
      <c r="A513" s="227"/>
      <c r="B513" s="311" t="s">
        <v>337</v>
      </c>
      <c r="C513" s="319">
        <v>45313</v>
      </c>
      <c r="D513" s="28" t="s">
        <v>439</v>
      </c>
      <c r="E513" s="143" t="str">
        <f>VLOOKUP(D513,'Danh mục hàng hóa'!$C$3:$D$643,2,0)</f>
        <v>Bao lì xì vui vẻ</v>
      </c>
      <c r="F513" s="144" t="str">
        <f>VLOOKUP(D513,'Danh mục hàng hóa'!$C$3:$E$656,3,0)</f>
        <v>set 6 cái</v>
      </c>
      <c r="G513" s="321">
        <f t="shared" si="37"/>
        <v>10877</v>
      </c>
      <c r="H513" s="317"/>
      <c r="I513" s="313">
        <v>1</v>
      </c>
      <c r="J513" s="166">
        <f t="shared" si="16"/>
        <v>0</v>
      </c>
      <c r="K513" s="168">
        <f t="shared" si="35"/>
        <v>10877</v>
      </c>
      <c r="L513" s="30"/>
      <c r="M513" s="67"/>
    </row>
    <row r="514" spans="1:13" ht="13.2">
      <c r="A514" s="227"/>
      <c r="B514" s="311" t="s">
        <v>337</v>
      </c>
      <c r="C514" s="319">
        <v>45313</v>
      </c>
      <c r="D514" s="28" t="s">
        <v>977</v>
      </c>
      <c r="E514" s="143" t="str">
        <f>VLOOKUP(D514,'Danh mục hàng hóa'!$C$3:$D$643,2,0)</f>
        <v>Móc khóa đôi heo</v>
      </c>
      <c r="F514" s="144" t="str">
        <f>VLOOKUP(D514,'Danh mục hàng hóa'!$C$3:$E$656,3,0)</f>
        <v>cái</v>
      </c>
      <c r="G514" s="320">
        <v>45000</v>
      </c>
      <c r="H514" s="317"/>
      <c r="I514" s="313">
        <v>1</v>
      </c>
      <c r="J514" s="166">
        <f t="shared" si="16"/>
        <v>0</v>
      </c>
      <c r="K514" s="168">
        <f t="shared" si="35"/>
        <v>45000</v>
      </c>
      <c r="L514" s="30"/>
      <c r="M514" s="67"/>
    </row>
    <row r="515" spans="1:13" ht="13.2">
      <c r="A515" s="227"/>
      <c r="B515" s="311" t="s">
        <v>337</v>
      </c>
      <c r="C515" s="319">
        <v>45313</v>
      </c>
      <c r="D515" s="143" t="s">
        <v>679</v>
      </c>
      <c r="E515" s="143" t="str">
        <f>VLOOKUP(D515,'Danh mục hàng hóa'!$C$3:$D$643,2,0)</f>
        <v>Buộc tóc voan hồng lớn</v>
      </c>
      <c r="F515" s="144" t="str">
        <f>VLOOKUP(D515,'Danh mục hàng hóa'!$C$3:$E$656,3,0)</f>
        <v>cái</v>
      </c>
      <c r="G515" s="320">
        <v>11000</v>
      </c>
      <c r="H515" s="317"/>
      <c r="I515" s="313">
        <v>1</v>
      </c>
      <c r="J515" s="166">
        <f t="shared" si="16"/>
        <v>0</v>
      </c>
      <c r="K515" s="168">
        <f t="shared" si="35"/>
        <v>11000</v>
      </c>
      <c r="L515" s="30"/>
      <c r="M515" s="67"/>
    </row>
    <row r="516" spans="1:13" ht="13.2">
      <c r="A516" s="227"/>
      <c r="B516" s="311" t="s">
        <v>337</v>
      </c>
      <c r="C516" s="319">
        <v>45313</v>
      </c>
      <c r="D516" s="143" t="s">
        <v>683</v>
      </c>
      <c r="E516" s="143" t="str">
        <f>VLOOKUP(D516,'Danh mục hàng hóa'!$C$3:$D$643,2,0)</f>
        <v>Buộc tóc voan kem lớn</v>
      </c>
      <c r="F516" s="144" t="str">
        <f>VLOOKUP(D516,'Danh mục hàng hóa'!$C$3:$E$656,3,0)</f>
        <v>cái</v>
      </c>
      <c r="G516" s="320">
        <v>11000</v>
      </c>
      <c r="H516" s="317"/>
      <c r="I516" s="313">
        <v>1</v>
      </c>
      <c r="J516" s="166">
        <f t="shared" si="16"/>
        <v>0</v>
      </c>
      <c r="K516" s="168">
        <f t="shared" si="35"/>
        <v>11000</v>
      </c>
      <c r="L516" s="30"/>
      <c r="M516" s="67"/>
    </row>
    <row r="517" spans="1:13" ht="13.2">
      <c r="A517" s="227"/>
      <c r="B517" s="311" t="s">
        <v>337</v>
      </c>
      <c r="C517" s="319">
        <v>45314</v>
      </c>
      <c r="D517" s="28" t="s">
        <v>880</v>
      </c>
      <c r="E517" s="143" t="str">
        <f>VLOOKUP(D517,'Danh mục hàng hóa'!$C$3:$D$643,2,0)</f>
        <v>Dao rọc giấy mèo tím</v>
      </c>
      <c r="F517" s="144" t="str">
        <f>VLOOKUP(D517,'Danh mục hàng hóa'!$C$3:$E$656,3,0)</f>
        <v>cái</v>
      </c>
      <c r="G517" s="320">
        <v>8000</v>
      </c>
      <c r="H517" s="317"/>
      <c r="I517" s="313">
        <v>1</v>
      </c>
      <c r="J517" s="166">
        <f t="shared" si="16"/>
        <v>0</v>
      </c>
      <c r="K517" s="168">
        <f t="shared" si="35"/>
        <v>8000</v>
      </c>
      <c r="L517" s="30"/>
      <c r="M517" s="67"/>
    </row>
    <row r="518" spans="1:13" ht="13.2">
      <c r="A518" s="227"/>
      <c r="B518" s="311" t="s">
        <v>337</v>
      </c>
      <c r="C518" s="319">
        <v>45314</v>
      </c>
      <c r="D518" s="28" t="s">
        <v>437</v>
      </c>
      <c r="E518" s="143" t="str">
        <f>VLOOKUP(D518,'Danh mục hàng hóa'!$C$3:$D$643,2,0)</f>
        <v>Bao lì xì Tết hoa</v>
      </c>
      <c r="F518" s="144" t="str">
        <f>VLOOKUP(D518,'Danh mục hàng hóa'!$C$3:$E$656,3,0)</f>
        <v>set 6 cái</v>
      </c>
      <c r="G518" s="320">
        <v>9308</v>
      </c>
      <c r="H518" s="317"/>
      <c r="I518" s="313">
        <v>1</v>
      </c>
      <c r="J518" s="166">
        <f t="shared" si="16"/>
        <v>0</v>
      </c>
      <c r="K518" s="168">
        <f t="shared" si="35"/>
        <v>9308</v>
      </c>
      <c r="L518" s="30"/>
      <c r="M518" s="67"/>
    </row>
    <row r="519" spans="1:13" ht="13.2">
      <c r="A519" s="227"/>
      <c r="B519" s="311" t="s">
        <v>337</v>
      </c>
      <c r="C519" s="319">
        <v>45314</v>
      </c>
      <c r="D519" s="28" t="s">
        <v>438</v>
      </c>
      <c r="E519" s="143" t="str">
        <f>VLOOKUP(D519,'Danh mục hàng hóa'!$C$3:$D$643,2,0)</f>
        <v>Bao lì xì Tết xanh</v>
      </c>
      <c r="F519" s="144" t="str">
        <f>VLOOKUP(D519,'Danh mục hàng hóa'!$C$3:$E$656,3,0)</f>
        <v>set 6 cái</v>
      </c>
      <c r="G519" s="320">
        <v>9308</v>
      </c>
      <c r="H519" s="317"/>
      <c r="I519" s="313">
        <v>1</v>
      </c>
      <c r="J519" s="166">
        <f t="shared" si="16"/>
        <v>0</v>
      </c>
      <c r="K519" s="168">
        <f t="shared" si="35"/>
        <v>9308</v>
      </c>
      <c r="L519" s="30"/>
      <c r="M519" s="67"/>
    </row>
    <row r="520" spans="1:13" ht="13.2">
      <c r="A520" s="227"/>
      <c r="B520" s="311" t="s">
        <v>337</v>
      </c>
      <c r="C520" s="319">
        <v>45314</v>
      </c>
      <c r="D520" s="28" t="s">
        <v>439</v>
      </c>
      <c r="E520" s="143" t="str">
        <f>VLOOKUP(D520,'Danh mục hàng hóa'!$C$3:$D$643,2,0)</f>
        <v>Bao lì xì vui vẻ</v>
      </c>
      <c r="F520" s="144" t="str">
        <f>VLOOKUP(D520,'Danh mục hàng hóa'!$C$3:$E$656,3,0)</f>
        <v>set 6 cái</v>
      </c>
      <c r="G520" s="320">
        <v>9308</v>
      </c>
      <c r="H520" s="317"/>
      <c r="I520" s="313">
        <v>2</v>
      </c>
      <c r="J520" s="166">
        <f t="shared" si="16"/>
        <v>0</v>
      </c>
      <c r="K520" s="168">
        <f t="shared" si="35"/>
        <v>18616</v>
      </c>
      <c r="L520" s="30"/>
      <c r="M520" s="67"/>
    </row>
    <row r="521" spans="1:13" ht="13.2">
      <c r="A521" s="227"/>
      <c r="B521" s="311" t="s">
        <v>337</v>
      </c>
      <c r="C521" s="319">
        <v>45315</v>
      </c>
      <c r="D521" s="28" t="s">
        <v>519</v>
      </c>
      <c r="E521" s="143" t="str">
        <f>VLOOKUP(D521,'Danh mục hàng hóa'!$C$3:$D$643,2,0)</f>
        <v>Trâm cài 19</v>
      </c>
      <c r="F521" s="144" t="str">
        <f>VLOOKUP(D521,'Danh mục hàng hóa'!$C$3:$E$656,3,0)</f>
        <v>cây</v>
      </c>
      <c r="G521" s="320">
        <v>25000</v>
      </c>
      <c r="H521" s="317"/>
      <c r="I521" s="313">
        <v>1</v>
      </c>
      <c r="J521" s="166">
        <f t="shared" si="16"/>
        <v>0</v>
      </c>
      <c r="K521" s="168">
        <f t="shared" si="35"/>
        <v>25000</v>
      </c>
      <c r="L521" s="30"/>
      <c r="M521" s="67"/>
    </row>
    <row r="522" spans="1:13" ht="13.2">
      <c r="A522" s="227"/>
      <c r="B522" s="311" t="s">
        <v>337</v>
      </c>
      <c r="C522" s="319">
        <v>45315</v>
      </c>
      <c r="D522" s="28" t="s">
        <v>511</v>
      </c>
      <c r="E522" s="143" t="str">
        <f>VLOOKUP(D522,'Danh mục hàng hóa'!$C$3:$D$643,2,0)</f>
        <v>Trâm cài 15</v>
      </c>
      <c r="F522" s="144" t="str">
        <f>VLOOKUP(D522,'Danh mục hàng hóa'!$C$3:$E$656,3,0)</f>
        <v>cây</v>
      </c>
      <c r="G522" s="320">
        <v>25000</v>
      </c>
      <c r="H522" s="317"/>
      <c r="I522" s="313">
        <v>1</v>
      </c>
      <c r="J522" s="166">
        <f t="shared" si="16"/>
        <v>0</v>
      </c>
      <c r="K522" s="168">
        <f t="shared" si="35"/>
        <v>25000</v>
      </c>
      <c r="L522" s="30"/>
      <c r="M522" s="67"/>
    </row>
    <row r="523" spans="1:13" ht="13.2">
      <c r="A523" s="227"/>
      <c r="B523" s="311" t="s">
        <v>337</v>
      </c>
      <c r="C523" s="319">
        <v>45315</v>
      </c>
      <c r="D523" s="28" t="s">
        <v>495</v>
      </c>
      <c r="E523" s="143" t="str">
        <f>VLOOKUP(D523,'Danh mục hàng hóa'!$C$3:$D$643,2,0)</f>
        <v>Trâm cài 07</v>
      </c>
      <c r="F523" s="144" t="str">
        <f>VLOOKUP(D523,'Danh mục hàng hóa'!$C$3:$E$656,3,0)</f>
        <v>cây</v>
      </c>
      <c r="G523" s="320">
        <v>25000</v>
      </c>
      <c r="H523" s="317"/>
      <c r="I523" s="313">
        <v>1</v>
      </c>
      <c r="J523" s="166">
        <f t="shared" si="16"/>
        <v>0</v>
      </c>
      <c r="K523" s="168">
        <f t="shared" si="35"/>
        <v>25000</v>
      </c>
      <c r="L523" s="30"/>
      <c r="M523" s="67"/>
    </row>
    <row r="524" spans="1:13" ht="13.2">
      <c r="A524" s="227"/>
      <c r="B524" s="311" t="s">
        <v>337</v>
      </c>
      <c r="C524" s="319">
        <v>45316</v>
      </c>
      <c r="D524" s="28" t="s">
        <v>977</v>
      </c>
      <c r="E524" s="143" t="str">
        <f>VLOOKUP(D524,'Danh mục hàng hóa'!$C$3:$D$643,2,0)</f>
        <v>Móc khóa đôi heo</v>
      </c>
      <c r="F524" s="144" t="str">
        <f>VLOOKUP(D524,'Danh mục hàng hóa'!$C$3:$E$656,3,0)</f>
        <v>cái</v>
      </c>
      <c r="G524" s="320">
        <v>41520</v>
      </c>
      <c r="H524" s="317"/>
      <c r="I524" s="313">
        <v>1</v>
      </c>
      <c r="J524" s="166">
        <f t="shared" si="16"/>
        <v>0</v>
      </c>
      <c r="K524" s="168">
        <f t="shared" si="35"/>
        <v>41520</v>
      </c>
      <c r="L524" s="30"/>
      <c r="M524" s="67"/>
    </row>
    <row r="525" spans="1:13" ht="13.2">
      <c r="A525" s="227"/>
      <c r="B525" s="311" t="s">
        <v>337</v>
      </c>
      <c r="C525" s="319">
        <v>45317</v>
      </c>
      <c r="D525" s="28" t="s">
        <v>493</v>
      </c>
      <c r="E525" s="143" t="str">
        <f>VLOOKUP(D525,'Danh mục hàng hóa'!$C$3:$D$643,2,0)</f>
        <v>Trâm cài 06</v>
      </c>
      <c r="F525" s="144" t="str">
        <f>VLOOKUP(D525,'Danh mục hàng hóa'!$C$3:$E$656,3,0)</f>
        <v>cây</v>
      </c>
      <c r="G525" s="320">
        <v>12260</v>
      </c>
      <c r="H525" s="317"/>
      <c r="I525" s="313">
        <v>1</v>
      </c>
      <c r="J525" s="166">
        <f t="shared" si="16"/>
        <v>0</v>
      </c>
      <c r="K525" s="168">
        <f t="shared" si="35"/>
        <v>12260</v>
      </c>
      <c r="L525" s="30"/>
      <c r="M525" s="67"/>
    </row>
    <row r="526" spans="1:13" ht="13.2">
      <c r="A526" s="227"/>
      <c r="B526" s="311" t="s">
        <v>337</v>
      </c>
      <c r="C526" s="319">
        <v>45317</v>
      </c>
      <c r="D526" s="28" t="s">
        <v>435</v>
      </c>
      <c r="E526" s="143" t="str">
        <f>VLOOKUP(D526,'Danh mục hàng hóa'!$C$3:$D$643,2,0)</f>
        <v>Bao lì xì Tết tài lộc</v>
      </c>
      <c r="F526" s="144" t="str">
        <f>VLOOKUP(D526,'Danh mục hàng hóa'!$C$3:$E$656,3,0)</f>
        <v>set 6 cái</v>
      </c>
      <c r="G526" s="321">
        <f t="shared" ref="G526:G527" si="38">23072/3</f>
        <v>7690.666666666667</v>
      </c>
      <c r="H526" s="317"/>
      <c r="I526" s="313">
        <v>1</v>
      </c>
      <c r="J526" s="166">
        <f t="shared" si="16"/>
        <v>0</v>
      </c>
      <c r="K526" s="168">
        <f t="shared" si="35"/>
        <v>7690.666666666667</v>
      </c>
      <c r="L526" s="30"/>
      <c r="M526" s="67"/>
    </row>
    <row r="527" spans="1:13" ht="13.2">
      <c r="A527" s="227"/>
      <c r="B527" s="311" t="s">
        <v>337</v>
      </c>
      <c r="C527" s="319">
        <v>45317</v>
      </c>
      <c r="D527" s="28" t="s">
        <v>437</v>
      </c>
      <c r="E527" s="143" t="str">
        <f>VLOOKUP(D527,'Danh mục hàng hóa'!$C$3:$D$643,2,0)</f>
        <v>Bao lì xì Tết hoa</v>
      </c>
      <c r="F527" s="144" t="str">
        <f>VLOOKUP(D527,'Danh mục hàng hóa'!$C$3:$E$656,3,0)</f>
        <v>set 6 cái</v>
      </c>
      <c r="G527" s="321">
        <f t="shared" si="38"/>
        <v>7690.666666666667</v>
      </c>
      <c r="H527" s="317"/>
      <c r="I527" s="313">
        <v>2</v>
      </c>
      <c r="J527" s="166">
        <f t="shared" si="16"/>
        <v>0</v>
      </c>
      <c r="K527" s="168">
        <f t="shared" si="35"/>
        <v>15381.333333333334</v>
      </c>
      <c r="L527" s="30"/>
      <c r="M527" s="67"/>
    </row>
    <row r="528" spans="1:13" ht="13.2">
      <c r="A528" s="227"/>
      <c r="B528" s="311" t="s">
        <v>337</v>
      </c>
      <c r="C528" s="319">
        <v>45317</v>
      </c>
      <c r="D528" s="28" t="s">
        <v>981</v>
      </c>
      <c r="E528" s="143" t="str">
        <f>VLOOKUP(D528,'Danh mục hàng hóa'!$C$3:$D$643,2,0)</f>
        <v>Móc khóa đôi corgy</v>
      </c>
      <c r="F528" s="144" t="str">
        <f>VLOOKUP(D528,'Danh mục hàng hóa'!$C$3:$E$656,3,0)</f>
        <v>cái</v>
      </c>
      <c r="G528" s="320">
        <v>41260</v>
      </c>
      <c r="H528" s="317"/>
      <c r="I528" s="313">
        <v>1</v>
      </c>
      <c r="J528" s="166">
        <f t="shared" si="16"/>
        <v>0</v>
      </c>
      <c r="K528" s="168">
        <f t="shared" si="35"/>
        <v>41260</v>
      </c>
      <c r="L528" s="30"/>
      <c r="M528" s="67"/>
    </row>
    <row r="529" spans="1:13" ht="13.2">
      <c r="A529" s="227"/>
      <c r="B529" s="311" t="s">
        <v>337</v>
      </c>
      <c r="C529" s="319">
        <v>45317</v>
      </c>
      <c r="D529" s="28" t="s">
        <v>552</v>
      </c>
      <c r="E529" s="143" t="str">
        <f>VLOOKUP(D529,'Danh mục hàng hóa'!$C$3:$D$643,2,0)</f>
        <v>Ống 20 dây cột tóc kem be nâu</v>
      </c>
      <c r="F529" s="144" t="str">
        <f>VLOOKUP(D529,'Danh mục hàng hóa'!$C$3:$E$656,3,0)</f>
        <v>ống</v>
      </c>
      <c r="G529" s="320">
        <v>14640</v>
      </c>
      <c r="H529" s="317"/>
      <c r="I529" s="313">
        <v>1</v>
      </c>
      <c r="J529" s="166">
        <f t="shared" si="16"/>
        <v>0</v>
      </c>
      <c r="K529" s="168">
        <f t="shared" si="35"/>
        <v>14640</v>
      </c>
      <c r="L529" s="30"/>
      <c r="M529" s="67"/>
    </row>
    <row r="530" spans="1:13" ht="13.2">
      <c r="A530" s="227"/>
      <c r="B530" s="311" t="s">
        <v>337</v>
      </c>
      <c r="C530" s="319">
        <v>45317</v>
      </c>
      <c r="D530" s="28" t="s">
        <v>895</v>
      </c>
      <c r="E530" s="143" t="str">
        <f>VLOOKUP(D530,'Danh mục hàng hóa'!$C$3:$D$643,2,0)</f>
        <v>Thỏ chong chóng</v>
      </c>
      <c r="F530" s="144" t="str">
        <f>VLOOKUP(D530,'Danh mục hàng hóa'!$C$3:$E$656,3,0)</f>
        <v>cái</v>
      </c>
      <c r="G530" s="320">
        <v>46400</v>
      </c>
      <c r="H530" s="317"/>
      <c r="I530" s="313">
        <v>2</v>
      </c>
      <c r="J530" s="166">
        <f t="shared" si="16"/>
        <v>0</v>
      </c>
      <c r="K530" s="168">
        <f t="shared" si="35"/>
        <v>92800</v>
      </c>
      <c r="L530" s="30"/>
      <c r="M530" s="67"/>
    </row>
    <row r="531" spans="1:13" ht="13.2">
      <c r="A531" s="227"/>
      <c r="B531" s="311" t="s">
        <v>337</v>
      </c>
      <c r="C531" s="319">
        <v>45317</v>
      </c>
      <c r="D531" s="28" t="s">
        <v>891</v>
      </c>
      <c r="E531" s="143" t="str">
        <f>VLOOKUP(D531,'Danh mục hàng hóa'!$C$3:$D$643,2,0)</f>
        <v>Heo ú</v>
      </c>
      <c r="F531" s="144" t="str">
        <f>VLOOKUP(D531,'Danh mục hàng hóa'!$C$3:$E$656,3,0)</f>
        <v>cái</v>
      </c>
      <c r="G531" s="320">
        <v>46400</v>
      </c>
      <c r="H531" s="317"/>
      <c r="I531" s="313">
        <v>2</v>
      </c>
      <c r="J531" s="166">
        <f t="shared" si="16"/>
        <v>0</v>
      </c>
      <c r="K531" s="168">
        <f t="shared" si="35"/>
        <v>92800</v>
      </c>
      <c r="L531" s="30"/>
      <c r="M531" s="67"/>
    </row>
    <row r="532" spans="1:13" ht="13.2">
      <c r="A532" s="227"/>
      <c r="B532" s="311" t="s">
        <v>337</v>
      </c>
      <c r="C532" s="319">
        <v>45317</v>
      </c>
      <c r="D532" s="28" t="s">
        <v>887</v>
      </c>
      <c r="E532" s="143" t="str">
        <f>VLOOKUP(D532,'Danh mục hàng hóa'!$C$3:$D$643,2,0)</f>
        <v>Mèo chong chóng</v>
      </c>
      <c r="F532" s="144" t="str">
        <f>VLOOKUP(D532,'Danh mục hàng hóa'!$C$3:$E$656,3,0)</f>
        <v>cái</v>
      </c>
      <c r="G532" s="320">
        <v>46400</v>
      </c>
      <c r="H532" s="317"/>
      <c r="I532" s="313">
        <v>1</v>
      </c>
      <c r="J532" s="166">
        <f t="shared" si="16"/>
        <v>0</v>
      </c>
      <c r="K532" s="168">
        <f t="shared" si="35"/>
        <v>46400</v>
      </c>
      <c r="L532" s="30"/>
      <c r="M532" s="67"/>
    </row>
    <row r="533" spans="1:13" ht="13.2">
      <c r="A533" s="227"/>
      <c r="B533" s="311" t="s">
        <v>337</v>
      </c>
      <c r="C533" s="319">
        <v>45317</v>
      </c>
      <c r="D533" s="28" t="s">
        <v>915</v>
      </c>
      <c r="E533" s="143" t="str">
        <f>VLOOKUP(D533,'Danh mục hàng hóa'!$C$3:$D$643,2,0)</f>
        <v>Thỏ chạy xe gắn xe</v>
      </c>
      <c r="F533" s="144" t="str">
        <f>VLOOKUP(D533,'Danh mục hàng hóa'!$C$3:$E$656,3,0)</f>
        <v>cái</v>
      </c>
      <c r="G533" s="320">
        <v>33000</v>
      </c>
      <c r="H533" s="317"/>
      <c r="I533" s="313">
        <v>1</v>
      </c>
      <c r="J533" s="166">
        <f t="shared" si="16"/>
        <v>0</v>
      </c>
      <c r="K533" s="168">
        <f t="shared" si="35"/>
        <v>33000</v>
      </c>
      <c r="L533" s="30"/>
      <c r="M533" s="67"/>
    </row>
    <row r="534" spans="1:13" ht="13.2">
      <c r="A534" s="227"/>
      <c r="B534" s="311" t="s">
        <v>337</v>
      </c>
      <c r="C534" s="319">
        <v>45317</v>
      </c>
      <c r="D534" s="28" t="s">
        <v>907</v>
      </c>
      <c r="E534" s="143" t="str">
        <f>VLOOKUP(D534,'Danh mục hàng hóa'!$C$3:$D$643,2,0)</f>
        <v>Cáo gắn xe</v>
      </c>
      <c r="F534" s="144" t="str">
        <f>VLOOKUP(D534,'Danh mục hàng hóa'!$C$3:$E$656,3,0)</f>
        <v>cái</v>
      </c>
      <c r="G534" s="320">
        <v>33000</v>
      </c>
      <c r="H534" s="317"/>
      <c r="I534" s="313">
        <v>1</v>
      </c>
      <c r="J534" s="166">
        <f t="shared" si="16"/>
        <v>0</v>
      </c>
      <c r="K534" s="168">
        <f t="shared" si="35"/>
        <v>33000</v>
      </c>
      <c r="L534" s="30"/>
      <c r="M534" s="67"/>
    </row>
    <row r="535" spans="1:13" ht="13.2">
      <c r="A535" s="227"/>
      <c r="B535" s="311" t="s">
        <v>337</v>
      </c>
      <c r="C535" s="319">
        <v>45317</v>
      </c>
      <c r="D535" s="28" t="s">
        <v>482</v>
      </c>
      <c r="E535" s="143" t="str">
        <f>VLOOKUP(D535,'Danh mục hàng hóa'!$C$3:$D$643,2,0)</f>
        <v>Trâm cài 01</v>
      </c>
      <c r="F535" s="144" t="str">
        <f>VLOOKUP(D535,'Danh mục hàng hóa'!$C$3:$E$656,3,0)</f>
        <v>cây</v>
      </c>
      <c r="G535" s="320">
        <v>28000</v>
      </c>
      <c r="H535" s="317"/>
      <c r="I535" s="313">
        <v>1</v>
      </c>
      <c r="J535" s="166">
        <f t="shared" si="16"/>
        <v>0</v>
      </c>
      <c r="K535" s="168">
        <f t="shared" si="35"/>
        <v>28000</v>
      </c>
      <c r="L535" s="427"/>
      <c r="M535" s="67"/>
    </row>
    <row r="536" spans="1:13" ht="13.2">
      <c r="A536" s="227"/>
      <c r="B536" s="311" t="s">
        <v>337</v>
      </c>
      <c r="C536" s="319">
        <v>45317</v>
      </c>
      <c r="D536" s="28" t="s">
        <v>495</v>
      </c>
      <c r="E536" s="143" t="str">
        <f>VLOOKUP(D536,'Danh mục hàng hóa'!$C$3:$D$643,2,0)</f>
        <v>Trâm cài 07</v>
      </c>
      <c r="F536" s="144" t="str">
        <f>VLOOKUP(D536,'Danh mục hàng hóa'!$C$3:$E$656,3,0)</f>
        <v>cây</v>
      </c>
      <c r="G536" s="320">
        <v>20000</v>
      </c>
      <c r="H536" s="317"/>
      <c r="I536" s="313">
        <v>1</v>
      </c>
      <c r="J536" s="166">
        <f t="shared" si="16"/>
        <v>0</v>
      </c>
      <c r="K536" s="168">
        <f t="shared" si="35"/>
        <v>20000</v>
      </c>
      <c r="L536" s="372"/>
      <c r="M536" s="67"/>
    </row>
    <row r="537" spans="1:13" ht="13.2">
      <c r="A537" s="227"/>
      <c r="B537" s="311" t="s">
        <v>337</v>
      </c>
      <c r="C537" s="319">
        <v>45317</v>
      </c>
      <c r="D537" s="28" t="s">
        <v>507</v>
      </c>
      <c r="E537" s="143" t="str">
        <f>VLOOKUP(D537,'Danh mục hàng hóa'!$C$3:$D$643,2,0)</f>
        <v>Trâm cài 13</v>
      </c>
      <c r="F537" s="144" t="str">
        <f>VLOOKUP(D537,'Danh mục hàng hóa'!$C$3:$E$656,3,0)</f>
        <v>cây</v>
      </c>
      <c r="G537" s="320">
        <v>36000</v>
      </c>
      <c r="H537" s="317"/>
      <c r="I537" s="313">
        <v>1</v>
      </c>
      <c r="J537" s="166">
        <f t="shared" ref="J537:J562" si="39">H537*G537</f>
        <v>0</v>
      </c>
      <c r="K537" s="168">
        <f t="shared" si="35"/>
        <v>36000</v>
      </c>
      <c r="L537" s="372"/>
      <c r="M537" s="67"/>
    </row>
    <row r="538" spans="1:13" ht="13.2">
      <c r="A538" s="227"/>
      <c r="B538" s="311" t="s">
        <v>337</v>
      </c>
      <c r="C538" s="319">
        <v>45317</v>
      </c>
      <c r="D538" s="28" t="s">
        <v>521</v>
      </c>
      <c r="E538" s="143" t="str">
        <f>VLOOKUP(D538,'Danh mục hàng hóa'!$C$3:$D$643,2,0)</f>
        <v>Trâm cài 20</v>
      </c>
      <c r="F538" s="144" t="str">
        <f>VLOOKUP(D538,'Danh mục hàng hóa'!$C$3:$E$656,3,0)</f>
        <v>cây</v>
      </c>
      <c r="G538" s="320">
        <v>24000</v>
      </c>
      <c r="H538" s="317"/>
      <c r="I538" s="313">
        <v>1</v>
      </c>
      <c r="J538" s="166">
        <f t="shared" si="39"/>
        <v>0</v>
      </c>
      <c r="K538" s="168">
        <f t="shared" si="35"/>
        <v>24000</v>
      </c>
      <c r="L538" s="373"/>
      <c r="M538" s="67"/>
    </row>
    <row r="539" spans="1:13" ht="13.2">
      <c r="A539" s="227"/>
      <c r="B539" s="311" t="s">
        <v>337</v>
      </c>
      <c r="C539" s="319">
        <v>45318</v>
      </c>
      <c r="D539" s="28" t="s">
        <v>493</v>
      </c>
      <c r="E539" s="143" t="str">
        <f>VLOOKUP(D539,'Danh mục hàng hóa'!$C$3:$D$643,2,0)</f>
        <v>Trâm cài 06</v>
      </c>
      <c r="F539" s="144" t="str">
        <f>VLOOKUP(D539,'Danh mục hàng hóa'!$C$3:$E$656,3,0)</f>
        <v>cây</v>
      </c>
      <c r="G539" s="320">
        <v>12260</v>
      </c>
      <c r="H539" s="317"/>
      <c r="I539" s="313">
        <v>1</v>
      </c>
      <c r="J539" s="166">
        <f t="shared" si="39"/>
        <v>0</v>
      </c>
      <c r="K539" s="168">
        <f t="shared" si="35"/>
        <v>12260</v>
      </c>
      <c r="L539" s="30"/>
      <c r="M539" s="67"/>
    </row>
    <row r="540" spans="1:13" ht="13.2">
      <c r="A540" s="227"/>
      <c r="B540" s="311" t="s">
        <v>337</v>
      </c>
      <c r="C540" s="319">
        <v>45318</v>
      </c>
      <c r="D540" s="28" t="s">
        <v>907</v>
      </c>
      <c r="E540" s="143" t="str">
        <f>VLOOKUP(D540,'Danh mục hàng hóa'!$C$3:$D$643,2,0)</f>
        <v>Cáo gắn xe</v>
      </c>
      <c r="F540" s="144" t="str">
        <f>VLOOKUP(D540,'Danh mục hàng hóa'!$C$3:$E$656,3,0)</f>
        <v>cái</v>
      </c>
      <c r="G540" s="320">
        <v>32962</v>
      </c>
      <c r="H540" s="317"/>
      <c r="I540" s="313">
        <v>1</v>
      </c>
      <c r="J540" s="166">
        <f t="shared" si="39"/>
        <v>0</v>
      </c>
      <c r="K540" s="168">
        <f t="shared" si="35"/>
        <v>32962</v>
      </c>
      <c r="L540" s="30"/>
      <c r="M540" s="67"/>
    </row>
    <row r="541" spans="1:13" ht="13.2">
      <c r="A541" s="227"/>
      <c r="B541" s="311" t="s">
        <v>337</v>
      </c>
      <c r="C541" s="319">
        <v>45319</v>
      </c>
      <c r="D541" s="28" t="s">
        <v>505</v>
      </c>
      <c r="E541" s="143" t="str">
        <f>VLOOKUP(D541,'Danh mục hàng hóa'!$C$3:$D$643,2,0)</f>
        <v>Trâm cài 12</v>
      </c>
      <c r="F541" s="144" t="str">
        <f>VLOOKUP(D541,'Danh mục hàng hóa'!$C$3:$E$656,3,0)</f>
        <v>cây</v>
      </c>
      <c r="G541" s="320">
        <v>34000</v>
      </c>
      <c r="H541" s="317"/>
      <c r="I541" s="313">
        <v>1</v>
      </c>
      <c r="J541" s="166">
        <f t="shared" si="39"/>
        <v>0</v>
      </c>
      <c r="K541" s="168">
        <f t="shared" si="35"/>
        <v>34000</v>
      </c>
      <c r="L541" s="30"/>
      <c r="M541" s="67"/>
    </row>
    <row r="542" spans="1:13" ht="13.2">
      <c r="A542" s="227"/>
      <c r="B542" s="311" t="s">
        <v>337</v>
      </c>
      <c r="C542" s="319">
        <v>45319</v>
      </c>
      <c r="D542" s="28" t="s">
        <v>455</v>
      </c>
      <c r="E542" s="143" t="str">
        <f>VLOOKUP(D542,'Danh mục hàng hóa'!$C$3:$D$643,2,0)</f>
        <v>Cài áo tulip</v>
      </c>
      <c r="F542" s="144" t="str">
        <f>VLOOKUP(D542,'Danh mục hàng hóa'!$C$3:$E$656,3,0)</f>
        <v>cái</v>
      </c>
      <c r="G542" s="320">
        <v>38000</v>
      </c>
      <c r="H542" s="317"/>
      <c r="I542" s="313">
        <v>1</v>
      </c>
      <c r="J542" s="166">
        <f t="shared" si="39"/>
        <v>0</v>
      </c>
      <c r="K542" s="168">
        <f t="shared" si="35"/>
        <v>38000</v>
      </c>
      <c r="L542" s="30"/>
      <c r="M542" s="67"/>
    </row>
    <row r="543" spans="1:13" ht="13.2">
      <c r="A543" s="227"/>
      <c r="B543" s="311" t="s">
        <v>337</v>
      </c>
      <c r="C543" s="319">
        <v>45319</v>
      </c>
      <c r="D543" s="28" t="s">
        <v>543</v>
      </c>
      <c r="E543" s="143" t="str">
        <f>VLOOKUP(D543,'Danh mục hàng hóa'!$C$3:$D$643,2,0)</f>
        <v>Kẹp tóc kim loại bông hoa</v>
      </c>
      <c r="F543" s="144" t="str">
        <f>VLOOKUP(D543,'Danh mục hàng hóa'!$C$3:$E$656,3,0)</f>
        <v>cái</v>
      </c>
      <c r="G543" s="321">
        <f>81740-G542-G541</f>
        <v>9740</v>
      </c>
      <c r="H543" s="317"/>
      <c r="I543" s="313">
        <v>1</v>
      </c>
      <c r="J543" s="166">
        <f t="shared" si="39"/>
        <v>0</v>
      </c>
      <c r="K543" s="168">
        <f t="shared" si="35"/>
        <v>9740</v>
      </c>
      <c r="L543" s="30"/>
      <c r="M543" s="67"/>
    </row>
    <row r="544" spans="1:13" ht="13.2">
      <c r="A544" s="227"/>
      <c r="B544" s="311" t="s">
        <v>337</v>
      </c>
      <c r="C544" s="319">
        <v>45319</v>
      </c>
      <c r="D544" s="28" t="s">
        <v>485</v>
      </c>
      <c r="E544" s="143" t="str">
        <f>VLOOKUP(D544,'Danh mục hàng hóa'!$C$3:$D$643,2,0)</f>
        <v>Trâm cài 02</v>
      </c>
      <c r="F544" s="144" t="str">
        <f>VLOOKUP(D544,'Danh mục hàng hóa'!$C$3:$E$656,3,0)</f>
        <v>cây</v>
      </c>
      <c r="G544" s="320">
        <v>28000</v>
      </c>
      <c r="H544" s="317"/>
      <c r="I544" s="313">
        <v>1</v>
      </c>
      <c r="J544" s="166">
        <f t="shared" si="39"/>
        <v>0</v>
      </c>
      <c r="K544" s="168">
        <f t="shared" si="35"/>
        <v>28000</v>
      </c>
      <c r="L544" s="30"/>
      <c r="M544" s="67"/>
    </row>
    <row r="545" spans="1:13" ht="13.2">
      <c r="A545" s="227"/>
      <c r="B545" s="311" t="s">
        <v>337</v>
      </c>
      <c r="C545" s="319">
        <v>45319</v>
      </c>
      <c r="D545" s="28" t="s">
        <v>487</v>
      </c>
      <c r="E545" s="143" t="str">
        <f>VLOOKUP(D545,'Danh mục hàng hóa'!$C$3:$D$643,2,0)</f>
        <v>Trâm cài 03</v>
      </c>
      <c r="F545" s="144" t="str">
        <f>VLOOKUP(D545,'Danh mục hàng hóa'!$C$3:$E$656,3,0)</f>
        <v>cây</v>
      </c>
      <c r="G545" s="320">
        <v>30000</v>
      </c>
      <c r="H545" s="317"/>
      <c r="I545" s="313">
        <v>1</v>
      </c>
      <c r="J545" s="166">
        <f t="shared" si="39"/>
        <v>0</v>
      </c>
      <c r="K545" s="168">
        <f t="shared" si="35"/>
        <v>30000</v>
      </c>
      <c r="L545" s="30"/>
      <c r="M545" s="67"/>
    </row>
    <row r="546" spans="1:13" ht="13.2">
      <c r="A546" s="227"/>
      <c r="B546" s="311" t="s">
        <v>337</v>
      </c>
      <c r="C546" s="319">
        <v>45319</v>
      </c>
      <c r="D546" s="28" t="s">
        <v>489</v>
      </c>
      <c r="E546" s="143" t="str">
        <f>VLOOKUP(D546,'Danh mục hàng hóa'!$C$3:$D$643,2,0)</f>
        <v>Trâm cài 04</v>
      </c>
      <c r="F546" s="144" t="str">
        <f>VLOOKUP(D546,'Danh mục hàng hóa'!$C$3:$E$656,3,0)</f>
        <v>cây</v>
      </c>
      <c r="G546" s="321">
        <f>70240-G544-G545</f>
        <v>12240</v>
      </c>
      <c r="H546" s="317"/>
      <c r="I546" s="313">
        <v>1</v>
      </c>
      <c r="J546" s="166">
        <f t="shared" si="39"/>
        <v>0</v>
      </c>
      <c r="K546" s="168">
        <f t="shared" si="35"/>
        <v>12240</v>
      </c>
      <c r="L546" s="30"/>
      <c r="M546" s="67"/>
    </row>
    <row r="547" spans="1:13" ht="13.2">
      <c r="A547" s="227"/>
      <c r="B547" s="311" t="s">
        <v>337</v>
      </c>
      <c r="C547" s="319">
        <v>45319</v>
      </c>
      <c r="D547" s="28" t="s">
        <v>437</v>
      </c>
      <c r="E547" s="143" t="str">
        <f>VLOOKUP(D547,'Danh mục hàng hóa'!$C$3:$D$643,2,0)</f>
        <v>Bao lì xì Tết hoa</v>
      </c>
      <c r="F547" s="144" t="str">
        <f>VLOOKUP(D547,'Danh mục hàng hóa'!$C$3:$E$656,3,0)</f>
        <v>set 6 cái</v>
      </c>
      <c r="G547" s="321">
        <f>45764/6</f>
        <v>7627.333333333333</v>
      </c>
      <c r="H547" s="317"/>
      <c r="I547" s="313">
        <v>6</v>
      </c>
      <c r="J547" s="166">
        <f t="shared" si="39"/>
        <v>0</v>
      </c>
      <c r="K547" s="168">
        <f t="shared" si="35"/>
        <v>45764</v>
      </c>
      <c r="L547" s="30"/>
      <c r="M547" s="67"/>
    </row>
    <row r="548" spans="1:13" ht="13.2">
      <c r="A548" s="227"/>
      <c r="B548" s="311" t="s">
        <v>337</v>
      </c>
      <c r="C548" s="319">
        <v>45319</v>
      </c>
      <c r="D548" s="28" t="s">
        <v>511</v>
      </c>
      <c r="E548" s="143" t="str">
        <f>VLOOKUP(D548,'Danh mục hàng hóa'!$C$3:$D$643,2,0)</f>
        <v>Trâm cài 15</v>
      </c>
      <c r="F548" s="144" t="str">
        <f>VLOOKUP(D548,'Danh mục hàng hóa'!$C$3:$E$656,3,0)</f>
        <v>cây</v>
      </c>
      <c r="G548" s="320">
        <v>26252</v>
      </c>
      <c r="H548" s="317"/>
      <c r="I548" s="313">
        <v>1</v>
      </c>
      <c r="J548" s="166">
        <f t="shared" si="39"/>
        <v>0</v>
      </c>
      <c r="K548" s="168">
        <f t="shared" si="35"/>
        <v>26252</v>
      </c>
      <c r="L548" s="30"/>
      <c r="M548" s="67"/>
    </row>
    <row r="549" spans="1:13" ht="13.2">
      <c r="A549" s="227"/>
      <c r="B549" s="311" t="s">
        <v>337</v>
      </c>
      <c r="C549" s="319">
        <v>45319</v>
      </c>
      <c r="D549" s="28" t="s">
        <v>409</v>
      </c>
      <c r="E549" s="143" t="str">
        <f>VLOOKUP(D549,'Danh mục hàng hóa'!$C$3:$D$643,2,0)</f>
        <v>Túi chườm bụng thỏ dứa 1000ml</v>
      </c>
      <c r="F549" s="144" t="str">
        <f>VLOOKUP(D549,'Danh mục hàng hóa'!$C$3:$E$656,3,0)</f>
        <v>túi</v>
      </c>
      <c r="G549" s="320">
        <v>95920</v>
      </c>
      <c r="H549" s="317"/>
      <c r="I549" s="313">
        <v>1</v>
      </c>
      <c r="J549" s="166">
        <f t="shared" si="39"/>
        <v>0</v>
      </c>
      <c r="K549" s="168">
        <f t="shared" si="35"/>
        <v>95920</v>
      </c>
      <c r="L549" s="30"/>
      <c r="M549" s="67"/>
    </row>
    <row r="550" spans="1:13" ht="13.2">
      <c r="A550" s="227"/>
      <c r="B550" s="311" t="s">
        <v>337</v>
      </c>
      <c r="C550" s="319">
        <v>45319</v>
      </c>
      <c r="D550" s="28" t="s">
        <v>497</v>
      </c>
      <c r="E550" s="143" t="str">
        <f>VLOOKUP(D550,'Danh mục hàng hóa'!$C$3:$D$643,2,0)</f>
        <v>Trâm cài 08</v>
      </c>
      <c r="F550" s="144" t="str">
        <f>VLOOKUP(D550,'Danh mục hàng hóa'!$C$3:$E$656,3,0)</f>
        <v>cây</v>
      </c>
      <c r="G550" s="320">
        <v>48000</v>
      </c>
      <c r="H550" s="317"/>
      <c r="I550" s="313">
        <v>1</v>
      </c>
      <c r="J550" s="166">
        <f t="shared" si="39"/>
        <v>0</v>
      </c>
      <c r="K550" s="168">
        <f t="shared" si="35"/>
        <v>48000</v>
      </c>
      <c r="L550" s="30"/>
      <c r="M550" s="67"/>
    </row>
    <row r="551" spans="1:13" ht="13.2">
      <c r="A551" s="227"/>
      <c r="B551" s="311" t="s">
        <v>337</v>
      </c>
      <c r="C551" s="319">
        <v>45319</v>
      </c>
      <c r="D551" s="28" t="s">
        <v>503</v>
      </c>
      <c r="E551" s="143" t="str">
        <f>VLOOKUP(D551,'Danh mục hàng hóa'!$C$3:$D$643,2,0)</f>
        <v>Trâm cài 11</v>
      </c>
      <c r="F551" s="144" t="str">
        <f>VLOOKUP(D551,'Danh mục hàng hóa'!$C$3:$E$656,3,0)</f>
        <v>cây</v>
      </c>
      <c r="G551" s="320">
        <v>30000</v>
      </c>
      <c r="H551" s="317"/>
      <c r="I551" s="313">
        <v>1</v>
      </c>
      <c r="J551" s="166">
        <f t="shared" si="39"/>
        <v>0</v>
      </c>
      <c r="K551" s="168">
        <f t="shared" si="35"/>
        <v>30000</v>
      </c>
      <c r="L551" s="30"/>
      <c r="M551" s="67"/>
    </row>
    <row r="552" spans="1:13" ht="13.2">
      <c r="A552" s="227"/>
      <c r="B552" s="311" t="s">
        <v>337</v>
      </c>
      <c r="C552" s="319">
        <v>45319</v>
      </c>
      <c r="D552" s="28" t="s">
        <v>505</v>
      </c>
      <c r="E552" s="143" t="str">
        <f>VLOOKUP(D552,'Danh mục hàng hóa'!$C$3:$D$643,2,0)</f>
        <v>Trâm cài 12</v>
      </c>
      <c r="F552" s="144" t="str">
        <f>VLOOKUP(D552,'Danh mục hàng hóa'!$C$3:$E$656,3,0)</f>
        <v>cây</v>
      </c>
      <c r="G552" s="320">
        <v>33000</v>
      </c>
      <c r="H552" s="317"/>
      <c r="I552" s="313">
        <v>1</v>
      </c>
      <c r="J552" s="166">
        <f t="shared" si="39"/>
        <v>0</v>
      </c>
      <c r="K552" s="168">
        <f t="shared" si="35"/>
        <v>33000</v>
      </c>
      <c r="L552" s="30"/>
      <c r="M552" s="67"/>
    </row>
    <row r="553" spans="1:13" ht="13.2">
      <c r="A553" s="227"/>
      <c r="B553" s="311" t="s">
        <v>337</v>
      </c>
      <c r="C553" s="319">
        <v>45319</v>
      </c>
      <c r="D553" s="28" t="s">
        <v>513</v>
      </c>
      <c r="E553" s="143" t="str">
        <f>VLOOKUP(D553,'Danh mục hàng hóa'!$C$3:$D$643,2,0)</f>
        <v>Trâm cài 16</v>
      </c>
      <c r="F553" s="144" t="str">
        <f>VLOOKUP(D553,'Danh mục hàng hóa'!$C$3:$E$656,3,0)</f>
        <v>cây</v>
      </c>
      <c r="G553" s="320">
        <v>25000</v>
      </c>
      <c r="H553" s="317"/>
      <c r="I553" s="313">
        <v>1</v>
      </c>
      <c r="J553" s="166">
        <f t="shared" si="39"/>
        <v>0</v>
      </c>
      <c r="K553" s="168">
        <f t="shared" si="35"/>
        <v>25000</v>
      </c>
      <c r="L553" s="30"/>
      <c r="M553" s="67"/>
    </row>
    <row r="554" spans="1:13" ht="13.2">
      <c r="A554" s="227"/>
      <c r="B554" s="311" t="s">
        <v>337</v>
      </c>
      <c r="C554" s="319">
        <v>45319</v>
      </c>
      <c r="D554" s="28" t="s">
        <v>523</v>
      </c>
      <c r="E554" s="143" t="str">
        <f>VLOOKUP(D554,'Danh mục hàng hóa'!$C$3:$D$643,2,0)</f>
        <v>Trâm cài 21</v>
      </c>
      <c r="F554" s="144" t="str">
        <f>VLOOKUP(D554,'Danh mục hàng hóa'!$C$3:$E$656,3,0)</f>
        <v>cây</v>
      </c>
      <c r="G554" s="320">
        <v>25000</v>
      </c>
      <c r="H554" s="317"/>
      <c r="I554" s="313">
        <v>1</v>
      </c>
      <c r="J554" s="166">
        <f t="shared" si="39"/>
        <v>0</v>
      </c>
      <c r="K554" s="168">
        <f t="shared" si="35"/>
        <v>25000</v>
      </c>
      <c r="L554" s="30"/>
      <c r="M554" s="67"/>
    </row>
    <row r="555" spans="1:13" ht="13.2">
      <c r="A555" s="227"/>
      <c r="B555" s="311" t="s">
        <v>337</v>
      </c>
      <c r="C555" s="319">
        <v>45320</v>
      </c>
      <c r="D555" s="28" t="s">
        <v>523</v>
      </c>
      <c r="E555" s="143" t="str">
        <f>VLOOKUP(D555,'Danh mục hàng hóa'!$C$3:$D$643,2,0)</f>
        <v>Trâm cài 21</v>
      </c>
      <c r="F555" s="144" t="str">
        <f>VLOOKUP(D555,'Danh mục hàng hóa'!$C$3:$E$656,3,0)</f>
        <v>cây</v>
      </c>
      <c r="G555" s="320">
        <v>26000</v>
      </c>
      <c r="H555" s="317"/>
      <c r="I555" s="313">
        <v>1</v>
      </c>
      <c r="J555" s="166">
        <f t="shared" si="39"/>
        <v>0</v>
      </c>
      <c r="K555" s="168">
        <f t="shared" si="35"/>
        <v>26000</v>
      </c>
      <c r="L555" s="30"/>
      <c r="M555" s="67"/>
    </row>
    <row r="556" spans="1:13" ht="13.2">
      <c r="A556" s="227"/>
      <c r="B556" s="311" t="s">
        <v>337</v>
      </c>
      <c r="C556" s="319">
        <v>45320</v>
      </c>
      <c r="D556" s="28" t="s">
        <v>874</v>
      </c>
      <c r="E556" s="143" t="str">
        <f>VLOOKUP(D556,'Danh mục hàng hóa'!$C$3:$D$643,2,0)</f>
        <v>Dao rọc giấy cún xanh</v>
      </c>
      <c r="F556" s="144" t="str">
        <f>VLOOKUP(D556,'Danh mục hàng hóa'!$C$3:$E$656,3,0)</f>
        <v>cái</v>
      </c>
      <c r="G556" s="321">
        <f>33824-G555</f>
        <v>7824</v>
      </c>
      <c r="H556" s="317"/>
      <c r="I556" s="313">
        <v>1</v>
      </c>
      <c r="J556" s="166">
        <f t="shared" si="39"/>
        <v>0</v>
      </c>
      <c r="K556" s="168">
        <f t="shared" si="35"/>
        <v>7824</v>
      </c>
      <c r="L556" s="30"/>
      <c r="M556" s="67"/>
    </row>
    <row r="557" spans="1:13" ht="13.2">
      <c r="A557" s="227"/>
      <c r="B557" s="311" t="s">
        <v>336</v>
      </c>
      <c r="C557" s="319">
        <v>45321</v>
      </c>
      <c r="D557" s="28" t="s">
        <v>977</v>
      </c>
      <c r="E557" s="143" t="str">
        <f>VLOOKUP(D557,'Danh mục hàng hóa'!$C$3:$D$643,2,0)</f>
        <v>Móc khóa đôi heo</v>
      </c>
      <c r="F557" s="144" t="str">
        <f>VLOOKUP(D557,'Danh mục hàng hóa'!$C$3:$E$656,3,0)</f>
        <v>cái</v>
      </c>
      <c r="G557" s="321">
        <f>5.68*3510</f>
        <v>19936.8</v>
      </c>
      <c r="H557" s="313">
        <v>14</v>
      </c>
      <c r="I557" s="313">
        <v>0</v>
      </c>
      <c r="J557" s="166">
        <f t="shared" si="39"/>
        <v>279115.2</v>
      </c>
      <c r="K557" s="168">
        <f t="shared" si="35"/>
        <v>0</v>
      </c>
      <c r="L557" s="30"/>
      <c r="M557" s="67"/>
    </row>
    <row r="558" spans="1:13" ht="13.2">
      <c r="A558" s="227"/>
      <c r="B558" s="311" t="s">
        <v>336</v>
      </c>
      <c r="C558" s="319">
        <v>45321</v>
      </c>
      <c r="D558" s="28" t="s">
        <v>979</v>
      </c>
      <c r="E558" s="143" t="str">
        <f>VLOOKUP(D558,'Danh mục hàng hóa'!$C$3:$D$643,2,0)</f>
        <v>Móc khóa đôi thỏ cà rốt</v>
      </c>
      <c r="F558" s="144" t="str">
        <f>VLOOKUP(D558,'Danh mục hàng hóa'!$C$3:$E$656,3,0)</f>
        <v>cái</v>
      </c>
      <c r="G558" s="321">
        <f>4.84*3510</f>
        <v>16988.399999999998</v>
      </c>
      <c r="H558" s="313">
        <v>10</v>
      </c>
      <c r="I558" s="313">
        <v>0</v>
      </c>
      <c r="J558" s="166">
        <f t="shared" si="39"/>
        <v>169883.99999999997</v>
      </c>
      <c r="K558" s="168">
        <f t="shared" si="35"/>
        <v>0</v>
      </c>
      <c r="L558" s="30"/>
      <c r="M558" s="67"/>
    </row>
    <row r="559" spans="1:13" ht="13.2">
      <c r="A559" s="227"/>
      <c r="B559" s="311" t="s">
        <v>336</v>
      </c>
      <c r="C559" s="319">
        <v>45321</v>
      </c>
      <c r="D559" s="28" t="s">
        <v>981</v>
      </c>
      <c r="E559" s="143" t="str">
        <f>VLOOKUP(D559,'Danh mục hàng hóa'!$C$3:$D$643,2,0)</f>
        <v>Móc khóa đôi corgy</v>
      </c>
      <c r="F559" s="144" t="str">
        <f>VLOOKUP(D559,'Danh mục hàng hóa'!$C$3:$E$656,3,0)</f>
        <v>cái</v>
      </c>
      <c r="G559" s="321">
        <f t="shared" ref="G559:G560" si="40">5.68*3510</f>
        <v>19936.8</v>
      </c>
      <c r="H559" s="313">
        <v>6</v>
      </c>
      <c r="I559" s="313">
        <v>0</v>
      </c>
      <c r="J559" s="166">
        <f t="shared" si="39"/>
        <v>119620.79999999999</v>
      </c>
      <c r="K559" s="168">
        <f t="shared" si="35"/>
        <v>0</v>
      </c>
      <c r="L559" s="30"/>
      <c r="M559" s="67"/>
    </row>
    <row r="560" spans="1:13" ht="13.2">
      <c r="A560" s="227"/>
      <c r="B560" s="311" t="s">
        <v>336</v>
      </c>
      <c r="C560" s="319">
        <v>45321</v>
      </c>
      <c r="D560" s="28" t="s">
        <v>983</v>
      </c>
      <c r="E560" s="143" t="str">
        <f>VLOOKUP(D560,'Danh mục hàng hóa'!$C$3:$D$643,2,0)</f>
        <v>Móc khoá đôi thỏ</v>
      </c>
      <c r="F560" s="144" t="str">
        <f>VLOOKUP(D560,'Danh mục hàng hóa'!$C$3:$E$656,3,0)</f>
        <v>cái</v>
      </c>
      <c r="G560" s="321">
        <f t="shared" si="40"/>
        <v>19936.8</v>
      </c>
      <c r="H560" s="313">
        <v>9</v>
      </c>
      <c r="I560" s="313">
        <v>0</v>
      </c>
      <c r="J560" s="166">
        <f t="shared" si="39"/>
        <v>179431.19999999998</v>
      </c>
      <c r="K560" s="168">
        <f t="shared" si="35"/>
        <v>0</v>
      </c>
      <c r="L560" s="30"/>
      <c r="M560" s="67"/>
    </row>
    <row r="561" spans="1:13" ht="13.2">
      <c r="A561" s="227"/>
      <c r="B561" s="311" t="s">
        <v>337</v>
      </c>
      <c r="C561" s="319">
        <v>45321</v>
      </c>
      <c r="D561" s="28" t="s">
        <v>433</v>
      </c>
      <c r="E561" s="143" t="str">
        <f>VLOOKUP(D561,'Danh mục hàng hóa'!$C$3:$D$643,2,0)</f>
        <v>Bao lì xì rồng lân</v>
      </c>
      <c r="F561" s="144" t="str">
        <f>VLOOKUP(D561,'Danh mục hàng hóa'!$C$3:$E$656,3,0)</f>
        <v>túi 4 cái</v>
      </c>
      <c r="G561" s="320">
        <v>10000</v>
      </c>
      <c r="H561" s="313"/>
      <c r="I561" s="313">
        <v>1</v>
      </c>
      <c r="J561" s="166">
        <f t="shared" si="39"/>
        <v>0</v>
      </c>
      <c r="K561" s="168">
        <f t="shared" si="35"/>
        <v>10000</v>
      </c>
      <c r="L561" s="30"/>
      <c r="M561" s="67"/>
    </row>
    <row r="562" spans="1:13" ht="13.2">
      <c r="A562" s="227"/>
      <c r="B562" s="311" t="s">
        <v>337</v>
      </c>
      <c r="C562" s="319">
        <v>45321</v>
      </c>
      <c r="D562" s="28" t="s">
        <v>435</v>
      </c>
      <c r="E562" s="143" t="str">
        <f>VLOOKUP(D562,'Danh mục hàng hóa'!$C$3:$D$643,2,0)</f>
        <v>Bao lì xì Tết tài lộc</v>
      </c>
      <c r="F562" s="144" t="str">
        <f>VLOOKUP(D562,'Danh mục hàng hóa'!$C$3:$E$656,3,0)</f>
        <v>set 6 cái</v>
      </c>
      <c r="G562" s="320">
        <v>6000</v>
      </c>
      <c r="H562" s="313"/>
      <c r="I562" s="313">
        <v>3</v>
      </c>
      <c r="J562" s="166">
        <f t="shared" si="39"/>
        <v>0</v>
      </c>
      <c r="K562" s="168">
        <f t="shared" si="35"/>
        <v>18000</v>
      </c>
      <c r="L562" s="30"/>
      <c r="M562" s="67"/>
    </row>
    <row r="563" spans="1:13" ht="13.2">
      <c r="A563" s="227"/>
      <c r="B563" s="311" t="s">
        <v>337</v>
      </c>
      <c r="C563" s="319">
        <v>45322</v>
      </c>
      <c r="D563" s="28" t="s">
        <v>511</v>
      </c>
      <c r="E563" s="143" t="str">
        <f>VLOOKUP(D563,'Danh mục hàng hóa'!$C$3:$D$643,2,0)</f>
        <v>Trâm cài 15</v>
      </c>
      <c r="F563" s="144" t="str">
        <f>VLOOKUP(D563,'Danh mục hàng hóa'!$C$3:$E$656,3,0)</f>
        <v>cây</v>
      </c>
      <c r="G563" s="320">
        <v>26252</v>
      </c>
      <c r="H563" s="317"/>
      <c r="I563" s="313">
        <v>1</v>
      </c>
      <c r="J563" s="211">
        <v>0</v>
      </c>
      <c r="K563" s="168">
        <f t="shared" si="35"/>
        <v>26252</v>
      </c>
      <c r="L563" s="30"/>
      <c r="M563" s="67"/>
    </row>
    <row r="564" spans="1:13" ht="13.2">
      <c r="A564" s="227"/>
      <c r="B564" s="311" t="s">
        <v>337</v>
      </c>
      <c r="C564" s="319">
        <v>45322</v>
      </c>
      <c r="D564" s="28" t="s">
        <v>915</v>
      </c>
      <c r="E564" s="143" t="str">
        <f>VLOOKUP(D564,'Danh mục hàng hóa'!$C$3:$D$643,2,0)</f>
        <v>Thỏ chạy xe gắn xe</v>
      </c>
      <c r="F564" s="144" t="str">
        <f>VLOOKUP(D564,'Danh mục hàng hóa'!$C$3:$E$656,3,0)</f>
        <v>cái</v>
      </c>
      <c r="G564" s="320">
        <v>32702</v>
      </c>
      <c r="H564" s="317"/>
      <c r="I564" s="313">
        <v>1</v>
      </c>
      <c r="J564" s="166">
        <f t="shared" ref="J564:J602" si="41">H564*G564</f>
        <v>0</v>
      </c>
      <c r="K564" s="168">
        <f t="shared" si="35"/>
        <v>32702</v>
      </c>
      <c r="L564" s="30"/>
      <c r="M564" s="67"/>
    </row>
    <row r="565" spans="1:13" ht="13.2">
      <c r="A565" s="227"/>
      <c r="B565" s="311" t="s">
        <v>337</v>
      </c>
      <c r="C565" s="319">
        <v>45322</v>
      </c>
      <c r="D565" s="28" t="s">
        <v>917</v>
      </c>
      <c r="E565" s="143" t="str">
        <f>VLOOKUP(D565,'Danh mục hàng hóa'!$C$3:$D$643,2,0)</f>
        <v>Thỏ đi vịt gắn xe</v>
      </c>
      <c r="F565" s="144" t="str">
        <f>VLOOKUP(D565,'Danh mục hàng hóa'!$C$3:$E$656,3,0)</f>
        <v>cái</v>
      </c>
      <c r="G565" s="320">
        <v>34882</v>
      </c>
      <c r="H565" s="317"/>
      <c r="I565" s="313">
        <v>1</v>
      </c>
      <c r="J565" s="166">
        <f t="shared" si="41"/>
        <v>0</v>
      </c>
      <c r="K565" s="168">
        <f t="shared" si="35"/>
        <v>34882</v>
      </c>
      <c r="L565" s="30"/>
      <c r="M565" s="67"/>
    </row>
    <row r="566" spans="1:13" ht="13.2">
      <c r="A566" s="227"/>
      <c r="B566" s="311" t="s">
        <v>337</v>
      </c>
      <c r="C566" s="319">
        <v>45322</v>
      </c>
      <c r="D566" s="28" t="s">
        <v>878</v>
      </c>
      <c r="E566" s="143" t="str">
        <f>VLOOKUP(D566,'Danh mục hàng hóa'!$C$3:$D$643,2,0)</f>
        <v>Dao rọc giấy cún hồng</v>
      </c>
      <c r="F566" s="144" t="str">
        <f>VLOOKUP(D566,'Danh mục hàng hóa'!$C$3:$E$656,3,0)</f>
        <v>cái</v>
      </c>
      <c r="G566" s="320">
        <v>6000</v>
      </c>
      <c r="H566" s="317"/>
      <c r="I566" s="313">
        <v>1</v>
      </c>
      <c r="J566" s="166">
        <f t="shared" si="41"/>
        <v>0</v>
      </c>
      <c r="K566" s="168">
        <f t="shared" si="35"/>
        <v>6000</v>
      </c>
      <c r="L566" s="30"/>
      <c r="M566" s="67"/>
    </row>
    <row r="567" spans="1:13" ht="13.2">
      <c r="A567" s="227"/>
      <c r="B567" s="311" t="s">
        <v>337</v>
      </c>
      <c r="C567" s="319">
        <v>45322</v>
      </c>
      <c r="D567" s="28" t="s">
        <v>491</v>
      </c>
      <c r="E567" s="143" t="str">
        <f>VLOOKUP(D567,'Danh mục hàng hóa'!$C$3:$D$643,2,0)</f>
        <v>Trâm cài 05</v>
      </c>
      <c r="F567" s="144" t="str">
        <f>VLOOKUP(D567,'Danh mục hàng hóa'!$C$3:$E$656,3,0)</f>
        <v>cây</v>
      </c>
      <c r="G567" s="320">
        <v>12000</v>
      </c>
      <c r="H567" s="317"/>
      <c r="I567" s="313">
        <v>1</v>
      </c>
      <c r="J567" s="166">
        <f t="shared" si="41"/>
        <v>0</v>
      </c>
      <c r="K567" s="168">
        <f t="shared" si="35"/>
        <v>12000</v>
      </c>
      <c r="L567" s="30"/>
      <c r="M567" s="67"/>
    </row>
    <row r="568" spans="1:13" ht="13.2">
      <c r="A568" s="227"/>
      <c r="B568" s="311" t="s">
        <v>337</v>
      </c>
      <c r="C568" s="319">
        <v>45322</v>
      </c>
      <c r="D568" s="28" t="s">
        <v>499</v>
      </c>
      <c r="E568" s="143" t="str">
        <f>VLOOKUP(D568,'Danh mục hàng hóa'!$C$3:$D$643,2,0)</f>
        <v>Trâm cài 09</v>
      </c>
      <c r="F568" s="144" t="str">
        <f>VLOOKUP(D568,'Danh mục hàng hóa'!$C$3:$E$656,3,0)</f>
        <v>cây</v>
      </c>
      <c r="G568" s="320">
        <v>28000</v>
      </c>
      <c r="H568" s="317"/>
      <c r="I568" s="313">
        <v>1</v>
      </c>
      <c r="J568" s="166">
        <f t="shared" si="41"/>
        <v>0</v>
      </c>
      <c r="K568" s="168">
        <f t="shared" si="35"/>
        <v>28000</v>
      </c>
      <c r="L568" s="30"/>
      <c r="M568" s="67"/>
    </row>
    <row r="569" spans="1:13" ht="13.2">
      <c r="A569" s="227"/>
      <c r="B569" s="311" t="s">
        <v>337</v>
      </c>
      <c r="C569" s="319">
        <v>45322</v>
      </c>
      <c r="D569" s="28" t="s">
        <v>977</v>
      </c>
      <c r="E569" s="143" t="str">
        <f>VLOOKUP(D569,'Danh mục hàng hóa'!$C$3:$D$643,2,0)</f>
        <v>Móc khóa đôi heo</v>
      </c>
      <c r="F569" s="144" t="str">
        <f>VLOOKUP(D569,'Danh mục hàng hóa'!$C$3:$E$656,3,0)</f>
        <v>cái</v>
      </c>
      <c r="G569" s="320">
        <v>43400</v>
      </c>
      <c r="H569" s="317"/>
      <c r="I569" s="313">
        <v>1</v>
      </c>
      <c r="J569" s="166">
        <f t="shared" si="41"/>
        <v>0</v>
      </c>
      <c r="K569" s="168">
        <f t="shared" si="35"/>
        <v>43400</v>
      </c>
      <c r="L569" s="30"/>
      <c r="M569" s="67"/>
    </row>
    <row r="570" spans="1:13" ht="13.2">
      <c r="A570" s="227"/>
      <c r="B570" s="311" t="s">
        <v>337</v>
      </c>
      <c r="C570" s="319">
        <v>45322</v>
      </c>
      <c r="D570" s="28" t="s">
        <v>519</v>
      </c>
      <c r="E570" s="143" t="str">
        <f>VLOOKUP(D570,'Danh mục hàng hóa'!$C$3:$D$643,2,0)</f>
        <v>Trâm cài 19</v>
      </c>
      <c r="F570" s="144" t="str">
        <f>VLOOKUP(D570,'Danh mục hàng hóa'!$C$3:$E$656,3,0)</f>
        <v>cây</v>
      </c>
      <c r="G570" s="320">
        <v>36984</v>
      </c>
      <c r="H570" s="317"/>
      <c r="I570" s="313">
        <v>1</v>
      </c>
      <c r="J570" s="166">
        <f t="shared" si="41"/>
        <v>0</v>
      </c>
      <c r="K570" s="168">
        <f t="shared" si="35"/>
        <v>36984</v>
      </c>
      <c r="L570" s="30"/>
      <c r="M570" s="67"/>
    </row>
    <row r="571" spans="1:13" ht="13.2">
      <c r="A571" s="227"/>
      <c r="B571" s="311" t="s">
        <v>337</v>
      </c>
      <c r="C571" s="319">
        <v>45322</v>
      </c>
      <c r="D571" s="28" t="s">
        <v>515</v>
      </c>
      <c r="E571" s="143" t="str">
        <f>VLOOKUP(D571,'Danh mục hàng hóa'!$C$3:$D$643,2,0)</f>
        <v>Trâm cài 17</v>
      </c>
      <c r="F571" s="144" t="str">
        <f>VLOOKUP(D571,'Danh mục hàng hóa'!$C$3:$E$656,3,0)</f>
        <v>cây</v>
      </c>
      <c r="G571" s="321">
        <f>61984-G570</f>
        <v>25000</v>
      </c>
      <c r="H571" s="317"/>
      <c r="I571" s="313">
        <v>1</v>
      </c>
      <c r="J571" s="166">
        <f t="shared" si="41"/>
        <v>0</v>
      </c>
      <c r="K571" s="168">
        <f t="shared" si="35"/>
        <v>25000</v>
      </c>
      <c r="L571" s="30"/>
      <c r="M571" s="67"/>
    </row>
    <row r="572" spans="1:13" ht="13.2">
      <c r="A572" s="227"/>
      <c r="B572" s="311" t="s">
        <v>337</v>
      </c>
      <c r="C572" s="319">
        <v>45323</v>
      </c>
      <c r="D572" s="28" t="s">
        <v>519</v>
      </c>
      <c r="E572" s="143" t="str">
        <f>VLOOKUP(D572,'Danh mục hàng hóa'!$C$3:$D$643,2,0)</f>
        <v>Trâm cài 19</v>
      </c>
      <c r="F572" s="144" t="str">
        <f>VLOOKUP(D572,'Danh mục hàng hóa'!$C$3:$E$656,3,0)</f>
        <v>cây</v>
      </c>
      <c r="G572" s="320">
        <v>36000</v>
      </c>
      <c r="H572" s="317"/>
      <c r="I572" s="313">
        <v>1</v>
      </c>
      <c r="J572" s="166">
        <f t="shared" si="41"/>
        <v>0</v>
      </c>
      <c r="K572" s="168">
        <f t="shared" si="35"/>
        <v>36000</v>
      </c>
      <c r="L572" s="30"/>
      <c r="M572" s="67"/>
    </row>
    <row r="573" spans="1:13" ht="13.2">
      <c r="A573" s="227"/>
      <c r="B573" s="311" t="s">
        <v>337</v>
      </c>
      <c r="C573" s="319">
        <v>45323</v>
      </c>
      <c r="D573" s="28" t="s">
        <v>507</v>
      </c>
      <c r="E573" s="143" t="str">
        <f>VLOOKUP(D573,'Danh mục hàng hóa'!$C$3:$D$643,2,0)</f>
        <v>Trâm cài 13</v>
      </c>
      <c r="F573" s="144" t="str">
        <f>VLOOKUP(D573,'Danh mục hàng hóa'!$C$3:$E$656,3,0)</f>
        <v>cây</v>
      </c>
      <c r="G573" s="320">
        <v>40000</v>
      </c>
      <c r="H573" s="317"/>
      <c r="I573" s="313">
        <v>1</v>
      </c>
      <c r="J573" s="166">
        <f t="shared" si="41"/>
        <v>0</v>
      </c>
      <c r="K573" s="168">
        <f t="shared" si="35"/>
        <v>40000</v>
      </c>
      <c r="L573" s="30"/>
      <c r="M573" s="67"/>
    </row>
    <row r="574" spans="1:13" ht="13.2">
      <c r="A574" s="227"/>
      <c r="B574" s="311" t="s">
        <v>337</v>
      </c>
      <c r="C574" s="319">
        <v>45323</v>
      </c>
      <c r="D574" s="28" t="s">
        <v>576</v>
      </c>
      <c r="E574" s="143" t="str">
        <f>VLOOKUP(D574,'Danh mục hàng hóa'!$C$3:$D$643,2,0)</f>
        <v>Ống 6 dây cột tóc đen</v>
      </c>
      <c r="F574" s="144" t="str">
        <f>VLOOKUP(D574,'Danh mục hàng hóa'!$C$3:$E$656,3,0)</f>
        <v>ống</v>
      </c>
      <c r="G574" s="321">
        <f>53800/3</f>
        <v>17933.333333333332</v>
      </c>
      <c r="H574" s="317"/>
      <c r="I574" s="313">
        <v>3</v>
      </c>
      <c r="J574" s="166">
        <f t="shared" si="41"/>
        <v>0</v>
      </c>
      <c r="K574" s="168">
        <f t="shared" si="35"/>
        <v>53800</v>
      </c>
      <c r="L574" s="30"/>
      <c r="M574" s="67"/>
    </row>
    <row r="575" spans="1:13" ht="13.2">
      <c r="A575" s="227"/>
      <c r="B575" s="311" t="s">
        <v>337</v>
      </c>
      <c r="C575" s="319">
        <v>45323</v>
      </c>
      <c r="D575" s="28" t="s">
        <v>485</v>
      </c>
      <c r="E575" s="143" t="str">
        <f>VLOOKUP(D575,'Danh mục hàng hóa'!$C$3:$D$643,2,0)</f>
        <v>Trâm cài 02</v>
      </c>
      <c r="F575" s="144" t="str">
        <f>VLOOKUP(D575,'Danh mục hàng hóa'!$C$3:$E$656,3,0)</f>
        <v>cây</v>
      </c>
      <c r="G575" s="321">
        <f>103692-G572-G573</f>
        <v>27692</v>
      </c>
      <c r="H575" s="317"/>
      <c r="I575" s="313">
        <v>1</v>
      </c>
      <c r="J575" s="166">
        <f t="shared" si="41"/>
        <v>0</v>
      </c>
      <c r="K575" s="168">
        <f t="shared" si="35"/>
        <v>27692</v>
      </c>
      <c r="L575" s="30"/>
      <c r="M575" s="67"/>
    </row>
    <row r="576" spans="1:13" ht="13.2">
      <c r="A576" s="227"/>
      <c r="B576" s="311" t="s">
        <v>337</v>
      </c>
      <c r="C576" s="319">
        <v>45323</v>
      </c>
      <c r="D576" s="28" t="s">
        <v>915</v>
      </c>
      <c r="E576" s="143" t="str">
        <f>VLOOKUP(D576,'Danh mục hàng hóa'!$C$3:$D$643,2,0)</f>
        <v>Thỏ chạy xe gắn xe</v>
      </c>
      <c r="F576" s="144" t="str">
        <f>VLOOKUP(D576,'Danh mục hàng hóa'!$C$3:$E$656,3,0)</f>
        <v>cái</v>
      </c>
      <c r="G576" s="320">
        <v>32362</v>
      </c>
      <c r="H576" s="317"/>
      <c r="I576" s="313">
        <v>1</v>
      </c>
      <c r="J576" s="166">
        <f t="shared" si="41"/>
        <v>0</v>
      </c>
      <c r="K576" s="168">
        <f t="shared" si="35"/>
        <v>32362</v>
      </c>
      <c r="L576" s="30"/>
      <c r="M576" s="67"/>
    </row>
    <row r="577" spans="1:13" ht="13.2">
      <c r="A577" s="227"/>
      <c r="B577" s="311" t="s">
        <v>337</v>
      </c>
      <c r="C577" s="319">
        <v>44959</v>
      </c>
      <c r="D577" s="28" t="s">
        <v>917</v>
      </c>
      <c r="E577" s="143" t="str">
        <f>VLOOKUP(D577,'Danh mục hàng hóa'!$C$3:$D$643,2,0)</f>
        <v>Thỏ đi vịt gắn xe</v>
      </c>
      <c r="F577" s="144" t="str">
        <f>VLOOKUP(D577,'Danh mục hàng hóa'!$C$3:$E$656,3,0)</f>
        <v>cái</v>
      </c>
      <c r="G577" s="320">
        <v>32862</v>
      </c>
      <c r="H577" s="317"/>
      <c r="I577" s="313">
        <v>1</v>
      </c>
      <c r="J577" s="166">
        <f t="shared" si="41"/>
        <v>0</v>
      </c>
      <c r="K577" s="168">
        <f t="shared" si="35"/>
        <v>32862</v>
      </c>
      <c r="L577" s="30"/>
      <c r="M577" s="67"/>
    </row>
    <row r="578" spans="1:13" ht="13.2">
      <c r="A578" s="227"/>
      <c r="B578" s="311" t="s">
        <v>337</v>
      </c>
      <c r="C578" s="319">
        <v>44959</v>
      </c>
      <c r="D578" s="28" t="s">
        <v>983</v>
      </c>
      <c r="E578" s="143" t="str">
        <f>VLOOKUP(D578,'Danh mục hàng hóa'!$C$3:$D$643,2,0)</f>
        <v>Móc khoá đôi thỏ</v>
      </c>
      <c r="F578" s="144" t="str">
        <f>VLOOKUP(D578,'Danh mục hàng hóa'!$C$3:$E$656,3,0)</f>
        <v>cái</v>
      </c>
      <c r="G578" s="320">
        <v>50000</v>
      </c>
      <c r="H578" s="317"/>
      <c r="I578" s="313">
        <v>1</v>
      </c>
      <c r="J578" s="166">
        <f t="shared" si="41"/>
        <v>0</v>
      </c>
      <c r="K578" s="168">
        <f t="shared" si="35"/>
        <v>50000</v>
      </c>
      <c r="L578" s="30"/>
      <c r="M578" s="67"/>
    </row>
    <row r="579" spans="1:13" ht="13.2">
      <c r="A579" s="227"/>
      <c r="B579" s="311" t="s">
        <v>337</v>
      </c>
      <c r="C579" s="319">
        <v>44959</v>
      </c>
      <c r="D579" s="28" t="s">
        <v>420</v>
      </c>
      <c r="E579" s="143" t="str">
        <f>VLOOKUP(D579,'Danh mục hàng hóa'!$C$3:$D$643,2,0)</f>
        <v>Túi chườm bụng thỏ dứa 500ml</v>
      </c>
      <c r="F579" s="144" t="str">
        <f>VLOOKUP(D579,'Danh mục hàng hóa'!$C$3:$E$656,3,0)</f>
        <v>túi</v>
      </c>
      <c r="G579" s="320">
        <v>79000</v>
      </c>
      <c r="H579" s="317"/>
      <c r="I579" s="313">
        <v>1</v>
      </c>
      <c r="J579" s="166">
        <f t="shared" si="41"/>
        <v>0</v>
      </c>
      <c r="K579" s="168">
        <f t="shared" si="35"/>
        <v>79000</v>
      </c>
      <c r="L579" s="30"/>
      <c r="M579" s="67"/>
    </row>
    <row r="580" spans="1:13" ht="13.2">
      <c r="A580" s="227"/>
      <c r="B580" s="311" t="s">
        <v>337</v>
      </c>
      <c r="C580" s="319">
        <v>44959</v>
      </c>
      <c r="D580" s="28" t="s">
        <v>1038</v>
      </c>
      <c r="E580" s="143" t="str">
        <f>VLOOKUP(D580,'Danh mục hàng hóa'!$C$3:$D$643,2,0)</f>
        <v>Vớ cổ ngắn trắng thêu họa tiết mẫu 2</v>
      </c>
      <c r="F580" s="144" t="str">
        <f>VLOOKUP(D580,'Danh mục hàng hóa'!$C$3:$E$656,3,0)</f>
        <v>đôi</v>
      </c>
      <c r="G580" s="320">
        <v>12000</v>
      </c>
      <c r="H580" s="317"/>
      <c r="I580" s="313">
        <v>1</v>
      </c>
      <c r="J580" s="166">
        <f t="shared" si="41"/>
        <v>0</v>
      </c>
      <c r="K580" s="168">
        <f t="shared" si="35"/>
        <v>12000</v>
      </c>
      <c r="L580" s="30"/>
      <c r="M580" s="67"/>
    </row>
    <row r="581" spans="1:13" ht="13.2">
      <c r="A581" s="227"/>
      <c r="B581" s="311" t="s">
        <v>337</v>
      </c>
      <c r="C581" s="319">
        <v>44959</v>
      </c>
      <c r="D581" s="28" t="s">
        <v>1078</v>
      </c>
      <c r="E581" s="143" t="str">
        <f>VLOOKUP(D581,'Danh mục hàng hóa'!$C$3:$D$643,2,0)</f>
        <v>Vớ trắng icon be 3</v>
      </c>
      <c r="F581" s="144" t="str">
        <f>VLOOKUP(D581,'Danh mục hàng hóa'!$C$3:$E$656,3,0)</f>
        <v>đôi</v>
      </c>
      <c r="G581" s="321">
        <f>143264-50000-79000-12000</f>
        <v>2264</v>
      </c>
      <c r="H581" s="317"/>
      <c r="I581" s="313">
        <v>1</v>
      </c>
      <c r="J581" s="166">
        <f t="shared" si="41"/>
        <v>0</v>
      </c>
      <c r="K581" s="168">
        <f t="shared" si="35"/>
        <v>2264</v>
      </c>
      <c r="L581" s="30"/>
      <c r="M581" s="67"/>
    </row>
    <row r="582" spans="1:13" ht="13.2">
      <c r="A582" s="227"/>
      <c r="B582" s="311" t="s">
        <v>337</v>
      </c>
      <c r="C582" s="319">
        <v>44959</v>
      </c>
      <c r="D582" s="28" t="s">
        <v>917</v>
      </c>
      <c r="E582" s="143" t="str">
        <f>VLOOKUP(D582,'Danh mục hàng hóa'!$C$3:$D$643,2,0)</f>
        <v>Thỏ đi vịt gắn xe</v>
      </c>
      <c r="F582" s="144" t="str">
        <f>VLOOKUP(D582,'Danh mục hàng hóa'!$C$3:$E$656,3,0)</f>
        <v>cái</v>
      </c>
      <c r="G582" s="320">
        <v>39025</v>
      </c>
      <c r="H582" s="317"/>
      <c r="I582" s="313">
        <v>1</v>
      </c>
      <c r="J582" s="166">
        <f t="shared" si="41"/>
        <v>0</v>
      </c>
      <c r="K582" s="168">
        <f t="shared" si="35"/>
        <v>39025</v>
      </c>
      <c r="L582" s="30"/>
      <c r="M582" s="67"/>
    </row>
    <row r="583" spans="1:13" ht="13.2">
      <c r="A583" s="227"/>
      <c r="B583" s="311" t="s">
        <v>337</v>
      </c>
      <c r="C583" s="319">
        <v>44959</v>
      </c>
      <c r="D583" s="28" t="s">
        <v>505</v>
      </c>
      <c r="E583" s="143" t="str">
        <f>VLOOKUP(D583,'Danh mục hàng hóa'!$C$3:$D$643,2,0)</f>
        <v>Trâm cài 12</v>
      </c>
      <c r="F583" s="144" t="str">
        <f>VLOOKUP(D583,'Danh mục hàng hóa'!$C$3:$E$656,3,0)</f>
        <v>cây</v>
      </c>
      <c r="G583" s="320">
        <v>34260</v>
      </c>
      <c r="H583" s="317"/>
      <c r="I583" s="313">
        <v>1</v>
      </c>
      <c r="J583" s="166">
        <f t="shared" si="41"/>
        <v>0</v>
      </c>
      <c r="K583" s="168">
        <f t="shared" si="35"/>
        <v>34260</v>
      </c>
      <c r="L583" s="30"/>
      <c r="M583" s="67"/>
    </row>
    <row r="584" spans="1:13" ht="13.2">
      <c r="A584" s="227"/>
      <c r="B584" s="311" t="s">
        <v>337</v>
      </c>
      <c r="C584" s="319">
        <v>44959</v>
      </c>
      <c r="D584" s="28" t="s">
        <v>977</v>
      </c>
      <c r="E584" s="143" t="str">
        <f>VLOOKUP(D584,'Danh mục hàng hóa'!$C$3:$D$643,2,0)</f>
        <v>Móc khóa đôi heo</v>
      </c>
      <c r="F584" s="144" t="str">
        <f>VLOOKUP(D584,'Danh mục hàng hóa'!$C$3:$E$656,3,0)</f>
        <v>cái</v>
      </c>
      <c r="G584" s="320">
        <v>43400</v>
      </c>
      <c r="H584" s="317"/>
      <c r="I584" s="313">
        <v>1</v>
      </c>
      <c r="J584" s="166">
        <f t="shared" si="41"/>
        <v>0</v>
      </c>
      <c r="K584" s="168">
        <f t="shared" si="35"/>
        <v>43400</v>
      </c>
      <c r="L584" s="30"/>
      <c r="M584" s="67"/>
    </row>
    <row r="585" spans="1:13" ht="13.2">
      <c r="A585" s="227"/>
      <c r="B585" s="311" t="s">
        <v>337</v>
      </c>
      <c r="C585" s="319">
        <v>44959</v>
      </c>
      <c r="D585" s="28" t="s">
        <v>519</v>
      </c>
      <c r="E585" s="143" t="str">
        <f>VLOOKUP(D585,'Danh mục hàng hóa'!$C$3:$D$643,2,0)</f>
        <v>Trâm cài 19</v>
      </c>
      <c r="F585" s="144" t="str">
        <f>VLOOKUP(D585,'Danh mục hàng hóa'!$C$3:$E$656,3,0)</f>
        <v>cây</v>
      </c>
      <c r="G585" s="320">
        <v>35992</v>
      </c>
      <c r="H585" s="317"/>
      <c r="I585" s="313">
        <v>1</v>
      </c>
      <c r="J585" s="166">
        <f t="shared" si="41"/>
        <v>0</v>
      </c>
      <c r="K585" s="168">
        <f t="shared" si="35"/>
        <v>35992</v>
      </c>
      <c r="L585" s="30"/>
      <c r="M585" s="67"/>
    </row>
    <row r="586" spans="1:13" ht="13.2">
      <c r="A586" s="227"/>
      <c r="B586" s="311" t="s">
        <v>337</v>
      </c>
      <c r="C586" s="319">
        <v>44959</v>
      </c>
      <c r="D586" s="28" t="s">
        <v>505</v>
      </c>
      <c r="E586" s="143" t="str">
        <f>VLOOKUP(D586,'Danh mục hàng hóa'!$C$3:$D$643,2,0)</f>
        <v>Trâm cài 12</v>
      </c>
      <c r="F586" s="144" t="str">
        <f>VLOOKUP(D586,'Danh mục hàng hóa'!$C$3:$E$656,3,0)</f>
        <v>cây</v>
      </c>
      <c r="G586" s="320">
        <v>34000</v>
      </c>
      <c r="H586" s="317"/>
      <c r="I586" s="313">
        <v>1</v>
      </c>
      <c r="J586" s="166">
        <f t="shared" si="41"/>
        <v>0</v>
      </c>
      <c r="K586" s="168">
        <f t="shared" si="35"/>
        <v>34000</v>
      </c>
      <c r="L586" s="30"/>
      <c r="M586" s="67"/>
    </row>
    <row r="587" spans="1:13" ht="13.2">
      <c r="A587" s="227"/>
      <c r="B587" s="311" t="s">
        <v>337</v>
      </c>
      <c r="C587" s="319">
        <v>45325</v>
      </c>
      <c r="D587" s="28" t="s">
        <v>501</v>
      </c>
      <c r="E587" s="143" t="str">
        <f>VLOOKUP(D587,'Danh mục hàng hóa'!$C$3:$D$643,2,0)</f>
        <v>Trâm cài 10</v>
      </c>
      <c r="F587" s="144" t="str">
        <f>VLOOKUP(D587,'Danh mục hàng hóa'!$C$3:$E$656,3,0)</f>
        <v>cây</v>
      </c>
      <c r="G587" s="320">
        <v>10660</v>
      </c>
      <c r="H587" s="317"/>
      <c r="I587" s="313">
        <v>1</v>
      </c>
      <c r="J587" s="166">
        <f t="shared" si="41"/>
        <v>0</v>
      </c>
      <c r="K587" s="168">
        <f t="shared" si="35"/>
        <v>10660</v>
      </c>
      <c r="L587" s="30"/>
      <c r="M587" s="67"/>
    </row>
    <row r="588" spans="1:13" ht="13.2">
      <c r="A588" s="227"/>
      <c r="B588" s="311" t="s">
        <v>337</v>
      </c>
      <c r="C588" s="319">
        <v>45325</v>
      </c>
      <c r="D588" s="28" t="s">
        <v>497</v>
      </c>
      <c r="E588" s="143" t="str">
        <f>VLOOKUP(D588,'Danh mục hàng hóa'!$C$3:$D$643,2,0)</f>
        <v>Trâm cài 08</v>
      </c>
      <c r="F588" s="144" t="str">
        <f>VLOOKUP(D588,'Danh mục hàng hóa'!$C$3:$E$656,3,0)</f>
        <v>cây</v>
      </c>
      <c r="G588" s="320">
        <v>50000</v>
      </c>
      <c r="H588" s="317"/>
      <c r="I588" s="313">
        <v>1</v>
      </c>
      <c r="J588" s="166">
        <f t="shared" si="41"/>
        <v>0</v>
      </c>
      <c r="K588" s="168">
        <f t="shared" si="35"/>
        <v>50000</v>
      </c>
      <c r="L588" s="30"/>
      <c r="M588" s="67"/>
    </row>
    <row r="589" spans="1:13" ht="13.2">
      <c r="A589" s="227"/>
      <c r="B589" s="311" t="s">
        <v>337</v>
      </c>
      <c r="C589" s="319">
        <v>45339</v>
      </c>
      <c r="D589" s="28" t="s">
        <v>503</v>
      </c>
      <c r="E589" s="143" t="str">
        <f>VLOOKUP(D589,'Danh mục hàng hóa'!$C$3:$D$643,2,0)</f>
        <v>Trâm cài 11</v>
      </c>
      <c r="F589" s="144" t="str">
        <f>VLOOKUP(D589,'Danh mục hàng hóa'!$C$3:$E$656,3,0)</f>
        <v>cây</v>
      </c>
      <c r="G589" s="320">
        <v>35060</v>
      </c>
      <c r="H589" s="317"/>
      <c r="I589" s="313">
        <v>1</v>
      </c>
      <c r="J589" s="166">
        <f t="shared" si="41"/>
        <v>0</v>
      </c>
      <c r="K589" s="168">
        <f t="shared" si="35"/>
        <v>35060</v>
      </c>
      <c r="L589" s="30"/>
      <c r="M589" s="67"/>
    </row>
    <row r="590" spans="1:13" ht="13.2">
      <c r="A590" s="227"/>
      <c r="B590" s="311" t="s">
        <v>337</v>
      </c>
      <c r="C590" s="319">
        <v>45339</v>
      </c>
      <c r="D590" s="28" t="s">
        <v>505</v>
      </c>
      <c r="E590" s="143" t="str">
        <f>VLOOKUP(D590,'Danh mục hàng hóa'!$C$3:$D$643,2,0)</f>
        <v>Trâm cài 12</v>
      </c>
      <c r="F590" s="144" t="str">
        <f>VLOOKUP(D590,'Danh mục hàng hóa'!$C$3:$E$656,3,0)</f>
        <v>cây</v>
      </c>
      <c r="G590" s="320">
        <v>30000</v>
      </c>
      <c r="H590" s="317"/>
      <c r="I590" s="313">
        <v>1</v>
      </c>
      <c r="J590" s="166">
        <f t="shared" si="41"/>
        <v>0</v>
      </c>
      <c r="K590" s="168">
        <f t="shared" si="35"/>
        <v>30000</v>
      </c>
      <c r="L590" s="30"/>
      <c r="M590" s="67"/>
    </row>
    <row r="591" spans="1:13" ht="13.2">
      <c r="A591" s="227"/>
      <c r="B591" s="311" t="s">
        <v>337</v>
      </c>
      <c r="C591" s="319">
        <v>45340</v>
      </c>
      <c r="D591" s="28" t="s">
        <v>895</v>
      </c>
      <c r="E591" s="143" t="str">
        <f>VLOOKUP(D591,'Danh mục hàng hóa'!$C$3:$D$643,2,0)</f>
        <v>Thỏ chong chóng</v>
      </c>
      <c r="F591" s="144" t="str">
        <f>VLOOKUP(D591,'Danh mục hàng hóa'!$C$3:$E$656,3,0)</f>
        <v>cái</v>
      </c>
      <c r="G591" s="320">
        <v>47520</v>
      </c>
      <c r="H591" s="317"/>
      <c r="I591" s="313">
        <v>1</v>
      </c>
      <c r="J591" s="166">
        <f t="shared" si="41"/>
        <v>0</v>
      </c>
      <c r="K591" s="168">
        <f t="shared" si="35"/>
        <v>47520</v>
      </c>
      <c r="L591" s="30"/>
      <c r="M591" s="67"/>
    </row>
    <row r="592" spans="1:13" ht="13.2">
      <c r="A592" s="227"/>
      <c r="B592" s="311" t="s">
        <v>337</v>
      </c>
      <c r="C592" s="319">
        <v>45341</v>
      </c>
      <c r="D592" s="28" t="s">
        <v>420</v>
      </c>
      <c r="E592" s="143" t="str">
        <f>VLOOKUP(D592,'Danh mục hàng hóa'!$C$3:$D$643,2,0)</f>
        <v>Túi chườm bụng thỏ dứa 500ml</v>
      </c>
      <c r="F592" s="144" t="str">
        <f>VLOOKUP(D592,'Danh mục hàng hóa'!$C$3:$E$656,3,0)</f>
        <v>túi</v>
      </c>
      <c r="G592" s="320">
        <v>72564</v>
      </c>
      <c r="H592" s="317"/>
      <c r="I592" s="313">
        <v>1</v>
      </c>
      <c r="J592" s="166">
        <f t="shared" si="41"/>
        <v>0</v>
      </c>
      <c r="K592" s="168">
        <f t="shared" si="35"/>
        <v>72564</v>
      </c>
      <c r="L592" s="30"/>
      <c r="M592" s="67"/>
    </row>
    <row r="593" spans="1:13" ht="13.2">
      <c r="A593" s="227"/>
      <c r="B593" s="311" t="s">
        <v>337</v>
      </c>
      <c r="C593" s="319">
        <v>45341</v>
      </c>
      <c r="D593" s="28" t="s">
        <v>519</v>
      </c>
      <c r="E593" s="143" t="str">
        <f>VLOOKUP(D593,'Danh mục hàng hóa'!$C$3:$D$643,2,0)</f>
        <v>Trâm cài 19</v>
      </c>
      <c r="F593" s="144" t="str">
        <f>VLOOKUP(D593,'Danh mục hàng hóa'!$C$3:$E$656,3,0)</f>
        <v>cây</v>
      </c>
      <c r="G593" s="320">
        <v>35932</v>
      </c>
      <c r="H593" s="317"/>
      <c r="I593" s="313">
        <v>1</v>
      </c>
      <c r="J593" s="166">
        <f t="shared" si="41"/>
        <v>0</v>
      </c>
      <c r="K593" s="168">
        <f t="shared" si="35"/>
        <v>35932</v>
      </c>
      <c r="L593" s="30"/>
      <c r="M593" s="67"/>
    </row>
    <row r="594" spans="1:13" ht="13.2">
      <c r="A594" s="227"/>
      <c r="B594" s="311" t="s">
        <v>337</v>
      </c>
      <c r="C594" s="319">
        <v>45342</v>
      </c>
      <c r="D594" s="28" t="s">
        <v>891</v>
      </c>
      <c r="E594" s="143" t="str">
        <f>VLOOKUP(D594,'Danh mục hàng hóa'!$C$3:$D$643,2,0)</f>
        <v>Heo ú</v>
      </c>
      <c r="F594" s="144" t="str">
        <f>VLOOKUP(D594,'Danh mục hàng hóa'!$C$3:$E$656,3,0)</f>
        <v>cái</v>
      </c>
      <c r="G594" s="320">
        <v>46860</v>
      </c>
      <c r="H594" s="317"/>
      <c r="I594" s="313">
        <v>1</v>
      </c>
      <c r="J594" s="166">
        <f t="shared" si="41"/>
        <v>0</v>
      </c>
      <c r="K594" s="168">
        <f t="shared" si="35"/>
        <v>46860</v>
      </c>
      <c r="L594" s="30"/>
      <c r="M594" s="67"/>
    </row>
    <row r="595" spans="1:13" ht="13.2">
      <c r="A595" s="227"/>
      <c r="B595" s="311" t="s">
        <v>337</v>
      </c>
      <c r="C595" s="319">
        <v>45342</v>
      </c>
      <c r="D595" s="28" t="s">
        <v>977</v>
      </c>
      <c r="E595" s="143" t="str">
        <f>VLOOKUP(D595,'Danh mục hàng hóa'!$C$3:$D$643,2,0)</f>
        <v>Móc khóa đôi heo</v>
      </c>
      <c r="F595" s="144" t="str">
        <f>VLOOKUP(D595,'Danh mục hàng hóa'!$C$3:$E$656,3,0)</f>
        <v>cái</v>
      </c>
      <c r="G595" s="320">
        <v>45800</v>
      </c>
      <c r="H595" s="317"/>
      <c r="I595" s="313">
        <v>1</v>
      </c>
      <c r="J595" s="166">
        <f t="shared" si="41"/>
        <v>0</v>
      </c>
      <c r="K595" s="168">
        <f t="shared" si="35"/>
        <v>45800</v>
      </c>
      <c r="L595" s="30"/>
      <c r="M595" s="67"/>
    </row>
    <row r="596" spans="1:13" ht="13.2">
      <c r="A596" s="227"/>
      <c r="B596" s="311" t="s">
        <v>337</v>
      </c>
      <c r="C596" s="319">
        <v>45343</v>
      </c>
      <c r="D596" s="28" t="s">
        <v>977</v>
      </c>
      <c r="E596" s="143" t="str">
        <f>VLOOKUP(D596,'Danh mục hàng hóa'!$C$3:$D$643,2,0)</f>
        <v>Móc khóa đôi heo</v>
      </c>
      <c r="F596" s="144" t="str">
        <f>VLOOKUP(D596,'Danh mục hàng hóa'!$C$3:$E$656,3,0)</f>
        <v>cái</v>
      </c>
      <c r="G596" s="320">
        <v>45260</v>
      </c>
      <c r="H596" s="317"/>
      <c r="I596" s="313">
        <v>1</v>
      </c>
      <c r="J596" s="166">
        <f t="shared" si="41"/>
        <v>0</v>
      </c>
      <c r="K596" s="168">
        <f t="shared" si="35"/>
        <v>45260</v>
      </c>
      <c r="L596" s="30"/>
      <c r="M596" s="67"/>
    </row>
    <row r="597" spans="1:13" ht="13.2">
      <c r="A597" s="227"/>
      <c r="B597" s="311" t="s">
        <v>337</v>
      </c>
      <c r="C597" s="319">
        <v>45343</v>
      </c>
      <c r="D597" s="28" t="s">
        <v>891</v>
      </c>
      <c r="E597" s="143" t="str">
        <f>VLOOKUP(D597,'Danh mục hàng hóa'!$C$3:$D$643,2,0)</f>
        <v>Heo ú</v>
      </c>
      <c r="F597" s="144" t="str">
        <f>VLOOKUP(D597,'Danh mục hàng hóa'!$C$3:$E$656,3,0)</f>
        <v>cái</v>
      </c>
      <c r="G597" s="320">
        <v>42000</v>
      </c>
      <c r="H597" s="317"/>
      <c r="I597" s="313">
        <v>1</v>
      </c>
      <c r="J597" s="166">
        <f t="shared" si="41"/>
        <v>0</v>
      </c>
      <c r="K597" s="168">
        <f t="shared" si="35"/>
        <v>42000</v>
      </c>
      <c r="L597" s="30"/>
      <c r="M597" s="67"/>
    </row>
    <row r="598" spans="1:13" ht="13.2">
      <c r="A598" s="227"/>
      <c r="B598" s="311" t="s">
        <v>337</v>
      </c>
      <c r="C598" s="319">
        <v>45343</v>
      </c>
      <c r="D598" s="28" t="s">
        <v>977</v>
      </c>
      <c r="E598" s="143" t="str">
        <f>VLOOKUP(D598,'Danh mục hàng hóa'!$C$3:$D$643,2,0)</f>
        <v>Móc khóa đôi heo</v>
      </c>
      <c r="F598" s="144" t="str">
        <f>VLOOKUP(D598,'Danh mục hàng hóa'!$C$3:$E$656,3,0)</f>
        <v>cái</v>
      </c>
      <c r="G598" s="320">
        <v>43000</v>
      </c>
      <c r="H598" s="317"/>
      <c r="I598" s="313">
        <v>1</v>
      </c>
      <c r="J598" s="166">
        <f t="shared" si="41"/>
        <v>0</v>
      </c>
      <c r="K598" s="168">
        <f t="shared" si="35"/>
        <v>43000</v>
      </c>
      <c r="L598" s="30"/>
      <c r="M598" s="67"/>
    </row>
    <row r="599" spans="1:13" ht="13.2">
      <c r="A599" s="227"/>
      <c r="B599" s="311" t="s">
        <v>337</v>
      </c>
      <c r="C599" s="319">
        <v>45343</v>
      </c>
      <c r="D599" s="28" t="s">
        <v>517</v>
      </c>
      <c r="E599" s="143" t="str">
        <f>VLOOKUP(D599,'Danh mục hàng hóa'!$C$3:$D$643,2,0)</f>
        <v>Trâm cài 18</v>
      </c>
      <c r="F599" s="144" t="str">
        <f>VLOOKUP(D599,'Danh mục hàng hóa'!$C$3:$E$656,3,0)</f>
        <v>cây</v>
      </c>
      <c r="G599" s="320">
        <v>28000</v>
      </c>
      <c r="H599" s="317"/>
      <c r="I599" s="313">
        <v>1</v>
      </c>
      <c r="J599" s="166">
        <f t="shared" si="41"/>
        <v>0</v>
      </c>
      <c r="K599" s="168">
        <f t="shared" si="35"/>
        <v>28000</v>
      </c>
      <c r="L599" s="30"/>
      <c r="M599" s="67"/>
    </row>
    <row r="600" spans="1:13" ht="13.2">
      <c r="A600" s="227"/>
      <c r="B600" s="311" t="s">
        <v>337</v>
      </c>
      <c r="C600" s="319">
        <v>45343</v>
      </c>
      <c r="D600" s="28" t="s">
        <v>505</v>
      </c>
      <c r="E600" s="143" t="str">
        <f>VLOOKUP(D600,'Danh mục hàng hóa'!$C$3:$D$643,2,0)</f>
        <v>Trâm cài 12</v>
      </c>
      <c r="F600" s="144" t="str">
        <f>VLOOKUP(D600,'Danh mục hàng hóa'!$C$3:$E$656,3,0)</f>
        <v>cây</v>
      </c>
      <c r="G600" s="321">
        <f>138644-SUM(G597:G599)</f>
        <v>25644</v>
      </c>
      <c r="H600" s="317"/>
      <c r="I600" s="313">
        <v>1</v>
      </c>
      <c r="J600" s="166">
        <f t="shared" si="41"/>
        <v>0</v>
      </c>
      <c r="K600" s="168">
        <f t="shared" si="35"/>
        <v>25644</v>
      </c>
      <c r="L600" s="30"/>
      <c r="M600" s="67"/>
    </row>
    <row r="601" spans="1:13" ht="13.2">
      <c r="A601" s="227"/>
      <c r="B601" s="311" t="s">
        <v>337</v>
      </c>
      <c r="C601" s="319">
        <v>45343</v>
      </c>
      <c r="D601" s="28" t="s">
        <v>392</v>
      </c>
      <c r="E601" s="143" t="str">
        <f>VLOOKUP(D601,'Danh mục hàng hóa'!$C$3:$D$643,2,0)</f>
        <v>Túi chườm bụng trái bơ 1000ml</v>
      </c>
      <c r="F601" s="144" t="str">
        <f>VLOOKUP(D601,'Danh mục hàng hóa'!$C$3:$E$656,3,0)</f>
        <v>túi</v>
      </c>
      <c r="G601" s="320">
        <v>85812</v>
      </c>
      <c r="H601" s="317"/>
      <c r="I601" s="313">
        <v>1</v>
      </c>
      <c r="J601" s="166">
        <f t="shared" si="41"/>
        <v>0</v>
      </c>
      <c r="K601" s="168">
        <f t="shared" si="35"/>
        <v>85812</v>
      </c>
      <c r="L601" s="30"/>
      <c r="M601" s="67"/>
    </row>
    <row r="602" spans="1:13" ht="13.2">
      <c r="A602" s="227"/>
      <c r="B602" s="311" t="s">
        <v>337</v>
      </c>
      <c r="C602" s="319">
        <v>45345</v>
      </c>
      <c r="D602" s="28" t="s">
        <v>917</v>
      </c>
      <c r="E602" s="143" t="str">
        <f>VLOOKUP(D602,'Danh mục hàng hóa'!$C$3:$D$643,2,0)</f>
        <v>Thỏ đi vịt gắn xe</v>
      </c>
      <c r="F602" s="144" t="str">
        <f>VLOOKUP(D602,'Danh mục hàng hóa'!$C$3:$E$656,3,0)</f>
        <v>cái</v>
      </c>
      <c r="G602" s="320">
        <v>32682</v>
      </c>
      <c r="H602" s="317"/>
      <c r="I602" s="313">
        <v>1</v>
      </c>
      <c r="J602" s="166">
        <f t="shared" si="41"/>
        <v>0</v>
      </c>
      <c r="K602" s="168">
        <f t="shared" si="35"/>
        <v>32682</v>
      </c>
      <c r="L602" s="30"/>
      <c r="M602" s="67"/>
    </row>
    <row r="603" spans="1:13" ht="13.2">
      <c r="A603" s="227"/>
      <c r="B603" s="311" t="s">
        <v>337</v>
      </c>
      <c r="C603" s="319">
        <v>45346</v>
      </c>
      <c r="D603" s="28" t="s">
        <v>493</v>
      </c>
      <c r="E603" s="143" t="str">
        <f>VLOOKUP(D603,'Danh mục hàng hóa'!$C$3:$D$643,2,0)</f>
        <v>Trâm cài 06</v>
      </c>
      <c r="F603" s="144" t="str">
        <f>VLOOKUP(D603,'Danh mục hàng hóa'!$C$3:$E$656,3,0)</f>
        <v>cây</v>
      </c>
      <c r="G603" s="320">
        <v>13120</v>
      </c>
      <c r="H603" s="317"/>
      <c r="I603" s="313">
        <v>1</v>
      </c>
      <c r="J603" s="321"/>
      <c r="K603" s="168">
        <f t="shared" si="35"/>
        <v>13120</v>
      </c>
      <c r="L603" s="30"/>
      <c r="M603" s="67"/>
    </row>
    <row r="604" spans="1:13" ht="13.2">
      <c r="A604" s="227"/>
      <c r="B604" s="311" t="s">
        <v>337</v>
      </c>
      <c r="C604" s="319">
        <v>45346</v>
      </c>
      <c r="D604" s="28" t="s">
        <v>495</v>
      </c>
      <c r="E604" s="143" t="str">
        <f>VLOOKUP(D604,'Danh mục hàng hóa'!$C$3:$D$643,2,0)</f>
        <v>Trâm cài 07</v>
      </c>
      <c r="F604" s="144" t="str">
        <f>VLOOKUP(D604,'Danh mục hàng hóa'!$C$3:$E$656,3,0)</f>
        <v>cây</v>
      </c>
      <c r="G604" s="320">
        <v>20000</v>
      </c>
      <c r="H604" s="317"/>
      <c r="I604" s="313">
        <v>1</v>
      </c>
      <c r="J604" s="321"/>
      <c r="K604" s="168">
        <f t="shared" si="35"/>
        <v>20000</v>
      </c>
      <c r="L604" s="30"/>
      <c r="M604" s="67"/>
    </row>
    <row r="605" spans="1:13" ht="13.2">
      <c r="A605" s="227"/>
      <c r="B605" s="311" t="s">
        <v>337</v>
      </c>
      <c r="C605" s="319">
        <v>45347</v>
      </c>
      <c r="D605" s="28" t="s">
        <v>887</v>
      </c>
      <c r="E605" s="143" t="str">
        <f>VLOOKUP(D605,'Danh mục hàng hóa'!$C$3:$D$643,2,0)</f>
        <v>Mèo chong chóng</v>
      </c>
      <c r="F605" s="144" t="str">
        <f>VLOOKUP(D605,'Danh mục hàng hóa'!$C$3:$E$656,3,0)</f>
        <v>cái</v>
      </c>
      <c r="G605" s="320">
        <v>47460</v>
      </c>
      <c r="H605" s="317"/>
      <c r="I605" s="313">
        <v>1</v>
      </c>
      <c r="J605" s="321"/>
      <c r="K605" s="168">
        <f t="shared" si="35"/>
        <v>47460</v>
      </c>
      <c r="L605" s="30"/>
      <c r="M605" s="67"/>
    </row>
    <row r="606" spans="1:13" ht="13.2">
      <c r="A606" s="227"/>
      <c r="B606" s="311" t="s">
        <v>337</v>
      </c>
      <c r="C606" s="319">
        <v>45347</v>
      </c>
      <c r="D606" s="28" t="s">
        <v>509</v>
      </c>
      <c r="E606" s="143" t="str">
        <f>VLOOKUP(D606,'Danh mục hàng hóa'!$C$3:$D$643,2,0)</f>
        <v>Trâm cài 14</v>
      </c>
      <c r="F606" s="144" t="str">
        <f>VLOOKUP(D606,'Danh mục hàng hóa'!$C$3:$E$656,3,0)</f>
        <v>cây</v>
      </c>
      <c r="G606" s="320">
        <v>30000</v>
      </c>
      <c r="H606" s="317"/>
      <c r="I606" s="313">
        <v>1</v>
      </c>
      <c r="J606" s="321"/>
      <c r="K606" s="168">
        <f t="shared" si="35"/>
        <v>30000</v>
      </c>
      <c r="L606" s="30"/>
      <c r="M606" s="67"/>
    </row>
    <row r="607" spans="1:13" ht="13.2">
      <c r="A607" s="227"/>
      <c r="B607" s="311" t="s">
        <v>337</v>
      </c>
      <c r="C607" s="319">
        <v>45347</v>
      </c>
      <c r="D607" s="28" t="s">
        <v>515</v>
      </c>
      <c r="E607" s="143" t="str">
        <f>VLOOKUP(D607,'Danh mục hàng hóa'!$C$3:$D$643,2,0)</f>
        <v>Trâm cài 17</v>
      </c>
      <c r="F607" s="144" t="str">
        <f>VLOOKUP(D607,'Danh mục hàng hóa'!$C$3:$E$656,3,0)</f>
        <v>cây</v>
      </c>
      <c r="G607" s="320">
        <v>42012</v>
      </c>
      <c r="H607" s="317"/>
      <c r="I607" s="313">
        <v>1</v>
      </c>
      <c r="J607" s="321"/>
      <c r="K607" s="168">
        <f t="shared" si="35"/>
        <v>42012</v>
      </c>
      <c r="L607" s="30"/>
      <c r="M607" s="67"/>
    </row>
    <row r="608" spans="1:13" ht="13.2">
      <c r="A608" s="227"/>
      <c r="B608" s="311" t="s">
        <v>337</v>
      </c>
      <c r="C608" s="319">
        <v>45347</v>
      </c>
      <c r="D608" s="28" t="s">
        <v>2147</v>
      </c>
      <c r="E608" s="143" t="e">
        <f>VLOOKUP(D608,'Danh mục hàng hóa'!$C$3:$D$643,2,0)</f>
        <v>#N/A</v>
      </c>
      <c r="F608" s="144" t="e">
        <f>VLOOKUP(D608,'Danh mục hàng hóa'!$C$3:$E$656,3,0)</f>
        <v>#N/A</v>
      </c>
      <c r="G608" s="320">
        <v>30000</v>
      </c>
      <c r="H608" s="317"/>
      <c r="I608" s="313">
        <v>1</v>
      </c>
      <c r="J608" s="321"/>
      <c r="K608" s="168">
        <f t="shared" si="35"/>
        <v>30000</v>
      </c>
      <c r="L608" s="30"/>
      <c r="M608" s="67"/>
    </row>
    <row r="609" spans="1:13" ht="13.2">
      <c r="A609" s="227"/>
      <c r="B609" s="311" t="s">
        <v>337</v>
      </c>
      <c r="C609" s="319">
        <v>45347</v>
      </c>
      <c r="D609" s="28" t="s">
        <v>977</v>
      </c>
      <c r="E609" s="143" t="str">
        <f>VLOOKUP(D609,'Danh mục hàng hóa'!$C$3:$D$643,2,0)</f>
        <v>Móc khóa đôi heo</v>
      </c>
      <c r="F609" s="144" t="str">
        <f>VLOOKUP(D609,'Danh mục hàng hóa'!$C$3:$E$656,3,0)</f>
        <v>cái</v>
      </c>
      <c r="G609" s="320">
        <v>45000</v>
      </c>
      <c r="H609" s="317"/>
      <c r="I609" s="313">
        <v>1</v>
      </c>
      <c r="J609" s="321"/>
      <c r="K609" s="168">
        <f t="shared" si="35"/>
        <v>45000</v>
      </c>
      <c r="L609" s="30"/>
      <c r="M609" s="67"/>
    </row>
    <row r="610" spans="1:13" ht="13.2">
      <c r="A610" s="227"/>
      <c r="B610" s="311" t="s">
        <v>337</v>
      </c>
      <c r="C610" s="319">
        <v>45347</v>
      </c>
      <c r="D610" s="28" t="s">
        <v>1056</v>
      </c>
      <c r="E610" s="143" t="str">
        <f>VLOOKUP(D610,'Danh mục hàng hóa'!$C$3:$D$643,2,0)</f>
        <v>Vớ cổ ngắn họa tiết hoa thỏ be</v>
      </c>
      <c r="F610" s="144" t="str">
        <f>VLOOKUP(D610,'Danh mục hàng hóa'!$C$3:$E$656,3,0)</f>
        <v>đôi</v>
      </c>
      <c r="G610" s="320">
        <v>8000</v>
      </c>
      <c r="H610" s="317"/>
      <c r="I610" s="313">
        <v>1</v>
      </c>
      <c r="J610" s="321"/>
      <c r="K610" s="168">
        <f t="shared" si="35"/>
        <v>8000</v>
      </c>
      <c r="L610" s="30"/>
      <c r="M610" s="67"/>
    </row>
    <row r="611" spans="1:13" ht="13.2">
      <c r="A611" s="227"/>
      <c r="B611" s="311" t="s">
        <v>337</v>
      </c>
      <c r="C611" s="319">
        <v>45347</v>
      </c>
      <c r="D611" s="28" t="s">
        <v>1060</v>
      </c>
      <c r="E611" s="143" t="str">
        <f>VLOOKUP(D611,'Danh mục hàng hóa'!$C$3:$D$643,2,0)</f>
        <v>Vớ cổ ngắn họa tiết hoa thỏ kem</v>
      </c>
      <c r="F611" s="144" t="str">
        <f>VLOOKUP(D611,'Danh mục hàng hóa'!$C$3:$E$656,3,0)</f>
        <v>đôi</v>
      </c>
      <c r="G611" s="320">
        <v>8000</v>
      </c>
      <c r="H611" s="317"/>
      <c r="I611" s="313">
        <v>1</v>
      </c>
      <c r="J611" s="321"/>
      <c r="K611" s="168">
        <f t="shared" si="35"/>
        <v>8000</v>
      </c>
      <c r="L611" s="30"/>
      <c r="M611" s="67"/>
    </row>
    <row r="612" spans="1:13" ht="13.2">
      <c r="A612" s="227"/>
      <c r="B612" s="311" t="s">
        <v>337</v>
      </c>
      <c r="C612" s="319">
        <v>45347</v>
      </c>
      <c r="D612" s="28" t="s">
        <v>1052</v>
      </c>
      <c r="E612" s="143" t="str">
        <f>VLOOKUP(D612,'Danh mục hàng hóa'!$C$3:$D$643,2,0)</f>
        <v>Vớ cổ ngắn set xanh bơ 4</v>
      </c>
      <c r="F612" s="144" t="str">
        <f>VLOOKUP(D612,'Danh mục hàng hóa'!$C$3:$E$656,3,0)</f>
        <v>đôi</v>
      </c>
      <c r="G612" s="321">
        <f>97707-30000-45000-16000</f>
        <v>6707</v>
      </c>
      <c r="H612" s="317"/>
      <c r="I612" s="313">
        <v>1</v>
      </c>
      <c r="J612" s="321"/>
      <c r="K612" s="168">
        <f t="shared" si="35"/>
        <v>6707</v>
      </c>
      <c r="L612" s="30"/>
      <c r="M612" s="67"/>
    </row>
    <row r="613" spans="1:13" ht="13.2">
      <c r="A613" s="227"/>
      <c r="B613" s="311" t="s">
        <v>337</v>
      </c>
      <c r="C613" s="319">
        <v>45347</v>
      </c>
      <c r="D613" s="28" t="s">
        <v>1054</v>
      </c>
      <c r="E613" s="143" t="str">
        <f>VLOOKUP(D613,'Danh mục hàng hóa'!$C$3:$D$643,2,0)</f>
        <v>Vớ cổ ngắn set xanh bơ 5</v>
      </c>
      <c r="F613" s="144" t="str">
        <f>VLOOKUP(D613,'Danh mục hàng hóa'!$C$3:$E$656,3,0)</f>
        <v>đôi</v>
      </c>
      <c r="G613" s="320">
        <v>0</v>
      </c>
      <c r="H613" s="317"/>
      <c r="I613" s="313">
        <v>1</v>
      </c>
      <c r="J613" s="321"/>
      <c r="K613" s="168">
        <f t="shared" si="35"/>
        <v>0</v>
      </c>
      <c r="L613" s="30"/>
      <c r="M613" s="67"/>
    </row>
    <row r="614" spans="1:13" ht="13.2">
      <c r="A614" s="227"/>
      <c r="B614" s="311" t="s">
        <v>337</v>
      </c>
      <c r="C614" s="319">
        <v>45348</v>
      </c>
      <c r="D614" s="28" t="s">
        <v>891</v>
      </c>
      <c r="E614" s="143" t="str">
        <f>VLOOKUP(D614,'Danh mục hàng hóa'!$C$3:$D$643,2,0)</f>
        <v>Heo ú</v>
      </c>
      <c r="F614" s="144" t="str">
        <f>VLOOKUP(D614,'Danh mục hàng hóa'!$C$3:$E$656,3,0)</f>
        <v>cái</v>
      </c>
      <c r="G614" s="320">
        <v>47360</v>
      </c>
      <c r="H614" s="317"/>
      <c r="I614" s="313">
        <v>1</v>
      </c>
      <c r="J614" s="321"/>
      <c r="K614" s="168">
        <f t="shared" si="35"/>
        <v>47360</v>
      </c>
      <c r="L614" s="30"/>
      <c r="M614" s="67"/>
    </row>
    <row r="615" spans="1:13" ht="13.2">
      <c r="A615" s="227"/>
      <c r="B615" s="311" t="s">
        <v>337</v>
      </c>
      <c r="C615" s="319">
        <v>45348</v>
      </c>
      <c r="D615" s="28" t="s">
        <v>907</v>
      </c>
      <c r="E615" s="143" t="str">
        <f>VLOOKUP(D615,'Danh mục hàng hóa'!$C$3:$D$643,2,0)</f>
        <v>Cáo gắn xe</v>
      </c>
      <c r="F615" s="144" t="str">
        <f>VLOOKUP(D615,'Danh mục hàng hóa'!$C$3:$E$656,3,0)</f>
        <v>cái</v>
      </c>
      <c r="G615" s="320">
        <v>32902</v>
      </c>
      <c r="H615" s="317"/>
      <c r="I615" s="313">
        <v>1</v>
      </c>
      <c r="J615" s="321"/>
      <c r="K615" s="168">
        <f t="shared" si="35"/>
        <v>32902</v>
      </c>
      <c r="L615" s="30"/>
      <c r="M615" s="67"/>
    </row>
    <row r="616" spans="1:13" ht="13.2">
      <c r="A616" s="227"/>
      <c r="B616" s="311" t="s">
        <v>337</v>
      </c>
      <c r="C616" s="319">
        <v>45348</v>
      </c>
      <c r="D616" s="28" t="s">
        <v>977</v>
      </c>
      <c r="E616" s="143" t="str">
        <f>VLOOKUP(D616,'Danh mục hàng hóa'!$C$3:$D$643,2,0)</f>
        <v>Móc khóa đôi heo</v>
      </c>
      <c r="F616" s="144" t="str">
        <f>VLOOKUP(D616,'Danh mục hàng hóa'!$C$3:$E$656,3,0)</f>
        <v>cái</v>
      </c>
      <c r="G616" s="320">
        <v>41020</v>
      </c>
      <c r="H616" s="317"/>
      <c r="I616" s="313">
        <v>1</v>
      </c>
      <c r="J616" s="321"/>
      <c r="K616" s="168">
        <f t="shared" si="35"/>
        <v>41020</v>
      </c>
      <c r="L616" s="30"/>
      <c r="M616" s="67"/>
    </row>
    <row r="617" spans="1:13" ht="13.2">
      <c r="A617" s="227"/>
      <c r="B617" s="311" t="s">
        <v>337</v>
      </c>
      <c r="C617" s="319">
        <v>45349</v>
      </c>
      <c r="D617" s="28" t="s">
        <v>977</v>
      </c>
      <c r="E617" s="143" t="str">
        <f>VLOOKUP(D617,'Danh mục hàng hóa'!$C$3:$D$643,2,0)</f>
        <v>Móc khóa đôi heo</v>
      </c>
      <c r="F617" s="144" t="str">
        <f>VLOOKUP(D617,'Danh mục hàng hóa'!$C$3:$E$656,3,0)</f>
        <v>cái</v>
      </c>
      <c r="G617" s="320">
        <v>45000</v>
      </c>
      <c r="H617" s="317"/>
      <c r="I617" s="313">
        <v>1</v>
      </c>
      <c r="J617" s="321"/>
      <c r="K617" s="168">
        <f t="shared" si="35"/>
        <v>45000</v>
      </c>
      <c r="L617" s="30"/>
      <c r="M617" s="67"/>
    </row>
    <row r="618" spans="1:13" ht="13.2">
      <c r="A618" s="227"/>
      <c r="B618" s="311" t="s">
        <v>337</v>
      </c>
      <c r="C618" s="319">
        <v>45349</v>
      </c>
      <c r="D618" s="28" t="s">
        <v>545</v>
      </c>
      <c r="E618" s="143" t="str">
        <f>VLOOKUP(D618,'Danh mục hàng hóa'!$C$3:$D$643,2,0)</f>
        <v>Kẹp tóc kim loại ngôi sao</v>
      </c>
      <c r="F618" s="144" t="str">
        <f>VLOOKUP(D618,'Danh mục hàng hóa'!$C$3:$E$656,3,0)</f>
        <v>cái</v>
      </c>
      <c r="G618" s="320">
        <v>8380</v>
      </c>
      <c r="H618" s="317"/>
      <c r="I618" s="313">
        <v>1</v>
      </c>
      <c r="J618" s="321"/>
      <c r="K618" s="168">
        <f t="shared" si="35"/>
        <v>8380</v>
      </c>
      <c r="L618" s="30"/>
      <c r="M618" s="67"/>
    </row>
    <row r="619" spans="1:13" ht="13.2">
      <c r="A619" s="227"/>
      <c r="B619" s="311" t="s">
        <v>337</v>
      </c>
      <c r="C619" s="319">
        <v>45349</v>
      </c>
      <c r="D619" s="28" t="s">
        <v>493</v>
      </c>
      <c r="E619" s="143" t="str">
        <f>VLOOKUP(D619,'Danh mục hàng hóa'!$C$3:$D$643,2,0)</f>
        <v>Trâm cài 06</v>
      </c>
      <c r="F619" s="144" t="str">
        <f>VLOOKUP(D619,'Danh mục hàng hóa'!$C$3:$E$656,3,0)</f>
        <v>cây</v>
      </c>
      <c r="G619" s="320">
        <v>20000</v>
      </c>
      <c r="H619" s="317"/>
      <c r="I619" s="313">
        <v>1</v>
      </c>
      <c r="J619" s="321"/>
      <c r="K619" s="168">
        <f t="shared" si="35"/>
        <v>20000</v>
      </c>
      <c r="L619" s="30"/>
      <c r="M619" s="67"/>
    </row>
    <row r="620" spans="1:13" ht="13.2">
      <c r="A620" s="227"/>
      <c r="B620" s="311" t="s">
        <v>337</v>
      </c>
      <c r="C620" s="319">
        <v>45349</v>
      </c>
      <c r="D620" s="28" t="s">
        <v>517</v>
      </c>
      <c r="E620" s="143" t="str">
        <f>VLOOKUP(D620,'Danh mục hàng hóa'!$C$3:$D$643,2,0)</f>
        <v>Trâm cài 18</v>
      </c>
      <c r="F620" s="144" t="str">
        <f>VLOOKUP(D620,'Danh mục hàng hóa'!$C$3:$E$656,3,0)</f>
        <v>cây</v>
      </c>
      <c r="G620" s="320">
        <v>26212</v>
      </c>
      <c r="H620" s="317"/>
      <c r="I620" s="313">
        <v>1</v>
      </c>
      <c r="J620" s="321"/>
      <c r="K620" s="168">
        <f t="shared" si="35"/>
        <v>26212</v>
      </c>
      <c r="L620" s="30"/>
      <c r="M620" s="67"/>
    </row>
    <row r="621" spans="1:13" ht="13.2">
      <c r="A621" s="227"/>
      <c r="B621" s="311" t="s">
        <v>337</v>
      </c>
      <c r="C621" s="319">
        <v>45349</v>
      </c>
      <c r="D621" s="28" t="s">
        <v>907</v>
      </c>
      <c r="E621" s="143" t="str">
        <f>VLOOKUP(D621,'Danh mục hàng hóa'!$C$3:$D$643,2,0)</f>
        <v>Cáo gắn xe</v>
      </c>
      <c r="F621" s="144" t="str">
        <f>VLOOKUP(D621,'Danh mục hàng hóa'!$C$3:$E$656,3,0)</f>
        <v>cái</v>
      </c>
      <c r="G621" s="321">
        <f t="shared" ref="G621:G625" si="42">157765/5</f>
        <v>31553</v>
      </c>
      <c r="H621" s="317"/>
      <c r="I621" s="313">
        <v>1</v>
      </c>
      <c r="J621" s="321"/>
      <c r="K621" s="168">
        <f t="shared" si="35"/>
        <v>31553</v>
      </c>
      <c r="L621" s="30"/>
      <c r="M621" s="67"/>
    </row>
    <row r="622" spans="1:13" ht="13.2">
      <c r="A622" s="227"/>
      <c r="B622" s="311" t="s">
        <v>337</v>
      </c>
      <c r="C622" s="319">
        <v>45349</v>
      </c>
      <c r="D622" s="28" t="s">
        <v>909</v>
      </c>
      <c r="E622" s="143" t="str">
        <f>VLOOKUP(D622,'Danh mục hàng hóa'!$C$3:$D$643,2,0)</f>
        <v>Gấu trúc gắn xe</v>
      </c>
      <c r="F622" s="144" t="str">
        <f>VLOOKUP(D622,'Danh mục hàng hóa'!$C$3:$E$656,3,0)</f>
        <v>cái</v>
      </c>
      <c r="G622" s="321">
        <f t="shared" si="42"/>
        <v>31553</v>
      </c>
      <c r="H622" s="317"/>
      <c r="I622" s="313">
        <v>1</v>
      </c>
      <c r="J622" s="321"/>
      <c r="K622" s="168">
        <f t="shared" si="35"/>
        <v>31553</v>
      </c>
      <c r="L622" s="30"/>
      <c r="M622" s="67"/>
    </row>
    <row r="623" spans="1:13" ht="13.2">
      <c r="A623" s="227"/>
      <c r="B623" s="311" t="s">
        <v>337</v>
      </c>
      <c r="C623" s="319">
        <v>45349</v>
      </c>
      <c r="D623" s="28" t="s">
        <v>911</v>
      </c>
      <c r="E623" s="143" t="str">
        <f>VLOOKUP(D623,'Danh mục hàng hóa'!$C$3:$D$643,2,0)</f>
        <v>Gấu nâu gắn xe</v>
      </c>
      <c r="F623" s="144" t="str">
        <f>VLOOKUP(D623,'Danh mục hàng hóa'!$C$3:$E$656,3,0)</f>
        <v>cái</v>
      </c>
      <c r="G623" s="321">
        <f t="shared" si="42"/>
        <v>31553</v>
      </c>
      <c r="H623" s="317"/>
      <c r="I623" s="313">
        <v>1</v>
      </c>
      <c r="J623" s="321"/>
      <c r="K623" s="168">
        <f t="shared" si="35"/>
        <v>31553</v>
      </c>
      <c r="L623" s="30"/>
      <c r="M623" s="67"/>
    </row>
    <row r="624" spans="1:13" ht="13.2">
      <c r="A624" s="227"/>
      <c r="B624" s="311" t="s">
        <v>337</v>
      </c>
      <c r="C624" s="319">
        <v>45349</v>
      </c>
      <c r="D624" s="28" t="s">
        <v>2147</v>
      </c>
      <c r="E624" s="143" t="e">
        <f>VLOOKUP(D624,'Danh mục hàng hóa'!$C$3:$D$643,2,0)</f>
        <v>#N/A</v>
      </c>
      <c r="F624" s="144" t="e">
        <f>VLOOKUP(D624,'Danh mục hàng hóa'!$C$3:$E$656,3,0)</f>
        <v>#N/A</v>
      </c>
      <c r="G624" s="321">
        <f t="shared" si="42"/>
        <v>31553</v>
      </c>
      <c r="H624" s="317"/>
      <c r="I624" s="313">
        <v>1</v>
      </c>
      <c r="J624" s="321"/>
      <c r="K624" s="168">
        <f t="shared" si="35"/>
        <v>31553</v>
      </c>
      <c r="L624" s="30"/>
      <c r="M624" s="67"/>
    </row>
    <row r="625" spans="1:13" ht="13.2">
      <c r="A625" s="227"/>
      <c r="B625" s="311" t="s">
        <v>337</v>
      </c>
      <c r="C625" s="319">
        <v>45349</v>
      </c>
      <c r="D625" s="28" t="s">
        <v>913</v>
      </c>
      <c r="E625" s="143" t="str">
        <f>VLOOKUP(D625,'Danh mục hàng hóa'!$C$3:$D$643,2,0)</f>
        <v>Thỏ máy bay gắn xe</v>
      </c>
      <c r="F625" s="144" t="str">
        <f>VLOOKUP(D625,'Danh mục hàng hóa'!$C$3:$E$656,3,0)</f>
        <v>cái</v>
      </c>
      <c r="G625" s="321">
        <f t="shared" si="42"/>
        <v>31553</v>
      </c>
      <c r="H625" s="317"/>
      <c r="I625" s="313">
        <v>1</v>
      </c>
      <c r="J625" s="321"/>
      <c r="K625" s="168">
        <f t="shared" si="35"/>
        <v>31553</v>
      </c>
      <c r="L625" s="30"/>
      <c r="M625" s="67"/>
    </row>
    <row r="626" spans="1:13" ht="13.2">
      <c r="A626" s="227"/>
      <c r="B626" s="311" t="s">
        <v>337</v>
      </c>
      <c r="C626" s="319">
        <v>45349</v>
      </c>
      <c r="D626" s="28" t="s">
        <v>703</v>
      </c>
      <c r="E626" s="143" t="str">
        <f>VLOOKUP(D626,'Danh mục hàng hóa'!$C$3:$D$643,2,0)</f>
        <v>Buộc tóc hồng vải xù</v>
      </c>
      <c r="F626" s="144" t="str">
        <f>VLOOKUP(D626,'Danh mục hàng hóa'!$C$3:$E$656,3,0)</f>
        <v>cái</v>
      </c>
      <c r="G626" s="320">
        <v>10600</v>
      </c>
      <c r="H626" s="317"/>
      <c r="I626" s="313">
        <v>1</v>
      </c>
      <c r="J626" s="321"/>
      <c r="K626" s="168">
        <f t="shared" si="35"/>
        <v>10600</v>
      </c>
      <c r="L626" s="30"/>
      <c r="M626" s="67"/>
    </row>
    <row r="627" spans="1:13" ht="13.2">
      <c r="A627" s="227"/>
      <c r="B627" s="311" t="s">
        <v>337</v>
      </c>
      <c r="C627" s="319">
        <v>45350</v>
      </c>
      <c r="D627" s="28" t="s">
        <v>977</v>
      </c>
      <c r="E627" s="143" t="str">
        <f>VLOOKUP(D627,'Danh mục hàng hóa'!$C$3:$D$643,2,0)</f>
        <v>Móc khóa đôi heo</v>
      </c>
      <c r="F627" s="144" t="str">
        <f>VLOOKUP(D627,'Danh mục hàng hóa'!$C$3:$E$656,3,0)</f>
        <v>cái</v>
      </c>
      <c r="G627" s="320">
        <v>45260</v>
      </c>
      <c r="H627" s="317"/>
      <c r="I627" s="313">
        <v>1</v>
      </c>
      <c r="J627" s="321"/>
      <c r="K627" s="168">
        <f t="shared" si="35"/>
        <v>45260</v>
      </c>
      <c r="L627" s="30"/>
      <c r="M627" s="67"/>
    </row>
    <row r="628" spans="1:13" ht="13.2">
      <c r="A628" s="227"/>
      <c r="B628" s="311" t="s">
        <v>337</v>
      </c>
      <c r="C628" s="319">
        <v>45350</v>
      </c>
      <c r="D628" s="28" t="s">
        <v>895</v>
      </c>
      <c r="E628" s="143" t="str">
        <f>VLOOKUP(D628,'Danh mục hàng hóa'!$C$3:$D$643,2,0)</f>
        <v>Thỏ chong chóng</v>
      </c>
      <c r="F628" s="144" t="str">
        <f>VLOOKUP(D628,'Danh mục hàng hóa'!$C$3:$E$656,3,0)</f>
        <v>cái</v>
      </c>
      <c r="G628" s="320">
        <v>47460</v>
      </c>
      <c r="H628" s="317"/>
      <c r="I628" s="313">
        <v>1</v>
      </c>
      <c r="J628" s="321"/>
      <c r="K628" s="168">
        <f t="shared" si="35"/>
        <v>47460</v>
      </c>
      <c r="L628" s="30"/>
      <c r="M628" s="67"/>
    </row>
    <row r="629" spans="1:13" ht="13.2">
      <c r="A629" s="227"/>
      <c r="B629" s="311" t="s">
        <v>337</v>
      </c>
      <c r="C629" s="319">
        <v>45350</v>
      </c>
      <c r="D629" s="28" t="s">
        <v>983</v>
      </c>
      <c r="E629" s="143" t="str">
        <f>VLOOKUP(D629,'Danh mục hàng hóa'!$C$3:$D$643,2,0)</f>
        <v>Móc khoá đôi thỏ</v>
      </c>
      <c r="F629" s="144" t="str">
        <f>VLOOKUP(D629,'Danh mục hàng hóa'!$C$3:$E$656,3,0)</f>
        <v>cái</v>
      </c>
      <c r="G629" s="320">
        <v>45000</v>
      </c>
      <c r="H629" s="317"/>
      <c r="I629" s="313">
        <v>1</v>
      </c>
      <c r="J629" s="321"/>
      <c r="K629" s="168">
        <f t="shared" si="35"/>
        <v>45000</v>
      </c>
      <c r="L629" s="30"/>
      <c r="M629" s="67"/>
    </row>
    <row r="630" spans="1:13" ht="13.2">
      <c r="A630" s="227"/>
      <c r="B630" s="311" t="s">
        <v>337</v>
      </c>
      <c r="C630" s="319">
        <v>45350</v>
      </c>
      <c r="D630" s="28" t="s">
        <v>885</v>
      </c>
      <c r="E630" s="143" t="str">
        <f>VLOOKUP(D630,'Danh mục hàng hóa'!$C$3:$D$643,2,0)</f>
        <v>Gấu chong chóng</v>
      </c>
      <c r="F630" s="144" t="str">
        <f>VLOOKUP(D630,'Danh mục hàng hóa'!$C$3:$E$656,3,0)</f>
        <v>cái</v>
      </c>
      <c r="G630" s="321">
        <f>93280-45000</f>
        <v>48280</v>
      </c>
      <c r="H630" s="317"/>
      <c r="I630" s="313">
        <v>1</v>
      </c>
      <c r="J630" s="321"/>
      <c r="K630" s="168">
        <f t="shared" si="35"/>
        <v>48280</v>
      </c>
      <c r="L630" s="30"/>
      <c r="M630" s="67"/>
    </row>
    <row r="631" spans="1:13" ht="13.2">
      <c r="A631" s="227"/>
      <c r="B631" s="311" t="s">
        <v>337</v>
      </c>
      <c r="C631" s="319">
        <v>45350</v>
      </c>
      <c r="D631" s="28" t="s">
        <v>887</v>
      </c>
      <c r="E631" s="143" t="str">
        <f>VLOOKUP(D631,'Danh mục hàng hóa'!$C$3:$D$643,2,0)</f>
        <v>Mèo chong chóng</v>
      </c>
      <c r="F631" s="144" t="str">
        <f>VLOOKUP(D631,'Danh mục hàng hóa'!$C$3:$E$656,3,0)</f>
        <v>cái</v>
      </c>
      <c r="G631" s="320">
        <v>45000</v>
      </c>
      <c r="H631" s="317"/>
      <c r="I631" s="313">
        <v>1</v>
      </c>
      <c r="J631" s="321"/>
      <c r="K631" s="168">
        <f t="shared" si="35"/>
        <v>45000</v>
      </c>
      <c r="L631" s="30"/>
      <c r="M631" s="67"/>
    </row>
    <row r="632" spans="1:13" ht="13.2">
      <c r="A632" s="227"/>
      <c r="B632" s="311" t="s">
        <v>337</v>
      </c>
      <c r="C632" s="319">
        <v>45350</v>
      </c>
      <c r="D632" s="28" t="s">
        <v>895</v>
      </c>
      <c r="E632" s="143" t="str">
        <f>VLOOKUP(D632,'Danh mục hàng hóa'!$C$3:$D$643,2,0)</f>
        <v>Thỏ chong chóng</v>
      </c>
      <c r="F632" s="144" t="str">
        <f>VLOOKUP(D632,'Danh mục hàng hóa'!$C$3:$E$656,3,0)</f>
        <v>cái</v>
      </c>
      <c r="G632" s="320">
        <v>45000</v>
      </c>
      <c r="H632" s="317"/>
      <c r="I632" s="313">
        <v>1</v>
      </c>
      <c r="J632" s="321"/>
      <c r="K632" s="168">
        <f t="shared" si="35"/>
        <v>45000</v>
      </c>
      <c r="L632" s="30"/>
      <c r="M632" s="67"/>
    </row>
    <row r="633" spans="1:13" ht="13.2">
      <c r="A633" s="227"/>
      <c r="B633" s="311" t="s">
        <v>337</v>
      </c>
      <c r="C633" s="319">
        <v>45350</v>
      </c>
      <c r="D633" s="28" t="s">
        <v>913</v>
      </c>
      <c r="E633" s="143" t="str">
        <f>VLOOKUP(D633,'Danh mục hàng hóa'!$C$3:$D$643,2,0)</f>
        <v>Thỏ máy bay gắn xe</v>
      </c>
      <c r="F633" s="144" t="str">
        <f>VLOOKUP(D633,'Danh mục hàng hóa'!$C$3:$E$656,3,0)</f>
        <v>cái</v>
      </c>
      <c r="G633" s="320">
        <v>35422</v>
      </c>
      <c r="H633" s="317"/>
      <c r="I633" s="313">
        <v>1</v>
      </c>
      <c r="J633" s="321"/>
      <c r="K633" s="168">
        <f t="shared" si="35"/>
        <v>35422</v>
      </c>
      <c r="L633" s="30"/>
      <c r="M633" s="67"/>
    </row>
    <row r="634" spans="1:13" ht="13.2">
      <c r="A634" s="227"/>
      <c r="B634" s="311" t="s">
        <v>337</v>
      </c>
      <c r="C634" s="319">
        <v>45350</v>
      </c>
      <c r="D634" s="28" t="s">
        <v>977</v>
      </c>
      <c r="E634" s="143" t="str">
        <f>VLOOKUP(D634,'Danh mục hàng hóa'!$C$3:$D$643,2,0)</f>
        <v>Móc khóa đôi heo</v>
      </c>
      <c r="F634" s="144" t="str">
        <f>VLOOKUP(D634,'Danh mục hàng hóa'!$C$3:$E$656,3,0)</f>
        <v>cái</v>
      </c>
      <c r="G634" s="320">
        <v>45920</v>
      </c>
      <c r="H634" s="317"/>
      <c r="I634" s="313">
        <v>1</v>
      </c>
      <c r="J634" s="321"/>
      <c r="K634" s="168">
        <f t="shared" si="35"/>
        <v>45920</v>
      </c>
      <c r="L634" s="30"/>
      <c r="M634" s="67"/>
    </row>
    <row r="635" spans="1:13" ht="13.2">
      <c r="A635" s="227"/>
      <c r="B635" s="311" t="s">
        <v>337</v>
      </c>
      <c r="C635" s="319">
        <v>45350</v>
      </c>
      <c r="D635" s="28" t="s">
        <v>977</v>
      </c>
      <c r="E635" s="143" t="str">
        <f>VLOOKUP(D635,'Danh mục hàng hóa'!$C$3:$D$643,2,0)</f>
        <v>Móc khóa đôi heo</v>
      </c>
      <c r="F635" s="144" t="str">
        <f>VLOOKUP(D635,'Danh mục hàng hóa'!$C$3:$E$656,3,0)</f>
        <v>cái</v>
      </c>
      <c r="G635" s="320">
        <v>45660</v>
      </c>
      <c r="H635" s="317"/>
      <c r="I635" s="313">
        <v>1</v>
      </c>
      <c r="J635" s="321"/>
      <c r="K635" s="168">
        <f t="shared" si="35"/>
        <v>45660</v>
      </c>
      <c r="L635" s="30"/>
      <c r="M635" s="67"/>
    </row>
    <row r="636" spans="1:13" ht="13.2">
      <c r="A636" s="227"/>
      <c r="B636" s="311" t="s">
        <v>337</v>
      </c>
      <c r="C636" s="319">
        <v>45350</v>
      </c>
      <c r="D636" s="28" t="s">
        <v>977</v>
      </c>
      <c r="E636" s="143" t="str">
        <f>VLOOKUP(D636,'Danh mục hàng hóa'!$C$3:$D$643,2,0)</f>
        <v>Móc khóa đôi heo</v>
      </c>
      <c r="F636" s="144" t="str">
        <f>VLOOKUP(D636,'Danh mục hàng hóa'!$C$3:$E$656,3,0)</f>
        <v>cái</v>
      </c>
      <c r="G636" s="320">
        <v>44477</v>
      </c>
      <c r="H636" s="317"/>
      <c r="I636" s="313">
        <v>1</v>
      </c>
      <c r="J636" s="321"/>
      <c r="K636" s="168">
        <f t="shared" si="35"/>
        <v>44477</v>
      </c>
      <c r="L636" s="30"/>
      <c r="M636" s="67"/>
    </row>
    <row r="637" spans="1:13" ht="13.2">
      <c r="A637" s="227"/>
      <c r="B637" s="311" t="s">
        <v>337</v>
      </c>
      <c r="C637" s="319">
        <v>45350</v>
      </c>
      <c r="D637" s="28" t="s">
        <v>977</v>
      </c>
      <c r="E637" s="143" t="str">
        <f>VLOOKUP(D637,'Danh mục hàng hóa'!$C$3:$D$643,2,0)</f>
        <v>Móc khóa đôi heo</v>
      </c>
      <c r="F637" s="144" t="str">
        <f>VLOOKUP(D637,'Danh mục hàng hóa'!$C$3:$E$656,3,0)</f>
        <v>cái</v>
      </c>
      <c r="G637" s="320">
        <v>45980</v>
      </c>
      <c r="H637" s="317"/>
      <c r="I637" s="313">
        <v>1</v>
      </c>
      <c r="J637" s="321"/>
      <c r="K637" s="168">
        <f t="shared" si="35"/>
        <v>45980</v>
      </c>
      <c r="L637" s="30"/>
      <c r="M637" s="67"/>
    </row>
    <row r="638" spans="1:13" ht="13.2">
      <c r="A638" s="227"/>
      <c r="B638" s="311" t="s">
        <v>337</v>
      </c>
      <c r="C638" s="319">
        <v>45350</v>
      </c>
      <c r="D638" s="28" t="s">
        <v>895</v>
      </c>
      <c r="E638" s="143" t="str">
        <f>VLOOKUP(D638,'Danh mục hàng hóa'!$C$3:$D$643,2,0)</f>
        <v>Thỏ chong chóng</v>
      </c>
      <c r="F638" s="144" t="str">
        <f>VLOOKUP(D638,'Danh mục hàng hóa'!$C$3:$E$656,3,0)</f>
        <v>cái</v>
      </c>
      <c r="G638" s="320">
        <v>40000</v>
      </c>
      <c r="H638" s="317"/>
      <c r="I638" s="313">
        <v>1</v>
      </c>
      <c r="J638" s="321"/>
      <c r="K638" s="168">
        <f t="shared" si="35"/>
        <v>40000</v>
      </c>
      <c r="L638" s="30"/>
      <c r="M638" s="67"/>
    </row>
    <row r="639" spans="1:13" ht="13.2">
      <c r="A639" s="227"/>
      <c r="B639" s="311" t="s">
        <v>337</v>
      </c>
      <c r="C639" s="319">
        <v>45350</v>
      </c>
      <c r="D639" s="28" t="s">
        <v>913</v>
      </c>
      <c r="E639" s="143" t="str">
        <f>VLOOKUP(D639,'Danh mục hàng hóa'!$C$3:$D$643,2,0)</f>
        <v>Thỏ máy bay gắn xe</v>
      </c>
      <c r="F639" s="144" t="str">
        <f>VLOOKUP(D639,'Danh mục hàng hóa'!$C$3:$E$656,3,0)</f>
        <v>cái</v>
      </c>
      <c r="G639" s="320">
        <v>37182</v>
      </c>
      <c r="H639" s="317"/>
      <c r="I639" s="313">
        <v>1</v>
      </c>
      <c r="J639" s="321"/>
      <c r="K639" s="168">
        <f t="shared" si="35"/>
        <v>37182</v>
      </c>
      <c r="L639" s="30"/>
      <c r="M639" s="67"/>
    </row>
    <row r="640" spans="1:13" ht="13.2">
      <c r="A640" s="227"/>
      <c r="B640" s="311" t="s">
        <v>337</v>
      </c>
      <c r="C640" s="319">
        <v>45350</v>
      </c>
      <c r="D640" s="28" t="s">
        <v>983</v>
      </c>
      <c r="E640" s="143" t="str">
        <f>VLOOKUP(D640,'Danh mục hàng hóa'!$C$3:$D$643,2,0)</f>
        <v>Móc khoá đôi thỏ</v>
      </c>
      <c r="F640" s="144" t="str">
        <f>VLOOKUP(D640,'Danh mục hàng hóa'!$C$3:$E$656,3,0)</f>
        <v>cái</v>
      </c>
      <c r="G640" s="320">
        <v>43420</v>
      </c>
      <c r="H640" s="317"/>
      <c r="I640" s="313">
        <v>1</v>
      </c>
      <c r="J640" s="321"/>
      <c r="K640" s="168">
        <f t="shared" si="35"/>
        <v>43420</v>
      </c>
      <c r="L640" s="30"/>
      <c r="M640" s="67"/>
    </row>
    <row r="641" spans="1:13" ht="13.2">
      <c r="A641" s="227"/>
      <c r="B641" s="311" t="s">
        <v>337</v>
      </c>
      <c r="C641" s="319">
        <v>45350</v>
      </c>
      <c r="D641" s="28" t="s">
        <v>977</v>
      </c>
      <c r="E641" s="143" t="str">
        <f>VLOOKUP(D641,'Danh mục hàng hóa'!$C$3:$D$643,2,0)</f>
        <v>Móc khóa đôi heo</v>
      </c>
      <c r="F641" s="144" t="str">
        <f>VLOOKUP(D641,'Danh mục hàng hóa'!$C$3:$E$656,3,0)</f>
        <v>cái</v>
      </c>
      <c r="G641" s="320">
        <v>41520</v>
      </c>
      <c r="H641" s="317"/>
      <c r="I641" s="313">
        <v>1</v>
      </c>
      <c r="J641" s="321"/>
      <c r="K641" s="168">
        <f t="shared" si="35"/>
        <v>41520</v>
      </c>
      <c r="L641" s="30"/>
      <c r="M641" s="67"/>
    </row>
    <row r="642" spans="1:13" ht="13.2">
      <c r="A642" s="227"/>
      <c r="B642" s="311" t="s">
        <v>337</v>
      </c>
      <c r="C642" s="319">
        <v>45350</v>
      </c>
      <c r="D642" s="28" t="s">
        <v>885</v>
      </c>
      <c r="E642" s="143" t="str">
        <f>VLOOKUP(D642,'Danh mục hàng hóa'!$C$3:$D$643,2,0)</f>
        <v>Gấu chong chóng</v>
      </c>
      <c r="F642" s="144" t="str">
        <f>VLOOKUP(D642,'Danh mục hàng hóa'!$C$3:$E$656,3,0)</f>
        <v>cái</v>
      </c>
      <c r="G642" s="320">
        <v>46200</v>
      </c>
      <c r="H642" s="317"/>
      <c r="I642" s="313">
        <v>2</v>
      </c>
      <c r="J642" s="321"/>
      <c r="K642" s="168">
        <f t="shared" si="35"/>
        <v>92400</v>
      </c>
      <c r="L642" s="30"/>
      <c r="M642" s="67"/>
    </row>
    <row r="643" spans="1:13" ht="13.2">
      <c r="A643" s="227"/>
      <c r="B643" s="311" t="s">
        <v>337</v>
      </c>
      <c r="C643" s="319">
        <v>45350</v>
      </c>
      <c r="D643" s="28" t="s">
        <v>885</v>
      </c>
      <c r="E643" s="143" t="str">
        <f>VLOOKUP(D643,'Danh mục hàng hóa'!$C$3:$D$643,2,0)</f>
        <v>Gấu chong chóng</v>
      </c>
      <c r="F643" s="144" t="str">
        <f>VLOOKUP(D643,'Danh mục hàng hóa'!$C$3:$E$656,3,0)</f>
        <v>cái</v>
      </c>
      <c r="G643" s="320">
        <v>0</v>
      </c>
      <c r="H643" s="317"/>
      <c r="I643" s="313">
        <v>1</v>
      </c>
      <c r="J643" s="321"/>
      <c r="K643" s="168">
        <f t="shared" si="35"/>
        <v>0</v>
      </c>
      <c r="L643" s="30"/>
      <c r="M643" s="67"/>
    </row>
    <row r="644" spans="1:13" ht="13.2">
      <c r="A644" s="227"/>
      <c r="B644" s="311" t="s">
        <v>337</v>
      </c>
      <c r="C644" s="319">
        <v>45351</v>
      </c>
      <c r="D644" s="28" t="s">
        <v>983</v>
      </c>
      <c r="E644" s="143" t="str">
        <f>VLOOKUP(D644,'Danh mục hàng hóa'!$C$3:$D$643,2,0)</f>
        <v>Móc khoá đôi thỏ</v>
      </c>
      <c r="F644" s="144" t="str">
        <f>VLOOKUP(D644,'Danh mục hàng hóa'!$C$3:$E$656,3,0)</f>
        <v>cái</v>
      </c>
      <c r="G644" s="320">
        <v>43720</v>
      </c>
      <c r="H644" s="317"/>
      <c r="I644" s="313">
        <v>1</v>
      </c>
      <c r="J644" s="321"/>
      <c r="K644" s="168">
        <f t="shared" si="35"/>
        <v>43720</v>
      </c>
      <c r="L644" s="30"/>
      <c r="M644" s="67"/>
    </row>
    <row r="645" spans="1:13" ht="13.2">
      <c r="A645" s="227"/>
      <c r="B645" s="311" t="s">
        <v>337</v>
      </c>
      <c r="C645" s="319">
        <v>45351</v>
      </c>
      <c r="D645" s="28" t="s">
        <v>513</v>
      </c>
      <c r="E645" s="143" t="str">
        <f>VLOOKUP(D645,'Danh mục hàng hóa'!$C$3:$D$643,2,0)</f>
        <v>Trâm cài 16</v>
      </c>
      <c r="F645" s="144" t="str">
        <f>VLOOKUP(D645,'Danh mục hàng hóa'!$C$3:$E$656,3,0)</f>
        <v>cây</v>
      </c>
      <c r="G645" s="320">
        <v>25476</v>
      </c>
      <c r="H645" s="317"/>
      <c r="I645" s="313">
        <v>1</v>
      </c>
      <c r="J645" s="321"/>
      <c r="K645" s="168">
        <f t="shared" si="35"/>
        <v>25476</v>
      </c>
      <c r="L645" s="30"/>
      <c r="M645" s="67"/>
    </row>
    <row r="646" spans="1:13" ht="13.2">
      <c r="A646" s="227"/>
      <c r="B646" s="311" t="s">
        <v>337</v>
      </c>
      <c r="C646" s="319">
        <v>45351</v>
      </c>
      <c r="D646" s="28" t="s">
        <v>523</v>
      </c>
      <c r="E646" s="143" t="str">
        <f>VLOOKUP(D646,'Danh mục hàng hóa'!$C$3:$D$643,2,0)</f>
        <v>Trâm cài 21</v>
      </c>
      <c r="F646" s="144" t="str">
        <f>VLOOKUP(D646,'Danh mục hàng hóa'!$C$3:$E$656,3,0)</f>
        <v>cây</v>
      </c>
      <c r="G646" s="320">
        <v>27000</v>
      </c>
      <c r="H646" s="317"/>
      <c r="I646" s="313">
        <v>1</v>
      </c>
      <c r="J646" s="321"/>
      <c r="K646" s="168">
        <f t="shared" si="35"/>
        <v>27000</v>
      </c>
      <c r="L646" s="30"/>
      <c r="M646" s="67"/>
    </row>
    <row r="647" spans="1:13" ht="13.2">
      <c r="A647" s="227"/>
      <c r="B647" s="311" t="s">
        <v>337</v>
      </c>
      <c r="C647" s="319">
        <v>45351</v>
      </c>
      <c r="D647" s="28" t="s">
        <v>977</v>
      </c>
      <c r="E647" s="143" t="str">
        <f>VLOOKUP(D647,'Danh mục hàng hóa'!$C$3:$D$643,2,0)</f>
        <v>Móc khóa đôi heo</v>
      </c>
      <c r="F647" s="144" t="str">
        <f>VLOOKUP(D647,'Danh mục hàng hóa'!$C$3:$E$656,3,0)</f>
        <v>cái</v>
      </c>
      <c r="G647" s="320">
        <v>45920</v>
      </c>
      <c r="H647" s="317"/>
      <c r="I647" s="313">
        <v>1</v>
      </c>
      <c r="J647" s="321"/>
      <c r="K647" s="168">
        <f t="shared" si="35"/>
        <v>45920</v>
      </c>
      <c r="L647" s="30"/>
      <c r="M647" s="67"/>
    </row>
    <row r="648" spans="1:13" ht="13.2">
      <c r="A648" s="227"/>
      <c r="B648" s="311" t="s">
        <v>337</v>
      </c>
      <c r="C648" s="319">
        <v>45352</v>
      </c>
      <c r="D648" s="28" t="s">
        <v>977</v>
      </c>
      <c r="E648" s="143" t="str">
        <f>VLOOKUP(D648,'Danh mục hàng hóa'!$C$3:$D$643,2,0)</f>
        <v>Móc khóa đôi heo</v>
      </c>
      <c r="F648" s="144" t="str">
        <f>VLOOKUP(D648,'Danh mục hàng hóa'!$C$3:$E$656,3,0)</f>
        <v>cái</v>
      </c>
      <c r="G648" s="320">
        <v>40862</v>
      </c>
      <c r="H648" s="317"/>
      <c r="I648" s="313">
        <v>1</v>
      </c>
      <c r="J648" s="321"/>
      <c r="K648" s="168">
        <f t="shared" si="35"/>
        <v>40862</v>
      </c>
      <c r="L648" s="30"/>
      <c r="M648" s="67"/>
    </row>
    <row r="649" spans="1:13" ht="13.2">
      <c r="A649" s="227"/>
      <c r="B649" s="311" t="s">
        <v>337</v>
      </c>
      <c r="C649" s="319">
        <v>45352</v>
      </c>
      <c r="D649" s="28" t="s">
        <v>983</v>
      </c>
      <c r="E649" s="143" t="str">
        <f>VLOOKUP(D649,'Danh mục hàng hóa'!$C$3:$D$643,2,0)</f>
        <v>Móc khoá đôi thỏ</v>
      </c>
      <c r="F649" s="144" t="str">
        <f>VLOOKUP(D649,'Danh mục hàng hóa'!$C$3:$E$656,3,0)</f>
        <v>cái</v>
      </c>
      <c r="G649" s="320">
        <v>43260</v>
      </c>
      <c r="H649" s="317"/>
      <c r="I649" s="313">
        <v>1</v>
      </c>
      <c r="J649" s="321"/>
      <c r="K649" s="168">
        <f t="shared" si="35"/>
        <v>43260</v>
      </c>
      <c r="L649" s="30"/>
      <c r="M649" s="67"/>
    </row>
    <row r="650" spans="1:13" ht="13.2">
      <c r="A650" s="227"/>
      <c r="B650" s="311" t="s">
        <v>337</v>
      </c>
      <c r="C650" s="319">
        <v>45352</v>
      </c>
      <c r="D650" s="28" t="s">
        <v>977</v>
      </c>
      <c r="E650" s="143" t="str">
        <f>VLOOKUP(D650,'Danh mục hàng hóa'!$C$3:$D$643,2,0)</f>
        <v>Móc khóa đôi heo</v>
      </c>
      <c r="F650" s="144" t="str">
        <f>VLOOKUP(D650,'Danh mục hàng hóa'!$C$3:$E$656,3,0)</f>
        <v>cái</v>
      </c>
      <c r="G650" s="320">
        <v>41222</v>
      </c>
      <c r="H650" s="317"/>
      <c r="I650" s="313">
        <v>1</v>
      </c>
      <c r="J650" s="321"/>
      <c r="K650" s="168">
        <f t="shared" si="35"/>
        <v>41222</v>
      </c>
      <c r="L650" s="30"/>
      <c r="M650" s="67"/>
    </row>
    <row r="651" spans="1:13" ht="13.2">
      <c r="A651" s="227"/>
      <c r="B651" s="311" t="s">
        <v>337</v>
      </c>
      <c r="C651" s="319">
        <v>45352</v>
      </c>
      <c r="D651" s="28" t="s">
        <v>913</v>
      </c>
      <c r="E651" s="143" t="str">
        <f>VLOOKUP(D651,'Danh mục hàng hóa'!$C$3:$D$643,2,0)</f>
        <v>Thỏ máy bay gắn xe</v>
      </c>
      <c r="F651" s="144" t="str">
        <f>VLOOKUP(D651,'Danh mục hàng hóa'!$C$3:$E$656,3,0)</f>
        <v>cái</v>
      </c>
      <c r="G651" s="320">
        <v>32702</v>
      </c>
      <c r="H651" s="317"/>
      <c r="I651" s="313">
        <v>1</v>
      </c>
      <c r="J651" s="321"/>
      <c r="K651" s="168">
        <f t="shared" si="35"/>
        <v>32702</v>
      </c>
      <c r="L651" s="30"/>
      <c r="M651" s="67"/>
    </row>
    <row r="652" spans="1:13" ht="13.2">
      <c r="A652" s="227"/>
      <c r="B652" s="311" t="s">
        <v>337</v>
      </c>
      <c r="C652" s="319">
        <v>45352</v>
      </c>
      <c r="D652" s="28" t="s">
        <v>474</v>
      </c>
      <c r="E652" s="143" t="str">
        <f>VLOOKUP(D652,'Danh mục hàng hóa'!$C$3:$D$643,2,0)</f>
        <v>Trâm cài hoa xanh</v>
      </c>
      <c r="F652" s="144" t="str">
        <f>VLOOKUP(D652,'Danh mục hàng hóa'!$C$3:$E$656,3,0)</f>
        <v>cái</v>
      </c>
      <c r="G652" s="320">
        <v>18000</v>
      </c>
      <c r="H652" s="317"/>
      <c r="I652" s="313">
        <v>1</v>
      </c>
      <c r="J652" s="321"/>
      <c r="K652" s="168">
        <f t="shared" si="35"/>
        <v>18000</v>
      </c>
      <c r="L652" s="30"/>
      <c r="M652" s="67"/>
    </row>
    <row r="653" spans="1:13" ht="13.2">
      <c r="A653" s="227"/>
      <c r="B653" s="311" t="s">
        <v>337</v>
      </c>
      <c r="C653" s="319">
        <v>45352</v>
      </c>
      <c r="D653" s="28" t="s">
        <v>499</v>
      </c>
      <c r="E653" s="143" t="str">
        <f>VLOOKUP(D653,'Danh mục hàng hóa'!$C$3:$D$643,2,0)</f>
        <v>Trâm cài 09</v>
      </c>
      <c r="F653" s="144" t="str">
        <f>VLOOKUP(D653,'Danh mục hàng hóa'!$C$3:$E$656,3,0)</f>
        <v>cây</v>
      </c>
      <c r="G653" s="320">
        <v>26444</v>
      </c>
      <c r="H653" s="317"/>
      <c r="I653" s="313">
        <v>1</v>
      </c>
      <c r="J653" s="321"/>
      <c r="K653" s="168">
        <f t="shared" si="35"/>
        <v>26444</v>
      </c>
      <c r="L653" s="30"/>
      <c r="M653" s="67"/>
    </row>
    <row r="654" spans="1:13" ht="13.2">
      <c r="A654" s="227"/>
      <c r="B654" s="311" t="s">
        <v>337</v>
      </c>
      <c r="C654" s="319">
        <v>45352</v>
      </c>
      <c r="D654" s="28" t="s">
        <v>874</v>
      </c>
      <c r="E654" s="143" t="str">
        <f>VLOOKUP(D654,'Danh mục hàng hóa'!$C$3:$D$643,2,0)</f>
        <v>Dao rọc giấy cún xanh</v>
      </c>
      <c r="F654" s="144" t="str">
        <f>VLOOKUP(D654,'Danh mục hàng hóa'!$C$3:$E$656,3,0)</f>
        <v>cái</v>
      </c>
      <c r="G654" s="320">
        <v>6000</v>
      </c>
      <c r="H654" s="317"/>
      <c r="I654" s="313">
        <v>1</v>
      </c>
      <c r="J654" s="321"/>
      <c r="K654" s="168">
        <f t="shared" si="35"/>
        <v>6000</v>
      </c>
      <c r="L654" s="30"/>
      <c r="M654" s="67"/>
    </row>
    <row r="655" spans="1:13" ht="13.2">
      <c r="A655" s="227"/>
      <c r="B655" s="311" t="s">
        <v>337</v>
      </c>
      <c r="C655" s="319">
        <v>45352</v>
      </c>
      <c r="D655" s="28" t="s">
        <v>1048</v>
      </c>
      <c r="E655" s="143" t="str">
        <f>VLOOKUP(D655,'Danh mục hàng hóa'!$C$3:$D$643,2,0)</f>
        <v>Vớ cổ ngắn set xanh bơ 2</v>
      </c>
      <c r="F655" s="144" t="str">
        <f>VLOOKUP(D655,'Danh mục hàng hóa'!$C$3:$E$656,3,0)</f>
        <v>đôi</v>
      </c>
      <c r="G655" s="320">
        <v>6000</v>
      </c>
      <c r="H655" s="317"/>
      <c r="I655" s="313">
        <v>1</v>
      </c>
      <c r="J655" s="321"/>
      <c r="K655" s="168">
        <f t="shared" si="35"/>
        <v>6000</v>
      </c>
      <c r="L655" s="30"/>
      <c r="M655" s="67"/>
    </row>
    <row r="656" spans="1:13" ht="13.2">
      <c r="A656" s="227"/>
      <c r="B656" s="311" t="s">
        <v>337</v>
      </c>
      <c r="C656" s="319">
        <v>45352</v>
      </c>
      <c r="D656" s="28" t="s">
        <v>1050</v>
      </c>
      <c r="E656" s="143" t="str">
        <f>VLOOKUP(D656,'Danh mục hàng hóa'!$C$3:$D$643,2,0)</f>
        <v>Vớ cổ ngắn set xanh bơ 3</v>
      </c>
      <c r="F656" s="144" t="str">
        <f>VLOOKUP(D656,'Danh mục hàng hóa'!$C$3:$E$656,3,0)</f>
        <v>đôi</v>
      </c>
      <c r="G656" s="320">
        <v>6000</v>
      </c>
      <c r="H656" s="317"/>
      <c r="I656" s="313">
        <v>1</v>
      </c>
      <c r="J656" s="321"/>
      <c r="K656" s="168">
        <f t="shared" si="35"/>
        <v>6000</v>
      </c>
      <c r="L656" s="30"/>
      <c r="M656" s="67"/>
    </row>
    <row r="657" spans="1:13" ht="13.2">
      <c r="A657" s="227"/>
      <c r="B657" s="311" t="s">
        <v>337</v>
      </c>
      <c r="C657" s="319">
        <v>45352</v>
      </c>
      <c r="D657" s="28" t="s">
        <v>977</v>
      </c>
      <c r="E657" s="143" t="str">
        <f>VLOOKUP(D657,'Danh mục hàng hóa'!$C$3:$D$643,2,0)</f>
        <v>Móc khóa đôi heo</v>
      </c>
      <c r="F657" s="144" t="str">
        <f>VLOOKUP(D657,'Danh mục hàng hóa'!$C$3:$E$656,3,0)</f>
        <v>cái</v>
      </c>
      <c r="G657" s="320">
        <v>45000</v>
      </c>
      <c r="H657" s="317"/>
      <c r="I657" s="313">
        <v>1</v>
      </c>
      <c r="J657" s="321"/>
      <c r="K657" s="168">
        <f t="shared" si="35"/>
        <v>45000</v>
      </c>
      <c r="L657" s="30"/>
      <c r="M657" s="67"/>
    </row>
    <row r="658" spans="1:13" ht="13.2">
      <c r="A658" s="227"/>
      <c r="B658" s="311" t="s">
        <v>337</v>
      </c>
      <c r="C658" s="319">
        <v>45352</v>
      </c>
      <c r="D658" s="28" t="s">
        <v>675</v>
      </c>
      <c r="E658" s="143" t="str">
        <f>VLOOKUP(D658,'Danh mục hàng hóa'!$C$3:$D$643,2,0)</f>
        <v>Buộc tóc vải xốp trắng</v>
      </c>
      <c r="F658" s="144" t="str">
        <f>VLOOKUP(D658,'Danh mục hàng hóa'!$C$3:$E$656,3,0)</f>
        <v>cái</v>
      </c>
      <c r="G658" s="320">
        <v>13000</v>
      </c>
      <c r="H658" s="317"/>
      <c r="I658" s="313">
        <v>1</v>
      </c>
      <c r="J658" s="321"/>
      <c r="K658" s="168">
        <f t="shared" si="35"/>
        <v>13000</v>
      </c>
      <c r="L658" s="30"/>
      <c r="M658" s="67"/>
    </row>
    <row r="659" spans="1:13" ht="13.2">
      <c r="A659" s="227"/>
      <c r="B659" s="311" t="s">
        <v>337</v>
      </c>
      <c r="C659" s="319">
        <v>45352</v>
      </c>
      <c r="D659" s="28" t="s">
        <v>580</v>
      </c>
      <c r="E659" s="143" t="str">
        <f>VLOOKUP(D659,'Danh mục hàng hóa'!$C$3:$D$643,2,0)</f>
        <v>Ống 6 dây cột tóc be nâu</v>
      </c>
      <c r="F659" s="144" t="str">
        <f>VLOOKUP(D659,'Danh mục hàng hóa'!$C$3:$E$656,3,0)</f>
        <v>ống</v>
      </c>
      <c r="G659" s="321">
        <f>67750-58000</f>
        <v>9750</v>
      </c>
      <c r="H659" s="317"/>
      <c r="I659" s="313">
        <v>1</v>
      </c>
      <c r="J659" s="321"/>
      <c r="K659" s="168">
        <f t="shared" si="35"/>
        <v>9750</v>
      </c>
      <c r="L659" s="30"/>
      <c r="M659" s="67"/>
    </row>
    <row r="660" spans="1:13" ht="13.2">
      <c r="A660" s="75"/>
      <c r="B660" s="311" t="s">
        <v>337</v>
      </c>
      <c r="C660" s="319">
        <v>45352</v>
      </c>
      <c r="D660" s="16" t="s">
        <v>977</v>
      </c>
      <c r="E660" s="143" t="str">
        <f>VLOOKUP(D660,'Danh mục hàng hóa'!$C$3:$D$643,2,0)</f>
        <v>Móc khóa đôi heo</v>
      </c>
      <c r="F660" s="144" t="str">
        <f>VLOOKUP(D660,'Danh mục hàng hóa'!$C$3:$E$656,3,0)</f>
        <v>cái</v>
      </c>
      <c r="G660" s="321">
        <f t="shared" ref="G660:G661" si="43">83160/2</f>
        <v>41580</v>
      </c>
      <c r="H660" s="317"/>
      <c r="I660" s="313">
        <v>1</v>
      </c>
      <c r="J660" s="321"/>
      <c r="K660" s="168">
        <f t="shared" si="35"/>
        <v>41580</v>
      </c>
      <c r="L660" s="30"/>
      <c r="M660" s="67"/>
    </row>
    <row r="661" spans="1:13" ht="13.2">
      <c r="A661" s="75"/>
      <c r="B661" s="311" t="s">
        <v>337</v>
      </c>
      <c r="C661" s="319">
        <v>45352</v>
      </c>
      <c r="D661" s="16" t="s">
        <v>981</v>
      </c>
      <c r="E661" s="143" t="str">
        <f>VLOOKUP(D661,'Danh mục hàng hóa'!$C$3:$D$643,2,0)</f>
        <v>Móc khóa đôi corgy</v>
      </c>
      <c r="F661" s="144" t="str">
        <f>VLOOKUP(D661,'Danh mục hàng hóa'!$C$3:$E$656,3,0)</f>
        <v>cái</v>
      </c>
      <c r="G661" s="321">
        <f t="shared" si="43"/>
        <v>41580</v>
      </c>
      <c r="H661" s="317"/>
      <c r="I661" s="313">
        <v>1</v>
      </c>
      <c r="J661" s="321"/>
      <c r="K661" s="168">
        <f t="shared" si="35"/>
        <v>41580</v>
      </c>
      <c r="L661" s="30"/>
      <c r="M661" s="67"/>
    </row>
    <row r="662" spans="1:13" ht="13.2">
      <c r="A662" s="75"/>
      <c r="B662" s="311" t="s">
        <v>337</v>
      </c>
      <c r="C662" s="319">
        <v>45353</v>
      </c>
      <c r="D662" s="28" t="s">
        <v>909</v>
      </c>
      <c r="E662" s="143" t="str">
        <f>VLOOKUP(D662,'Danh mục hàng hóa'!$C$3:$D$643,2,0)</f>
        <v>Gấu trúc gắn xe</v>
      </c>
      <c r="F662" s="144" t="str">
        <f>VLOOKUP(D662,'Danh mục hàng hóa'!$C$3:$E$656,3,0)</f>
        <v>cái</v>
      </c>
      <c r="G662" s="320">
        <v>30000</v>
      </c>
      <c r="H662" s="317"/>
      <c r="I662" s="313">
        <v>1</v>
      </c>
      <c r="J662" s="321"/>
      <c r="K662" s="168">
        <f t="shared" si="35"/>
        <v>30000</v>
      </c>
      <c r="L662" s="30"/>
      <c r="M662" s="67"/>
    </row>
    <row r="663" spans="1:13" ht="13.2">
      <c r="A663" s="75"/>
      <c r="B663" s="311" t="s">
        <v>337</v>
      </c>
      <c r="C663" s="319">
        <v>45353</v>
      </c>
      <c r="D663" s="28" t="s">
        <v>2147</v>
      </c>
      <c r="E663" s="143" t="e">
        <f>VLOOKUP(D663,'Danh mục hàng hóa'!$C$3:$D$643,2,0)</f>
        <v>#N/A</v>
      </c>
      <c r="F663" s="144" t="e">
        <f>VLOOKUP(D663,'Danh mục hàng hóa'!$C$3:$E$656,3,0)</f>
        <v>#N/A</v>
      </c>
      <c r="G663" s="320">
        <v>25938</v>
      </c>
      <c r="H663" s="317"/>
      <c r="I663" s="313">
        <v>1</v>
      </c>
      <c r="J663" s="321"/>
      <c r="K663" s="168">
        <f t="shared" si="35"/>
        <v>25938</v>
      </c>
      <c r="L663" s="30"/>
      <c r="M663" s="67"/>
    </row>
    <row r="664" spans="1:13" ht="13.2">
      <c r="A664" s="75"/>
      <c r="B664" s="311" t="s">
        <v>337</v>
      </c>
      <c r="C664" s="319">
        <v>45353</v>
      </c>
      <c r="D664" s="28" t="s">
        <v>981</v>
      </c>
      <c r="E664" s="143" t="str">
        <f>VLOOKUP(D664,'Danh mục hàng hóa'!$C$3:$D$643,2,0)</f>
        <v>Móc khóa đôi corgy</v>
      </c>
      <c r="F664" s="144" t="str">
        <f>VLOOKUP(D664,'Danh mục hàng hóa'!$C$3:$E$656,3,0)</f>
        <v>cái</v>
      </c>
      <c r="G664" s="320">
        <v>41322</v>
      </c>
      <c r="H664" s="317"/>
      <c r="I664" s="313">
        <v>1</v>
      </c>
      <c r="J664" s="321"/>
      <c r="K664" s="168">
        <f t="shared" si="35"/>
        <v>41322</v>
      </c>
      <c r="L664" s="30"/>
      <c r="M664" s="67"/>
    </row>
    <row r="665" spans="1:13" ht="13.2">
      <c r="A665" s="75"/>
      <c r="B665" s="311" t="s">
        <v>337</v>
      </c>
      <c r="C665" s="319">
        <v>45353</v>
      </c>
      <c r="D665" s="28" t="s">
        <v>885</v>
      </c>
      <c r="E665" s="143" t="str">
        <f>VLOOKUP(D665,'Danh mục hàng hóa'!$C$3:$D$643,2,0)</f>
        <v>Gấu chong chóng</v>
      </c>
      <c r="F665" s="144" t="str">
        <f>VLOOKUP(D665,'Danh mục hàng hóa'!$C$3:$E$656,3,0)</f>
        <v>cái</v>
      </c>
      <c r="G665" s="321">
        <f t="shared" ref="G665:G666" si="44">86160/2</f>
        <v>43080</v>
      </c>
      <c r="H665" s="317"/>
      <c r="I665" s="313">
        <v>1</v>
      </c>
      <c r="J665" s="321"/>
      <c r="K665" s="168">
        <f t="shared" si="35"/>
        <v>43080</v>
      </c>
      <c r="L665" s="30"/>
      <c r="M665" s="67"/>
    </row>
    <row r="666" spans="1:13" ht="13.2">
      <c r="A666" s="75"/>
      <c r="B666" s="311" t="s">
        <v>337</v>
      </c>
      <c r="C666" s="319">
        <v>45353</v>
      </c>
      <c r="D666" s="28" t="s">
        <v>887</v>
      </c>
      <c r="E666" s="143" t="str">
        <f>VLOOKUP(D666,'Danh mục hàng hóa'!$C$3:$D$643,2,0)</f>
        <v>Mèo chong chóng</v>
      </c>
      <c r="F666" s="144" t="str">
        <f>VLOOKUP(D666,'Danh mục hàng hóa'!$C$3:$E$656,3,0)</f>
        <v>cái</v>
      </c>
      <c r="G666" s="321">
        <f t="shared" si="44"/>
        <v>43080</v>
      </c>
      <c r="H666" s="317"/>
      <c r="I666" s="313">
        <v>1</v>
      </c>
      <c r="J666" s="321"/>
      <c r="K666" s="168">
        <f t="shared" si="35"/>
        <v>43080</v>
      </c>
      <c r="L666" s="30"/>
      <c r="M666" s="67"/>
    </row>
    <row r="667" spans="1:13" ht="13.2">
      <c r="A667" s="75"/>
      <c r="B667" s="311" t="s">
        <v>337</v>
      </c>
      <c r="C667" s="319">
        <v>45353</v>
      </c>
      <c r="D667" s="28" t="s">
        <v>981</v>
      </c>
      <c r="E667" s="143" t="str">
        <f>VLOOKUP(D667,'Danh mục hàng hóa'!$C$3:$D$643,2,0)</f>
        <v>Móc khóa đôi corgy</v>
      </c>
      <c r="F667" s="144" t="str">
        <f>VLOOKUP(D667,'Danh mục hàng hóa'!$C$3:$E$656,3,0)</f>
        <v>cái</v>
      </c>
      <c r="G667" s="320">
        <v>41382</v>
      </c>
      <c r="H667" s="317"/>
      <c r="I667" s="313">
        <v>1</v>
      </c>
      <c r="J667" s="321"/>
      <c r="K667" s="168">
        <f t="shared" si="35"/>
        <v>41382</v>
      </c>
      <c r="L667" s="30"/>
      <c r="M667" s="67"/>
    </row>
    <row r="668" spans="1:13" ht="13.2">
      <c r="A668" s="75"/>
      <c r="B668" s="311" t="s">
        <v>337</v>
      </c>
      <c r="C668" s="319">
        <v>45353</v>
      </c>
      <c r="D668" s="28" t="s">
        <v>515</v>
      </c>
      <c r="E668" s="143" t="str">
        <f>VLOOKUP(D668,'Danh mục hàng hóa'!$C$3:$D$643,2,0)</f>
        <v>Trâm cài 17</v>
      </c>
      <c r="F668" s="144" t="str">
        <f>VLOOKUP(D668,'Danh mục hàng hóa'!$C$3:$E$656,3,0)</f>
        <v>cây</v>
      </c>
      <c r="G668" s="321">
        <f t="shared" ref="G668:G670" si="45">70824/3</f>
        <v>23608</v>
      </c>
      <c r="H668" s="317"/>
      <c r="I668" s="313">
        <v>1</v>
      </c>
      <c r="J668" s="321"/>
      <c r="K668" s="168">
        <f t="shared" si="35"/>
        <v>23608</v>
      </c>
      <c r="L668" s="30"/>
      <c r="M668" s="67"/>
    </row>
    <row r="669" spans="1:13" ht="13.2">
      <c r="A669" s="75"/>
      <c r="B669" s="311" t="s">
        <v>337</v>
      </c>
      <c r="C669" s="319">
        <v>45353</v>
      </c>
      <c r="D669" s="28" t="s">
        <v>521</v>
      </c>
      <c r="E669" s="143" t="str">
        <f>VLOOKUP(D669,'Danh mục hàng hóa'!$C$3:$D$643,2,0)</f>
        <v>Trâm cài 20</v>
      </c>
      <c r="F669" s="144" t="str">
        <f>VLOOKUP(D669,'Danh mục hàng hóa'!$C$3:$E$656,3,0)</f>
        <v>cây</v>
      </c>
      <c r="G669" s="321">
        <f t="shared" si="45"/>
        <v>23608</v>
      </c>
      <c r="H669" s="317"/>
      <c r="I669" s="313">
        <v>1</v>
      </c>
      <c r="J669" s="321"/>
      <c r="K669" s="168">
        <f t="shared" si="35"/>
        <v>23608</v>
      </c>
      <c r="L669" s="30"/>
      <c r="M669" s="67"/>
    </row>
    <row r="670" spans="1:13" ht="13.2">
      <c r="A670" s="75"/>
      <c r="B670" s="311" t="s">
        <v>337</v>
      </c>
      <c r="C670" s="319">
        <v>45353</v>
      </c>
      <c r="D670" s="28" t="s">
        <v>523</v>
      </c>
      <c r="E670" s="143" t="str">
        <f>VLOOKUP(D670,'Danh mục hàng hóa'!$C$3:$D$643,2,0)</f>
        <v>Trâm cài 21</v>
      </c>
      <c r="F670" s="144" t="str">
        <f>VLOOKUP(D670,'Danh mục hàng hóa'!$C$3:$E$656,3,0)</f>
        <v>cây</v>
      </c>
      <c r="G670" s="321">
        <f t="shared" si="45"/>
        <v>23608</v>
      </c>
      <c r="H670" s="317"/>
      <c r="I670" s="313">
        <v>1</v>
      </c>
      <c r="J670" s="321"/>
      <c r="K670" s="168">
        <f t="shared" si="35"/>
        <v>23608</v>
      </c>
      <c r="L670" s="30"/>
      <c r="M670" s="67"/>
    </row>
    <row r="671" spans="1:13" ht="13.2">
      <c r="A671" s="75"/>
      <c r="B671" s="311" t="s">
        <v>337</v>
      </c>
      <c r="C671" s="319">
        <v>45353</v>
      </c>
      <c r="D671" s="28" t="s">
        <v>981</v>
      </c>
      <c r="E671" s="143" t="str">
        <f>VLOOKUP(D671,'Danh mục hàng hóa'!$C$3:$D$643,2,0)</f>
        <v>Móc khóa đôi corgy</v>
      </c>
      <c r="F671" s="144" t="str">
        <f>VLOOKUP(D671,'Danh mục hàng hóa'!$C$3:$E$656,3,0)</f>
        <v>cái</v>
      </c>
      <c r="G671" s="320">
        <v>53180</v>
      </c>
      <c r="H671" s="317"/>
      <c r="I671" s="313">
        <v>1</v>
      </c>
      <c r="J671" s="321"/>
      <c r="K671" s="168">
        <f t="shared" si="35"/>
        <v>53180</v>
      </c>
      <c r="L671" s="30"/>
      <c r="M671" s="67"/>
    </row>
    <row r="672" spans="1:13" ht="13.2">
      <c r="A672" s="75"/>
      <c r="B672" s="311" t="s">
        <v>337</v>
      </c>
      <c r="C672" s="319">
        <v>45353</v>
      </c>
      <c r="D672" s="28" t="s">
        <v>983</v>
      </c>
      <c r="E672" s="143" t="str">
        <f>VLOOKUP(D672,'Danh mục hàng hóa'!$C$3:$D$643,2,0)</f>
        <v>Móc khoá đôi thỏ</v>
      </c>
      <c r="F672" s="144" t="str">
        <f>VLOOKUP(D672,'Danh mục hàng hóa'!$C$3:$E$656,3,0)</f>
        <v>cái</v>
      </c>
      <c r="G672" s="320">
        <v>46920</v>
      </c>
      <c r="H672" s="317"/>
      <c r="I672" s="313">
        <v>1</v>
      </c>
      <c r="J672" s="321"/>
      <c r="K672" s="168">
        <f t="shared" si="35"/>
        <v>46920</v>
      </c>
      <c r="L672" s="30"/>
      <c r="M672" s="67"/>
    </row>
    <row r="673" spans="1:13" ht="13.2">
      <c r="A673" s="75"/>
      <c r="B673" s="311" t="s">
        <v>337</v>
      </c>
      <c r="C673" s="319">
        <v>45353</v>
      </c>
      <c r="D673" s="28" t="s">
        <v>424</v>
      </c>
      <c r="E673" s="143" t="str">
        <f>VLOOKUP(D673,'Danh mục hàng hóa'!$C$3:$D$643,2,0)</f>
        <v>Túi chườm bụng vịt vàng 500ml</v>
      </c>
      <c r="F673" s="144" t="str">
        <f>VLOOKUP(D673,'Danh mục hàng hóa'!$C$3:$E$656,3,0)</f>
        <v>túi</v>
      </c>
      <c r="G673" s="320">
        <v>67260</v>
      </c>
      <c r="H673" s="317"/>
      <c r="I673" s="313">
        <v>1</v>
      </c>
      <c r="J673" s="321"/>
      <c r="K673" s="168">
        <f t="shared" si="35"/>
        <v>67260</v>
      </c>
      <c r="L673" s="30"/>
      <c r="M673" s="67"/>
    </row>
    <row r="674" spans="1:13" ht="13.2">
      <c r="A674" s="75"/>
      <c r="B674" s="311" t="s">
        <v>337</v>
      </c>
      <c r="C674" s="319">
        <v>45353</v>
      </c>
      <c r="D674" s="28" t="s">
        <v>981</v>
      </c>
      <c r="E674" s="143" t="str">
        <f>VLOOKUP(D674,'Danh mục hàng hóa'!$C$3:$D$643,2,0)</f>
        <v>Móc khóa đôi corgy</v>
      </c>
      <c r="F674" s="144" t="str">
        <f>VLOOKUP(D674,'Danh mục hàng hóa'!$C$3:$E$656,3,0)</f>
        <v>cái</v>
      </c>
      <c r="G674" s="321">
        <f t="shared" ref="G674:G675" si="46">83160/2</f>
        <v>41580</v>
      </c>
      <c r="H674" s="317"/>
      <c r="I674" s="313">
        <v>1</v>
      </c>
      <c r="J674" s="321"/>
      <c r="K674" s="168">
        <f t="shared" si="35"/>
        <v>41580</v>
      </c>
      <c r="L674" s="30"/>
      <c r="M674" s="67"/>
    </row>
    <row r="675" spans="1:13" ht="13.2">
      <c r="A675" s="75"/>
      <c r="B675" s="311" t="s">
        <v>337</v>
      </c>
      <c r="C675" s="319">
        <v>45353</v>
      </c>
      <c r="D675" s="28" t="s">
        <v>977</v>
      </c>
      <c r="E675" s="143" t="str">
        <f>VLOOKUP(D675,'Danh mục hàng hóa'!$C$3:$D$643,2,0)</f>
        <v>Móc khóa đôi heo</v>
      </c>
      <c r="F675" s="144" t="str">
        <f>VLOOKUP(D675,'Danh mục hàng hóa'!$C$3:$E$656,3,0)</f>
        <v>cái</v>
      </c>
      <c r="G675" s="321">
        <f t="shared" si="46"/>
        <v>41580</v>
      </c>
      <c r="H675" s="317"/>
      <c r="I675" s="313">
        <v>1</v>
      </c>
      <c r="J675" s="321"/>
      <c r="K675" s="168">
        <f t="shared" si="35"/>
        <v>41580</v>
      </c>
      <c r="L675" s="30"/>
      <c r="M675" s="67"/>
    </row>
    <row r="676" spans="1:13" ht="13.2">
      <c r="A676" s="75"/>
      <c r="B676" s="311" t="s">
        <v>337</v>
      </c>
      <c r="C676" s="319">
        <v>45353</v>
      </c>
      <c r="D676" s="28" t="s">
        <v>983</v>
      </c>
      <c r="E676" s="143" t="str">
        <f>VLOOKUP(D676,'Danh mục hàng hóa'!$C$3:$D$643,2,0)</f>
        <v>Móc khoá đôi thỏ</v>
      </c>
      <c r="F676" s="144" t="str">
        <f>VLOOKUP(D676,'Danh mục hàng hóa'!$C$3:$E$656,3,0)</f>
        <v>cái</v>
      </c>
      <c r="G676" s="320">
        <v>56000</v>
      </c>
      <c r="H676" s="317"/>
      <c r="I676" s="313">
        <v>1</v>
      </c>
      <c r="J676" s="321"/>
      <c r="K676" s="168">
        <f t="shared" si="35"/>
        <v>56000</v>
      </c>
      <c r="L676" s="30"/>
      <c r="M676" s="67"/>
    </row>
    <row r="677" spans="1:13" ht="13.2">
      <c r="A677" s="75"/>
      <c r="B677" s="311" t="s">
        <v>337</v>
      </c>
      <c r="C677" s="319">
        <v>45353</v>
      </c>
      <c r="D677" s="28" t="s">
        <v>864</v>
      </c>
      <c r="E677" s="143" t="str">
        <f>VLOOKUP(D677,'Danh mục hàng hóa'!$C$3:$D$643,2,0)</f>
        <v>Thước dây hồng đất</v>
      </c>
      <c r="F677" s="144" t="str">
        <f>VLOOKUP(D677,'Danh mục hàng hóa'!$C$3:$E$656,3,0)</f>
        <v>cái</v>
      </c>
      <c r="G677" s="320">
        <v>6000</v>
      </c>
      <c r="H677" s="317"/>
      <c r="I677" s="313">
        <v>1</v>
      </c>
      <c r="J677" s="321"/>
      <c r="K677" s="168">
        <f t="shared" si="35"/>
        <v>6000</v>
      </c>
      <c r="L677" s="30"/>
      <c r="M677" s="67"/>
    </row>
    <row r="678" spans="1:13" ht="13.2">
      <c r="A678" s="75"/>
      <c r="B678" s="311" t="s">
        <v>337</v>
      </c>
      <c r="C678" s="319">
        <v>45353</v>
      </c>
      <c r="D678" s="28" t="s">
        <v>584</v>
      </c>
      <c r="E678" s="143" t="str">
        <f>VLOOKUP(D678,'Danh mục hàng hóa'!$C$3:$D$643,2,0)</f>
        <v>Kẹp tóc nhựa nâu đậm</v>
      </c>
      <c r="F678" s="144" t="str">
        <f>VLOOKUP(D678,'Danh mục hàng hóa'!$C$3:$E$656,3,0)</f>
        <v>cái</v>
      </c>
      <c r="G678" s="320">
        <v>8000</v>
      </c>
      <c r="H678" s="317"/>
      <c r="I678" s="313">
        <v>1</v>
      </c>
      <c r="J678" s="321"/>
      <c r="K678" s="168">
        <f t="shared" si="35"/>
        <v>8000</v>
      </c>
      <c r="L678" s="30"/>
      <c r="M678" s="67"/>
    </row>
    <row r="679" spans="1:13" ht="13.2">
      <c r="A679" s="75"/>
      <c r="B679" s="311" t="s">
        <v>337</v>
      </c>
      <c r="C679" s="319">
        <v>45353</v>
      </c>
      <c r="D679" s="28" t="s">
        <v>1035</v>
      </c>
      <c r="E679" s="143" t="str">
        <f>VLOOKUP(D679,'Danh mục hàng hóa'!$C$3:$D$643,2,0)</f>
        <v>Vớ cổ ngắn trắng thêu họa tiết mẫu 1</v>
      </c>
      <c r="F679" s="144" t="str">
        <f>VLOOKUP(D679,'Danh mục hàng hóa'!$C$3:$E$656,3,0)</f>
        <v>đôi</v>
      </c>
      <c r="G679" s="320">
        <v>6000</v>
      </c>
      <c r="H679" s="317"/>
      <c r="I679" s="313">
        <v>1</v>
      </c>
      <c r="J679" s="321"/>
      <c r="K679" s="168">
        <f t="shared" si="35"/>
        <v>6000</v>
      </c>
      <c r="L679" s="30"/>
      <c r="M679" s="67"/>
    </row>
    <row r="680" spans="1:13" ht="13.2">
      <c r="A680" s="75"/>
      <c r="B680" s="311" t="s">
        <v>337</v>
      </c>
      <c r="C680" s="319">
        <v>45353</v>
      </c>
      <c r="D680" s="28" t="s">
        <v>1042</v>
      </c>
      <c r="E680" s="143" t="str">
        <f>VLOOKUP(D680,'Danh mục hàng hóa'!$C$3:$D$643,2,0)</f>
        <v>Vớ cổ ngắn trắng thêu họa tiết mẫu 4</v>
      </c>
      <c r="F680" s="144" t="str">
        <f>VLOOKUP(D680,'Danh mục hàng hóa'!$C$3:$E$656,3,0)</f>
        <v>đôi</v>
      </c>
      <c r="G680" s="320">
        <v>6000</v>
      </c>
      <c r="H680" s="317"/>
      <c r="I680" s="313">
        <v>1</v>
      </c>
      <c r="J680" s="321"/>
      <c r="K680" s="168">
        <f t="shared" si="35"/>
        <v>6000</v>
      </c>
      <c r="L680" s="30"/>
      <c r="M680" s="67"/>
    </row>
    <row r="681" spans="1:13" ht="13.2">
      <c r="A681" s="75"/>
      <c r="B681" s="311" t="s">
        <v>337</v>
      </c>
      <c r="C681" s="319">
        <v>45353</v>
      </c>
      <c r="D681" s="28" t="s">
        <v>1078</v>
      </c>
      <c r="E681" s="143" t="str">
        <f>VLOOKUP(D681,'Danh mục hàng hóa'!$C$3:$D$643,2,0)</f>
        <v>Vớ trắng icon be 3</v>
      </c>
      <c r="F681" s="144" t="str">
        <f>VLOOKUP(D681,'Danh mục hàng hóa'!$C$3:$E$656,3,0)</f>
        <v>đôi</v>
      </c>
      <c r="G681" s="320">
        <v>6000</v>
      </c>
      <c r="H681" s="317"/>
      <c r="I681" s="313">
        <v>1</v>
      </c>
      <c r="J681" s="321"/>
      <c r="K681" s="168">
        <f t="shared" si="35"/>
        <v>6000</v>
      </c>
      <c r="L681" s="30"/>
      <c r="M681" s="67"/>
    </row>
    <row r="682" spans="1:13" ht="13.2">
      <c r="A682" s="75"/>
      <c r="B682" s="311" t="s">
        <v>337</v>
      </c>
      <c r="C682" s="319">
        <v>45354</v>
      </c>
      <c r="D682" s="28" t="s">
        <v>983</v>
      </c>
      <c r="E682" s="143" t="str">
        <f>VLOOKUP(D682,'Danh mục hàng hóa'!$C$3:$D$643,2,0)</f>
        <v>Móc khoá đôi thỏ</v>
      </c>
      <c r="F682" s="144" t="str">
        <f>VLOOKUP(D682,'Danh mục hàng hóa'!$C$3:$E$656,3,0)</f>
        <v>cái</v>
      </c>
      <c r="G682" s="320">
        <v>43420</v>
      </c>
      <c r="H682" s="317"/>
      <c r="I682" s="313">
        <v>1</v>
      </c>
      <c r="J682" s="321"/>
      <c r="K682" s="168">
        <f t="shared" si="35"/>
        <v>43420</v>
      </c>
      <c r="L682" s="30"/>
      <c r="M682" s="67"/>
    </row>
    <row r="683" spans="1:13" ht="13.2">
      <c r="A683" s="75"/>
      <c r="B683" s="311" t="s">
        <v>337</v>
      </c>
      <c r="C683" s="319">
        <v>45354</v>
      </c>
      <c r="D683" s="28" t="s">
        <v>981</v>
      </c>
      <c r="E683" s="143" t="str">
        <f>VLOOKUP(D683,'Danh mục hàng hóa'!$C$3:$D$643,2,0)</f>
        <v>Móc khóa đôi corgy</v>
      </c>
      <c r="F683" s="144" t="str">
        <f>VLOOKUP(D683,'Danh mục hàng hóa'!$C$3:$E$656,3,0)</f>
        <v>cái</v>
      </c>
      <c r="G683" s="320">
        <v>45680</v>
      </c>
      <c r="H683" s="317"/>
      <c r="I683" s="313">
        <v>1</v>
      </c>
      <c r="J683" s="321"/>
      <c r="K683" s="168">
        <f t="shared" si="35"/>
        <v>45680</v>
      </c>
      <c r="L683" s="30"/>
      <c r="M683" s="67"/>
    </row>
    <row r="684" spans="1:13" ht="13.2">
      <c r="A684" s="75"/>
      <c r="B684" s="311" t="s">
        <v>337</v>
      </c>
      <c r="C684" s="319">
        <v>45354</v>
      </c>
      <c r="D684" s="28" t="s">
        <v>981</v>
      </c>
      <c r="E684" s="143" t="str">
        <f>VLOOKUP(D684,'Danh mục hàng hóa'!$C$3:$D$643,2,0)</f>
        <v>Móc khóa đôi corgy</v>
      </c>
      <c r="F684" s="144" t="str">
        <f>VLOOKUP(D684,'Danh mục hàng hóa'!$C$3:$E$656,3,0)</f>
        <v>cái</v>
      </c>
      <c r="G684" s="320">
        <v>40862</v>
      </c>
      <c r="H684" s="317"/>
      <c r="I684" s="313">
        <v>1</v>
      </c>
      <c r="J684" s="321"/>
      <c r="K684" s="168">
        <f t="shared" si="35"/>
        <v>40862</v>
      </c>
      <c r="L684" s="30"/>
      <c r="M684" s="67"/>
    </row>
    <row r="685" spans="1:13" ht="13.2">
      <c r="A685" s="75"/>
      <c r="B685" s="311" t="s">
        <v>337</v>
      </c>
      <c r="C685" s="319">
        <v>45354</v>
      </c>
      <c r="D685" s="28" t="s">
        <v>887</v>
      </c>
      <c r="E685" s="143" t="str">
        <f>VLOOKUP(D685,'Danh mục hàng hóa'!$C$3:$D$643,2,0)</f>
        <v>Mèo chong chóng</v>
      </c>
      <c r="F685" s="144" t="str">
        <f>VLOOKUP(D685,'Danh mục hàng hóa'!$C$3:$E$656,3,0)</f>
        <v>cái</v>
      </c>
      <c r="G685" s="320">
        <v>43726</v>
      </c>
      <c r="H685" s="317"/>
      <c r="I685" s="313">
        <v>1</v>
      </c>
      <c r="J685" s="321"/>
      <c r="K685" s="168">
        <f t="shared" si="35"/>
        <v>43726</v>
      </c>
      <c r="L685" s="30"/>
      <c r="M685" s="67"/>
    </row>
    <row r="686" spans="1:13" ht="13.2">
      <c r="A686" s="75"/>
      <c r="B686" s="311" t="s">
        <v>337</v>
      </c>
      <c r="C686" s="319">
        <v>45354</v>
      </c>
      <c r="D686" s="28" t="s">
        <v>885</v>
      </c>
      <c r="E686" s="143" t="str">
        <f>VLOOKUP(D686,'Danh mục hàng hóa'!$C$3:$D$643,2,0)</f>
        <v>Gấu chong chóng</v>
      </c>
      <c r="F686" s="144" t="str">
        <f>VLOOKUP(D686,'Danh mục hàng hóa'!$C$3:$E$656,3,0)</f>
        <v>cái</v>
      </c>
      <c r="G686" s="320">
        <v>44000</v>
      </c>
      <c r="H686" s="317"/>
      <c r="I686" s="313">
        <v>1</v>
      </c>
      <c r="J686" s="321"/>
      <c r="K686" s="168">
        <f t="shared" si="35"/>
        <v>44000</v>
      </c>
      <c r="L686" s="30"/>
      <c r="M686" s="67"/>
    </row>
    <row r="687" spans="1:13" ht="13.2">
      <c r="A687" s="75"/>
      <c r="B687" s="311" t="s">
        <v>337</v>
      </c>
      <c r="C687" s="319">
        <v>45354</v>
      </c>
      <c r="D687" s="28" t="s">
        <v>2150</v>
      </c>
      <c r="E687" s="143" t="str">
        <f>VLOOKUP(D687,'Danh mục hàng hóa'!$C$3:$D$643,2,0)</f>
        <v>Thỏ chạy xe gắn xe</v>
      </c>
      <c r="F687" s="144" t="str">
        <f>VLOOKUP(D687,'Danh mục hàng hóa'!$C$3:$E$656,3,0)</f>
        <v>cái</v>
      </c>
      <c r="G687" s="320">
        <v>37000</v>
      </c>
      <c r="H687" s="317"/>
      <c r="I687" s="313">
        <v>1</v>
      </c>
      <c r="J687" s="321"/>
      <c r="K687" s="168">
        <f t="shared" si="35"/>
        <v>37000</v>
      </c>
      <c r="L687" s="30"/>
      <c r="M687" s="67"/>
    </row>
    <row r="688" spans="1:13" ht="13.2">
      <c r="A688" s="75"/>
      <c r="B688" s="311" t="s">
        <v>337</v>
      </c>
      <c r="C688" s="319">
        <v>45354</v>
      </c>
      <c r="D688" s="28" t="s">
        <v>917</v>
      </c>
      <c r="E688" s="143" t="str">
        <f>VLOOKUP(D688,'Danh mục hàng hóa'!$C$3:$D$643,2,0)</f>
        <v>Thỏ đi vịt gắn xe</v>
      </c>
      <c r="F688" s="144" t="str">
        <f>VLOOKUP(D688,'Danh mục hàng hóa'!$C$3:$E$656,3,0)</f>
        <v>cái</v>
      </c>
      <c r="G688" s="320">
        <v>37000</v>
      </c>
      <c r="H688" s="317"/>
      <c r="I688" s="313">
        <v>1</v>
      </c>
      <c r="J688" s="321"/>
      <c r="K688" s="168">
        <f t="shared" si="35"/>
        <v>37000</v>
      </c>
      <c r="L688" s="30"/>
      <c r="M688" s="67"/>
    </row>
    <row r="689" spans="1:13" ht="13.2">
      <c r="A689" s="75"/>
      <c r="B689" s="311" t="s">
        <v>337</v>
      </c>
      <c r="C689" s="319">
        <v>45354</v>
      </c>
      <c r="D689" s="28" t="s">
        <v>697</v>
      </c>
      <c r="E689" s="143" t="str">
        <f>VLOOKUP(D689,'Danh mục hàng hóa'!$C$3:$D$643,2,0)</f>
        <v>Buộc tóc lụa hoa be</v>
      </c>
      <c r="F689" s="144" t="str">
        <f>VLOOKUP(D689,'Danh mục hàng hóa'!$C$3:$E$656,3,0)</f>
        <v>cái</v>
      </c>
      <c r="G689" s="320">
        <v>12000</v>
      </c>
      <c r="H689" s="317"/>
      <c r="I689" s="313">
        <v>1</v>
      </c>
      <c r="J689" s="321"/>
      <c r="K689" s="168">
        <f t="shared" si="35"/>
        <v>12000</v>
      </c>
      <c r="L689" s="30"/>
      <c r="M689" s="67"/>
    </row>
    <row r="690" spans="1:13" ht="13.2">
      <c r="A690" s="75"/>
      <c r="B690" s="311" t="s">
        <v>337</v>
      </c>
      <c r="C690" s="319">
        <v>45354</v>
      </c>
      <c r="D690" s="28" t="s">
        <v>576</v>
      </c>
      <c r="E690" s="143" t="str">
        <f>VLOOKUP(D690,'Danh mục hàng hóa'!$C$3:$D$643,2,0)</f>
        <v>Ống 6 dây cột tóc đen</v>
      </c>
      <c r="F690" s="144" t="str">
        <f>VLOOKUP(D690,'Danh mục hàng hóa'!$C$3:$E$656,3,0)</f>
        <v>ống</v>
      </c>
      <c r="G690" s="320">
        <v>12000</v>
      </c>
      <c r="H690" s="317"/>
      <c r="I690" s="313">
        <v>1</v>
      </c>
      <c r="J690" s="321"/>
      <c r="K690" s="168">
        <f t="shared" si="35"/>
        <v>12000</v>
      </c>
      <c r="L690" s="30"/>
      <c r="M690" s="67"/>
    </row>
    <row r="691" spans="1:13" ht="13.2">
      <c r="A691" s="75"/>
      <c r="B691" s="311" t="s">
        <v>337</v>
      </c>
      <c r="C691" s="319">
        <v>45354</v>
      </c>
      <c r="D691" s="28" t="s">
        <v>568</v>
      </c>
      <c r="E691" s="143" t="str">
        <f>VLOOKUP(D691,'Danh mục hàng hóa'!$C$3:$D$643,2,0)</f>
        <v>Ống 100 dây cột tóc đen</v>
      </c>
      <c r="F691" s="144" t="str">
        <f>VLOOKUP(D691,'Danh mục hàng hóa'!$C$3:$E$656,3,0)</f>
        <v>ống</v>
      </c>
      <c r="G691" s="320">
        <v>12000</v>
      </c>
      <c r="H691" s="317"/>
      <c r="I691" s="313">
        <v>1</v>
      </c>
      <c r="J691" s="321"/>
      <c r="K691" s="168">
        <f t="shared" si="35"/>
        <v>12000</v>
      </c>
      <c r="L691" s="30"/>
      <c r="M691" s="67"/>
    </row>
    <row r="692" spans="1:13" ht="13.2">
      <c r="A692" s="75"/>
      <c r="B692" s="311" t="s">
        <v>337</v>
      </c>
      <c r="C692" s="319">
        <v>45354</v>
      </c>
      <c r="D692" s="28" t="s">
        <v>983</v>
      </c>
      <c r="E692" s="143" t="str">
        <f>VLOOKUP(D692,'Danh mục hàng hóa'!$C$3:$D$643,2,0)</f>
        <v>Móc khoá đôi thỏ</v>
      </c>
      <c r="F692" s="144" t="str">
        <f>VLOOKUP(D692,'Danh mục hàng hóa'!$C$3:$E$656,3,0)</f>
        <v>cái</v>
      </c>
      <c r="G692" s="320">
        <v>42860</v>
      </c>
      <c r="H692" s="317"/>
      <c r="I692" s="313">
        <v>1</v>
      </c>
      <c r="J692" s="321"/>
      <c r="K692" s="168">
        <f t="shared" si="35"/>
        <v>42860</v>
      </c>
      <c r="L692" s="30"/>
      <c r="M692" s="67"/>
    </row>
    <row r="693" spans="1:13" ht="13.2">
      <c r="A693" s="75"/>
      <c r="B693" s="311" t="s">
        <v>337</v>
      </c>
      <c r="C693" s="319">
        <v>45354</v>
      </c>
      <c r="D693" s="28" t="s">
        <v>499</v>
      </c>
      <c r="E693" s="143" t="str">
        <f>VLOOKUP(D693,'Danh mục hàng hóa'!$C$3:$D$643,2,0)</f>
        <v>Trâm cài 09</v>
      </c>
      <c r="F693" s="144" t="str">
        <f>VLOOKUP(D693,'Danh mục hàng hóa'!$C$3:$E$656,3,0)</f>
        <v>cây</v>
      </c>
      <c r="G693" s="320">
        <v>30000</v>
      </c>
      <c r="H693" s="317"/>
      <c r="I693" s="313">
        <v>1</v>
      </c>
      <c r="J693" s="321"/>
      <c r="K693" s="168">
        <f t="shared" si="35"/>
        <v>30000</v>
      </c>
      <c r="L693" s="30"/>
      <c r="M693" s="67"/>
    </row>
    <row r="694" spans="1:13" ht="13.2">
      <c r="A694" s="75"/>
      <c r="B694" s="311" t="s">
        <v>337</v>
      </c>
      <c r="C694" s="319">
        <v>45354</v>
      </c>
      <c r="D694" s="28" t="s">
        <v>505</v>
      </c>
      <c r="E694" s="143" t="str">
        <f>VLOOKUP(D694,'Danh mục hàng hóa'!$C$3:$D$643,2,0)</f>
        <v>Trâm cài 12</v>
      </c>
      <c r="F694" s="144" t="str">
        <f>VLOOKUP(D694,'Danh mục hàng hóa'!$C$3:$E$656,3,0)</f>
        <v>cây</v>
      </c>
      <c r="G694" s="320">
        <v>25440</v>
      </c>
      <c r="H694" s="317"/>
      <c r="I694" s="313">
        <v>1</v>
      </c>
      <c r="J694" s="321"/>
      <c r="K694" s="168">
        <f t="shared" si="35"/>
        <v>25440</v>
      </c>
      <c r="L694" s="30"/>
      <c r="M694" s="67"/>
    </row>
    <row r="695" spans="1:13" ht="13.2">
      <c r="A695" s="75"/>
      <c r="B695" s="311" t="s">
        <v>337</v>
      </c>
      <c r="C695" s="319">
        <v>45354</v>
      </c>
      <c r="D695" s="28" t="s">
        <v>497</v>
      </c>
      <c r="E695" s="143" t="str">
        <f>VLOOKUP(D695,'Danh mục hàng hóa'!$C$3:$D$643,2,0)</f>
        <v>Trâm cài 08</v>
      </c>
      <c r="F695" s="144" t="str">
        <f>VLOOKUP(D695,'Danh mục hàng hóa'!$C$3:$E$656,3,0)</f>
        <v>cây</v>
      </c>
      <c r="G695" s="320">
        <v>50000</v>
      </c>
      <c r="H695" s="317"/>
      <c r="I695" s="313">
        <v>1</v>
      </c>
      <c r="J695" s="321"/>
      <c r="K695" s="168">
        <f t="shared" si="35"/>
        <v>50000</v>
      </c>
      <c r="L695" s="30"/>
      <c r="M695" s="67"/>
    </row>
    <row r="696" spans="1:13" ht="13.2">
      <c r="A696" s="75"/>
      <c r="B696" s="311" t="s">
        <v>337</v>
      </c>
      <c r="C696" s="319">
        <v>45354</v>
      </c>
      <c r="D696" s="28" t="s">
        <v>517</v>
      </c>
      <c r="E696" s="143" t="str">
        <f>VLOOKUP(D696,'Danh mục hàng hóa'!$C$3:$D$643,2,0)</f>
        <v>Trâm cài 18</v>
      </c>
      <c r="F696" s="144" t="str">
        <f>VLOOKUP(D696,'Danh mục hàng hóa'!$C$3:$E$656,3,0)</f>
        <v>cây</v>
      </c>
      <c r="G696" s="320">
        <v>28000</v>
      </c>
      <c r="H696" s="317"/>
      <c r="I696" s="313">
        <v>1</v>
      </c>
      <c r="J696" s="321"/>
      <c r="K696" s="168">
        <f t="shared" si="35"/>
        <v>28000</v>
      </c>
      <c r="L696" s="30"/>
      <c r="M696" s="67"/>
    </row>
    <row r="697" spans="1:13" ht="13.2">
      <c r="A697" s="75"/>
      <c r="B697" s="311" t="s">
        <v>337</v>
      </c>
      <c r="C697" s="319">
        <v>45354</v>
      </c>
      <c r="D697" s="28" t="s">
        <v>515</v>
      </c>
      <c r="E697" s="143" t="str">
        <f>VLOOKUP(D697,'Danh mục hàng hóa'!$C$3:$D$643,2,0)</f>
        <v>Trâm cài 17</v>
      </c>
      <c r="F697" s="144" t="str">
        <f>VLOOKUP(D697,'Danh mục hàng hóa'!$C$3:$E$656,3,0)</f>
        <v>cây</v>
      </c>
      <c r="G697" s="321">
        <f>93984-G696-G695</f>
        <v>15984</v>
      </c>
      <c r="H697" s="317"/>
      <c r="I697" s="313">
        <v>1</v>
      </c>
      <c r="J697" s="321"/>
      <c r="K697" s="168">
        <f t="shared" si="35"/>
        <v>15984</v>
      </c>
      <c r="L697" s="30"/>
      <c r="M697" s="67"/>
    </row>
    <row r="698" spans="1:13" ht="13.2">
      <c r="A698" s="75"/>
      <c r="B698" s="311" t="s">
        <v>337</v>
      </c>
      <c r="C698" s="319">
        <v>45355</v>
      </c>
      <c r="D698" s="28" t="s">
        <v>413</v>
      </c>
      <c r="E698" s="143" t="str">
        <f>VLOOKUP(D698,'Danh mục hàng hóa'!$C$3:$D$643,2,0)</f>
        <v>Túi chườm bụng trái bơ 500ml</v>
      </c>
      <c r="F698" s="144" t="str">
        <f>VLOOKUP(D698,'Danh mục hàng hóa'!$C$3:$E$656,3,0)</f>
        <v>túi</v>
      </c>
      <c r="G698" s="320">
        <v>60000</v>
      </c>
      <c r="H698" s="317"/>
      <c r="I698" s="313">
        <v>1</v>
      </c>
      <c r="J698" s="321"/>
      <c r="K698" s="168">
        <f t="shared" si="35"/>
        <v>60000</v>
      </c>
      <c r="L698" s="30"/>
      <c r="M698" s="67"/>
    </row>
    <row r="699" spans="1:13" ht="13.2">
      <c r="A699" s="75"/>
      <c r="B699" s="311" t="s">
        <v>337</v>
      </c>
      <c r="C699" s="319">
        <v>45355</v>
      </c>
      <c r="D699" s="28" t="s">
        <v>979</v>
      </c>
      <c r="E699" s="143" t="str">
        <f>VLOOKUP(D699,'Danh mục hàng hóa'!$C$3:$D$643,2,0)</f>
        <v>Móc khóa đôi thỏ cà rốt</v>
      </c>
      <c r="F699" s="144" t="str">
        <f>VLOOKUP(D699,'Danh mục hàng hóa'!$C$3:$E$656,3,0)</f>
        <v>cái</v>
      </c>
      <c r="G699" s="320">
        <v>35000</v>
      </c>
      <c r="H699" s="317"/>
      <c r="I699" s="313">
        <v>1</v>
      </c>
      <c r="J699" s="321"/>
      <c r="K699" s="168">
        <f t="shared" si="35"/>
        <v>35000</v>
      </c>
      <c r="L699" s="30"/>
      <c r="M699" s="67"/>
    </row>
    <row r="700" spans="1:13" ht="13.2">
      <c r="A700" s="75"/>
      <c r="B700" s="311" t="s">
        <v>337</v>
      </c>
      <c r="C700" s="319">
        <v>45355</v>
      </c>
      <c r="D700" s="28" t="s">
        <v>2151</v>
      </c>
      <c r="E700" s="143" t="str">
        <f>VLOOKUP(D700,'Danh mục hàng hóa'!$C$3:$D$643,2,0)</f>
        <v>Buộc tóc hồng lông nhỏ</v>
      </c>
      <c r="F700" s="144" t="str">
        <f>VLOOKUP(D700,'Danh mục hàng hóa'!$C$3:$E$656,3,0)</f>
        <v>cái</v>
      </c>
      <c r="G700" s="320">
        <v>10000</v>
      </c>
      <c r="H700" s="317"/>
      <c r="I700" s="313">
        <v>1</v>
      </c>
      <c r="J700" s="321"/>
      <c r="K700" s="168">
        <f t="shared" si="35"/>
        <v>10000</v>
      </c>
      <c r="L700" s="30"/>
      <c r="M700" s="67"/>
    </row>
    <row r="701" spans="1:13" ht="13.2">
      <c r="A701" s="75"/>
      <c r="B701" s="311" t="s">
        <v>337</v>
      </c>
      <c r="C701" s="319">
        <v>45355</v>
      </c>
      <c r="D701" s="28" t="s">
        <v>713</v>
      </c>
      <c r="E701" s="143" t="str">
        <f>VLOOKUP(D701,'Danh mục hàng hóa'!$C$3:$D$643,2,0)</f>
        <v>Buộc tóc scrunchies hồng cam</v>
      </c>
      <c r="F701" s="144" t="str">
        <f>VLOOKUP(D701,'Danh mục hàng hóa'!$C$3:$E$656,3,0)</f>
        <v>cái</v>
      </c>
      <c r="G701" s="320">
        <v>12000</v>
      </c>
      <c r="H701" s="317"/>
      <c r="I701" s="313">
        <v>1</v>
      </c>
      <c r="J701" s="321"/>
      <c r="K701" s="168">
        <f t="shared" si="35"/>
        <v>12000</v>
      </c>
      <c r="L701" s="30"/>
      <c r="M701" s="67"/>
    </row>
    <row r="702" spans="1:13" ht="13.2">
      <c r="A702" s="75"/>
      <c r="B702" s="311" t="s">
        <v>337</v>
      </c>
      <c r="C702" s="319">
        <v>45355</v>
      </c>
      <c r="D702" s="28" t="s">
        <v>887</v>
      </c>
      <c r="E702" s="143" t="str">
        <f>VLOOKUP(D702,'Danh mục hàng hóa'!$C$3:$D$643,2,0)</f>
        <v>Mèo chong chóng</v>
      </c>
      <c r="F702" s="144" t="str">
        <f>VLOOKUP(D702,'Danh mục hàng hóa'!$C$3:$E$656,3,0)</f>
        <v>cái</v>
      </c>
      <c r="G702" s="320">
        <v>34080</v>
      </c>
      <c r="H702" s="317"/>
      <c r="I702" s="313">
        <v>1</v>
      </c>
      <c r="J702" s="321"/>
      <c r="K702" s="168">
        <f t="shared" si="35"/>
        <v>34080</v>
      </c>
      <c r="L702" s="30"/>
      <c r="M702" s="67"/>
    </row>
    <row r="703" spans="1:13" ht="13.2">
      <c r="A703" s="75"/>
      <c r="B703" s="311" t="s">
        <v>337</v>
      </c>
      <c r="C703" s="319">
        <v>45355</v>
      </c>
      <c r="D703" s="28" t="s">
        <v>913</v>
      </c>
      <c r="E703" s="143" t="str">
        <f>VLOOKUP(D703,'Danh mục hàng hóa'!$C$3:$D$643,2,0)</f>
        <v>Thỏ máy bay gắn xe</v>
      </c>
      <c r="F703" s="144" t="str">
        <f>VLOOKUP(D703,'Danh mục hàng hóa'!$C$3:$E$656,3,0)</f>
        <v>cái</v>
      </c>
      <c r="G703" s="320">
        <v>35000</v>
      </c>
      <c r="H703" s="317"/>
      <c r="I703" s="313">
        <v>1</v>
      </c>
      <c r="J703" s="321"/>
      <c r="K703" s="168">
        <f t="shared" si="35"/>
        <v>35000</v>
      </c>
      <c r="L703" s="30"/>
      <c r="M703" s="67"/>
    </row>
    <row r="704" spans="1:13" ht="13.2">
      <c r="A704" s="75"/>
      <c r="B704" s="311" t="s">
        <v>337</v>
      </c>
      <c r="C704" s="319">
        <v>45355</v>
      </c>
      <c r="D704" s="28" t="s">
        <v>913</v>
      </c>
      <c r="E704" s="143" t="str">
        <f>VLOOKUP(D704,'Danh mục hàng hóa'!$C$3:$D$643,2,0)</f>
        <v>Thỏ máy bay gắn xe</v>
      </c>
      <c r="F704" s="144" t="str">
        <f>VLOOKUP(D704,'Danh mục hàng hóa'!$C$3:$E$656,3,0)</f>
        <v>cái</v>
      </c>
      <c r="G704" s="320">
        <v>32882</v>
      </c>
      <c r="H704" s="317"/>
      <c r="I704" s="313">
        <v>1</v>
      </c>
      <c r="J704" s="321"/>
      <c r="K704" s="168">
        <f t="shared" si="35"/>
        <v>32882</v>
      </c>
      <c r="L704" s="30"/>
      <c r="M704" s="67"/>
    </row>
    <row r="705" spans="1:13" ht="13.2">
      <c r="A705" s="75"/>
      <c r="B705" s="311" t="s">
        <v>337</v>
      </c>
      <c r="C705" s="319">
        <v>45355</v>
      </c>
      <c r="D705" s="28" t="s">
        <v>915</v>
      </c>
      <c r="E705" s="143" t="str">
        <f>VLOOKUP(D705,'Danh mục hàng hóa'!$C$3:$D$643,2,0)</f>
        <v>Thỏ chạy xe gắn xe</v>
      </c>
      <c r="F705" s="144" t="str">
        <f>VLOOKUP(D705,'Danh mục hàng hóa'!$C$3:$E$656,3,0)</f>
        <v>cái</v>
      </c>
      <c r="G705" s="320">
        <v>33022</v>
      </c>
      <c r="H705" s="317"/>
      <c r="I705" s="313">
        <v>1</v>
      </c>
      <c r="J705" s="321"/>
      <c r="K705" s="168">
        <f t="shared" si="35"/>
        <v>33022</v>
      </c>
      <c r="L705" s="30"/>
      <c r="M705" s="67"/>
    </row>
    <row r="706" spans="1:13" ht="13.2">
      <c r="A706" s="75"/>
      <c r="B706" s="311" t="s">
        <v>337</v>
      </c>
      <c r="C706" s="319">
        <v>45355</v>
      </c>
      <c r="D706" s="28" t="s">
        <v>981</v>
      </c>
      <c r="E706" s="143" t="str">
        <f>VLOOKUP(D706,'Danh mục hàng hóa'!$C$3:$D$643,2,0)</f>
        <v>Móc khóa đôi corgy</v>
      </c>
      <c r="F706" s="144" t="str">
        <f>VLOOKUP(D706,'Danh mục hàng hóa'!$C$3:$E$656,3,0)</f>
        <v>cái</v>
      </c>
      <c r="G706" s="320">
        <v>45980</v>
      </c>
      <c r="H706" s="317"/>
      <c r="I706" s="313">
        <v>1</v>
      </c>
      <c r="J706" s="321"/>
      <c r="K706" s="168">
        <f t="shared" si="35"/>
        <v>45980</v>
      </c>
      <c r="L706" s="30"/>
      <c r="M706" s="67"/>
    </row>
    <row r="707" spans="1:13" ht="13.2">
      <c r="A707" s="75"/>
      <c r="B707" s="311" t="s">
        <v>337</v>
      </c>
      <c r="C707" s="319">
        <v>45355</v>
      </c>
      <c r="D707" s="28" t="s">
        <v>915</v>
      </c>
      <c r="E707" s="143" t="str">
        <f>VLOOKUP(D707,'Danh mục hàng hóa'!$C$3:$D$643,2,0)</f>
        <v>Thỏ chạy xe gắn xe</v>
      </c>
      <c r="F707" s="144" t="str">
        <f>VLOOKUP(D707,'Danh mục hàng hóa'!$C$3:$E$656,3,0)</f>
        <v>cái</v>
      </c>
      <c r="G707" s="320">
        <v>35000</v>
      </c>
      <c r="H707" s="317"/>
      <c r="I707" s="313">
        <v>1</v>
      </c>
      <c r="J707" s="321"/>
      <c r="K707" s="168">
        <f t="shared" si="35"/>
        <v>35000</v>
      </c>
      <c r="L707" s="30"/>
      <c r="M707" s="67"/>
    </row>
    <row r="708" spans="1:13" ht="13.2">
      <c r="A708" s="75"/>
      <c r="B708" s="311" t="s">
        <v>337</v>
      </c>
      <c r="C708" s="319">
        <v>45355</v>
      </c>
      <c r="D708" s="28" t="s">
        <v>846</v>
      </c>
      <c r="E708" s="143" t="str">
        <f>VLOOKUP(D708,'Danh mục hàng hóa'!$C$3:$D$643,2,0)</f>
        <v>Hộp thuốc ngôi sao xanh</v>
      </c>
      <c r="F708" s="144" t="str">
        <f>VLOOKUP(D708,'Danh mục hàng hóa'!$C$3:$E$656,3,0)</f>
        <v>hộp</v>
      </c>
      <c r="G708" s="320">
        <v>4462</v>
      </c>
      <c r="H708" s="317"/>
      <c r="I708" s="313">
        <v>1</v>
      </c>
      <c r="J708" s="321"/>
      <c r="K708" s="168">
        <f t="shared" si="35"/>
        <v>4462</v>
      </c>
      <c r="L708" s="30"/>
      <c r="M708" s="67"/>
    </row>
    <row r="709" spans="1:13" ht="13.2">
      <c r="A709" s="75"/>
      <c r="B709" s="311" t="s">
        <v>337</v>
      </c>
      <c r="C709" s="322">
        <v>45356</v>
      </c>
      <c r="D709" s="16" t="s">
        <v>891</v>
      </c>
      <c r="E709" s="143" t="str">
        <f>VLOOKUP(D709,'Danh mục hàng hóa'!$C$3:$D$643,2,0)</f>
        <v>Heo ú</v>
      </c>
      <c r="F709" s="144" t="str">
        <f>VLOOKUP(D709,'Danh mục hàng hóa'!$C$3:$E$656,3,0)</f>
        <v>cái</v>
      </c>
      <c r="G709" s="320">
        <v>43912</v>
      </c>
      <c r="H709" s="317"/>
      <c r="I709" s="313">
        <v>1</v>
      </c>
      <c r="J709" s="321"/>
      <c r="K709" s="168">
        <f t="shared" si="35"/>
        <v>43912</v>
      </c>
      <c r="L709" s="30"/>
      <c r="M709" s="67"/>
    </row>
    <row r="710" spans="1:13" ht="13.2">
      <c r="A710" s="75"/>
      <c r="B710" s="311" t="s">
        <v>337</v>
      </c>
      <c r="C710" s="322">
        <v>45356</v>
      </c>
      <c r="D710" s="28" t="s">
        <v>564</v>
      </c>
      <c r="E710" s="143" t="str">
        <f>VLOOKUP(D710,'Danh mục hàng hóa'!$C$3:$D$643,2,0)</f>
        <v>Ống 8 dây cột tóc đen xoắn</v>
      </c>
      <c r="F710" s="144" t="str">
        <f>VLOOKUP(D710,'Danh mục hàng hóa'!$C$3:$E$656,3,0)</f>
        <v>ống</v>
      </c>
      <c r="G710" s="321">
        <f t="shared" ref="G710:G712" si="47">61540/3</f>
        <v>20513.333333333332</v>
      </c>
      <c r="H710" s="317"/>
      <c r="I710" s="313">
        <v>1</v>
      </c>
      <c r="J710" s="321"/>
      <c r="K710" s="168">
        <f t="shared" si="35"/>
        <v>20513.333333333332</v>
      </c>
      <c r="L710" s="30"/>
      <c r="M710" s="67"/>
    </row>
    <row r="711" spans="1:13" ht="13.2">
      <c r="A711" s="75"/>
      <c r="B711" s="311" t="s">
        <v>337</v>
      </c>
      <c r="C711" s="322">
        <v>45356</v>
      </c>
      <c r="D711" s="28" t="s">
        <v>580</v>
      </c>
      <c r="E711" s="143" t="str">
        <f>VLOOKUP(D711,'Danh mục hàng hóa'!$C$3:$D$643,2,0)</f>
        <v>Ống 6 dây cột tóc be nâu</v>
      </c>
      <c r="F711" s="144" t="str">
        <f>VLOOKUP(D711,'Danh mục hàng hóa'!$C$3:$E$656,3,0)</f>
        <v>ống</v>
      </c>
      <c r="G711" s="321">
        <f t="shared" si="47"/>
        <v>20513.333333333332</v>
      </c>
      <c r="H711" s="317"/>
      <c r="I711" s="313">
        <v>1</v>
      </c>
      <c r="J711" s="321"/>
      <c r="K711" s="168">
        <f t="shared" si="35"/>
        <v>20513.333333333332</v>
      </c>
      <c r="L711" s="30"/>
      <c r="M711" s="67"/>
    </row>
    <row r="712" spans="1:13" ht="13.2">
      <c r="A712" s="75"/>
      <c r="B712" s="311" t="s">
        <v>337</v>
      </c>
      <c r="C712" s="322">
        <v>45356</v>
      </c>
      <c r="D712" s="28" t="s">
        <v>578</v>
      </c>
      <c r="E712" s="143" t="str">
        <f>VLOOKUP(D712,'Danh mục hàng hóa'!$C$3:$D$643,2,0)</f>
        <v>Ống 6 dâu cột tóc nâu</v>
      </c>
      <c r="F712" s="144" t="str">
        <f>VLOOKUP(D712,'Danh mục hàng hóa'!$C$3:$E$656,3,0)</f>
        <v>ống</v>
      </c>
      <c r="G712" s="321">
        <f t="shared" si="47"/>
        <v>20513.333333333332</v>
      </c>
      <c r="H712" s="317"/>
      <c r="I712" s="313">
        <v>1</v>
      </c>
      <c r="J712" s="321"/>
      <c r="K712" s="168">
        <f t="shared" si="35"/>
        <v>20513.333333333332</v>
      </c>
      <c r="L712" s="30"/>
      <c r="M712" s="67"/>
    </row>
    <row r="713" spans="1:13" ht="13.2">
      <c r="A713" s="75"/>
      <c r="B713" s="311" t="s">
        <v>337</v>
      </c>
      <c r="C713" s="322">
        <v>45356</v>
      </c>
      <c r="D713" s="16" t="s">
        <v>915</v>
      </c>
      <c r="E713" s="143" t="str">
        <f>VLOOKUP(D713,'Danh mục hàng hóa'!$C$3:$D$643,2,0)</f>
        <v>Thỏ chạy xe gắn xe</v>
      </c>
      <c r="F713" s="144" t="str">
        <f>VLOOKUP(D713,'Danh mục hàng hóa'!$C$3:$E$656,3,0)</f>
        <v>cái</v>
      </c>
      <c r="G713" s="321">
        <f t="shared" ref="G713:G714" si="48">65984/2</f>
        <v>32992</v>
      </c>
      <c r="H713" s="317"/>
      <c r="I713" s="313">
        <v>1</v>
      </c>
      <c r="J713" s="321"/>
      <c r="K713" s="168">
        <f t="shared" si="35"/>
        <v>32992</v>
      </c>
      <c r="L713" s="30"/>
      <c r="M713" s="67"/>
    </row>
    <row r="714" spans="1:13" ht="13.2">
      <c r="A714" s="75"/>
      <c r="B714" s="311" t="s">
        <v>337</v>
      </c>
      <c r="C714" s="322">
        <v>45356</v>
      </c>
      <c r="D714" s="16" t="s">
        <v>907</v>
      </c>
      <c r="E714" s="143" t="str">
        <f>VLOOKUP(D714,'Danh mục hàng hóa'!$C$3:$D$643,2,0)</f>
        <v>Cáo gắn xe</v>
      </c>
      <c r="F714" s="144" t="str">
        <f>VLOOKUP(D714,'Danh mục hàng hóa'!$C$3:$E$656,3,0)</f>
        <v>cái</v>
      </c>
      <c r="G714" s="321">
        <f t="shared" si="48"/>
        <v>32992</v>
      </c>
      <c r="H714" s="317"/>
      <c r="I714" s="313">
        <v>1</v>
      </c>
      <c r="J714" s="321"/>
      <c r="K714" s="168">
        <f t="shared" si="35"/>
        <v>32992</v>
      </c>
      <c r="L714" s="30"/>
      <c r="M714" s="67"/>
    </row>
    <row r="715" spans="1:13" ht="13.2">
      <c r="A715" s="75"/>
      <c r="B715" s="311" t="s">
        <v>337</v>
      </c>
      <c r="C715" s="322">
        <v>45357</v>
      </c>
      <c r="D715" s="16" t="s">
        <v>915</v>
      </c>
      <c r="E715" s="143" t="str">
        <f>VLOOKUP(D715,'Danh mục hàng hóa'!$C$3:$D$643,2,0)</f>
        <v>Thỏ chạy xe gắn xe</v>
      </c>
      <c r="F715" s="144" t="str">
        <f>VLOOKUP(D715,'Danh mục hàng hóa'!$C$3:$E$656,3,0)</f>
        <v>cái</v>
      </c>
      <c r="G715" s="320">
        <f>32962+32862</f>
        <v>65824</v>
      </c>
      <c r="H715" s="317"/>
      <c r="I715" s="313">
        <v>2</v>
      </c>
      <c r="J715" s="321"/>
      <c r="K715" s="168">
        <f t="shared" si="35"/>
        <v>131648</v>
      </c>
      <c r="L715" s="30"/>
      <c r="M715" s="67"/>
    </row>
    <row r="716" spans="1:13" ht="13.2">
      <c r="A716" s="75"/>
      <c r="B716" s="311" t="s">
        <v>337</v>
      </c>
      <c r="C716" s="322">
        <v>45357</v>
      </c>
      <c r="D716" s="16" t="s">
        <v>895</v>
      </c>
      <c r="E716" s="143" t="str">
        <f>VLOOKUP(D716,'Danh mục hàng hóa'!$C$3:$D$643,2,0)</f>
        <v>Thỏ chong chóng</v>
      </c>
      <c r="F716" s="144" t="str">
        <f>VLOOKUP(D716,'Danh mục hàng hóa'!$C$3:$E$656,3,0)</f>
        <v>cái</v>
      </c>
      <c r="G716" s="321">
        <f t="shared" ref="G716:G719" si="49">174568/4</f>
        <v>43642</v>
      </c>
      <c r="H716" s="317"/>
      <c r="I716" s="313">
        <v>1</v>
      </c>
      <c r="J716" s="321"/>
      <c r="K716" s="168">
        <f t="shared" si="35"/>
        <v>43642</v>
      </c>
      <c r="L716" s="30"/>
      <c r="M716" s="67"/>
    </row>
    <row r="717" spans="1:13" ht="13.2">
      <c r="A717" s="75"/>
      <c r="B717" s="311" t="s">
        <v>337</v>
      </c>
      <c r="C717" s="322">
        <v>45357</v>
      </c>
      <c r="D717" s="16" t="s">
        <v>891</v>
      </c>
      <c r="E717" s="143" t="str">
        <f>VLOOKUP(D717,'Danh mục hàng hóa'!$C$3:$D$643,2,0)</f>
        <v>Heo ú</v>
      </c>
      <c r="F717" s="144" t="str">
        <f>VLOOKUP(D717,'Danh mục hàng hóa'!$C$3:$E$656,3,0)</f>
        <v>cái</v>
      </c>
      <c r="G717" s="321">
        <f t="shared" si="49"/>
        <v>43642</v>
      </c>
      <c r="H717" s="317"/>
      <c r="I717" s="313">
        <v>1</v>
      </c>
      <c r="J717" s="321"/>
      <c r="K717" s="168">
        <f t="shared" si="35"/>
        <v>43642</v>
      </c>
      <c r="L717" s="30"/>
      <c r="M717" s="67"/>
    </row>
    <row r="718" spans="1:13" ht="13.2">
      <c r="A718" s="75"/>
      <c r="B718" s="311" t="s">
        <v>337</v>
      </c>
      <c r="C718" s="322">
        <v>45357</v>
      </c>
      <c r="D718" s="16" t="s">
        <v>887</v>
      </c>
      <c r="E718" s="143" t="str">
        <f>VLOOKUP(D718,'Danh mục hàng hóa'!$C$3:$D$643,2,0)</f>
        <v>Mèo chong chóng</v>
      </c>
      <c r="F718" s="144" t="str">
        <f>VLOOKUP(D718,'Danh mục hàng hóa'!$C$3:$E$656,3,0)</f>
        <v>cái</v>
      </c>
      <c r="G718" s="321">
        <f t="shared" si="49"/>
        <v>43642</v>
      </c>
      <c r="H718" s="317"/>
      <c r="I718" s="313">
        <v>1</v>
      </c>
      <c r="J718" s="321"/>
      <c r="K718" s="168">
        <f t="shared" si="35"/>
        <v>43642</v>
      </c>
      <c r="L718" s="30"/>
      <c r="M718" s="67"/>
    </row>
    <row r="719" spans="1:13" ht="13.2">
      <c r="A719" s="75"/>
      <c r="B719" s="311" t="s">
        <v>337</v>
      </c>
      <c r="C719" s="322">
        <v>45357</v>
      </c>
      <c r="D719" s="16" t="s">
        <v>885</v>
      </c>
      <c r="E719" s="143" t="str">
        <f>VLOOKUP(D719,'Danh mục hàng hóa'!$C$3:$D$643,2,0)</f>
        <v>Gấu chong chóng</v>
      </c>
      <c r="F719" s="144" t="str">
        <f>VLOOKUP(D719,'Danh mục hàng hóa'!$C$3:$E$656,3,0)</f>
        <v>cái</v>
      </c>
      <c r="G719" s="321">
        <f t="shared" si="49"/>
        <v>43642</v>
      </c>
      <c r="H719" s="317"/>
      <c r="I719" s="313">
        <v>1</v>
      </c>
      <c r="J719" s="321"/>
      <c r="K719" s="168">
        <f t="shared" si="35"/>
        <v>43642</v>
      </c>
      <c r="L719" s="30"/>
      <c r="M719" s="67"/>
    </row>
    <row r="720" spans="1:13" ht="13.2">
      <c r="A720" s="75"/>
      <c r="B720" s="311" t="s">
        <v>337</v>
      </c>
      <c r="C720" s="322">
        <v>45357</v>
      </c>
      <c r="D720" s="16" t="s">
        <v>424</v>
      </c>
      <c r="E720" s="143" t="str">
        <f>VLOOKUP(D720,'Danh mục hàng hóa'!$C$3:$D$643,2,0)</f>
        <v>Túi chườm bụng vịt vàng 500ml</v>
      </c>
      <c r="F720" s="144" t="str">
        <f>VLOOKUP(D720,'Danh mục hàng hóa'!$C$3:$E$656,3,0)</f>
        <v>túi</v>
      </c>
      <c r="G720" s="320">
        <v>57162</v>
      </c>
      <c r="H720" s="317"/>
      <c r="I720" s="313">
        <v>1</v>
      </c>
      <c r="J720" s="321"/>
      <c r="K720" s="168">
        <f t="shared" si="35"/>
        <v>57162</v>
      </c>
      <c r="L720" s="30"/>
      <c r="M720" s="67"/>
    </row>
    <row r="721" spans="1:13" ht="13.2">
      <c r="A721" s="75"/>
      <c r="B721" s="311" t="s">
        <v>337</v>
      </c>
      <c r="C721" s="322">
        <v>45358</v>
      </c>
      <c r="D721" s="16" t="s">
        <v>891</v>
      </c>
      <c r="E721" s="143" t="str">
        <f>VLOOKUP(D721,'Danh mục hàng hóa'!$C$3:$D$643,2,0)</f>
        <v>Heo ú</v>
      </c>
      <c r="F721" s="144" t="str">
        <f>VLOOKUP(D721,'Danh mục hàng hóa'!$C$3:$E$656,3,0)</f>
        <v>cái</v>
      </c>
      <c r="G721" s="320">
        <v>45000</v>
      </c>
      <c r="H721" s="317"/>
      <c r="I721" s="313">
        <v>1</v>
      </c>
      <c r="J721" s="321"/>
      <c r="K721" s="168">
        <f t="shared" si="35"/>
        <v>45000</v>
      </c>
      <c r="L721" s="30"/>
      <c r="M721" s="67"/>
    </row>
    <row r="722" spans="1:13" ht="13.2">
      <c r="A722" s="75"/>
      <c r="B722" s="311" t="s">
        <v>337</v>
      </c>
      <c r="C722" s="322">
        <v>45358</v>
      </c>
      <c r="D722" s="16" t="s">
        <v>669</v>
      </c>
      <c r="E722" s="143" t="str">
        <f>VLOOKUP(D722,'Danh mục hàng hóa'!$C$3:$D$643,2,0)</f>
        <v>Buộc tóc trắng vải</v>
      </c>
      <c r="F722" s="144" t="str">
        <f>VLOOKUP(D722,'Danh mục hàng hóa'!$C$3:$E$656,3,0)</f>
        <v>cái</v>
      </c>
      <c r="G722" s="320">
        <v>4757</v>
      </c>
      <c r="H722" s="317"/>
      <c r="I722" s="313">
        <v>1</v>
      </c>
      <c r="J722" s="321"/>
      <c r="K722" s="168">
        <f t="shared" si="35"/>
        <v>4757</v>
      </c>
      <c r="L722" s="30"/>
      <c r="M722" s="67"/>
    </row>
    <row r="723" spans="1:13" ht="13.2">
      <c r="A723" s="75"/>
      <c r="B723" s="311" t="s">
        <v>337</v>
      </c>
      <c r="C723" s="322">
        <v>45358</v>
      </c>
      <c r="D723" s="16" t="s">
        <v>414</v>
      </c>
      <c r="E723" s="143" t="str">
        <f>VLOOKUP(D723,'Danh mục hàng hóa'!$C$3:$D$643,2,0)</f>
        <v>Túi chườm bụng dâu tây 500ml</v>
      </c>
      <c r="F723" s="144" t="str">
        <f>VLOOKUP(D723,'Danh mục hàng hóa'!$C$3:$E$656,3,0)</f>
        <v>túi</v>
      </c>
      <c r="G723" s="320">
        <v>57043</v>
      </c>
      <c r="H723" s="317"/>
      <c r="I723" s="313">
        <v>1</v>
      </c>
      <c r="J723" s="321"/>
      <c r="K723" s="168">
        <f t="shared" si="35"/>
        <v>57043</v>
      </c>
      <c r="L723" s="30"/>
      <c r="M723" s="67"/>
    </row>
    <row r="724" spans="1:13" ht="13.2">
      <c r="A724" s="75"/>
      <c r="B724" s="311" t="s">
        <v>337</v>
      </c>
      <c r="C724" s="322">
        <v>45358</v>
      </c>
      <c r="D724" s="16" t="s">
        <v>915</v>
      </c>
      <c r="E724" s="143" t="str">
        <f>VLOOKUP(D724,'Danh mục hàng hóa'!$C$3:$D$643,2,0)</f>
        <v>Thỏ chạy xe gắn xe</v>
      </c>
      <c r="F724" s="144" t="str">
        <f>VLOOKUP(D724,'Danh mục hàng hóa'!$C$3:$E$656,3,0)</f>
        <v>cái</v>
      </c>
      <c r="G724" s="320">
        <v>58979</v>
      </c>
      <c r="H724" s="317"/>
      <c r="I724" s="313">
        <v>1</v>
      </c>
      <c r="J724" s="321"/>
      <c r="K724" s="168">
        <f t="shared" si="35"/>
        <v>58979</v>
      </c>
      <c r="L724" s="30"/>
      <c r="M724" s="67"/>
    </row>
    <row r="725" spans="1:13" ht="13.2">
      <c r="A725" s="75"/>
      <c r="B725" s="311" t="s">
        <v>337</v>
      </c>
      <c r="C725" s="322">
        <v>45359</v>
      </c>
      <c r="D725" s="16" t="s">
        <v>885</v>
      </c>
      <c r="E725" s="143" t="str">
        <f>VLOOKUP(D725,'Danh mục hàng hóa'!$C$3:$D$643,2,0)</f>
        <v>Gấu chong chóng</v>
      </c>
      <c r="F725" s="144" t="str">
        <f>VLOOKUP(D725,'Danh mục hàng hóa'!$C$3:$E$656,3,0)</f>
        <v>cái</v>
      </c>
      <c r="G725" s="320">
        <v>43000</v>
      </c>
      <c r="H725" s="317"/>
      <c r="I725" s="313">
        <v>1</v>
      </c>
      <c r="J725" s="321"/>
      <c r="K725" s="168">
        <f t="shared" si="35"/>
        <v>43000</v>
      </c>
      <c r="L725" s="30"/>
      <c r="M725" s="67"/>
    </row>
    <row r="726" spans="1:13" ht="13.2">
      <c r="A726" s="75"/>
      <c r="B726" s="311" t="s">
        <v>337</v>
      </c>
      <c r="C726" s="322">
        <v>45359</v>
      </c>
      <c r="D726" s="16" t="s">
        <v>895</v>
      </c>
      <c r="E726" s="143" t="str">
        <f>VLOOKUP(D726,'Danh mục hàng hóa'!$C$3:$D$643,2,0)</f>
        <v>Thỏ chong chóng</v>
      </c>
      <c r="F726" s="144" t="str">
        <f>VLOOKUP(D726,'Danh mục hàng hóa'!$C$3:$E$656,3,0)</f>
        <v>cái</v>
      </c>
      <c r="G726" s="320">
        <v>43000</v>
      </c>
      <c r="H726" s="317"/>
      <c r="I726" s="313">
        <v>1</v>
      </c>
      <c r="J726" s="321"/>
      <c r="K726" s="168">
        <f t="shared" si="35"/>
        <v>43000</v>
      </c>
      <c r="L726" s="30"/>
      <c r="M726" s="67"/>
    </row>
    <row r="727" spans="1:13" ht="13.2">
      <c r="A727" s="75"/>
      <c r="B727" s="311" t="s">
        <v>337</v>
      </c>
      <c r="C727" s="322">
        <v>45359</v>
      </c>
      <c r="D727" s="28" t="s">
        <v>578</v>
      </c>
      <c r="E727" s="143" t="str">
        <f>VLOOKUP(D727,'Danh mục hàng hóa'!$C$3:$D$643,2,0)</f>
        <v>Ống 6 dâu cột tóc nâu</v>
      </c>
      <c r="F727" s="144" t="str">
        <f>VLOOKUP(D727,'Danh mục hàng hóa'!$C$3:$E$656,3,0)</f>
        <v>ống</v>
      </c>
      <c r="G727" s="321">
        <f>101992-83000</f>
        <v>18992</v>
      </c>
      <c r="H727" s="317"/>
      <c r="I727" s="313">
        <v>1</v>
      </c>
      <c r="J727" s="321"/>
      <c r="K727" s="168">
        <f t="shared" si="35"/>
        <v>18992</v>
      </c>
      <c r="L727" s="30"/>
      <c r="M727" s="67"/>
    </row>
    <row r="728" spans="1:13" ht="13.2">
      <c r="A728" s="75"/>
      <c r="B728" s="311" t="s">
        <v>337</v>
      </c>
      <c r="C728" s="322">
        <v>45359</v>
      </c>
      <c r="D728" s="16" t="s">
        <v>397</v>
      </c>
      <c r="E728" s="143" t="str">
        <f>VLOOKUP(D728,'Danh mục hàng hóa'!$C$3:$D$643,2,0)</f>
        <v>Túi chườm bụng dâu (xanh) 1000ml</v>
      </c>
      <c r="F728" s="144" t="str">
        <f>VLOOKUP(D728,'Danh mục hàng hóa'!$C$3:$E$656,3,0)</f>
        <v>túi</v>
      </c>
      <c r="G728" s="320">
        <v>79841</v>
      </c>
      <c r="H728" s="317"/>
      <c r="I728" s="313">
        <v>1</v>
      </c>
      <c r="J728" s="321"/>
      <c r="K728" s="168">
        <f t="shared" si="35"/>
        <v>79841</v>
      </c>
      <c r="L728" s="30"/>
      <c r="M728" s="67"/>
    </row>
    <row r="729" spans="1:13" ht="13.2">
      <c r="A729" s="75"/>
      <c r="B729" s="311" t="s">
        <v>337</v>
      </c>
      <c r="C729" s="322">
        <v>45359</v>
      </c>
      <c r="D729" s="16" t="s">
        <v>515</v>
      </c>
      <c r="E729" s="143" t="str">
        <f>VLOOKUP(D729,'Danh mục hàng hóa'!$C$3:$D$643,2,0)</f>
        <v>Trâm cài 17</v>
      </c>
      <c r="F729" s="144" t="str">
        <f>VLOOKUP(D729,'Danh mục hàng hóa'!$C$3:$E$656,3,0)</f>
        <v>cây</v>
      </c>
      <c r="G729" s="320">
        <v>0</v>
      </c>
      <c r="H729" s="317"/>
      <c r="I729" s="313">
        <v>1</v>
      </c>
      <c r="J729" s="321"/>
      <c r="K729" s="168">
        <f t="shared" si="35"/>
        <v>0</v>
      </c>
      <c r="L729" s="30"/>
      <c r="M729" s="67"/>
    </row>
    <row r="730" spans="1:13" ht="13.2">
      <c r="A730" s="75"/>
      <c r="B730" s="311" t="s">
        <v>337</v>
      </c>
      <c r="C730" s="322">
        <v>45359</v>
      </c>
      <c r="D730" s="16" t="s">
        <v>503</v>
      </c>
      <c r="E730" s="143" t="str">
        <f>VLOOKUP(D730,'Danh mục hàng hóa'!$C$3:$D$643,2,0)</f>
        <v>Trâm cài 11</v>
      </c>
      <c r="F730" s="144" t="str">
        <f>VLOOKUP(D730,'Danh mục hàng hóa'!$C$3:$E$656,3,0)</f>
        <v>cây</v>
      </c>
      <c r="G730" s="320">
        <v>30000</v>
      </c>
      <c r="H730" s="317"/>
      <c r="I730" s="313">
        <v>1</v>
      </c>
      <c r="J730" s="321"/>
      <c r="K730" s="168">
        <f t="shared" ref="K730:K984" si="50">G730*I730</f>
        <v>30000</v>
      </c>
      <c r="L730" s="30"/>
      <c r="M730" s="67"/>
    </row>
    <row r="731" spans="1:13" ht="13.2">
      <c r="A731" s="75"/>
      <c r="B731" s="311" t="s">
        <v>337</v>
      </c>
      <c r="C731" s="322">
        <v>45359</v>
      </c>
      <c r="D731" s="16" t="s">
        <v>505</v>
      </c>
      <c r="E731" s="143" t="str">
        <f>VLOOKUP(D731,'Danh mục hàng hóa'!$C$3:$D$643,2,0)</f>
        <v>Trâm cài 12</v>
      </c>
      <c r="F731" s="144" t="str">
        <f>VLOOKUP(D731,'Danh mục hàng hóa'!$C$3:$E$656,3,0)</f>
        <v>cây</v>
      </c>
      <c r="G731" s="320">
        <v>0</v>
      </c>
      <c r="H731" s="317"/>
      <c r="I731" s="313">
        <v>1</v>
      </c>
      <c r="J731" s="321"/>
      <c r="K731" s="168">
        <f t="shared" si="50"/>
        <v>0</v>
      </c>
      <c r="L731" s="30"/>
      <c r="M731" s="67"/>
    </row>
    <row r="732" spans="1:13" ht="13.2">
      <c r="A732" s="75"/>
      <c r="B732" s="311" t="s">
        <v>337</v>
      </c>
      <c r="C732" s="322">
        <v>45358</v>
      </c>
      <c r="D732" s="16" t="s">
        <v>736</v>
      </c>
      <c r="E732" s="143" t="str">
        <f>VLOOKUP(D732,'Danh mục hàng hóa'!$C$3:$D$643,2,0)</f>
        <v>Kẹp tóc hoa sứ vàng</v>
      </c>
      <c r="F732" s="144" t="str">
        <f>VLOOKUP(D732,'Danh mục hàng hóa'!$C$3:$E$656,3,0)</f>
        <v>cái</v>
      </c>
      <c r="G732" s="321">
        <f t="shared" ref="G732:G733" si="51">25998/2</f>
        <v>12999</v>
      </c>
      <c r="H732" s="317"/>
      <c r="I732" s="313">
        <v>1</v>
      </c>
      <c r="J732" s="321"/>
      <c r="K732" s="168">
        <f t="shared" si="50"/>
        <v>12999</v>
      </c>
      <c r="L732" s="30"/>
      <c r="M732" s="67"/>
    </row>
    <row r="733" spans="1:13" ht="13.2">
      <c r="A733" s="75"/>
      <c r="B733" s="311" t="s">
        <v>337</v>
      </c>
      <c r="C733" s="322">
        <v>45358</v>
      </c>
      <c r="D733" s="16" t="s">
        <v>734</v>
      </c>
      <c r="E733" s="143" t="str">
        <f>VLOOKUP(D733,'Danh mục hàng hóa'!$C$3:$D$643,2,0)</f>
        <v>Kẹp tóc hoa sứ hồng</v>
      </c>
      <c r="F733" s="144" t="str">
        <f>VLOOKUP(D733,'Danh mục hàng hóa'!$C$3:$E$656,3,0)</f>
        <v>cái</v>
      </c>
      <c r="G733" s="321">
        <f t="shared" si="51"/>
        <v>12999</v>
      </c>
      <c r="H733" s="317"/>
      <c r="I733" s="313">
        <v>1</v>
      </c>
      <c r="J733" s="321"/>
      <c r="K733" s="168">
        <f t="shared" si="50"/>
        <v>12999</v>
      </c>
      <c r="L733" s="30"/>
      <c r="M733" s="67"/>
    </row>
    <row r="734" spans="1:13" ht="13.2">
      <c r="A734" s="75"/>
      <c r="B734" s="311" t="s">
        <v>337</v>
      </c>
      <c r="C734" s="322">
        <v>45359</v>
      </c>
      <c r="D734" s="16" t="s">
        <v>732</v>
      </c>
      <c r="E734" s="143" t="str">
        <f>VLOOKUP(D734,'Danh mục hàng hóa'!$C$3:$D$643,2,0)</f>
        <v>Kẹp tóc hoa sứ tím</v>
      </c>
      <c r="F734" s="144" t="str">
        <f>VLOOKUP(D734,'Danh mục hàng hóa'!$C$3:$E$656,3,0)</f>
        <v>cái</v>
      </c>
      <c r="G734" s="321">
        <f t="shared" ref="G734:G736" si="52">65060/5</f>
        <v>13012</v>
      </c>
      <c r="H734" s="317"/>
      <c r="I734" s="313">
        <v>2</v>
      </c>
      <c r="J734" s="321"/>
      <c r="K734" s="168">
        <f t="shared" si="50"/>
        <v>26024</v>
      </c>
      <c r="L734" s="30"/>
      <c r="M734" s="67"/>
    </row>
    <row r="735" spans="1:13" ht="13.2">
      <c r="A735" s="75"/>
      <c r="B735" s="311" t="s">
        <v>337</v>
      </c>
      <c r="C735" s="322">
        <v>45359</v>
      </c>
      <c r="D735" s="16" t="s">
        <v>734</v>
      </c>
      <c r="E735" s="143" t="str">
        <f>VLOOKUP(D735,'Danh mục hàng hóa'!$C$3:$D$643,2,0)</f>
        <v>Kẹp tóc hoa sứ hồng</v>
      </c>
      <c r="F735" s="144" t="str">
        <f>VLOOKUP(D735,'Danh mục hàng hóa'!$C$3:$E$656,3,0)</f>
        <v>cái</v>
      </c>
      <c r="G735" s="321">
        <f t="shared" si="52"/>
        <v>13012</v>
      </c>
      <c r="H735" s="317"/>
      <c r="I735" s="313">
        <v>2</v>
      </c>
      <c r="J735" s="321"/>
      <c r="K735" s="168">
        <f t="shared" si="50"/>
        <v>26024</v>
      </c>
      <c r="L735" s="30"/>
      <c r="M735" s="67"/>
    </row>
    <row r="736" spans="1:13" ht="13.2">
      <c r="A736" s="75"/>
      <c r="B736" s="311" t="s">
        <v>337</v>
      </c>
      <c r="C736" s="322">
        <v>45359</v>
      </c>
      <c r="D736" s="16" t="s">
        <v>740</v>
      </c>
      <c r="E736" s="143" t="str">
        <f>VLOOKUP(D736,'Danh mục hàng hóa'!$C$3:$D$643,2,0)</f>
        <v>Kẹp tóc hoa sứ đỏ</v>
      </c>
      <c r="F736" s="144" t="str">
        <f>VLOOKUP(D736,'Danh mục hàng hóa'!$C$3:$E$656,3,0)</f>
        <v>cái</v>
      </c>
      <c r="G736" s="321">
        <f t="shared" si="52"/>
        <v>13012</v>
      </c>
      <c r="H736" s="317"/>
      <c r="I736" s="313">
        <v>1</v>
      </c>
      <c r="J736" s="321"/>
      <c r="K736" s="168">
        <f t="shared" si="50"/>
        <v>13012</v>
      </c>
      <c r="L736" s="30"/>
      <c r="M736" s="67"/>
    </row>
    <row r="737" spans="1:13" ht="13.2">
      <c r="A737" s="75"/>
      <c r="B737" s="311" t="s">
        <v>337</v>
      </c>
      <c r="C737" s="322">
        <v>45359</v>
      </c>
      <c r="D737" s="16" t="s">
        <v>732</v>
      </c>
      <c r="E737" s="143" t="str">
        <f>VLOOKUP(D737,'Danh mục hàng hóa'!$C$3:$D$643,2,0)</f>
        <v>Kẹp tóc hoa sứ tím</v>
      </c>
      <c r="F737" s="144" t="str">
        <f>VLOOKUP(D737,'Danh mục hàng hóa'!$C$3:$E$656,3,0)</f>
        <v>cái</v>
      </c>
      <c r="G737" s="321">
        <f t="shared" ref="G737:G741" si="53">70764/6</f>
        <v>11794</v>
      </c>
      <c r="H737" s="317"/>
      <c r="I737" s="313">
        <v>1</v>
      </c>
      <c r="J737" s="321"/>
      <c r="K737" s="168">
        <f t="shared" si="50"/>
        <v>11794</v>
      </c>
      <c r="L737" s="30"/>
      <c r="M737" s="67"/>
    </row>
    <row r="738" spans="1:13" ht="13.2">
      <c r="A738" s="75"/>
      <c r="B738" s="311" t="s">
        <v>337</v>
      </c>
      <c r="C738" s="322">
        <v>45359</v>
      </c>
      <c r="D738" s="16" t="s">
        <v>734</v>
      </c>
      <c r="E738" s="143" t="str">
        <f>VLOOKUP(D738,'Danh mục hàng hóa'!$C$3:$D$643,2,0)</f>
        <v>Kẹp tóc hoa sứ hồng</v>
      </c>
      <c r="F738" s="144" t="str">
        <f>VLOOKUP(D738,'Danh mục hàng hóa'!$C$3:$E$656,3,0)</f>
        <v>cái</v>
      </c>
      <c r="G738" s="321">
        <f t="shared" si="53"/>
        <v>11794</v>
      </c>
      <c r="H738" s="317"/>
      <c r="I738" s="313">
        <v>2</v>
      </c>
      <c r="J738" s="321"/>
      <c r="K738" s="168">
        <f t="shared" si="50"/>
        <v>23588</v>
      </c>
      <c r="L738" s="30"/>
      <c r="M738" s="67"/>
    </row>
    <row r="739" spans="1:13" ht="13.2">
      <c r="A739" s="75"/>
      <c r="B739" s="311" t="s">
        <v>337</v>
      </c>
      <c r="C739" s="322">
        <v>45359</v>
      </c>
      <c r="D739" s="16" t="s">
        <v>736</v>
      </c>
      <c r="E739" s="143" t="str">
        <f>VLOOKUP(D739,'Danh mục hàng hóa'!$C$3:$D$643,2,0)</f>
        <v>Kẹp tóc hoa sứ vàng</v>
      </c>
      <c r="F739" s="144" t="str">
        <f>VLOOKUP(D739,'Danh mục hàng hóa'!$C$3:$E$656,3,0)</f>
        <v>cái</v>
      </c>
      <c r="G739" s="321">
        <f t="shared" si="53"/>
        <v>11794</v>
      </c>
      <c r="H739" s="317"/>
      <c r="I739" s="313">
        <v>1</v>
      </c>
      <c r="J739" s="321"/>
      <c r="K739" s="168">
        <f t="shared" si="50"/>
        <v>11794</v>
      </c>
      <c r="L739" s="30"/>
      <c r="M739" s="67"/>
    </row>
    <row r="740" spans="1:13" ht="13.2">
      <c r="A740" s="75"/>
      <c r="B740" s="311" t="s">
        <v>337</v>
      </c>
      <c r="C740" s="322">
        <v>45359</v>
      </c>
      <c r="D740" s="16" t="s">
        <v>740</v>
      </c>
      <c r="E740" s="143" t="str">
        <f>VLOOKUP(D740,'Danh mục hàng hóa'!$C$3:$D$643,2,0)</f>
        <v>Kẹp tóc hoa sứ đỏ</v>
      </c>
      <c r="F740" s="144" t="str">
        <f>VLOOKUP(D740,'Danh mục hàng hóa'!$C$3:$E$656,3,0)</f>
        <v>cái</v>
      </c>
      <c r="G740" s="321">
        <f t="shared" si="53"/>
        <v>11794</v>
      </c>
      <c r="H740" s="317"/>
      <c r="I740" s="313">
        <v>1</v>
      </c>
      <c r="J740" s="321"/>
      <c r="K740" s="168">
        <f t="shared" si="50"/>
        <v>11794</v>
      </c>
      <c r="L740" s="30"/>
      <c r="M740" s="67"/>
    </row>
    <row r="741" spans="1:13" ht="13.2">
      <c r="A741" s="75"/>
      <c r="B741" s="311" t="s">
        <v>337</v>
      </c>
      <c r="C741" s="322">
        <v>45359</v>
      </c>
      <c r="D741" s="16" t="s">
        <v>742</v>
      </c>
      <c r="E741" s="143" t="str">
        <f>VLOOKUP(D741,'Danh mục hàng hóa'!$C$3:$D$643,2,0)</f>
        <v>Kẹp tóc hoa sứ xanh</v>
      </c>
      <c r="F741" s="144" t="str">
        <f>VLOOKUP(D741,'Danh mục hàng hóa'!$C$3:$E$656,3,0)</f>
        <v>cái</v>
      </c>
      <c r="G741" s="321">
        <f t="shared" si="53"/>
        <v>11794</v>
      </c>
      <c r="H741" s="317"/>
      <c r="I741" s="313">
        <v>1</v>
      </c>
      <c r="J741" s="321"/>
      <c r="K741" s="168">
        <f t="shared" si="50"/>
        <v>11794</v>
      </c>
      <c r="L741" s="30"/>
      <c r="M741" s="67"/>
    </row>
    <row r="742" spans="1:13" ht="13.2">
      <c r="A742" s="75"/>
      <c r="B742" s="311" t="s">
        <v>337</v>
      </c>
      <c r="C742" s="322">
        <v>45359</v>
      </c>
      <c r="D742" s="16" t="s">
        <v>325</v>
      </c>
      <c r="E742" s="143" t="str">
        <f>VLOOKUP(D742,'Danh mục hàng hóa'!$C$3:$D$643,2,0)</f>
        <v>Gấu chong chóng</v>
      </c>
      <c r="F742" s="144" t="str">
        <f>VLOOKUP(D742,'Danh mục hàng hóa'!$C$3:$E$656,3,0)</f>
        <v>cái</v>
      </c>
      <c r="G742" s="320">
        <v>43852</v>
      </c>
      <c r="H742" s="317"/>
      <c r="I742" s="313">
        <v>1</v>
      </c>
      <c r="J742" s="321"/>
      <c r="K742" s="168">
        <f t="shared" si="50"/>
        <v>43852</v>
      </c>
      <c r="L742" s="30"/>
      <c r="M742" s="67"/>
    </row>
    <row r="743" spans="1:13" ht="13.2">
      <c r="A743" s="75"/>
      <c r="B743" s="311" t="s">
        <v>337</v>
      </c>
      <c r="C743" s="322">
        <v>45359</v>
      </c>
      <c r="D743" s="16" t="s">
        <v>2049</v>
      </c>
      <c r="E743" s="143" t="str">
        <f>VLOOKUP(D743,'Danh mục hàng hóa'!$C$3:$D$643,2,0)</f>
        <v>Trâm cài 11</v>
      </c>
      <c r="F743" s="144" t="str">
        <f>VLOOKUP(D743,'Danh mục hàng hóa'!$C$3:$E$656,3,0)</f>
        <v>cây</v>
      </c>
      <c r="G743" s="320">
        <v>33120</v>
      </c>
      <c r="H743" s="317"/>
      <c r="I743" s="313">
        <v>1</v>
      </c>
      <c r="J743" s="321"/>
      <c r="K743" s="168">
        <f t="shared" si="50"/>
        <v>33120</v>
      </c>
      <c r="L743" s="30"/>
      <c r="M743" s="67"/>
    </row>
    <row r="744" spans="1:13" ht="13.2">
      <c r="A744" s="75"/>
      <c r="B744" s="311" t="s">
        <v>337</v>
      </c>
      <c r="C744" s="322">
        <v>45360</v>
      </c>
      <c r="D744" s="16" t="s">
        <v>2152</v>
      </c>
      <c r="E744" s="143" t="str">
        <f>VLOOKUP(D744,'Danh mục hàng hóa'!$C$3:$D$643,2,0)</f>
        <v>Trâm cài 12</v>
      </c>
      <c r="F744" s="144" t="str">
        <f>VLOOKUP(D744,'Danh mục hàng hóa'!$C$3:$E$656,3,0)</f>
        <v>cây</v>
      </c>
      <c r="G744" s="320">
        <v>40000</v>
      </c>
      <c r="H744" s="317"/>
      <c r="I744" s="313">
        <v>1</v>
      </c>
      <c r="J744" s="321"/>
      <c r="K744" s="168">
        <f t="shared" si="50"/>
        <v>40000</v>
      </c>
      <c r="L744" s="30"/>
      <c r="M744" s="67"/>
    </row>
    <row r="745" spans="1:13" ht="13.2">
      <c r="A745" s="75"/>
      <c r="B745" s="311" t="s">
        <v>337</v>
      </c>
      <c r="C745" s="322">
        <v>45360</v>
      </c>
      <c r="D745" s="16" t="s">
        <v>2153</v>
      </c>
      <c r="E745" s="143" t="str">
        <f>VLOOKUP(D745,'Danh mục hàng hóa'!$C$3:$D$643,2,0)</f>
        <v>Trâm cài 14</v>
      </c>
      <c r="F745" s="144" t="str">
        <f>VLOOKUP(D745,'Danh mục hàng hóa'!$C$3:$E$656,3,0)</f>
        <v>cây</v>
      </c>
      <c r="G745" s="320">
        <v>30000</v>
      </c>
      <c r="H745" s="317"/>
      <c r="I745" s="313">
        <v>1</v>
      </c>
      <c r="J745" s="321"/>
      <c r="K745" s="168">
        <f t="shared" si="50"/>
        <v>30000</v>
      </c>
      <c r="L745" s="30"/>
      <c r="M745" s="67"/>
    </row>
    <row r="746" spans="1:13" ht="13.2">
      <c r="A746" s="75"/>
      <c r="B746" s="311" t="s">
        <v>337</v>
      </c>
      <c r="C746" s="322">
        <v>45360</v>
      </c>
      <c r="D746" s="16" t="s">
        <v>752</v>
      </c>
      <c r="E746" s="143" t="str">
        <f>VLOOKUP(D746,'Danh mục hàng hóa'!$C$3:$D$643,2,0)</f>
        <v>Kẹp tóc hoa năm cánh đỏ hồng đẹp</v>
      </c>
      <c r="F746" s="144" t="str">
        <f>VLOOKUP(D746,'Danh mục hàng hóa'!$C$3:$E$656,3,0)</f>
        <v>cái</v>
      </c>
      <c r="G746" s="321">
        <f t="shared" ref="G746:G753" si="54">(1034880-270000)/60</f>
        <v>12748</v>
      </c>
      <c r="H746" s="317"/>
      <c r="I746" s="313">
        <v>5</v>
      </c>
      <c r="J746" s="321"/>
      <c r="K746" s="168">
        <f t="shared" si="50"/>
        <v>63740</v>
      </c>
      <c r="L746" s="30"/>
      <c r="M746" s="67"/>
    </row>
    <row r="747" spans="1:13" ht="13.2">
      <c r="A747" s="75"/>
      <c r="B747" s="311" t="s">
        <v>337</v>
      </c>
      <c r="C747" s="322">
        <v>45360</v>
      </c>
      <c r="D747" s="16" t="s">
        <v>736</v>
      </c>
      <c r="E747" s="143" t="str">
        <f>VLOOKUP(D747,'Danh mục hàng hóa'!$C$3:$D$643,2,0)</f>
        <v>Kẹp tóc hoa sứ vàng</v>
      </c>
      <c r="F747" s="144" t="str">
        <f>VLOOKUP(D747,'Danh mục hàng hóa'!$C$3:$E$656,3,0)</f>
        <v>cái</v>
      </c>
      <c r="G747" s="321">
        <f t="shared" si="54"/>
        <v>12748</v>
      </c>
      <c r="H747" s="317"/>
      <c r="I747" s="313">
        <v>10</v>
      </c>
      <c r="J747" s="321"/>
      <c r="K747" s="168">
        <f t="shared" si="50"/>
        <v>127480</v>
      </c>
      <c r="L747" s="30"/>
      <c r="M747" s="67"/>
    </row>
    <row r="748" spans="1:13" ht="13.2">
      <c r="A748" s="75"/>
      <c r="B748" s="311" t="s">
        <v>337</v>
      </c>
      <c r="C748" s="322">
        <v>45360</v>
      </c>
      <c r="D748" s="16" t="s">
        <v>742</v>
      </c>
      <c r="E748" s="143" t="str">
        <f>VLOOKUP(D748,'Danh mục hàng hóa'!$C$3:$D$643,2,0)</f>
        <v>Kẹp tóc hoa sứ xanh</v>
      </c>
      <c r="F748" s="144" t="str">
        <f>VLOOKUP(D748,'Danh mục hàng hóa'!$C$3:$E$656,3,0)</f>
        <v>cái</v>
      </c>
      <c r="G748" s="321">
        <f t="shared" si="54"/>
        <v>12748</v>
      </c>
      <c r="H748" s="317"/>
      <c r="I748" s="313">
        <v>10</v>
      </c>
      <c r="J748" s="321"/>
      <c r="K748" s="168">
        <f t="shared" si="50"/>
        <v>127480</v>
      </c>
      <c r="L748" s="30"/>
      <c r="M748" s="67"/>
    </row>
    <row r="749" spans="1:13" ht="13.2">
      <c r="A749" s="75"/>
      <c r="B749" s="311" t="s">
        <v>337</v>
      </c>
      <c r="C749" s="322">
        <v>45360</v>
      </c>
      <c r="D749" s="16" t="s">
        <v>754</v>
      </c>
      <c r="E749" s="143" t="str">
        <f>VLOOKUP(D749,'Danh mục hàng hóa'!$C$3:$D$643,2,0)</f>
        <v>Kẹp tóc hoa năm cánh xanh vàng</v>
      </c>
      <c r="F749" s="144" t="str">
        <f>VLOOKUP(D749,'Danh mục hàng hóa'!$C$3:$E$656,3,0)</f>
        <v>cái</v>
      </c>
      <c r="G749" s="321">
        <f t="shared" si="54"/>
        <v>12748</v>
      </c>
      <c r="H749" s="317"/>
      <c r="I749" s="313">
        <v>5</v>
      </c>
      <c r="J749" s="321"/>
      <c r="K749" s="168">
        <f t="shared" si="50"/>
        <v>63740</v>
      </c>
      <c r="L749" s="30"/>
      <c r="M749" s="67"/>
    </row>
    <row r="750" spans="1:13" ht="13.2">
      <c r="A750" s="75"/>
      <c r="B750" s="311" t="s">
        <v>337</v>
      </c>
      <c r="C750" s="322">
        <v>45360</v>
      </c>
      <c r="D750" s="16" t="s">
        <v>738</v>
      </c>
      <c r="E750" s="143" t="str">
        <f>VLOOKUP(D750,'Danh mục hàng hóa'!$C$3:$D$643,2,0)</f>
        <v>Kẹp tóc hoa sứ cam</v>
      </c>
      <c r="F750" s="144" t="str">
        <f>VLOOKUP(D750,'Danh mục hàng hóa'!$C$3:$E$656,3,0)</f>
        <v>cái</v>
      </c>
      <c r="G750" s="321">
        <f t="shared" si="54"/>
        <v>12748</v>
      </c>
      <c r="H750" s="317"/>
      <c r="I750" s="313">
        <v>5</v>
      </c>
      <c r="J750" s="321"/>
      <c r="K750" s="168">
        <f t="shared" si="50"/>
        <v>63740</v>
      </c>
      <c r="L750" s="30"/>
      <c r="M750" s="67"/>
    </row>
    <row r="751" spans="1:13" ht="13.2">
      <c r="A751" s="75"/>
      <c r="B751" s="311" t="s">
        <v>337</v>
      </c>
      <c r="C751" s="322">
        <v>45360</v>
      </c>
      <c r="D751" s="16" t="s">
        <v>740</v>
      </c>
      <c r="E751" s="143" t="str">
        <f>VLOOKUP(D751,'Danh mục hàng hóa'!$C$3:$D$643,2,0)</f>
        <v>Kẹp tóc hoa sứ đỏ</v>
      </c>
      <c r="F751" s="144" t="str">
        <f>VLOOKUP(D751,'Danh mục hàng hóa'!$C$3:$E$656,3,0)</f>
        <v>cái</v>
      </c>
      <c r="G751" s="321">
        <f t="shared" si="54"/>
        <v>12748</v>
      </c>
      <c r="H751" s="317"/>
      <c r="I751" s="313">
        <v>10</v>
      </c>
      <c r="J751" s="321"/>
      <c r="K751" s="168">
        <f t="shared" si="50"/>
        <v>127480</v>
      </c>
      <c r="L751" s="30"/>
      <c r="M751" s="67"/>
    </row>
    <row r="752" spans="1:13" ht="13.2">
      <c r="A752" s="75"/>
      <c r="B752" s="311" t="s">
        <v>337</v>
      </c>
      <c r="C752" s="322">
        <v>45360</v>
      </c>
      <c r="D752" s="16" t="s">
        <v>744</v>
      </c>
      <c r="E752" s="143" t="str">
        <f>VLOOKUP(D752,'Danh mục hàng hóa'!$C$3:$D$643,2,0)</f>
        <v>Kẹp tóc hoa sứ đỏ hồng đậm</v>
      </c>
      <c r="F752" s="144" t="str">
        <f>VLOOKUP(D752,'Danh mục hàng hóa'!$C$3:$E$656,3,0)</f>
        <v>cái</v>
      </c>
      <c r="G752" s="321">
        <f t="shared" si="54"/>
        <v>12748</v>
      </c>
      <c r="H752" s="317"/>
      <c r="I752" s="313">
        <v>10</v>
      </c>
      <c r="J752" s="321"/>
      <c r="K752" s="168">
        <f t="shared" si="50"/>
        <v>127480</v>
      </c>
      <c r="L752" s="30"/>
      <c r="M752" s="67"/>
    </row>
    <row r="753" spans="1:13" ht="13.2">
      <c r="A753" s="75"/>
      <c r="B753" s="311" t="s">
        <v>337</v>
      </c>
      <c r="C753" s="322">
        <v>45360</v>
      </c>
      <c r="D753" s="16" t="s">
        <v>748</v>
      </c>
      <c r="E753" s="143" t="str">
        <f>VLOOKUP(D753,'Danh mục hàng hóa'!$C$3:$D$643,2,0)</f>
        <v>Kẹp tóc hoa năm cánh đỏ hồng</v>
      </c>
      <c r="F753" s="144" t="str">
        <f>VLOOKUP(D753,'Danh mục hàng hóa'!$C$3:$E$656,3,0)</f>
        <v>cái</v>
      </c>
      <c r="G753" s="321">
        <f t="shared" si="54"/>
        <v>12748</v>
      </c>
      <c r="H753" s="317"/>
      <c r="I753" s="313">
        <v>5</v>
      </c>
      <c r="J753" s="321"/>
      <c r="K753" s="168">
        <f t="shared" si="50"/>
        <v>63740</v>
      </c>
      <c r="L753" s="30"/>
      <c r="M753" s="67"/>
    </row>
    <row r="754" spans="1:13" ht="13.2">
      <c r="A754" s="75"/>
      <c r="B754" s="311" t="s">
        <v>337</v>
      </c>
      <c r="C754" s="322">
        <v>45360</v>
      </c>
      <c r="D754" s="16" t="s">
        <v>424</v>
      </c>
      <c r="E754" s="143" t="str">
        <f>VLOOKUP(D754,'Danh mục hàng hóa'!$C$3:$D$643,2,0)</f>
        <v>Túi chườm bụng vịt vàng 500ml</v>
      </c>
      <c r="F754" s="144" t="str">
        <f>VLOOKUP(D754,'Danh mục hàng hóa'!$C$3:$E$656,3,0)</f>
        <v>túi</v>
      </c>
      <c r="G754" s="320">
        <v>60000</v>
      </c>
      <c r="H754" s="317"/>
      <c r="I754" s="313">
        <v>1</v>
      </c>
      <c r="J754" s="321"/>
      <c r="K754" s="168">
        <f t="shared" si="50"/>
        <v>60000</v>
      </c>
      <c r="L754" s="30"/>
      <c r="M754" s="67"/>
    </row>
    <row r="755" spans="1:13" ht="13.2">
      <c r="A755" s="75"/>
      <c r="B755" s="311" t="s">
        <v>337</v>
      </c>
      <c r="C755" s="322">
        <v>45360</v>
      </c>
      <c r="D755" s="16" t="s">
        <v>917</v>
      </c>
      <c r="E755" s="143" t="str">
        <f>VLOOKUP(D755,'Danh mục hàng hóa'!$C$3:$D$643,2,0)</f>
        <v>Thỏ đi vịt gắn xe</v>
      </c>
      <c r="F755" s="144" t="str">
        <f>VLOOKUP(D755,'Danh mục hàng hóa'!$C$3:$E$656,3,0)</f>
        <v>cái</v>
      </c>
      <c r="G755" s="321">
        <f t="shared" ref="G755:G756" si="55">(154874-60000)/3</f>
        <v>31624.666666666668</v>
      </c>
      <c r="H755" s="317"/>
      <c r="I755" s="313">
        <v>2</v>
      </c>
      <c r="J755" s="321"/>
      <c r="K755" s="168">
        <f t="shared" si="50"/>
        <v>63249.333333333336</v>
      </c>
      <c r="L755" s="30"/>
      <c r="M755" s="67"/>
    </row>
    <row r="756" spans="1:13" ht="13.2">
      <c r="A756" s="75"/>
      <c r="B756" s="311" t="s">
        <v>337</v>
      </c>
      <c r="C756" s="322">
        <v>45360</v>
      </c>
      <c r="D756" s="16" t="s">
        <v>919</v>
      </c>
      <c r="E756" s="143" t="str">
        <f>VLOOKUP(D756,'Danh mục hàng hóa'!$C$3:$D$643,2,0)</f>
        <v>Thỏ mặt trăng gắn xe</v>
      </c>
      <c r="F756" s="144" t="str">
        <f>VLOOKUP(D756,'Danh mục hàng hóa'!$C$3:$E$656,3,0)</f>
        <v>cái</v>
      </c>
      <c r="G756" s="321">
        <f t="shared" si="55"/>
        <v>31624.666666666668</v>
      </c>
      <c r="H756" s="317"/>
      <c r="I756" s="313">
        <v>1</v>
      </c>
      <c r="J756" s="321"/>
      <c r="K756" s="168">
        <f t="shared" si="50"/>
        <v>31624.666666666668</v>
      </c>
      <c r="L756" s="30"/>
      <c r="M756" s="67"/>
    </row>
    <row r="757" spans="1:13" ht="13.2">
      <c r="A757" s="75"/>
      <c r="B757" s="311" t="s">
        <v>337</v>
      </c>
      <c r="C757" s="322">
        <v>45360</v>
      </c>
      <c r="D757" s="16" t="s">
        <v>732</v>
      </c>
      <c r="E757" s="143" t="str">
        <f>VLOOKUP(D757,'Danh mục hàng hóa'!$C$3:$D$643,2,0)</f>
        <v>Kẹp tóc hoa sứ tím</v>
      </c>
      <c r="F757" s="144" t="str">
        <f>VLOOKUP(D757,'Danh mục hàng hóa'!$C$3:$E$656,3,0)</f>
        <v>cái</v>
      </c>
      <c r="G757" s="321">
        <f t="shared" ref="G757:G762" si="56">78180/6</f>
        <v>13030</v>
      </c>
      <c r="H757" s="317"/>
      <c r="I757" s="313">
        <v>1</v>
      </c>
      <c r="J757" s="321"/>
      <c r="K757" s="168">
        <f t="shared" si="50"/>
        <v>13030</v>
      </c>
      <c r="L757" s="30"/>
      <c r="M757" s="67"/>
    </row>
    <row r="758" spans="1:13" ht="13.2">
      <c r="A758" s="75"/>
      <c r="B758" s="311" t="s">
        <v>337</v>
      </c>
      <c r="C758" s="322">
        <v>45360</v>
      </c>
      <c r="D758" s="16" t="s">
        <v>734</v>
      </c>
      <c r="E758" s="143" t="str">
        <f>VLOOKUP(D758,'Danh mục hàng hóa'!$C$3:$D$643,2,0)</f>
        <v>Kẹp tóc hoa sứ hồng</v>
      </c>
      <c r="F758" s="144" t="str">
        <f>VLOOKUP(D758,'Danh mục hàng hóa'!$C$3:$E$656,3,0)</f>
        <v>cái</v>
      </c>
      <c r="G758" s="321">
        <f t="shared" si="56"/>
        <v>13030</v>
      </c>
      <c r="H758" s="317"/>
      <c r="I758" s="313">
        <v>1</v>
      </c>
      <c r="J758" s="321"/>
      <c r="K758" s="168">
        <f t="shared" si="50"/>
        <v>13030</v>
      </c>
      <c r="L758" s="30"/>
      <c r="M758" s="67"/>
    </row>
    <row r="759" spans="1:13" ht="13.2">
      <c r="A759" s="75"/>
      <c r="B759" s="311" t="s">
        <v>337</v>
      </c>
      <c r="C759" s="322">
        <v>45360</v>
      </c>
      <c r="D759" s="16" t="s">
        <v>736</v>
      </c>
      <c r="E759" s="143" t="str">
        <f>VLOOKUP(D759,'Danh mục hàng hóa'!$C$3:$D$643,2,0)</f>
        <v>Kẹp tóc hoa sứ vàng</v>
      </c>
      <c r="F759" s="144" t="str">
        <f>VLOOKUP(D759,'Danh mục hàng hóa'!$C$3:$E$656,3,0)</f>
        <v>cái</v>
      </c>
      <c r="G759" s="321">
        <f t="shared" si="56"/>
        <v>13030</v>
      </c>
      <c r="H759" s="317"/>
      <c r="I759" s="313">
        <v>1</v>
      </c>
      <c r="J759" s="321"/>
      <c r="K759" s="168">
        <f t="shared" si="50"/>
        <v>13030</v>
      </c>
      <c r="L759" s="30"/>
      <c r="M759" s="67"/>
    </row>
    <row r="760" spans="1:13" ht="13.2">
      <c r="A760" s="75"/>
      <c r="B760" s="311" t="s">
        <v>337</v>
      </c>
      <c r="C760" s="322">
        <v>45360</v>
      </c>
      <c r="D760" s="16" t="s">
        <v>738</v>
      </c>
      <c r="E760" s="143" t="str">
        <f>VLOOKUP(D760,'Danh mục hàng hóa'!$C$3:$D$643,2,0)</f>
        <v>Kẹp tóc hoa sứ cam</v>
      </c>
      <c r="F760" s="144" t="str">
        <f>VLOOKUP(D760,'Danh mục hàng hóa'!$C$3:$E$656,3,0)</f>
        <v>cái</v>
      </c>
      <c r="G760" s="321">
        <f t="shared" si="56"/>
        <v>13030</v>
      </c>
      <c r="H760" s="317"/>
      <c r="I760" s="313">
        <v>1</v>
      </c>
      <c r="J760" s="321"/>
      <c r="K760" s="168">
        <f t="shared" si="50"/>
        <v>13030</v>
      </c>
      <c r="L760" s="30"/>
      <c r="M760" s="67"/>
    </row>
    <row r="761" spans="1:13" ht="13.2">
      <c r="A761" s="75"/>
      <c r="B761" s="311" t="s">
        <v>337</v>
      </c>
      <c r="C761" s="322">
        <v>45360</v>
      </c>
      <c r="D761" s="16" t="s">
        <v>744</v>
      </c>
      <c r="E761" s="143" t="str">
        <f>VLOOKUP(D761,'Danh mục hàng hóa'!$C$3:$D$643,2,0)</f>
        <v>Kẹp tóc hoa sứ đỏ hồng đậm</v>
      </c>
      <c r="F761" s="144" t="str">
        <f>VLOOKUP(D761,'Danh mục hàng hóa'!$C$3:$E$656,3,0)</f>
        <v>cái</v>
      </c>
      <c r="G761" s="321">
        <f t="shared" si="56"/>
        <v>13030</v>
      </c>
      <c r="H761" s="317"/>
      <c r="I761" s="313">
        <v>1</v>
      </c>
      <c r="J761" s="321"/>
      <c r="K761" s="168">
        <f t="shared" si="50"/>
        <v>13030</v>
      </c>
      <c r="L761" s="30"/>
      <c r="M761" s="67"/>
    </row>
    <row r="762" spans="1:13" ht="13.2">
      <c r="A762" s="75"/>
      <c r="B762" s="311" t="s">
        <v>337</v>
      </c>
      <c r="C762" s="322">
        <v>45360</v>
      </c>
      <c r="D762" s="16" t="s">
        <v>760</v>
      </c>
      <c r="E762" s="143" t="str">
        <f>VLOOKUP(D762,'Danh mục hàng hóa'!$C$3:$D$643,2,0)</f>
        <v>Kẹp tóc màu vàng trơn</v>
      </c>
      <c r="F762" s="144" t="str">
        <f>VLOOKUP(D762,'Danh mục hàng hóa'!$C$3:$E$656,3,0)</f>
        <v>cái</v>
      </c>
      <c r="G762" s="321">
        <f t="shared" si="56"/>
        <v>13030</v>
      </c>
      <c r="H762" s="317"/>
      <c r="I762" s="313">
        <v>1</v>
      </c>
      <c r="J762" s="321"/>
      <c r="K762" s="168">
        <f t="shared" si="50"/>
        <v>13030</v>
      </c>
      <c r="L762" s="30"/>
      <c r="M762" s="67"/>
    </row>
    <row r="763" spans="1:13" ht="13.2">
      <c r="A763" s="75"/>
      <c r="B763" s="311" t="s">
        <v>337</v>
      </c>
      <c r="C763" s="322">
        <v>45360</v>
      </c>
      <c r="D763" s="16" t="s">
        <v>740</v>
      </c>
      <c r="E763" s="143" t="str">
        <f>VLOOKUP(D763,'Danh mục hàng hóa'!$C$3:$D$643,2,0)</f>
        <v>Kẹp tóc hoa sứ đỏ</v>
      </c>
      <c r="F763" s="144" t="str">
        <f>VLOOKUP(D763,'Danh mục hàng hóa'!$C$3:$E$656,3,0)</f>
        <v>cái</v>
      </c>
      <c r="G763" s="321">
        <f t="shared" ref="G763:G764" si="57">26048/2</f>
        <v>13024</v>
      </c>
      <c r="H763" s="317"/>
      <c r="I763" s="313">
        <v>1</v>
      </c>
      <c r="J763" s="321"/>
      <c r="K763" s="168">
        <f t="shared" si="50"/>
        <v>13024</v>
      </c>
      <c r="L763" s="30"/>
      <c r="M763" s="67"/>
    </row>
    <row r="764" spans="1:13" ht="13.2">
      <c r="A764" s="75"/>
      <c r="B764" s="311" t="s">
        <v>337</v>
      </c>
      <c r="C764" s="322">
        <v>45360</v>
      </c>
      <c r="D764" s="16" t="s">
        <v>742</v>
      </c>
      <c r="E764" s="143" t="str">
        <f>VLOOKUP(D764,'Danh mục hàng hóa'!$C$3:$D$643,2,0)</f>
        <v>Kẹp tóc hoa sứ xanh</v>
      </c>
      <c r="F764" s="144" t="str">
        <f>VLOOKUP(D764,'Danh mục hàng hóa'!$C$3:$E$656,3,0)</f>
        <v>cái</v>
      </c>
      <c r="G764" s="321">
        <f t="shared" si="57"/>
        <v>13024</v>
      </c>
      <c r="H764" s="317"/>
      <c r="I764" s="313">
        <v>1</v>
      </c>
      <c r="J764" s="321"/>
      <c r="K764" s="168">
        <f t="shared" si="50"/>
        <v>13024</v>
      </c>
      <c r="L764" s="30"/>
      <c r="M764" s="67"/>
    </row>
    <row r="765" spans="1:13" ht="13.2">
      <c r="A765" s="75"/>
      <c r="B765" s="311" t="s">
        <v>337</v>
      </c>
      <c r="C765" s="322">
        <v>45360</v>
      </c>
      <c r="D765" s="16" t="s">
        <v>891</v>
      </c>
      <c r="E765" s="143" t="str">
        <f>VLOOKUP(D765,'Danh mục hàng hóa'!$C$3:$D$643,2,0)</f>
        <v>Heo ú</v>
      </c>
      <c r="F765" s="144" t="str">
        <f>VLOOKUP(D765,'Danh mục hàng hóa'!$C$3:$E$656,3,0)</f>
        <v>cái</v>
      </c>
      <c r="G765" s="320">
        <v>43752</v>
      </c>
      <c r="H765" s="317"/>
      <c r="I765" s="313">
        <v>1</v>
      </c>
      <c r="J765" s="321"/>
      <c r="K765" s="168">
        <f t="shared" si="50"/>
        <v>43752</v>
      </c>
      <c r="L765" s="30"/>
      <c r="M765" s="67"/>
    </row>
    <row r="766" spans="1:13" ht="13.2">
      <c r="A766" s="75"/>
      <c r="B766" s="311" t="s">
        <v>337</v>
      </c>
      <c r="C766" s="322">
        <v>45360</v>
      </c>
      <c r="D766" s="16" t="s">
        <v>891</v>
      </c>
      <c r="E766" s="143" t="str">
        <f>VLOOKUP(D766,'Danh mục hàng hóa'!$C$3:$D$643,2,0)</f>
        <v>Heo ú</v>
      </c>
      <c r="F766" s="144" t="str">
        <f>VLOOKUP(D766,'Danh mục hàng hóa'!$C$3:$E$656,3,0)</f>
        <v>cái</v>
      </c>
      <c r="G766" s="320">
        <v>44000</v>
      </c>
      <c r="H766" s="317"/>
      <c r="I766" s="313">
        <v>2</v>
      </c>
      <c r="J766" s="321"/>
      <c r="K766" s="168">
        <f t="shared" si="50"/>
        <v>88000</v>
      </c>
      <c r="L766" s="30"/>
      <c r="M766" s="67"/>
    </row>
    <row r="767" spans="1:13" ht="13.2">
      <c r="A767" s="75"/>
      <c r="B767" s="311" t="s">
        <v>337</v>
      </c>
      <c r="C767" s="322">
        <v>45360</v>
      </c>
      <c r="D767" s="16" t="s">
        <v>977</v>
      </c>
      <c r="E767" s="143" t="str">
        <f>VLOOKUP(D767,'Danh mục hàng hóa'!$C$3:$D$643,2,0)</f>
        <v>Móc khóa đôi heo</v>
      </c>
      <c r="F767" s="144" t="str">
        <f>VLOOKUP(D767,'Danh mục hàng hóa'!$C$3:$E$656,3,0)</f>
        <v>cái</v>
      </c>
      <c r="G767" s="320">
        <v>43240</v>
      </c>
      <c r="H767" s="317"/>
      <c r="I767" s="313">
        <v>1</v>
      </c>
      <c r="J767" s="321"/>
      <c r="K767" s="168">
        <f t="shared" si="50"/>
        <v>43240</v>
      </c>
      <c r="L767" s="30"/>
      <c r="M767" s="67"/>
    </row>
    <row r="768" spans="1:13" ht="13.2">
      <c r="A768" s="75"/>
      <c r="B768" s="311" t="s">
        <v>337</v>
      </c>
      <c r="C768" s="322">
        <v>45360</v>
      </c>
      <c r="D768" s="16" t="s">
        <v>895</v>
      </c>
      <c r="E768" s="143" t="str">
        <f>VLOOKUP(D768,'Danh mục hàng hóa'!$C$3:$D$643,2,0)</f>
        <v>Thỏ chong chóng</v>
      </c>
      <c r="F768" s="144" t="str">
        <f>VLOOKUP(D768,'Danh mục hàng hóa'!$C$3:$E$656,3,0)</f>
        <v>cái</v>
      </c>
      <c r="G768" s="320">
        <v>43592</v>
      </c>
      <c r="H768" s="317"/>
      <c r="I768" s="313">
        <v>1</v>
      </c>
      <c r="J768" s="321"/>
      <c r="K768" s="168">
        <f t="shared" si="50"/>
        <v>43592</v>
      </c>
      <c r="L768" s="30"/>
      <c r="M768" s="67"/>
    </row>
    <row r="769" spans="1:13" ht="13.2">
      <c r="A769" s="75"/>
      <c r="B769" s="311" t="s">
        <v>337</v>
      </c>
      <c r="C769" s="322">
        <v>45360</v>
      </c>
      <c r="D769" s="16" t="s">
        <v>891</v>
      </c>
      <c r="E769" s="143" t="str">
        <f>VLOOKUP(D769,'Danh mục hàng hóa'!$C$3:$D$643,2,0)</f>
        <v>Heo ú</v>
      </c>
      <c r="F769" s="144" t="str">
        <f>VLOOKUP(D769,'Danh mục hàng hóa'!$C$3:$E$656,3,0)</f>
        <v>cái</v>
      </c>
      <c r="G769" s="320">
        <v>43852</v>
      </c>
      <c r="H769" s="317"/>
      <c r="I769" s="313">
        <v>1</v>
      </c>
      <c r="J769" s="321"/>
      <c r="K769" s="168">
        <f t="shared" si="50"/>
        <v>43852</v>
      </c>
      <c r="L769" s="30"/>
      <c r="M769" s="67"/>
    </row>
    <row r="770" spans="1:13" ht="13.2">
      <c r="A770" s="75"/>
      <c r="B770" s="311" t="s">
        <v>337</v>
      </c>
      <c r="C770" s="322">
        <v>45360</v>
      </c>
      <c r="D770" s="16" t="s">
        <v>887</v>
      </c>
      <c r="E770" s="143" t="str">
        <f>VLOOKUP(D770,'Danh mục hàng hóa'!$C$3:$D$643,2,0)</f>
        <v>Mèo chong chóng</v>
      </c>
      <c r="F770" s="144" t="str">
        <f>VLOOKUP(D770,'Danh mục hàng hóa'!$C$3:$E$656,3,0)</f>
        <v>cái</v>
      </c>
      <c r="G770" s="321">
        <f t="shared" ref="G770:G771" si="58">84392/2</f>
        <v>42196</v>
      </c>
      <c r="H770" s="317"/>
      <c r="I770" s="313">
        <v>1</v>
      </c>
      <c r="J770" s="321"/>
      <c r="K770" s="168">
        <f t="shared" si="50"/>
        <v>42196</v>
      </c>
      <c r="L770" s="30"/>
      <c r="M770" s="67"/>
    </row>
    <row r="771" spans="1:13" ht="13.2">
      <c r="A771" s="75"/>
      <c r="B771" s="311" t="s">
        <v>337</v>
      </c>
      <c r="C771" s="322">
        <v>45360</v>
      </c>
      <c r="D771" s="16" t="s">
        <v>891</v>
      </c>
      <c r="E771" s="143" t="str">
        <f>VLOOKUP(D771,'Danh mục hàng hóa'!$C$3:$D$643,2,0)</f>
        <v>Heo ú</v>
      </c>
      <c r="F771" s="144" t="str">
        <f>VLOOKUP(D771,'Danh mục hàng hóa'!$C$3:$E$656,3,0)</f>
        <v>cái</v>
      </c>
      <c r="G771" s="321">
        <f t="shared" si="58"/>
        <v>42196</v>
      </c>
      <c r="H771" s="317"/>
      <c r="I771" s="313">
        <v>1</v>
      </c>
      <c r="J771" s="321"/>
      <c r="K771" s="168">
        <f t="shared" si="50"/>
        <v>42196</v>
      </c>
      <c r="L771" s="30"/>
      <c r="M771" s="67"/>
    </row>
    <row r="772" spans="1:13" ht="13.2">
      <c r="A772" s="75"/>
      <c r="B772" s="311" t="s">
        <v>337</v>
      </c>
      <c r="C772" s="322">
        <v>45360</v>
      </c>
      <c r="D772" s="16" t="s">
        <v>736</v>
      </c>
      <c r="E772" s="143" t="str">
        <f>VLOOKUP(D772,'Danh mục hàng hóa'!$C$3:$D$643,2,0)</f>
        <v>Kẹp tóc hoa sứ vàng</v>
      </c>
      <c r="F772" s="144" t="str">
        <f>VLOOKUP(D772,'Danh mục hàng hóa'!$C$3:$E$656,3,0)</f>
        <v>cái</v>
      </c>
      <c r="G772" s="320">
        <v>15000</v>
      </c>
      <c r="H772" s="317"/>
      <c r="I772" s="313">
        <v>1</v>
      </c>
      <c r="J772" s="321"/>
      <c r="K772" s="168">
        <f t="shared" si="50"/>
        <v>15000</v>
      </c>
      <c r="L772" s="30"/>
      <c r="M772" s="67"/>
    </row>
    <row r="773" spans="1:13" ht="13.2">
      <c r="A773" s="75"/>
      <c r="B773" s="311" t="s">
        <v>337</v>
      </c>
      <c r="C773" s="322">
        <v>45360</v>
      </c>
      <c r="D773" s="16" t="s">
        <v>1072</v>
      </c>
      <c r="E773" s="143" t="str">
        <f>VLOOKUP(D773,'Danh mục hàng hóa'!$C$3:$D$643,2,0)</f>
        <v>Vớ trắng mỏng tulip hồng</v>
      </c>
      <c r="F773" s="144" t="str">
        <f>VLOOKUP(D773,'Danh mục hàng hóa'!$C$3:$E$656,3,0)</f>
        <v>đôi</v>
      </c>
      <c r="G773" s="320">
        <v>8336</v>
      </c>
      <c r="H773" s="317"/>
      <c r="I773" s="313">
        <v>1</v>
      </c>
      <c r="J773" s="321"/>
      <c r="K773" s="168">
        <f t="shared" si="50"/>
        <v>8336</v>
      </c>
      <c r="L773" s="30"/>
      <c r="M773" s="67"/>
    </row>
    <row r="774" spans="1:13" ht="13.2">
      <c r="A774" s="75"/>
      <c r="B774" s="311" t="s">
        <v>337</v>
      </c>
      <c r="C774" s="322">
        <v>45360</v>
      </c>
      <c r="D774" s="16" t="s">
        <v>738</v>
      </c>
      <c r="E774" s="143" t="str">
        <f>VLOOKUP(D774,'Danh mục hàng hóa'!$C$3:$D$643,2,0)</f>
        <v>Kẹp tóc hoa sứ cam</v>
      </c>
      <c r="F774" s="144" t="str">
        <f>VLOOKUP(D774,'Danh mục hàng hóa'!$C$3:$E$656,3,0)</f>
        <v>cái</v>
      </c>
      <c r="G774" s="321">
        <f t="shared" ref="G774:G775" si="59">29568/2</f>
        <v>14784</v>
      </c>
      <c r="H774" s="317"/>
      <c r="I774" s="313">
        <v>1</v>
      </c>
      <c r="J774" s="321"/>
      <c r="K774" s="168">
        <f t="shared" si="50"/>
        <v>14784</v>
      </c>
      <c r="L774" s="30"/>
      <c r="M774" s="67"/>
    </row>
    <row r="775" spans="1:13" ht="13.2">
      <c r="A775" s="75"/>
      <c r="B775" s="311" t="s">
        <v>337</v>
      </c>
      <c r="C775" s="322">
        <v>45360</v>
      </c>
      <c r="D775" s="16" t="s">
        <v>742</v>
      </c>
      <c r="E775" s="143" t="str">
        <f>VLOOKUP(D775,'Danh mục hàng hóa'!$C$3:$D$643,2,0)</f>
        <v>Kẹp tóc hoa sứ xanh</v>
      </c>
      <c r="F775" s="144" t="str">
        <f>VLOOKUP(D775,'Danh mục hàng hóa'!$C$3:$E$656,3,0)</f>
        <v>cái</v>
      </c>
      <c r="G775" s="321">
        <f t="shared" si="59"/>
        <v>14784</v>
      </c>
      <c r="H775" s="317"/>
      <c r="I775" s="313">
        <v>1</v>
      </c>
      <c r="J775" s="321"/>
      <c r="K775" s="168">
        <f t="shared" si="50"/>
        <v>14784</v>
      </c>
      <c r="L775" s="30"/>
      <c r="M775" s="67"/>
    </row>
    <row r="776" spans="1:13" ht="13.2">
      <c r="A776" s="75"/>
      <c r="B776" s="311" t="s">
        <v>337</v>
      </c>
      <c r="C776" s="322">
        <v>45361</v>
      </c>
      <c r="D776" s="16" t="s">
        <v>1934</v>
      </c>
      <c r="E776" s="143" t="str">
        <f>VLOOKUP(D776,'Danh mục hàng hóa'!$C$3:$D$643,2,0)</f>
        <v>Kẹp tóc hoa sứ tím</v>
      </c>
      <c r="F776" s="144" t="str">
        <f>VLOOKUP(D776,'Danh mục hàng hóa'!$C$3:$E$656,3,0)</f>
        <v>cái</v>
      </c>
      <c r="G776" s="321">
        <f t="shared" ref="G776:G778" si="60">53223/4</f>
        <v>13305.75</v>
      </c>
      <c r="H776" s="317"/>
      <c r="I776" s="313">
        <v>1</v>
      </c>
      <c r="J776" s="321"/>
      <c r="K776" s="168">
        <f t="shared" si="50"/>
        <v>13305.75</v>
      </c>
      <c r="L776" s="30"/>
      <c r="M776" s="67"/>
    </row>
    <row r="777" spans="1:13" ht="13.2">
      <c r="A777" s="75"/>
      <c r="B777" s="311" t="s">
        <v>337</v>
      </c>
      <c r="C777" s="322">
        <v>45361</v>
      </c>
      <c r="D777" s="16" t="s">
        <v>1937</v>
      </c>
      <c r="E777" s="143" t="str">
        <f>VLOOKUP(D777,'Danh mục hàng hóa'!$C$3:$D$643,2,0)</f>
        <v>Kẹp tóc hoa sứ cam</v>
      </c>
      <c r="F777" s="144" t="str">
        <f>VLOOKUP(D777,'Danh mục hàng hóa'!$C$3:$E$656,3,0)</f>
        <v>cái</v>
      </c>
      <c r="G777" s="321">
        <f t="shared" si="60"/>
        <v>13305.75</v>
      </c>
      <c r="H777" s="317"/>
      <c r="I777" s="313">
        <v>1</v>
      </c>
      <c r="J777" s="321"/>
      <c r="K777" s="168">
        <f t="shared" si="50"/>
        <v>13305.75</v>
      </c>
      <c r="L777" s="30"/>
      <c r="M777" s="67"/>
    </row>
    <row r="778" spans="1:13" ht="13.2">
      <c r="A778" s="75"/>
      <c r="B778" s="311" t="s">
        <v>337</v>
      </c>
      <c r="C778" s="322">
        <v>45361</v>
      </c>
      <c r="D778" s="16" t="s">
        <v>1939</v>
      </c>
      <c r="E778" s="143" t="str">
        <f>VLOOKUP(D778,'Danh mục hàng hóa'!$C$3:$D$643,2,0)</f>
        <v>Kẹp tóc hoa sứ đỏ hồng đậm</v>
      </c>
      <c r="F778" s="144" t="str">
        <f>VLOOKUP(D778,'Danh mục hàng hóa'!$C$3:$E$656,3,0)</f>
        <v>cái</v>
      </c>
      <c r="G778" s="321">
        <f t="shared" si="60"/>
        <v>13305.75</v>
      </c>
      <c r="H778" s="317"/>
      <c r="I778" s="313">
        <v>2</v>
      </c>
      <c r="J778" s="321"/>
      <c r="K778" s="168">
        <f t="shared" si="50"/>
        <v>26611.5</v>
      </c>
      <c r="L778" s="30"/>
      <c r="M778" s="67"/>
    </row>
    <row r="779" spans="1:13" ht="13.2">
      <c r="A779" s="75"/>
      <c r="B779" s="311" t="s">
        <v>337</v>
      </c>
      <c r="C779" s="322">
        <v>45361</v>
      </c>
      <c r="D779" s="16" t="s">
        <v>977</v>
      </c>
      <c r="E779" s="143" t="str">
        <f>VLOOKUP(D779,'Danh mục hàng hóa'!$C$3:$D$643,2,0)</f>
        <v>Móc khóa đôi heo</v>
      </c>
      <c r="F779" s="144" t="str">
        <f>VLOOKUP(D779,'Danh mục hàng hóa'!$C$3:$E$656,3,0)</f>
        <v>cái</v>
      </c>
      <c r="G779" s="320">
        <v>43420</v>
      </c>
      <c r="H779" s="317"/>
      <c r="I779" s="313">
        <v>1</v>
      </c>
      <c r="J779" s="321"/>
      <c r="K779" s="168">
        <f t="shared" si="50"/>
        <v>43420</v>
      </c>
      <c r="L779" s="30"/>
      <c r="M779" s="67"/>
    </row>
    <row r="780" spans="1:13" ht="13.2">
      <c r="A780" s="75"/>
      <c r="B780" s="311" t="s">
        <v>337</v>
      </c>
      <c r="C780" s="322">
        <v>45361</v>
      </c>
      <c r="D780" s="16" t="s">
        <v>424</v>
      </c>
      <c r="E780" s="143" t="str">
        <f>VLOOKUP(D780,'Danh mục hàng hóa'!$C$3:$D$643,2,0)</f>
        <v>Túi chườm bụng vịt vàng 500ml</v>
      </c>
      <c r="F780" s="144" t="str">
        <f>VLOOKUP(D780,'Danh mục hàng hóa'!$C$3:$E$656,3,0)</f>
        <v>túi</v>
      </c>
      <c r="G780" s="320">
        <v>57162</v>
      </c>
      <c r="H780" s="317"/>
      <c r="I780" s="313">
        <v>1</v>
      </c>
      <c r="J780" s="321"/>
      <c r="K780" s="168">
        <f t="shared" si="50"/>
        <v>57162</v>
      </c>
      <c r="L780" s="30"/>
      <c r="M780" s="67"/>
    </row>
    <row r="781" spans="1:13" ht="13.2">
      <c r="A781" s="75"/>
      <c r="B781" s="311" t="s">
        <v>337</v>
      </c>
      <c r="C781" s="322">
        <v>45361</v>
      </c>
      <c r="D781" s="16" t="s">
        <v>848</v>
      </c>
      <c r="E781" s="143" t="str">
        <f>VLOOKUP(D781,'Danh mục hàng hóa'!$C$3:$D$643,2,0)</f>
        <v>Hộp thuốc ông mặt trời</v>
      </c>
      <c r="F781" s="144" t="str">
        <f>VLOOKUP(D781,'Danh mục hàng hóa'!$C$3:$E$656,3,0)</f>
        <v>hộp</v>
      </c>
      <c r="G781" s="320">
        <v>10000</v>
      </c>
      <c r="H781" s="317"/>
      <c r="I781" s="313">
        <v>1</v>
      </c>
      <c r="J781" s="321"/>
      <c r="K781" s="168">
        <f t="shared" si="50"/>
        <v>10000</v>
      </c>
      <c r="L781" s="30"/>
      <c r="M781" s="67"/>
    </row>
    <row r="782" spans="1:13" ht="13.2">
      <c r="A782" s="75"/>
      <c r="B782" s="311" t="s">
        <v>337</v>
      </c>
      <c r="C782" s="322">
        <v>45361</v>
      </c>
      <c r="D782" s="16" t="s">
        <v>923</v>
      </c>
      <c r="E782" s="143" t="str">
        <f>VLOOKUP(D782,'Danh mục hàng hóa'!$C$3:$D$643,2,0)</f>
        <v>Kẹp khuếch tán tinh dầu vịt vàng</v>
      </c>
      <c r="F782" s="144" t="str">
        <f>VLOOKUP(D782,'Danh mục hàng hóa'!$C$3:$E$656,3,0)</f>
        <v>cái</v>
      </c>
      <c r="G782" s="320">
        <v>117952</v>
      </c>
      <c r="H782" s="317"/>
      <c r="I782" s="313">
        <v>1</v>
      </c>
      <c r="J782" s="321"/>
      <c r="K782" s="168">
        <f t="shared" si="50"/>
        <v>117952</v>
      </c>
      <c r="L782" s="30"/>
      <c r="M782" s="67"/>
    </row>
    <row r="783" spans="1:13" ht="13.2">
      <c r="A783" s="75"/>
      <c r="B783" s="311" t="s">
        <v>337</v>
      </c>
      <c r="C783" s="322">
        <v>45361</v>
      </c>
      <c r="D783" s="16" t="s">
        <v>738</v>
      </c>
      <c r="E783" s="143" t="str">
        <f>VLOOKUP(D783,'Danh mục hàng hóa'!$C$3:$D$643,2,0)</f>
        <v>Kẹp tóc hoa sứ cam</v>
      </c>
      <c r="F783" s="144" t="str">
        <f>VLOOKUP(D783,'Danh mục hàng hóa'!$C$3:$E$656,3,0)</f>
        <v>cái</v>
      </c>
      <c r="G783" s="321">
        <f t="shared" ref="G783:G784" si="61">26224/2</f>
        <v>13112</v>
      </c>
      <c r="H783" s="317"/>
      <c r="I783" s="313">
        <v>1</v>
      </c>
      <c r="J783" s="321"/>
      <c r="K783" s="168">
        <f t="shared" si="50"/>
        <v>13112</v>
      </c>
      <c r="L783" s="30"/>
      <c r="M783" s="67"/>
    </row>
    <row r="784" spans="1:13" ht="13.2">
      <c r="A784" s="75"/>
      <c r="B784" s="311" t="s">
        <v>337</v>
      </c>
      <c r="C784" s="322">
        <v>45361</v>
      </c>
      <c r="D784" s="16" t="s">
        <v>766</v>
      </c>
      <c r="E784" s="143" t="str">
        <f>VLOOKUP(D784,'Danh mục hàng hóa'!$C$3:$D$643,2,0)</f>
        <v>Kẹp tóc trắng trơn</v>
      </c>
      <c r="F784" s="144" t="str">
        <f>VLOOKUP(D784,'Danh mục hàng hóa'!$C$3:$E$656,3,0)</f>
        <v>cái</v>
      </c>
      <c r="G784" s="321">
        <f t="shared" si="61"/>
        <v>13112</v>
      </c>
      <c r="H784" s="317"/>
      <c r="I784" s="313">
        <v>1</v>
      </c>
      <c r="J784" s="321"/>
      <c r="K784" s="168">
        <f t="shared" si="50"/>
        <v>13112</v>
      </c>
      <c r="L784" s="30"/>
      <c r="M784" s="67"/>
    </row>
    <row r="785" spans="1:13" ht="13.2">
      <c r="A785" s="75"/>
      <c r="B785" s="311" t="s">
        <v>337</v>
      </c>
      <c r="C785" s="322">
        <v>45361</v>
      </c>
      <c r="D785" s="16" t="s">
        <v>734</v>
      </c>
      <c r="E785" s="143" t="str">
        <f>VLOOKUP(D785,'Danh mục hàng hóa'!$C$3:$D$643,2,0)</f>
        <v>Kẹp tóc hoa sứ hồng</v>
      </c>
      <c r="F785" s="144" t="str">
        <f>VLOOKUP(D785,'Danh mục hàng hóa'!$C$3:$E$656,3,0)</f>
        <v>cái</v>
      </c>
      <c r="G785" s="320">
        <v>15000</v>
      </c>
      <c r="H785" s="317"/>
      <c r="I785" s="313">
        <v>1</v>
      </c>
      <c r="J785" s="321"/>
      <c r="K785" s="168">
        <f t="shared" si="50"/>
        <v>15000</v>
      </c>
      <c r="L785" s="30"/>
      <c r="M785" s="67"/>
    </row>
    <row r="786" spans="1:13" ht="13.2">
      <c r="A786" s="75"/>
      <c r="B786" s="311" t="s">
        <v>337</v>
      </c>
      <c r="C786" s="322">
        <v>45361</v>
      </c>
      <c r="D786" s="16" t="s">
        <v>774</v>
      </c>
      <c r="E786" s="143" t="str">
        <f>VLOOKUP(D786,'Danh mục hàng hóa'!$C$3:$D$643,2,0)</f>
        <v>Kẹp tóc hoa lan 02</v>
      </c>
      <c r="F786" s="144" t="str">
        <f>VLOOKUP(D786,'Danh mục hàng hóa'!$C$3:$E$656,3,0)</f>
        <v>cái</v>
      </c>
      <c r="G786" s="320">
        <v>14413</v>
      </c>
      <c r="H786" s="317"/>
      <c r="I786" s="313">
        <v>1</v>
      </c>
      <c r="J786" s="321"/>
      <c r="K786" s="168">
        <f t="shared" si="50"/>
        <v>14413</v>
      </c>
      <c r="L786" s="30"/>
      <c r="M786" s="67"/>
    </row>
    <row r="787" spans="1:13" ht="13.2">
      <c r="A787" s="75"/>
      <c r="B787" s="311" t="s">
        <v>337</v>
      </c>
      <c r="C787" s="322">
        <v>45361</v>
      </c>
      <c r="D787" s="16" t="s">
        <v>732</v>
      </c>
      <c r="E787" s="143" t="str">
        <f>VLOOKUP(D787,'Danh mục hàng hóa'!$C$3:$D$643,2,0)</f>
        <v>Kẹp tóc hoa sứ tím</v>
      </c>
      <c r="F787" s="144" t="str">
        <f>VLOOKUP(D787,'Danh mục hàng hóa'!$C$3:$E$656,3,0)</f>
        <v>cái</v>
      </c>
      <c r="G787" s="321">
        <f t="shared" ref="G787:G789" si="62">66880/5</f>
        <v>13376</v>
      </c>
      <c r="H787" s="317"/>
      <c r="I787" s="313">
        <v>2</v>
      </c>
      <c r="J787" s="321"/>
      <c r="K787" s="168">
        <f t="shared" si="50"/>
        <v>26752</v>
      </c>
      <c r="L787" s="30"/>
      <c r="M787" s="67"/>
    </row>
    <row r="788" spans="1:13" ht="13.2">
      <c r="A788" s="75"/>
      <c r="B788" s="311" t="s">
        <v>337</v>
      </c>
      <c r="C788" s="322">
        <v>45361</v>
      </c>
      <c r="D788" s="16" t="s">
        <v>738</v>
      </c>
      <c r="E788" s="143" t="str">
        <f>VLOOKUP(D788,'Danh mục hàng hóa'!$C$3:$D$643,2,0)</f>
        <v>Kẹp tóc hoa sứ cam</v>
      </c>
      <c r="F788" s="144" t="str">
        <f>VLOOKUP(D788,'Danh mục hàng hóa'!$C$3:$E$656,3,0)</f>
        <v>cái</v>
      </c>
      <c r="G788" s="321">
        <f t="shared" si="62"/>
        <v>13376</v>
      </c>
      <c r="H788" s="317"/>
      <c r="I788" s="313">
        <v>1</v>
      </c>
      <c r="J788" s="321"/>
      <c r="K788" s="168">
        <f t="shared" si="50"/>
        <v>13376</v>
      </c>
      <c r="L788" s="30"/>
      <c r="M788" s="67"/>
    </row>
    <row r="789" spans="1:13" ht="13.2">
      <c r="A789" s="75"/>
      <c r="B789" s="311" t="s">
        <v>337</v>
      </c>
      <c r="C789" s="322">
        <v>45361</v>
      </c>
      <c r="D789" s="16" t="s">
        <v>734</v>
      </c>
      <c r="E789" s="143" t="str">
        <f>VLOOKUP(D789,'Danh mục hàng hóa'!$C$3:$D$643,2,0)</f>
        <v>Kẹp tóc hoa sứ hồng</v>
      </c>
      <c r="F789" s="144" t="str">
        <f>VLOOKUP(D789,'Danh mục hàng hóa'!$C$3:$E$656,3,0)</f>
        <v>cái</v>
      </c>
      <c r="G789" s="321">
        <f t="shared" si="62"/>
        <v>13376</v>
      </c>
      <c r="H789" s="317"/>
      <c r="I789" s="313">
        <v>2</v>
      </c>
      <c r="J789" s="321"/>
      <c r="K789" s="168">
        <f t="shared" si="50"/>
        <v>26752</v>
      </c>
      <c r="L789" s="30"/>
      <c r="M789" s="67"/>
    </row>
    <row r="790" spans="1:13" ht="13.2">
      <c r="A790" s="75"/>
      <c r="B790" s="311" t="s">
        <v>337</v>
      </c>
      <c r="C790" s="322">
        <v>45361</v>
      </c>
      <c r="D790" s="16" t="s">
        <v>977</v>
      </c>
      <c r="E790" s="143" t="str">
        <f>VLOOKUP(D790,'Danh mục hàng hóa'!$C$3:$D$643,2,0)</f>
        <v>Móc khóa đôi heo</v>
      </c>
      <c r="F790" s="144" t="str">
        <f>VLOOKUP(D790,'Danh mục hàng hóa'!$C$3:$E$656,3,0)</f>
        <v>cái</v>
      </c>
      <c r="G790" s="320">
        <v>42840</v>
      </c>
      <c r="H790" s="317"/>
      <c r="I790" s="313">
        <v>1</v>
      </c>
      <c r="J790" s="321"/>
      <c r="K790" s="168">
        <f t="shared" si="50"/>
        <v>42840</v>
      </c>
      <c r="L790" s="30"/>
      <c r="M790" s="67"/>
    </row>
    <row r="791" spans="1:13" ht="13.2">
      <c r="A791" s="75"/>
      <c r="B791" s="311" t="s">
        <v>337</v>
      </c>
      <c r="C791" s="322">
        <v>45361</v>
      </c>
      <c r="D791" s="16" t="s">
        <v>734</v>
      </c>
      <c r="E791" s="143" t="str">
        <f>VLOOKUP(D791,'Danh mục hàng hóa'!$C$3:$D$643,2,0)</f>
        <v>Kẹp tóc hoa sứ hồng</v>
      </c>
      <c r="F791" s="144" t="str">
        <f>VLOOKUP(D791,'Danh mục hàng hóa'!$C$3:$E$656,3,0)</f>
        <v>cái</v>
      </c>
      <c r="G791" s="320">
        <v>14464</v>
      </c>
      <c r="H791" s="317"/>
      <c r="I791" s="313">
        <v>1</v>
      </c>
      <c r="J791" s="321"/>
      <c r="K791" s="168">
        <f t="shared" si="50"/>
        <v>14464</v>
      </c>
      <c r="L791" s="30"/>
      <c r="M791" s="67"/>
    </row>
    <row r="792" spans="1:13" ht="13.2">
      <c r="A792" s="75"/>
      <c r="B792" s="311" t="s">
        <v>337</v>
      </c>
      <c r="C792" s="322">
        <v>45361</v>
      </c>
      <c r="D792" s="16" t="s">
        <v>738</v>
      </c>
      <c r="E792" s="143" t="str">
        <f>VLOOKUP(D792,'Danh mục hàng hóa'!$C$3:$D$643,2,0)</f>
        <v>Kẹp tóc hoa sứ cam</v>
      </c>
      <c r="F792" s="144" t="str">
        <f>VLOOKUP(D792,'Danh mục hàng hóa'!$C$3:$E$656,3,0)</f>
        <v>cái</v>
      </c>
      <c r="G792" s="320">
        <v>14724</v>
      </c>
      <c r="H792" s="317"/>
      <c r="I792" s="313">
        <v>1</v>
      </c>
      <c r="J792" s="321"/>
      <c r="K792" s="168">
        <f t="shared" si="50"/>
        <v>14724</v>
      </c>
      <c r="L792" s="30"/>
      <c r="M792" s="67"/>
    </row>
    <row r="793" spans="1:13" ht="13.2">
      <c r="A793" s="75"/>
      <c r="B793" s="311" t="s">
        <v>337</v>
      </c>
      <c r="C793" s="322">
        <v>45361</v>
      </c>
      <c r="D793" s="16" t="s">
        <v>734</v>
      </c>
      <c r="E793" s="143" t="str">
        <f>VLOOKUP(D793,'Danh mục hàng hóa'!$C$3:$D$643,2,0)</f>
        <v>Kẹp tóc hoa sứ hồng</v>
      </c>
      <c r="F793" s="144" t="str">
        <f>VLOOKUP(D793,'Danh mục hàng hóa'!$C$3:$E$656,3,0)</f>
        <v>cái</v>
      </c>
      <c r="G793" s="320">
        <v>16863</v>
      </c>
      <c r="H793" s="317"/>
      <c r="I793" s="313">
        <v>1</v>
      </c>
      <c r="J793" s="321"/>
      <c r="K793" s="168">
        <f t="shared" si="50"/>
        <v>16863</v>
      </c>
      <c r="L793" s="30"/>
      <c r="M793" s="67"/>
    </row>
    <row r="794" spans="1:13" ht="13.2">
      <c r="A794" s="75"/>
      <c r="B794" s="311" t="s">
        <v>337</v>
      </c>
      <c r="C794" s="322">
        <v>45361</v>
      </c>
      <c r="D794" s="16" t="s">
        <v>776</v>
      </c>
      <c r="E794" s="143" t="str">
        <f>VLOOKUP(D794,'Danh mục hàng hóa'!$C$3:$D$643,2,0)</f>
        <v>Kẹp tóc hoa lan 03</v>
      </c>
      <c r="F794" s="144" t="str">
        <f>VLOOKUP(D794,'Danh mục hàng hóa'!$C$3:$E$656,3,0)</f>
        <v>cái</v>
      </c>
      <c r="G794" s="320">
        <v>15000</v>
      </c>
      <c r="H794" s="317"/>
      <c r="I794" s="313">
        <v>1</v>
      </c>
      <c r="J794" s="321"/>
      <c r="K794" s="168">
        <f t="shared" si="50"/>
        <v>15000</v>
      </c>
      <c r="L794" s="30"/>
      <c r="M794" s="67"/>
    </row>
    <row r="795" spans="1:13" ht="13.2">
      <c r="A795" s="75"/>
      <c r="B795" s="311" t="s">
        <v>337</v>
      </c>
      <c r="C795" s="322">
        <v>45361</v>
      </c>
      <c r="D795" s="16" t="s">
        <v>891</v>
      </c>
      <c r="E795" s="143" t="str">
        <f>VLOOKUP(D795,'Danh mục hàng hóa'!$C$3:$D$643,2,0)</f>
        <v>Heo ú</v>
      </c>
      <c r="F795" s="144" t="str">
        <f>VLOOKUP(D795,'Danh mục hàng hóa'!$C$3:$E$656,3,0)</f>
        <v>cái</v>
      </c>
      <c r="G795" s="321">
        <f t="shared" ref="G795:G797" si="63">131772/3</f>
        <v>43924</v>
      </c>
      <c r="H795" s="317"/>
      <c r="I795" s="313">
        <v>1</v>
      </c>
      <c r="J795" s="321"/>
      <c r="K795" s="168">
        <f t="shared" si="50"/>
        <v>43924</v>
      </c>
      <c r="L795" s="30"/>
      <c r="M795" s="67"/>
    </row>
    <row r="796" spans="1:13" ht="13.2">
      <c r="A796" s="75"/>
      <c r="B796" s="311" t="s">
        <v>337</v>
      </c>
      <c r="C796" s="322">
        <v>45361</v>
      </c>
      <c r="D796" s="16" t="s">
        <v>895</v>
      </c>
      <c r="E796" s="143" t="str">
        <f>VLOOKUP(D796,'Danh mục hàng hóa'!$C$3:$D$643,2,0)</f>
        <v>Thỏ chong chóng</v>
      </c>
      <c r="F796" s="144" t="str">
        <f>VLOOKUP(D796,'Danh mục hàng hóa'!$C$3:$E$656,3,0)</f>
        <v>cái</v>
      </c>
      <c r="G796" s="321">
        <f t="shared" si="63"/>
        <v>43924</v>
      </c>
      <c r="H796" s="317"/>
      <c r="I796" s="313">
        <v>1</v>
      </c>
      <c r="J796" s="321"/>
      <c r="K796" s="168">
        <f t="shared" si="50"/>
        <v>43924</v>
      </c>
      <c r="L796" s="30"/>
      <c r="M796" s="67"/>
    </row>
    <row r="797" spans="1:13" ht="13.2">
      <c r="A797" s="75"/>
      <c r="B797" s="311" t="s">
        <v>337</v>
      </c>
      <c r="C797" s="322">
        <v>45361</v>
      </c>
      <c r="D797" s="16" t="s">
        <v>887</v>
      </c>
      <c r="E797" s="143" t="str">
        <f>VLOOKUP(D797,'Danh mục hàng hóa'!$C$3:$D$643,2,0)</f>
        <v>Mèo chong chóng</v>
      </c>
      <c r="F797" s="144" t="str">
        <f>VLOOKUP(D797,'Danh mục hàng hóa'!$C$3:$E$656,3,0)</f>
        <v>cái</v>
      </c>
      <c r="G797" s="321">
        <f t="shared" si="63"/>
        <v>43924</v>
      </c>
      <c r="H797" s="317"/>
      <c r="I797" s="313">
        <v>1</v>
      </c>
      <c r="J797" s="321"/>
      <c r="K797" s="168">
        <f t="shared" si="50"/>
        <v>43924</v>
      </c>
      <c r="L797" s="30"/>
      <c r="M797" s="67"/>
    </row>
    <row r="798" spans="1:13" ht="13.2">
      <c r="A798" s="75"/>
      <c r="B798" s="311" t="s">
        <v>337</v>
      </c>
      <c r="C798" s="322">
        <v>45361</v>
      </c>
      <c r="D798" s="16" t="s">
        <v>764</v>
      </c>
      <c r="E798" s="143" t="str">
        <f>VLOOKUP(D798,'Danh mục hàng hóa'!$C$3:$D$643,2,0)</f>
        <v>Kẹp tóc hồng nhạt trơn</v>
      </c>
      <c r="F798" s="144" t="str">
        <f>VLOOKUP(D798,'Danh mục hàng hóa'!$C$3:$E$656,3,0)</f>
        <v>cái</v>
      </c>
      <c r="G798" s="320">
        <v>11140</v>
      </c>
      <c r="H798" s="317"/>
      <c r="I798" s="313">
        <v>1</v>
      </c>
      <c r="J798" s="321"/>
      <c r="K798" s="168">
        <f t="shared" si="50"/>
        <v>11140</v>
      </c>
      <c r="L798" s="30"/>
      <c r="M798" s="67"/>
    </row>
    <row r="799" spans="1:13" ht="13.2">
      <c r="A799" s="75"/>
      <c r="B799" s="311" t="s">
        <v>337</v>
      </c>
      <c r="C799" s="322">
        <v>45361</v>
      </c>
      <c r="D799" s="16" t="s">
        <v>977</v>
      </c>
      <c r="E799" s="143" t="str">
        <f>VLOOKUP(D799,'Danh mục hàng hóa'!$C$3:$D$643,2,0)</f>
        <v>Móc khóa đôi heo</v>
      </c>
      <c r="F799" s="144" t="str">
        <f>VLOOKUP(D799,'Danh mục hàng hóa'!$C$3:$E$656,3,0)</f>
        <v>cái</v>
      </c>
      <c r="G799" s="320">
        <v>43064</v>
      </c>
      <c r="H799" s="317"/>
      <c r="I799" s="313">
        <v>1</v>
      </c>
      <c r="J799" s="321"/>
      <c r="K799" s="168">
        <f t="shared" si="50"/>
        <v>43064</v>
      </c>
      <c r="L799" s="30"/>
      <c r="M799" s="67"/>
    </row>
    <row r="800" spans="1:13" ht="13.2">
      <c r="A800" s="75"/>
      <c r="B800" s="311" t="s">
        <v>337</v>
      </c>
      <c r="C800" s="322">
        <v>45361</v>
      </c>
      <c r="D800" s="16" t="s">
        <v>705</v>
      </c>
      <c r="E800" s="143" t="str">
        <f>VLOOKUP(D800,'Danh mục hàng hóa'!$C$3:$D$643,2,0)</f>
        <v>Buộc tóc hồng nhung</v>
      </c>
      <c r="F800" s="144" t="str">
        <f>VLOOKUP(D800,'Danh mục hàng hóa'!$C$3:$E$656,3,0)</f>
        <v>cái</v>
      </c>
      <c r="G800" s="320">
        <v>10000</v>
      </c>
      <c r="H800" s="317"/>
      <c r="I800" s="313">
        <v>1</v>
      </c>
      <c r="J800" s="321"/>
      <c r="K800" s="168">
        <f t="shared" si="50"/>
        <v>10000</v>
      </c>
      <c r="L800" s="30"/>
      <c r="M800" s="67"/>
    </row>
    <row r="801" spans="1:13" ht="13.2">
      <c r="A801" s="75"/>
      <c r="B801" s="311" t="s">
        <v>337</v>
      </c>
      <c r="C801" s="322">
        <v>45361</v>
      </c>
      <c r="D801" s="16" t="s">
        <v>744</v>
      </c>
      <c r="E801" s="143" t="str">
        <f>VLOOKUP(D801,'Danh mục hàng hóa'!$C$3:$D$643,2,0)</f>
        <v>Kẹp tóc hoa sứ đỏ hồng đậm</v>
      </c>
      <c r="F801" s="144" t="str">
        <f>VLOOKUP(D801,'Danh mục hàng hóa'!$C$3:$E$656,3,0)</f>
        <v>cái</v>
      </c>
      <c r="G801" s="320">
        <v>13450</v>
      </c>
      <c r="H801" s="317"/>
      <c r="I801" s="313">
        <v>1</v>
      </c>
      <c r="J801" s="321"/>
      <c r="K801" s="168">
        <f t="shared" si="50"/>
        <v>13450</v>
      </c>
      <c r="L801" s="30"/>
      <c r="M801" s="67"/>
    </row>
    <row r="802" spans="1:13" ht="13.2">
      <c r="A802" s="75"/>
      <c r="B802" s="311" t="s">
        <v>337</v>
      </c>
      <c r="C802" s="322">
        <v>45361</v>
      </c>
      <c r="D802" s="16" t="s">
        <v>734</v>
      </c>
      <c r="E802" s="143" t="str">
        <f>VLOOKUP(D802,'Danh mục hàng hóa'!$C$3:$D$643,2,0)</f>
        <v>Kẹp tóc hoa sứ hồng</v>
      </c>
      <c r="F802" s="144" t="str">
        <f>VLOOKUP(D802,'Danh mục hàng hóa'!$C$3:$E$656,3,0)</f>
        <v>cái</v>
      </c>
      <c r="G802" s="320">
        <v>13450</v>
      </c>
      <c r="H802" s="317"/>
      <c r="I802" s="313">
        <v>2</v>
      </c>
      <c r="J802" s="321"/>
      <c r="K802" s="168">
        <f t="shared" si="50"/>
        <v>26900</v>
      </c>
      <c r="L802" s="30"/>
      <c r="M802" s="67"/>
    </row>
    <row r="803" spans="1:13" ht="13.2">
      <c r="A803" s="75"/>
      <c r="B803" s="311" t="s">
        <v>337</v>
      </c>
      <c r="C803" s="322">
        <v>45361</v>
      </c>
      <c r="D803" s="16" t="s">
        <v>762</v>
      </c>
      <c r="E803" s="143" t="str">
        <f>VLOOKUP(D803,'Danh mục hàng hóa'!$C$3:$D$643,2,0)</f>
        <v>Kẹp tóc hoa cam trơn</v>
      </c>
      <c r="F803" s="144" t="str">
        <f>VLOOKUP(D803,'Danh mục hàng hóa'!$C$3:$E$656,3,0)</f>
        <v>cái</v>
      </c>
      <c r="G803" s="320">
        <v>13450</v>
      </c>
      <c r="H803" s="317"/>
      <c r="I803" s="313">
        <v>1</v>
      </c>
      <c r="J803" s="321"/>
      <c r="K803" s="168">
        <f t="shared" si="50"/>
        <v>13450</v>
      </c>
      <c r="L803" s="30"/>
      <c r="M803" s="67"/>
    </row>
    <row r="804" spans="1:13" ht="13.2">
      <c r="A804" s="75"/>
      <c r="B804" s="311" t="s">
        <v>337</v>
      </c>
      <c r="C804" s="322">
        <v>45361</v>
      </c>
      <c r="D804" s="16" t="s">
        <v>764</v>
      </c>
      <c r="E804" s="143" t="str">
        <f>VLOOKUP(D804,'Danh mục hàng hóa'!$C$3:$D$643,2,0)</f>
        <v>Kẹp tóc hồng nhạt trơn</v>
      </c>
      <c r="F804" s="144" t="str">
        <f>VLOOKUP(D804,'Danh mục hàng hóa'!$C$3:$E$656,3,0)</f>
        <v>cái</v>
      </c>
      <c r="G804" s="320">
        <v>13450</v>
      </c>
      <c r="H804" s="317"/>
      <c r="I804" s="313">
        <v>1</v>
      </c>
      <c r="J804" s="321"/>
      <c r="K804" s="168">
        <f t="shared" si="50"/>
        <v>13450</v>
      </c>
      <c r="L804" s="30"/>
      <c r="M804" s="67"/>
    </row>
    <row r="805" spans="1:13" ht="13.2">
      <c r="A805" s="75"/>
      <c r="B805" s="311" t="s">
        <v>337</v>
      </c>
      <c r="C805" s="322">
        <v>45361</v>
      </c>
      <c r="D805" s="16" t="s">
        <v>766</v>
      </c>
      <c r="E805" s="143" t="str">
        <f>VLOOKUP(D805,'Danh mục hàng hóa'!$C$3:$D$643,2,0)</f>
        <v>Kẹp tóc trắng trơn</v>
      </c>
      <c r="F805" s="144" t="str">
        <f>VLOOKUP(D805,'Danh mục hàng hóa'!$C$3:$E$656,3,0)</f>
        <v>cái</v>
      </c>
      <c r="G805" s="320">
        <v>13450</v>
      </c>
      <c r="H805" s="317"/>
      <c r="I805" s="313">
        <v>1</v>
      </c>
      <c r="J805" s="321"/>
      <c r="K805" s="168">
        <f t="shared" si="50"/>
        <v>13450</v>
      </c>
      <c r="L805" s="30"/>
      <c r="M805" s="67"/>
    </row>
    <row r="806" spans="1:13" ht="13.2">
      <c r="A806" s="75"/>
      <c r="B806" s="311" t="s">
        <v>337</v>
      </c>
      <c r="C806" s="322">
        <v>45361</v>
      </c>
      <c r="D806" s="16" t="s">
        <v>738</v>
      </c>
      <c r="E806" s="143" t="str">
        <f>VLOOKUP(D806,'Danh mục hàng hóa'!$C$3:$D$643,2,0)</f>
        <v>Kẹp tóc hoa sứ cam</v>
      </c>
      <c r="F806" s="144" t="str">
        <f>VLOOKUP(D806,'Danh mục hàng hóa'!$C$3:$E$656,3,0)</f>
        <v>cái</v>
      </c>
      <c r="G806" s="320">
        <v>13450</v>
      </c>
      <c r="H806" s="317"/>
      <c r="I806" s="313">
        <v>2</v>
      </c>
      <c r="J806" s="321"/>
      <c r="K806" s="168">
        <f t="shared" si="50"/>
        <v>26900</v>
      </c>
      <c r="L806" s="30"/>
      <c r="M806" s="67"/>
    </row>
    <row r="807" spans="1:13" ht="13.2">
      <c r="A807" s="75"/>
      <c r="B807" s="311" t="s">
        <v>337</v>
      </c>
      <c r="C807" s="322">
        <v>45361</v>
      </c>
      <c r="D807" s="16" t="s">
        <v>732</v>
      </c>
      <c r="E807" s="143" t="str">
        <f>VLOOKUP(D807,'Danh mục hàng hóa'!$C$3:$D$643,2,0)</f>
        <v>Kẹp tóc hoa sứ tím</v>
      </c>
      <c r="F807" s="144" t="str">
        <f>VLOOKUP(D807,'Danh mục hàng hóa'!$C$3:$E$656,3,0)</f>
        <v>cái</v>
      </c>
      <c r="G807" s="320">
        <v>13450</v>
      </c>
      <c r="H807" s="317"/>
      <c r="I807" s="313">
        <v>3</v>
      </c>
      <c r="J807" s="321"/>
      <c r="K807" s="168">
        <f t="shared" si="50"/>
        <v>40350</v>
      </c>
      <c r="L807" s="30"/>
      <c r="M807" s="67"/>
    </row>
    <row r="808" spans="1:13" ht="13.2">
      <c r="A808" s="75"/>
      <c r="B808" s="311" t="s">
        <v>337</v>
      </c>
      <c r="C808" s="322">
        <v>45361</v>
      </c>
      <c r="D808" s="16" t="s">
        <v>738</v>
      </c>
      <c r="E808" s="143" t="str">
        <f>VLOOKUP(D808,'Danh mục hàng hóa'!$C$3:$D$643,2,0)</f>
        <v>Kẹp tóc hoa sứ cam</v>
      </c>
      <c r="F808" s="144" t="str">
        <f>VLOOKUP(D808,'Danh mục hàng hóa'!$C$3:$E$656,3,0)</f>
        <v>cái</v>
      </c>
      <c r="G808" s="320">
        <v>10000</v>
      </c>
      <c r="H808" s="317"/>
      <c r="I808" s="313">
        <v>1</v>
      </c>
      <c r="J808" s="321"/>
      <c r="K808" s="168">
        <f t="shared" si="50"/>
        <v>10000</v>
      </c>
      <c r="L808" s="30"/>
      <c r="M808" s="67"/>
    </row>
    <row r="809" spans="1:13" ht="13.2">
      <c r="A809" s="75"/>
      <c r="B809" s="311" t="s">
        <v>337</v>
      </c>
      <c r="C809" s="322">
        <v>45361</v>
      </c>
      <c r="D809" s="16" t="s">
        <v>740</v>
      </c>
      <c r="E809" s="143" t="str">
        <f>VLOOKUP(D809,'Danh mục hàng hóa'!$C$3:$D$643,2,0)</f>
        <v>Kẹp tóc hoa sứ đỏ</v>
      </c>
      <c r="F809" s="144" t="str">
        <f>VLOOKUP(D809,'Danh mục hàng hóa'!$C$3:$E$656,3,0)</f>
        <v>cái</v>
      </c>
      <c r="G809" s="320">
        <v>10000</v>
      </c>
      <c r="H809" s="317"/>
      <c r="I809" s="313">
        <v>1</v>
      </c>
      <c r="J809" s="321"/>
      <c r="K809" s="168">
        <f t="shared" si="50"/>
        <v>10000</v>
      </c>
      <c r="L809" s="30"/>
      <c r="M809" s="67"/>
    </row>
    <row r="810" spans="1:13" ht="13.2">
      <c r="A810" s="75"/>
      <c r="B810" s="311" t="s">
        <v>337</v>
      </c>
      <c r="C810" s="322">
        <v>45361</v>
      </c>
      <c r="D810" s="16" t="s">
        <v>732</v>
      </c>
      <c r="E810" s="143" t="str">
        <f>VLOOKUP(D810,'Danh mục hàng hóa'!$C$3:$D$643,2,0)</f>
        <v>Kẹp tóc hoa sứ tím</v>
      </c>
      <c r="F810" s="144" t="str">
        <f>VLOOKUP(D810,'Danh mục hàng hóa'!$C$3:$E$656,3,0)</f>
        <v>cái</v>
      </c>
      <c r="G810" s="320">
        <v>14724</v>
      </c>
      <c r="H810" s="317"/>
      <c r="I810" s="313">
        <v>1</v>
      </c>
      <c r="J810" s="321"/>
      <c r="K810" s="168">
        <f t="shared" si="50"/>
        <v>14724</v>
      </c>
      <c r="L810" s="30"/>
      <c r="M810" s="67"/>
    </row>
    <row r="811" spans="1:13" ht="13.2">
      <c r="A811" s="75"/>
      <c r="B811" s="311" t="s">
        <v>337</v>
      </c>
      <c r="C811" s="322">
        <v>45361</v>
      </c>
      <c r="D811" s="16" t="s">
        <v>732</v>
      </c>
      <c r="E811" s="143" t="str">
        <f>VLOOKUP(D811,'Danh mục hàng hóa'!$C$3:$D$643,2,0)</f>
        <v>Kẹp tóc hoa sứ tím</v>
      </c>
      <c r="F811" s="144" t="str">
        <f>VLOOKUP(D811,'Danh mục hàng hóa'!$C$3:$E$656,3,0)</f>
        <v>cái</v>
      </c>
      <c r="G811" s="320">
        <v>15043</v>
      </c>
      <c r="H811" s="317"/>
      <c r="I811" s="313">
        <v>1</v>
      </c>
      <c r="J811" s="321"/>
      <c r="K811" s="168">
        <f t="shared" si="50"/>
        <v>15043</v>
      </c>
      <c r="L811" s="30"/>
      <c r="M811" s="67"/>
    </row>
    <row r="812" spans="1:13" ht="13.2">
      <c r="A812" s="75"/>
      <c r="B812" s="311" t="s">
        <v>337</v>
      </c>
      <c r="C812" s="322">
        <v>45361</v>
      </c>
      <c r="D812" s="16" t="s">
        <v>776</v>
      </c>
      <c r="E812" s="143" t="str">
        <f>VLOOKUP(D812,'Danh mục hàng hóa'!$C$3:$D$643,2,0)</f>
        <v>Kẹp tóc hoa lan 03</v>
      </c>
      <c r="F812" s="144" t="str">
        <f>VLOOKUP(D812,'Danh mục hàng hóa'!$C$3:$E$656,3,0)</f>
        <v>cái</v>
      </c>
      <c r="G812" s="320">
        <v>17000</v>
      </c>
      <c r="H812" s="317"/>
      <c r="I812" s="313">
        <v>1</v>
      </c>
      <c r="J812" s="321"/>
      <c r="K812" s="168">
        <f t="shared" si="50"/>
        <v>17000</v>
      </c>
      <c r="L812" s="30"/>
      <c r="M812" s="67"/>
    </row>
    <row r="813" spans="1:13" ht="13.2">
      <c r="A813" s="75"/>
      <c r="B813" s="311" t="s">
        <v>337</v>
      </c>
      <c r="C813" s="322">
        <v>45361</v>
      </c>
      <c r="D813" s="16" t="s">
        <v>756</v>
      </c>
      <c r="E813" s="143" t="str">
        <f>VLOOKUP(D813,'Danh mục hàng hóa'!$C$3:$D$643,2,0)</f>
        <v>Kẹp tóc hoa năm cánh xanh</v>
      </c>
      <c r="F813" s="144" t="str">
        <f>VLOOKUP(D813,'Danh mục hàng hóa'!$C$3:$E$656,3,0)</f>
        <v>cái</v>
      </c>
      <c r="G813" s="321">
        <f t="shared" ref="G813:G815" si="64">37324/3</f>
        <v>12441.333333333334</v>
      </c>
      <c r="H813" s="317"/>
      <c r="I813" s="313">
        <v>1</v>
      </c>
      <c r="J813" s="321"/>
      <c r="K813" s="168">
        <f t="shared" si="50"/>
        <v>12441.333333333334</v>
      </c>
      <c r="L813" s="30"/>
      <c r="M813" s="67"/>
    </row>
    <row r="814" spans="1:13" ht="13.2">
      <c r="A814" s="75"/>
      <c r="B814" s="311" t="s">
        <v>337</v>
      </c>
      <c r="C814" s="322">
        <v>45361</v>
      </c>
      <c r="D814" s="16" t="s">
        <v>734</v>
      </c>
      <c r="E814" s="143" t="str">
        <f>VLOOKUP(D814,'Danh mục hàng hóa'!$C$3:$D$643,2,0)</f>
        <v>Kẹp tóc hoa sứ hồng</v>
      </c>
      <c r="F814" s="144" t="str">
        <f>VLOOKUP(D814,'Danh mục hàng hóa'!$C$3:$E$656,3,0)</f>
        <v>cái</v>
      </c>
      <c r="G814" s="321">
        <f t="shared" si="64"/>
        <v>12441.333333333334</v>
      </c>
      <c r="H814" s="317"/>
      <c r="I814" s="313">
        <v>1</v>
      </c>
      <c r="J814" s="321"/>
      <c r="K814" s="168">
        <f t="shared" si="50"/>
        <v>12441.333333333334</v>
      </c>
      <c r="L814" s="30"/>
      <c r="M814" s="67"/>
    </row>
    <row r="815" spans="1:13" ht="13.2">
      <c r="A815" s="75"/>
      <c r="B815" s="311" t="s">
        <v>337</v>
      </c>
      <c r="C815" s="322">
        <v>45361</v>
      </c>
      <c r="D815" s="16" t="s">
        <v>764</v>
      </c>
      <c r="E815" s="143" t="str">
        <f>VLOOKUP(D815,'Danh mục hàng hóa'!$C$3:$D$643,2,0)</f>
        <v>Kẹp tóc hồng nhạt trơn</v>
      </c>
      <c r="F815" s="144" t="str">
        <f>VLOOKUP(D815,'Danh mục hàng hóa'!$C$3:$E$656,3,0)</f>
        <v>cái</v>
      </c>
      <c r="G815" s="321">
        <f t="shared" si="64"/>
        <v>12441.333333333334</v>
      </c>
      <c r="H815" s="317"/>
      <c r="I815" s="313">
        <v>1</v>
      </c>
      <c r="J815" s="321"/>
      <c r="K815" s="168">
        <f t="shared" si="50"/>
        <v>12441.333333333334</v>
      </c>
      <c r="L815" s="30"/>
      <c r="M815" s="67"/>
    </row>
    <row r="816" spans="1:13" ht="13.2">
      <c r="A816" s="75"/>
      <c r="B816" s="311" t="s">
        <v>337</v>
      </c>
      <c r="C816" s="322">
        <v>45361</v>
      </c>
      <c r="D816" s="16" t="s">
        <v>754</v>
      </c>
      <c r="E816" s="143" t="str">
        <f>VLOOKUP(D816,'Danh mục hàng hóa'!$C$3:$D$643,2,0)</f>
        <v>Kẹp tóc hoa năm cánh xanh vàng</v>
      </c>
      <c r="F816" s="144" t="str">
        <f>VLOOKUP(D816,'Danh mục hàng hóa'!$C$3:$E$656,3,0)</f>
        <v>cái</v>
      </c>
      <c r="G816" s="321">
        <f t="shared" ref="G816:G819" si="65">(227295-26000)/17</f>
        <v>11840.882352941177</v>
      </c>
      <c r="H816" s="317"/>
      <c r="I816" s="313">
        <v>5</v>
      </c>
      <c r="J816" s="321"/>
      <c r="K816" s="168">
        <f t="shared" si="50"/>
        <v>59204.411764705881</v>
      </c>
      <c r="L816" s="30"/>
      <c r="M816" s="67"/>
    </row>
    <row r="817" spans="1:13" ht="13.2">
      <c r="A817" s="75"/>
      <c r="B817" s="311" t="s">
        <v>337</v>
      </c>
      <c r="C817" s="322">
        <v>45362</v>
      </c>
      <c r="D817" s="16" t="s">
        <v>764</v>
      </c>
      <c r="E817" s="143" t="str">
        <f>VLOOKUP(D817,'Danh mục hàng hóa'!$C$3:$D$643,2,0)</f>
        <v>Kẹp tóc hồng nhạt trơn</v>
      </c>
      <c r="F817" s="144" t="str">
        <f>VLOOKUP(D817,'Danh mục hàng hóa'!$C$3:$E$656,3,0)</f>
        <v>cái</v>
      </c>
      <c r="G817" s="321">
        <f t="shared" si="65"/>
        <v>11840.882352941177</v>
      </c>
      <c r="H817" s="317"/>
      <c r="I817" s="313">
        <v>5</v>
      </c>
      <c r="J817" s="321"/>
      <c r="K817" s="168">
        <f t="shared" si="50"/>
        <v>59204.411764705881</v>
      </c>
      <c r="L817" s="30"/>
      <c r="M817" s="67"/>
    </row>
    <row r="818" spans="1:13" ht="13.2">
      <c r="A818" s="75"/>
      <c r="B818" s="311" t="s">
        <v>337</v>
      </c>
      <c r="C818" s="322">
        <v>45362</v>
      </c>
      <c r="D818" s="16" t="s">
        <v>766</v>
      </c>
      <c r="E818" s="143" t="str">
        <f>VLOOKUP(D818,'Danh mục hàng hóa'!$C$3:$D$643,2,0)</f>
        <v>Kẹp tóc trắng trơn</v>
      </c>
      <c r="F818" s="144" t="str">
        <f>VLOOKUP(D818,'Danh mục hàng hóa'!$C$3:$E$656,3,0)</f>
        <v>cái</v>
      </c>
      <c r="G818" s="321">
        <f t="shared" si="65"/>
        <v>11840.882352941177</v>
      </c>
      <c r="H818" s="317"/>
      <c r="I818" s="313">
        <v>3</v>
      </c>
      <c r="J818" s="321"/>
      <c r="K818" s="168">
        <f t="shared" si="50"/>
        <v>35522.647058823532</v>
      </c>
      <c r="L818" s="30"/>
      <c r="M818" s="67"/>
    </row>
    <row r="819" spans="1:13" ht="13.2">
      <c r="A819" s="75"/>
      <c r="B819" s="311" t="s">
        <v>337</v>
      </c>
      <c r="C819" s="322">
        <v>45362</v>
      </c>
      <c r="D819" s="16" t="s">
        <v>760</v>
      </c>
      <c r="E819" s="143" t="str">
        <f>VLOOKUP(D819,'Danh mục hàng hóa'!$C$3:$D$643,2,0)</f>
        <v>Kẹp tóc màu vàng trơn</v>
      </c>
      <c r="F819" s="144" t="str">
        <f>VLOOKUP(D819,'Danh mục hàng hóa'!$C$3:$E$656,3,0)</f>
        <v>cái</v>
      </c>
      <c r="G819" s="321">
        <f t="shared" si="65"/>
        <v>11840.882352941177</v>
      </c>
      <c r="H819" s="317"/>
      <c r="I819" s="313">
        <v>4</v>
      </c>
      <c r="J819" s="321"/>
      <c r="K819" s="168">
        <f t="shared" si="50"/>
        <v>47363.529411764706</v>
      </c>
      <c r="L819" s="30"/>
      <c r="M819" s="67"/>
    </row>
    <row r="820" spans="1:13" ht="13.2">
      <c r="A820" s="75"/>
      <c r="B820" s="311" t="s">
        <v>337</v>
      </c>
      <c r="C820" s="322">
        <v>45362</v>
      </c>
      <c r="D820" s="16" t="s">
        <v>752</v>
      </c>
      <c r="E820" s="143" t="str">
        <f>VLOOKUP(D820,'Danh mục hàng hóa'!$C$3:$D$643,2,0)</f>
        <v>Kẹp tóc hoa năm cánh đỏ hồng đẹp</v>
      </c>
      <c r="F820" s="144" t="str">
        <f>VLOOKUP(D820,'Danh mục hàng hóa'!$C$3:$E$656,3,0)</f>
        <v>cái</v>
      </c>
      <c r="G820" s="321">
        <f t="shared" ref="G820:G823" si="66">50628/4</f>
        <v>12657</v>
      </c>
      <c r="H820" s="317"/>
      <c r="I820" s="313">
        <v>1</v>
      </c>
      <c r="J820" s="321"/>
      <c r="K820" s="168">
        <f t="shared" si="50"/>
        <v>12657</v>
      </c>
      <c r="L820" s="30"/>
      <c r="M820" s="67"/>
    </row>
    <row r="821" spans="1:13" ht="13.2">
      <c r="A821" s="75"/>
      <c r="B821" s="311" t="s">
        <v>337</v>
      </c>
      <c r="C821" s="322">
        <v>45362</v>
      </c>
      <c r="D821" s="16" t="s">
        <v>764</v>
      </c>
      <c r="E821" s="143" t="str">
        <f>VLOOKUP(D821,'Danh mục hàng hóa'!$C$3:$D$643,2,0)</f>
        <v>Kẹp tóc hồng nhạt trơn</v>
      </c>
      <c r="F821" s="144" t="str">
        <f>VLOOKUP(D821,'Danh mục hàng hóa'!$C$3:$E$656,3,0)</f>
        <v>cái</v>
      </c>
      <c r="G821" s="321">
        <f t="shared" si="66"/>
        <v>12657</v>
      </c>
      <c r="H821" s="317"/>
      <c r="I821" s="313">
        <v>1</v>
      </c>
      <c r="J821" s="321"/>
      <c r="K821" s="168">
        <f t="shared" si="50"/>
        <v>12657</v>
      </c>
      <c r="L821" s="30"/>
      <c r="M821" s="67"/>
    </row>
    <row r="822" spans="1:13" ht="13.2">
      <c r="A822" s="75"/>
      <c r="B822" s="311" t="s">
        <v>337</v>
      </c>
      <c r="C822" s="322">
        <v>45362</v>
      </c>
      <c r="D822" s="16" t="s">
        <v>756</v>
      </c>
      <c r="E822" s="143" t="str">
        <f>VLOOKUP(D822,'Danh mục hàng hóa'!$C$3:$D$643,2,0)</f>
        <v>Kẹp tóc hoa năm cánh xanh</v>
      </c>
      <c r="F822" s="144" t="str">
        <f>VLOOKUP(D822,'Danh mục hàng hóa'!$C$3:$E$656,3,0)</f>
        <v>cái</v>
      </c>
      <c r="G822" s="321">
        <f t="shared" si="66"/>
        <v>12657</v>
      </c>
      <c r="H822" s="317"/>
      <c r="I822" s="313">
        <v>1</v>
      </c>
      <c r="J822" s="321"/>
      <c r="K822" s="168">
        <f t="shared" si="50"/>
        <v>12657</v>
      </c>
      <c r="L822" s="30"/>
      <c r="M822" s="67"/>
    </row>
    <row r="823" spans="1:13" ht="13.2">
      <c r="A823" s="75"/>
      <c r="B823" s="311" t="s">
        <v>337</v>
      </c>
      <c r="C823" s="322">
        <v>45362</v>
      </c>
      <c r="D823" s="16" t="s">
        <v>746</v>
      </c>
      <c r="E823" s="143" t="str">
        <f>VLOOKUP(D823,'Danh mục hàng hóa'!$C$3:$D$643,2,0)</f>
        <v>Kẹp tóc hoa năm cánh hồng</v>
      </c>
      <c r="F823" s="144" t="str">
        <f>VLOOKUP(D823,'Danh mục hàng hóa'!$C$3:$E$656,3,0)</f>
        <v>cái</v>
      </c>
      <c r="G823" s="321">
        <f t="shared" si="66"/>
        <v>12657</v>
      </c>
      <c r="H823" s="317"/>
      <c r="I823" s="313">
        <v>1</v>
      </c>
      <c r="J823" s="321"/>
      <c r="K823" s="168">
        <f t="shared" si="50"/>
        <v>12657</v>
      </c>
      <c r="L823" s="30"/>
      <c r="M823" s="67"/>
    </row>
    <row r="824" spans="1:13" ht="13.2">
      <c r="A824" s="75"/>
      <c r="B824" s="311" t="s">
        <v>337</v>
      </c>
      <c r="C824" s="322">
        <v>45362</v>
      </c>
      <c r="D824" s="16" t="s">
        <v>397</v>
      </c>
      <c r="E824" s="143" t="str">
        <f>VLOOKUP(D824,'Danh mục hàng hóa'!$C$3:$D$643,2,0)</f>
        <v>Túi chườm bụng dâu (xanh) 1000ml</v>
      </c>
      <c r="F824" s="144" t="str">
        <f>VLOOKUP(D824,'Danh mục hàng hóa'!$C$3:$E$656,3,0)</f>
        <v>túi</v>
      </c>
      <c r="G824" s="320">
        <v>75689</v>
      </c>
      <c r="H824" s="317"/>
      <c r="I824" s="313">
        <v>1</v>
      </c>
      <c r="J824" s="321"/>
      <c r="K824" s="168">
        <f t="shared" si="50"/>
        <v>75689</v>
      </c>
      <c r="L824" s="30"/>
      <c r="M824" s="67"/>
    </row>
    <row r="825" spans="1:13" ht="13.2">
      <c r="A825" s="75"/>
      <c r="B825" s="311" t="s">
        <v>337</v>
      </c>
      <c r="C825" s="322">
        <v>45362</v>
      </c>
      <c r="D825" s="16" t="s">
        <v>977</v>
      </c>
      <c r="E825" s="143" t="str">
        <f>VLOOKUP(D825,'Danh mục hàng hóa'!$C$3:$D$643,2,0)</f>
        <v>Móc khóa đôi heo</v>
      </c>
      <c r="F825" s="144" t="str">
        <f>VLOOKUP(D825,'Danh mục hàng hóa'!$C$3:$E$656,3,0)</f>
        <v>cái</v>
      </c>
      <c r="G825" s="320">
        <v>43400</v>
      </c>
      <c r="H825" s="317"/>
      <c r="I825" s="313">
        <v>1</v>
      </c>
      <c r="J825" s="321"/>
      <c r="K825" s="168">
        <f t="shared" si="50"/>
        <v>43400</v>
      </c>
      <c r="L825" s="30"/>
      <c r="M825" s="67"/>
    </row>
    <row r="826" spans="1:13" ht="13.2">
      <c r="A826" s="75"/>
      <c r="B826" s="311" t="s">
        <v>337</v>
      </c>
      <c r="C826" s="322">
        <v>45362</v>
      </c>
      <c r="D826" s="16" t="s">
        <v>489</v>
      </c>
      <c r="E826" s="143" t="str">
        <f>VLOOKUP(D826,'Danh mục hàng hóa'!$C$3:$D$643,2,0)</f>
        <v>Trâm cài 04</v>
      </c>
      <c r="F826" s="144" t="str">
        <f>VLOOKUP(D826,'Danh mục hàng hóa'!$C$3:$E$656,3,0)</f>
        <v>cây</v>
      </c>
      <c r="G826" s="321">
        <f t="shared" ref="G826:G828" si="67">56467/3</f>
        <v>18822.333333333332</v>
      </c>
      <c r="H826" s="317"/>
      <c r="I826" s="313">
        <v>1</v>
      </c>
      <c r="J826" s="321"/>
      <c r="K826" s="168">
        <f t="shared" si="50"/>
        <v>18822.333333333332</v>
      </c>
      <c r="L826" s="30"/>
      <c r="M826" s="67"/>
    </row>
    <row r="827" spans="1:13" ht="13.2">
      <c r="A827" s="75"/>
      <c r="B827" s="311" t="s">
        <v>337</v>
      </c>
      <c r="C827" s="322">
        <v>45362</v>
      </c>
      <c r="D827" s="16" t="s">
        <v>517</v>
      </c>
      <c r="E827" s="143" t="str">
        <f>VLOOKUP(D827,'Danh mục hàng hóa'!$C$3:$D$643,2,0)</f>
        <v>Trâm cài 18</v>
      </c>
      <c r="F827" s="144" t="str">
        <f>VLOOKUP(D827,'Danh mục hàng hóa'!$C$3:$E$656,3,0)</f>
        <v>cây</v>
      </c>
      <c r="G827" s="321">
        <f t="shared" si="67"/>
        <v>18822.333333333332</v>
      </c>
      <c r="H827" s="317"/>
      <c r="I827" s="313">
        <v>1</v>
      </c>
      <c r="J827" s="321"/>
      <c r="K827" s="168">
        <f t="shared" si="50"/>
        <v>18822.333333333332</v>
      </c>
      <c r="L827" s="30"/>
      <c r="M827" s="67"/>
    </row>
    <row r="828" spans="1:13" ht="13.2">
      <c r="A828" s="75"/>
      <c r="B828" s="311" t="s">
        <v>337</v>
      </c>
      <c r="C828" s="322">
        <v>45362</v>
      </c>
      <c r="D828" s="16" t="s">
        <v>523</v>
      </c>
      <c r="E828" s="143" t="str">
        <f>VLOOKUP(D828,'Danh mục hàng hóa'!$C$3:$D$643,2,0)</f>
        <v>Trâm cài 21</v>
      </c>
      <c r="F828" s="144" t="str">
        <f>VLOOKUP(D828,'Danh mục hàng hóa'!$C$3:$E$656,3,0)</f>
        <v>cây</v>
      </c>
      <c r="G828" s="321">
        <f t="shared" si="67"/>
        <v>18822.333333333332</v>
      </c>
      <c r="H828" s="317"/>
      <c r="I828" s="313">
        <v>1</v>
      </c>
      <c r="J828" s="321"/>
      <c r="K828" s="168">
        <f t="shared" si="50"/>
        <v>18822.333333333332</v>
      </c>
      <c r="L828" s="30"/>
      <c r="M828" s="67"/>
    </row>
    <row r="829" spans="1:13" ht="13.2">
      <c r="A829" s="75"/>
      <c r="B829" s="311" t="s">
        <v>337</v>
      </c>
      <c r="C829" s="322">
        <v>45362</v>
      </c>
      <c r="D829" s="16" t="s">
        <v>401</v>
      </c>
      <c r="E829" s="143" t="str">
        <f>VLOOKUP(D829,'Danh mục hàng hóa'!$C$3:$D$643,2,0)</f>
        <v>Túi chườm bụng dứa xanh đậm  1000ml</v>
      </c>
      <c r="F829" s="144" t="str">
        <f>VLOOKUP(D829,'Danh mục hàng hóa'!$C$3:$E$656,3,0)</f>
        <v>túi</v>
      </c>
      <c r="G829" s="320">
        <v>75369</v>
      </c>
      <c r="H829" s="317"/>
      <c r="I829" s="313">
        <v>1</v>
      </c>
      <c r="J829" s="321"/>
      <c r="K829" s="168">
        <f t="shared" si="50"/>
        <v>75369</v>
      </c>
      <c r="L829" s="30"/>
      <c r="M829" s="67"/>
    </row>
    <row r="830" spans="1:13" ht="13.2">
      <c r="A830" s="75"/>
      <c r="B830" s="311" t="s">
        <v>337</v>
      </c>
      <c r="C830" s="322">
        <v>45362</v>
      </c>
      <c r="D830" s="16" t="s">
        <v>732</v>
      </c>
      <c r="E830" s="143" t="str">
        <f>VLOOKUP(D830,'Danh mục hàng hóa'!$C$3:$D$643,2,0)</f>
        <v>Kẹp tóc hoa sứ tím</v>
      </c>
      <c r="F830" s="144" t="str">
        <f>VLOOKUP(D830,'Danh mục hàng hóa'!$C$3:$E$656,3,0)</f>
        <v>cái</v>
      </c>
      <c r="G830" s="320">
        <v>14724</v>
      </c>
      <c r="H830" s="317"/>
      <c r="I830" s="313">
        <v>1</v>
      </c>
      <c r="J830" s="321"/>
      <c r="K830" s="168">
        <f t="shared" si="50"/>
        <v>14724</v>
      </c>
      <c r="L830" s="30"/>
      <c r="M830" s="67"/>
    </row>
    <row r="831" spans="1:13" ht="13.2">
      <c r="A831" s="75"/>
      <c r="B831" s="311" t="s">
        <v>337</v>
      </c>
      <c r="C831" s="322">
        <v>45362</v>
      </c>
      <c r="D831" s="16" t="s">
        <v>981</v>
      </c>
      <c r="E831" s="143" t="str">
        <f>VLOOKUP(D831,'Danh mục hàng hóa'!$C$3:$D$643,2,0)</f>
        <v>Móc khóa đôi corgy</v>
      </c>
      <c r="F831" s="144" t="str">
        <f>VLOOKUP(D831,'Danh mục hàng hóa'!$C$3:$E$656,3,0)</f>
        <v>cái</v>
      </c>
      <c r="G831" s="320">
        <v>43220</v>
      </c>
      <c r="H831" s="317"/>
      <c r="I831" s="313">
        <v>2</v>
      </c>
      <c r="J831" s="321"/>
      <c r="K831" s="168">
        <f t="shared" si="50"/>
        <v>86440</v>
      </c>
      <c r="L831" s="30"/>
      <c r="M831" s="67"/>
    </row>
    <row r="832" spans="1:13" ht="13.2">
      <c r="A832" s="75"/>
      <c r="B832" s="311" t="s">
        <v>337</v>
      </c>
      <c r="C832" s="322">
        <v>45362</v>
      </c>
      <c r="D832" s="16" t="s">
        <v>762</v>
      </c>
      <c r="E832" s="143" t="str">
        <f>VLOOKUP(D832,'Danh mục hàng hóa'!$C$3:$D$643,2,0)</f>
        <v>Kẹp tóc hoa cam trơn</v>
      </c>
      <c r="F832" s="144" t="str">
        <f>VLOOKUP(D832,'Danh mục hàng hóa'!$C$3:$E$656,3,0)</f>
        <v>cái</v>
      </c>
      <c r="G832" s="320">
        <v>11380</v>
      </c>
      <c r="H832" s="317"/>
      <c r="I832" s="313">
        <v>1</v>
      </c>
      <c r="J832" s="321"/>
      <c r="K832" s="168">
        <f t="shared" si="50"/>
        <v>11380</v>
      </c>
      <c r="L832" s="30"/>
      <c r="M832" s="67"/>
    </row>
    <row r="833" spans="1:13" ht="13.2">
      <c r="A833" s="75"/>
      <c r="B833" s="311" t="s">
        <v>337</v>
      </c>
      <c r="C833" s="322">
        <v>45363</v>
      </c>
      <c r="D833" s="16" t="s">
        <v>487</v>
      </c>
      <c r="E833" s="143" t="str">
        <f>VLOOKUP(D833,'Danh mục hàng hóa'!$C$3:$D$643,2,0)</f>
        <v>Trâm cài 03</v>
      </c>
      <c r="F833" s="144" t="str">
        <f>VLOOKUP(D833,'Danh mục hàng hóa'!$C$3:$E$656,3,0)</f>
        <v>cây</v>
      </c>
      <c r="G833" s="320">
        <v>35000</v>
      </c>
      <c r="H833" s="317"/>
      <c r="I833" s="313">
        <v>1</v>
      </c>
      <c r="J833" s="321"/>
      <c r="K833" s="168">
        <f t="shared" si="50"/>
        <v>35000</v>
      </c>
      <c r="L833" s="30"/>
      <c r="M833" s="67"/>
    </row>
    <row r="834" spans="1:13" ht="13.2">
      <c r="A834" s="75"/>
      <c r="B834" s="311" t="s">
        <v>337</v>
      </c>
      <c r="C834" s="322">
        <v>45363</v>
      </c>
      <c r="D834" s="16" t="s">
        <v>509</v>
      </c>
      <c r="E834" s="143" t="str">
        <f>VLOOKUP(D834,'Danh mục hàng hóa'!$C$3:$D$643,2,0)</f>
        <v>Trâm cài 14</v>
      </c>
      <c r="F834" s="144" t="str">
        <f>VLOOKUP(D834,'Danh mục hàng hóa'!$C$3:$E$656,3,0)</f>
        <v>cây</v>
      </c>
      <c r="G834" s="320">
        <v>34460</v>
      </c>
      <c r="H834" s="317"/>
      <c r="I834" s="313">
        <v>1</v>
      </c>
      <c r="J834" s="321"/>
      <c r="K834" s="168">
        <f t="shared" si="50"/>
        <v>34460</v>
      </c>
      <c r="L834" s="30"/>
      <c r="M834" s="67"/>
    </row>
    <row r="835" spans="1:13" ht="13.2">
      <c r="A835" s="75"/>
      <c r="B835" s="311" t="s">
        <v>337</v>
      </c>
      <c r="C835" s="322">
        <v>45363</v>
      </c>
      <c r="D835" s="16" t="s">
        <v>756</v>
      </c>
      <c r="E835" s="143" t="str">
        <f>VLOOKUP(D835,'Danh mục hàng hóa'!$C$3:$D$643,2,0)</f>
        <v>Kẹp tóc hoa năm cánh xanh</v>
      </c>
      <c r="F835" s="144" t="str">
        <f>VLOOKUP(D835,'Danh mục hàng hóa'!$C$3:$E$656,3,0)</f>
        <v>cái</v>
      </c>
      <c r="G835" s="320">
        <f>22540/2</f>
        <v>11270</v>
      </c>
      <c r="H835" s="317"/>
      <c r="I835" s="313">
        <v>2</v>
      </c>
      <c r="J835" s="321"/>
      <c r="K835" s="168">
        <f t="shared" si="50"/>
        <v>22540</v>
      </c>
      <c r="L835" s="30"/>
      <c r="M835" s="67"/>
    </row>
    <row r="836" spans="1:13" ht="13.2">
      <c r="A836" s="75"/>
      <c r="B836" s="311" t="s">
        <v>337</v>
      </c>
      <c r="C836" s="322">
        <v>45363</v>
      </c>
      <c r="D836" s="16" t="s">
        <v>760</v>
      </c>
      <c r="E836" s="143" t="str">
        <f>VLOOKUP(D836,'Danh mục hàng hóa'!$C$3:$D$643,2,0)</f>
        <v>Kẹp tóc màu vàng trơn</v>
      </c>
      <c r="F836" s="144" t="str">
        <f>VLOOKUP(D836,'Danh mục hàng hóa'!$C$3:$E$656,3,0)</f>
        <v>cái</v>
      </c>
      <c r="G836" s="320">
        <v>11640</v>
      </c>
      <c r="H836" s="317"/>
      <c r="I836" s="313">
        <v>1</v>
      </c>
      <c r="J836" s="321"/>
      <c r="K836" s="168">
        <f t="shared" si="50"/>
        <v>11640</v>
      </c>
      <c r="L836" s="30"/>
      <c r="M836" s="67"/>
    </row>
    <row r="837" spans="1:13" ht="13.2">
      <c r="A837" s="75"/>
      <c r="B837" s="311" t="s">
        <v>337</v>
      </c>
      <c r="C837" s="322">
        <v>45363</v>
      </c>
      <c r="D837" s="16" t="s">
        <v>768</v>
      </c>
      <c r="E837" s="143" t="str">
        <f>VLOOKUP(D837,'Danh mục hàng hóa'!$C$3:$D$643,2,0)</f>
        <v>Kẹp tóc xanh trơn</v>
      </c>
      <c r="F837" s="144" t="str">
        <f>VLOOKUP(D837,'Danh mục hàng hóa'!$C$3:$E$656,3,0)</f>
        <v>cái</v>
      </c>
      <c r="G837" s="320">
        <v>13000</v>
      </c>
      <c r="H837" s="317"/>
      <c r="I837" s="313">
        <v>1</v>
      </c>
      <c r="J837" s="321"/>
      <c r="K837" s="168">
        <f t="shared" si="50"/>
        <v>13000</v>
      </c>
      <c r="L837" s="30"/>
      <c r="M837" s="67"/>
    </row>
    <row r="838" spans="1:13" ht="13.2">
      <c r="A838" s="75"/>
      <c r="B838" s="311" t="s">
        <v>337</v>
      </c>
      <c r="C838" s="322">
        <v>45363</v>
      </c>
      <c r="D838" s="16" t="s">
        <v>584</v>
      </c>
      <c r="E838" s="143" t="str">
        <f>VLOOKUP(D838,'Danh mục hàng hóa'!$C$3:$D$643,2,0)</f>
        <v>Kẹp tóc nhựa nâu đậm</v>
      </c>
      <c r="F838" s="144" t="str">
        <f>VLOOKUP(D838,'Danh mục hàng hóa'!$C$3:$E$656,3,0)</f>
        <v>cái</v>
      </c>
      <c r="G838" s="320">
        <v>15000</v>
      </c>
      <c r="H838" s="317"/>
      <c r="I838" s="313">
        <v>1</v>
      </c>
      <c r="J838" s="321"/>
      <c r="K838" s="168">
        <f t="shared" si="50"/>
        <v>15000</v>
      </c>
      <c r="L838" s="30"/>
      <c r="M838" s="67"/>
    </row>
    <row r="839" spans="1:13" ht="13.2">
      <c r="A839" s="75"/>
      <c r="B839" s="311" t="s">
        <v>337</v>
      </c>
      <c r="C839" s="322">
        <v>45363</v>
      </c>
      <c r="D839" s="16" t="s">
        <v>776</v>
      </c>
      <c r="E839" s="143" t="str">
        <f>VLOOKUP(D839,'Danh mục hàng hóa'!$C$3:$D$643,2,0)</f>
        <v>Kẹp tóc hoa lan 03</v>
      </c>
      <c r="F839" s="144" t="str">
        <f>VLOOKUP(D839,'Danh mục hàng hóa'!$C$3:$E$656,3,0)</f>
        <v>cái</v>
      </c>
      <c r="G839" s="320">
        <v>15000</v>
      </c>
      <c r="H839" s="317"/>
      <c r="I839" s="313">
        <v>1</v>
      </c>
      <c r="J839" s="321"/>
      <c r="K839" s="168">
        <f t="shared" si="50"/>
        <v>15000</v>
      </c>
      <c r="L839" s="30"/>
      <c r="M839" s="67"/>
    </row>
    <row r="840" spans="1:13" ht="13.2">
      <c r="A840" s="75"/>
      <c r="B840" s="311" t="s">
        <v>337</v>
      </c>
      <c r="C840" s="322">
        <v>45363</v>
      </c>
      <c r="D840" s="16" t="s">
        <v>774</v>
      </c>
      <c r="E840" s="143" t="str">
        <f>VLOOKUP(D840,'Danh mục hàng hóa'!$C$3:$D$643,2,0)</f>
        <v>Kẹp tóc hoa lan 02</v>
      </c>
      <c r="F840" s="144" t="str">
        <f>VLOOKUP(D840,'Danh mục hàng hóa'!$C$3:$E$656,3,0)</f>
        <v>cái</v>
      </c>
      <c r="G840" s="320">
        <v>15000</v>
      </c>
      <c r="H840" s="317"/>
      <c r="I840" s="313">
        <v>1</v>
      </c>
      <c r="J840" s="321"/>
      <c r="K840" s="168">
        <f t="shared" si="50"/>
        <v>15000</v>
      </c>
      <c r="L840" s="30"/>
      <c r="M840" s="67"/>
    </row>
    <row r="841" spans="1:13" ht="13.2">
      <c r="A841" s="75"/>
      <c r="B841" s="311" t="s">
        <v>337</v>
      </c>
      <c r="C841" s="322">
        <v>45363</v>
      </c>
      <c r="D841" s="16" t="s">
        <v>762</v>
      </c>
      <c r="E841" s="143" t="str">
        <f>VLOOKUP(D841,'Danh mục hàng hóa'!$C$3:$D$643,2,0)</f>
        <v>Kẹp tóc hoa cam trơn</v>
      </c>
      <c r="F841" s="144" t="str">
        <f>VLOOKUP(D841,'Danh mục hàng hóa'!$C$3:$E$656,3,0)</f>
        <v>cái</v>
      </c>
      <c r="G841" s="320">
        <v>9204</v>
      </c>
      <c r="H841" s="317"/>
      <c r="I841" s="313">
        <v>1</v>
      </c>
      <c r="J841" s="321"/>
      <c r="K841" s="168">
        <f t="shared" si="50"/>
        <v>9204</v>
      </c>
      <c r="L841" s="30"/>
      <c r="M841" s="67"/>
    </row>
    <row r="842" spans="1:13" ht="13.2">
      <c r="A842" s="75"/>
      <c r="B842" s="311" t="s">
        <v>337</v>
      </c>
      <c r="C842" s="322">
        <v>45363</v>
      </c>
      <c r="D842" s="16" t="s">
        <v>772</v>
      </c>
      <c r="E842" s="143" t="str">
        <f>VLOOKUP(D842,'Danh mục hàng hóa'!$C$3:$D$643,2,0)</f>
        <v>Kẹp tóc hoa lan 01</v>
      </c>
      <c r="F842" s="144" t="str">
        <f>VLOOKUP(D842,'Danh mục hàng hóa'!$C$3:$E$656,3,0)</f>
        <v>cái</v>
      </c>
      <c r="G842" s="320">
        <f t="shared" ref="G842:G845" si="68">62286/4</f>
        <v>15571.5</v>
      </c>
      <c r="H842" s="317"/>
      <c r="I842" s="313">
        <v>1</v>
      </c>
      <c r="J842" s="321"/>
      <c r="K842" s="168">
        <f t="shared" si="50"/>
        <v>15571.5</v>
      </c>
      <c r="L842" s="30"/>
      <c r="M842" s="67"/>
    </row>
    <row r="843" spans="1:13" ht="13.2">
      <c r="A843" s="75"/>
      <c r="B843" s="311" t="s">
        <v>337</v>
      </c>
      <c r="C843" s="322">
        <v>45363</v>
      </c>
      <c r="D843" s="16" t="s">
        <v>774</v>
      </c>
      <c r="E843" s="143" t="str">
        <f>VLOOKUP(D843,'Danh mục hàng hóa'!$C$3:$D$643,2,0)</f>
        <v>Kẹp tóc hoa lan 02</v>
      </c>
      <c r="F843" s="144" t="str">
        <f>VLOOKUP(D843,'Danh mục hàng hóa'!$C$3:$E$656,3,0)</f>
        <v>cái</v>
      </c>
      <c r="G843" s="320">
        <f t="shared" si="68"/>
        <v>15571.5</v>
      </c>
      <c r="H843" s="317"/>
      <c r="I843" s="313">
        <v>1</v>
      </c>
      <c r="J843" s="321"/>
      <c r="K843" s="168">
        <f t="shared" si="50"/>
        <v>15571.5</v>
      </c>
      <c r="L843" s="30"/>
      <c r="M843" s="67"/>
    </row>
    <row r="844" spans="1:13" ht="13.2">
      <c r="A844" s="75"/>
      <c r="B844" s="311" t="s">
        <v>337</v>
      </c>
      <c r="C844" s="322">
        <v>45363</v>
      </c>
      <c r="D844" s="16" t="s">
        <v>776</v>
      </c>
      <c r="E844" s="143" t="str">
        <f>VLOOKUP(D844,'Danh mục hàng hóa'!$C$3:$D$643,2,0)</f>
        <v>Kẹp tóc hoa lan 03</v>
      </c>
      <c r="F844" s="144" t="str">
        <f>VLOOKUP(D844,'Danh mục hàng hóa'!$C$3:$E$656,3,0)</f>
        <v>cái</v>
      </c>
      <c r="G844" s="320">
        <f t="shared" si="68"/>
        <v>15571.5</v>
      </c>
      <c r="H844" s="317"/>
      <c r="I844" s="313">
        <v>1</v>
      </c>
      <c r="J844" s="321"/>
      <c r="K844" s="168">
        <f t="shared" si="50"/>
        <v>15571.5</v>
      </c>
      <c r="L844" s="30"/>
      <c r="M844" s="67"/>
    </row>
    <row r="845" spans="1:13" ht="13.2">
      <c r="A845" s="75"/>
      <c r="B845" s="311" t="s">
        <v>337</v>
      </c>
      <c r="C845" s="322">
        <v>45363</v>
      </c>
      <c r="D845" s="16" t="s">
        <v>778</v>
      </c>
      <c r="E845" s="143" t="str">
        <f>VLOOKUP(D845,'Danh mục hàng hóa'!$C$3:$D$643,2,0)</f>
        <v>Kẹp tóc hoa lan 04</v>
      </c>
      <c r="F845" s="144" t="str">
        <f>VLOOKUP(D845,'Danh mục hàng hóa'!$C$3:$E$656,3,0)</f>
        <v>cái</v>
      </c>
      <c r="G845" s="320">
        <f t="shared" si="68"/>
        <v>15571.5</v>
      </c>
      <c r="H845" s="317"/>
      <c r="I845" s="313">
        <v>1</v>
      </c>
      <c r="J845" s="321"/>
      <c r="K845" s="168">
        <f t="shared" si="50"/>
        <v>15571.5</v>
      </c>
      <c r="L845" s="30"/>
      <c r="M845" s="67"/>
    </row>
    <row r="846" spans="1:13" ht="13.2">
      <c r="A846" s="75"/>
      <c r="B846" s="311" t="s">
        <v>337</v>
      </c>
      <c r="C846" s="322">
        <v>45363</v>
      </c>
      <c r="D846" s="16" t="s">
        <v>891</v>
      </c>
      <c r="E846" s="143" t="str">
        <f>VLOOKUP(D846,'Danh mục hàng hóa'!$C$3:$D$643,2,0)</f>
        <v>Heo ú</v>
      </c>
      <c r="F846" s="144" t="str">
        <f>VLOOKUP(D846,'Danh mục hàng hóa'!$C$3:$E$656,3,0)</f>
        <v>cái</v>
      </c>
      <c r="G846" s="320">
        <v>40000</v>
      </c>
      <c r="H846" s="317"/>
      <c r="I846" s="313">
        <v>1</v>
      </c>
      <c r="J846" s="321"/>
      <c r="K846" s="168">
        <f t="shared" si="50"/>
        <v>40000</v>
      </c>
      <c r="L846" s="30"/>
      <c r="M846" s="67"/>
    </row>
    <row r="847" spans="1:13" ht="13.2">
      <c r="A847" s="75"/>
      <c r="B847" s="311" t="s">
        <v>337</v>
      </c>
      <c r="C847" s="322">
        <v>45363</v>
      </c>
      <c r="D847" s="16" t="s">
        <v>907</v>
      </c>
      <c r="E847" s="143" t="str">
        <f>VLOOKUP(D847,'Danh mục hàng hóa'!$C$3:$D$643,2,0)</f>
        <v>Cáo gắn xe</v>
      </c>
      <c r="F847" s="144" t="str">
        <f>VLOOKUP(D847,'Danh mục hàng hóa'!$C$3:$E$656,3,0)</f>
        <v>cái</v>
      </c>
      <c r="G847" s="320">
        <v>30000</v>
      </c>
      <c r="H847" s="317"/>
      <c r="I847" s="313">
        <v>1</v>
      </c>
      <c r="J847" s="321"/>
      <c r="K847" s="168">
        <f t="shared" si="50"/>
        <v>30000</v>
      </c>
      <c r="L847" s="30"/>
      <c r="M847" s="67"/>
    </row>
    <row r="848" spans="1:13" ht="13.2">
      <c r="A848" s="75"/>
      <c r="B848" s="311" t="s">
        <v>337</v>
      </c>
      <c r="C848" s="322">
        <v>45363</v>
      </c>
      <c r="D848" s="16" t="s">
        <v>997</v>
      </c>
      <c r="E848" s="143" t="str">
        <f>VLOOKUP(D848,'Danh mục hàng hóa'!$C$3:$D$643,2,0)</f>
        <v>Mô hình cún 02</v>
      </c>
      <c r="F848" s="144" t="str">
        <f>VLOOKUP(D848,'Danh mục hàng hóa'!$C$3:$E$656,3,0)</f>
        <v>cái</v>
      </c>
      <c r="G848" s="321">
        <f>99093-70000</f>
        <v>29093</v>
      </c>
      <c r="H848" s="317"/>
      <c r="I848" s="313">
        <v>1</v>
      </c>
      <c r="J848" s="321"/>
      <c r="K848" s="168">
        <f t="shared" si="50"/>
        <v>29093</v>
      </c>
      <c r="L848" s="30"/>
      <c r="M848" s="67"/>
    </row>
    <row r="849" spans="1:13" ht="13.2">
      <c r="A849" s="75"/>
      <c r="B849" s="311" t="s">
        <v>337</v>
      </c>
      <c r="C849" s="322">
        <v>45363</v>
      </c>
      <c r="D849" s="28" t="s">
        <v>2148</v>
      </c>
      <c r="E849" s="143" t="e">
        <f>VLOOKUP(D849,'Danh mục hàng hóa'!$C$3:$D$643,2,0)</f>
        <v>#N/A</v>
      </c>
      <c r="F849" s="144" t="e">
        <f>VLOOKUP(D849,'Danh mục hàng hóa'!$C$3:$E$656,3,0)</f>
        <v>#N/A</v>
      </c>
      <c r="G849" s="320">
        <v>18000</v>
      </c>
      <c r="H849" s="317"/>
      <c r="I849" s="313">
        <v>1</v>
      </c>
      <c r="J849" s="321"/>
      <c r="K849" s="168">
        <f t="shared" si="50"/>
        <v>18000</v>
      </c>
      <c r="L849" s="30"/>
      <c r="M849" s="67"/>
    </row>
    <row r="850" spans="1:13" ht="13.2">
      <c r="A850" s="75"/>
      <c r="B850" s="311" t="s">
        <v>337</v>
      </c>
      <c r="C850" s="322">
        <v>45363</v>
      </c>
      <c r="D850" s="16" t="s">
        <v>752</v>
      </c>
      <c r="E850" s="143" t="str">
        <f>VLOOKUP(D850,'Danh mục hàng hóa'!$C$3:$D$643,2,0)</f>
        <v>Kẹp tóc hoa năm cánh đỏ hồng đẹp</v>
      </c>
      <c r="F850" s="144" t="str">
        <f>VLOOKUP(D850,'Danh mục hàng hóa'!$C$3:$E$656,3,0)</f>
        <v>cái</v>
      </c>
      <c r="G850" s="321">
        <f t="shared" ref="G850:G852" si="69">(121280-18000)/5</f>
        <v>20656</v>
      </c>
      <c r="H850" s="317"/>
      <c r="I850" s="313">
        <v>1</v>
      </c>
      <c r="J850" s="321"/>
      <c r="K850" s="168">
        <f t="shared" si="50"/>
        <v>20656</v>
      </c>
      <c r="L850" s="30"/>
      <c r="M850" s="67"/>
    </row>
    <row r="851" spans="1:13" ht="13.2">
      <c r="A851" s="75"/>
      <c r="B851" s="311" t="s">
        <v>337</v>
      </c>
      <c r="C851" s="322">
        <v>45363</v>
      </c>
      <c r="D851" s="16" t="s">
        <v>762</v>
      </c>
      <c r="E851" s="143" t="str">
        <f>VLOOKUP(D851,'Danh mục hàng hóa'!$C$3:$D$643,2,0)</f>
        <v>Kẹp tóc hoa cam trơn</v>
      </c>
      <c r="F851" s="144" t="str">
        <f>VLOOKUP(D851,'Danh mục hàng hóa'!$C$3:$E$656,3,0)</f>
        <v>cái</v>
      </c>
      <c r="G851" s="321">
        <f t="shared" si="69"/>
        <v>20656</v>
      </c>
      <c r="H851" s="317"/>
      <c r="I851" s="313">
        <v>2</v>
      </c>
      <c r="J851" s="321"/>
      <c r="K851" s="168">
        <f t="shared" si="50"/>
        <v>41312</v>
      </c>
      <c r="L851" s="30"/>
      <c r="M851" s="67"/>
    </row>
    <row r="852" spans="1:13" ht="13.2">
      <c r="A852" s="75"/>
      <c r="B852" s="311" t="s">
        <v>337</v>
      </c>
      <c r="C852" s="322">
        <v>45363</v>
      </c>
      <c r="D852" s="16" t="s">
        <v>746</v>
      </c>
      <c r="E852" s="143" t="str">
        <f>VLOOKUP(D852,'Danh mục hàng hóa'!$C$3:$D$643,2,0)</f>
        <v>Kẹp tóc hoa năm cánh hồng</v>
      </c>
      <c r="F852" s="144" t="str">
        <f>VLOOKUP(D852,'Danh mục hàng hóa'!$C$3:$E$656,3,0)</f>
        <v>cái</v>
      </c>
      <c r="G852" s="321">
        <f t="shared" si="69"/>
        <v>20656</v>
      </c>
      <c r="H852" s="317"/>
      <c r="I852" s="313">
        <v>2</v>
      </c>
      <c r="J852" s="321"/>
      <c r="K852" s="168">
        <f t="shared" si="50"/>
        <v>41312</v>
      </c>
      <c r="L852" s="30"/>
      <c r="M852" s="67"/>
    </row>
    <row r="853" spans="1:13" ht="13.2">
      <c r="A853" s="75"/>
      <c r="B853" s="311" t="s">
        <v>337</v>
      </c>
      <c r="C853" s="322">
        <v>45363</v>
      </c>
      <c r="D853" s="16" t="s">
        <v>756</v>
      </c>
      <c r="E853" s="143" t="str">
        <f>VLOOKUP(D853,'Danh mục hàng hóa'!$C$3:$D$643,2,0)</f>
        <v>Kẹp tóc hoa năm cánh xanh</v>
      </c>
      <c r="F853" s="144" t="str">
        <f>VLOOKUP(D853,'Danh mục hàng hóa'!$C$3:$E$656,3,0)</f>
        <v>cái</v>
      </c>
      <c r="G853" s="321">
        <f t="shared" ref="G853:G855" si="70">45700/3</f>
        <v>15233.333333333334</v>
      </c>
      <c r="H853" s="317"/>
      <c r="I853" s="313">
        <v>1</v>
      </c>
      <c r="J853" s="321"/>
      <c r="K853" s="168">
        <f t="shared" si="50"/>
        <v>15233.333333333334</v>
      </c>
      <c r="L853" s="30"/>
      <c r="M853" s="67"/>
    </row>
    <row r="854" spans="1:13" ht="13.2">
      <c r="A854" s="75"/>
      <c r="B854" s="311" t="s">
        <v>337</v>
      </c>
      <c r="C854" s="322">
        <v>45363</v>
      </c>
      <c r="D854" s="16" t="s">
        <v>750</v>
      </c>
      <c r="E854" s="143" t="str">
        <f>VLOOKUP(D854,'Danh mục hàng hóa'!$C$3:$D$643,2,0)</f>
        <v>Kẹp tóc hoa năm cánh cam</v>
      </c>
      <c r="F854" s="144" t="str">
        <f>VLOOKUP(D854,'Danh mục hàng hóa'!$C$3:$E$656,3,0)</f>
        <v>cái</v>
      </c>
      <c r="G854" s="321">
        <f t="shared" si="70"/>
        <v>15233.333333333334</v>
      </c>
      <c r="H854" s="317"/>
      <c r="I854" s="313">
        <v>1</v>
      </c>
      <c r="J854" s="321"/>
      <c r="K854" s="168">
        <f t="shared" si="50"/>
        <v>15233.333333333334</v>
      </c>
      <c r="L854" s="30"/>
      <c r="M854" s="67"/>
    </row>
    <row r="855" spans="1:13" ht="13.2">
      <c r="A855" s="75"/>
      <c r="B855" s="311" t="s">
        <v>337</v>
      </c>
      <c r="C855" s="322">
        <v>45363</v>
      </c>
      <c r="D855" s="16" t="s">
        <v>748</v>
      </c>
      <c r="E855" s="143" t="str">
        <f>VLOOKUP(D855,'Danh mục hàng hóa'!$C$3:$D$643,2,0)</f>
        <v>Kẹp tóc hoa năm cánh đỏ hồng</v>
      </c>
      <c r="F855" s="144" t="str">
        <f>VLOOKUP(D855,'Danh mục hàng hóa'!$C$3:$E$656,3,0)</f>
        <v>cái</v>
      </c>
      <c r="G855" s="321">
        <f t="shared" si="70"/>
        <v>15233.333333333334</v>
      </c>
      <c r="H855" s="317"/>
      <c r="I855" s="313">
        <v>1</v>
      </c>
      <c r="J855" s="321"/>
      <c r="K855" s="168">
        <f t="shared" si="50"/>
        <v>15233.333333333334</v>
      </c>
      <c r="L855" s="30"/>
      <c r="M855" s="67"/>
    </row>
    <row r="856" spans="1:13" ht="13.2">
      <c r="A856" s="75"/>
      <c r="B856" s="311" t="s">
        <v>337</v>
      </c>
      <c r="C856" s="322">
        <v>45363</v>
      </c>
      <c r="D856" s="16" t="s">
        <v>977</v>
      </c>
      <c r="E856" s="143" t="str">
        <f>VLOOKUP(D856,'Danh mục hàng hóa'!$C$3:$D$643,2,0)</f>
        <v>Móc khóa đôi heo</v>
      </c>
      <c r="F856" s="144" t="str">
        <f>VLOOKUP(D856,'Danh mục hàng hóa'!$C$3:$E$656,3,0)</f>
        <v>cái</v>
      </c>
      <c r="G856" s="320">
        <v>43500</v>
      </c>
      <c r="H856" s="317"/>
      <c r="I856" s="313">
        <v>1</v>
      </c>
      <c r="J856" s="321"/>
      <c r="K856" s="168">
        <f t="shared" si="50"/>
        <v>43500</v>
      </c>
      <c r="L856" s="30"/>
      <c r="M856" s="67"/>
    </row>
    <row r="857" spans="1:13" ht="13.2">
      <c r="A857" s="75"/>
      <c r="B857" s="311" t="s">
        <v>337</v>
      </c>
      <c r="C857" s="322">
        <v>45363</v>
      </c>
      <c r="D857" s="16" t="s">
        <v>885</v>
      </c>
      <c r="E857" s="143" t="str">
        <f>VLOOKUP(D857,'Danh mục hàng hóa'!$C$3:$D$643,2,0)</f>
        <v>Gấu chong chóng</v>
      </c>
      <c r="F857" s="144" t="str">
        <f>VLOOKUP(D857,'Danh mục hàng hóa'!$C$3:$E$656,3,0)</f>
        <v>cái</v>
      </c>
      <c r="G857" s="320">
        <v>43000</v>
      </c>
      <c r="H857" s="317"/>
      <c r="I857" s="313">
        <v>1</v>
      </c>
      <c r="J857" s="321"/>
      <c r="K857" s="168">
        <f t="shared" si="50"/>
        <v>43000</v>
      </c>
      <c r="L857" s="30"/>
      <c r="M857" s="67"/>
    </row>
    <row r="858" spans="1:13" ht="13.2">
      <c r="A858" s="75"/>
      <c r="B858" s="311" t="s">
        <v>337</v>
      </c>
      <c r="C858" s="322">
        <v>45363</v>
      </c>
      <c r="D858" s="16" t="s">
        <v>1076</v>
      </c>
      <c r="E858" s="143" t="str">
        <f>VLOOKUP(D858,'Danh mục hàng hóa'!$C$3:$D$643,2,0)</f>
        <v>Vớ trắng icon be 2</v>
      </c>
      <c r="F858" s="144" t="str">
        <f>VLOOKUP(D858,'Danh mục hàng hóa'!$C$3:$E$656,3,0)</f>
        <v>đôi</v>
      </c>
      <c r="G858" s="320">
        <v>8633</v>
      </c>
      <c r="H858" s="317"/>
      <c r="I858" s="313">
        <v>1</v>
      </c>
      <c r="J858" s="321"/>
      <c r="K858" s="168">
        <f t="shared" si="50"/>
        <v>8633</v>
      </c>
      <c r="L858" s="30"/>
      <c r="M858" s="67"/>
    </row>
    <row r="859" spans="1:13" ht="13.2">
      <c r="A859" s="75"/>
      <c r="B859" s="311" t="s">
        <v>337</v>
      </c>
      <c r="C859" s="322">
        <v>45363</v>
      </c>
      <c r="D859" s="16" t="s">
        <v>760</v>
      </c>
      <c r="E859" s="143" t="str">
        <f>VLOOKUP(D859,'Danh mục hàng hóa'!$C$3:$D$643,2,0)</f>
        <v>Kẹp tóc màu vàng trơn</v>
      </c>
      <c r="F859" s="144" t="str">
        <f>VLOOKUP(D859,'Danh mục hàng hóa'!$C$3:$E$656,3,0)</f>
        <v>cái</v>
      </c>
      <c r="G859" s="321">
        <f t="shared" ref="G859:G860" si="71">24640/2</f>
        <v>12320</v>
      </c>
      <c r="H859" s="317"/>
      <c r="I859" s="313">
        <v>1</v>
      </c>
      <c r="J859" s="321"/>
      <c r="K859" s="168">
        <f t="shared" si="50"/>
        <v>12320</v>
      </c>
      <c r="L859" s="30"/>
      <c r="M859" s="67"/>
    </row>
    <row r="860" spans="1:13" ht="13.2">
      <c r="A860" s="75"/>
      <c r="B860" s="311" t="s">
        <v>337</v>
      </c>
      <c r="C860" s="322">
        <v>45363</v>
      </c>
      <c r="D860" s="16" t="s">
        <v>768</v>
      </c>
      <c r="E860" s="143" t="str">
        <f>VLOOKUP(D860,'Danh mục hàng hóa'!$C$3:$D$643,2,0)</f>
        <v>Kẹp tóc xanh trơn</v>
      </c>
      <c r="F860" s="144" t="str">
        <f>VLOOKUP(D860,'Danh mục hàng hóa'!$C$3:$E$656,3,0)</f>
        <v>cái</v>
      </c>
      <c r="G860" s="321">
        <f t="shared" si="71"/>
        <v>12320</v>
      </c>
      <c r="H860" s="317"/>
      <c r="I860" s="313">
        <v>1</v>
      </c>
      <c r="J860" s="321"/>
      <c r="K860" s="168">
        <f t="shared" si="50"/>
        <v>12320</v>
      </c>
      <c r="L860" s="30"/>
      <c r="M860" s="67"/>
    </row>
    <row r="861" spans="1:13" ht="13.2">
      <c r="A861" s="75"/>
      <c r="B861" s="311" t="s">
        <v>337</v>
      </c>
      <c r="C861" s="322">
        <v>45363</v>
      </c>
      <c r="D861" s="16" t="s">
        <v>784</v>
      </c>
      <c r="E861" s="143" t="str">
        <f>VLOOKUP(D861,'Danh mục hàng hóa'!$C$3:$D$643,2,0)</f>
        <v>Kẹp tóc hoa lan 07</v>
      </c>
      <c r="F861" s="144" t="str">
        <f>VLOOKUP(D861,'Danh mục hàng hóa'!$C$3:$E$656,3,0)</f>
        <v>cái</v>
      </c>
      <c r="G861" s="321">
        <f t="shared" ref="G861:G862" si="72">46700/3</f>
        <v>15566.666666666666</v>
      </c>
      <c r="H861" s="317"/>
      <c r="I861" s="313">
        <v>2</v>
      </c>
      <c r="J861" s="321"/>
      <c r="K861" s="168">
        <f t="shared" si="50"/>
        <v>31133.333333333332</v>
      </c>
      <c r="L861" s="30"/>
      <c r="M861" s="67"/>
    </row>
    <row r="862" spans="1:13" ht="13.2">
      <c r="A862" s="75"/>
      <c r="B862" s="311" t="s">
        <v>337</v>
      </c>
      <c r="C862" s="322">
        <v>45363</v>
      </c>
      <c r="D862" s="16" t="s">
        <v>786</v>
      </c>
      <c r="E862" s="143" t="str">
        <f>VLOOKUP(D862,'Danh mục hàng hóa'!$C$3:$D$643,2,0)</f>
        <v>Kẹp tóc hoa lan 08</v>
      </c>
      <c r="F862" s="144" t="str">
        <f>VLOOKUP(D862,'Danh mục hàng hóa'!$C$3:$E$656,3,0)</f>
        <v>cái</v>
      </c>
      <c r="G862" s="321">
        <f t="shared" si="72"/>
        <v>15566.666666666666</v>
      </c>
      <c r="H862" s="317"/>
      <c r="I862" s="313">
        <v>1</v>
      </c>
      <c r="J862" s="321"/>
      <c r="K862" s="168">
        <f t="shared" si="50"/>
        <v>15566.666666666666</v>
      </c>
      <c r="L862" s="30"/>
      <c r="M862" s="67"/>
    </row>
    <row r="863" spans="1:13" ht="13.2">
      <c r="A863" s="75"/>
      <c r="B863" s="311" t="s">
        <v>337</v>
      </c>
      <c r="C863" s="322">
        <v>45363</v>
      </c>
      <c r="D863" s="16" t="s">
        <v>752</v>
      </c>
      <c r="E863" s="143" t="str">
        <f>VLOOKUP(D863,'Danh mục hàng hóa'!$C$3:$D$643,2,0)</f>
        <v>Kẹp tóc hoa năm cánh đỏ hồng đẹp</v>
      </c>
      <c r="F863" s="144" t="str">
        <f>VLOOKUP(D863,'Danh mục hàng hóa'!$C$3:$E$656,3,0)</f>
        <v>cái</v>
      </c>
      <c r="G863" s="320">
        <v>15000</v>
      </c>
      <c r="H863" s="317"/>
      <c r="I863" s="313">
        <v>1</v>
      </c>
      <c r="J863" s="321"/>
      <c r="K863" s="168">
        <f t="shared" si="50"/>
        <v>15000</v>
      </c>
      <c r="L863" s="30"/>
      <c r="M863" s="67"/>
    </row>
    <row r="864" spans="1:13" ht="13.2">
      <c r="A864" s="75"/>
      <c r="B864" s="311" t="s">
        <v>337</v>
      </c>
      <c r="C864" s="322">
        <v>45363</v>
      </c>
      <c r="D864" s="16" t="s">
        <v>760</v>
      </c>
      <c r="E864" s="143" t="str">
        <f>VLOOKUP(D864,'Danh mục hàng hóa'!$C$3:$D$643,2,0)</f>
        <v>Kẹp tóc màu vàng trơn</v>
      </c>
      <c r="F864" s="144" t="str">
        <f>VLOOKUP(D864,'Danh mục hàng hóa'!$C$3:$E$656,3,0)</f>
        <v>cái</v>
      </c>
      <c r="G864" s="320">
        <v>15000</v>
      </c>
      <c r="H864" s="317"/>
      <c r="I864" s="313">
        <v>1</v>
      </c>
      <c r="J864" s="321"/>
      <c r="K864" s="168">
        <f t="shared" si="50"/>
        <v>15000</v>
      </c>
      <c r="L864" s="30"/>
      <c r="M864" s="67"/>
    </row>
    <row r="865" spans="1:13" ht="13.2">
      <c r="A865" s="75"/>
      <c r="B865" s="311" t="s">
        <v>337</v>
      </c>
      <c r="C865" s="322">
        <v>45363</v>
      </c>
      <c r="D865" s="16" t="s">
        <v>772</v>
      </c>
      <c r="E865" s="143" t="str">
        <f>VLOOKUP(D865,'Danh mục hàng hóa'!$C$3:$D$643,2,0)</f>
        <v>Kẹp tóc hoa lan 01</v>
      </c>
      <c r="F865" s="144" t="str">
        <f>VLOOKUP(D865,'Danh mục hàng hóa'!$C$3:$E$656,3,0)</f>
        <v>cái</v>
      </c>
      <c r="G865" s="320">
        <v>11503</v>
      </c>
      <c r="H865" s="317"/>
      <c r="I865" s="313">
        <v>1</v>
      </c>
      <c r="J865" s="321"/>
      <c r="K865" s="168">
        <f t="shared" si="50"/>
        <v>11503</v>
      </c>
      <c r="L865" s="30"/>
      <c r="M865" s="67"/>
    </row>
    <row r="866" spans="1:13" ht="13.2">
      <c r="A866" s="75"/>
      <c r="B866" s="311" t="s">
        <v>337</v>
      </c>
      <c r="C866" s="322">
        <v>45363</v>
      </c>
      <c r="D866" s="16" t="s">
        <v>1072</v>
      </c>
      <c r="E866" s="143" t="str">
        <f>VLOOKUP(D866,'Danh mục hàng hóa'!$C$3:$D$643,2,0)</f>
        <v>Vớ trắng mỏng tulip hồng</v>
      </c>
      <c r="F866" s="144" t="str">
        <f>VLOOKUP(D866,'Danh mục hàng hóa'!$C$3:$E$656,3,0)</f>
        <v>đôi</v>
      </c>
      <c r="G866" s="320">
        <v>8000</v>
      </c>
      <c r="H866" s="317"/>
      <c r="I866" s="313">
        <v>1</v>
      </c>
      <c r="J866" s="321"/>
      <c r="K866" s="168">
        <f t="shared" si="50"/>
        <v>8000</v>
      </c>
      <c r="L866" s="30"/>
      <c r="M866" s="67"/>
    </row>
    <row r="867" spans="1:13" ht="13.2">
      <c r="A867" s="75"/>
      <c r="B867" s="311" t="s">
        <v>337</v>
      </c>
      <c r="C867" s="322">
        <v>45363</v>
      </c>
      <c r="D867" s="16" t="s">
        <v>227</v>
      </c>
      <c r="E867" s="143" t="str">
        <f>VLOOKUP(D867,'Danh mục hàng hóa'!$C$3:$D$643,2,0)</f>
        <v>Móc khóa đôi corgy</v>
      </c>
      <c r="F867" s="144" t="str">
        <f>VLOOKUP(D867,'Danh mục hàng hóa'!$C$3:$E$656,3,0)</f>
        <v>cái</v>
      </c>
      <c r="G867" s="320">
        <v>48648</v>
      </c>
      <c r="H867" s="317"/>
      <c r="I867" s="313">
        <v>2</v>
      </c>
      <c r="J867" s="321"/>
      <c r="K867" s="168">
        <f t="shared" si="50"/>
        <v>97296</v>
      </c>
      <c r="L867" s="30"/>
      <c r="M867" s="67"/>
    </row>
    <row r="868" spans="1:13" ht="13.2">
      <c r="A868" s="75"/>
      <c r="B868" s="311" t="s">
        <v>337</v>
      </c>
      <c r="C868" s="322">
        <v>45363</v>
      </c>
      <c r="D868" s="16" t="s">
        <v>774</v>
      </c>
      <c r="E868" s="143" t="str">
        <f>VLOOKUP(D868,'Danh mục hàng hóa'!$C$3:$D$643,2,0)</f>
        <v>Kẹp tóc hoa lan 02</v>
      </c>
      <c r="F868" s="144" t="str">
        <f>VLOOKUP(D868,'Danh mục hàng hóa'!$C$3:$E$656,3,0)</f>
        <v>cái</v>
      </c>
      <c r="G868" s="321">
        <f t="shared" ref="G868:G872" si="73">94864/6</f>
        <v>15810.666666666666</v>
      </c>
      <c r="H868" s="317"/>
      <c r="I868" s="313">
        <v>1</v>
      </c>
      <c r="J868" s="321"/>
      <c r="K868" s="168">
        <f t="shared" si="50"/>
        <v>15810.666666666666</v>
      </c>
      <c r="L868" s="30"/>
      <c r="M868" s="67"/>
    </row>
    <row r="869" spans="1:13" ht="13.2">
      <c r="A869" s="75"/>
      <c r="B869" s="311" t="s">
        <v>337</v>
      </c>
      <c r="C869" s="322">
        <v>45363</v>
      </c>
      <c r="D869" s="16" t="s">
        <v>786</v>
      </c>
      <c r="E869" s="143" t="str">
        <f>VLOOKUP(D869,'Danh mục hàng hóa'!$C$3:$D$643,2,0)</f>
        <v>Kẹp tóc hoa lan 08</v>
      </c>
      <c r="F869" s="144" t="str">
        <f>VLOOKUP(D869,'Danh mục hàng hóa'!$C$3:$E$656,3,0)</f>
        <v>cái</v>
      </c>
      <c r="G869" s="321">
        <f t="shared" si="73"/>
        <v>15810.666666666666</v>
      </c>
      <c r="H869" s="317"/>
      <c r="I869" s="313">
        <v>1</v>
      </c>
      <c r="J869" s="321"/>
      <c r="K869" s="168">
        <f t="shared" si="50"/>
        <v>15810.666666666666</v>
      </c>
      <c r="L869" s="30"/>
      <c r="M869" s="67"/>
    </row>
    <row r="870" spans="1:13" ht="13.2">
      <c r="A870" s="75"/>
      <c r="B870" s="311" t="s">
        <v>337</v>
      </c>
      <c r="C870" s="322">
        <v>45363</v>
      </c>
      <c r="D870" s="16" t="s">
        <v>772</v>
      </c>
      <c r="E870" s="143" t="str">
        <f>VLOOKUP(D870,'Danh mục hàng hóa'!$C$3:$D$643,2,0)</f>
        <v>Kẹp tóc hoa lan 01</v>
      </c>
      <c r="F870" s="144" t="str">
        <f>VLOOKUP(D870,'Danh mục hàng hóa'!$C$3:$E$656,3,0)</f>
        <v>cái</v>
      </c>
      <c r="G870" s="321">
        <f t="shared" si="73"/>
        <v>15810.666666666666</v>
      </c>
      <c r="H870" s="317"/>
      <c r="I870" s="313">
        <v>1</v>
      </c>
      <c r="J870" s="321"/>
      <c r="K870" s="168">
        <f t="shared" si="50"/>
        <v>15810.666666666666</v>
      </c>
      <c r="L870" s="30"/>
      <c r="M870" s="67"/>
    </row>
    <row r="871" spans="1:13" ht="13.2">
      <c r="A871" s="75"/>
      <c r="B871" s="311" t="s">
        <v>337</v>
      </c>
      <c r="C871" s="322">
        <v>45363</v>
      </c>
      <c r="D871" s="16" t="s">
        <v>784</v>
      </c>
      <c r="E871" s="143" t="str">
        <f>VLOOKUP(D871,'Danh mục hàng hóa'!$C$3:$D$643,2,0)</f>
        <v>Kẹp tóc hoa lan 07</v>
      </c>
      <c r="F871" s="144" t="str">
        <f>VLOOKUP(D871,'Danh mục hàng hóa'!$C$3:$E$656,3,0)</f>
        <v>cái</v>
      </c>
      <c r="G871" s="321">
        <f t="shared" si="73"/>
        <v>15810.666666666666</v>
      </c>
      <c r="H871" s="317"/>
      <c r="I871" s="313">
        <v>1</v>
      </c>
      <c r="J871" s="321"/>
      <c r="K871" s="168">
        <f t="shared" si="50"/>
        <v>15810.666666666666</v>
      </c>
      <c r="L871" s="30"/>
      <c r="M871" s="67"/>
    </row>
    <row r="872" spans="1:13" ht="13.2">
      <c r="A872" s="75"/>
      <c r="B872" s="311" t="s">
        <v>337</v>
      </c>
      <c r="C872" s="322">
        <v>45363</v>
      </c>
      <c r="D872" s="16" t="s">
        <v>746</v>
      </c>
      <c r="E872" s="143" t="str">
        <f>VLOOKUP(D872,'Danh mục hàng hóa'!$C$3:$D$643,2,0)</f>
        <v>Kẹp tóc hoa năm cánh hồng</v>
      </c>
      <c r="F872" s="144" t="str">
        <f>VLOOKUP(D872,'Danh mục hàng hóa'!$C$3:$E$656,3,0)</f>
        <v>cái</v>
      </c>
      <c r="G872" s="321">
        <f t="shared" si="73"/>
        <v>15810.666666666666</v>
      </c>
      <c r="H872" s="317"/>
      <c r="I872" s="313">
        <v>2</v>
      </c>
      <c r="J872" s="321"/>
      <c r="K872" s="168">
        <f t="shared" si="50"/>
        <v>31621.333333333332</v>
      </c>
      <c r="L872" s="30"/>
      <c r="M872" s="67"/>
    </row>
    <row r="873" spans="1:13" ht="13.2">
      <c r="A873" s="75"/>
      <c r="B873" s="311" t="s">
        <v>337</v>
      </c>
      <c r="C873" s="322">
        <v>45363</v>
      </c>
      <c r="D873" s="16" t="s">
        <v>2154</v>
      </c>
      <c r="E873" s="143" t="str">
        <f>VLOOKUP(D873,'Danh mục hàng hóa'!$C$3:$D$643,2,0)</f>
        <v>Kẹp tóc hoa năm cánh xanh</v>
      </c>
      <c r="F873" s="144" t="str">
        <f>VLOOKUP(D873,'Danh mục hàng hóa'!$C$3:$E$656,3,0)</f>
        <v>cái</v>
      </c>
      <c r="G873" s="320">
        <v>12420</v>
      </c>
      <c r="H873" s="317"/>
      <c r="I873" s="313">
        <v>1</v>
      </c>
      <c r="J873" s="321"/>
      <c r="K873" s="168">
        <f t="shared" si="50"/>
        <v>12420</v>
      </c>
      <c r="L873" s="30"/>
      <c r="M873" s="67"/>
    </row>
    <row r="874" spans="1:13" ht="13.2">
      <c r="A874" s="75"/>
      <c r="B874" s="311" t="s">
        <v>337</v>
      </c>
      <c r="C874" s="322">
        <v>45363</v>
      </c>
      <c r="D874" s="16" t="s">
        <v>977</v>
      </c>
      <c r="E874" s="143" t="str">
        <f>VLOOKUP(D874,'Danh mục hàng hóa'!$C$3:$D$643,2,0)</f>
        <v>Móc khóa đôi heo</v>
      </c>
      <c r="F874" s="144" t="str">
        <f>VLOOKUP(D874,'Danh mục hàng hóa'!$C$3:$E$656,3,0)</f>
        <v>cái</v>
      </c>
      <c r="G874" s="320">
        <v>48648</v>
      </c>
      <c r="H874" s="317"/>
      <c r="I874" s="313">
        <v>1</v>
      </c>
      <c r="J874" s="321"/>
      <c r="K874" s="168">
        <f t="shared" si="50"/>
        <v>48648</v>
      </c>
      <c r="L874" s="30"/>
      <c r="M874" s="67"/>
    </row>
    <row r="875" spans="1:13" ht="13.2">
      <c r="A875" s="75"/>
      <c r="B875" s="311" t="s">
        <v>337</v>
      </c>
      <c r="C875" s="322">
        <v>45363</v>
      </c>
      <c r="D875" s="16" t="s">
        <v>758</v>
      </c>
      <c r="E875" s="143" t="str">
        <f>VLOOKUP(D875,'Danh mục hàng hóa'!$C$3:$D$643,2,0)</f>
        <v>Kẹp tóc hoa năm cánh tím</v>
      </c>
      <c r="F875" s="144" t="str">
        <f>VLOOKUP(D875,'Danh mục hàng hóa'!$C$3:$E$656,3,0)</f>
        <v>cái</v>
      </c>
      <c r="G875" s="320">
        <f t="shared" ref="G875:G877" si="74">37620/3</f>
        <v>12540</v>
      </c>
      <c r="H875" s="317"/>
      <c r="I875" s="313">
        <v>1</v>
      </c>
      <c r="J875" s="321"/>
      <c r="K875" s="168">
        <f t="shared" si="50"/>
        <v>12540</v>
      </c>
      <c r="L875" s="30"/>
      <c r="M875" s="67"/>
    </row>
    <row r="876" spans="1:13" ht="13.2">
      <c r="A876" s="75"/>
      <c r="B876" s="311" t="s">
        <v>337</v>
      </c>
      <c r="C876" s="322">
        <v>45363</v>
      </c>
      <c r="D876" s="16" t="s">
        <v>756</v>
      </c>
      <c r="E876" s="143" t="str">
        <f>VLOOKUP(D876,'Danh mục hàng hóa'!$C$3:$D$643,2,0)</f>
        <v>Kẹp tóc hoa năm cánh xanh</v>
      </c>
      <c r="F876" s="144" t="str">
        <f>VLOOKUP(D876,'Danh mục hàng hóa'!$C$3:$E$656,3,0)</f>
        <v>cái</v>
      </c>
      <c r="G876" s="320">
        <f t="shared" si="74"/>
        <v>12540</v>
      </c>
      <c r="H876" s="317"/>
      <c r="I876" s="313">
        <v>1</v>
      </c>
      <c r="J876" s="321"/>
      <c r="K876" s="168">
        <f t="shared" si="50"/>
        <v>12540</v>
      </c>
      <c r="L876" s="30"/>
      <c r="M876" s="67"/>
    </row>
    <row r="877" spans="1:13" ht="13.2">
      <c r="A877" s="75"/>
      <c r="B877" s="311" t="s">
        <v>337</v>
      </c>
      <c r="C877" s="322">
        <v>45363</v>
      </c>
      <c r="D877" s="16" t="s">
        <v>768</v>
      </c>
      <c r="E877" s="143" t="str">
        <f>VLOOKUP(D877,'Danh mục hàng hóa'!$C$3:$D$643,2,0)</f>
        <v>Kẹp tóc xanh trơn</v>
      </c>
      <c r="F877" s="144" t="str">
        <f>VLOOKUP(D877,'Danh mục hàng hóa'!$C$3:$E$656,3,0)</f>
        <v>cái</v>
      </c>
      <c r="G877" s="320">
        <f t="shared" si="74"/>
        <v>12540</v>
      </c>
      <c r="H877" s="317"/>
      <c r="I877" s="313">
        <v>1</v>
      </c>
      <c r="J877" s="321"/>
      <c r="K877" s="168">
        <f t="shared" si="50"/>
        <v>12540</v>
      </c>
      <c r="L877" s="30"/>
      <c r="M877" s="67"/>
    </row>
    <row r="878" spans="1:13" ht="13.2">
      <c r="A878" s="75"/>
      <c r="B878" s="311" t="s">
        <v>337</v>
      </c>
      <c r="C878" s="322">
        <v>45363</v>
      </c>
      <c r="D878" s="16" t="s">
        <v>774</v>
      </c>
      <c r="E878" s="143" t="str">
        <f>VLOOKUP(D878,'Danh mục hàng hóa'!$C$3:$D$643,2,0)</f>
        <v>Kẹp tóc hoa lan 02</v>
      </c>
      <c r="F878" s="144" t="str">
        <f>VLOOKUP(D878,'Danh mục hàng hóa'!$C$3:$E$656,3,0)</f>
        <v>cái</v>
      </c>
      <c r="G878" s="320">
        <f t="shared" ref="G878:G882" si="75">78401/5</f>
        <v>15680.2</v>
      </c>
      <c r="H878" s="317"/>
      <c r="I878" s="313">
        <v>1</v>
      </c>
      <c r="J878" s="321"/>
      <c r="K878" s="168">
        <f t="shared" si="50"/>
        <v>15680.2</v>
      </c>
      <c r="L878" s="30"/>
      <c r="M878" s="67"/>
    </row>
    <row r="879" spans="1:13" ht="13.2">
      <c r="A879" s="75"/>
      <c r="B879" s="311" t="s">
        <v>337</v>
      </c>
      <c r="C879" s="322">
        <v>45363</v>
      </c>
      <c r="D879" s="16" t="s">
        <v>786</v>
      </c>
      <c r="E879" s="143" t="str">
        <f>VLOOKUP(D879,'Danh mục hàng hóa'!$C$3:$D$643,2,0)</f>
        <v>Kẹp tóc hoa lan 08</v>
      </c>
      <c r="F879" s="144" t="str">
        <f>VLOOKUP(D879,'Danh mục hàng hóa'!$C$3:$E$656,3,0)</f>
        <v>cái</v>
      </c>
      <c r="G879" s="320">
        <f t="shared" si="75"/>
        <v>15680.2</v>
      </c>
      <c r="H879" s="317"/>
      <c r="I879" s="313">
        <v>1</v>
      </c>
      <c r="J879" s="321"/>
      <c r="K879" s="168">
        <f t="shared" si="50"/>
        <v>15680.2</v>
      </c>
      <c r="L879" s="30"/>
      <c r="M879" s="67"/>
    </row>
    <row r="880" spans="1:13" ht="13.2">
      <c r="A880" s="75"/>
      <c r="B880" s="311" t="s">
        <v>337</v>
      </c>
      <c r="C880" s="322">
        <v>45363</v>
      </c>
      <c r="D880" s="16" t="s">
        <v>740</v>
      </c>
      <c r="E880" s="143" t="str">
        <f>VLOOKUP(D880,'Danh mục hàng hóa'!$C$3:$D$643,2,0)</f>
        <v>Kẹp tóc hoa sứ đỏ</v>
      </c>
      <c r="F880" s="144" t="str">
        <f>VLOOKUP(D880,'Danh mục hàng hóa'!$C$3:$E$656,3,0)</f>
        <v>cái</v>
      </c>
      <c r="G880" s="320">
        <f t="shared" si="75"/>
        <v>15680.2</v>
      </c>
      <c r="H880" s="317"/>
      <c r="I880" s="313">
        <v>1</v>
      </c>
      <c r="J880" s="321"/>
      <c r="K880" s="168">
        <f t="shared" si="50"/>
        <v>15680.2</v>
      </c>
      <c r="L880" s="30"/>
      <c r="M880" s="67"/>
    </row>
    <row r="881" spans="1:13" ht="13.2">
      <c r="A881" s="75"/>
      <c r="B881" s="311" t="s">
        <v>337</v>
      </c>
      <c r="C881" s="322">
        <v>45363</v>
      </c>
      <c r="D881" s="16" t="s">
        <v>750</v>
      </c>
      <c r="E881" s="143" t="str">
        <f>VLOOKUP(D881,'Danh mục hàng hóa'!$C$3:$D$643,2,0)</f>
        <v>Kẹp tóc hoa năm cánh cam</v>
      </c>
      <c r="F881" s="144" t="str">
        <f>VLOOKUP(D881,'Danh mục hàng hóa'!$C$3:$E$656,3,0)</f>
        <v>cái</v>
      </c>
      <c r="G881" s="320">
        <f t="shared" si="75"/>
        <v>15680.2</v>
      </c>
      <c r="H881" s="317"/>
      <c r="I881" s="313">
        <v>1</v>
      </c>
      <c r="J881" s="321"/>
      <c r="K881" s="168">
        <f t="shared" si="50"/>
        <v>15680.2</v>
      </c>
      <c r="L881" s="30"/>
      <c r="M881" s="67"/>
    </row>
    <row r="882" spans="1:13" ht="13.2">
      <c r="A882" s="75"/>
      <c r="B882" s="311" t="s">
        <v>337</v>
      </c>
      <c r="C882" s="322">
        <v>45363</v>
      </c>
      <c r="D882" s="16" t="s">
        <v>2148</v>
      </c>
      <c r="E882" s="143" t="e">
        <f>VLOOKUP(D882,'Danh mục hàng hóa'!$C$3:$D$643,2,0)</f>
        <v>#N/A</v>
      </c>
      <c r="F882" s="144" t="e">
        <f>VLOOKUP(D882,'Danh mục hàng hóa'!$C$3:$E$656,3,0)</f>
        <v>#N/A</v>
      </c>
      <c r="G882" s="320">
        <f t="shared" si="75"/>
        <v>15680.2</v>
      </c>
      <c r="H882" s="317"/>
      <c r="I882" s="313">
        <v>1</v>
      </c>
      <c r="J882" s="321"/>
      <c r="K882" s="168">
        <f t="shared" si="50"/>
        <v>15680.2</v>
      </c>
      <c r="L882" s="30"/>
      <c r="M882" s="67"/>
    </row>
    <row r="883" spans="1:13" ht="13.2">
      <c r="A883" s="75"/>
      <c r="B883" s="311" t="s">
        <v>337</v>
      </c>
      <c r="C883" s="322">
        <v>45363</v>
      </c>
      <c r="D883" s="16" t="s">
        <v>750</v>
      </c>
      <c r="E883" s="143" t="str">
        <f>VLOOKUP(D883,'Danh mục hàng hóa'!$C$3:$D$643,2,0)</f>
        <v>Kẹp tóc hoa năm cánh cam</v>
      </c>
      <c r="F883" s="144" t="str">
        <f>VLOOKUP(D883,'Danh mục hàng hóa'!$C$3:$E$656,3,0)</f>
        <v>cái</v>
      </c>
      <c r="G883" s="320">
        <f t="shared" ref="G883:G886" si="76">49836/4</f>
        <v>12459</v>
      </c>
      <c r="H883" s="317"/>
      <c r="I883" s="313">
        <v>1</v>
      </c>
      <c r="J883" s="321"/>
      <c r="K883" s="168">
        <f t="shared" si="50"/>
        <v>12459</v>
      </c>
      <c r="L883" s="30"/>
      <c r="M883" s="67"/>
    </row>
    <row r="884" spans="1:13" ht="13.2">
      <c r="A884" s="75"/>
      <c r="B884" s="311" t="s">
        <v>337</v>
      </c>
      <c r="C884" s="322">
        <v>45363</v>
      </c>
      <c r="D884" s="16" t="s">
        <v>760</v>
      </c>
      <c r="E884" s="143" t="str">
        <f>VLOOKUP(D884,'Danh mục hàng hóa'!$C$3:$D$643,2,0)</f>
        <v>Kẹp tóc màu vàng trơn</v>
      </c>
      <c r="F884" s="144" t="str">
        <f>VLOOKUP(D884,'Danh mục hàng hóa'!$C$3:$E$656,3,0)</f>
        <v>cái</v>
      </c>
      <c r="G884" s="320">
        <f t="shared" si="76"/>
        <v>12459</v>
      </c>
      <c r="H884" s="317"/>
      <c r="I884" s="313">
        <v>1</v>
      </c>
      <c r="J884" s="321"/>
      <c r="K884" s="168">
        <f t="shared" si="50"/>
        <v>12459</v>
      </c>
      <c r="L884" s="30"/>
      <c r="M884" s="67"/>
    </row>
    <row r="885" spans="1:13" ht="13.2">
      <c r="A885" s="75"/>
      <c r="B885" s="311" t="s">
        <v>337</v>
      </c>
      <c r="C885" s="322">
        <v>45363</v>
      </c>
      <c r="D885" s="16" t="s">
        <v>762</v>
      </c>
      <c r="E885" s="143" t="str">
        <f>VLOOKUP(D885,'Danh mục hàng hóa'!$C$3:$D$643,2,0)</f>
        <v>Kẹp tóc hoa cam trơn</v>
      </c>
      <c r="F885" s="144" t="str">
        <f>VLOOKUP(D885,'Danh mục hàng hóa'!$C$3:$E$656,3,0)</f>
        <v>cái</v>
      </c>
      <c r="G885" s="320">
        <f t="shared" si="76"/>
        <v>12459</v>
      </c>
      <c r="H885" s="317"/>
      <c r="I885" s="313">
        <v>1</v>
      </c>
      <c r="J885" s="321"/>
      <c r="K885" s="168">
        <f t="shared" si="50"/>
        <v>12459</v>
      </c>
      <c r="L885" s="30"/>
      <c r="M885" s="67"/>
    </row>
    <row r="886" spans="1:13" ht="13.2">
      <c r="A886" s="75"/>
      <c r="B886" s="311" t="s">
        <v>337</v>
      </c>
      <c r="C886" s="322">
        <v>45363</v>
      </c>
      <c r="D886" s="16" t="s">
        <v>768</v>
      </c>
      <c r="E886" s="143" t="str">
        <f>VLOOKUP(D886,'Danh mục hàng hóa'!$C$3:$D$643,2,0)</f>
        <v>Kẹp tóc xanh trơn</v>
      </c>
      <c r="F886" s="144" t="str">
        <f>VLOOKUP(D886,'Danh mục hàng hóa'!$C$3:$E$656,3,0)</f>
        <v>cái</v>
      </c>
      <c r="G886" s="320">
        <f t="shared" si="76"/>
        <v>12459</v>
      </c>
      <c r="H886" s="317"/>
      <c r="I886" s="313">
        <v>1</v>
      </c>
      <c r="J886" s="321"/>
      <c r="K886" s="168">
        <f t="shared" si="50"/>
        <v>12459</v>
      </c>
      <c r="L886" s="30"/>
      <c r="M886" s="67"/>
    </row>
    <row r="887" spans="1:13" ht="13.2">
      <c r="A887" s="75"/>
      <c r="B887" s="311" t="s">
        <v>337</v>
      </c>
      <c r="C887" s="322">
        <v>45363</v>
      </c>
      <c r="D887" s="16" t="s">
        <v>909</v>
      </c>
      <c r="E887" s="143" t="str">
        <f>VLOOKUP(D887,'Danh mục hàng hóa'!$C$3:$D$643,2,0)</f>
        <v>Gấu trúc gắn xe</v>
      </c>
      <c r="F887" s="144" t="str">
        <f>VLOOKUP(D887,'Danh mục hàng hóa'!$C$3:$E$656,3,0)</f>
        <v>cái</v>
      </c>
      <c r="G887" s="320">
        <v>40000</v>
      </c>
      <c r="H887" s="317"/>
      <c r="I887" s="313">
        <v>1</v>
      </c>
      <c r="J887" s="321"/>
      <c r="K887" s="168">
        <f t="shared" si="50"/>
        <v>40000</v>
      </c>
      <c r="L887" s="30"/>
      <c r="M887" s="67"/>
    </row>
    <row r="888" spans="1:13" ht="13.2">
      <c r="A888" s="75"/>
      <c r="B888" s="311" t="s">
        <v>337</v>
      </c>
      <c r="C888" s="322">
        <v>45363</v>
      </c>
      <c r="D888" s="16" t="s">
        <v>981</v>
      </c>
      <c r="E888" s="143" t="str">
        <f>VLOOKUP(D888,'Danh mục hàng hóa'!$C$3:$D$643,2,0)</f>
        <v>Móc khóa đôi corgy</v>
      </c>
      <c r="F888" s="144" t="str">
        <f>VLOOKUP(D888,'Danh mục hàng hóa'!$C$3:$E$656,3,0)</f>
        <v>cái</v>
      </c>
      <c r="G888" s="320">
        <v>46680</v>
      </c>
      <c r="H888" s="317"/>
      <c r="I888" s="313">
        <v>1</v>
      </c>
      <c r="J888" s="321"/>
      <c r="K888" s="168">
        <f t="shared" si="50"/>
        <v>46680</v>
      </c>
      <c r="L888" s="30"/>
      <c r="M888" s="67"/>
    </row>
    <row r="889" spans="1:13" ht="13.2">
      <c r="A889" s="75"/>
      <c r="B889" s="311" t="s">
        <v>337</v>
      </c>
      <c r="C889" s="322">
        <v>45363</v>
      </c>
      <c r="D889" s="16" t="s">
        <v>758</v>
      </c>
      <c r="E889" s="143" t="str">
        <f>VLOOKUP(D889,'Danh mục hàng hóa'!$C$3:$D$643,2,0)</f>
        <v>Kẹp tóc hoa năm cánh tím</v>
      </c>
      <c r="F889" s="144" t="str">
        <f>VLOOKUP(D889,'Danh mục hàng hóa'!$C$3:$E$656,3,0)</f>
        <v>cái</v>
      </c>
      <c r="G889" s="320">
        <f t="shared" ref="G889:G891" si="77">42520/3</f>
        <v>14173.333333333334</v>
      </c>
      <c r="H889" s="317"/>
      <c r="I889" s="313">
        <v>1</v>
      </c>
      <c r="J889" s="321"/>
      <c r="K889" s="168">
        <f t="shared" si="50"/>
        <v>14173.333333333334</v>
      </c>
      <c r="L889" s="30"/>
      <c r="M889" s="67"/>
    </row>
    <row r="890" spans="1:13" ht="13.2">
      <c r="A890" s="75"/>
      <c r="B890" s="311" t="s">
        <v>337</v>
      </c>
      <c r="C890" s="322">
        <v>45363</v>
      </c>
      <c r="D890" s="16" t="s">
        <v>762</v>
      </c>
      <c r="E890" s="143" t="str">
        <f>VLOOKUP(D890,'Danh mục hàng hóa'!$C$3:$D$643,2,0)</f>
        <v>Kẹp tóc hoa cam trơn</v>
      </c>
      <c r="F890" s="144" t="str">
        <f>VLOOKUP(D890,'Danh mục hàng hóa'!$C$3:$E$656,3,0)</f>
        <v>cái</v>
      </c>
      <c r="G890" s="320">
        <f t="shared" si="77"/>
        <v>14173.333333333334</v>
      </c>
      <c r="H890" s="317"/>
      <c r="I890" s="313">
        <v>1</v>
      </c>
      <c r="J890" s="321"/>
      <c r="K890" s="168">
        <f t="shared" si="50"/>
        <v>14173.333333333334</v>
      </c>
      <c r="L890" s="30"/>
      <c r="M890" s="67"/>
    </row>
    <row r="891" spans="1:13" ht="13.2">
      <c r="A891" s="75"/>
      <c r="B891" s="311" t="s">
        <v>337</v>
      </c>
      <c r="C891" s="322">
        <v>45363</v>
      </c>
      <c r="D891" s="16" t="s">
        <v>746</v>
      </c>
      <c r="E891" s="143" t="str">
        <f>VLOOKUP(D891,'Danh mục hàng hóa'!$C$3:$D$643,2,0)</f>
        <v>Kẹp tóc hoa năm cánh hồng</v>
      </c>
      <c r="F891" s="144" t="str">
        <f>VLOOKUP(D891,'Danh mục hàng hóa'!$C$3:$E$656,3,0)</f>
        <v>cái</v>
      </c>
      <c r="G891" s="320">
        <f t="shared" si="77"/>
        <v>14173.333333333334</v>
      </c>
      <c r="H891" s="317"/>
      <c r="I891" s="313">
        <v>1</v>
      </c>
      <c r="J891" s="321"/>
      <c r="K891" s="168">
        <f t="shared" si="50"/>
        <v>14173.333333333334</v>
      </c>
      <c r="L891" s="30"/>
      <c r="M891" s="67"/>
    </row>
    <row r="892" spans="1:13" ht="13.2">
      <c r="A892" s="75"/>
      <c r="B892" s="311" t="s">
        <v>337</v>
      </c>
      <c r="C892" s="322">
        <v>45363</v>
      </c>
      <c r="D892" s="16" t="s">
        <v>762</v>
      </c>
      <c r="E892" s="143" t="str">
        <f>VLOOKUP(D892,'Danh mục hàng hóa'!$C$3:$D$643,2,0)</f>
        <v>Kẹp tóc hoa cam trơn</v>
      </c>
      <c r="F892" s="144" t="str">
        <f>VLOOKUP(D892,'Danh mục hàng hóa'!$C$3:$E$656,3,0)</f>
        <v>cái</v>
      </c>
      <c r="G892" s="320">
        <f t="shared" ref="G892:G893" si="78">21312/2</f>
        <v>10656</v>
      </c>
      <c r="H892" s="317"/>
      <c r="I892" s="313">
        <v>1</v>
      </c>
      <c r="J892" s="321"/>
      <c r="K892" s="168">
        <f t="shared" si="50"/>
        <v>10656</v>
      </c>
      <c r="L892" s="30"/>
      <c r="M892" s="67"/>
    </row>
    <row r="893" spans="1:13" ht="13.2">
      <c r="A893" s="75"/>
      <c r="B893" s="311" t="s">
        <v>337</v>
      </c>
      <c r="C893" s="322">
        <v>45363</v>
      </c>
      <c r="D893" s="16" t="s">
        <v>1068</v>
      </c>
      <c r="E893" s="143" t="str">
        <f>VLOOKUP(D893,'Danh mục hàng hóa'!$C$3:$D$643,2,0)</f>
        <v>Vớ trắng mỏng hoa vàng</v>
      </c>
      <c r="F893" s="144" t="str">
        <f>VLOOKUP(D893,'Danh mục hàng hóa'!$C$3:$E$656,3,0)</f>
        <v>đôi</v>
      </c>
      <c r="G893" s="320">
        <f t="shared" si="78"/>
        <v>10656</v>
      </c>
      <c r="H893" s="317"/>
      <c r="I893" s="313">
        <v>1</v>
      </c>
      <c r="J893" s="321"/>
      <c r="K893" s="168">
        <f t="shared" si="50"/>
        <v>10656</v>
      </c>
      <c r="L893" s="30"/>
      <c r="M893" s="67"/>
    </row>
    <row r="894" spans="1:13" ht="13.2">
      <c r="A894" s="75"/>
      <c r="B894" s="311" t="s">
        <v>337</v>
      </c>
      <c r="C894" s="322">
        <v>45363</v>
      </c>
      <c r="D894" s="16" t="s">
        <v>977</v>
      </c>
      <c r="E894" s="143" t="str">
        <f>VLOOKUP(D894,'Danh mục hàng hóa'!$C$3:$D$643,2,0)</f>
        <v>Móc khóa đôi heo</v>
      </c>
      <c r="F894" s="144" t="str">
        <f>VLOOKUP(D894,'Danh mục hàng hóa'!$C$3:$E$656,3,0)</f>
        <v>cái</v>
      </c>
      <c r="G894" s="320">
        <v>48708</v>
      </c>
      <c r="H894" s="317"/>
      <c r="I894" s="313">
        <v>1</v>
      </c>
      <c r="J894" s="321"/>
      <c r="K894" s="168">
        <f t="shared" si="50"/>
        <v>48708</v>
      </c>
      <c r="L894" s="30"/>
      <c r="M894" s="67"/>
    </row>
    <row r="895" spans="1:13" ht="13.2">
      <c r="A895" s="75"/>
      <c r="B895" s="311" t="s">
        <v>337</v>
      </c>
      <c r="C895" s="322">
        <v>45363</v>
      </c>
      <c r="D895" s="16" t="s">
        <v>1912</v>
      </c>
      <c r="E895" s="143" t="str">
        <f>VLOOKUP(D895,'Danh mục hàng hóa'!$C$3:$D$643,2,0)</f>
        <v>Kẹp tóc hoa lan 01</v>
      </c>
      <c r="F895" s="144" t="str">
        <f>VLOOKUP(D895,'Danh mục hàng hóa'!$C$3:$E$656,3,0)</f>
        <v>cái</v>
      </c>
      <c r="G895" s="320">
        <v>16979</v>
      </c>
      <c r="H895" s="317"/>
      <c r="I895" s="313">
        <v>1</v>
      </c>
      <c r="J895" s="321"/>
      <c r="K895" s="168">
        <f t="shared" si="50"/>
        <v>16979</v>
      </c>
      <c r="L895" s="30"/>
      <c r="M895" s="67"/>
    </row>
    <row r="896" spans="1:13" ht="13.2">
      <c r="A896" s="75"/>
      <c r="B896" s="311" t="s">
        <v>337</v>
      </c>
      <c r="C896" s="322">
        <v>45363</v>
      </c>
      <c r="D896" s="16" t="s">
        <v>748</v>
      </c>
      <c r="E896" s="143" t="str">
        <f>VLOOKUP(D896,'Danh mục hàng hóa'!$C$3:$D$643,2,0)</f>
        <v>Kẹp tóc hoa năm cánh đỏ hồng</v>
      </c>
      <c r="F896" s="144" t="str">
        <f>VLOOKUP(D896,'Danh mục hàng hóa'!$C$3:$E$656,3,0)</f>
        <v>cái</v>
      </c>
      <c r="G896" s="320">
        <v>16820</v>
      </c>
      <c r="H896" s="317"/>
      <c r="I896" s="313">
        <v>1</v>
      </c>
      <c r="J896" s="321"/>
      <c r="K896" s="168">
        <f t="shared" si="50"/>
        <v>16820</v>
      </c>
      <c r="L896" s="30"/>
      <c r="M896" s="67"/>
    </row>
    <row r="897" spans="1:13" ht="13.2">
      <c r="A897" s="75"/>
      <c r="B897" s="311" t="s">
        <v>337</v>
      </c>
      <c r="C897" s="322">
        <v>45363</v>
      </c>
      <c r="D897" s="16" t="s">
        <v>760</v>
      </c>
      <c r="E897" s="143" t="str">
        <f>VLOOKUP(D897,'Danh mục hàng hóa'!$C$3:$D$643,2,0)</f>
        <v>Kẹp tóc màu vàng trơn</v>
      </c>
      <c r="F897" s="144" t="str">
        <f>VLOOKUP(D897,'Danh mục hàng hóa'!$C$3:$E$656,3,0)</f>
        <v>cái</v>
      </c>
      <c r="G897" s="320">
        <v>11860</v>
      </c>
      <c r="H897" s="317"/>
      <c r="I897" s="313">
        <v>1</v>
      </c>
      <c r="J897" s="321"/>
      <c r="K897" s="168">
        <f t="shared" si="50"/>
        <v>11860</v>
      </c>
      <c r="L897" s="30"/>
      <c r="M897" s="67"/>
    </row>
    <row r="898" spans="1:13" ht="13.2">
      <c r="A898" s="75"/>
      <c r="B898" s="311" t="s">
        <v>337</v>
      </c>
      <c r="C898" s="322">
        <v>45364</v>
      </c>
      <c r="D898" s="16" t="s">
        <v>772</v>
      </c>
      <c r="E898" s="143" t="str">
        <f>VLOOKUP(D898,'Danh mục hàng hóa'!$C$3:$D$643,2,0)</f>
        <v>Kẹp tóc hoa lan 01</v>
      </c>
      <c r="F898" s="144" t="str">
        <f>VLOOKUP(D898,'Danh mục hàng hóa'!$C$3:$E$656,3,0)</f>
        <v>cái</v>
      </c>
      <c r="G898" s="320">
        <f>46700/3</f>
        <v>15566.666666666666</v>
      </c>
      <c r="H898" s="317"/>
      <c r="I898" s="313">
        <v>3</v>
      </c>
      <c r="J898" s="321"/>
      <c r="K898" s="168">
        <f t="shared" si="50"/>
        <v>46700</v>
      </c>
      <c r="L898" s="30"/>
      <c r="M898" s="67"/>
    </row>
    <row r="899" spans="1:13" ht="13.2">
      <c r="A899" s="75"/>
      <c r="B899" s="311" t="s">
        <v>337</v>
      </c>
      <c r="C899" s="322">
        <v>45364</v>
      </c>
      <c r="D899" s="16" t="s">
        <v>977</v>
      </c>
      <c r="E899" s="143" t="str">
        <f>VLOOKUP(D899,'Danh mục hàng hóa'!$C$3:$D$643,2,0)</f>
        <v>Móc khóa đôi heo</v>
      </c>
      <c r="F899" s="144" t="str">
        <f>VLOOKUP(D899,'Danh mục hàng hóa'!$C$3:$E$656,3,0)</f>
        <v>cái</v>
      </c>
      <c r="G899" s="320">
        <v>48648</v>
      </c>
      <c r="H899" s="317"/>
      <c r="I899" s="313">
        <v>1</v>
      </c>
      <c r="J899" s="321"/>
      <c r="K899" s="168">
        <f t="shared" si="50"/>
        <v>48648</v>
      </c>
      <c r="L899" s="30"/>
      <c r="M899" s="67"/>
    </row>
    <row r="900" spans="1:13" ht="13.2">
      <c r="A900" s="75"/>
      <c r="B900" s="311" t="s">
        <v>337</v>
      </c>
      <c r="C900" s="322">
        <v>45364</v>
      </c>
      <c r="D900" s="16" t="s">
        <v>919</v>
      </c>
      <c r="E900" s="143" t="str">
        <f>VLOOKUP(D900,'Danh mục hàng hóa'!$C$3:$D$643,2,0)</f>
        <v>Thỏ mặt trăng gắn xe</v>
      </c>
      <c r="F900" s="144" t="str">
        <f>VLOOKUP(D900,'Danh mục hàng hóa'!$C$3:$E$656,3,0)</f>
        <v>cái</v>
      </c>
      <c r="G900" s="320">
        <v>39260</v>
      </c>
      <c r="H900" s="317"/>
      <c r="I900" s="313">
        <v>1</v>
      </c>
      <c r="J900" s="321"/>
      <c r="K900" s="168">
        <f t="shared" si="50"/>
        <v>39260</v>
      </c>
      <c r="L900" s="30"/>
      <c r="M900" s="67"/>
    </row>
    <row r="901" spans="1:13" ht="13.2">
      <c r="A901" s="75"/>
      <c r="B901" s="311" t="s">
        <v>337</v>
      </c>
      <c r="C901" s="322">
        <v>45364</v>
      </c>
      <c r="D901" s="16" t="s">
        <v>750</v>
      </c>
      <c r="E901" s="143" t="str">
        <f>VLOOKUP(D901,'Danh mục hàng hóa'!$C$3:$D$643,2,0)</f>
        <v>Kẹp tóc hoa năm cánh cam</v>
      </c>
      <c r="F901" s="144" t="str">
        <f>VLOOKUP(D901,'Danh mục hàng hóa'!$C$3:$E$656,3,0)</f>
        <v>cái</v>
      </c>
      <c r="G901" s="321">
        <f t="shared" ref="G901:G902" si="79">33980/2</f>
        <v>16990</v>
      </c>
      <c r="H901" s="317"/>
      <c r="I901" s="313">
        <v>1</v>
      </c>
      <c r="J901" s="321"/>
      <c r="K901" s="168">
        <f t="shared" si="50"/>
        <v>16990</v>
      </c>
      <c r="L901" s="30"/>
      <c r="M901" s="67"/>
    </row>
    <row r="902" spans="1:13" ht="13.2">
      <c r="A902" s="75"/>
      <c r="B902" s="311" t="s">
        <v>337</v>
      </c>
      <c r="C902" s="322">
        <v>45364</v>
      </c>
      <c r="D902" s="16" t="s">
        <v>746</v>
      </c>
      <c r="E902" s="143" t="str">
        <f>VLOOKUP(D902,'Danh mục hàng hóa'!$C$3:$D$643,2,0)</f>
        <v>Kẹp tóc hoa năm cánh hồng</v>
      </c>
      <c r="F902" s="144" t="str">
        <f>VLOOKUP(D902,'Danh mục hàng hóa'!$C$3:$E$656,3,0)</f>
        <v>cái</v>
      </c>
      <c r="G902" s="321">
        <f t="shared" si="79"/>
        <v>16990</v>
      </c>
      <c r="H902" s="317"/>
      <c r="I902" s="313">
        <v>1</v>
      </c>
      <c r="J902" s="321"/>
      <c r="K902" s="168">
        <f t="shared" si="50"/>
        <v>16990</v>
      </c>
      <c r="L902" s="30"/>
      <c r="M902" s="67"/>
    </row>
    <row r="903" spans="1:13" ht="13.2">
      <c r="A903" s="75"/>
      <c r="B903" s="311" t="s">
        <v>337</v>
      </c>
      <c r="C903" s="322">
        <v>45364</v>
      </c>
      <c r="D903" s="16" t="s">
        <v>977</v>
      </c>
      <c r="E903" s="143" t="str">
        <f>VLOOKUP(D903,'Danh mục hàng hóa'!$C$3:$D$643,2,0)</f>
        <v>Móc khóa đôi heo</v>
      </c>
      <c r="F903" s="144" t="str">
        <f>VLOOKUP(D903,'Danh mục hàng hóa'!$C$3:$E$656,3,0)</f>
        <v>cái</v>
      </c>
      <c r="G903" s="320">
        <v>48428</v>
      </c>
      <c r="H903" s="317"/>
      <c r="I903" s="313">
        <v>1</v>
      </c>
      <c r="J903" s="321"/>
      <c r="K903" s="168">
        <f t="shared" si="50"/>
        <v>48428</v>
      </c>
      <c r="L903" s="30"/>
      <c r="M903" s="67"/>
    </row>
    <row r="904" spans="1:13" ht="13.2">
      <c r="A904" s="75"/>
      <c r="B904" s="311" t="s">
        <v>337</v>
      </c>
      <c r="C904" s="322">
        <v>45365</v>
      </c>
      <c r="D904" s="16" t="s">
        <v>784</v>
      </c>
      <c r="E904" s="143" t="str">
        <f>VLOOKUP(D904,'Danh mục hàng hóa'!$C$3:$D$643,2,0)</f>
        <v>Kẹp tóc hoa lan 07</v>
      </c>
      <c r="F904" s="144" t="str">
        <f>VLOOKUP(D904,'Danh mục hàng hóa'!$C$3:$E$656,3,0)</f>
        <v>cái</v>
      </c>
      <c r="G904" s="320">
        <v>17019</v>
      </c>
      <c r="H904" s="317"/>
      <c r="I904" s="313">
        <v>1</v>
      </c>
      <c r="J904" s="321"/>
      <c r="K904" s="168">
        <f t="shared" si="50"/>
        <v>17019</v>
      </c>
      <c r="L904" s="30"/>
      <c r="M904" s="67"/>
    </row>
    <row r="905" spans="1:13" ht="13.2">
      <c r="A905" s="75"/>
      <c r="B905" s="311" t="s">
        <v>337</v>
      </c>
      <c r="C905" s="322">
        <v>45365</v>
      </c>
      <c r="D905" s="16" t="s">
        <v>977</v>
      </c>
      <c r="E905" s="143" t="str">
        <f>VLOOKUP(D905,'Danh mục hàng hóa'!$C$3:$D$643,2,0)</f>
        <v>Móc khóa đôi heo</v>
      </c>
      <c r="F905" s="144" t="str">
        <f>VLOOKUP(D905,'Danh mục hàng hóa'!$C$3:$E$656,3,0)</f>
        <v>cái</v>
      </c>
      <c r="G905" s="320">
        <v>48708</v>
      </c>
      <c r="H905" s="317"/>
      <c r="I905" s="313">
        <v>1</v>
      </c>
      <c r="J905" s="321"/>
      <c r="K905" s="168">
        <f t="shared" si="50"/>
        <v>48708</v>
      </c>
      <c r="L905" s="30"/>
      <c r="M905" s="67"/>
    </row>
    <row r="906" spans="1:13" ht="13.2">
      <c r="A906" s="75"/>
      <c r="B906" s="311" t="s">
        <v>337</v>
      </c>
      <c r="C906" s="322">
        <v>45365</v>
      </c>
      <c r="D906" s="16" t="s">
        <v>776</v>
      </c>
      <c r="E906" s="143" t="str">
        <f>VLOOKUP(D906,'Danh mục hàng hóa'!$C$3:$D$643,2,0)</f>
        <v>Kẹp tóc hoa lan 03</v>
      </c>
      <c r="F906" s="144" t="str">
        <f>VLOOKUP(D906,'Danh mục hàng hóa'!$C$3:$E$656,3,0)</f>
        <v>cái</v>
      </c>
      <c r="G906" s="320">
        <v>17259</v>
      </c>
      <c r="H906" s="317"/>
      <c r="I906" s="313">
        <v>1</v>
      </c>
      <c r="J906" s="321"/>
      <c r="K906" s="168">
        <f t="shared" si="50"/>
        <v>17259</v>
      </c>
      <c r="L906" s="30"/>
      <c r="M906" s="67"/>
    </row>
    <row r="907" spans="1:13" ht="13.2">
      <c r="A907" s="75"/>
      <c r="B907" s="311" t="s">
        <v>337</v>
      </c>
      <c r="C907" s="322">
        <v>45365</v>
      </c>
      <c r="D907" s="16" t="s">
        <v>786</v>
      </c>
      <c r="E907" s="143" t="str">
        <f>VLOOKUP(D907,'Danh mục hàng hóa'!$C$3:$D$643,2,0)</f>
        <v>Kẹp tóc hoa lan 08</v>
      </c>
      <c r="F907" s="144" t="str">
        <f>VLOOKUP(D907,'Danh mục hàng hóa'!$C$3:$E$656,3,0)</f>
        <v>cái</v>
      </c>
      <c r="G907" s="320">
        <v>16599</v>
      </c>
      <c r="H907" s="317"/>
      <c r="I907" s="313">
        <v>1</v>
      </c>
      <c r="J907" s="321"/>
      <c r="K907" s="168">
        <f t="shared" si="50"/>
        <v>16599</v>
      </c>
      <c r="L907" s="30"/>
      <c r="M907" s="67"/>
    </row>
    <row r="908" spans="1:13" ht="13.2">
      <c r="A908" s="75"/>
      <c r="B908" s="311" t="s">
        <v>337</v>
      </c>
      <c r="C908" s="322">
        <v>45365</v>
      </c>
      <c r="D908" s="16" t="s">
        <v>774</v>
      </c>
      <c r="E908" s="143" t="str">
        <f>VLOOKUP(D908,'Danh mục hàng hóa'!$C$3:$D$643,2,0)</f>
        <v>Kẹp tóc hoa lan 02</v>
      </c>
      <c r="F908" s="144" t="str">
        <f>VLOOKUP(D908,'Danh mục hàng hóa'!$C$3:$E$656,3,0)</f>
        <v>cái</v>
      </c>
      <c r="G908" s="321">
        <f t="shared" ref="G908:G909" si="80">34577/2</f>
        <v>17288.5</v>
      </c>
      <c r="H908" s="317"/>
      <c r="I908" s="313">
        <v>1</v>
      </c>
      <c r="J908" s="321"/>
      <c r="K908" s="168">
        <f t="shared" si="50"/>
        <v>17288.5</v>
      </c>
      <c r="L908" s="30"/>
      <c r="M908" s="67"/>
    </row>
    <row r="909" spans="1:13" ht="13.2">
      <c r="A909" s="75"/>
      <c r="B909" s="311" t="s">
        <v>337</v>
      </c>
      <c r="C909" s="322">
        <v>45365</v>
      </c>
      <c r="D909" s="16" t="s">
        <v>786</v>
      </c>
      <c r="E909" s="143" t="str">
        <f>VLOOKUP(D909,'Danh mục hàng hóa'!$C$3:$D$643,2,0)</f>
        <v>Kẹp tóc hoa lan 08</v>
      </c>
      <c r="F909" s="144" t="str">
        <f>VLOOKUP(D909,'Danh mục hàng hóa'!$C$3:$E$656,3,0)</f>
        <v>cái</v>
      </c>
      <c r="G909" s="321">
        <f t="shared" si="80"/>
        <v>17288.5</v>
      </c>
      <c r="H909" s="317"/>
      <c r="I909" s="313">
        <v>1</v>
      </c>
      <c r="J909" s="321"/>
      <c r="K909" s="168">
        <f t="shared" si="50"/>
        <v>17288.5</v>
      </c>
      <c r="L909" s="30"/>
      <c r="M909" s="67"/>
    </row>
    <row r="910" spans="1:13" ht="13.2">
      <c r="A910" s="75"/>
      <c r="B910" s="311" t="s">
        <v>337</v>
      </c>
      <c r="C910" s="322">
        <v>45365</v>
      </c>
      <c r="D910" s="16" t="s">
        <v>774</v>
      </c>
      <c r="E910" s="143" t="str">
        <f>VLOOKUP(D910,'Danh mục hàng hóa'!$C$3:$D$643,2,0)</f>
        <v>Kẹp tóc hoa lan 02</v>
      </c>
      <c r="F910" s="144" t="str">
        <f>VLOOKUP(D910,'Danh mục hàng hóa'!$C$3:$E$656,3,0)</f>
        <v>cái</v>
      </c>
      <c r="G910" s="320">
        <v>17259</v>
      </c>
      <c r="H910" s="317"/>
      <c r="I910" s="313">
        <v>1</v>
      </c>
      <c r="J910" s="321"/>
      <c r="K910" s="168">
        <f t="shared" si="50"/>
        <v>17259</v>
      </c>
      <c r="L910" s="30"/>
      <c r="M910" s="67"/>
    </row>
    <row r="911" spans="1:13" ht="13.2">
      <c r="A911" s="75"/>
      <c r="B911" s="311" t="s">
        <v>337</v>
      </c>
      <c r="C911" s="322">
        <v>45365</v>
      </c>
      <c r="D911" s="16" t="s">
        <v>774</v>
      </c>
      <c r="E911" s="143" t="str">
        <f>VLOOKUP(D911,'Danh mục hàng hóa'!$C$3:$D$643,2,0)</f>
        <v>Kẹp tóc hoa lan 02</v>
      </c>
      <c r="F911" s="144" t="str">
        <f>VLOOKUP(D911,'Danh mục hàng hóa'!$C$3:$E$656,3,0)</f>
        <v>cái</v>
      </c>
      <c r="G911" s="321">
        <f t="shared" ref="G911:G914" si="81">96811/6</f>
        <v>16135.166666666666</v>
      </c>
      <c r="H911" s="317"/>
      <c r="I911" s="313">
        <v>2</v>
      </c>
      <c r="J911" s="321"/>
      <c r="K911" s="168">
        <f t="shared" si="50"/>
        <v>32270.333333333332</v>
      </c>
      <c r="L911" s="30"/>
      <c r="M911" s="67"/>
    </row>
    <row r="912" spans="1:13" ht="13.2">
      <c r="A912" s="75"/>
      <c r="B912" s="311" t="s">
        <v>337</v>
      </c>
      <c r="C912" s="322">
        <v>45365</v>
      </c>
      <c r="D912" s="16" t="s">
        <v>784</v>
      </c>
      <c r="E912" s="143" t="str">
        <f>VLOOKUP(D912,'Danh mục hàng hóa'!$C$3:$D$643,2,0)</f>
        <v>Kẹp tóc hoa lan 07</v>
      </c>
      <c r="F912" s="144" t="str">
        <f>VLOOKUP(D912,'Danh mục hàng hóa'!$C$3:$E$656,3,0)</f>
        <v>cái</v>
      </c>
      <c r="G912" s="321">
        <f t="shared" si="81"/>
        <v>16135.166666666666</v>
      </c>
      <c r="H912" s="317"/>
      <c r="I912" s="313">
        <v>2</v>
      </c>
      <c r="J912" s="321"/>
      <c r="K912" s="168">
        <f t="shared" si="50"/>
        <v>32270.333333333332</v>
      </c>
      <c r="L912" s="30"/>
      <c r="M912" s="67"/>
    </row>
    <row r="913" spans="1:13" ht="13.2">
      <c r="A913" s="75"/>
      <c r="B913" s="311" t="s">
        <v>337</v>
      </c>
      <c r="C913" s="322">
        <v>45365</v>
      </c>
      <c r="D913" s="16" t="s">
        <v>786</v>
      </c>
      <c r="E913" s="143" t="str">
        <f>VLOOKUP(D913,'Danh mục hàng hóa'!$C$3:$D$643,2,0)</f>
        <v>Kẹp tóc hoa lan 08</v>
      </c>
      <c r="F913" s="144" t="str">
        <f>VLOOKUP(D913,'Danh mục hàng hóa'!$C$3:$E$656,3,0)</f>
        <v>cái</v>
      </c>
      <c r="G913" s="321">
        <f t="shared" si="81"/>
        <v>16135.166666666666</v>
      </c>
      <c r="H913" s="317"/>
      <c r="I913" s="313">
        <v>1</v>
      </c>
      <c r="J913" s="321"/>
      <c r="K913" s="168">
        <f t="shared" si="50"/>
        <v>16135.166666666666</v>
      </c>
      <c r="L913" s="30"/>
      <c r="M913" s="67"/>
    </row>
    <row r="914" spans="1:13" ht="13.2">
      <c r="A914" s="75"/>
      <c r="B914" s="311" t="s">
        <v>337</v>
      </c>
      <c r="C914" s="322">
        <v>45365</v>
      </c>
      <c r="D914" s="16" t="s">
        <v>772</v>
      </c>
      <c r="E914" s="143" t="str">
        <f>VLOOKUP(D914,'Danh mục hàng hóa'!$C$3:$D$643,2,0)</f>
        <v>Kẹp tóc hoa lan 01</v>
      </c>
      <c r="F914" s="144" t="str">
        <f>VLOOKUP(D914,'Danh mục hàng hóa'!$C$3:$E$656,3,0)</f>
        <v>cái</v>
      </c>
      <c r="G914" s="321">
        <f t="shared" si="81"/>
        <v>16135.166666666666</v>
      </c>
      <c r="H914" s="317"/>
      <c r="I914" s="313">
        <v>1</v>
      </c>
      <c r="J914" s="321"/>
      <c r="K914" s="168">
        <f t="shared" si="50"/>
        <v>16135.166666666666</v>
      </c>
      <c r="L914" s="30"/>
      <c r="M914" s="67"/>
    </row>
    <row r="915" spans="1:13" ht="13.2">
      <c r="A915" s="75"/>
      <c r="B915" s="311" t="s">
        <v>337</v>
      </c>
      <c r="C915" s="322">
        <v>45365</v>
      </c>
      <c r="D915" s="16" t="s">
        <v>776</v>
      </c>
      <c r="E915" s="143" t="str">
        <f>VLOOKUP(D915,'Danh mục hàng hóa'!$C$3:$D$643,2,0)</f>
        <v>Kẹp tóc hoa lan 03</v>
      </c>
      <c r="F915" s="144" t="str">
        <f>VLOOKUP(D915,'Danh mục hàng hóa'!$C$3:$E$656,3,0)</f>
        <v>cái</v>
      </c>
      <c r="G915" s="321">
        <f t="shared" ref="G915:G916" si="82">34577/2</f>
        <v>17288.5</v>
      </c>
      <c r="H915" s="317"/>
      <c r="I915" s="313">
        <v>1</v>
      </c>
      <c r="J915" s="321"/>
      <c r="K915" s="168">
        <f t="shared" si="50"/>
        <v>17288.5</v>
      </c>
      <c r="L915" s="30"/>
      <c r="M915" s="67"/>
    </row>
    <row r="916" spans="1:13" ht="13.2">
      <c r="A916" s="75"/>
      <c r="B916" s="311" t="s">
        <v>337</v>
      </c>
      <c r="C916" s="322">
        <v>45365</v>
      </c>
      <c r="D916" s="16" t="s">
        <v>776</v>
      </c>
      <c r="E916" s="143" t="str">
        <f>VLOOKUP(D916,'Danh mục hàng hóa'!$C$3:$D$643,2,0)</f>
        <v>Kẹp tóc hoa lan 03</v>
      </c>
      <c r="F916" s="144" t="str">
        <f>VLOOKUP(D916,'Danh mục hàng hóa'!$C$3:$E$656,3,0)</f>
        <v>cái</v>
      </c>
      <c r="G916" s="321">
        <f t="shared" si="82"/>
        <v>17288.5</v>
      </c>
      <c r="H916" s="317"/>
      <c r="I916" s="313">
        <v>1</v>
      </c>
      <c r="J916" s="321"/>
      <c r="K916" s="168">
        <f t="shared" si="50"/>
        <v>17288.5</v>
      </c>
      <c r="L916" s="30"/>
      <c r="M916" s="67"/>
    </row>
    <row r="917" spans="1:13" ht="13.2">
      <c r="A917" s="75"/>
      <c r="B917" s="311" t="s">
        <v>337</v>
      </c>
      <c r="C917" s="322">
        <v>45365</v>
      </c>
      <c r="D917" s="16" t="s">
        <v>774</v>
      </c>
      <c r="E917" s="143" t="str">
        <f>VLOOKUP(D917,'Danh mục hàng hóa'!$C$3:$D$643,2,0)</f>
        <v>Kẹp tóc hoa lan 02</v>
      </c>
      <c r="F917" s="144" t="str">
        <f>VLOOKUP(D917,'Danh mục hàng hóa'!$C$3:$E$656,3,0)</f>
        <v>cái</v>
      </c>
      <c r="G917" s="320">
        <v>17000</v>
      </c>
      <c r="H917" s="317"/>
      <c r="I917" s="313">
        <v>1</v>
      </c>
      <c r="J917" s="321"/>
      <c r="K917" s="168">
        <f t="shared" si="50"/>
        <v>17000</v>
      </c>
      <c r="L917" s="30"/>
      <c r="M917" s="67"/>
    </row>
    <row r="918" spans="1:13" ht="13.2">
      <c r="A918" s="75"/>
      <c r="B918" s="311" t="s">
        <v>337</v>
      </c>
      <c r="C918" s="322">
        <v>45365</v>
      </c>
      <c r="D918" s="16" t="s">
        <v>679</v>
      </c>
      <c r="E918" s="143" t="str">
        <f>VLOOKUP(D918,'Danh mục hàng hóa'!$C$3:$D$643,2,0)</f>
        <v>Buộc tóc voan hồng lớn</v>
      </c>
      <c r="F918" s="144" t="str">
        <f>VLOOKUP(D918,'Danh mục hàng hóa'!$C$3:$E$656,3,0)</f>
        <v>cái</v>
      </c>
      <c r="G918" s="321">
        <f t="shared" ref="G918:G919" si="83">(46475-17000)/2</f>
        <v>14737.5</v>
      </c>
      <c r="H918" s="317"/>
      <c r="I918" s="313">
        <v>1</v>
      </c>
      <c r="J918" s="321"/>
      <c r="K918" s="168">
        <f t="shared" si="50"/>
        <v>14737.5</v>
      </c>
      <c r="L918" s="30"/>
      <c r="M918" s="67"/>
    </row>
    <row r="919" spans="1:13" ht="13.2">
      <c r="A919" s="75"/>
      <c r="B919" s="311" t="s">
        <v>337</v>
      </c>
      <c r="C919" s="322">
        <v>45365</v>
      </c>
      <c r="D919" s="16" t="s">
        <v>683</v>
      </c>
      <c r="E919" s="143" t="str">
        <f>VLOOKUP(D919,'Danh mục hàng hóa'!$C$3:$D$643,2,0)</f>
        <v>Buộc tóc voan kem lớn</v>
      </c>
      <c r="F919" s="144" t="str">
        <f>VLOOKUP(D919,'Danh mục hàng hóa'!$C$3:$E$656,3,0)</f>
        <v>cái</v>
      </c>
      <c r="G919" s="321">
        <f t="shared" si="83"/>
        <v>14737.5</v>
      </c>
      <c r="H919" s="317"/>
      <c r="I919" s="313">
        <v>1</v>
      </c>
      <c r="J919" s="321"/>
      <c r="K919" s="168">
        <f t="shared" si="50"/>
        <v>14737.5</v>
      </c>
      <c r="L919" s="30"/>
      <c r="M919" s="67"/>
    </row>
    <row r="920" spans="1:13" ht="13.2">
      <c r="A920" s="75"/>
      <c r="B920" s="311" t="s">
        <v>337</v>
      </c>
      <c r="C920" s="322">
        <v>45365</v>
      </c>
      <c r="D920" s="16" t="s">
        <v>774</v>
      </c>
      <c r="E920" s="143" t="str">
        <f>VLOOKUP(D920,'Danh mục hàng hóa'!$C$3:$D$643,2,0)</f>
        <v>Kẹp tóc hoa lan 02</v>
      </c>
      <c r="F920" s="144" t="str">
        <f>VLOOKUP(D920,'Danh mục hàng hóa'!$C$3:$E$656,3,0)</f>
        <v>cái</v>
      </c>
      <c r="G920" s="321">
        <f t="shared" ref="G920:G922" si="84">56996/3</f>
        <v>18998.666666666668</v>
      </c>
      <c r="H920" s="317"/>
      <c r="I920" s="313">
        <v>1</v>
      </c>
      <c r="J920" s="321"/>
      <c r="K920" s="168">
        <f t="shared" si="50"/>
        <v>18998.666666666668</v>
      </c>
      <c r="L920" s="30"/>
      <c r="M920" s="67"/>
    </row>
    <row r="921" spans="1:13" ht="13.2">
      <c r="A921" s="75"/>
      <c r="B921" s="311" t="s">
        <v>337</v>
      </c>
      <c r="C921" s="322">
        <v>45365</v>
      </c>
      <c r="D921" s="16" t="s">
        <v>776</v>
      </c>
      <c r="E921" s="143" t="str">
        <f>VLOOKUP(D921,'Danh mục hàng hóa'!$C$3:$D$643,2,0)</f>
        <v>Kẹp tóc hoa lan 03</v>
      </c>
      <c r="F921" s="144" t="str">
        <f>VLOOKUP(D921,'Danh mục hàng hóa'!$C$3:$E$656,3,0)</f>
        <v>cái</v>
      </c>
      <c r="G921" s="321">
        <f t="shared" si="84"/>
        <v>18998.666666666668</v>
      </c>
      <c r="H921" s="317"/>
      <c r="I921" s="313">
        <v>1</v>
      </c>
      <c r="J921" s="321"/>
      <c r="K921" s="168">
        <f t="shared" si="50"/>
        <v>18998.666666666668</v>
      </c>
      <c r="L921" s="30"/>
      <c r="M921" s="67"/>
    </row>
    <row r="922" spans="1:13" ht="13.2">
      <c r="A922" s="75"/>
      <c r="B922" s="311" t="s">
        <v>337</v>
      </c>
      <c r="C922" s="322">
        <v>45365</v>
      </c>
      <c r="D922" s="16" t="s">
        <v>786</v>
      </c>
      <c r="E922" s="143" t="str">
        <f>VLOOKUP(D922,'Danh mục hàng hóa'!$C$3:$D$643,2,0)</f>
        <v>Kẹp tóc hoa lan 08</v>
      </c>
      <c r="F922" s="144" t="str">
        <f>VLOOKUP(D922,'Danh mục hàng hóa'!$C$3:$E$656,3,0)</f>
        <v>cái</v>
      </c>
      <c r="G922" s="321">
        <f t="shared" si="84"/>
        <v>18998.666666666668</v>
      </c>
      <c r="H922" s="317"/>
      <c r="I922" s="313">
        <v>1</v>
      </c>
      <c r="J922" s="321"/>
      <c r="K922" s="168">
        <f t="shared" si="50"/>
        <v>18998.666666666668</v>
      </c>
      <c r="L922" s="30"/>
      <c r="M922" s="67"/>
    </row>
    <row r="923" spans="1:13" ht="13.2">
      <c r="A923" s="75"/>
      <c r="B923" s="311" t="s">
        <v>337</v>
      </c>
      <c r="C923" s="322">
        <v>45365</v>
      </c>
      <c r="D923" s="16" t="s">
        <v>707</v>
      </c>
      <c r="E923" s="143" t="str">
        <f>VLOOKUP(D923,'Danh mục hàng hóa'!$C$3:$D$643,2,0)</f>
        <v>Buộc tóc hồng nhung tăm</v>
      </c>
      <c r="F923" s="144" t="str">
        <f>VLOOKUP(D923,'Danh mục hàng hóa'!$C$3:$E$656,3,0)</f>
        <v>cái</v>
      </c>
      <c r="G923" s="320">
        <v>0</v>
      </c>
      <c r="H923" s="317"/>
      <c r="I923" s="313">
        <v>1</v>
      </c>
      <c r="J923" s="321"/>
      <c r="K923" s="168">
        <f t="shared" si="50"/>
        <v>0</v>
      </c>
      <c r="L923" s="30"/>
      <c r="M923" s="67"/>
    </row>
    <row r="924" spans="1:13" ht="13.2">
      <c r="A924" s="75"/>
      <c r="B924" s="311" t="s">
        <v>337</v>
      </c>
      <c r="C924" s="322">
        <v>45365</v>
      </c>
      <c r="D924" s="16" t="s">
        <v>776</v>
      </c>
      <c r="E924" s="143" t="str">
        <f>VLOOKUP(D924,'Danh mục hàng hóa'!$C$3:$D$643,2,0)</f>
        <v>Kẹp tóc hoa lan 03</v>
      </c>
      <c r="F924" s="144" t="str">
        <f>VLOOKUP(D924,'Danh mục hàng hóa'!$C$3:$E$656,3,0)</f>
        <v>cái</v>
      </c>
      <c r="G924" s="321">
        <f t="shared" ref="G924:G925" si="85">34577/2</f>
        <v>17288.5</v>
      </c>
      <c r="H924" s="317"/>
      <c r="I924" s="313">
        <v>1</v>
      </c>
      <c r="J924" s="321"/>
      <c r="K924" s="168">
        <f t="shared" si="50"/>
        <v>17288.5</v>
      </c>
      <c r="L924" s="30"/>
      <c r="M924" s="67"/>
    </row>
    <row r="925" spans="1:13" ht="13.2">
      <c r="A925" s="75"/>
      <c r="B925" s="311" t="s">
        <v>337</v>
      </c>
      <c r="C925" s="322">
        <v>45365</v>
      </c>
      <c r="D925" s="16" t="s">
        <v>784</v>
      </c>
      <c r="E925" s="143" t="str">
        <f>VLOOKUP(D925,'Danh mục hàng hóa'!$C$3:$D$643,2,0)</f>
        <v>Kẹp tóc hoa lan 07</v>
      </c>
      <c r="F925" s="144" t="str">
        <f>VLOOKUP(D925,'Danh mục hàng hóa'!$C$3:$E$656,3,0)</f>
        <v>cái</v>
      </c>
      <c r="G925" s="321">
        <f t="shared" si="85"/>
        <v>17288.5</v>
      </c>
      <c r="H925" s="317"/>
      <c r="I925" s="313">
        <v>1</v>
      </c>
      <c r="J925" s="321"/>
      <c r="K925" s="168">
        <f t="shared" si="50"/>
        <v>17288.5</v>
      </c>
      <c r="L925" s="30"/>
      <c r="M925" s="67"/>
    </row>
    <row r="926" spans="1:13" ht="13.2">
      <c r="A926" s="75"/>
      <c r="B926" s="311" t="s">
        <v>337</v>
      </c>
      <c r="C926" s="322">
        <v>45365</v>
      </c>
      <c r="D926" s="16" t="s">
        <v>774</v>
      </c>
      <c r="E926" s="143" t="str">
        <f>VLOOKUP(D926,'Danh mục hàng hóa'!$C$3:$D$643,2,0)</f>
        <v>Kẹp tóc hoa lan 02</v>
      </c>
      <c r="F926" s="144" t="str">
        <f>VLOOKUP(D926,'Danh mục hàng hóa'!$C$3:$E$656,3,0)</f>
        <v>cái</v>
      </c>
      <c r="G926" s="321">
        <f t="shared" ref="G926:G928" si="86">46700/3</f>
        <v>15566.666666666666</v>
      </c>
      <c r="H926" s="317"/>
      <c r="I926" s="313">
        <v>1</v>
      </c>
      <c r="J926" s="321"/>
      <c r="K926" s="168">
        <f t="shared" si="50"/>
        <v>15566.666666666666</v>
      </c>
      <c r="L926" s="30"/>
      <c r="M926" s="67"/>
    </row>
    <row r="927" spans="1:13" ht="13.2">
      <c r="A927" s="75"/>
      <c r="B927" s="311" t="s">
        <v>337</v>
      </c>
      <c r="C927" s="322">
        <v>45365</v>
      </c>
      <c r="D927" s="16" t="s">
        <v>778</v>
      </c>
      <c r="E927" s="143" t="str">
        <f>VLOOKUP(D927,'Danh mục hàng hóa'!$C$3:$D$643,2,0)</f>
        <v>Kẹp tóc hoa lan 04</v>
      </c>
      <c r="F927" s="144" t="str">
        <f>VLOOKUP(D927,'Danh mục hàng hóa'!$C$3:$E$656,3,0)</f>
        <v>cái</v>
      </c>
      <c r="G927" s="321">
        <f t="shared" si="86"/>
        <v>15566.666666666666</v>
      </c>
      <c r="H927" s="317"/>
      <c r="I927" s="313">
        <v>1</v>
      </c>
      <c r="J927" s="321"/>
      <c r="K927" s="168">
        <f t="shared" si="50"/>
        <v>15566.666666666666</v>
      </c>
      <c r="L927" s="30"/>
      <c r="M927" s="67"/>
    </row>
    <row r="928" spans="1:13" ht="13.2">
      <c r="A928" s="75"/>
      <c r="B928" s="311" t="s">
        <v>337</v>
      </c>
      <c r="C928" s="322">
        <v>45365</v>
      </c>
      <c r="D928" s="16" t="s">
        <v>784</v>
      </c>
      <c r="E928" s="143" t="str">
        <f>VLOOKUP(D928,'Danh mục hàng hóa'!$C$3:$D$643,2,0)</f>
        <v>Kẹp tóc hoa lan 07</v>
      </c>
      <c r="F928" s="144" t="str">
        <f>VLOOKUP(D928,'Danh mục hàng hóa'!$C$3:$E$656,3,0)</f>
        <v>cái</v>
      </c>
      <c r="G928" s="321">
        <f t="shared" si="86"/>
        <v>15566.666666666666</v>
      </c>
      <c r="H928" s="317"/>
      <c r="I928" s="313">
        <v>1</v>
      </c>
      <c r="J928" s="321"/>
      <c r="K928" s="168">
        <f t="shared" si="50"/>
        <v>15566.666666666666</v>
      </c>
      <c r="L928" s="30"/>
      <c r="M928" s="67"/>
    </row>
    <row r="929" spans="1:13" ht="13.2">
      <c r="A929" s="75"/>
      <c r="B929" s="311" t="s">
        <v>337</v>
      </c>
      <c r="C929" s="322">
        <v>45365</v>
      </c>
      <c r="D929" s="16" t="s">
        <v>774</v>
      </c>
      <c r="E929" s="143" t="str">
        <f>VLOOKUP(D929,'Danh mục hàng hóa'!$C$3:$D$643,2,0)</f>
        <v>Kẹp tóc hoa lan 02</v>
      </c>
      <c r="F929" s="144" t="str">
        <f>VLOOKUP(D929,'Danh mục hàng hóa'!$C$3:$E$656,3,0)</f>
        <v>cái</v>
      </c>
      <c r="G929" s="321">
        <f t="shared" ref="G929:G930" si="87">62346/4</f>
        <v>15586.5</v>
      </c>
      <c r="H929" s="317"/>
      <c r="I929" s="313">
        <v>2</v>
      </c>
      <c r="J929" s="321"/>
      <c r="K929" s="168">
        <f t="shared" si="50"/>
        <v>31173</v>
      </c>
      <c r="L929" s="30"/>
      <c r="M929" s="67"/>
    </row>
    <row r="930" spans="1:13" ht="13.2">
      <c r="A930" s="75"/>
      <c r="B930" s="311" t="s">
        <v>337</v>
      </c>
      <c r="C930" s="322">
        <v>45365</v>
      </c>
      <c r="D930" s="16" t="s">
        <v>776</v>
      </c>
      <c r="E930" s="143" t="str">
        <f>VLOOKUP(D930,'Danh mục hàng hóa'!$C$3:$D$643,2,0)</f>
        <v>Kẹp tóc hoa lan 03</v>
      </c>
      <c r="F930" s="144" t="str">
        <f>VLOOKUP(D930,'Danh mục hàng hóa'!$C$3:$E$656,3,0)</f>
        <v>cái</v>
      </c>
      <c r="G930" s="321">
        <f t="shared" si="87"/>
        <v>15586.5</v>
      </c>
      <c r="H930" s="317"/>
      <c r="I930" s="313">
        <v>2</v>
      </c>
      <c r="J930" s="321"/>
      <c r="K930" s="168">
        <f t="shared" si="50"/>
        <v>31173</v>
      </c>
      <c r="L930" s="30"/>
      <c r="M930" s="67"/>
    </row>
    <row r="931" spans="1:13" ht="13.2">
      <c r="A931" s="75"/>
      <c r="B931" s="311" t="s">
        <v>337</v>
      </c>
      <c r="C931" s="322">
        <v>45365</v>
      </c>
      <c r="D931" s="16" t="s">
        <v>891</v>
      </c>
      <c r="E931" s="143" t="str">
        <f>VLOOKUP(D931,'Danh mục hàng hóa'!$C$3:$D$643,2,0)</f>
        <v>Heo ú</v>
      </c>
      <c r="F931" s="144" t="str">
        <f>VLOOKUP(D931,'Danh mục hàng hóa'!$C$3:$E$656,3,0)</f>
        <v>cái</v>
      </c>
      <c r="G931" s="320">
        <v>47064</v>
      </c>
      <c r="H931" s="317"/>
      <c r="I931" s="313">
        <v>1</v>
      </c>
      <c r="J931" s="321"/>
      <c r="K931" s="168">
        <f t="shared" si="50"/>
        <v>47064</v>
      </c>
      <c r="L931" s="30"/>
      <c r="M931" s="67"/>
    </row>
    <row r="932" spans="1:13" ht="13.2">
      <c r="A932" s="75"/>
      <c r="B932" s="311" t="s">
        <v>337</v>
      </c>
      <c r="C932" s="322">
        <v>45365</v>
      </c>
      <c r="D932" s="16" t="s">
        <v>776</v>
      </c>
      <c r="E932" s="143" t="str">
        <f>VLOOKUP(D932,'Danh mục hàng hóa'!$C$3:$D$643,2,0)</f>
        <v>Kẹp tóc hoa lan 03</v>
      </c>
      <c r="F932" s="144" t="str">
        <f>VLOOKUP(D932,'Danh mục hàng hóa'!$C$3:$E$656,3,0)</f>
        <v>cái</v>
      </c>
      <c r="G932" s="321">
        <f t="shared" ref="G932:G933" si="88">34077/2</f>
        <v>17038.5</v>
      </c>
      <c r="H932" s="317"/>
      <c r="I932" s="313">
        <v>1</v>
      </c>
      <c r="J932" s="321"/>
      <c r="K932" s="168">
        <f t="shared" si="50"/>
        <v>17038.5</v>
      </c>
      <c r="L932" s="30"/>
      <c r="M932" s="67"/>
    </row>
    <row r="933" spans="1:13" ht="13.2">
      <c r="A933" s="75"/>
      <c r="B933" s="311" t="s">
        <v>337</v>
      </c>
      <c r="C933" s="322">
        <v>45365</v>
      </c>
      <c r="D933" s="16" t="s">
        <v>784</v>
      </c>
      <c r="E933" s="143" t="str">
        <f>VLOOKUP(D933,'Danh mục hàng hóa'!$C$3:$D$643,2,0)</f>
        <v>Kẹp tóc hoa lan 07</v>
      </c>
      <c r="F933" s="144" t="str">
        <f>VLOOKUP(D933,'Danh mục hàng hóa'!$C$3:$E$656,3,0)</f>
        <v>cái</v>
      </c>
      <c r="G933" s="321">
        <f t="shared" si="88"/>
        <v>17038.5</v>
      </c>
      <c r="H933" s="317"/>
      <c r="I933" s="313">
        <v>1</v>
      </c>
      <c r="J933" s="321"/>
      <c r="K933" s="168">
        <f t="shared" si="50"/>
        <v>17038.5</v>
      </c>
      <c r="L933" s="30"/>
      <c r="M933" s="67"/>
    </row>
    <row r="934" spans="1:13" ht="13.2">
      <c r="A934" s="75"/>
      <c r="B934" s="311" t="s">
        <v>337</v>
      </c>
      <c r="C934" s="322">
        <v>45365</v>
      </c>
      <c r="D934" s="16" t="s">
        <v>977</v>
      </c>
      <c r="E934" s="143" t="str">
        <f>VLOOKUP(D934,'Danh mục hàng hóa'!$C$3:$D$643,2,0)</f>
        <v>Móc khóa đôi heo</v>
      </c>
      <c r="F934" s="144" t="str">
        <f>VLOOKUP(D934,'Danh mục hàng hóa'!$C$3:$E$656,3,0)</f>
        <v>cái</v>
      </c>
      <c r="G934" s="320">
        <v>48648</v>
      </c>
      <c r="H934" s="317"/>
      <c r="I934" s="313">
        <v>1</v>
      </c>
      <c r="J934" s="321"/>
      <c r="K934" s="168">
        <f t="shared" si="50"/>
        <v>48648</v>
      </c>
      <c r="L934" s="30"/>
      <c r="M934" s="67"/>
    </row>
    <row r="935" spans="1:13" ht="13.2">
      <c r="A935" s="75"/>
      <c r="B935" s="311" t="s">
        <v>337</v>
      </c>
      <c r="C935" s="322">
        <v>45365</v>
      </c>
      <c r="D935" s="16" t="s">
        <v>784</v>
      </c>
      <c r="E935" s="143" t="str">
        <f>VLOOKUP(D935,'Danh mục hàng hóa'!$C$3:$D$643,2,0)</f>
        <v>Kẹp tóc hoa lan 07</v>
      </c>
      <c r="F935" s="144" t="str">
        <f>VLOOKUP(D935,'Danh mục hàng hóa'!$C$3:$E$656,3,0)</f>
        <v>cái</v>
      </c>
      <c r="G935" s="321">
        <f>78832/5</f>
        <v>15766.4</v>
      </c>
      <c r="H935" s="317"/>
      <c r="I935" s="313">
        <v>5</v>
      </c>
      <c r="J935" s="321"/>
      <c r="K935" s="168">
        <f t="shared" si="50"/>
        <v>78832</v>
      </c>
      <c r="L935" s="30"/>
      <c r="M935" s="67"/>
    </row>
    <row r="936" spans="1:13" ht="13.2">
      <c r="A936" s="75"/>
      <c r="B936" s="311" t="s">
        <v>337</v>
      </c>
      <c r="C936" s="322">
        <v>45365</v>
      </c>
      <c r="D936" s="16" t="s">
        <v>784</v>
      </c>
      <c r="E936" s="143" t="str">
        <f>VLOOKUP(D936,'Danh mục hàng hóa'!$C$3:$D$643,2,0)</f>
        <v>Kẹp tóc hoa lan 07</v>
      </c>
      <c r="F936" s="144" t="str">
        <f>VLOOKUP(D936,'Danh mục hàng hóa'!$C$3:$E$656,3,0)</f>
        <v>cái</v>
      </c>
      <c r="G936" s="320">
        <v>17259</v>
      </c>
      <c r="H936" s="317"/>
      <c r="I936" s="313">
        <v>1</v>
      </c>
      <c r="J936" s="321"/>
      <c r="K936" s="168">
        <f t="shared" si="50"/>
        <v>17259</v>
      </c>
      <c r="L936" s="30"/>
      <c r="M936" s="67"/>
    </row>
    <row r="937" spans="1:13" ht="13.2">
      <c r="A937" s="75"/>
      <c r="B937" s="311" t="s">
        <v>337</v>
      </c>
      <c r="C937" s="322">
        <v>45365</v>
      </c>
      <c r="D937" s="16" t="s">
        <v>778</v>
      </c>
      <c r="E937" s="143" t="str">
        <f>VLOOKUP(D937,'Danh mục hàng hóa'!$C$3:$D$643,2,0)</f>
        <v>Kẹp tóc hoa lan 04</v>
      </c>
      <c r="F937" s="144" t="str">
        <f>VLOOKUP(D937,'Danh mục hàng hóa'!$C$3:$E$656,3,0)</f>
        <v>cái</v>
      </c>
      <c r="G937" s="321">
        <f t="shared" ref="G937:G939" si="89">51895/3</f>
        <v>17298.333333333332</v>
      </c>
      <c r="H937" s="317"/>
      <c r="I937" s="313">
        <v>1</v>
      </c>
      <c r="J937" s="321"/>
      <c r="K937" s="168">
        <f t="shared" si="50"/>
        <v>17298.333333333332</v>
      </c>
      <c r="L937" s="30"/>
      <c r="M937" s="67"/>
    </row>
    <row r="938" spans="1:13" ht="13.2">
      <c r="A938" s="75"/>
      <c r="B938" s="311" t="s">
        <v>337</v>
      </c>
      <c r="C938" s="322">
        <v>45365</v>
      </c>
      <c r="D938" s="16" t="s">
        <v>778</v>
      </c>
      <c r="E938" s="143" t="str">
        <f>VLOOKUP(D938,'Danh mục hàng hóa'!$C$3:$D$643,2,0)</f>
        <v>Kẹp tóc hoa lan 04</v>
      </c>
      <c r="F938" s="144" t="str">
        <f>VLOOKUP(D938,'Danh mục hàng hóa'!$C$3:$E$656,3,0)</f>
        <v>cái</v>
      </c>
      <c r="G938" s="321">
        <f t="shared" si="89"/>
        <v>17298.333333333332</v>
      </c>
      <c r="H938" s="317"/>
      <c r="I938" s="313">
        <v>1</v>
      </c>
      <c r="J938" s="321"/>
      <c r="K938" s="168">
        <f t="shared" si="50"/>
        <v>17298.333333333332</v>
      </c>
      <c r="L938" s="30"/>
      <c r="M938" s="67"/>
    </row>
    <row r="939" spans="1:13" ht="13.2">
      <c r="A939" s="75"/>
      <c r="B939" s="311" t="s">
        <v>337</v>
      </c>
      <c r="C939" s="322">
        <v>45365</v>
      </c>
      <c r="D939" s="16" t="s">
        <v>784</v>
      </c>
      <c r="E939" s="143" t="str">
        <f>VLOOKUP(D939,'Danh mục hàng hóa'!$C$3:$D$643,2,0)</f>
        <v>Kẹp tóc hoa lan 07</v>
      </c>
      <c r="F939" s="144" t="str">
        <f>VLOOKUP(D939,'Danh mục hàng hóa'!$C$3:$E$656,3,0)</f>
        <v>cái</v>
      </c>
      <c r="G939" s="321">
        <f t="shared" si="89"/>
        <v>17298.333333333332</v>
      </c>
      <c r="H939" s="317"/>
      <c r="I939" s="313">
        <v>1</v>
      </c>
      <c r="J939" s="321"/>
      <c r="K939" s="168">
        <f t="shared" si="50"/>
        <v>17298.333333333332</v>
      </c>
      <c r="L939" s="30"/>
      <c r="M939" s="67"/>
    </row>
    <row r="940" spans="1:13" ht="13.2">
      <c r="A940" s="75"/>
      <c r="B940" s="311" t="s">
        <v>337</v>
      </c>
      <c r="C940" s="322">
        <v>45365</v>
      </c>
      <c r="D940" s="16" t="s">
        <v>776</v>
      </c>
      <c r="E940" s="143" t="str">
        <f>VLOOKUP(D940,'Danh mục hàng hóa'!$C$3:$D$643,2,0)</f>
        <v>Kẹp tóc hoa lan 03</v>
      </c>
      <c r="F940" s="144" t="str">
        <f>VLOOKUP(D940,'Danh mục hàng hóa'!$C$3:$E$656,3,0)</f>
        <v>cái</v>
      </c>
      <c r="G940" s="321">
        <f t="shared" ref="G940:G944" si="90">85932/5</f>
        <v>17186.400000000001</v>
      </c>
      <c r="H940" s="317"/>
      <c r="I940" s="313">
        <v>1</v>
      </c>
      <c r="J940" s="321"/>
      <c r="K940" s="168">
        <f t="shared" si="50"/>
        <v>17186.400000000001</v>
      </c>
      <c r="L940" s="30"/>
      <c r="M940" s="67"/>
    </row>
    <row r="941" spans="1:13" ht="13.2">
      <c r="A941" s="75"/>
      <c r="B941" s="311" t="s">
        <v>337</v>
      </c>
      <c r="C941" s="322">
        <v>45365</v>
      </c>
      <c r="D941" s="16" t="s">
        <v>782</v>
      </c>
      <c r="E941" s="143" t="str">
        <f>VLOOKUP(D941,'Danh mục hàng hóa'!$C$3:$D$643,2,0)</f>
        <v>Kẹp tóc hoa lan 06</v>
      </c>
      <c r="F941" s="144" t="str">
        <f>VLOOKUP(D941,'Danh mục hàng hóa'!$C$3:$E$656,3,0)</f>
        <v>cái</v>
      </c>
      <c r="G941" s="321">
        <f t="shared" si="90"/>
        <v>17186.400000000001</v>
      </c>
      <c r="H941" s="317"/>
      <c r="I941" s="313">
        <v>1</v>
      </c>
      <c r="J941" s="321"/>
      <c r="K941" s="168">
        <f t="shared" si="50"/>
        <v>17186.400000000001</v>
      </c>
      <c r="L941" s="30"/>
      <c r="M941" s="67"/>
    </row>
    <row r="942" spans="1:13" ht="13.2">
      <c r="A942" s="75"/>
      <c r="B942" s="311" t="s">
        <v>337</v>
      </c>
      <c r="C942" s="322">
        <v>45365</v>
      </c>
      <c r="D942" s="16" t="s">
        <v>784</v>
      </c>
      <c r="E942" s="143" t="str">
        <f>VLOOKUP(D942,'Danh mục hàng hóa'!$C$3:$D$643,2,0)</f>
        <v>Kẹp tóc hoa lan 07</v>
      </c>
      <c r="F942" s="144" t="str">
        <f>VLOOKUP(D942,'Danh mục hàng hóa'!$C$3:$E$656,3,0)</f>
        <v>cái</v>
      </c>
      <c r="G942" s="321">
        <f t="shared" si="90"/>
        <v>17186.400000000001</v>
      </c>
      <c r="H942" s="317"/>
      <c r="I942" s="313">
        <v>1</v>
      </c>
      <c r="J942" s="321"/>
      <c r="K942" s="168">
        <f t="shared" si="50"/>
        <v>17186.400000000001</v>
      </c>
      <c r="L942" s="30"/>
      <c r="M942" s="67"/>
    </row>
    <row r="943" spans="1:13" ht="13.2">
      <c r="A943" s="75"/>
      <c r="B943" s="311" t="s">
        <v>337</v>
      </c>
      <c r="C943" s="322">
        <v>45365</v>
      </c>
      <c r="D943" s="16" t="s">
        <v>786</v>
      </c>
      <c r="E943" s="143" t="str">
        <f>VLOOKUP(D943,'Danh mục hàng hóa'!$C$3:$D$643,2,0)</f>
        <v>Kẹp tóc hoa lan 08</v>
      </c>
      <c r="F943" s="144" t="str">
        <f>VLOOKUP(D943,'Danh mục hàng hóa'!$C$3:$E$656,3,0)</f>
        <v>cái</v>
      </c>
      <c r="G943" s="321">
        <f t="shared" si="90"/>
        <v>17186.400000000001</v>
      </c>
      <c r="H943" s="317"/>
      <c r="I943" s="313">
        <v>1</v>
      </c>
      <c r="J943" s="321"/>
      <c r="K943" s="168">
        <f t="shared" si="50"/>
        <v>17186.400000000001</v>
      </c>
      <c r="L943" s="30"/>
      <c r="M943" s="67"/>
    </row>
    <row r="944" spans="1:13" ht="13.2">
      <c r="A944" s="75"/>
      <c r="B944" s="311" t="s">
        <v>337</v>
      </c>
      <c r="C944" s="322">
        <v>45365</v>
      </c>
      <c r="D944" s="16" t="s">
        <v>772</v>
      </c>
      <c r="E944" s="143" t="str">
        <f>VLOOKUP(D944,'Danh mục hàng hóa'!$C$3:$D$643,2,0)</f>
        <v>Kẹp tóc hoa lan 01</v>
      </c>
      <c r="F944" s="144" t="str">
        <f>VLOOKUP(D944,'Danh mục hàng hóa'!$C$3:$E$656,3,0)</f>
        <v>cái</v>
      </c>
      <c r="G944" s="321">
        <f t="shared" si="90"/>
        <v>17186.400000000001</v>
      </c>
      <c r="H944" s="317"/>
      <c r="I944" s="313">
        <v>1</v>
      </c>
      <c r="J944" s="321"/>
      <c r="K944" s="168">
        <f t="shared" si="50"/>
        <v>17186.400000000001</v>
      </c>
      <c r="L944" s="30"/>
      <c r="M944" s="67"/>
    </row>
    <row r="945" spans="1:13" ht="13.2">
      <c r="A945" s="75"/>
      <c r="B945" s="311" t="s">
        <v>337</v>
      </c>
      <c r="C945" s="322">
        <v>45365</v>
      </c>
      <c r="D945" s="16" t="s">
        <v>784</v>
      </c>
      <c r="E945" s="143" t="str">
        <f>VLOOKUP(D945,'Danh mục hàng hóa'!$C$3:$D$643,2,0)</f>
        <v>Kẹp tóc hoa lan 07</v>
      </c>
      <c r="F945" s="144" t="str">
        <f>VLOOKUP(D945,'Danh mục hàng hóa'!$C$3:$E$656,3,0)</f>
        <v>cái</v>
      </c>
      <c r="G945" s="320">
        <v>17000</v>
      </c>
      <c r="H945" s="317"/>
      <c r="I945" s="313">
        <v>1</v>
      </c>
      <c r="J945" s="321"/>
      <c r="K945" s="168">
        <f t="shared" si="50"/>
        <v>17000</v>
      </c>
      <c r="L945" s="30"/>
      <c r="M945" s="67"/>
    </row>
    <row r="946" spans="1:13" ht="13.2">
      <c r="A946" s="75"/>
      <c r="B946" s="311" t="s">
        <v>337</v>
      </c>
      <c r="C946" s="322">
        <v>45365</v>
      </c>
      <c r="D946" s="16" t="s">
        <v>786</v>
      </c>
      <c r="E946" s="143" t="str">
        <f>VLOOKUP(D946,'Danh mục hàng hóa'!$C$3:$D$643,2,0)</f>
        <v>Kẹp tóc hoa lan 08</v>
      </c>
      <c r="F946" s="144" t="str">
        <f>VLOOKUP(D946,'Danh mục hàng hóa'!$C$3:$E$656,3,0)</f>
        <v>cái</v>
      </c>
      <c r="G946" s="320">
        <v>17000</v>
      </c>
      <c r="H946" s="317"/>
      <c r="I946" s="313">
        <v>1</v>
      </c>
      <c r="J946" s="321"/>
      <c r="K946" s="168">
        <f t="shared" si="50"/>
        <v>17000</v>
      </c>
      <c r="L946" s="30"/>
      <c r="M946" s="67"/>
    </row>
    <row r="947" spans="1:13" ht="13.2">
      <c r="A947" s="75"/>
      <c r="B947" s="311" t="s">
        <v>337</v>
      </c>
      <c r="C947" s="322">
        <v>45365</v>
      </c>
      <c r="D947" s="16" t="s">
        <v>409</v>
      </c>
      <c r="E947" s="143" t="str">
        <f>VLOOKUP(D947,'Danh mục hàng hóa'!$C$3:$D$643,2,0)</f>
        <v>Túi chườm bụng thỏ dứa 1000ml</v>
      </c>
      <c r="F947" s="144" t="str">
        <f>VLOOKUP(D947,'Danh mục hàng hóa'!$C$3:$E$656,3,0)</f>
        <v>túi</v>
      </c>
      <c r="G947" s="320">
        <v>65000</v>
      </c>
      <c r="H947" s="317"/>
      <c r="I947" s="313">
        <v>1</v>
      </c>
      <c r="J947" s="321"/>
      <c r="K947" s="168">
        <f t="shared" si="50"/>
        <v>65000</v>
      </c>
      <c r="L947" s="30"/>
      <c r="M947" s="67"/>
    </row>
    <row r="948" spans="1:13" ht="13.2">
      <c r="A948" s="75"/>
      <c r="B948" s="311" t="s">
        <v>337</v>
      </c>
      <c r="C948" s="322">
        <v>45366</v>
      </c>
      <c r="D948" s="16" t="s">
        <v>891</v>
      </c>
      <c r="E948" s="143" t="str">
        <f>VLOOKUP(D948,'Danh mục hàng hóa'!$C$3:$D$643,2,0)</f>
        <v>Heo ú</v>
      </c>
      <c r="F948" s="144" t="str">
        <f>VLOOKUP(D948,'Danh mục hàng hóa'!$C$3:$E$656,3,0)</f>
        <v>cái</v>
      </c>
      <c r="G948" s="320">
        <v>46804</v>
      </c>
      <c r="H948" s="317"/>
      <c r="I948" s="313">
        <v>1</v>
      </c>
      <c r="J948" s="321"/>
      <c r="K948" s="168">
        <f t="shared" si="50"/>
        <v>46804</v>
      </c>
      <c r="L948" s="30"/>
      <c r="M948" s="67"/>
    </row>
    <row r="949" spans="1:13" ht="13.2">
      <c r="A949" s="75"/>
      <c r="B949" s="311" t="s">
        <v>337</v>
      </c>
      <c r="C949" s="322">
        <v>45366</v>
      </c>
      <c r="D949" s="16" t="s">
        <v>784</v>
      </c>
      <c r="E949" s="143" t="str">
        <f>VLOOKUP(D949,'Danh mục hàng hóa'!$C$3:$D$643,2,0)</f>
        <v>Kẹp tóc hoa lan 07</v>
      </c>
      <c r="F949" s="144" t="str">
        <f>VLOOKUP(D949,'Danh mục hàng hóa'!$C$3:$E$656,3,0)</f>
        <v>cái</v>
      </c>
      <c r="G949" s="320">
        <v>16599</v>
      </c>
      <c r="H949" s="317"/>
      <c r="I949" s="313">
        <v>1</v>
      </c>
      <c r="J949" s="321"/>
      <c r="K949" s="168">
        <f t="shared" si="50"/>
        <v>16599</v>
      </c>
      <c r="L949" s="30"/>
      <c r="M949" s="67"/>
    </row>
    <row r="950" spans="1:13" ht="13.2">
      <c r="A950" s="75"/>
      <c r="B950" s="311" t="s">
        <v>337</v>
      </c>
      <c r="C950" s="322">
        <v>45366</v>
      </c>
      <c r="D950" s="16" t="s">
        <v>977</v>
      </c>
      <c r="E950" s="143" t="str">
        <f>VLOOKUP(D950,'Danh mục hàng hóa'!$C$3:$D$643,2,0)</f>
        <v>Móc khóa đôi heo</v>
      </c>
      <c r="F950" s="144" t="str">
        <f>VLOOKUP(D950,'Danh mục hàng hóa'!$C$3:$E$656,3,0)</f>
        <v>cái</v>
      </c>
      <c r="G950" s="320">
        <v>48000</v>
      </c>
      <c r="H950" s="317"/>
      <c r="I950" s="313">
        <v>1</v>
      </c>
      <c r="J950" s="321"/>
      <c r="K950" s="168">
        <f t="shared" si="50"/>
        <v>48000</v>
      </c>
      <c r="L950" s="30"/>
      <c r="M950" s="67"/>
    </row>
    <row r="951" spans="1:13" ht="13.2">
      <c r="A951" s="75"/>
      <c r="B951" s="311" t="s">
        <v>337</v>
      </c>
      <c r="C951" s="322">
        <v>45366</v>
      </c>
      <c r="D951" s="16" t="s">
        <v>784</v>
      </c>
      <c r="E951" s="143" t="str">
        <f>VLOOKUP(D951,'Danh mục hàng hóa'!$C$3:$D$643,2,0)</f>
        <v>Kẹp tóc hoa lan 07</v>
      </c>
      <c r="F951" s="144" t="str">
        <f>VLOOKUP(D951,'Danh mục hàng hóa'!$C$3:$E$656,3,0)</f>
        <v>cái</v>
      </c>
      <c r="G951" s="321">
        <f t="shared" ref="G951:G952" si="91">34159/2</f>
        <v>17079.5</v>
      </c>
      <c r="H951" s="317"/>
      <c r="I951" s="313">
        <v>1</v>
      </c>
      <c r="J951" s="321"/>
      <c r="K951" s="168">
        <f t="shared" si="50"/>
        <v>17079.5</v>
      </c>
      <c r="L951" s="30"/>
      <c r="M951" s="67"/>
    </row>
    <row r="952" spans="1:13" ht="13.2">
      <c r="A952" s="75"/>
      <c r="B952" s="311" t="s">
        <v>337</v>
      </c>
      <c r="C952" s="322">
        <v>45366</v>
      </c>
      <c r="D952" s="16" t="s">
        <v>746</v>
      </c>
      <c r="E952" s="143" t="str">
        <f>VLOOKUP(D952,'Danh mục hàng hóa'!$C$3:$D$643,2,0)</f>
        <v>Kẹp tóc hoa năm cánh hồng</v>
      </c>
      <c r="F952" s="144" t="str">
        <f>VLOOKUP(D952,'Danh mục hàng hóa'!$C$3:$E$656,3,0)</f>
        <v>cái</v>
      </c>
      <c r="G952" s="321">
        <f t="shared" si="91"/>
        <v>17079.5</v>
      </c>
      <c r="H952" s="317"/>
      <c r="I952" s="313">
        <v>1</v>
      </c>
      <c r="J952" s="321"/>
      <c r="K952" s="168">
        <f t="shared" si="50"/>
        <v>17079.5</v>
      </c>
      <c r="L952" s="30"/>
      <c r="M952" s="67"/>
    </row>
    <row r="953" spans="1:13" ht="13.2">
      <c r="A953" s="75"/>
      <c r="B953" s="311" t="s">
        <v>337</v>
      </c>
      <c r="C953" s="322">
        <v>45366</v>
      </c>
      <c r="D953" s="16" t="s">
        <v>784</v>
      </c>
      <c r="E953" s="143" t="str">
        <f>VLOOKUP(D953,'Danh mục hàng hóa'!$C$3:$D$643,2,0)</f>
        <v>Kẹp tóc hoa lan 07</v>
      </c>
      <c r="F953" s="144" t="str">
        <f>VLOOKUP(D953,'Danh mục hàng hóa'!$C$3:$E$656,3,0)</f>
        <v>cái</v>
      </c>
      <c r="G953" s="321">
        <f t="shared" ref="G953:G954" si="92">33977/2</f>
        <v>16988.5</v>
      </c>
      <c r="H953" s="317"/>
      <c r="I953" s="313">
        <v>1</v>
      </c>
      <c r="J953" s="321"/>
      <c r="K953" s="168">
        <f t="shared" si="50"/>
        <v>16988.5</v>
      </c>
      <c r="L953" s="30"/>
      <c r="M953" s="67"/>
    </row>
    <row r="954" spans="1:13" ht="13.2">
      <c r="A954" s="75"/>
      <c r="B954" s="311" t="s">
        <v>337</v>
      </c>
      <c r="C954" s="322">
        <v>45366</v>
      </c>
      <c r="D954" s="16" t="s">
        <v>786</v>
      </c>
      <c r="E954" s="143" t="str">
        <f>VLOOKUP(D954,'Danh mục hàng hóa'!$C$3:$D$643,2,0)</f>
        <v>Kẹp tóc hoa lan 08</v>
      </c>
      <c r="F954" s="144" t="str">
        <f>VLOOKUP(D954,'Danh mục hàng hóa'!$C$3:$E$656,3,0)</f>
        <v>cái</v>
      </c>
      <c r="G954" s="321">
        <f t="shared" si="92"/>
        <v>16988.5</v>
      </c>
      <c r="H954" s="317"/>
      <c r="I954" s="313">
        <v>1</v>
      </c>
      <c r="J954" s="321"/>
      <c r="K954" s="168">
        <f t="shared" si="50"/>
        <v>16988.5</v>
      </c>
      <c r="L954" s="30"/>
      <c r="M954" s="67"/>
    </row>
    <row r="955" spans="1:13" ht="13.2">
      <c r="A955" s="75"/>
      <c r="B955" s="311" t="s">
        <v>337</v>
      </c>
      <c r="C955" s="322">
        <v>45366</v>
      </c>
      <c r="D955" s="16" t="s">
        <v>784</v>
      </c>
      <c r="E955" s="143" t="str">
        <f>VLOOKUP(D955,'Danh mục hàng hóa'!$C$3:$D$643,2,0)</f>
        <v>Kẹp tóc hoa lan 07</v>
      </c>
      <c r="F955" s="144" t="str">
        <f>VLOOKUP(D955,'Danh mục hàng hóa'!$C$3:$E$656,3,0)</f>
        <v>cái</v>
      </c>
      <c r="G955" s="321">
        <f t="shared" ref="G955:G957" si="93">46700/3</f>
        <v>15566.666666666666</v>
      </c>
      <c r="H955" s="317"/>
      <c r="I955" s="313">
        <v>1</v>
      </c>
      <c r="J955" s="321"/>
      <c r="K955" s="168">
        <f t="shared" si="50"/>
        <v>15566.666666666666</v>
      </c>
      <c r="L955" s="30"/>
      <c r="M955" s="67"/>
    </row>
    <row r="956" spans="1:13" ht="13.2">
      <c r="A956" s="75"/>
      <c r="B956" s="311" t="s">
        <v>337</v>
      </c>
      <c r="C956" s="322">
        <v>45366</v>
      </c>
      <c r="D956" s="16" t="s">
        <v>786</v>
      </c>
      <c r="E956" s="143" t="str">
        <f>VLOOKUP(D956,'Danh mục hàng hóa'!$C$3:$D$643,2,0)</f>
        <v>Kẹp tóc hoa lan 08</v>
      </c>
      <c r="F956" s="144" t="str">
        <f>VLOOKUP(D956,'Danh mục hàng hóa'!$C$3:$E$656,3,0)</f>
        <v>cái</v>
      </c>
      <c r="G956" s="321">
        <f t="shared" si="93"/>
        <v>15566.666666666666</v>
      </c>
      <c r="H956" s="317"/>
      <c r="I956" s="313">
        <v>1</v>
      </c>
      <c r="J956" s="321"/>
      <c r="K956" s="168">
        <f t="shared" si="50"/>
        <v>15566.666666666666</v>
      </c>
      <c r="L956" s="30"/>
      <c r="M956" s="67"/>
    </row>
    <row r="957" spans="1:13" ht="13.2">
      <c r="A957" s="75"/>
      <c r="B957" s="311" t="s">
        <v>337</v>
      </c>
      <c r="C957" s="322">
        <v>45366</v>
      </c>
      <c r="D957" s="16" t="s">
        <v>772</v>
      </c>
      <c r="E957" s="143" t="str">
        <f>VLOOKUP(D957,'Danh mục hàng hóa'!$C$3:$D$643,2,0)</f>
        <v>Kẹp tóc hoa lan 01</v>
      </c>
      <c r="F957" s="144" t="str">
        <f>VLOOKUP(D957,'Danh mục hàng hóa'!$C$3:$E$656,3,0)</f>
        <v>cái</v>
      </c>
      <c r="G957" s="321">
        <f t="shared" si="93"/>
        <v>15566.666666666666</v>
      </c>
      <c r="H957" s="317"/>
      <c r="I957" s="313">
        <v>1</v>
      </c>
      <c r="J957" s="321"/>
      <c r="K957" s="168">
        <f t="shared" si="50"/>
        <v>15566.666666666666</v>
      </c>
      <c r="L957" s="30"/>
      <c r="M957" s="67"/>
    </row>
    <row r="958" spans="1:13" ht="13.2">
      <c r="A958" s="75"/>
      <c r="B958" s="311" t="s">
        <v>337</v>
      </c>
      <c r="C958" s="322">
        <v>45366</v>
      </c>
      <c r="D958" s="16" t="s">
        <v>977</v>
      </c>
      <c r="E958" s="143" t="str">
        <f>VLOOKUP(D958,'Danh mục hàng hóa'!$C$3:$D$643,2,0)</f>
        <v>Móc khóa đôi heo</v>
      </c>
      <c r="F958" s="144" t="str">
        <f>VLOOKUP(D958,'Danh mục hàng hóa'!$C$3:$E$656,3,0)</f>
        <v>cái</v>
      </c>
      <c r="G958" s="320">
        <v>48708</v>
      </c>
      <c r="H958" s="317"/>
      <c r="I958" s="313">
        <v>1</v>
      </c>
      <c r="J958" s="321"/>
      <c r="K958" s="168">
        <f t="shared" si="50"/>
        <v>48708</v>
      </c>
      <c r="L958" s="30"/>
      <c r="M958" s="67"/>
    </row>
    <row r="959" spans="1:13" ht="13.2">
      <c r="A959" s="75"/>
      <c r="B959" s="311" t="s">
        <v>337</v>
      </c>
      <c r="C959" s="322">
        <v>45366</v>
      </c>
      <c r="D959" s="16" t="s">
        <v>977</v>
      </c>
      <c r="E959" s="143" t="str">
        <f>VLOOKUP(D959,'Danh mục hàng hóa'!$C$3:$D$643,2,0)</f>
        <v>Móc khóa đôi heo</v>
      </c>
      <c r="F959" s="144" t="str">
        <f>VLOOKUP(D959,'Danh mục hàng hóa'!$C$3:$E$656,3,0)</f>
        <v>cái</v>
      </c>
      <c r="G959" s="320">
        <v>48648</v>
      </c>
      <c r="H959" s="317"/>
      <c r="I959" s="313">
        <v>1</v>
      </c>
      <c r="J959" s="321"/>
      <c r="K959" s="168">
        <f t="shared" si="50"/>
        <v>48648</v>
      </c>
      <c r="L959" s="30"/>
      <c r="M959" s="67"/>
    </row>
    <row r="960" spans="1:13" ht="13.2">
      <c r="A960" s="75"/>
      <c r="B960" s="311" t="s">
        <v>337</v>
      </c>
      <c r="C960" s="322">
        <v>45366</v>
      </c>
      <c r="D960" s="16" t="s">
        <v>895</v>
      </c>
      <c r="E960" s="143" t="str">
        <f>VLOOKUP(D960,'Danh mục hàng hóa'!$C$3:$D$643,2,0)</f>
        <v>Thỏ chong chóng</v>
      </c>
      <c r="F960" s="144" t="str">
        <f>VLOOKUP(D960,'Danh mục hàng hóa'!$C$3:$E$656,3,0)</f>
        <v>cái</v>
      </c>
      <c r="G960" s="320">
        <v>47064</v>
      </c>
      <c r="H960" s="317"/>
      <c r="I960" s="313">
        <v>1</v>
      </c>
      <c r="J960" s="321"/>
      <c r="K960" s="168">
        <f t="shared" si="50"/>
        <v>47064</v>
      </c>
      <c r="L960" s="30"/>
      <c r="M960" s="67"/>
    </row>
    <row r="961" spans="1:13" ht="13.2">
      <c r="A961" s="75"/>
      <c r="B961" s="311" t="s">
        <v>337</v>
      </c>
      <c r="C961" s="322">
        <v>45366</v>
      </c>
      <c r="D961" s="16" t="s">
        <v>772</v>
      </c>
      <c r="E961" s="143" t="str">
        <f>VLOOKUP(D961,'Danh mục hàng hóa'!$C$3:$D$643,2,0)</f>
        <v>Kẹp tóc hoa lan 01</v>
      </c>
      <c r="F961" s="144" t="str">
        <f>VLOOKUP(D961,'Danh mục hàng hóa'!$C$3:$E$656,3,0)</f>
        <v>cái</v>
      </c>
      <c r="G961" s="321">
        <f t="shared" ref="G961:G962" si="94">34577/2</f>
        <v>17288.5</v>
      </c>
      <c r="H961" s="317"/>
      <c r="I961" s="313">
        <v>1</v>
      </c>
      <c r="J961" s="321"/>
      <c r="K961" s="168">
        <f t="shared" si="50"/>
        <v>17288.5</v>
      </c>
      <c r="L961" s="30"/>
      <c r="M961" s="67"/>
    </row>
    <row r="962" spans="1:13" ht="13.2">
      <c r="A962" s="75"/>
      <c r="B962" s="311" t="s">
        <v>337</v>
      </c>
      <c r="C962" s="322">
        <v>45366</v>
      </c>
      <c r="D962" s="16" t="s">
        <v>786</v>
      </c>
      <c r="E962" s="143" t="str">
        <f>VLOOKUP(D962,'Danh mục hàng hóa'!$C$3:$D$643,2,0)</f>
        <v>Kẹp tóc hoa lan 08</v>
      </c>
      <c r="F962" s="144" t="str">
        <f>VLOOKUP(D962,'Danh mục hàng hóa'!$C$3:$E$656,3,0)</f>
        <v>cái</v>
      </c>
      <c r="G962" s="321">
        <f t="shared" si="94"/>
        <v>17288.5</v>
      </c>
      <c r="H962" s="317"/>
      <c r="I962" s="313">
        <v>1</v>
      </c>
      <c r="J962" s="321"/>
      <c r="K962" s="168">
        <f t="shared" si="50"/>
        <v>17288.5</v>
      </c>
      <c r="L962" s="30"/>
      <c r="M962" s="67"/>
    </row>
    <row r="963" spans="1:13" ht="13.2">
      <c r="A963" s="75"/>
      <c r="B963" s="311" t="s">
        <v>337</v>
      </c>
      <c r="C963" s="322">
        <v>45366</v>
      </c>
      <c r="D963" s="16" t="s">
        <v>782</v>
      </c>
      <c r="E963" s="143" t="str">
        <f>VLOOKUP(D963,'Danh mục hàng hóa'!$C$3:$D$643,2,0)</f>
        <v>Kẹp tóc hoa lan 06</v>
      </c>
      <c r="F963" s="144" t="str">
        <f>VLOOKUP(D963,'Danh mục hàng hóa'!$C$3:$E$656,3,0)</f>
        <v>cái</v>
      </c>
      <c r="G963" s="320">
        <v>17319</v>
      </c>
      <c r="H963" s="317"/>
      <c r="I963" s="313">
        <v>1</v>
      </c>
      <c r="J963" s="321"/>
      <c r="K963" s="168">
        <f t="shared" si="50"/>
        <v>17319</v>
      </c>
      <c r="L963" s="30"/>
      <c r="M963" s="67"/>
    </row>
    <row r="964" spans="1:13" ht="13.2">
      <c r="A964" s="75"/>
      <c r="B964" s="311" t="s">
        <v>337</v>
      </c>
      <c r="C964" s="322">
        <v>45366</v>
      </c>
      <c r="D964" s="16" t="s">
        <v>784</v>
      </c>
      <c r="E964" s="143" t="str">
        <f>VLOOKUP(D964,'Danh mục hàng hóa'!$C$3:$D$643,2,0)</f>
        <v>Kẹp tóc hoa lan 07</v>
      </c>
      <c r="F964" s="144" t="str">
        <f>VLOOKUP(D964,'Danh mục hàng hóa'!$C$3:$E$656,3,0)</f>
        <v>cái</v>
      </c>
      <c r="G964" s="321">
        <f t="shared" ref="G964:G965" si="95">34577/2</f>
        <v>17288.5</v>
      </c>
      <c r="H964" s="317"/>
      <c r="I964" s="313">
        <v>1</v>
      </c>
      <c r="J964" s="321"/>
      <c r="K964" s="168">
        <f t="shared" si="50"/>
        <v>17288.5</v>
      </c>
      <c r="L964" s="30"/>
      <c r="M964" s="67"/>
    </row>
    <row r="965" spans="1:13" ht="13.2">
      <c r="A965" s="75"/>
      <c r="B965" s="311" t="s">
        <v>337</v>
      </c>
      <c r="C965" s="322">
        <v>45366</v>
      </c>
      <c r="D965" s="16" t="s">
        <v>772</v>
      </c>
      <c r="E965" s="143" t="str">
        <f>VLOOKUP(D965,'Danh mục hàng hóa'!$C$3:$D$643,2,0)</f>
        <v>Kẹp tóc hoa lan 01</v>
      </c>
      <c r="F965" s="144" t="str">
        <f>VLOOKUP(D965,'Danh mục hàng hóa'!$C$3:$E$656,3,0)</f>
        <v>cái</v>
      </c>
      <c r="G965" s="321">
        <f t="shared" si="95"/>
        <v>17288.5</v>
      </c>
      <c r="H965" s="317"/>
      <c r="I965" s="313">
        <v>1</v>
      </c>
      <c r="J965" s="321"/>
      <c r="K965" s="168">
        <f t="shared" si="50"/>
        <v>17288.5</v>
      </c>
      <c r="L965" s="30"/>
      <c r="M965" s="67"/>
    </row>
    <row r="966" spans="1:13" ht="13.2">
      <c r="A966" s="75"/>
      <c r="B966" s="311" t="s">
        <v>337</v>
      </c>
      <c r="C966" s="322">
        <v>45366</v>
      </c>
      <c r="D966" s="16" t="s">
        <v>772</v>
      </c>
      <c r="E966" s="143" t="str">
        <f>VLOOKUP(D966,'Danh mục hàng hóa'!$C$3:$D$643,2,0)</f>
        <v>Kẹp tóc hoa lan 01</v>
      </c>
      <c r="F966" s="144" t="str">
        <f>VLOOKUP(D966,'Danh mục hàng hóa'!$C$3:$E$656,3,0)</f>
        <v>cái</v>
      </c>
      <c r="G966" s="321">
        <f t="shared" ref="G966:G970" si="96">92375/5</f>
        <v>18475</v>
      </c>
      <c r="H966" s="317"/>
      <c r="I966" s="313">
        <v>1</v>
      </c>
      <c r="J966" s="321"/>
      <c r="K966" s="168">
        <f t="shared" si="50"/>
        <v>18475</v>
      </c>
      <c r="L966" s="30"/>
      <c r="M966" s="67"/>
    </row>
    <row r="967" spans="1:13" ht="13.2">
      <c r="A967" s="75"/>
      <c r="B967" s="311" t="s">
        <v>337</v>
      </c>
      <c r="C967" s="322">
        <v>45366</v>
      </c>
      <c r="D967" s="16" t="s">
        <v>778</v>
      </c>
      <c r="E967" s="143" t="str">
        <f>VLOOKUP(D967,'Danh mục hàng hóa'!$C$3:$D$643,2,0)</f>
        <v>Kẹp tóc hoa lan 04</v>
      </c>
      <c r="F967" s="144" t="str">
        <f>VLOOKUP(D967,'Danh mục hàng hóa'!$C$3:$E$656,3,0)</f>
        <v>cái</v>
      </c>
      <c r="G967" s="321">
        <f t="shared" si="96"/>
        <v>18475</v>
      </c>
      <c r="H967" s="317"/>
      <c r="I967" s="313">
        <v>1</v>
      </c>
      <c r="J967" s="321"/>
      <c r="K967" s="168">
        <f t="shared" si="50"/>
        <v>18475</v>
      </c>
      <c r="L967" s="30"/>
      <c r="M967" s="67"/>
    </row>
    <row r="968" spans="1:13" ht="13.2">
      <c r="A968" s="75"/>
      <c r="B968" s="311" t="s">
        <v>337</v>
      </c>
      <c r="C968" s="322">
        <v>45366</v>
      </c>
      <c r="D968" s="16" t="s">
        <v>782</v>
      </c>
      <c r="E968" s="143" t="str">
        <f>VLOOKUP(D968,'Danh mục hàng hóa'!$C$3:$D$643,2,0)</f>
        <v>Kẹp tóc hoa lan 06</v>
      </c>
      <c r="F968" s="144" t="str">
        <f>VLOOKUP(D968,'Danh mục hàng hóa'!$C$3:$E$656,3,0)</f>
        <v>cái</v>
      </c>
      <c r="G968" s="321">
        <f t="shared" si="96"/>
        <v>18475</v>
      </c>
      <c r="H968" s="317"/>
      <c r="I968" s="313">
        <v>1</v>
      </c>
      <c r="J968" s="321"/>
      <c r="K968" s="168">
        <f t="shared" si="50"/>
        <v>18475</v>
      </c>
      <c r="L968" s="30"/>
      <c r="M968" s="67"/>
    </row>
    <row r="969" spans="1:13" ht="13.2">
      <c r="A969" s="75"/>
      <c r="B969" s="311" t="s">
        <v>337</v>
      </c>
      <c r="C969" s="322">
        <v>45366</v>
      </c>
      <c r="D969" s="16" t="s">
        <v>480</v>
      </c>
      <c r="E969" s="143" t="str">
        <f>VLOOKUP(D969,'Danh mục hàng hóa'!$C$3:$D$643,2,0)</f>
        <v>Trâm cài gỗ nâu có họa tiết</v>
      </c>
      <c r="F969" s="144" t="str">
        <f>VLOOKUP(D969,'Danh mục hàng hóa'!$C$3:$E$656,3,0)</f>
        <v>cái</v>
      </c>
      <c r="G969" s="321">
        <f t="shared" si="96"/>
        <v>18475</v>
      </c>
      <c r="H969" s="317"/>
      <c r="I969" s="313">
        <v>1</v>
      </c>
      <c r="J969" s="321"/>
      <c r="K969" s="168">
        <f t="shared" si="50"/>
        <v>18475</v>
      </c>
      <c r="L969" s="30"/>
      <c r="M969" s="67"/>
    </row>
    <row r="970" spans="1:13" ht="13.2">
      <c r="A970" s="75"/>
      <c r="B970" s="311" t="s">
        <v>337</v>
      </c>
      <c r="C970" s="322">
        <v>45366</v>
      </c>
      <c r="D970" s="16" t="s">
        <v>472</v>
      </c>
      <c r="E970" s="143" t="str">
        <f>VLOOKUP(D970,'Danh mục hàng hóa'!$C$3:$D$643,2,0)</f>
        <v>Trâm cài gỗ nâu trơn</v>
      </c>
      <c r="F970" s="144" t="str">
        <f>VLOOKUP(D970,'Danh mục hàng hóa'!$C$3:$E$656,3,0)</f>
        <v>cái</v>
      </c>
      <c r="G970" s="321">
        <f t="shared" si="96"/>
        <v>18475</v>
      </c>
      <c r="H970" s="317"/>
      <c r="I970" s="313">
        <v>1</v>
      </c>
      <c r="J970" s="321"/>
      <c r="K970" s="168">
        <f t="shared" si="50"/>
        <v>18475</v>
      </c>
      <c r="L970" s="30"/>
      <c r="M970" s="67"/>
    </row>
    <row r="971" spans="1:13" ht="13.2">
      <c r="A971" s="75"/>
      <c r="B971" s="311" t="s">
        <v>337</v>
      </c>
      <c r="C971" s="322">
        <v>45366</v>
      </c>
      <c r="D971" s="16" t="s">
        <v>977</v>
      </c>
      <c r="E971" s="143" t="str">
        <f>VLOOKUP(D971,'Danh mục hàng hóa'!$C$3:$D$643,2,0)</f>
        <v>Móc khóa đôi heo</v>
      </c>
      <c r="F971" s="144" t="str">
        <f>VLOOKUP(D971,'Danh mục hàng hóa'!$C$3:$E$656,3,0)</f>
        <v>cái</v>
      </c>
      <c r="G971" s="320">
        <v>50000</v>
      </c>
      <c r="H971" s="317"/>
      <c r="I971" s="313">
        <v>1</v>
      </c>
      <c r="J971" s="321"/>
      <c r="K971" s="168">
        <f t="shared" si="50"/>
        <v>50000</v>
      </c>
      <c r="L971" s="30"/>
      <c r="M971" s="67"/>
    </row>
    <row r="972" spans="1:13" ht="13.2">
      <c r="A972" s="75"/>
      <c r="B972" s="311" t="s">
        <v>337</v>
      </c>
      <c r="C972" s="322">
        <v>45366</v>
      </c>
      <c r="D972" s="16" t="s">
        <v>552</v>
      </c>
      <c r="E972" s="143" t="str">
        <f>VLOOKUP(D972,'Danh mục hàng hóa'!$C$3:$D$643,2,0)</f>
        <v>Ống 20 dây cột tóc kem be nâu</v>
      </c>
      <c r="F972" s="144" t="str">
        <f>VLOOKUP(D972,'Danh mục hàng hóa'!$C$3:$E$656,3,0)</f>
        <v>ống</v>
      </c>
      <c r="G972" s="320">
        <v>13036</v>
      </c>
      <c r="H972" s="317"/>
      <c r="I972" s="313">
        <v>1</v>
      </c>
      <c r="J972" s="321"/>
      <c r="K972" s="168">
        <f t="shared" si="50"/>
        <v>13036</v>
      </c>
      <c r="L972" s="30"/>
      <c r="M972" s="67"/>
    </row>
    <row r="973" spans="1:13" ht="13.2">
      <c r="A973" s="75"/>
      <c r="B973" s="311" t="s">
        <v>337</v>
      </c>
      <c r="C973" s="322">
        <v>45366</v>
      </c>
      <c r="D973" s="16" t="s">
        <v>891</v>
      </c>
      <c r="E973" s="143" t="str">
        <f>VLOOKUP(D973,'Danh mục hàng hóa'!$C$3:$D$643,2,0)</f>
        <v>Heo ú</v>
      </c>
      <c r="F973" s="144" t="str">
        <f>VLOOKUP(D973,'Danh mục hàng hóa'!$C$3:$E$656,3,0)</f>
        <v>cái</v>
      </c>
      <c r="G973" s="320">
        <v>47124</v>
      </c>
      <c r="H973" s="317"/>
      <c r="I973" s="313">
        <v>1</v>
      </c>
      <c r="J973" s="321"/>
      <c r="K973" s="168">
        <f t="shared" si="50"/>
        <v>47124</v>
      </c>
      <c r="L973" s="30"/>
      <c r="M973" s="67"/>
    </row>
    <row r="974" spans="1:13" ht="13.2">
      <c r="A974" s="75"/>
      <c r="B974" s="311" t="s">
        <v>337</v>
      </c>
      <c r="C974" s="322">
        <v>45366</v>
      </c>
      <c r="D974" s="16" t="s">
        <v>420</v>
      </c>
      <c r="E974" s="143" t="str">
        <f>VLOOKUP(D974,'Danh mục hàng hóa'!$C$3:$D$643,2,0)</f>
        <v>Túi chườm bụng thỏ dứa 500ml</v>
      </c>
      <c r="F974" s="144" t="str">
        <f>VLOOKUP(D974,'Danh mục hàng hóa'!$C$3:$E$656,3,0)</f>
        <v>túi</v>
      </c>
      <c r="G974" s="320">
        <v>57563</v>
      </c>
      <c r="H974" s="317"/>
      <c r="I974" s="313">
        <v>1</v>
      </c>
      <c r="J974" s="321"/>
      <c r="K974" s="168">
        <f t="shared" si="50"/>
        <v>57563</v>
      </c>
      <c r="L974" s="30"/>
      <c r="M974" s="67"/>
    </row>
    <row r="975" spans="1:13" ht="13.2">
      <c r="A975" s="75"/>
      <c r="B975" s="311" t="s">
        <v>337</v>
      </c>
      <c r="C975" s="322">
        <v>45366</v>
      </c>
      <c r="D975" s="16" t="s">
        <v>780</v>
      </c>
      <c r="E975" s="143" t="str">
        <f>VLOOKUP(D975,'Danh mục hàng hóa'!$C$3:$D$643,2,0)</f>
        <v>Kẹp tóc hoa lan 05</v>
      </c>
      <c r="F975" s="144" t="str">
        <f>VLOOKUP(D975,'Danh mục hàng hóa'!$C$3:$E$656,3,0)</f>
        <v>cái</v>
      </c>
      <c r="G975" s="321">
        <f t="shared" ref="G975:G976" si="97">34577/2</f>
        <v>17288.5</v>
      </c>
      <c r="H975" s="317"/>
      <c r="I975" s="313">
        <v>1</v>
      </c>
      <c r="J975" s="321"/>
      <c r="K975" s="168">
        <f t="shared" si="50"/>
        <v>17288.5</v>
      </c>
      <c r="L975" s="30"/>
      <c r="M975" s="67"/>
    </row>
    <row r="976" spans="1:13" ht="13.2">
      <c r="A976" s="75"/>
      <c r="B976" s="311" t="s">
        <v>337</v>
      </c>
      <c r="C976" s="322">
        <v>45366</v>
      </c>
      <c r="D976" s="16" t="s">
        <v>782</v>
      </c>
      <c r="E976" s="143" t="str">
        <f>VLOOKUP(D976,'Danh mục hàng hóa'!$C$3:$D$643,2,0)</f>
        <v>Kẹp tóc hoa lan 06</v>
      </c>
      <c r="F976" s="144" t="str">
        <f>VLOOKUP(D976,'Danh mục hàng hóa'!$C$3:$E$656,3,0)</f>
        <v>cái</v>
      </c>
      <c r="G976" s="321">
        <f t="shared" si="97"/>
        <v>17288.5</v>
      </c>
      <c r="H976" s="317"/>
      <c r="I976" s="313">
        <v>1</v>
      </c>
      <c r="J976" s="321"/>
      <c r="K976" s="168">
        <f t="shared" si="50"/>
        <v>17288.5</v>
      </c>
      <c r="L976" s="30"/>
      <c r="M976" s="67"/>
    </row>
    <row r="977" spans="1:13" ht="13.2">
      <c r="A977" s="75"/>
      <c r="B977" s="311" t="s">
        <v>337</v>
      </c>
      <c r="C977" s="408">
        <v>45367</v>
      </c>
      <c r="D977" s="28" t="s">
        <v>738</v>
      </c>
      <c r="E977" s="143" t="str">
        <f>VLOOKUP(D977,'Danh mục hàng hóa'!$C$3:$D$643,2,0)</f>
        <v>Kẹp tóc hoa sứ cam</v>
      </c>
      <c r="F977" s="144" t="str">
        <f>VLOOKUP(D977,'Danh mục hàng hóa'!$C$3:$E$656,3,0)</f>
        <v>cái</v>
      </c>
      <c r="G977" s="320">
        <v>12200</v>
      </c>
      <c r="H977" s="317"/>
      <c r="I977" s="313">
        <v>12</v>
      </c>
      <c r="J977" s="321"/>
      <c r="K977" s="168">
        <f t="shared" si="50"/>
        <v>146400</v>
      </c>
      <c r="L977" s="30"/>
      <c r="M977" s="67"/>
    </row>
    <row r="978" spans="1:13" ht="13.8">
      <c r="A978" s="75"/>
      <c r="B978" s="311" t="s">
        <v>337</v>
      </c>
      <c r="C978" s="372"/>
      <c r="D978" s="212" t="s">
        <v>754</v>
      </c>
      <c r="E978" s="143" t="str">
        <f>VLOOKUP(D978,'Danh mục hàng hóa'!$C$3:$D$643,2,0)</f>
        <v>Kẹp tóc hoa năm cánh xanh vàng</v>
      </c>
      <c r="F978" s="144" t="str">
        <f>VLOOKUP(D978,'Danh mục hàng hóa'!$C$3:$E$656,3,0)</f>
        <v>cái</v>
      </c>
      <c r="G978" s="320">
        <v>12200</v>
      </c>
      <c r="H978" s="317"/>
      <c r="I978" s="313">
        <v>5</v>
      </c>
      <c r="J978" s="321"/>
      <c r="K978" s="168">
        <f t="shared" si="50"/>
        <v>61000</v>
      </c>
      <c r="M978" s="67"/>
    </row>
    <row r="979" spans="1:13" ht="13.8">
      <c r="A979" s="75"/>
      <c r="B979" s="311" t="s">
        <v>337</v>
      </c>
      <c r="C979" s="372"/>
      <c r="D979" s="212" t="s">
        <v>744</v>
      </c>
      <c r="E979" s="143" t="str">
        <f>VLOOKUP(D979,'Danh mục hàng hóa'!$C$3:$D$643,2,0)</f>
        <v>Kẹp tóc hoa sứ đỏ hồng đậm</v>
      </c>
      <c r="F979" s="144" t="str">
        <f>VLOOKUP(D979,'Danh mục hàng hóa'!$C$3:$E$656,3,0)</f>
        <v>cái</v>
      </c>
      <c r="G979" s="320">
        <v>12200</v>
      </c>
      <c r="H979" s="317"/>
      <c r="I979" s="313">
        <v>7</v>
      </c>
      <c r="J979" s="321"/>
      <c r="K979" s="168">
        <f t="shared" si="50"/>
        <v>85400</v>
      </c>
      <c r="M979" s="67"/>
    </row>
    <row r="980" spans="1:13" ht="13.8">
      <c r="A980" s="75"/>
      <c r="B980" s="311" t="s">
        <v>337</v>
      </c>
      <c r="C980" s="372"/>
      <c r="D980" s="212" t="s">
        <v>742</v>
      </c>
      <c r="E980" s="143" t="str">
        <f>VLOOKUP(D980,'Danh mục hàng hóa'!$C$3:$D$643,2,0)</f>
        <v>Kẹp tóc hoa sứ xanh</v>
      </c>
      <c r="F980" s="144" t="str">
        <f>VLOOKUP(D980,'Danh mục hàng hóa'!$C$3:$E$656,3,0)</f>
        <v>cái</v>
      </c>
      <c r="G980" s="320">
        <f t="shared" ref="G980:G981" si="98">31672/2</f>
        <v>15836</v>
      </c>
      <c r="H980" s="317"/>
      <c r="I980" s="313">
        <v>1</v>
      </c>
      <c r="J980" s="321"/>
      <c r="K980" s="168">
        <f t="shared" si="50"/>
        <v>15836</v>
      </c>
      <c r="M980" s="67"/>
    </row>
    <row r="981" spans="1:13" ht="13.8">
      <c r="A981" s="75"/>
      <c r="B981" s="311" t="s">
        <v>337</v>
      </c>
      <c r="C981" s="372"/>
      <c r="D981" s="212" t="s">
        <v>732</v>
      </c>
      <c r="E981" s="143" t="str">
        <f>VLOOKUP(D981,'Danh mục hàng hóa'!$C$3:$D$643,2,0)</f>
        <v>Kẹp tóc hoa sứ tím</v>
      </c>
      <c r="F981" s="144" t="str">
        <f>VLOOKUP(D981,'Danh mục hàng hóa'!$C$3:$E$656,3,0)</f>
        <v>cái</v>
      </c>
      <c r="G981" s="320">
        <f t="shared" si="98"/>
        <v>15836</v>
      </c>
      <c r="H981" s="317"/>
      <c r="I981" s="313">
        <v>1</v>
      </c>
      <c r="J981" s="323"/>
      <c r="K981" s="168">
        <f t="shared" si="50"/>
        <v>15836</v>
      </c>
      <c r="M981" s="67"/>
    </row>
    <row r="982" spans="1:13" ht="13.8">
      <c r="A982" s="75"/>
      <c r="B982" s="311" t="s">
        <v>337</v>
      </c>
      <c r="C982" s="372"/>
      <c r="D982" s="212" t="s">
        <v>977</v>
      </c>
      <c r="E982" s="143" t="str">
        <f>VLOOKUP(D982,'Danh mục hàng hóa'!$C$3:$D$643,2,0)</f>
        <v>Móc khóa đôi heo</v>
      </c>
      <c r="F982" s="144" t="str">
        <f>VLOOKUP(D982,'Danh mục hàng hóa'!$C$3:$E$656,3,0)</f>
        <v>cái</v>
      </c>
      <c r="G982" s="320">
        <v>50148</v>
      </c>
      <c r="H982" s="317"/>
      <c r="I982" s="313">
        <v>1</v>
      </c>
      <c r="J982" s="323"/>
      <c r="K982" s="168">
        <f t="shared" si="50"/>
        <v>50148</v>
      </c>
      <c r="M982" s="67"/>
    </row>
    <row r="983" spans="1:13" ht="13.2">
      <c r="A983" s="75"/>
      <c r="B983" s="311" t="s">
        <v>337</v>
      </c>
      <c r="C983" s="372"/>
      <c r="D983" s="28" t="s">
        <v>907</v>
      </c>
      <c r="E983" s="143" t="str">
        <f>VLOOKUP(D983,'Danh mục hàng hóa'!$C$3:$D$643,2,0)</f>
        <v>Cáo gắn xe</v>
      </c>
      <c r="F983" s="144" t="str">
        <f>VLOOKUP(D983,'Danh mục hàng hóa'!$C$3:$E$656,3,0)</f>
        <v>cái</v>
      </c>
      <c r="G983" s="320">
        <v>46800</v>
      </c>
      <c r="H983" s="317"/>
      <c r="I983" s="313">
        <v>1</v>
      </c>
      <c r="J983" s="323"/>
      <c r="K983" s="168">
        <f t="shared" si="50"/>
        <v>46800</v>
      </c>
      <c r="M983" s="67"/>
    </row>
    <row r="984" spans="1:13" ht="13.2">
      <c r="A984" s="75"/>
      <c r="B984" s="311" t="s">
        <v>337</v>
      </c>
      <c r="C984" s="372"/>
      <c r="D984" s="28" t="s">
        <v>734</v>
      </c>
      <c r="E984" s="143" t="str">
        <f>VLOOKUP(D984,'Danh mục hàng hóa'!$C$3:$D$643,2,0)</f>
        <v>Kẹp tóc hoa sứ hồng</v>
      </c>
      <c r="F984" s="144" t="str">
        <f>VLOOKUP(D984,'Danh mục hàng hóa'!$C$3:$E$656,3,0)</f>
        <v>cái</v>
      </c>
      <c r="G984" s="320">
        <v>14652</v>
      </c>
      <c r="H984" s="317"/>
      <c r="I984" s="313">
        <v>1</v>
      </c>
      <c r="J984" s="323"/>
      <c r="K984" s="168">
        <f t="shared" si="50"/>
        <v>14652</v>
      </c>
      <c r="M984" s="67"/>
    </row>
    <row r="985" spans="1:13" ht="13.2">
      <c r="A985" s="75"/>
      <c r="B985" s="311" t="s">
        <v>337</v>
      </c>
      <c r="C985" s="372"/>
      <c r="D985" s="28" t="s">
        <v>738</v>
      </c>
      <c r="E985" s="143" t="str">
        <f>VLOOKUP(D985,'Danh mục hàng hóa'!$C$3:$D$643,2,0)</f>
        <v>Kẹp tóc hoa sứ cam</v>
      </c>
      <c r="F985" s="144" t="str">
        <f>VLOOKUP(D985,'Danh mục hàng hóa'!$C$3:$E$656,3,0)</f>
        <v>cái</v>
      </c>
      <c r="G985" s="320">
        <v>14652</v>
      </c>
      <c r="H985" s="317"/>
      <c r="I985" s="313">
        <v>3</v>
      </c>
      <c r="J985" s="323"/>
      <c r="K985" s="168">
        <f t="shared" ref="K985:K1239" si="99">G985*I985</f>
        <v>43956</v>
      </c>
      <c r="M985" s="67"/>
    </row>
    <row r="986" spans="1:13" ht="13.2">
      <c r="A986" s="75"/>
      <c r="B986" s="311" t="s">
        <v>337</v>
      </c>
      <c r="C986" s="372"/>
      <c r="D986" s="28" t="s">
        <v>736</v>
      </c>
      <c r="E986" s="143" t="str">
        <f>VLOOKUP(D986,'Danh mục hàng hóa'!$C$3:$D$643,2,0)</f>
        <v>Kẹp tóc hoa sứ vàng</v>
      </c>
      <c r="F986" s="144" t="str">
        <f>VLOOKUP(D986,'Danh mục hàng hóa'!$C$3:$E$656,3,0)</f>
        <v>cái</v>
      </c>
      <c r="G986" s="320">
        <v>14860</v>
      </c>
      <c r="H986" s="317"/>
      <c r="I986" s="313">
        <v>1</v>
      </c>
      <c r="J986" s="323"/>
      <c r="K986" s="168">
        <f t="shared" si="99"/>
        <v>14860</v>
      </c>
      <c r="M986" s="67"/>
    </row>
    <row r="987" spans="1:13" ht="13.2">
      <c r="A987" s="75"/>
      <c r="B987" s="311" t="s">
        <v>337</v>
      </c>
      <c r="C987" s="372"/>
      <c r="D987" s="28" t="s">
        <v>734</v>
      </c>
      <c r="E987" s="143" t="str">
        <f>VLOOKUP(D987,'Danh mục hàng hóa'!$C$3:$D$643,2,0)</f>
        <v>Kẹp tóc hoa sứ hồng</v>
      </c>
      <c r="F987" s="144" t="str">
        <f>VLOOKUP(D987,'Danh mục hàng hóa'!$C$3:$E$656,3,0)</f>
        <v>cái</v>
      </c>
      <c r="G987" s="320">
        <v>14860</v>
      </c>
      <c r="H987" s="317"/>
      <c r="I987" s="313">
        <v>1</v>
      </c>
      <c r="J987" s="323"/>
      <c r="K987" s="168">
        <f t="shared" si="99"/>
        <v>14860</v>
      </c>
      <c r="M987" s="67"/>
    </row>
    <row r="988" spans="1:13" ht="13.2">
      <c r="A988" s="75"/>
      <c r="B988" s="311" t="s">
        <v>337</v>
      </c>
      <c r="C988" s="372"/>
      <c r="D988" s="28" t="s">
        <v>738</v>
      </c>
      <c r="E988" s="143" t="str">
        <f>VLOOKUP(D988,'Danh mục hàng hóa'!$C$3:$D$643,2,0)</f>
        <v>Kẹp tóc hoa sứ cam</v>
      </c>
      <c r="F988" s="144" t="str">
        <f>VLOOKUP(D988,'Danh mục hàng hóa'!$C$3:$E$656,3,0)</f>
        <v>cái</v>
      </c>
      <c r="G988" s="320">
        <v>14860</v>
      </c>
      <c r="H988" s="317"/>
      <c r="I988" s="313">
        <v>1</v>
      </c>
      <c r="J988" s="323"/>
      <c r="K988" s="168">
        <f t="shared" si="99"/>
        <v>14860</v>
      </c>
      <c r="M988" s="67"/>
    </row>
    <row r="989" spans="1:13" ht="13.2">
      <c r="A989" s="75"/>
      <c r="B989" s="311" t="s">
        <v>337</v>
      </c>
      <c r="C989" s="372"/>
      <c r="D989" s="28" t="s">
        <v>742</v>
      </c>
      <c r="E989" s="143" t="str">
        <f>VLOOKUP(D989,'Danh mục hàng hóa'!$C$3:$D$643,2,0)</f>
        <v>Kẹp tóc hoa sứ xanh</v>
      </c>
      <c r="F989" s="144" t="str">
        <f>VLOOKUP(D989,'Danh mục hàng hóa'!$C$3:$E$656,3,0)</f>
        <v>cái</v>
      </c>
      <c r="G989" s="320">
        <v>14860</v>
      </c>
      <c r="H989" s="317"/>
      <c r="I989" s="313">
        <v>1</v>
      </c>
      <c r="J989" s="323"/>
      <c r="K989" s="168">
        <f t="shared" si="99"/>
        <v>14860</v>
      </c>
      <c r="M989" s="67"/>
    </row>
    <row r="990" spans="1:13" ht="13.2">
      <c r="A990" s="75"/>
      <c r="B990" s="311" t="s">
        <v>337</v>
      </c>
      <c r="C990" s="373"/>
      <c r="D990" s="28" t="s">
        <v>732</v>
      </c>
      <c r="E990" s="143" t="str">
        <f>VLOOKUP(D990,'Danh mục hàng hóa'!$C$3:$D$643,2,0)</f>
        <v>Kẹp tóc hoa sứ tím</v>
      </c>
      <c r="F990" s="144" t="str">
        <f>VLOOKUP(D990,'Danh mục hàng hóa'!$C$3:$E$656,3,0)</f>
        <v>cái</v>
      </c>
      <c r="G990" s="320">
        <v>14860</v>
      </c>
      <c r="H990" s="317"/>
      <c r="I990" s="313">
        <v>1</v>
      </c>
      <c r="J990" s="323"/>
      <c r="K990" s="168">
        <f t="shared" si="99"/>
        <v>14860</v>
      </c>
      <c r="M990" s="67"/>
    </row>
    <row r="991" spans="1:13" ht="13.2">
      <c r="A991" s="75"/>
      <c r="B991" s="311" t="s">
        <v>337</v>
      </c>
      <c r="C991" s="410">
        <v>45368</v>
      </c>
      <c r="D991" s="33" t="s">
        <v>878</v>
      </c>
      <c r="E991" s="147" t="str">
        <f>VLOOKUP(D991,'Danh mục hàng hóa'!$C$3:$D$643,2,0)</f>
        <v>Dao rọc giấy cún hồng</v>
      </c>
      <c r="F991" s="148" t="str">
        <f>VLOOKUP(D991,'Danh mục hàng hóa'!$C$3:$E$656,3,0)</f>
        <v>cái</v>
      </c>
      <c r="G991" s="324">
        <v>9000</v>
      </c>
      <c r="H991" s="325"/>
      <c r="I991" s="326">
        <v>1</v>
      </c>
      <c r="J991" s="327"/>
      <c r="K991" s="207">
        <f t="shared" si="99"/>
        <v>9000</v>
      </c>
      <c r="M991" s="67"/>
    </row>
    <row r="992" spans="1:13" ht="13.2">
      <c r="A992" s="75"/>
      <c r="B992" s="311" t="s">
        <v>337</v>
      </c>
      <c r="C992" s="372"/>
      <c r="D992" s="33" t="s">
        <v>663</v>
      </c>
      <c r="E992" s="147" t="str">
        <f>VLOOKUP(D992,'Danh mục hàng hóa'!$C$3:$D$643,2,0)</f>
        <v>Buộc tóc trắng lông nhỏ</v>
      </c>
      <c r="F992" s="148" t="str">
        <f>VLOOKUP(D992,'Danh mục hàng hóa'!$C$3:$E$656,3,0)</f>
        <v>cái</v>
      </c>
      <c r="G992" s="324">
        <v>5000</v>
      </c>
      <c r="H992" s="325"/>
      <c r="I992" s="326">
        <v>1</v>
      </c>
      <c r="J992" s="327"/>
      <c r="K992" s="207">
        <f t="shared" si="99"/>
        <v>5000</v>
      </c>
      <c r="M992" s="67"/>
    </row>
    <row r="993" spans="1:13" ht="13.2">
      <c r="A993" s="75"/>
      <c r="B993" s="311" t="s">
        <v>337</v>
      </c>
      <c r="C993" s="372"/>
      <c r="D993" s="33" t="s">
        <v>671</v>
      </c>
      <c r="E993" s="147" t="str">
        <f>VLOOKUP(D993,'Danh mục hàng hóa'!$C$3:$D$643,2,0)</f>
        <v>Buộc tóc trắng vải nhung</v>
      </c>
      <c r="F993" s="148" t="str">
        <f>VLOOKUP(D993,'Danh mục hàng hóa'!$C$3:$E$656,3,0)</f>
        <v>cái</v>
      </c>
      <c r="G993" s="324">
        <v>11000</v>
      </c>
      <c r="H993" s="325"/>
      <c r="I993" s="326">
        <v>1</v>
      </c>
      <c r="J993" s="327"/>
      <c r="K993" s="207">
        <f t="shared" si="99"/>
        <v>11000</v>
      </c>
      <c r="M993" s="67"/>
    </row>
    <row r="994" spans="1:13" ht="13.2">
      <c r="A994" s="75"/>
      <c r="B994" s="311" t="s">
        <v>337</v>
      </c>
      <c r="C994" s="372"/>
      <c r="D994" s="33" t="s">
        <v>426</v>
      </c>
      <c r="E994" s="147" t="str">
        <f>VLOOKUP(D994,'Danh mục hàng hóa'!$C$3:$D$643,2,0)</f>
        <v>Túi chườm bụng thỏ hồng 500ml</v>
      </c>
      <c r="F994" s="148" t="str">
        <f>VLOOKUP(D994,'Danh mục hàng hóa'!$C$3:$E$656,3,0)</f>
        <v>túi</v>
      </c>
      <c r="G994" s="324">
        <v>72250</v>
      </c>
      <c r="H994" s="325"/>
      <c r="I994" s="326">
        <v>1</v>
      </c>
      <c r="J994" s="327"/>
      <c r="K994" s="207">
        <f t="shared" si="99"/>
        <v>72250</v>
      </c>
      <c r="M994" s="67"/>
    </row>
    <row r="995" spans="1:13" ht="13.2">
      <c r="A995" s="75"/>
      <c r="B995" s="311" t="s">
        <v>337</v>
      </c>
      <c r="C995" s="372"/>
      <c r="D995" s="33" t="s">
        <v>776</v>
      </c>
      <c r="E995" s="147" t="str">
        <f>VLOOKUP(D995,'Danh mục hàng hóa'!$C$3:$D$643,2,0)</f>
        <v>Kẹp tóc hoa lan 03</v>
      </c>
      <c r="F995" s="148" t="str">
        <f>VLOOKUP(D995,'Danh mục hàng hóa'!$C$3:$E$656,3,0)</f>
        <v>cái</v>
      </c>
      <c r="G995" s="324">
        <v>19680</v>
      </c>
      <c r="H995" s="325"/>
      <c r="I995" s="326">
        <v>1</v>
      </c>
      <c r="J995" s="327"/>
      <c r="K995" s="207">
        <f t="shared" si="99"/>
        <v>19680</v>
      </c>
      <c r="M995" s="67"/>
    </row>
    <row r="996" spans="1:13" ht="13.2">
      <c r="A996" s="75"/>
      <c r="B996" s="311" t="s">
        <v>337</v>
      </c>
      <c r="C996" s="372"/>
      <c r="D996" s="33" t="s">
        <v>772</v>
      </c>
      <c r="E996" s="147" t="str">
        <f>VLOOKUP(D996,'Danh mục hàng hóa'!$C$3:$D$643,2,0)</f>
        <v>Kẹp tóc hoa lan 01</v>
      </c>
      <c r="F996" s="148" t="str">
        <f>VLOOKUP(D996,'Danh mục hàng hóa'!$C$3:$E$656,3,0)</f>
        <v>cái</v>
      </c>
      <c r="G996" s="324">
        <v>19680</v>
      </c>
      <c r="H996" s="325"/>
      <c r="I996" s="326">
        <v>1</v>
      </c>
      <c r="J996" s="327"/>
      <c r="K996" s="207">
        <f t="shared" si="99"/>
        <v>19680</v>
      </c>
      <c r="M996" s="67"/>
    </row>
    <row r="997" spans="1:13" ht="13.2">
      <c r="A997" s="75"/>
      <c r="B997" s="311" t="s">
        <v>337</v>
      </c>
      <c r="C997" s="372"/>
      <c r="D997" s="33" t="s">
        <v>703</v>
      </c>
      <c r="E997" s="147" t="str">
        <f>VLOOKUP(D997,'Danh mục hàng hóa'!$C$3:$D$643,2,0)</f>
        <v>Buộc tóc hồng vải xù</v>
      </c>
      <c r="F997" s="148" t="str">
        <f>VLOOKUP(D997,'Danh mục hàng hóa'!$C$3:$E$656,3,0)</f>
        <v>cái</v>
      </c>
      <c r="G997" s="324">
        <v>11000</v>
      </c>
      <c r="H997" s="325"/>
      <c r="I997" s="326">
        <v>1</v>
      </c>
      <c r="J997" s="327"/>
      <c r="K997" s="207">
        <f t="shared" si="99"/>
        <v>11000</v>
      </c>
      <c r="M997" s="67"/>
    </row>
    <row r="998" spans="1:13" ht="13.2">
      <c r="A998" s="75"/>
      <c r="B998" s="311" t="s">
        <v>337</v>
      </c>
      <c r="C998" s="372"/>
      <c r="D998" s="33" t="s">
        <v>891</v>
      </c>
      <c r="E998" s="147" t="str">
        <f>VLOOKUP(D998,'Danh mục hàng hóa'!$C$3:$D$643,2,0)</f>
        <v>Heo ú</v>
      </c>
      <c r="F998" s="148" t="str">
        <f>VLOOKUP(D998,'Danh mục hàng hóa'!$C$3:$E$656,3,0)</f>
        <v>cái</v>
      </c>
      <c r="G998" s="324">
        <v>47124</v>
      </c>
      <c r="H998" s="325"/>
      <c r="I998" s="326">
        <v>1</v>
      </c>
      <c r="J998" s="327"/>
      <c r="K998" s="207">
        <f t="shared" si="99"/>
        <v>47124</v>
      </c>
      <c r="M998" s="67"/>
    </row>
    <row r="999" spans="1:13" ht="13.2">
      <c r="A999" s="75"/>
      <c r="B999" s="311" t="s">
        <v>337</v>
      </c>
      <c r="C999" s="372"/>
      <c r="D999" s="33" t="s">
        <v>736</v>
      </c>
      <c r="E999" s="147" t="str">
        <f>VLOOKUP(D999,'Danh mục hàng hóa'!$C$3:$D$643,2,0)</f>
        <v>Kẹp tóc hoa sứ vàng</v>
      </c>
      <c r="F999" s="148" t="str">
        <f>VLOOKUP(D999,'Danh mục hàng hóa'!$C$3:$E$656,3,0)</f>
        <v>cái</v>
      </c>
      <c r="G999" s="324">
        <v>18000</v>
      </c>
      <c r="H999" s="325"/>
      <c r="I999" s="326">
        <v>1</v>
      </c>
      <c r="J999" s="327"/>
      <c r="K999" s="207">
        <f t="shared" si="99"/>
        <v>18000</v>
      </c>
      <c r="M999" s="67"/>
    </row>
    <row r="1000" spans="1:13" ht="13.2">
      <c r="A1000" s="75"/>
      <c r="B1000" s="311" t="s">
        <v>337</v>
      </c>
      <c r="C1000" s="372"/>
      <c r="D1000" s="33" t="s">
        <v>738</v>
      </c>
      <c r="E1000" s="147" t="str">
        <f>VLOOKUP(D1000,'Danh mục hàng hóa'!$C$3:$D$643,2,0)</f>
        <v>Kẹp tóc hoa sứ cam</v>
      </c>
      <c r="F1000" s="148" t="str">
        <f>VLOOKUP(D1000,'Danh mục hàng hóa'!$C$3:$E$656,3,0)</f>
        <v>cái</v>
      </c>
      <c r="G1000" s="324">
        <v>18000</v>
      </c>
      <c r="H1000" s="325"/>
      <c r="I1000" s="326">
        <v>1</v>
      </c>
      <c r="J1000" s="327"/>
      <c r="K1000" s="207">
        <f t="shared" si="99"/>
        <v>18000</v>
      </c>
      <c r="M1000" s="67"/>
    </row>
    <row r="1001" spans="1:13" ht="13.2">
      <c r="A1001" s="75"/>
      <c r="B1001" s="311" t="s">
        <v>337</v>
      </c>
      <c r="C1001" s="372"/>
      <c r="D1001" s="33" t="s">
        <v>744</v>
      </c>
      <c r="E1001" s="147" t="str">
        <f>VLOOKUP(D1001,'Danh mục hàng hóa'!$C$3:$D$643,2,0)</f>
        <v>Kẹp tóc hoa sứ đỏ hồng đậm</v>
      </c>
      <c r="F1001" s="148" t="str">
        <f>VLOOKUP(D1001,'Danh mục hàng hóa'!$C$3:$E$656,3,0)</f>
        <v>cái</v>
      </c>
      <c r="G1001" s="324">
        <v>18200</v>
      </c>
      <c r="H1001" s="325"/>
      <c r="I1001" s="326">
        <v>1</v>
      </c>
      <c r="J1001" s="327"/>
      <c r="K1001" s="207">
        <f t="shared" si="99"/>
        <v>18200</v>
      </c>
      <c r="M1001" s="67"/>
    </row>
    <row r="1002" spans="1:13" ht="13.2">
      <c r="A1002" s="75"/>
      <c r="B1002" s="311" t="s">
        <v>337</v>
      </c>
      <c r="C1002" s="372"/>
      <c r="D1002" s="33" t="s">
        <v>742</v>
      </c>
      <c r="E1002" s="147" t="str">
        <f>VLOOKUP(D1002,'Danh mục hàng hóa'!$C$3:$D$643,2,0)</f>
        <v>Kẹp tóc hoa sứ xanh</v>
      </c>
      <c r="F1002" s="148" t="str">
        <f>VLOOKUP(D1002,'Danh mục hàng hóa'!$C$3:$E$656,3,0)</f>
        <v>cái</v>
      </c>
      <c r="G1002" s="324">
        <v>18200</v>
      </c>
      <c r="H1002" s="325"/>
      <c r="I1002" s="326">
        <v>1</v>
      </c>
      <c r="J1002" s="327"/>
      <c r="K1002" s="207">
        <f t="shared" si="99"/>
        <v>18200</v>
      </c>
      <c r="M1002" s="67"/>
    </row>
    <row r="1003" spans="1:13" ht="13.2">
      <c r="A1003" s="75"/>
      <c r="B1003" s="311" t="s">
        <v>337</v>
      </c>
      <c r="C1003" s="372"/>
      <c r="D1003" s="33" t="s">
        <v>977</v>
      </c>
      <c r="E1003" s="147" t="str">
        <f>VLOOKUP(D1003,'Danh mục hàng hóa'!$C$3:$D$643,2,0)</f>
        <v>Móc khóa đôi heo</v>
      </c>
      <c r="F1003" s="148" t="str">
        <f>VLOOKUP(D1003,'Danh mục hàng hóa'!$C$3:$E$656,3,0)</f>
        <v>cái</v>
      </c>
      <c r="G1003" s="324">
        <v>48708</v>
      </c>
      <c r="H1003" s="325"/>
      <c r="I1003" s="326">
        <v>1</v>
      </c>
      <c r="J1003" s="327"/>
      <c r="K1003" s="207">
        <f t="shared" si="99"/>
        <v>48708</v>
      </c>
      <c r="M1003" s="67"/>
    </row>
    <row r="1004" spans="1:13" ht="13.2">
      <c r="A1004" s="75"/>
      <c r="B1004" s="311" t="s">
        <v>337</v>
      </c>
      <c r="C1004" s="372"/>
      <c r="D1004" s="33" t="s">
        <v>736</v>
      </c>
      <c r="E1004" s="147" t="str">
        <f>VLOOKUP(D1004,'Danh mục hàng hóa'!$C$3:$D$643,2,0)</f>
        <v>Kẹp tóc hoa sứ vàng</v>
      </c>
      <c r="F1004" s="148" t="str">
        <f>VLOOKUP(D1004,'Danh mục hàng hóa'!$C$3:$E$656,3,0)</f>
        <v>cái</v>
      </c>
      <c r="G1004" s="324">
        <v>16220</v>
      </c>
      <c r="H1004" s="325"/>
      <c r="I1004" s="326">
        <v>1</v>
      </c>
      <c r="J1004" s="327"/>
      <c r="K1004" s="207">
        <f t="shared" si="99"/>
        <v>16220</v>
      </c>
      <c r="M1004" s="67"/>
    </row>
    <row r="1005" spans="1:13" ht="13.2">
      <c r="A1005" s="75"/>
      <c r="B1005" s="311" t="s">
        <v>337</v>
      </c>
      <c r="C1005" s="372"/>
      <c r="D1005" s="33" t="s">
        <v>780</v>
      </c>
      <c r="E1005" s="147" t="str">
        <f>VLOOKUP(D1005,'Danh mục hàng hóa'!$C$3:$D$643,2,0)</f>
        <v>Kẹp tóc hoa lan 05</v>
      </c>
      <c r="F1005" s="148" t="str">
        <f>VLOOKUP(D1005,'Danh mục hàng hóa'!$C$3:$E$656,3,0)</f>
        <v>cái</v>
      </c>
      <c r="G1005" s="324">
        <v>15083.75</v>
      </c>
      <c r="H1005" s="325"/>
      <c r="I1005" s="326">
        <v>1</v>
      </c>
      <c r="J1005" s="327"/>
      <c r="K1005" s="207">
        <f t="shared" si="99"/>
        <v>15083.75</v>
      </c>
      <c r="M1005" s="67"/>
    </row>
    <row r="1006" spans="1:13" ht="13.2">
      <c r="A1006" s="75"/>
      <c r="B1006" s="311" t="s">
        <v>337</v>
      </c>
      <c r="C1006" s="372"/>
      <c r="D1006" s="33" t="s">
        <v>736</v>
      </c>
      <c r="E1006" s="147" t="str">
        <f>VLOOKUP(D1006,'Danh mục hàng hóa'!$C$3:$D$643,2,0)</f>
        <v>Kẹp tóc hoa sứ vàng</v>
      </c>
      <c r="F1006" s="148" t="str">
        <f>VLOOKUP(D1006,'Danh mục hàng hóa'!$C$3:$E$656,3,0)</f>
        <v>cái</v>
      </c>
      <c r="G1006" s="324">
        <v>15083.75</v>
      </c>
      <c r="H1006" s="325"/>
      <c r="I1006" s="326">
        <v>1</v>
      </c>
      <c r="J1006" s="327"/>
      <c r="K1006" s="207">
        <f t="shared" si="99"/>
        <v>15083.75</v>
      </c>
      <c r="M1006" s="67"/>
    </row>
    <row r="1007" spans="1:13" ht="13.2">
      <c r="A1007" s="75"/>
      <c r="B1007" s="311" t="s">
        <v>337</v>
      </c>
      <c r="C1007" s="372"/>
      <c r="D1007" s="33" t="s">
        <v>732</v>
      </c>
      <c r="E1007" s="147" t="str">
        <f>VLOOKUP(D1007,'Danh mục hàng hóa'!$C$3:$D$643,2,0)</f>
        <v>Kẹp tóc hoa sứ tím</v>
      </c>
      <c r="F1007" s="148" t="str">
        <f>VLOOKUP(D1007,'Danh mục hàng hóa'!$C$3:$E$656,3,0)</f>
        <v>cái</v>
      </c>
      <c r="G1007" s="324">
        <v>15083.75</v>
      </c>
      <c r="H1007" s="325"/>
      <c r="I1007" s="326">
        <v>1</v>
      </c>
      <c r="J1007" s="327"/>
      <c r="K1007" s="207">
        <f t="shared" si="99"/>
        <v>15083.75</v>
      </c>
      <c r="M1007" s="67"/>
    </row>
    <row r="1008" spans="1:13" ht="13.2">
      <c r="A1008" s="75"/>
      <c r="B1008" s="311" t="s">
        <v>337</v>
      </c>
      <c r="C1008" s="372"/>
      <c r="D1008" s="33" t="s">
        <v>750</v>
      </c>
      <c r="E1008" s="147" t="str">
        <f>VLOOKUP(D1008,'Danh mục hàng hóa'!$C$3:$D$643,2,0)</f>
        <v>Kẹp tóc hoa năm cánh cam</v>
      </c>
      <c r="F1008" s="148" t="str">
        <f>VLOOKUP(D1008,'Danh mục hàng hóa'!$C$3:$E$656,3,0)</f>
        <v>cái</v>
      </c>
      <c r="G1008" s="324">
        <v>15083.75</v>
      </c>
      <c r="H1008" s="325"/>
      <c r="I1008" s="326">
        <v>1</v>
      </c>
      <c r="J1008" s="327"/>
      <c r="K1008" s="207">
        <f t="shared" si="99"/>
        <v>15083.75</v>
      </c>
      <c r="M1008" s="67"/>
    </row>
    <row r="1009" spans="1:13" ht="13.2">
      <c r="A1009" s="75"/>
      <c r="B1009" s="311" t="s">
        <v>337</v>
      </c>
      <c r="C1009" s="372"/>
      <c r="D1009" s="33" t="s">
        <v>734</v>
      </c>
      <c r="E1009" s="147" t="str">
        <f>VLOOKUP(D1009,'Danh mục hàng hóa'!$C$3:$D$643,2,0)</f>
        <v>Kẹp tóc hoa sứ hồng</v>
      </c>
      <c r="F1009" s="148" t="str">
        <f>VLOOKUP(D1009,'Danh mục hàng hóa'!$C$3:$E$656,3,0)</f>
        <v>cái</v>
      </c>
      <c r="G1009" s="324">
        <v>14412</v>
      </c>
      <c r="H1009" s="325"/>
      <c r="I1009" s="326">
        <v>1</v>
      </c>
      <c r="J1009" s="327"/>
      <c r="K1009" s="207">
        <f t="shared" si="99"/>
        <v>14412</v>
      </c>
      <c r="M1009" s="67"/>
    </row>
    <row r="1010" spans="1:13" ht="13.2">
      <c r="A1010" s="75"/>
      <c r="B1010" s="311" t="s">
        <v>337</v>
      </c>
      <c r="C1010" s="372"/>
      <c r="D1010" s="33" t="s">
        <v>740</v>
      </c>
      <c r="E1010" s="147" t="str">
        <f>VLOOKUP(D1010,'Danh mục hàng hóa'!$C$3:$D$643,2,0)</f>
        <v>Kẹp tóc hoa sứ đỏ</v>
      </c>
      <c r="F1010" s="148" t="str">
        <f>VLOOKUP(D1010,'Danh mục hàng hóa'!$C$3:$E$656,3,0)</f>
        <v>cái</v>
      </c>
      <c r="G1010" s="324">
        <v>14412</v>
      </c>
      <c r="H1010" s="325"/>
      <c r="I1010" s="326">
        <v>1</v>
      </c>
      <c r="J1010" s="327"/>
      <c r="K1010" s="207">
        <f t="shared" si="99"/>
        <v>14412</v>
      </c>
      <c r="M1010" s="67"/>
    </row>
    <row r="1011" spans="1:13" ht="13.2">
      <c r="A1011" s="75"/>
      <c r="B1011" s="311" t="s">
        <v>337</v>
      </c>
      <c r="C1011" s="372"/>
      <c r="D1011" s="33" t="s">
        <v>732</v>
      </c>
      <c r="E1011" s="147" t="str">
        <f>VLOOKUP(D1011,'Danh mục hàng hóa'!$C$3:$D$643,2,0)</f>
        <v>Kẹp tóc hoa sứ tím</v>
      </c>
      <c r="F1011" s="148" t="str">
        <f>VLOOKUP(D1011,'Danh mục hàng hóa'!$C$3:$E$656,3,0)</f>
        <v>cái</v>
      </c>
      <c r="G1011" s="324">
        <v>14412</v>
      </c>
      <c r="H1011" s="325"/>
      <c r="I1011" s="326">
        <v>1</v>
      </c>
      <c r="J1011" s="327"/>
      <c r="K1011" s="207">
        <f t="shared" si="99"/>
        <v>14412</v>
      </c>
      <c r="M1011" s="67"/>
    </row>
    <row r="1012" spans="1:13" ht="13.2">
      <c r="A1012" s="75"/>
      <c r="B1012" s="311" t="s">
        <v>337</v>
      </c>
      <c r="C1012" s="372"/>
      <c r="D1012" s="33" t="s">
        <v>880</v>
      </c>
      <c r="E1012" s="147" t="str">
        <f>VLOOKUP(D1012,'Danh mục hàng hóa'!$C$3:$D$643,2,0)</f>
        <v>Dao rọc giấy mèo tím</v>
      </c>
      <c r="F1012" s="148" t="str">
        <f>VLOOKUP(D1012,'Danh mục hàng hóa'!$C$3:$E$656,3,0)</f>
        <v>cái</v>
      </c>
      <c r="G1012" s="324">
        <v>9000</v>
      </c>
      <c r="H1012" s="325"/>
      <c r="I1012" s="326">
        <v>1</v>
      </c>
      <c r="J1012" s="327"/>
      <c r="K1012" s="207">
        <f t="shared" si="99"/>
        <v>9000</v>
      </c>
      <c r="L1012" s="30"/>
      <c r="M1012" s="422">
        <v>158784</v>
      </c>
    </row>
    <row r="1013" spans="1:13" ht="13.2">
      <c r="A1013" s="75"/>
      <c r="B1013" s="311" t="s">
        <v>337</v>
      </c>
      <c r="C1013" s="372"/>
      <c r="D1013" s="33" t="s">
        <v>895</v>
      </c>
      <c r="E1013" s="147" t="str">
        <f>VLOOKUP(D1013,'Danh mục hàng hóa'!$C$3:$D$643,2,0)</f>
        <v>Thỏ chong chóng</v>
      </c>
      <c r="F1013" s="148" t="str">
        <f>VLOOKUP(D1013,'Danh mục hàng hóa'!$C$3:$E$656,3,0)</f>
        <v>cái</v>
      </c>
      <c r="G1013" s="324">
        <v>59500</v>
      </c>
      <c r="H1013" s="325"/>
      <c r="I1013" s="326">
        <v>1</v>
      </c>
      <c r="J1013" s="327"/>
      <c r="K1013" s="207">
        <f t="shared" si="99"/>
        <v>59500</v>
      </c>
      <c r="L1013" s="30"/>
      <c r="M1013" s="372"/>
    </row>
    <row r="1014" spans="1:13" ht="13.2">
      <c r="A1014" s="75"/>
      <c r="B1014" s="311" t="s">
        <v>337</v>
      </c>
      <c r="C1014" s="372"/>
      <c r="D1014" s="33" t="s">
        <v>1035</v>
      </c>
      <c r="E1014" s="147" t="str">
        <f>VLOOKUP(D1014,'Danh mục hàng hóa'!$C$3:$D$643,2,0)</f>
        <v>Vớ cổ ngắn trắng thêu họa tiết mẫu 1</v>
      </c>
      <c r="F1014" s="148" t="str">
        <f>VLOOKUP(D1014,'Danh mục hàng hóa'!$C$3:$E$656,3,0)</f>
        <v>đôi</v>
      </c>
      <c r="G1014" s="324">
        <v>39000</v>
      </c>
      <c r="H1014" s="325"/>
      <c r="I1014" s="326">
        <v>1</v>
      </c>
      <c r="J1014" s="327"/>
      <c r="K1014" s="207">
        <f t="shared" si="99"/>
        <v>39000</v>
      </c>
      <c r="L1014" s="30"/>
      <c r="M1014" s="372"/>
    </row>
    <row r="1015" spans="1:13" ht="13.2">
      <c r="A1015" s="75"/>
      <c r="B1015" s="311" t="s">
        <v>337</v>
      </c>
      <c r="C1015" s="373"/>
      <c r="D1015" s="33" t="s">
        <v>1104</v>
      </c>
      <c r="E1015" s="147" t="str">
        <f>VLOOKUP(D1015,'Danh mục hàng hóa'!$C$3:$D$643,2,0)</f>
        <v>Vớ cổ cao trắng cỏ ba lá xanh</v>
      </c>
      <c r="F1015" s="148" t="str">
        <f>VLOOKUP(D1015,'Danh mục hàng hóa'!$C$3:$E$656,3,0)</f>
        <v>đôi</v>
      </c>
      <c r="G1015" s="324">
        <v>19800</v>
      </c>
      <c r="H1015" s="325"/>
      <c r="I1015" s="326">
        <v>1</v>
      </c>
      <c r="J1015" s="327"/>
      <c r="K1015" s="207">
        <f t="shared" si="99"/>
        <v>19800</v>
      </c>
      <c r="L1015" s="30"/>
      <c r="M1015" s="373"/>
    </row>
    <row r="1016" spans="1:13" ht="13.2">
      <c r="A1016" s="75"/>
      <c r="B1016" s="311" t="s">
        <v>337</v>
      </c>
      <c r="C1016" s="428">
        <v>45369</v>
      </c>
      <c r="D1016" s="28" t="s">
        <v>981</v>
      </c>
      <c r="E1016" s="143" t="str">
        <f>VLOOKUP(D1016,'Danh mục hàng hóa'!$C$3:$D$643,2,0)</f>
        <v>Móc khóa đôi corgy</v>
      </c>
      <c r="F1016" s="144" t="str">
        <f>VLOOKUP(D1016,'Danh mục hàng hóa'!$C$3:$E$656,3,0)</f>
        <v>cái</v>
      </c>
      <c r="G1016" s="320">
        <v>48648</v>
      </c>
      <c r="H1016" s="317"/>
      <c r="I1016" s="313">
        <v>1</v>
      </c>
      <c r="J1016" s="323"/>
      <c r="K1016" s="168">
        <f t="shared" si="99"/>
        <v>48648</v>
      </c>
      <c r="L1016" s="30"/>
      <c r="M1016" s="328">
        <v>48648</v>
      </c>
    </row>
    <row r="1017" spans="1:13" ht="13.2">
      <c r="A1017" s="75"/>
      <c r="B1017" s="311" t="s">
        <v>337</v>
      </c>
      <c r="C1017" s="414"/>
      <c r="D1017" s="28" t="s">
        <v>740</v>
      </c>
      <c r="E1017" s="143" t="str">
        <f>VLOOKUP(D1017,'Danh mục hàng hóa'!$C$3:$D$643,2,0)</f>
        <v>Kẹp tóc hoa sứ đỏ</v>
      </c>
      <c r="F1017" s="144" t="str">
        <f>VLOOKUP(D1017,'Danh mục hàng hóa'!$C$3:$E$656,3,0)</f>
        <v>cái</v>
      </c>
      <c r="G1017" s="320">
        <v>16220</v>
      </c>
      <c r="H1017" s="317"/>
      <c r="I1017" s="313">
        <v>1</v>
      </c>
      <c r="J1017" s="323"/>
      <c r="K1017" s="168">
        <f t="shared" si="99"/>
        <v>16220</v>
      </c>
      <c r="L1017" s="30"/>
      <c r="M1017" s="100">
        <v>16220</v>
      </c>
    </row>
    <row r="1018" spans="1:13" ht="13.2">
      <c r="A1018" s="75"/>
      <c r="B1018" s="311" t="s">
        <v>337</v>
      </c>
      <c r="C1018" s="414"/>
      <c r="D1018" s="28" t="s">
        <v>734</v>
      </c>
      <c r="E1018" s="143" t="str">
        <f>VLOOKUP(D1018,'Danh mục hàng hóa'!$C$3:$D$643,2,0)</f>
        <v>Kẹp tóc hoa sứ hồng</v>
      </c>
      <c r="F1018" s="144" t="str">
        <f>VLOOKUP(D1018,'Danh mục hàng hóa'!$C$3:$E$656,3,0)</f>
        <v>cái</v>
      </c>
      <c r="G1018" s="320">
        <v>15980</v>
      </c>
      <c r="H1018" s="317"/>
      <c r="I1018" s="313">
        <v>1</v>
      </c>
      <c r="J1018" s="323"/>
      <c r="K1018" s="168">
        <f t="shared" si="99"/>
        <v>15980</v>
      </c>
      <c r="L1018" s="30"/>
      <c r="M1018" s="100">
        <v>15980</v>
      </c>
    </row>
    <row r="1019" spans="1:13" ht="13.2">
      <c r="A1019" s="75"/>
      <c r="B1019" s="311" t="s">
        <v>337</v>
      </c>
      <c r="C1019" s="414"/>
      <c r="D1019" s="28" t="s">
        <v>736</v>
      </c>
      <c r="E1019" s="143" t="str">
        <f>VLOOKUP(D1019,'Danh mục hàng hóa'!$C$3:$D$643,2,0)</f>
        <v>Kẹp tóc hoa sứ vàng</v>
      </c>
      <c r="F1019" s="144" t="str">
        <f>VLOOKUP(D1019,'Danh mục hàng hóa'!$C$3:$E$656,3,0)</f>
        <v>cái</v>
      </c>
      <c r="G1019" s="320">
        <v>16245</v>
      </c>
      <c r="H1019" s="317"/>
      <c r="I1019" s="313">
        <v>1</v>
      </c>
      <c r="J1019" s="323"/>
      <c r="K1019" s="168">
        <f t="shared" si="99"/>
        <v>16245</v>
      </c>
      <c r="L1019" s="30"/>
      <c r="M1019" s="422">
        <v>64980</v>
      </c>
    </row>
    <row r="1020" spans="1:13" ht="13.2">
      <c r="A1020" s="75"/>
      <c r="B1020" s="311" t="s">
        <v>337</v>
      </c>
      <c r="C1020" s="414"/>
      <c r="D1020" s="28" t="s">
        <v>734</v>
      </c>
      <c r="E1020" s="143" t="str">
        <f>VLOOKUP(D1020,'Danh mục hàng hóa'!$C$3:$D$643,2,0)</f>
        <v>Kẹp tóc hoa sứ hồng</v>
      </c>
      <c r="F1020" s="144" t="str">
        <f>VLOOKUP(D1020,'Danh mục hàng hóa'!$C$3:$E$656,3,0)</f>
        <v>cái</v>
      </c>
      <c r="G1020" s="320">
        <v>16245</v>
      </c>
      <c r="H1020" s="317"/>
      <c r="I1020" s="313">
        <v>1</v>
      </c>
      <c r="J1020" s="323"/>
      <c r="K1020" s="168">
        <f t="shared" si="99"/>
        <v>16245</v>
      </c>
      <c r="L1020" s="30"/>
      <c r="M1020" s="372"/>
    </row>
    <row r="1021" spans="1:13" ht="13.2">
      <c r="A1021" s="75"/>
      <c r="B1021" s="311" t="s">
        <v>337</v>
      </c>
      <c r="C1021" s="414"/>
      <c r="D1021" s="28" t="s">
        <v>742</v>
      </c>
      <c r="E1021" s="143" t="str">
        <f>VLOOKUP(D1021,'Danh mục hàng hóa'!$C$3:$D$643,2,0)</f>
        <v>Kẹp tóc hoa sứ xanh</v>
      </c>
      <c r="F1021" s="144" t="str">
        <f>VLOOKUP(D1021,'Danh mục hàng hóa'!$C$3:$E$656,3,0)</f>
        <v>cái</v>
      </c>
      <c r="G1021" s="320">
        <v>16245</v>
      </c>
      <c r="H1021" s="317"/>
      <c r="I1021" s="313">
        <v>1</v>
      </c>
      <c r="J1021" s="323"/>
      <c r="K1021" s="168">
        <f t="shared" si="99"/>
        <v>16245</v>
      </c>
      <c r="L1021" s="30"/>
      <c r="M1021" s="372"/>
    </row>
    <row r="1022" spans="1:13" ht="13.2">
      <c r="A1022" s="75"/>
      <c r="B1022" s="311" t="s">
        <v>337</v>
      </c>
      <c r="C1022" s="414"/>
      <c r="D1022" s="28" t="s">
        <v>732</v>
      </c>
      <c r="E1022" s="143" t="str">
        <f>VLOOKUP(D1022,'Danh mục hàng hóa'!$C$3:$D$643,2,0)</f>
        <v>Kẹp tóc hoa sứ tím</v>
      </c>
      <c r="F1022" s="144" t="str">
        <f>VLOOKUP(D1022,'Danh mục hàng hóa'!$C$3:$E$656,3,0)</f>
        <v>cái</v>
      </c>
      <c r="G1022" s="320">
        <v>16245</v>
      </c>
      <c r="H1022" s="317"/>
      <c r="I1022" s="313">
        <v>1</v>
      </c>
      <c r="J1022" s="323"/>
      <c r="K1022" s="168">
        <f t="shared" si="99"/>
        <v>16245</v>
      </c>
      <c r="L1022" s="30"/>
      <c r="M1022" s="373"/>
    </row>
    <row r="1023" spans="1:13" ht="13.2">
      <c r="A1023" s="75"/>
      <c r="B1023" s="311" t="s">
        <v>337</v>
      </c>
      <c r="C1023" s="414"/>
      <c r="D1023" s="28" t="s">
        <v>736</v>
      </c>
      <c r="E1023" s="143" t="str">
        <f>VLOOKUP(D1023,'Danh mục hàng hóa'!$C$3:$D$643,2,0)</f>
        <v>Kẹp tóc hoa sứ vàng</v>
      </c>
      <c r="F1023" s="144" t="str">
        <f>VLOOKUP(D1023,'Danh mục hàng hóa'!$C$3:$E$656,3,0)</f>
        <v>cái</v>
      </c>
      <c r="G1023" s="320">
        <v>16250</v>
      </c>
      <c r="H1023" s="317"/>
      <c r="I1023" s="313">
        <v>1</v>
      </c>
      <c r="J1023" s="323"/>
      <c r="K1023" s="168">
        <f t="shared" si="99"/>
        <v>16250</v>
      </c>
      <c r="L1023" s="30"/>
      <c r="M1023" s="422">
        <v>32500</v>
      </c>
    </row>
    <row r="1024" spans="1:13" ht="13.2">
      <c r="A1024" s="75"/>
      <c r="B1024" s="311" t="s">
        <v>337</v>
      </c>
      <c r="C1024" s="414"/>
      <c r="D1024" s="28" t="s">
        <v>744</v>
      </c>
      <c r="E1024" s="143" t="str">
        <f>VLOOKUP(D1024,'Danh mục hàng hóa'!$C$3:$D$643,2,0)</f>
        <v>Kẹp tóc hoa sứ đỏ hồng đậm</v>
      </c>
      <c r="F1024" s="144" t="str">
        <f>VLOOKUP(D1024,'Danh mục hàng hóa'!$C$3:$E$656,3,0)</f>
        <v>cái</v>
      </c>
      <c r="G1024" s="320">
        <v>16250</v>
      </c>
      <c r="H1024" s="317"/>
      <c r="I1024" s="313">
        <v>1</v>
      </c>
      <c r="J1024" s="323"/>
      <c r="K1024" s="168">
        <f t="shared" si="99"/>
        <v>16250</v>
      </c>
      <c r="L1024" s="30"/>
      <c r="M1024" s="373"/>
    </row>
    <row r="1025" spans="1:13" ht="13.2">
      <c r="A1025" s="75"/>
      <c r="B1025" s="311" t="s">
        <v>337</v>
      </c>
      <c r="C1025" s="414"/>
      <c r="D1025" s="28" t="s">
        <v>738</v>
      </c>
      <c r="E1025" s="143" t="str">
        <f>VLOOKUP(D1025,'Danh mục hàng hóa'!$C$3:$D$643,2,0)</f>
        <v>Kẹp tóc hoa sứ cam</v>
      </c>
      <c r="F1025" s="144" t="str">
        <f>VLOOKUP(D1025,'Danh mục hàng hóa'!$C$3:$E$656,3,0)</f>
        <v>cái</v>
      </c>
      <c r="G1025" s="320">
        <v>16220</v>
      </c>
      <c r="H1025" s="317"/>
      <c r="I1025" s="313">
        <v>1</v>
      </c>
      <c r="J1025" s="323"/>
      <c r="K1025" s="168">
        <f t="shared" si="99"/>
        <v>16220</v>
      </c>
      <c r="L1025" s="30"/>
      <c r="M1025" s="100">
        <v>16220</v>
      </c>
    </row>
    <row r="1026" spans="1:13" ht="13.2">
      <c r="A1026" s="75"/>
      <c r="B1026" s="311" t="s">
        <v>337</v>
      </c>
      <c r="C1026" s="414"/>
      <c r="D1026" s="28" t="s">
        <v>885</v>
      </c>
      <c r="E1026" s="143" t="str">
        <f>VLOOKUP(D1026,'Danh mục hàng hóa'!$C$3:$D$643,2,0)</f>
        <v>Gấu chong chóng</v>
      </c>
      <c r="F1026" s="144" t="str">
        <f>VLOOKUP(D1026,'Danh mục hàng hóa'!$C$3:$E$656,3,0)</f>
        <v>cái</v>
      </c>
      <c r="G1026" s="320">
        <v>51700</v>
      </c>
      <c r="H1026" s="317"/>
      <c r="I1026" s="313">
        <v>1</v>
      </c>
      <c r="J1026" s="323"/>
      <c r="K1026" s="168">
        <f t="shared" si="99"/>
        <v>51700</v>
      </c>
      <c r="L1026" s="30"/>
      <c r="M1026" s="100">
        <v>51700</v>
      </c>
    </row>
    <row r="1027" spans="1:13" ht="13.2">
      <c r="A1027" s="75"/>
      <c r="B1027" s="311" t="s">
        <v>337</v>
      </c>
      <c r="C1027" s="414"/>
      <c r="D1027" s="28" t="s">
        <v>740</v>
      </c>
      <c r="E1027" s="143" t="str">
        <f>VLOOKUP(D1027,'Danh mục hàng hóa'!$C$3:$D$643,2,0)</f>
        <v>Kẹp tóc hoa sứ đỏ</v>
      </c>
      <c r="F1027" s="144" t="str">
        <f>VLOOKUP(D1027,'Danh mục hàng hóa'!$C$3:$E$656,3,0)</f>
        <v>cái</v>
      </c>
      <c r="G1027" s="320">
        <v>15000</v>
      </c>
      <c r="H1027" s="317"/>
      <c r="I1027" s="313">
        <v>12</v>
      </c>
      <c r="J1027" s="323"/>
      <c r="K1027" s="168">
        <f t="shared" si="99"/>
        <v>180000</v>
      </c>
      <c r="L1027" s="30"/>
      <c r="M1027" s="100">
        <v>180000</v>
      </c>
    </row>
    <row r="1028" spans="1:13" ht="13.2">
      <c r="A1028" s="75"/>
      <c r="B1028" s="311" t="s">
        <v>337</v>
      </c>
      <c r="C1028" s="414"/>
      <c r="D1028" s="28" t="s">
        <v>736</v>
      </c>
      <c r="E1028" s="143" t="str">
        <f>VLOOKUP(D1028,'Danh mục hàng hóa'!$C$3:$D$643,2,0)</f>
        <v>Kẹp tóc hoa sứ vàng</v>
      </c>
      <c r="F1028" s="144" t="str">
        <f>VLOOKUP(D1028,'Danh mục hàng hóa'!$C$3:$E$656,3,0)</f>
        <v>cái</v>
      </c>
      <c r="G1028" s="320">
        <v>16250</v>
      </c>
      <c r="H1028" s="317"/>
      <c r="I1028" s="313">
        <v>1</v>
      </c>
      <c r="J1028" s="323"/>
      <c r="K1028" s="168">
        <f t="shared" si="99"/>
        <v>16250</v>
      </c>
      <c r="L1028" s="30"/>
      <c r="M1028" s="422">
        <v>32500</v>
      </c>
    </row>
    <row r="1029" spans="1:13" ht="13.2">
      <c r="A1029" s="75"/>
      <c r="B1029" s="311" t="s">
        <v>337</v>
      </c>
      <c r="C1029" s="414"/>
      <c r="D1029" s="28" t="s">
        <v>738</v>
      </c>
      <c r="E1029" s="143" t="str">
        <f>VLOOKUP(D1029,'Danh mục hàng hóa'!$C$3:$D$643,2,0)</f>
        <v>Kẹp tóc hoa sứ cam</v>
      </c>
      <c r="F1029" s="144" t="str">
        <f>VLOOKUP(D1029,'Danh mục hàng hóa'!$C$3:$E$656,3,0)</f>
        <v>cái</v>
      </c>
      <c r="G1029" s="320">
        <v>16250</v>
      </c>
      <c r="H1029" s="317"/>
      <c r="I1029" s="313">
        <v>1</v>
      </c>
      <c r="J1029" s="323"/>
      <c r="K1029" s="168">
        <f t="shared" si="99"/>
        <v>16250</v>
      </c>
      <c r="L1029" s="30"/>
      <c r="M1029" s="373"/>
    </row>
    <row r="1030" spans="1:13" ht="13.2">
      <c r="A1030" s="75"/>
      <c r="B1030" s="311" t="s">
        <v>337</v>
      </c>
      <c r="C1030" s="414"/>
      <c r="D1030" s="28" t="s">
        <v>977</v>
      </c>
      <c r="E1030" s="143" t="str">
        <f>VLOOKUP(D1030,'Danh mục hàng hóa'!$C$3:$D$643,2,0)</f>
        <v>Móc khóa đôi heo</v>
      </c>
      <c r="F1030" s="144" t="str">
        <f>VLOOKUP(D1030,'Danh mục hàng hóa'!$C$3:$E$656,3,0)</f>
        <v>cái</v>
      </c>
      <c r="G1030" s="320">
        <v>53620</v>
      </c>
      <c r="H1030" s="317"/>
      <c r="I1030" s="313">
        <v>1</v>
      </c>
      <c r="J1030" s="323"/>
      <c r="K1030" s="168">
        <f t="shared" si="99"/>
        <v>53620</v>
      </c>
      <c r="L1030" s="30"/>
      <c r="M1030" s="100">
        <v>53620</v>
      </c>
    </row>
    <row r="1031" spans="1:13" ht="13.2">
      <c r="A1031" s="227"/>
      <c r="B1031" s="311" t="s">
        <v>337</v>
      </c>
      <c r="C1031" s="414"/>
      <c r="D1031" s="28" t="s">
        <v>740</v>
      </c>
      <c r="E1031" s="143" t="str">
        <f>VLOOKUP(D1031,'Danh mục hàng hóa'!$C$3:$D$643,2,0)</f>
        <v>Kẹp tóc hoa sứ đỏ</v>
      </c>
      <c r="F1031" s="144" t="str">
        <f>VLOOKUP(D1031,'Danh mục hàng hóa'!$C$3:$E$656,3,0)</f>
        <v>cái</v>
      </c>
      <c r="G1031" s="320">
        <v>16220</v>
      </c>
      <c r="H1031" s="317"/>
      <c r="I1031" s="313">
        <v>1</v>
      </c>
      <c r="J1031" s="323"/>
      <c r="K1031" s="168">
        <f t="shared" si="99"/>
        <v>16220</v>
      </c>
      <c r="L1031" s="30"/>
      <c r="M1031" s="100">
        <v>16220</v>
      </c>
    </row>
    <row r="1032" spans="1:13" ht="13.2">
      <c r="A1032" s="227"/>
      <c r="B1032" s="311" t="s">
        <v>337</v>
      </c>
      <c r="C1032" s="414"/>
      <c r="D1032" s="28" t="s">
        <v>872</v>
      </c>
      <c r="E1032" s="143" t="str">
        <f>VLOOKUP(D1032,'Danh mục hàng hóa'!$C$3:$D$643,2,0)</f>
        <v>Dao rọc giấy cún vàng</v>
      </c>
      <c r="F1032" s="144" t="str">
        <f>VLOOKUP(D1032,'Danh mục hàng hóa'!$C$3:$E$656,3,0)</f>
        <v>cái</v>
      </c>
      <c r="G1032" s="320">
        <v>9000</v>
      </c>
      <c r="H1032" s="317"/>
      <c r="I1032" s="313">
        <v>1</v>
      </c>
      <c r="J1032" s="323"/>
      <c r="K1032" s="168">
        <f t="shared" si="99"/>
        <v>9000</v>
      </c>
      <c r="L1032" s="30"/>
      <c r="M1032" s="422">
        <v>61220</v>
      </c>
    </row>
    <row r="1033" spans="1:13" ht="13.2">
      <c r="A1033" s="227"/>
      <c r="B1033" s="311" t="s">
        <v>337</v>
      </c>
      <c r="C1033" s="414"/>
      <c r="D1033" s="28" t="s">
        <v>895</v>
      </c>
      <c r="E1033" s="143" t="str">
        <f>VLOOKUP(D1033,'Danh mục hàng hóa'!$C$3:$D$643,2,0)</f>
        <v>Thỏ chong chóng</v>
      </c>
      <c r="F1033" s="144" t="str">
        <f>VLOOKUP(D1033,'Danh mục hàng hóa'!$C$3:$E$656,3,0)</f>
        <v>cái</v>
      </c>
      <c r="G1033" s="320">
        <v>59500</v>
      </c>
      <c r="H1033" s="317"/>
      <c r="I1033" s="313">
        <v>1</v>
      </c>
      <c r="J1033" s="323"/>
      <c r="K1033" s="168">
        <f t="shared" si="99"/>
        <v>59500</v>
      </c>
      <c r="L1033" s="30"/>
      <c r="M1033" s="372"/>
    </row>
    <row r="1034" spans="1:13" ht="13.2">
      <c r="A1034" s="227"/>
      <c r="B1034" s="311" t="s">
        <v>337</v>
      </c>
      <c r="C1034" s="414"/>
      <c r="D1034" s="28" t="s">
        <v>866</v>
      </c>
      <c r="E1034" s="143" t="str">
        <f>VLOOKUP(D1034,'Danh mục hàng hóa'!$C$3:$D$643,2,0)</f>
        <v>Thước dây hồng phấn</v>
      </c>
      <c r="F1034" s="144" t="str">
        <f>VLOOKUP(D1034,'Danh mục hàng hóa'!$C$3:$E$656,3,0)</f>
        <v>cái</v>
      </c>
      <c r="G1034" s="320">
        <v>9000</v>
      </c>
      <c r="H1034" s="317"/>
      <c r="I1034" s="313">
        <v>1</v>
      </c>
      <c r="J1034" s="323"/>
      <c r="K1034" s="168">
        <f t="shared" si="99"/>
        <v>9000</v>
      </c>
      <c r="L1034" s="30"/>
      <c r="M1034" s="373"/>
    </row>
    <row r="1035" spans="1:13" ht="13.2">
      <c r="A1035" s="75"/>
      <c r="B1035" s="311" t="s">
        <v>337</v>
      </c>
      <c r="C1035" s="414"/>
      <c r="D1035" s="28" t="s">
        <v>740</v>
      </c>
      <c r="E1035" s="143" t="str">
        <f>VLOOKUP(D1035,'Danh mục hàng hóa'!$C$3:$D$643,2,0)</f>
        <v>Kẹp tóc hoa sứ đỏ</v>
      </c>
      <c r="F1035" s="144" t="str">
        <f>VLOOKUP(D1035,'Danh mục hàng hóa'!$C$3:$E$656,3,0)</f>
        <v>cái</v>
      </c>
      <c r="G1035" s="320">
        <v>16140</v>
      </c>
      <c r="H1035" s="317"/>
      <c r="I1035" s="313">
        <v>1</v>
      </c>
      <c r="J1035" s="323"/>
      <c r="K1035" s="168">
        <f t="shared" si="99"/>
        <v>16140</v>
      </c>
      <c r="L1035" s="30"/>
      <c r="M1035" s="100">
        <v>16140</v>
      </c>
    </row>
    <row r="1036" spans="1:13" ht="13.2">
      <c r="A1036" s="75"/>
      <c r="B1036" s="311" t="s">
        <v>337</v>
      </c>
      <c r="C1036" s="414"/>
      <c r="D1036" s="28" t="s">
        <v>732</v>
      </c>
      <c r="E1036" s="143" t="str">
        <f>VLOOKUP(D1036,'Danh mục hàng hóa'!$C$3:$D$643,2,0)</f>
        <v>Kẹp tóc hoa sứ tím</v>
      </c>
      <c r="F1036" s="144" t="str">
        <f>VLOOKUP(D1036,'Danh mục hàng hóa'!$C$3:$E$656,3,0)</f>
        <v>cái</v>
      </c>
      <c r="G1036" s="320">
        <v>16100</v>
      </c>
      <c r="H1036" s="317"/>
      <c r="I1036" s="313">
        <v>1</v>
      </c>
      <c r="J1036" s="323"/>
      <c r="K1036" s="168">
        <f t="shared" si="99"/>
        <v>16100</v>
      </c>
      <c r="L1036" s="30"/>
      <c r="M1036" s="100">
        <v>16100</v>
      </c>
    </row>
    <row r="1037" spans="1:13" ht="13.2">
      <c r="A1037" s="75"/>
      <c r="B1037" s="311" t="s">
        <v>337</v>
      </c>
      <c r="C1037" s="414"/>
      <c r="D1037" s="28" t="s">
        <v>736</v>
      </c>
      <c r="E1037" s="143" t="str">
        <f>VLOOKUP(D1037,'Danh mục hàng hóa'!$C$3:$D$643,2,0)</f>
        <v>Kẹp tóc hoa sứ vàng</v>
      </c>
      <c r="F1037" s="144" t="str">
        <f>VLOOKUP(D1037,'Danh mục hàng hóa'!$C$3:$E$656,3,0)</f>
        <v>cái</v>
      </c>
      <c r="G1037" s="320">
        <v>15920</v>
      </c>
      <c r="H1037" s="317"/>
      <c r="I1037" s="313">
        <v>2</v>
      </c>
      <c r="J1037" s="323"/>
      <c r="K1037" s="168">
        <f t="shared" si="99"/>
        <v>31840</v>
      </c>
      <c r="L1037" s="30"/>
      <c r="M1037" s="100">
        <v>31840</v>
      </c>
    </row>
    <row r="1038" spans="1:13" ht="13.2">
      <c r="A1038" s="75"/>
      <c r="B1038" s="311" t="s">
        <v>337</v>
      </c>
      <c r="C1038" s="414"/>
      <c r="D1038" s="28" t="s">
        <v>736</v>
      </c>
      <c r="E1038" s="143" t="str">
        <f>VLOOKUP(D1038,'Danh mục hàng hóa'!$C$3:$D$643,2,0)</f>
        <v>Kẹp tóc hoa sứ vàng</v>
      </c>
      <c r="F1038" s="144" t="str">
        <f>VLOOKUP(D1038,'Danh mục hàng hóa'!$C$3:$E$656,3,0)</f>
        <v>cái</v>
      </c>
      <c r="G1038" s="320">
        <v>14652</v>
      </c>
      <c r="H1038" s="317"/>
      <c r="I1038" s="313">
        <v>3</v>
      </c>
      <c r="J1038" s="323"/>
      <c r="K1038" s="168">
        <f t="shared" si="99"/>
        <v>43956</v>
      </c>
      <c r="L1038" s="30"/>
      <c r="M1038" s="100">
        <v>43956</v>
      </c>
    </row>
    <row r="1039" spans="1:13" ht="13.2">
      <c r="A1039" s="75"/>
      <c r="B1039" s="311" t="s">
        <v>337</v>
      </c>
      <c r="C1039" s="414"/>
      <c r="D1039" s="28" t="s">
        <v>732</v>
      </c>
      <c r="E1039" s="143" t="str">
        <f>VLOOKUP(D1039,'Danh mục hàng hóa'!$C$3:$D$643,2,0)</f>
        <v>Kẹp tóc hoa sứ tím</v>
      </c>
      <c r="F1039" s="144" t="str">
        <f>VLOOKUP(D1039,'Danh mục hàng hóa'!$C$3:$E$656,3,0)</f>
        <v>cái</v>
      </c>
      <c r="G1039" s="320">
        <v>16280</v>
      </c>
      <c r="H1039" s="317"/>
      <c r="I1039" s="313">
        <v>1</v>
      </c>
      <c r="J1039" s="323"/>
      <c r="K1039" s="168">
        <f t="shared" si="99"/>
        <v>16280</v>
      </c>
      <c r="L1039" s="30"/>
      <c r="M1039" s="100">
        <v>16280</v>
      </c>
    </row>
    <row r="1040" spans="1:13" ht="13.2">
      <c r="A1040" s="227"/>
      <c r="B1040" s="311" t="s">
        <v>337</v>
      </c>
      <c r="C1040" s="414"/>
      <c r="D1040" s="28" t="s">
        <v>736</v>
      </c>
      <c r="E1040" s="143" t="str">
        <f>VLOOKUP(D1040,'Danh mục hàng hóa'!$C$3:$D$643,2,0)</f>
        <v>Kẹp tóc hoa sứ vàng</v>
      </c>
      <c r="F1040" s="144" t="str">
        <f>VLOOKUP(D1040,'Danh mục hàng hóa'!$C$3:$E$656,3,0)</f>
        <v>cái</v>
      </c>
      <c r="G1040" s="320">
        <v>15106</v>
      </c>
      <c r="H1040" s="317"/>
      <c r="I1040" s="313">
        <v>2</v>
      </c>
      <c r="J1040" s="323"/>
      <c r="K1040" s="168">
        <f t="shared" si="99"/>
        <v>30212</v>
      </c>
      <c r="L1040" s="30"/>
      <c r="M1040" s="422">
        <v>90640</v>
      </c>
    </row>
    <row r="1041" spans="1:13" ht="13.2">
      <c r="A1041" s="227"/>
      <c r="B1041" s="311" t="s">
        <v>337</v>
      </c>
      <c r="C1041" s="414"/>
      <c r="D1041" s="28" t="s">
        <v>734</v>
      </c>
      <c r="E1041" s="143" t="str">
        <f>VLOOKUP(D1041,'Danh mục hàng hóa'!$C$3:$D$643,2,0)</f>
        <v>Kẹp tóc hoa sứ hồng</v>
      </c>
      <c r="F1041" s="144" t="str">
        <f>VLOOKUP(D1041,'Danh mục hàng hóa'!$C$3:$E$656,3,0)</f>
        <v>cái</v>
      </c>
      <c r="G1041" s="320">
        <v>15106</v>
      </c>
      <c r="H1041" s="317"/>
      <c r="I1041" s="313">
        <v>1</v>
      </c>
      <c r="J1041" s="323"/>
      <c r="K1041" s="168">
        <f t="shared" si="99"/>
        <v>15106</v>
      </c>
      <c r="L1041" s="30"/>
      <c r="M1041" s="372"/>
    </row>
    <row r="1042" spans="1:13" ht="13.2">
      <c r="A1042" s="227"/>
      <c r="B1042" s="311" t="s">
        <v>337</v>
      </c>
      <c r="C1042" s="414"/>
      <c r="D1042" s="28" t="s">
        <v>738</v>
      </c>
      <c r="E1042" s="143" t="str">
        <f>VLOOKUP(D1042,'Danh mục hàng hóa'!$C$3:$D$643,2,0)</f>
        <v>Kẹp tóc hoa sứ cam</v>
      </c>
      <c r="F1042" s="144" t="str">
        <f>VLOOKUP(D1042,'Danh mục hàng hóa'!$C$3:$E$656,3,0)</f>
        <v>cái</v>
      </c>
      <c r="G1042" s="320">
        <v>15106</v>
      </c>
      <c r="H1042" s="317"/>
      <c r="I1042" s="313">
        <v>1</v>
      </c>
      <c r="J1042" s="323"/>
      <c r="K1042" s="168">
        <f t="shared" si="99"/>
        <v>15106</v>
      </c>
      <c r="L1042" s="30"/>
      <c r="M1042" s="372"/>
    </row>
    <row r="1043" spans="1:13" ht="13.2">
      <c r="A1043" s="227"/>
      <c r="B1043" s="30"/>
      <c r="C1043" s="414"/>
      <c r="D1043" s="28" t="s">
        <v>742</v>
      </c>
      <c r="E1043" s="143" t="str">
        <f>VLOOKUP(D1043,'Danh mục hàng hóa'!$C$3:$D$643,2,0)</f>
        <v>Kẹp tóc hoa sứ xanh</v>
      </c>
      <c r="F1043" s="144" t="str">
        <f>VLOOKUP(D1043,'Danh mục hàng hóa'!$C$3:$E$656,3,0)</f>
        <v>cái</v>
      </c>
      <c r="G1043" s="320">
        <v>15106</v>
      </c>
      <c r="H1043" s="317"/>
      <c r="I1043" s="313">
        <v>1</v>
      </c>
      <c r="J1043" s="323"/>
      <c r="K1043" s="168">
        <f t="shared" si="99"/>
        <v>15106</v>
      </c>
      <c r="L1043" s="30"/>
      <c r="M1043" s="372"/>
    </row>
    <row r="1044" spans="1:13" ht="13.2">
      <c r="A1044" s="227"/>
      <c r="B1044" s="30"/>
      <c r="C1044" s="414"/>
      <c r="D1044" s="28" t="s">
        <v>732</v>
      </c>
      <c r="E1044" s="143" t="str">
        <f>VLOOKUP(D1044,'Danh mục hàng hóa'!$C$3:$D$643,2,0)</f>
        <v>Kẹp tóc hoa sứ tím</v>
      </c>
      <c r="F1044" s="144" t="str">
        <f>VLOOKUP(D1044,'Danh mục hàng hóa'!$C$3:$E$656,3,0)</f>
        <v>cái</v>
      </c>
      <c r="G1044" s="320">
        <v>15106</v>
      </c>
      <c r="H1044" s="317"/>
      <c r="I1044" s="313">
        <v>1</v>
      </c>
      <c r="J1044" s="323"/>
      <c r="K1044" s="168">
        <f t="shared" si="99"/>
        <v>15106</v>
      </c>
      <c r="L1044" s="30"/>
      <c r="M1044" s="373"/>
    </row>
    <row r="1045" spans="1:13" ht="13.2">
      <c r="A1045" s="227"/>
      <c r="B1045" s="30"/>
      <c r="C1045" s="414"/>
      <c r="D1045" s="28" t="s">
        <v>736</v>
      </c>
      <c r="E1045" s="143" t="str">
        <f>VLOOKUP(D1045,'Danh mục hàng hóa'!$C$3:$D$643,2,0)</f>
        <v>Kẹp tóc hoa sứ vàng</v>
      </c>
      <c r="F1045" s="144" t="str">
        <f>VLOOKUP(D1045,'Danh mục hàng hóa'!$C$3:$E$656,3,0)</f>
        <v>cái</v>
      </c>
      <c r="G1045" s="320">
        <v>14760</v>
      </c>
      <c r="H1045" s="317"/>
      <c r="I1045" s="313">
        <v>1</v>
      </c>
      <c r="J1045" s="323"/>
      <c r="K1045" s="168">
        <f t="shared" si="99"/>
        <v>14760</v>
      </c>
      <c r="L1045" s="30"/>
      <c r="M1045" s="422">
        <v>73800</v>
      </c>
    </row>
    <row r="1046" spans="1:13" ht="13.2">
      <c r="A1046" s="227"/>
      <c r="B1046" s="30"/>
      <c r="C1046" s="414"/>
      <c r="D1046" s="28" t="s">
        <v>734</v>
      </c>
      <c r="E1046" s="143" t="str">
        <f>VLOOKUP(D1046,'Danh mục hàng hóa'!$C$3:$D$643,2,0)</f>
        <v>Kẹp tóc hoa sứ hồng</v>
      </c>
      <c r="F1046" s="144" t="str">
        <f>VLOOKUP(D1046,'Danh mục hàng hóa'!$C$3:$E$656,3,0)</f>
        <v>cái</v>
      </c>
      <c r="G1046" s="320">
        <v>14760</v>
      </c>
      <c r="H1046" s="317"/>
      <c r="I1046" s="313">
        <v>1</v>
      </c>
      <c r="J1046" s="323"/>
      <c r="K1046" s="168">
        <f t="shared" si="99"/>
        <v>14760</v>
      </c>
      <c r="L1046" s="30"/>
      <c r="M1046" s="372"/>
    </row>
    <row r="1047" spans="1:13" ht="13.2">
      <c r="A1047" s="227"/>
      <c r="B1047" s="30"/>
      <c r="C1047" s="414"/>
      <c r="D1047" s="28" t="s">
        <v>738</v>
      </c>
      <c r="E1047" s="143" t="str">
        <f>VLOOKUP(D1047,'Danh mục hàng hóa'!$C$3:$D$643,2,0)</f>
        <v>Kẹp tóc hoa sứ cam</v>
      </c>
      <c r="F1047" s="144" t="str">
        <f>VLOOKUP(D1047,'Danh mục hàng hóa'!$C$3:$E$656,3,0)</f>
        <v>cái</v>
      </c>
      <c r="G1047" s="320">
        <v>14760</v>
      </c>
      <c r="H1047" s="317"/>
      <c r="I1047" s="313">
        <v>1</v>
      </c>
      <c r="J1047" s="323"/>
      <c r="K1047" s="168">
        <f t="shared" si="99"/>
        <v>14760</v>
      </c>
      <c r="L1047" s="30"/>
      <c r="M1047" s="372"/>
    </row>
    <row r="1048" spans="1:13" ht="13.2">
      <c r="A1048" s="227"/>
      <c r="B1048" s="30"/>
      <c r="C1048" s="414"/>
      <c r="D1048" s="28" t="s">
        <v>740</v>
      </c>
      <c r="E1048" s="143" t="str">
        <f>VLOOKUP(D1048,'Danh mục hàng hóa'!$C$3:$D$643,2,0)</f>
        <v>Kẹp tóc hoa sứ đỏ</v>
      </c>
      <c r="F1048" s="144" t="str">
        <f>VLOOKUP(D1048,'Danh mục hàng hóa'!$C$3:$E$656,3,0)</f>
        <v>cái</v>
      </c>
      <c r="G1048" s="320">
        <v>14760</v>
      </c>
      <c r="H1048" s="317"/>
      <c r="I1048" s="313">
        <v>1</v>
      </c>
      <c r="J1048" s="323"/>
      <c r="K1048" s="168">
        <f t="shared" si="99"/>
        <v>14760</v>
      </c>
      <c r="L1048" s="30"/>
      <c r="M1048" s="372"/>
    </row>
    <row r="1049" spans="1:13" ht="13.2">
      <c r="A1049" s="227"/>
      <c r="B1049" s="30"/>
      <c r="C1049" s="414"/>
      <c r="D1049" s="28" t="s">
        <v>732</v>
      </c>
      <c r="E1049" s="143" t="str">
        <f>VLOOKUP(D1049,'Danh mục hàng hóa'!$C$3:$D$643,2,0)</f>
        <v>Kẹp tóc hoa sứ tím</v>
      </c>
      <c r="F1049" s="144" t="str">
        <f>VLOOKUP(D1049,'Danh mục hàng hóa'!$C$3:$E$656,3,0)</f>
        <v>cái</v>
      </c>
      <c r="G1049" s="320">
        <v>14760</v>
      </c>
      <c r="H1049" s="317"/>
      <c r="I1049" s="313">
        <v>1</v>
      </c>
      <c r="J1049" s="323"/>
      <c r="K1049" s="168">
        <f t="shared" si="99"/>
        <v>14760</v>
      </c>
      <c r="L1049" s="30"/>
      <c r="M1049" s="373"/>
    </row>
    <row r="1050" spans="1:13" ht="13.2">
      <c r="A1050" s="227"/>
      <c r="B1050" s="30"/>
      <c r="C1050" s="414"/>
      <c r="D1050" s="28" t="s">
        <v>740</v>
      </c>
      <c r="E1050" s="143" t="str">
        <f>VLOOKUP(D1050,'Danh mục hàng hóa'!$C$3:$D$643,2,0)</f>
        <v>Kẹp tóc hoa sứ đỏ</v>
      </c>
      <c r="F1050" s="144" t="str">
        <f>VLOOKUP(D1050,'Danh mục hàng hóa'!$C$3:$E$656,3,0)</f>
        <v>cái</v>
      </c>
      <c r="G1050" s="320">
        <v>15950</v>
      </c>
      <c r="H1050" s="317"/>
      <c r="I1050" s="313">
        <v>1</v>
      </c>
      <c r="J1050" s="323"/>
      <c r="K1050" s="168">
        <f t="shared" si="99"/>
        <v>15950</v>
      </c>
      <c r="L1050" s="30"/>
      <c r="M1050" s="422">
        <v>31900</v>
      </c>
    </row>
    <row r="1051" spans="1:13" ht="13.2">
      <c r="A1051" s="227"/>
      <c r="B1051" s="30"/>
      <c r="C1051" s="414"/>
      <c r="D1051" s="28" t="s">
        <v>732</v>
      </c>
      <c r="E1051" s="143" t="str">
        <f>VLOOKUP(D1051,'Danh mục hàng hóa'!$C$3:$D$643,2,0)</f>
        <v>Kẹp tóc hoa sứ tím</v>
      </c>
      <c r="F1051" s="144" t="str">
        <f>VLOOKUP(D1051,'Danh mục hàng hóa'!$C$3:$E$656,3,0)</f>
        <v>cái</v>
      </c>
      <c r="G1051" s="320">
        <v>15950</v>
      </c>
      <c r="H1051" s="317"/>
      <c r="I1051" s="313">
        <v>1</v>
      </c>
      <c r="J1051" s="323"/>
      <c r="K1051" s="168">
        <f t="shared" si="99"/>
        <v>15950</v>
      </c>
      <c r="L1051" s="30"/>
      <c r="M1051" s="373"/>
    </row>
    <row r="1052" spans="1:13" ht="13.2">
      <c r="A1052" s="227"/>
      <c r="B1052" s="30"/>
      <c r="C1052" s="414"/>
      <c r="D1052" s="28" t="s">
        <v>981</v>
      </c>
      <c r="E1052" s="143" t="str">
        <f>VLOOKUP(D1052,'Danh mục hàng hóa'!$C$3:$D$643,2,0)</f>
        <v>Móc khóa đôi corgy</v>
      </c>
      <c r="F1052" s="144" t="str">
        <f>VLOOKUP(D1052,'Danh mục hàng hóa'!$C$3:$E$656,3,0)</f>
        <v>cái</v>
      </c>
      <c r="G1052" s="320">
        <v>61500</v>
      </c>
      <c r="H1052" s="317"/>
      <c r="I1052" s="313">
        <v>1</v>
      </c>
      <c r="J1052" s="323"/>
      <c r="K1052" s="168">
        <f t="shared" si="99"/>
        <v>61500</v>
      </c>
      <c r="L1052" s="30"/>
      <c r="M1052" s="100">
        <v>48148</v>
      </c>
    </row>
    <row r="1053" spans="1:13" ht="13.2">
      <c r="A1053" s="227"/>
      <c r="B1053" s="30"/>
      <c r="C1053" s="415"/>
      <c r="D1053" s="28" t="s">
        <v>977</v>
      </c>
      <c r="E1053" s="143" t="str">
        <f>VLOOKUP(D1053,'Danh mục hàng hóa'!$C$3:$D$643,2,0)</f>
        <v>Móc khóa đôi heo</v>
      </c>
      <c r="F1053" s="144" t="str">
        <f>VLOOKUP(D1053,'Danh mục hàng hóa'!$C$3:$E$656,3,0)</f>
        <v>cái</v>
      </c>
      <c r="G1053" s="320">
        <v>61500</v>
      </c>
      <c r="H1053" s="317"/>
      <c r="I1053" s="313">
        <v>1</v>
      </c>
      <c r="J1053" s="323"/>
      <c r="K1053" s="168">
        <f t="shared" si="99"/>
        <v>61500</v>
      </c>
      <c r="L1053" s="30"/>
      <c r="M1053" s="100">
        <v>48148</v>
      </c>
    </row>
    <row r="1054" spans="1:13" ht="13.2">
      <c r="A1054" s="329"/>
      <c r="B1054" s="37"/>
      <c r="C1054" s="410">
        <v>45370</v>
      </c>
      <c r="D1054" s="33" t="s">
        <v>736</v>
      </c>
      <c r="E1054" s="147" t="str">
        <f>VLOOKUP(D1054,'Danh mục hàng hóa'!$C$3:$D$643,2,0)</f>
        <v>Kẹp tóc hoa sứ vàng</v>
      </c>
      <c r="F1054" s="148" t="str">
        <f>VLOOKUP(D1054,'Danh mục hàng hóa'!$C$3:$E$656,3,0)</f>
        <v>cái</v>
      </c>
      <c r="G1054" s="324">
        <v>14632</v>
      </c>
      <c r="H1054" s="325"/>
      <c r="I1054" s="326">
        <v>1</v>
      </c>
      <c r="J1054" s="327"/>
      <c r="K1054" s="207">
        <f t="shared" si="99"/>
        <v>14632</v>
      </c>
      <c r="L1054" s="32"/>
      <c r="M1054" s="423">
        <v>43896</v>
      </c>
    </row>
    <row r="1055" spans="1:13" ht="13.2">
      <c r="A1055" s="329"/>
      <c r="B1055" s="37"/>
      <c r="C1055" s="372"/>
      <c r="D1055" s="33" t="s">
        <v>734</v>
      </c>
      <c r="E1055" s="147" t="str">
        <f>VLOOKUP(D1055,'Danh mục hàng hóa'!$C$3:$D$643,2,0)</f>
        <v>Kẹp tóc hoa sứ hồng</v>
      </c>
      <c r="F1055" s="148" t="str">
        <f>VLOOKUP(D1055,'Danh mục hàng hóa'!$C$3:$E$656,3,0)</f>
        <v>cái</v>
      </c>
      <c r="G1055" s="324">
        <v>14632</v>
      </c>
      <c r="H1055" s="325"/>
      <c r="I1055" s="326">
        <v>1</v>
      </c>
      <c r="J1055" s="327"/>
      <c r="K1055" s="207">
        <f t="shared" si="99"/>
        <v>14632</v>
      </c>
      <c r="L1055" s="32"/>
      <c r="M1055" s="372"/>
    </row>
    <row r="1056" spans="1:13" ht="13.2">
      <c r="A1056" s="329"/>
      <c r="B1056" s="37"/>
      <c r="C1056" s="372"/>
      <c r="D1056" s="33" t="s">
        <v>742</v>
      </c>
      <c r="E1056" s="147" t="str">
        <f>VLOOKUP(D1056,'Danh mục hàng hóa'!$C$3:$D$643,2,0)</f>
        <v>Kẹp tóc hoa sứ xanh</v>
      </c>
      <c r="F1056" s="148" t="str">
        <f>VLOOKUP(D1056,'Danh mục hàng hóa'!$C$3:$E$656,3,0)</f>
        <v>cái</v>
      </c>
      <c r="G1056" s="324">
        <v>14632</v>
      </c>
      <c r="H1056" s="325"/>
      <c r="I1056" s="326">
        <v>1</v>
      </c>
      <c r="J1056" s="327"/>
      <c r="K1056" s="207">
        <f t="shared" si="99"/>
        <v>14632</v>
      </c>
      <c r="L1056" s="32"/>
      <c r="M1056" s="373"/>
    </row>
    <row r="1057" spans="1:13" ht="13.2">
      <c r="A1057" s="329"/>
      <c r="B1057" s="37"/>
      <c r="C1057" s="372"/>
      <c r="D1057" s="33" t="s">
        <v>985</v>
      </c>
      <c r="E1057" s="147" t="str">
        <f>VLOOKUP(D1057,'Danh mục hàng hóa'!$C$3:$D$643,2,0)</f>
        <v>Móc khóa đôi gấu trúc</v>
      </c>
      <c r="F1057" s="148" t="str">
        <f>VLOOKUP(D1057,'Danh mục hàng hóa'!$C$3:$E$656,3,0)</f>
        <v>cái</v>
      </c>
      <c r="G1057" s="324">
        <v>48528</v>
      </c>
      <c r="H1057" s="325"/>
      <c r="I1057" s="326">
        <v>1</v>
      </c>
      <c r="J1057" s="327"/>
      <c r="K1057" s="207">
        <f t="shared" si="99"/>
        <v>48528</v>
      </c>
      <c r="L1057" s="32"/>
      <c r="M1057" s="110">
        <v>48528</v>
      </c>
    </row>
    <row r="1058" spans="1:13" ht="13.2">
      <c r="A1058" s="329"/>
      <c r="B1058" s="37"/>
      <c r="C1058" s="372"/>
      <c r="D1058" s="33" t="s">
        <v>736</v>
      </c>
      <c r="E1058" s="147" t="str">
        <f>VLOOKUP(D1058,'Danh mục hàng hóa'!$C$3:$D$643,2,0)</f>
        <v>Kẹp tóc hoa sứ vàng</v>
      </c>
      <c r="F1058" s="148" t="str">
        <f>VLOOKUP(D1058,'Danh mục hàng hóa'!$C$3:$E$656,3,0)</f>
        <v>cái</v>
      </c>
      <c r="G1058" s="324">
        <v>16220</v>
      </c>
      <c r="H1058" s="325"/>
      <c r="I1058" s="326">
        <v>1</v>
      </c>
      <c r="J1058" s="327"/>
      <c r="K1058" s="207">
        <f t="shared" si="99"/>
        <v>16220</v>
      </c>
      <c r="L1058" s="32"/>
      <c r="M1058" s="110">
        <v>16220</v>
      </c>
    </row>
    <row r="1059" spans="1:13" ht="13.2">
      <c r="A1059" s="329"/>
      <c r="B1059" s="37"/>
      <c r="C1059" s="372"/>
      <c r="D1059" s="33" t="s">
        <v>977</v>
      </c>
      <c r="E1059" s="147" t="str">
        <f>VLOOKUP(D1059,'Danh mục hàng hóa'!$C$3:$D$643,2,0)</f>
        <v>Móc khóa đôi heo</v>
      </c>
      <c r="F1059" s="148" t="str">
        <f>VLOOKUP(D1059,'Danh mục hàng hóa'!$C$3:$E$656,3,0)</f>
        <v>cái</v>
      </c>
      <c r="G1059" s="324">
        <v>48388</v>
      </c>
      <c r="H1059" s="325"/>
      <c r="I1059" s="326">
        <v>1</v>
      </c>
      <c r="J1059" s="327"/>
      <c r="K1059" s="207">
        <f t="shared" si="99"/>
        <v>48388</v>
      </c>
      <c r="L1059" s="32"/>
      <c r="M1059" s="110">
        <v>48388</v>
      </c>
    </row>
    <row r="1060" spans="1:13" ht="13.2">
      <c r="A1060" s="329"/>
      <c r="B1060" s="37"/>
      <c r="C1060" s="372"/>
      <c r="D1060" s="33" t="s">
        <v>736</v>
      </c>
      <c r="E1060" s="147" t="str">
        <f>VLOOKUP(D1060,'Danh mục hàng hóa'!$C$3:$D$643,2,0)</f>
        <v>Kẹp tóc hoa sứ vàng</v>
      </c>
      <c r="F1060" s="148" t="str">
        <f>VLOOKUP(D1060,'Danh mục hàng hóa'!$C$3:$E$656,3,0)</f>
        <v>cái</v>
      </c>
      <c r="G1060" s="324">
        <v>16220</v>
      </c>
      <c r="H1060" s="325"/>
      <c r="I1060" s="326">
        <v>1</v>
      </c>
      <c r="J1060" s="327"/>
      <c r="K1060" s="207">
        <f t="shared" si="99"/>
        <v>16220</v>
      </c>
      <c r="L1060" s="32"/>
      <c r="M1060" s="110">
        <v>16220</v>
      </c>
    </row>
    <row r="1061" spans="1:13" ht="13.2">
      <c r="A1061" s="329"/>
      <c r="B1061" s="37"/>
      <c r="C1061" s="372"/>
      <c r="D1061" s="33" t="s">
        <v>734</v>
      </c>
      <c r="E1061" s="147" t="str">
        <f>VLOOKUP(D1061,'Danh mục hàng hóa'!$C$3:$D$643,2,0)</f>
        <v>Kẹp tóc hoa sứ hồng</v>
      </c>
      <c r="F1061" s="148" t="str">
        <f>VLOOKUP(D1061,'Danh mục hàng hóa'!$C$3:$E$656,3,0)</f>
        <v>cái</v>
      </c>
      <c r="G1061" s="324">
        <v>16220</v>
      </c>
      <c r="H1061" s="325"/>
      <c r="I1061" s="326">
        <v>1</v>
      </c>
      <c r="J1061" s="327"/>
      <c r="K1061" s="207">
        <f t="shared" si="99"/>
        <v>16220</v>
      </c>
      <c r="L1061" s="32"/>
      <c r="M1061" s="110">
        <v>16220</v>
      </c>
    </row>
    <row r="1062" spans="1:13" ht="13.2">
      <c r="A1062" s="329"/>
      <c r="B1062" s="37"/>
      <c r="C1062" s="372"/>
      <c r="D1062" s="33" t="s">
        <v>738</v>
      </c>
      <c r="E1062" s="147" t="str">
        <f>VLOOKUP(D1062,'Danh mục hàng hóa'!$C$3:$D$643,2,0)</f>
        <v>Kẹp tóc hoa sứ cam</v>
      </c>
      <c r="F1062" s="148" t="str">
        <f>VLOOKUP(D1062,'Danh mục hàng hóa'!$C$3:$E$656,3,0)</f>
        <v>cái</v>
      </c>
      <c r="G1062" s="324">
        <v>16220</v>
      </c>
      <c r="H1062" s="325"/>
      <c r="I1062" s="326">
        <v>1</v>
      </c>
      <c r="J1062" s="327"/>
      <c r="K1062" s="207">
        <f t="shared" si="99"/>
        <v>16220</v>
      </c>
      <c r="L1062" s="32"/>
      <c r="M1062" s="110">
        <v>16220</v>
      </c>
    </row>
    <row r="1063" spans="1:13" ht="13.2">
      <c r="A1063" s="329"/>
      <c r="B1063" s="37"/>
      <c r="C1063" s="372"/>
      <c r="D1063" s="33" t="s">
        <v>734</v>
      </c>
      <c r="E1063" s="147" t="str">
        <f>VLOOKUP(D1063,'Danh mục hàng hóa'!$C$3:$D$643,2,0)</f>
        <v>Kẹp tóc hoa sứ hồng</v>
      </c>
      <c r="F1063" s="148" t="str">
        <f>VLOOKUP(D1063,'Danh mục hàng hóa'!$C$3:$E$656,3,0)</f>
        <v>cái</v>
      </c>
      <c r="G1063" s="324">
        <v>15980</v>
      </c>
      <c r="H1063" s="325"/>
      <c r="I1063" s="326">
        <v>1</v>
      </c>
      <c r="J1063" s="327"/>
      <c r="K1063" s="207">
        <f t="shared" si="99"/>
        <v>15980</v>
      </c>
      <c r="L1063" s="32"/>
      <c r="M1063" s="110">
        <v>15980</v>
      </c>
    </row>
    <row r="1064" spans="1:13" ht="13.2">
      <c r="A1064" s="329"/>
      <c r="B1064" s="37"/>
      <c r="C1064" s="372"/>
      <c r="D1064" s="33" t="s">
        <v>732</v>
      </c>
      <c r="E1064" s="147" t="str">
        <f>VLOOKUP(D1064,'Danh mục hàng hóa'!$C$3:$D$643,2,0)</f>
        <v>Kẹp tóc hoa sứ tím</v>
      </c>
      <c r="F1064" s="148" t="str">
        <f>VLOOKUP(D1064,'Danh mục hàng hóa'!$C$3:$E$656,3,0)</f>
        <v>cái</v>
      </c>
      <c r="G1064" s="324">
        <v>16100</v>
      </c>
      <c r="H1064" s="325"/>
      <c r="I1064" s="326">
        <v>1</v>
      </c>
      <c r="J1064" s="327"/>
      <c r="K1064" s="207">
        <f t="shared" si="99"/>
        <v>16100</v>
      </c>
      <c r="L1064" s="32"/>
      <c r="M1064" s="110">
        <v>16100</v>
      </c>
    </row>
    <row r="1065" spans="1:13" ht="13.2">
      <c r="A1065" s="329"/>
      <c r="B1065" s="37"/>
      <c r="C1065" s="372"/>
      <c r="D1065" s="33" t="s">
        <v>740</v>
      </c>
      <c r="E1065" s="147" t="str">
        <f>VLOOKUP(D1065,'Danh mục hàng hóa'!$C$3:$D$643,2,0)</f>
        <v>Kẹp tóc hoa sứ đỏ</v>
      </c>
      <c r="F1065" s="148" t="str">
        <f>VLOOKUP(D1065,'Danh mục hàng hóa'!$C$3:$E$656,3,0)</f>
        <v>cái</v>
      </c>
      <c r="G1065" s="324">
        <v>15950</v>
      </c>
      <c r="H1065" s="325"/>
      <c r="I1065" s="326">
        <v>1</v>
      </c>
      <c r="J1065" s="327"/>
      <c r="K1065" s="207">
        <f t="shared" si="99"/>
        <v>15950</v>
      </c>
      <c r="L1065" s="32"/>
      <c r="M1065" s="423">
        <v>31900</v>
      </c>
    </row>
    <row r="1066" spans="1:13" ht="13.2">
      <c r="A1066" s="329"/>
      <c r="B1066" s="37"/>
      <c r="C1066" s="372"/>
      <c r="D1066" s="33" t="s">
        <v>732</v>
      </c>
      <c r="E1066" s="147" t="str">
        <f>VLOOKUP(D1066,'Danh mục hàng hóa'!$C$3:$D$643,2,0)</f>
        <v>Kẹp tóc hoa sứ tím</v>
      </c>
      <c r="F1066" s="148" t="str">
        <f>VLOOKUP(D1066,'Danh mục hàng hóa'!$C$3:$E$656,3,0)</f>
        <v>cái</v>
      </c>
      <c r="G1066" s="324">
        <v>15950</v>
      </c>
      <c r="H1066" s="325"/>
      <c r="I1066" s="326">
        <v>1</v>
      </c>
      <c r="J1066" s="327"/>
      <c r="K1066" s="207">
        <f t="shared" si="99"/>
        <v>15950</v>
      </c>
      <c r="L1066" s="32"/>
      <c r="M1066" s="373"/>
    </row>
    <row r="1067" spans="1:13" ht="13.2">
      <c r="A1067" s="329"/>
      <c r="B1067" s="37"/>
      <c r="C1067" s="372"/>
      <c r="D1067" s="33" t="s">
        <v>736</v>
      </c>
      <c r="E1067" s="147" t="str">
        <f>VLOOKUP(D1067,'Danh mục hàng hóa'!$C$3:$D$643,2,0)</f>
        <v>Kẹp tóc hoa sứ vàng</v>
      </c>
      <c r="F1067" s="148" t="str">
        <f>VLOOKUP(D1067,'Danh mục hàng hóa'!$C$3:$E$656,3,0)</f>
        <v>cái</v>
      </c>
      <c r="G1067" s="324">
        <v>14632</v>
      </c>
      <c r="H1067" s="325"/>
      <c r="I1067" s="326">
        <v>1</v>
      </c>
      <c r="J1067" s="327"/>
      <c r="K1067" s="207">
        <f t="shared" si="99"/>
        <v>14632</v>
      </c>
      <c r="L1067" s="32"/>
      <c r="M1067" s="423">
        <v>43896</v>
      </c>
    </row>
    <row r="1068" spans="1:13" ht="13.2">
      <c r="A1068" s="329"/>
      <c r="B1068" s="37"/>
      <c r="C1068" s="372"/>
      <c r="D1068" s="33" t="s">
        <v>738</v>
      </c>
      <c r="E1068" s="147" t="str">
        <f>VLOOKUP(D1068,'Danh mục hàng hóa'!$C$3:$D$643,2,0)</f>
        <v>Kẹp tóc hoa sứ cam</v>
      </c>
      <c r="F1068" s="148" t="str">
        <f>VLOOKUP(D1068,'Danh mục hàng hóa'!$C$3:$E$656,3,0)</f>
        <v>cái</v>
      </c>
      <c r="G1068" s="324">
        <v>14632</v>
      </c>
      <c r="H1068" s="325"/>
      <c r="I1068" s="326">
        <v>1</v>
      </c>
      <c r="J1068" s="327"/>
      <c r="K1068" s="207">
        <f t="shared" si="99"/>
        <v>14632</v>
      </c>
      <c r="L1068" s="32"/>
      <c r="M1068" s="372"/>
    </row>
    <row r="1069" spans="1:13" ht="13.2">
      <c r="A1069" s="329"/>
      <c r="B1069" s="37"/>
      <c r="C1069" s="372"/>
      <c r="D1069" s="33" t="s">
        <v>732</v>
      </c>
      <c r="E1069" s="147" t="str">
        <f>VLOOKUP(D1069,'Danh mục hàng hóa'!$C$3:$D$643,2,0)</f>
        <v>Kẹp tóc hoa sứ tím</v>
      </c>
      <c r="F1069" s="148" t="str">
        <f>VLOOKUP(D1069,'Danh mục hàng hóa'!$C$3:$E$656,3,0)</f>
        <v>cái</v>
      </c>
      <c r="G1069" s="324">
        <v>14632</v>
      </c>
      <c r="H1069" s="325"/>
      <c r="I1069" s="326">
        <v>1</v>
      </c>
      <c r="J1069" s="327"/>
      <c r="K1069" s="207">
        <f t="shared" si="99"/>
        <v>14632</v>
      </c>
      <c r="L1069" s="32"/>
      <c r="M1069" s="373"/>
    </row>
    <row r="1070" spans="1:13" ht="13.2">
      <c r="A1070" s="329"/>
      <c r="B1070" s="37"/>
      <c r="C1070" s="372"/>
      <c r="D1070" s="33" t="s">
        <v>734</v>
      </c>
      <c r="E1070" s="147" t="str">
        <f>VLOOKUP(D1070,'Danh mục hàng hóa'!$C$3:$D$643,2,0)</f>
        <v>Kẹp tóc hoa sứ hồng</v>
      </c>
      <c r="F1070" s="148" t="str">
        <f>VLOOKUP(D1070,'Danh mục hàng hóa'!$C$3:$E$656,3,0)</f>
        <v>cái</v>
      </c>
      <c r="G1070" s="324">
        <v>16220</v>
      </c>
      <c r="H1070" s="325"/>
      <c r="I1070" s="326">
        <v>1</v>
      </c>
      <c r="J1070" s="327"/>
      <c r="K1070" s="207">
        <f t="shared" si="99"/>
        <v>16220</v>
      </c>
      <c r="L1070" s="32"/>
      <c r="M1070" s="110">
        <v>16220</v>
      </c>
    </row>
    <row r="1071" spans="1:13" ht="13.2">
      <c r="A1071" s="329"/>
      <c r="B1071" s="37"/>
      <c r="C1071" s="372"/>
      <c r="D1071" s="33" t="s">
        <v>740</v>
      </c>
      <c r="E1071" s="147" t="str">
        <f>VLOOKUP(D1071,'Danh mục hàng hóa'!$C$3:$D$643,2,0)</f>
        <v>Kẹp tóc hoa sứ đỏ</v>
      </c>
      <c r="F1071" s="148" t="str">
        <f>VLOOKUP(D1071,'Danh mục hàng hóa'!$C$3:$E$656,3,0)</f>
        <v>cái</v>
      </c>
      <c r="G1071" s="324">
        <v>15720</v>
      </c>
      <c r="H1071" s="325"/>
      <c r="I1071" s="326">
        <v>1</v>
      </c>
      <c r="J1071" s="327"/>
      <c r="K1071" s="207">
        <f t="shared" si="99"/>
        <v>15720</v>
      </c>
      <c r="L1071" s="32"/>
      <c r="M1071" s="110">
        <v>15720</v>
      </c>
    </row>
    <row r="1072" spans="1:13" ht="13.2">
      <c r="A1072" s="329"/>
      <c r="B1072" s="37"/>
      <c r="C1072" s="372"/>
      <c r="D1072" s="33" t="s">
        <v>736</v>
      </c>
      <c r="E1072" s="147" t="str">
        <f>VLOOKUP(D1072,'Danh mục hàng hóa'!$C$3:$D$643,2,0)</f>
        <v>Kẹp tóc hoa sứ vàng</v>
      </c>
      <c r="F1072" s="148" t="str">
        <f>VLOOKUP(D1072,'Danh mục hàng hóa'!$C$3:$E$656,3,0)</f>
        <v>cái</v>
      </c>
      <c r="G1072" s="324">
        <v>16220</v>
      </c>
      <c r="H1072" s="325"/>
      <c r="I1072" s="326">
        <v>1</v>
      </c>
      <c r="J1072" s="327"/>
      <c r="K1072" s="207">
        <f t="shared" si="99"/>
        <v>16220</v>
      </c>
      <c r="L1072" s="32"/>
      <c r="M1072" s="110">
        <v>16220</v>
      </c>
    </row>
    <row r="1073" spans="1:13" ht="13.2">
      <c r="A1073" s="329"/>
      <c r="B1073" s="37"/>
      <c r="C1073" s="372"/>
      <c r="D1073" s="33" t="s">
        <v>734</v>
      </c>
      <c r="E1073" s="147" t="str">
        <f>VLOOKUP(D1073,'Danh mục hàng hóa'!$C$3:$D$643,2,0)</f>
        <v>Kẹp tóc hoa sứ hồng</v>
      </c>
      <c r="F1073" s="148" t="str">
        <f>VLOOKUP(D1073,'Danh mục hàng hóa'!$C$3:$E$656,3,0)</f>
        <v>cái</v>
      </c>
      <c r="G1073" s="324">
        <v>16000</v>
      </c>
      <c r="H1073" s="325"/>
      <c r="I1073" s="326">
        <v>1</v>
      </c>
      <c r="J1073" s="327"/>
      <c r="K1073" s="207">
        <f t="shared" si="99"/>
        <v>16000</v>
      </c>
      <c r="L1073" s="32"/>
      <c r="M1073" s="423">
        <v>32000</v>
      </c>
    </row>
    <row r="1074" spans="1:13" ht="13.2">
      <c r="A1074" s="329"/>
      <c r="B1074" s="37"/>
      <c r="C1074" s="372"/>
      <c r="D1074" s="33" t="s">
        <v>738</v>
      </c>
      <c r="E1074" s="147" t="str">
        <f>VLOOKUP(D1074,'Danh mục hàng hóa'!$C$3:$D$643,2,0)</f>
        <v>Kẹp tóc hoa sứ cam</v>
      </c>
      <c r="F1074" s="148" t="str">
        <f>VLOOKUP(D1074,'Danh mục hàng hóa'!$C$3:$E$656,3,0)</f>
        <v>cái</v>
      </c>
      <c r="G1074" s="324">
        <v>16000</v>
      </c>
      <c r="H1074" s="325"/>
      <c r="I1074" s="326">
        <v>1</v>
      </c>
      <c r="J1074" s="327"/>
      <c r="K1074" s="207">
        <f t="shared" si="99"/>
        <v>16000</v>
      </c>
      <c r="L1074" s="32"/>
      <c r="M1074" s="373"/>
    </row>
    <row r="1075" spans="1:13" ht="13.2">
      <c r="A1075" s="329"/>
      <c r="B1075" s="37"/>
      <c r="C1075" s="372"/>
      <c r="D1075" s="33" t="s">
        <v>736</v>
      </c>
      <c r="E1075" s="147" t="str">
        <f>VLOOKUP(D1075,'Danh mục hàng hóa'!$C$3:$D$643,2,0)</f>
        <v>Kẹp tóc hoa sứ vàng</v>
      </c>
      <c r="F1075" s="148" t="str">
        <f>VLOOKUP(D1075,'Danh mục hàng hóa'!$C$3:$E$656,3,0)</f>
        <v>cái</v>
      </c>
      <c r="G1075" s="324">
        <v>16250</v>
      </c>
      <c r="H1075" s="325"/>
      <c r="I1075" s="326">
        <v>1</v>
      </c>
      <c r="J1075" s="327"/>
      <c r="K1075" s="207">
        <f t="shared" si="99"/>
        <v>16250</v>
      </c>
      <c r="L1075" s="32"/>
      <c r="M1075" s="423">
        <v>32500</v>
      </c>
    </row>
    <row r="1076" spans="1:13" ht="13.2">
      <c r="A1076" s="329"/>
      <c r="B1076" s="37"/>
      <c r="C1076" s="372"/>
      <c r="D1076" s="33" t="s">
        <v>732</v>
      </c>
      <c r="E1076" s="147" t="str">
        <f>VLOOKUP(D1076,'Danh mục hàng hóa'!$C$3:$D$643,2,0)</f>
        <v>Kẹp tóc hoa sứ tím</v>
      </c>
      <c r="F1076" s="148" t="str">
        <f>VLOOKUP(D1076,'Danh mục hàng hóa'!$C$3:$E$656,3,0)</f>
        <v>cái</v>
      </c>
      <c r="G1076" s="324">
        <v>16250</v>
      </c>
      <c r="H1076" s="325"/>
      <c r="I1076" s="326">
        <v>1</v>
      </c>
      <c r="J1076" s="327"/>
      <c r="K1076" s="207">
        <f t="shared" si="99"/>
        <v>16250</v>
      </c>
      <c r="L1076" s="32"/>
      <c r="M1076" s="373"/>
    </row>
    <row r="1077" spans="1:13" ht="13.2">
      <c r="A1077" s="329"/>
      <c r="B1077" s="37"/>
      <c r="C1077" s="372"/>
      <c r="D1077" s="33" t="s">
        <v>736</v>
      </c>
      <c r="E1077" s="147" t="str">
        <f>VLOOKUP(D1077,'Danh mục hàng hóa'!$C$3:$D$643,2,0)</f>
        <v>Kẹp tóc hoa sứ vàng</v>
      </c>
      <c r="F1077" s="148" t="str">
        <f>VLOOKUP(D1077,'Danh mục hàng hóa'!$C$3:$E$656,3,0)</f>
        <v>cái</v>
      </c>
      <c r="G1077" s="324">
        <v>18500</v>
      </c>
      <c r="H1077" s="325"/>
      <c r="I1077" s="326">
        <v>2</v>
      </c>
      <c r="J1077" s="327"/>
      <c r="K1077" s="207">
        <f t="shared" si="99"/>
        <v>37000</v>
      </c>
      <c r="L1077" s="32"/>
      <c r="M1077" s="423">
        <v>106240</v>
      </c>
    </row>
    <row r="1078" spans="1:13" ht="13.2">
      <c r="A1078" s="329"/>
      <c r="B1078" s="37"/>
      <c r="C1078" s="372"/>
      <c r="D1078" s="33" t="s">
        <v>744</v>
      </c>
      <c r="E1078" s="147" t="str">
        <f>VLOOKUP(D1078,'Danh mục hàng hóa'!$C$3:$D$643,2,0)</f>
        <v>Kẹp tóc hoa sứ đỏ hồng đậm</v>
      </c>
      <c r="F1078" s="148" t="str">
        <f>VLOOKUP(D1078,'Danh mục hàng hóa'!$C$3:$E$656,3,0)</f>
        <v>cái</v>
      </c>
      <c r="G1078" s="324">
        <v>18500</v>
      </c>
      <c r="H1078" s="325"/>
      <c r="I1078" s="326">
        <v>1</v>
      </c>
      <c r="J1078" s="327"/>
      <c r="K1078" s="207">
        <f t="shared" si="99"/>
        <v>18500</v>
      </c>
      <c r="L1078" s="32"/>
      <c r="M1078" s="372"/>
    </row>
    <row r="1079" spans="1:13" ht="13.2">
      <c r="A1079" s="329"/>
      <c r="B1079" s="37"/>
      <c r="C1079" s="372"/>
      <c r="D1079" s="33" t="s">
        <v>738</v>
      </c>
      <c r="E1079" s="147" t="str">
        <f>VLOOKUP(D1079,'Danh mục hàng hóa'!$C$3:$D$643,2,0)</f>
        <v>Kẹp tóc hoa sứ cam</v>
      </c>
      <c r="F1079" s="148" t="str">
        <f>VLOOKUP(D1079,'Danh mục hàng hóa'!$C$3:$E$656,3,0)</f>
        <v>cái</v>
      </c>
      <c r="G1079" s="324">
        <v>18500</v>
      </c>
      <c r="H1079" s="325"/>
      <c r="I1079" s="326">
        <v>1</v>
      </c>
      <c r="J1079" s="327"/>
      <c r="K1079" s="207">
        <f t="shared" si="99"/>
        <v>18500</v>
      </c>
      <c r="L1079" s="32"/>
      <c r="M1079" s="372"/>
    </row>
    <row r="1080" spans="1:13" ht="13.2">
      <c r="A1080" s="329"/>
      <c r="B1080" s="37"/>
      <c r="C1080" s="372"/>
      <c r="D1080" s="33" t="s">
        <v>742</v>
      </c>
      <c r="E1080" s="147" t="str">
        <f>VLOOKUP(D1080,'Danh mục hàng hóa'!$C$3:$D$643,2,0)</f>
        <v>Kẹp tóc hoa sứ xanh</v>
      </c>
      <c r="F1080" s="148" t="str">
        <f>VLOOKUP(D1080,'Danh mục hàng hóa'!$C$3:$E$656,3,0)</f>
        <v>cái</v>
      </c>
      <c r="G1080" s="324">
        <v>18500</v>
      </c>
      <c r="H1080" s="325"/>
      <c r="I1080" s="326">
        <v>1</v>
      </c>
      <c r="J1080" s="327"/>
      <c r="K1080" s="207">
        <f t="shared" si="99"/>
        <v>18500</v>
      </c>
      <c r="L1080" s="32"/>
      <c r="M1080" s="372"/>
    </row>
    <row r="1081" spans="1:13" ht="13.2">
      <c r="A1081" s="329"/>
      <c r="B1081" s="37"/>
      <c r="C1081" s="372"/>
      <c r="D1081" s="33" t="s">
        <v>740</v>
      </c>
      <c r="E1081" s="147" t="str">
        <f>VLOOKUP(D1081,'Danh mục hàng hóa'!$C$3:$D$643,2,0)</f>
        <v>Kẹp tóc hoa sứ đỏ</v>
      </c>
      <c r="F1081" s="148" t="str">
        <f>VLOOKUP(D1081,'Danh mục hàng hóa'!$C$3:$E$656,3,0)</f>
        <v>cái</v>
      </c>
      <c r="G1081" s="324">
        <v>18500</v>
      </c>
      <c r="H1081" s="325"/>
      <c r="I1081" s="326">
        <v>1</v>
      </c>
      <c r="J1081" s="327"/>
      <c r="K1081" s="207">
        <f t="shared" si="99"/>
        <v>18500</v>
      </c>
      <c r="L1081" s="32"/>
      <c r="M1081" s="372"/>
    </row>
    <row r="1082" spans="1:13" ht="13.2">
      <c r="A1082" s="329"/>
      <c r="B1082" s="37"/>
      <c r="C1082" s="372"/>
      <c r="D1082" s="33" t="s">
        <v>868</v>
      </c>
      <c r="E1082" s="147" t="str">
        <f>VLOOKUP(D1082,'Danh mục hàng hóa'!$C$3:$D$643,2,0)</f>
        <v>Thước dây xám</v>
      </c>
      <c r="F1082" s="148" t="str">
        <f>VLOOKUP(D1082,'Danh mục hàng hóa'!$C$3:$E$656,3,0)</f>
        <v>cái</v>
      </c>
      <c r="G1082" s="324">
        <v>9000</v>
      </c>
      <c r="H1082" s="325"/>
      <c r="I1082" s="326">
        <v>1</v>
      </c>
      <c r="J1082" s="327"/>
      <c r="K1082" s="207">
        <f t="shared" si="99"/>
        <v>9000</v>
      </c>
      <c r="L1082" s="32"/>
      <c r="M1082" s="373"/>
    </row>
    <row r="1083" spans="1:13" ht="13.2">
      <c r="A1083" s="329"/>
      <c r="B1083" s="37"/>
      <c r="C1083" s="372"/>
      <c r="D1083" s="33" t="s">
        <v>736</v>
      </c>
      <c r="E1083" s="147" t="str">
        <f>VLOOKUP(D1083,'Danh mục hàng hóa'!$C$3:$D$643,2,0)</f>
        <v>Kẹp tóc hoa sứ vàng</v>
      </c>
      <c r="F1083" s="148" t="str">
        <f>VLOOKUP(D1083,'Danh mục hàng hóa'!$C$3:$E$656,3,0)</f>
        <v>cái</v>
      </c>
      <c r="G1083" s="324">
        <v>16220</v>
      </c>
      <c r="H1083" s="325"/>
      <c r="I1083" s="326">
        <v>1</v>
      </c>
      <c r="J1083" s="327"/>
      <c r="K1083" s="207">
        <f t="shared" si="99"/>
        <v>16220</v>
      </c>
      <c r="L1083" s="32"/>
      <c r="M1083" s="110">
        <v>16220</v>
      </c>
    </row>
    <row r="1084" spans="1:13" ht="13.2">
      <c r="A1084" s="329"/>
      <c r="B1084" s="37"/>
      <c r="C1084" s="372"/>
      <c r="D1084" s="33" t="s">
        <v>736</v>
      </c>
      <c r="E1084" s="147" t="str">
        <f>VLOOKUP(D1084,'Danh mục hàng hóa'!$C$3:$D$643,2,0)</f>
        <v>Kẹp tóc hoa sứ vàng</v>
      </c>
      <c r="F1084" s="148" t="str">
        <f>VLOOKUP(D1084,'Danh mục hàng hóa'!$C$3:$E$656,3,0)</f>
        <v>cái</v>
      </c>
      <c r="G1084" s="324">
        <v>17720</v>
      </c>
      <c r="H1084" s="325"/>
      <c r="I1084" s="326">
        <v>1</v>
      </c>
      <c r="J1084" s="327"/>
      <c r="K1084" s="207">
        <f t="shared" si="99"/>
        <v>17720</v>
      </c>
      <c r="L1084" s="32"/>
      <c r="M1084" s="110">
        <v>17720</v>
      </c>
    </row>
    <row r="1085" spans="1:13" ht="13.2">
      <c r="A1085" s="329"/>
      <c r="B1085" s="37"/>
      <c r="C1085" s="372"/>
      <c r="D1085" s="33" t="s">
        <v>1038</v>
      </c>
      <c r="E1085" s="147" t="str">
        <f>VLOOKUP(D1085,'Danh mục hàng hóa'!$C$3:$D$643,2,0)</f>
        <v>Vớ cổ ngắn trắng thêu họa tiết mẫu 2</v>
      </c>
      <c r="F1085" s="148" t="str">
        <f>VLOOKUP(D1085,'Danh mục hàng hóa'!$C$3:$E$656,3,0)</f>
        <v>đôi</v>
      </c>
      <c r="G1085" s="324">
        <v>39000</v>
      </c>
      <c r="H1085" s="325"/>
      <c r="I1085" s="326">
        <v>1</v>
      </c>
      <c r="J1085" s="327"/>
      <c r="K1085" s="207">
        <f t="shared" si="99"/>
        <v>39000</v>
      </c>
      <c r="L1085" s="32"/>
      <c r="M1085" s="423">
        <v>93840</v>
      </c>
    </row>
    <row r="1086" spans="1:13" ht="13.2">
      <c r="A1086" s="329"/>
      <c r="B1086" s="37"/>
      <c r="C1086" s="372"/>
      <c r="D1086" s="33" t="s">
        <v>744</v>
      </c>
      <c r="E1086" s="147" t="str">
        <f>VLOOKUP(D1086,'Danh mục hàng hóa'!$C$3:$D$643,2,0)</f>
        <v>Kẹp tóc hoa sứ đỏ hồng đậm</v>
      </c>
      <c r="F1086" s="148" t="str">
        <f>VLOOKUP(D1086,'Danh mục hàng hóa'!$C$3:$E$656,3,0)</f>
        <v>cái</v>
      </c>
      <c r="G1086" s="324">
        <v>18500</v>
      </c>
      <c r="H1086" s="325"/>
      <c r="I1086" s="326">
        <v>1</v>
      </c>
      <c r="J1086" s="327"/>
      <c r="K1086" s="207">
        <f t="shared" si="99"/>
        <v>18500</v>
      </c>
      <c r="L1086" s="32"/>
      <c r="M1086" s="372"/>
    </row>
    <row r="1087" spans="1:13" ht="13.2">
      <c r="A1087" s="329"/>
      <c r="B1087" s="37"/>
      <c r="C1087" s="372"/>
      <c r="D1087" s="33" t="s">
        <v>734</v>
      </c>
      <c r="E1087" s="147" t="str">
        <f>VLOOKUP(D1087,'Danh mục hàng hóa'!$C$3:$D$643,2,0)</f>
        <v>Kẹp tóc hoa sứ hồng</v>
      </c>
      <c r="F1087" s="148" t="str">
        <f>VLOOKUP(D1087,'Danh mục hàng hóa'!$C$3:$E$656,3,0)</f>
        <v>cái</v>
      </c>
      <c r="G1087" s="324">
        <v>18500</v>
      </c>
      <c r="H1087" s="325"/>
      <c r="I1087" s="326">
        <v>1</v>
      </c>
      <c r="J1087" s="327"/>
      <c r="K1087" s="207">
        <f t="shared" si="99"/>
        <v>18500</v>
      </c>
      <c r="L1087" s="32"/>
      <c r="M1087" s="372"/>
    </row>
    <row r="1088" spans="1:13" ht="13.2">
      <c r="A1088" s="227"/>
      <c r="B1088" s="30"/>
      <c r="C1088" s="372"/>
      <c r="D1088" s="33" t="s">
        <v>738</v>
      </c>
      <c r="E1088" s="147" t="str">
        <f>VLOOKUP(D1088,'Danh mục hàng hóa'!$C$3:$D$643,2,0)</f>
        <v>Kẹp tóc hoa sứ cam</v>
      </c>
      <c r="F1088" s="148" t="str">
        <f>VLOOKUP(D1088,'Danh mục hàng hóa'!$C$3:$E$656,3,0)</f>
        <v>cái</v>
      </c>
      <c r="G1088" s="324">
        <v>18500</v>
      </c>
      <c r="H1088" s="325"/>
      <c r="I1088" s="326">
        <v>1</v>
      </c>
      <c r="J1088" s="327"/>
      <c r="K1088" s="207">
        <f t="shared" si="99"/>
        <v>18500</v>
      </c>
      <c r="L1088" s="32"/>
      <c r="M1088" s="372"/>
    </row>
    <row r="1089" spans="1:13" ht="13.2">
      <c r="A1089" s="227"/>
      <c r="B1089" s="30"/>
      <c r="C1089" s="372"/>
      <c r="D1089" s="33" t="s">
        <v>742</v>
      </c>
      <c r="E1089" s="147" t="str">
        <f>VLOOKUP(D1089,'Danh mục hàng hóa'!$C$3:$D$643,2,0)</f>
        <v>Kẹp tóc hoa sứ xanh</v>
      </c>
      <c r="F1089" s="148" t="str">
        <f>VLOOKUP(D1089,'Danh mục hàng hóa'!$C$3:$E$656,3,0)</f>
        <v>cái</v>
      </c>
      <c r="G1089" s="324">
        <v>18500</v>
      </c>
      <c r="H1089" s="325"/>
      <c r="I1089" s="326">
        <v>1</v>
      </c>
      <c r="J1089" s="327"/>
      <c r="K1089" s="207">
        <f t="shared" si="99"/>
        <v>18500</v>
      </c>
      <c r="L1089" s="32"/>
      <c r="M1089" s="373"/>
    </row>
    <row r="1090" spans="1:13" ht="13.2">
      <c r="A1090" s="227"/>
      <c r="B1090" s="30"/>
      <c r="C1090" s="372"/>
      <c r="D1090" s="33" t="s">
        <v>734</v>
      </c>
      <c r="E1090" s="147" t="str">
        <f>VLOOKUP(D1090,'Danh mục hàng hóa'!$C$3:$D$643,2,0)</f>
        <v>Kẹp tóc hoa sứ hồng</v>
      </c>
      <c r="F1090" s="148" t="str">
        <f>VLOOKUP(D1090,'Danh mục hàng hóa'!$C$3:$E$656,3,0)</f>
        <v>cái</v>
      </c>
      <c r="G1090" s="324">
        <v>16250</v>
      </c>
      <c r="H1090" s="325"/>
      <c r="I1090" s="326">
        <v>1</v>
      </c>
      <c r="J1090" s="327"/>
      <c r="K1090" s="207">
        <f t="shared" si="99"/>
        <v>16250</v>
      </c>
      <c r="L1090" s="32"/>
      <c r="M1090" s="423">
        <v>32500</v>
      </c>
    </row>
    <row r="1091" spans="1:13" ht="13.2">
      <c r="A1091" s="227"/>
      <c r="B1091" s="30"/>
      <c r="C1091" s="372"/>
      <c r="D1091" s="33" t="s">
        <v>740</v>
      </c>
      <c r="E1091" s="147" t="str">
        <f>VLOOKUP(D1091,'Danh mục hàng hóa'!$C$3:$D$643,2,0)</f>
        <v>Kẹp tóc hoa sứ đỏ</v>
      </c>
      <c r="F1091" s="148" t="str">
        <f>VLOOKUP(D1091,'Danh mục hàng hóa'!$C$3:$E$656,3,0)</f>
        <v>cái</v>
      </c>
      <c r="G1091" s="324">
        <v>16250</v>
      </c>
      <c r="H1091" s="325"/>
      <c r="I1091" s="326">
        <v>1</v>
      </c>
      <c r="J1091" s="327"/>
      <c r="K1091" s="207">
        <f t="shared" si="99"/>
        <v>16250</v>
      </c>
      <c r="L1091" s="32"/>
      <c r="M1091" s="373"/>
    </row>
    <row r="1092" spans="1:13" ht="13.2">
      <c r="A1092" s="227"/>
      <c r="B1092" s="30"/>
      <c r="C1092" s="372"/>
      <c r="D1092" s="33" t="s">
        <v>732</v>
      </c>
      <c r="E1092" s="147" t="str">
        <f>VLOOKUP(D1092,'Danh mục hàng hóa'!$C$3:$D$643,2,0)</f>
        <v>Kẹp tóc hoa sứ tím</v>
      </c>
      <c r="F1092" s="148" t="str">
        <f>VLOOKUP(D1092,'Danh mục hàng hóa'!$C$3:$E$656,3,0)</f>
        <v>cái</v>
      </c>
      <c r="G1092" s="324">
        <v>16000</v>
      </c>
      <c r="H1092" s="325"/>
      <c r="I1092" s="326">
        <v>1</v>
      </c>
      <c r="J1092" s="327"/>
      <c r="K1092" s="207">
        <f t="shared" si="99"/>
        <v>16000</v>
      </c>
      <c r="L1092" s="32"/>
      <c r="M1092" s="110">
        <v>16000</v>
      </c>
    </row>
    <row r="1093" spans="1:13" ht="13.2">
      <c r="A1093" s="330"/>
      <c r="B1093" s="331"/>
      <c r="C1093" s="372"/>
      <c r="D1093" s="213" t="s">
        <v>740</v>
      </c>
      <c r="E1093" s="332" t="str">
        <f>VLOOKUP(D1093,'Danh mục hàng hóa'!$C$3:$D$643,2,0)</f>
        <v>Kẹp tóc hoa sứ đỏ</v>
      </c>
      <c r="F1093" s="333" t="str">
        <f>VLOOKUP(D1093,'Danh mục hàng hóa'!$C$3:$E$656,3,0)</f>
        <v>cái</v>
      </c>
      <c r="G1093" s="334">
        <f t="shared" ref="G1093:G1094" si="100">31640/2</f>
        <v>15820</v>
      </c>
      <c r="H1093" s="335"/>
      <c r="I1093" s="336">
        <v>1</v>
      </c>
      <c r="J1093" s="337"/>
      <c r="K1093" s="338">
        <f t="shared" si="99"/>
        <v>15820</v>
      </c>
      <c r="L1093" s="339"/>
      <c r="M1093" s="426">
        <v>31640</v>
      </c>
    </row>
    <row r="1094" spans="1:13" ht="13.2">
      <c r="A1094" s="330"/>
      <c r="B1094" s="331"/>
      <c r="C1094" s="372"/>
      <c r="D1094" s="213" t="s">
        <v>732</v>
      </c>
      <c r="E1094" s="332" t="str">
        <f>VLOOKUP(D1094,'Danh mục hàng hóa'!$C$3:$D$643,2,0)</f>
        <v>Kẹp tóc hoa sứ tím</v>
      </c>
      <c r="F1094" s="333" t="str">
        <f>VLOOKUP(D1094,'Danh mục hàng hóa'!$C$3:$E$656,3,0)</f>
        <v>cái</v>
      </c>
      <c r="G1094" s="334">
        <f t="shared" si="100"/>
        <v>15820</v>
      </c>
      <c r="H1094" s="335"/>
      <c r="I1094" s="336">
        <v>1</v>
      </c>
      <c r="J1094" s="337"/>
      <c r="K1094" s="338">
        <f t="shared" si="99"/>
        <v>15820</v>
      </c>
      <c r="L1094" s="339"/>
      <c r="M1094" s="373"/>
    </row>
    <row r="1095" spans="1:13" ht="13.2">
      <c r="A1095" s="227"/>
      <c r="B1095" s="30"/>
      <c r="C1095" s="372"/>
      <c r="D1095" s="33" t="s">
        <v>736</v>
      </c>
      <c r="E1095" s="147" t="str">
        <f>VLOOKUP(D1095,'Danh mục hàng hóa'!$C$3:$D$643,2,0)</f>
        <v>Kẹp tóc hoa sứ vàng</v>
      </c>
      <c r="F1095" s="148" t="str">
        <f>VLOOKUP(D1095,'Danh mục hàng hóa'!$C$3:$E$656,3,0)</f>
        <v>cái</v>
      </c>
      <c r="G1095" s="324">
        <v>13845</v>
      </c>
      <c r="H1095" s="325"/>
      <c r="I1095" s="326">
        <v>1</v>
      </c>
      <c r="J1095" s="327"/>
      <c r="K1095" s="207">
        <f t="shared" si="99"/>
        <v>13845</v>
      </c>
      <c r="L1095" s="32"/>
      <c r="M1095" s="423">
        <v>55380</v>
      </c>
    </row>
    <row r="1096" spans="1:13" ht="13.2">
      <c r="A1096" s="227"/>
      <c r="B1096" s="30"/>
      <c r="C1096" s="372"/>
      <c r="D1096" s="33" t="s">
        <v>758</v>
      </c>
      <c r="E1096" s="147" t="str">
        <f>VLOOKUP(D1096,'Danh mục hàng hóa'!$C$3:$D$643,2,0)</f>
        <v>Kẹp tóc hoa năm cánh tím</v>
      </c>
      <c r="F1096" s="148" t="str">
        <f>VLOOKUP(D1096,'Danh mục hàng hóa'!$C$3:$E$656,3,0)</f>
        <v>cái</v>
      </c>
      <c r="G1096" s="324">
        <v>13845</v>
      </c>
      <c r="H1096" s="325"/>
      <c r="I1096" s="326">
        <v>1</v>
      </c>
      <c r="J1096" s="327"/>
      <c r="K1096" s="207">
        <f t="shared" si="99"/>
        <v>13845</v>
      </c>
      <c r="L1096" s="32"/>
      <c r="M1096" s="372"/>
    </row>
    <row r="1097" spans="1:13" ht="13.2">
      <c r="A1097" s="227"/>
      <c r="B1097" s="30"/>
      <c r="C1097" s="372"/>
      <c r="D1097" s="33" t="s">
        <v>742</v>
      </c>
      <c r="E1097" s="147" t="str">
        <f>VLOOKUP(D1097,'Danh mục hàng hóa'!$C$3:$D$643,2,0)</f>
        <v>Kẹp tóc hoa sứ xanh</v>
      </c>
      <c r="F1097" s="148" t="str">
        <f>VLOOKUP(D1097,'Danh mục hàng hóa'!$C$3:$E$656,3,0)</f>
        <v>cái</v>
      </c>
      <c r="G1097" s="324">
        <v>13845</v>
      </c>
      <c r="H1097" s="325"/>
      <c r="I1097" s="326">
        <v>1</v>
      </c>
      <c r="J1097" s="327"/>
      <c r="K1097" s="207">
        <f t="shared" si="99"/>
        <v>13845</v>
      </c>
      <c r="L1097" s="32"/>
      <c r="M1097" s="372"/>
    </row>
    <row r="1098" spans="1:13" ht="13.2">
      <c r="A1098" s="227"/>
      <c r="B1098" s="30"/>
      <c r="C1098" s="372"/>
      <c r="D1098" s="33" t="s">
        <v>740</v>
      </c>
      <c r="E1098" s="147" t="str">
        <f>VLOOKUP(D1098,'Danh mục hàng hóa'!$C$3:$D$643,2,0)</f>
        <v>Kẹp tóc hoa sứ đỏ</v>
      </c>
      <c r="F1098" s="148" t="str">
        <f>VLOOKUP(D1098,'Danh mục hàng hóa'!$C$3:$E$656,3,0)</f>
        <v>cái</v>
      </c>
      <c r="G1098" s="324">
        <v>13845</v>
      </c>
      <c r="H1098" s="325"/>
      <c r="I1098" s="326">
        <v>1</v>
      </c>
      <c r="J1098" s="327"/>
      <c r="K1098" s="207">
        <f t="shared" si="99"/>
        <v>13845</v>
      </c>
      <c r="L1098" s="32"/>
      <c r="M1098" s="373"/>
    </row>
    <row r="1099" spans="1:13" ht="13.2">
      <c r="A1099" s="227"/>
      <c r="B1099" s="30"/>
      <c r="C1099" s="372"/>
      <c r="D1099" s="33" t="s">
        <v>667</v>
      </c>
      <c r="E1099" s="147" t="str">
        <f>VLOOKUP(D1099,'Danh mục hàng hóa'!$C$3:$D$643,2,0)</f>
        <v>Buộc tóc trắng nhung tăm</v>
      </c>
      <c r="F1099" s="148" t="str">
        <f>VLOOKUP(D1099,'Danh mục hàng hóa'!$C$3:$E$656,3,0)</f>
        <v>cái</v>
      </c>
      <c r="G1099" s="324">
        <v>11000</v>
      </c>
      <c r="H1099" s="325"/>
      <c r="I1099" s="326">
        <v>1</v>
      </c>
      <c r="J1099" s="327"/>
      <c r="K1099" s="207">
        <f t="shared" si="99"/>
        <v>11000</v>
      </c>
      <c r="L1099" s="32"/>
      <c r="M1099" s="423">
        <v>48252</v>
      </c>
    </row>
    <row r="1100" spans="1:13" ht="13.2">
      <c r="A1100" s="227"/>
      <c r="B1100" s="30"/>
      <c r="C1100" s="372"/>
      <c r="D1100" s="33" t="s">
        <v>707</v>
      </c>
      <c r="E1100" s="147" t="str">
        <f>VLOOKUP(D1100,'Danh mục hàng hóa'!$C$3:$D$643,2,0)</f>
        <v>Buộc tóc hồng nhung tăm</v>
      </c>
      <c r="F1100" s="148" t="str">
        <f>VLOOKUP(D1100,'Danh mục hàng hóa'!$C$3:$E$656,3,0)</f>
        <v>cái</v>
      </c>
      <c r="G1100" s="324">
        <v>13000</v>
      </c>
      <c r="H1100" s="325"/>
      <c r="I1100" s="326">
        <v>1</v>
      </c>
      <c r="J1100" s="327"/>
      <c r="K1100" s="207">
        <f t="shared" si="99"/>
        <v>13000</v>
      </c>
      <c r="L1100" s="32"/>
      <c r="M1100" s="372"/>
    </row>
    <row r="1101" spans="1:13" ht="13.2">
      <c r="A1101" s="227"/>
      <c r="B1101" s="30"/>
      <c r="C1101" s="372"/>
      <c r="D1101" s="33" t="s">
        <v>742</v>
      </c>
      <c r="E1101" s="147" t="str">
        <f>VLOOKUP(D1101,'Danh mục hàng hóa'!$C$3:$D$643,2,0)</f>
        <v>Kẹp tóc hoa sứ xanh</v>
      </c>
      <c r="F1101" s="148" t="str">
        <f>VLOOKUP(D1101,'Danh mục hàng hóa'!$C$3:$E$656,3,0)</f>
        <v>cái</v>
      </c>
      <c r="G1101" s="324">
        <v>18500</v>
      </c>
      <c r="H1101" s="325"/>
      <c r="I1101" s="326">
        <v>1</v>
      </c>
      <c r="J1101" s="327"/>
      <c r="K1101" s="207">
        <f t="shared" si="99"/>
        <v>18500</v>
      </c>
      <c r="L1101" s="32"/>
      <c r="M1101" s="372"/>
    </row>
    <row r="1102" spans="1:13" ht="13.2">
      <c r="A1102" s="227"/>
      <c r="B1102" s="30"/>
      <c r="C1102" s="372"/>
      <c r="D1102" s="33" t="s">
        <v>740</v>
      </c>
      <c r="E1102" s="147" t="str">
        <f>VLOOKUP(D1102,'Danh mục hàng hóa'!$C$3:$D$643,2,0)</f>
        <v>Kẹp tóc hoa sứ đỏ</v>
      </c>
      <c r="F1102" s="148" t="str">
        <f>VLOOKUP(D1102,'Danh mục hàng hóa'!$C$3:$E$656,3,0)</f>
        <v>cái</v>
      </c>
      <c r="G1102" s="324">
        <v>18500</v>
      </c>
      <c r="H1102" s="325"/>
      <c r="I1102" s="326">
        <v>1</v>
      </c>
      <c r="J1102" s="327"/>
      <c r="K1102" s="207">
        <f t="shared" si="99"/>
        <v>18500</v>
      </c>
      <c r="L1102" s="32"/>
      <c r="M1102" s="373"/>
    </row>
    <row r="1103" spans="1:13" ht="13.2">
      <c r="A1103" s="227"/>
      <c r="B1103" s="30"/>
      <c r="C1103" s="372"/>
      <c r="D1103" s="33" t="s">
        <v>742</v>
      </c>
      <c r="E1103" s="147" t="str">
        <f>VLOOKUP(D1103,'Danh mục hàng hóa'!$C$3:$D$643,2,0)</f>
        <v>Kẹp tóc hoa sứ xanh</v>
      </c>
      <c r="F1103" s="148" t="str">
        <f>VLOOKUP(D1103,'Danh mục hàng hóa'!$C$3:$E$656,3,0)</f>
        <v>cái</v>
      </c>
      <c r="G1103" s="324">
        <v>15000</v>
      </c>
      <c r="H1103" s="325"/>
      <c r="I1103" s="326">
        <v>1</v>
      </c>
      <c r="J1103" s="327"/>
      <c r="K1103" s="207">
        <f t="shared" si="99"/>
        <v>15000</v>
      </c>
      <c r="L1103" s="32"/>
      <c r="M1103" s="423">
        <v>15000</v>
      </c>
    </row>
    <row r="1104" spans="1:13" ht="13.2">
      <c r="A1104" s="227"/>
      <c r="B1104" s="30"/>
      <c r="C1104" s="372"/>
      <c r="D1104" s="33" t="s">
        <v>734</v>
      </c>
      <c r="E1104" s="147" t="str">
        <f>VLOOKUP(D1104,'Danh mục hàng hóa'!$C$3:$D$643,2,0)</f>
        <v>Kẹp tóc hoa sứ hồng</v>
      </c>
      <c r="F1104" s="148" t="str">
        <f>VLOOKUP(D1104,'Danh mục hàng hóa'!$C$3:$E$656,3,0)</f>
        <v>cái</v>
      </c>
      <c r="G1104" s="324">
        <v>15000</v>
      </c>
      <c r="H1104" s="325"/>
      <c r="I1104" s="326">
        <v>1</v>
      </c>
      <c r="J1104" s="327"/>
      <c r="K1104" s="207">
        <f t="shared" si="99"/>
        <v>15000</v>
      </c>
      <c r="L1104" s="32"/>
      <c r="M1104" s="373"/>
    </row>
    <row r="1105" spans="1:14" ht="13.2">
      <c r="A1105" s="227"/>
      <c r="B1105" s="30"/>
      <c r="C1105" s="372"/>
      <c r="D1105" s="33" t="s">
        <v>734</v>
      </c>
      <c r="E1105" s="147" t="str">
        <f>VLOOKUP(D1105,'Danh mục hàng hóa'!$C$3:$D$643,2,0)</f>
        <v>Kẹp tóc hoa sứ hồng</v>
      </c>
      <c r="F1105" s="148" t="str">
        <f>VLOOKUP(D1105,'Danh mục hàng hóa'!$C$3:$E$656,3,0)</f>
        <v>cái</v>
      </c>
      <c r="G1105" s="324">
        <v>15000</v>
      </c>
      <c r="H1105" s="325"/>
      <c r="I1105" s="326">
        <v>1</v>
      </c>
      <c r="J1105" s="327"/>
      <c r="K1105" s="207">
        <f t="shared" si="99"/>
        <v>15000</v>
      </c>
      <c r="L1105" s="32"/>
      <c r="M1105" s="110">
        <v>15000</v>
      </c>
    </row>
    <row r="1106" spans="1:14" ht="13.2">
      <c r="A1106" s="227"/>
      <c r="B1106" s="30"/>
      <c r="C1106" s="372"/>
      <c r="D1106" s="33" t="s">
        <v>734</v>
      </c>
      <c r="E1106" s="147" t="str">
        <f>VLOOKUP(D1106,'Danh mục hàng hóa'!$C$3:$D$643,2,0)</f>
        <v>Kẹp tóc hoa sứ hồng</v>
      </c>
      <c r="F1106" s="148" t="str">
        <f>VLOOKUP(D1106,'Danh mục hàng hóa'!$C$3:$E$656,3,0)</f>
        <v>cái</v>
      </c>
      <c r="G1106" s="324">
        <v>14632</v>
      </c>
      <c r="H1106" s="325"/>
      <c r="I1106" s="326">
        <v>1</v>
      </c>
      <c r="J1106" s="327"/>
      <c r="K1106" s="207">
        <f t="shared" si="99"/>
        <v>14632</v>
      </c>
      <c r="L1106" s="32"/>
      <c r="M1106" s="423">
        <v>43896</v>
      </c>
    </row>
    <row r="1107" spans="1:14" ht="13.2">
      <c r="A1107" s="227"/>
      <c r="B1107" s="30"/>
      <c r="C1107" s="372"/>
      <c r="D1107" s="33" t="s">
        <v>742</v>
      </c>
      <c r="E1107" s="147" t="str">
        <f>VLOOKUP(D1107,'Danh mục hàng hóa'!$C$3:$D$643,2,0)</f>
        <v>Kẹp tóc hoa sứ xanh</v>
      </c>
      <c r="F1107" s="148" t="str">
        <f>VLOOKUP(D1107,'Danh mục hàng hóa'!$C$3:$E$656,3,0)</f>
        <v>cái</v>
      </c>
      <c r="G1107" s="324">
        <v>14632</v>
      </c>
      <c r="H1107" s="325"/>
      <c r="I1107" s="326">
        <v>1</v>
      </c>
      <c r="J1107" s="327"/>
      <c r="K1107" s="207">
        <f t="shared" si="99"/>
        <v>14632</v>
      </c>
      <c r="L1107" s="32"/>
      <c r="M1107" s="372"/>
    </row>
    <row r="1108" spans="1:14" ht="13.2">
      <c r="A1108" s="227"/>
      <c r="B1108" s="30"/>
      <c r="C1108" s="372"/>
      <c r="D1108" s="33" t="s">
        <v>732</v>
      </c>
      <c r="E1108" s="147" t="str">
        <f>VLOOKUP(D1108,'Danh mục hàng hóa'!$C$3:$D$643,2,0)</f>
        <v>Kẹp tóc hoa sứ tím</v>
      </c>
      <c r="F1108" s="148" t="str">
        <f>VLOOKUP(D1108,'Danh mục hàng hóa'!$C$3:$E$656,3,0)</f>
        <v>cái</v>
      </c>
      <c r="G1108" s="324">
        <v>14632</v>
      </c>
      <c r="H1108" s="325"/>
      <c r="I1108" s="326">
        <v>1</v>
      </c>
      <c r="J1108" s="327"/>
      <c r="K1108" s="207">
        <f t="shared" si="99"/>
        <v>14632</v>
      </c>
      <c r="L1108" s="32"/>
      <c r="M1108" s="373"/>
    </row>
    <row r="1109" spans="1:14" ht="13.2">
      <c r="A1109" s="227"/>
      <c r="B1109" s="30"/>
      <c r="C1109" s="372"/>
      <c r="D1109" s="33" t="s">
        <v>736</v>
      </c>
      <c r="E1109" s="147" t="str">
        <f>VLOOKUP(D1109,'Danh mục hàng hóa'!$C$3:$D$643,2,0)</f>
        <v>Kẹp tóc hoa sứ vàng</v>
      </c>
      <c r="F1109" s="148" t="str">
        <f>VLOOKUP(D1109,'Danh mục hàng hóa'!$C$3:$E$656,3,0)</f>
        <v>cái</v>
      </c>
      <c r="G1109" s="324">
        <v>15950</v>
      </c>
      <c r="H1109" s="325"/>
      <c r="I1109" s="326">
        <v>1</v>
      </c>
      <c r="J1109" s="327"/>
      <c r="K1109" s="207">
        <f t="shared" si="99"/>
        <v>15950</v>
      </c>
      <c r="L1109" s="32"/>
      <c r="M1109" s="423">
        <v>31900</v>
      </c>
    </row>
    <row r="1110" spans="1:14" ht="13.2">
      <c r="A1110" s="227"/>
      <c r="B1110" s="30"/>
      <c r="C1110" s="372"/>
      <c r="D1110" s="33" t="s">
        <v>734</v>
      </c>
      <c r="E1110" s="147" t="str">
        <f>VLOOKUP(D1110,'Danh mục hàng hóa'!$C$3:$D$643,2,0)</f>
        <v>Kẹp tóc hoa sứ hồng</v>
      </c>
      <c r="F1110" s="148" t="str">
        <f>VLOOKUP(D1110,'Danh mục hàng hóa'!$C$3:$E$656,3,0)</f>
        <v>cái</v>
      </c>
      <c r="G1110" s="324">
        <v>15950</v>
      </c>
      <c r="H1110" s="325"/>
      <c r="I1110" s="326">
        <v>1</v>
      </c>
      <c r="J1110" s="327"/>
      <c r="K1110" s="207">
        <f t="shared" si="99"/>
        <v>15950</v>
      </c>
      <c r="L1110" s="32"/>
      <c r="M1110" s="373"/>
    </row>
    <row r="1111" spans="1:14" ht="13.2">
      <c r="A1111" s="227"/>
      <c r="B1111" s="30"/>
      <c r="C1111" s="372"/>
      <c r="D1111" s="340" t="s">
        <v>734</v>
      </c>
      <c r="E1111" s="341" t="str">
        <f>VLOOKUP(D1111,'Danh mục hàng hóa'!$C$3:$D$643,2,0)</f>
        <v>Kẹp tóc hoa sứ hồng</v>
      </c>
      <c r="F1111" s="342" t="str">
        <f>VLOOKUP(D1111,'Danh mục hàng hóa'!$C$3:$E$656,3,0)</f>
        <v>cái</v>
      </c>
      <c r="G1111" s="343">
        <v>18500</v>
      </c>
      <c r="H1111" s="344"/>
      <c r="I1111" s="345">
        <v>1</v>
      </c>
      <c r="J1111" s="346"/>
      <c r="K1111" s="347">
        <f t="shared" si="99"/>
        <v>18500</v>
      </c>
      <c r="L1111" s="348"/>
      <c r="M1111" s="349">
        <v>43832</v>
      </c>
      <c r="N1111" s="16" t="s">
        <v>2192</v>
      </c>
    </row>
    <row r="1112" spans="1:14" ht="13.2">
      <c r="A1112" s="227"/>
      <c r="B1112" s="30"/>
      <c r="C1112" s="372"/>
      <c r="D1112" s="33" t="s">
        <v>736</v>
      </c>
      <c r="E1112" s="147" t="str">
        <f>VLOOKUP(D1112,'Danh mục hàng hóa'!$C$3:$D$643,2,0)</f>
        <v>Kẹp tóc hoa sứ vàng</v>
      </c>
      <c r="F1112" s="148" t="str">
        <f>VLOOKUP(D1112,'Danh mục hàng hóa'!$C$3:$E$656,3,0)</f>
        <v>cái</v>
      </c>
      <c r="G1112" s="324">
        <v>15274</v>
      </c>
      <c r="H1112" s="325"/>
      <c r="I1112" s="326">
        <v>3</v>
      </c>
      <c r="J1112" s="327"/>
      <c r="K1112" s="207">
        <f t="shared" si="99"/>
        <v>45822</v>
      </c>
      <c r="L1112" s="32"/>
      <c r="M1112" s="423">
        <v>106920</v>
      </c>
    </row>
    <row r="1113" spans="1:14" ht="13.2">
      <c r="A1113" s="227"/>
      <c r="B1113" s="30"/>
      <c r="C1113" s="372"/>
      <c r="D1113" s="33" t="s">
        <v>744</v>
      </c>
      <c r="E1113" s="147" t="str">
        <f>VLOOKUP(D1113,'Danh mục hàng hóa'!$C$3:$D$643,2,0)</f>
        <v>Kẹp tóc hoa sứ đỏ hồng đậm</v>
      </c>
      <c r="F1113" s="148" t="str">
        <f>VLOOKUP(D1113,'Danh mục hàng hóa'!$C$3:$E$656,3,0)</f>
        <v>cái</v>
      </c>
      <c r="G1113" s="324">
        <v>15274</v>
      </c>
      <c r="H1113" s="325"/>
      <c r="I1113" s="326">
        <v>1</v>
      </c>
      <c r="J1113" s="327"/>
      <c r="K1113" s="207">
        <f t="shared" si="99"/>
        <v>15274</v>
      </c>
      <c r="L1113" s="32"/>
      <c r="M1113" s="372"/>
    </row>
    <row r="1114" spans="1:14" ht="13.2">
      <c r="A1114" s="227"/>
      <c r="B1114" s="30"/>
      <c r="C1114" s="372"/>
      <c r="D1114" s="33" t="s">
        <v>734</v>
      </c>
      <c r="E1114" s="147" t="str">
        <f>VLOOKUP(D1114,'Danh mục hàng hóa'!$C$3:$D$643,2,0)</f>
        <v>Kẹp tóc hoa sứ hồng</v>
      </c>
      <c r="F1114" s="148" t="str">
        <f>VLOOKUP(D1114,'Danh mục hàng hóa'!$C$3:$E$656,3,0)</f>
        <v>cái</v>
      </c>
      <c r="G1114" s="324">
        <v>15274</v>
      </c>
      <c r="H1114" s="325"/>
      <c r="I1114" s="326">
        <v>1</v>
      </c>
      <c r="J1114" s="327"/>
      <c r="K1114" s="207">
        <f t="shared" si="99"/>
        <v>15274</v>
      </c>
      <c r="L1114" s="32"/>
      <c r="M1114" s="372"/>
    </row>
    <row r="1115" spans="1:14" ht="13.2">
      <c r="A1115" s="227"/>
      <c r="B1115" s="30"/>
      <c r="C1115" s="372"/>
      <c r="D1115" s="33" t="s">
        <v>742</v>
      </c>
      <c r="E1115" s="147" t="str">
        <f>VLOOKUP(D1115,'Danh mục hàng hóa'!$C$3:$D$643,2,0)</f>
        <v>Kẹp tóc hoa sứ xanh</v>
      </c>
      <c r="F1115" s="148" t="str">
        <f>VLOOKUP(D1115,'Danh mục hàng hóa'!$C$3:$E$656,3,0)</f>
        <v>cái</v>
      </c>
      <c r="G1115" s="324">
        <v>15274</v>
      </c>
      <c r="H1115" s="325"/>
      <c r="I1115" s="326">
        <v>1</v>
      </c>
      <c r="J1115" s="327"/>
      <c r="K1115" s="207">
        <f t="shared" si="99"/>
        <v>15274</v>
      </c>
      <c r="L1115" s="32"/>
      <c r="M1115" s="372"/>
    </row>
    <row r="1116" spans="1:14" ht="13.2">
      <c r="A1116" s="227"/>
      <c r="B1116" s="30"/>
      <c r="C1116" s="372"/>
      <c r="D1116" s="33" t="s">
        <v>732</v>
      </c>
      <c r="E1116" s="147" t="str">
        <f>VLOOKUP(D1116,'Danh mục hàng hóa'!$C$3:$D$643,2,0)</f>
        <v>Kẹp tóc hoa sứ tím</v>
      </c>
      <c r="F1116" s="148" t="str">
        <f>VLOOKUP(D1116,'Danh mục hàng hóa'!$C$3:$E$656,3,0)</f>
        <v>cái</v>
      </c>
      <c r="G1116" s="324">
        <v>15274</v>
      </c>
      <c r="H1116" s="325"/>
      <c r="I1116" s="326">
        <v>1</v>
      </c>
      <c r="J1116" s="327"/>
      <c r="K1116" s="207">
        <f t="shared" si="99"/>
        <v>15274</v>
      </c>
      <c r="L1116" s="32"/>
      <c r="M1116" s="373"/>
    </row>
    <row r="1117" spans="1:14" ht="13.2">
      <c r="A1117" s="227"/>
      <c r="B1117" s="30"/>
      <c r="C1117" s="372"/>
      <c r="D1117" s="33" t="s">
        <v>734</v>
      </c>
      <c r="E1117" s="147" t="str">
        <f>VLOOKUP(D1117,'Danh mục hàng hóa'!$C$3:$D$643,2,0)</f>
        <v>Kẹp tóc hoa sứ hồng</v>
      </c>
      <c r="F1117" s="148" t="str">
        <f>VLOOKUP(D1117,'Danh mục hàng hóa'!$C$3:$E$656,3,0)</f>
        <v>cái</v>
      </c>
      <c r="G1117" s="324">
        <v>14545</v>
      </c>
      <c r="H1117" s="325"/>
      <c r="I1117" s="326">
        <v>2</v>
      </c>
      <c r="J1117" s="327"/>
      <c r="K1117" s="207">
        <f t="shared" si="99"/>
        <v>29090</v>
      </c>
      <c r="L1117" s="32"/>
      <c r="M1117" s="423">
        <v>43636</v>
      </c>
    </row>
    <row r="1118" spans="1:14" ht="13.2">
      <c r="A1118" s="227"/>
      <c r="B1118" s="30"/>
      <c r="C1118" s="372"/>
      <c r="D1118" s="33" t="s">
        <v>732</v>
      </c>
      <c r="E1118" s="147" t="str">
        <f>VLOOKUP(D1118,'Danh mục hàng hóa'!$C$3:$D$643,2,0)</f>
        <v>Kẹp tóc hoa sứ tím</v>
      </c>
      <c r="F1118" s="148" t="str">
        <f>VLOOKUP(D1118,'Danh mục hàng hóa'!$C$3:$E$656,3,0)</f>
        <v>cái</v>
      </c>
      <c r="G1118" s="324">
        <v>14545</v>
      </c>
      <c r="H1118" s="325"/>
      <c r="I1118" s="326">
        <v>1</v>
      </c>
      <c r="J1118" s="327"/>
      <c r="K1118" s="207">
        <f t="shared" si="99"/>
        <v>14545</v>
      </c>
      <c r="L1118" s="32"/>
      <c r="M1118" s="373"/>
    </row>
    <row r="1119" spans="1:14" ht="13.2">
      <c r="A1119" s="227"/>
      <c r="B1119" s="30"/>
      <c r="C1119" s="372"/>
      <c r="D1119" s="33" t="s">
        <v>736</v>
      </c>
      <c r="E1119" s="147" t="str">
        <f>VLOOKUP(D1119,'Danh mục hàng hóa'!$C$3:$D$643,2,0)</f>
        <v>Kẹp tóc hoa sứ vàng</v>
      </c>
      <c r="F1119" s="148" t="str">
        <f>VLOOKUP(D1119,'Danh mục hàng hóa'!$C$3:$E$656,3,0)</f>
        <v>cái</v>
      </c>
      <c r="G1119" s="324">
        <v>14632</v>
      </c>
      <c r="H1119" s="325"/>
      <c r="I1119" s="326">
        <v>1</v>
      </c>
      <c r="J1119" s="327"/>
      <c r="K1119" s="207">
        <f t="shared" si="99"/>
        <v>14632</v>
      </c>
      <c r="L1119" s="32"/>
      <c r="M1119" s="423">
        <v>43896</v>
      </c>
    </row>
    <row r="1120" spans="1:14" ht="13.2">
      <c r="A1120" s="227"/>
      <c r="B1120" s="30"/>
      <c r="C1120" s="372"/>
      <c r="D1120" s="33" t="s">
        <v>734</v>
      </c>
      <c r="E1120" s="147" t="str">
        <f>VLOOKUP(D1120,'Danh mục hàng hóa'!$C$3:$D$643,2,0)</f>
        <v>Kẹp tóc hoa sứ hồng</v>
      </c>
      <c r="F1120" s="148" t="str">
        <f>VLOOKUP(D1120,'Danh mục hàng hóa'!$C$3:$E$656,3,0)</f>
        <v>cái</v>
      </c>
      <c r="G1120" s="324">
        <v>14632</v>
      </c>
      <c r="H1120" s="325"/>
      <c r="I1120" s="326">
        <v>2</v>
      </c>
      <c r="J1120" s="327"/>
      <c r="K1120" s="207">
        <f t="shared" si="99"/>
        <v>29264</v>
      </c>
      <c r="L1120" s="32"/>
      <c r="M1120" s="373"/>
    </row>
    <row r="1121" spans="1:13" ht="13.2">
      <c r="A1121" s="227"/>
      <c r="B1121" s="30"/>
      <c r="C1121" s="372"/>
      <c r="D1121" s="33" t="s">
        <v>742</v>
      </c>
      <c r="E1121" s="147" t="str">
        <f>VLOOKUP(D1121,'Danh mục hàng hóa'!$C$3:$D$643,2,0)</f>
        <v>Kẹp tóc hoa sứ xanh</v>
      </c>
      <c r="F1121" s="148" t="str">
        <f>VLOOKUP(D1121,'Danh mục hàng hóa'!$C$3:$E$656,3,0)</f>
        <v>cái</v>
      </c>
      <c r="G1121" s="324">
        <v>14968</v>
      </c>
      <c r="H1121" s="325"/>
      <c r="I1121" s="326">
        <v>1</v>
      </c>
      <c r="J1121" s="327"/>
      <c r="K1121" s="207">
        <f t="shared" si="99"/>
        <v>14968</v>
      </c>
      <c r="L1121" s="32"/>
      <c r="M1121" s="110">
        <v>14968</v>
      </c>
    </row>
    <row r="1122" spans="1:13" ht="13.2">
      <c r="A1122" s="227"/>
      <c r="B1122" s="30"/>
      <c r="C1122" s="372"/>
      <c r="D1122" s="33" t="s">
        <v>734</v>
      </c>
      <c r="E1122" s="147" t="str">
        <f>VLOOKUP(D1122,'Danh mục hàng hóa'!$C$3:$D$643,2,0)</f>
        <v>Kẹp tóc hoa sứ hồng</v>
      </c>
      <c r="F1122" s="148" t="str">
        <f>VLOOKUP(D1122,'Danh mục hàng hóa'!$C$3:$E$656,3,0)</f>
        <v>cái</v>
      </c>
      <c r="G1122" s="324">
        <v>16210</v>
      </c>
      <c r="H1122" s="325"/>
      <c r="I1122" s="326">
        <v>1</v>
      </c>
      <c r="J1122" s="327"/>
      <c r="K1122" s="207">
        <f t="shared" si="99"/>
        <v>16210</v>
      </c>
      <c r="L1122" s="32"/>
      <c r="M1122" s="423">
        <v>32420</v>
      </c>
    </row>
    <row r="1123" spans="1:13" ht="13.2">
      <c r="A1123" s="227"/>
      <c r="B1123" s="30"/>
      <c r="C1123" s="373"/>
      <c r="D1123" s="33" t="s">
        <v>738</v>
      </c>
      <c r="E1123" s="147" t="str">
        <f>VLOOKUP(D1123,'Danh mục hàng hóa'!$C$3:$D$643,2,0)</f>
        <v>Kẹp tóc hoa sứ cam</v>
      </c>
      <c r="F1123" s="148" t="str">
        <f>VLOOKUP(D1123,'Danh mục hàng hóa'!$C$3:$E$656,3,0)</f>
        <v>cái</v>
      </c>
      <c r="G1123" s="324">
        <v>16210</v>
      </c>
      <c r="H1123" s="325"/>
      <c r="I1123" s="326">
        <v>1</v>
      </c>
      <c r="J1123" s="327"/>
      <c r="K1123" s="207">
        <f t="shared" si="99"/>
        <v>16210</v>
      </c>
      <c r="L1123" s="32"/>
      <c r="M1123" s="373"/>
    </row>
    <row r="1124" spans="1:13" ht="13.2">
      <c r="A1124" s="227"/>
      <c r="B1124" s="30"/>
      <c r="C1124" s="424">
        <v>45371</v>
      </c>
      <c r="D1124" s="35" t="s">
        <v>744</v>
      </c>
      <c r="E1124" s="350" t="str">
        <f>VLOOKUP(D1124,'Danh mục hàng hóa'!$C$3:$D$643,2,0)</f>
        <v>Kẹp tóc hoa sứ đỏ hồng đậm</v>
      </c>
      <c r="F1124" s="351" t="str">
        <f>VLOOKUP(D1124,'Danh mục hàng hóa'!$C$3:$E$656,3,0)</f>
        <v>cái</v>
      </c>
      <c r="G1124" s="352">
        <v>16220</v>
      </c>
      <c r="H1124" s="353"/>
      <c r="I1124" s="354">
        <v>1</v>
      </c>
      <c r="J1124" s="355"/>
      <c r="K1124" s="356">
        <f t="shared" si="99"/>
        <v>16220</v>
      </c>
      <c r="L1124" s="37"/>
      <c r="M1124" s="158">
        <v>16220</v>
      </c>
    </row>
    <row r="1125" spans="1:13" ht="13.2">
      <c r="A1125" s="227"/>
      <c r="B1125" s="30"/>
      <c r="C1125" s="372"/>
      <c r="D1125" s="35" t="s">
        <v>734</v>
      </c>
      <c r="E1125" s="350" t="str">
        <f>VLOOKUP(D1125,'Danh mục hàng hóa'!$C$3:$D$643,2,0)</f>
        <v>Kẹp tóc hoa sứ hồng</v>
      </c>
      <c r="F1125" s="351" t="str">
        <f>VLOOKUP(D1125,'Danh mục hàng hóa'!$C$3:$E$656,3,0)</f>
        <v>cái</v>
      </c>
      <c r="G1125" s="352">
        <v>16140</v>
      </c>
      <c r="H1125" s="353"/>
      <c r="I1125" s="354">
        <v>1</v>
      </c>
      <c r="J1125" s="355"/>
      <c r="K1125" s="356">
        <f t="shared" si="99"/>
        <v>16140</v>
      </c>
      <c r="L1125" s="37"/>
      <c r="M1125" s="158">
        <v>16140</v>
      </c>
    </row>
    <row r="1126" spans="1:13" ht="13.2">
      <c r="A1126" s="227"/>
      <c r="B1126" s="30"/>
      <c r="C1126" s="372"/>
      <c r="D1126" s="35" t="s">
        <v>736</v>
      </c>
      <c r="E1126" s="350" t="str">
        <f>VLOOKUP(D1126,'Danh mục hàng hóa'!$C$3:$D$643,2,0)</f>
        <v>Kẹp tóc hoa sứ vàng</v>
      </c>
      <c r="F1126" s="351" t="str">
        <f>VLOOKUP(D1126,'Danh mục hàng hóa'!$C$3:$E$656,3,0)</f>
        <v>cái</v>
      </c>
      <c r="G1126" s="352">
        <v>16210</v>
      </c>
      <c r="H1126" s="353"/>
      <c r="I1126" s="354">
        <v>1</v>
      </c>
      <c r="J1126" s="355"/>
      <c r="K1126" s="356">
        <f t="shared" si="99"/>
        <v>16210</v>
      </c>
      <c r="L1126" s="37"/>
      <c r="M1126" s="421">
        <v>32420</v>
      </c>
    </row>
    <row r="1127" spans="1:13" ht="13.2">
      <c r="A1127" s="227"/>
      <c r="B1127" s="30"/>
      <c r="C1127" s="372"/>
      <c r="D1127" s="35" t="s">
        <v>734</v>
      </c>
      <c r="E1127" s="350" t="str">
        <f>VLOOKUP(D1127,'Danh mục hàng hóa'!$C$3:$D$643,2,0)</f>
        <v>Kẹp tóc hoa sứ hồng</v>
      </c>
      <c r="F1127" s="351" t="str">
        <f>VLOOKUP(D1127,'Danh mục hàng hóa'!$C$3:$E$656,3,0)</f>
        <v>cái</v>
      </c>
      <c r="G1127" s="352">
        <v>16210</v>
      </c>
      <c r="H1127" s="353"/>
      <c r="I1127" s="354">
        <v>1</v>
      </c>
      <c r="J1127" s="355"/>
      <c r="K1127" s="356">
        <f t="shared" si="99"/>
        <v>16210</v>
      </c>
      <c r="L1127" s="37"/>
      <c r="M1127" s="373"/>
    </row>
    <row r="1128" spans="1:13" ht="13.2">
      <c r="A1128" s="227"/>
      <c r="B1128" s="30"/>
      <c r="C1128" s="372"/>
      <c r="D1128" s="35" t="s">
        <v>736</v>
      </c>
      <c r="E1128" s="350" t="str">
        <f>VLOOKUP(D1128,'Danh mục hàng hóa'!$C$3:$D$643,2,0)</f>
        <v>Kẹp tóc hoa sứ vàng</v>
      </c>
      <c r="F1128" s="351" t="str">
        <f>VLOOKUP(D1128,'Danh mục hàng hóa'!$C$3:$E$656,3,0)</f>
        <v>cái</v>
      </c>
      <c r="G1128" s="352">
        <v>16200</v>
      </c>
      <c r="H1128" s="353"/>
      <c r="I1128" s="354">
        <v>1</v>
      </c>
      <c r="J1128" s="355"/>
      <c r="K1128" s="356">
        <f t="shared" si="99"/>
        <v>16200</v>
      </c>
      <c r="L1128" s="37"/>
      <c r="M1128" s="421">
        <v>32400</v>
      </c>
    </row>
    <row r="1129" spans="1:13" ht="13.2">
      <c r="A1129" s="227"/>
      <c r="B1129" s="30"/>
      <c r="C1129" s="372"/>
      <c r="D1129" s="35" t="s">
        <v>742</v>
      </c>
      <c r="E1129" s="350" t="str">
        <f>VLOOKUP(D1129,'Danh mục hàng hóa'!$C$3:$D$643,2,0)</f>
        <v>Kẹp tóc hoa sứ xanh</v>
      </c>
      <c r="F1129" s="351" t="str">
        <f>VLOOKUP(D1129,'Danh mục hàng hóa'!$C$3:$E$656,3,0)</f>
        <v>cái</v>
      </c>
      <c r="G1129" s="352">
        <v>16200</v>
      </c>
      <c r="H1129" s="353"/>
      <c r="I1129" s="354">
        <v>1</v>
      </c>
      <c r="J1129" s="355"/>
      <c r="K1129" s="356">
        <f t="shared" si="99"/>
        <v>16200</v>
      </c>
      <c r="L1129" s="37"/>
      <c r="M1129" s="373"/>
    </row>
    <row r="1130" spans="1:13" ht="13.2">
      <c r="A1130" s="227"/>
      <c r="B1130" s="30"/>
      <c r="C1130" s="372"/>
      <c r="D1130" s="35" t="s">
        <v>1070</v>
      </c>
      <c r="E1130" s="350" t="str">
        <f>VLOOKUP(D1130,'Danh mục hàng hóa'!$C$3:$D$643,2,0)</f>
        <v>Vớ trắng mỏng gấu</v>
      </c>
      <c r="F1130" s="351" t="str">
        <f>VLOOKUP(D1130,'Danh mục hàng hóa'!$C$3:$E$656,3,0)</f>
        <v>đôi</v>
      </c>
      <c r="G1130" s="352">
        <v>9900</v>
      </c>
      <c r="H1130" s="353"/>
      <c r="I1130" s="354">
        <v>1</v>
      </c>
      <c r="J1130" s="355"/>
      <c r="K1130" s="356">
        <f t="shared" si="99"/>
        <v>9900</v>
      </c>
      <c r="L1130" s="37"/>
      <c r="M1130" s="421">
        <v>48233</v>
      </c>
    </row>
    <row r="1131" spans="1:13" ht="13.2">
      <c r="A1131" s="227"/>
      <c r="B1131" s="30"/>
      <c r="C1131" s="372"/>
      <c r="D1131" s="35" t="s">
        <v>744</v>
      </c>
      <c r="E1131" s="350" t="str">
        <f>VLOOKUP(D1131,'Danh mục hàng hóa'!$C$3:$D$643,2,0)</f>
        <v>Kẹp tóc hoa sứ đỏ hồng đậm</v>
      </c>
      <c r="F1131" s="351" t="str">
        <f>VLOOKUP(D1131,'Danh mục hàng hóa'!$C$3:$E$656,3,0)</f>
        <v>cái</v>
      </c>
      <c r="G1131" s="352">
        <v>18500</v>
      </c>
      <c r="H1131" s="353"/>
      <c r="I1131" s="354">
        <v>1</v>
      </c>
      <c r="J1131" s="355"/>
      <c r="K1131" s="356">
        <f t="shared" si="99"/>
        <v>18500</v>
      </c>
      <c r="L1131" s="37"/>
      <c r="M1131" s="372"/>
    </row>
    <row r="1132" spans="1:13" ht="13.2">
      <c r="A1132" s="227"/>
      <c r="B1132" s="30"/>
      <c r="C1132" s="372"/>
      <c r="D1132" s="35" t="s">
        <v>742</v>
      </c>
      <c r="E1132" s="350" t="str">
        <f>VLOOKUP(D1132,'Danh mục hàng hóa'!$C$3:$D$643,2,0)</f>
        <v>Kẹp tóc hoa sứ xanh</v>
      </c>
      <c r="F1132" s="351" t="str">
        <f>VLOOKUP(D1132,'Danh mục hàng hóa'!$C$3:$E$656,3,0)</f>
        <v>cái</v>
      </c>
      <c r="G1132" s="352">
        <v>18500</v>
      </c>
      <c r="H1132" s="353"/>
      <c r="I1132" s="354">
        <v>1</v>
      </c>
      <c r="J1132" s="355"/>
      <c r="K1132" s="356">
        <f t="shared" si="99"/>
        <v>18500</v>
      </c>
      <c r="L1132" s="37"/>
      <c r="M1132" s="372"/>
    </row>
    <row r="1133" spans="1:13" ht="13.2">
      <c r="A1133" s="227"/>
      <c r="B1133" s="30"/>
      <c r="C1133" s="372"/>
      <c r="D1133" s="35" t="s">
        <v>691</v>
      </c>
      <c r="E1133" s="350" t="str">
        <f>VLOOKUP(D1133,'Danh mục hàng hóa'!$C$3:$D$643,2,0)</f>
        <v>Buộc tóc vải xốp nâu</v>
      </c>
      <c r="F1133" s="351" t="str">
        <f>VLOOKUP(D1133,'Danh mục hàng hóa'!$C$3:$E$656,3,0)</f>
        <v>cái</v>
      </c>
      <c r="G1133" s="352">
        <v>14000</v>
      </c>
      <c r="H1133" s="353"/>
      <c r="I1133" s="354">
        <v>1</v>
      </c>
      <c r="J1133" s="355"/>
      <c r="K1133" s="356">
        <f t="shared" si="99"/>
        <v>14000</v>
      </c>
      <c r="L1133" s="37"/>
      <c r="M1133" s="373"/>
    </row>
    <row r="1134" spans="1:13" ht="13.2">
      <c r="A1134" s="227"/>
      <c r="B1134" s="30"/>
      <c r="C1134" s="372"/>
      <c r="D1134" s="35" t="s">
        <v>742</v>
      </c>
      <c r="E1134" s="350" t="str">
        <f>VLOOKUP(D1134,'Danh mục hàng hóa'!$C$3:$D$643,2,0)</f>
        <v>Kẹp tóc hoa sứ xanh</v>
      </c>
      <c r="F1134" s="351" t="str">
        <f>VLOOKUP(D1134,'Danh mục hàng hóa'!$C$3:$E$656,3,0)</f>
        <v>cái</v>
      </c>
      <c r="G1134" s="352">
        <v>16630</v>
      </c>
      <c r="H1134" s="353"/>
      <c r="I1134" s="354">
        <v>1</v>
      </c>
      <c r="J1134" s="355"/>
      <c r="K1134" s="356">
        <f t="shared" si="99"/>
        <v>16630</v>
      </c>
      <c r="L1134" s="37"/>
      <c r="M1134" s="421">
        <v>33260</v>
      </c>
    </row>
    <row r="1135" spans="1:13" ht="13.2">
      <c r="A1135" s="227"/>
      <c r="B1135" s="30"/>
      <c r="C1135" s="372"/>
      <c r="D1135" s="35" t="s">
        <v>750</v>
      </c>
      <c r="E1135" s="350" t="str">
        <f>VLOOKUP(D1135,'Danh mục hàng hóa'!$C$3:$D$643,2,0)</f>
        <v>Kẹp tóc hoa năm cánh cam</v>
      </c>
      <c r="F1135" s="351" t="str">
        <f>VLOOKUP(D1135,'Danh mục hàng hóa'!$C$3:$E$656,3,0)</f>
        <v>cái</v>
      </c>
      <c r="G1135" s="352">
        <v>16630</v>
      </c>
      <c r="H1135" s="353"/>
      <c r="I1135" s="354">
        <v>1</v>
      </c>
      <c r="J1135" s="355"/>
      <c r="K1135" s="356">
        <f t="shared" si="99"/>
        <v>16630</v>
      </c>
      <c r="L1135" s="37"/>
      <c r="M1135" s="373"/>
    </row>
    <row r="1136" spans="1:13" ht="13.2">
      <c r="A1136" s="227"/>
      <c r="B1136" s="30"/>
      <c r="C1136" s="372"/>
      <c r="D1136" s="35" t="s">
        <v>732</v>
      </c>
      <c r="E1136" s="350" t="str">
        <f>VLOOKUP(D1136,'Danh mục hàng hóa'!$C$3:$D$643,2,0)</f>
        <v>Kẹp tóc hoa sứ tím</v>
      </c>
      <c r="F1136" s="351" t="str">
        <f>VLOOKUP(D1136,'Danh mục hàng hóa'!$C$3:$E$656,3,0)</f>
        <v>cái</v>
      </c>
      <c r="G1136" s="352">
        <v>16220</v>
      </c>
      <c r="H1136" s="353"/>
      <c r="I1136" s="354">
        <v>1</v>
      </c>
      <c r="J1136" s="355"/>
      <c r="K1136" s="356">
        <f t="shared" si="99"/>
        <v>16220</v>
      </c>
      <c r="L1136" s="37"/>
      <c r="M1136" s="158">
        <v>16220</v>
      </c>
    </row>
    <row r="1137" spans="1:13" ht="13.2">
      <c r="A1137" s="227"/>
      <c r="B1137" s="30"/>
      <c r="C1137" s="372"/>
      <c r="D1137" s="35" t="s">
        <v>734</v>
      </c>
      <c r="E1137" s="350" t="str">
        <f>VLOOKUP(D1137,'Danh mục hàng hóa'!$C$3:$D$643,2,0)</f>
        <v>Kẹp tóc hoa sứ hồng</v>
      </c>
      <c r="F1137" s="351" t="str">
        <f>VLOOKUP(D1137,'Danh mục hàng hóa'!$C$3:$E$656,3,0)</f>
        <v>cái</v>
      </c>
      <c r="G1137" s="352">
        <v>16210</v>
      </c>
      <c r="H1137" s="353"/>
      <c r="I1137" s="354">
        <v>1</v>
      </c>
      <c r="J1137" s="355"/>
      <c r="K1137" s="356">
        <f t="shared" si="99"/>
        <v>16210</v>
      </c>
      <c r="L1137" s="37"/>
      <c r="M1137" s="421">
        <v>32420</v>
      </c>
    </row>
    <row r="1138" spans="1:13" ht="13.2">
      <c r="A1138" s="227"/>
      <c r="B1138" s="30"/>
      <c r="C1138" s="372"/>
      <c r="D1138" s="35" t="s">
        <v>742</v>
      </c>
      <c r="E1138" s="350" t="str">
        <f>VLOOKUP(D1138,'Danh mục hàng hóa'!$C$3:$D$643,2,0)</f>
        <v>Kẹp tóc hoa sứ xanh</v>
      </c>
      <c r="F1138" s="351" t="str">
        <f>VLOOKUP(D1138,'Danh mục hàng hóa'!$C$3:$E$656,3,0)</f>
        <v>cái</v>
      </c>
      <c r="G1138" s="352">
        <v>16210</v>
      </c>
      <c r="H1138" s="353"/>
      <c r="I1138" s="354">
        <v>1</v>
      </c>
      <c r="J1138" s="355"/>
      <c r="K1138" s="356">
        <f t="shared" si="99"/>
        <v>16210</v>
      </c>
      <c r="L1138" s="37"/>
      <c r="M1138" s="373"/>
    </row>
    <row r="1139" spans="1:13" ht="13.2">
      <c r="A1139" s="227"/>
      <c r="B1139" s="30"/>
      <c r="C1139" s="372"/>
      <c r="D1139" s="35" t="s">
        <v>736</v>
      </c>
      <c r="E1139" s="350" t="str">
        <f>VLOOKUP(D1139,'Danh mục hàng hóa'!$C$3:$D$643,2,0)</f>
        <v>Kẹp tóc hoa sứ vàng</v>
      </c>
      <c r="F1139" s="351" t="str">
        <f>VLOOKUP(D1139,'Danh mục hàng hóa'!$C$3:$E$656,3,0)</f>
        <v>cái</v>
      </c>
      <c r="G1139" s="352">
        <v>18500</v>
      </c>
      <c r="H1139" s="353"/>
      <c r="I1139" s="354">
        <v>1</v>
      </c>
      <c r="J1139" s="355"/>
      <c r="K1139" s="356">
        <f t="shared" si="99"/>
        <v>18500</v>
      </c>
      <c r="L1139" s="37"/>
      <c r="M1139" s="421">
        <v>51420</v>
      </c>
    </row>
    <row r="1140" spans="1:13" ht="13.2">
      <c r="A1140" s="227"/>
      <c r="B1140" s="30"/>
      <c r="C1140" s="372"/>
      <c r="D1140" s="35" t="s">
        <v>734</v>
      </c>
      <c r="E1140" s="350" t="str">
        <f>VLOOKUP(D1140,'Danh mục hàng hóa'!$C$3:$D$643,2,0)</f>
        <v>Kẹp tóc hoa sứ hồng</v>
      </c>
      <c r="F1140" s="351" t="str">
        <f>VLOOKUP(D1140,'Danh mục hàng hóa'!$C$3:$E$656,3,0)</f>
        <v>cái</v>
      </c>
      <c r="G1140" s="352">
        <v>18500</v>
      </c>
      <c r="H1140" s="353"/>
      <c r="I1140" s="354">
        <v>1</v>
      </c>
      <c r="J1140" s="355"/>
      <c r="K1140" s="356">
        <f t="shared" si="99"/>
        <v>18500</v>
      </c>
      <c r="L1140" s="37"/>
      <c r="M1140" s="372"/>
    </row>
    <row r="1141" spans="1:13" ht="13.2">
      <c r="A1141" s="227"/>
      <c r="B1141" s="30"/>
      <c r="C1141" s="372"/>
      <c r="D1141" s="35" t="s">
        <v>693</v>
      </c>
      <c r="E1141" s="350" t="str">
        <f>VLOOKUP(D1141,'Danh mục hàng hóa'!$C$3:$D$643,2,0)</f>
        <v>Buộc tóc vải xốp đen</v>
      </c>
      <c r="F1141" s="351" t="str">
        <f>VLOOKUP(D1141,'Danh mục hàng hóa'!$C$3:$E$656,3,0)</f>
        <v>cái</v>
      </c>
      <c r="G1141" s="352">
        <v>14000</v>
      </c>
      <c r="H1141" s="353"/>
      <c r="I1141" s="354">
        <v>1</v>
      </c>
      <c r="J1141" s="355"/>
      <c r="K1141" s="356">
        <f t="shared" si="99"/>
        <v>14000</v>
      </c>
      <c r="L1141" s="37"/>
      <c r="M1141" s="372"/>
    </row>
    <row r="1142" spans="1:13" ht="13.2">
      <c r="A1142" s="227"/>
      <c r="B1142" s="30"/>
      <c r="C1142" s="372"/>
      <c r="D1142" s="35" t="s">
        <v>675</v>
      </c>
      <c r="E1142" s="350" t="str">
        <f>VLOOKUP(D1142,'Danh mục hàng hóa'!$C$3:$D$643,2,0)</f>
        <v>Buộc tóc vải xốp trắng</v>
      </c>
      <c r="F1142" s="351" t="str">
        <f>VLOOKUP(D1142,'Danh mục hàng hóa'!$C$3:$E$656,3,0)</f>
        <v>cái</v>
      </c>
      <c r="G1142" s="352">
        <v>14000</v>
      </c>
      <c r="H1142" s="353"/>
      <c r="I1142" s="354">
        <v>1</v>
      </c>
      <c r="J1142" s="355"/>
      <c r="K1142" s="356">
        <f t="shared" si="99"/>
        <v>14000</v>
      </c>
      <c r="L1142" s="37"/>
      <c r="M1142" s="373"/>
    </row>
    <row r="1143" spans="1:13" ht="13.2">
      <c r="A1143" s="227"/>
      <c r="B1143" s="30"/>
      <c r="C1143" s="372"/>
      <c r="D1143" s="28" t="s">
        <v>734</v>
      </c>
      <c r="E1143" s="350" t="str">
        <f>VLOOKUP(D1143,'Danh mục hàng hóa'!$C$3:$D$643,2,0)</f>
        <v>Kẹp tóc hoa sứ hồng</v>
      </c>
      <c r="F1143" s="351" t="str">
        <f>VLOOKUP(D1143,'Danh mục hàng hóa'!$C$3:$E$656,3,0)</f>
        <v>cái</v>
      </c>
      <c r="G1143" s="352">
        <v>16220</v>
      </c>
      <c r="H1143" s="353"/>
      <c r="I1143" s="354">
        <v>1</v>
      </c>
      <c r="J1143" s="355"/>
      <c r="K1143" s="356">
        <f t="shared" si="99"/>
        <v>16220</v>
      </c>
      <c r="L1143" s="30"/>
      <c r="M1143" s="100">
        <v>16220</v>
      </c>
    </row>
    <row r="1144" spans="1:13" ht="13.2">
      <c r="A1144" s="227"/>
      <c r="B1144" s="30"/>
      <c r="C1144" s="372"/>
      <c r="D1144" s="28" t="s">
        <v>736</v>
      </c>
      <c r="E1144" s="350" t="str">
        <f>VLOOKUP(D1144,'Danh mục hàng hóa'!$C$3:$D$643,2,0)</f>
        <v>Kẹp tóc hoa sứ vàng</v>
      </c>
      <c r="F1144" s="351" t="str">
        <f>VLOOKUP(D1144,'Danh mục hàng hóa'!$C$3:$E$656,3,0)</f>
        <v>cái</v>
      </c>
      <c r="G1144" s="352">
        <v>16250</v>
      </c>
      <c r="H1144" s="353"/>
      <c r="I1144" s="354">
        <v>1</v>
      </c>
      <c r="J1144" s="355"/>
      <c r="K1144" s="356">
        <f t="shared" si="99"/>
        <v>16250</v>
      </c>
      <c r="L1144" s="30"/>
      <c r="M1144" s="422">
        <v>32500</v>
      </c>
    </row>
    <row r="1145" spans="1:13" ht="13.2">
      <c r="A1145" s="227"/>
      <c r="B1145" s="30"/>
      <c r="C1145" s="372"/>
      <c r="D1145" s="28" t="s">
        <v>742</v>
      </c>
      <c r="E1145" s="350" t="str">
        <f>VLOOKUP(D1145,'Danh mục hàng hóa'!$C$3:$D$643,2,0)</f>
        <v>Kẹp tóc hoa sứ xanh</v>
      </c>
      <c r="F1145" s="351" t="str">
        <f>VLOOKUP(D1145,'Danh mục hàng hóa'!$C$3:$E$656,3,0)</f>
        <v>cái</v>
      </c>
      <c r="G1145" s="352">
        <v>16250</v>
      </c>
      <c r="H1145" s="353"/>
      <c r="I1145" s="354">
        <v>1</v>
      </c>
      <c r="J1145" s="355"/>
      <c r="K1145" s="356">
        <f t="shared" si="99"/>
        <v>16250</v>
      </c>
      <c r="L1145" s="30"/>
      <c r="M1145" s="373"/>
    </row>
    <row r="1146" spans="1:13" ht="13.2">
      <c r="A1146" s="227"/>
      <c r="B1146" s="30"/>
      <c r="C1146" s="372"/>
      <c r="D1146" s="28" t="s">
        <v>744</v>
      </c>
      <c r="E1146" s="350" t="str">
        <f>VLOOKUP(D1146,'Danh mục hàng hóa'!$C$3:$D$643,2,0)</f>
        <v>Kẹp tóc hoa sứ đỏ hồng đậm</v>
      </c>
      <c r="F1146" s="351" t="str">
        <f>VLOOKUP(D1146,'Danh mục hàng hóa'!$C$3:$E$656,3,0)</f>
        <v>cái</v>
      </c>
      <c r="G1146" s="352">
        <v>12000</v>
      </c>
      <c r="H1146" s="353"/>
      <c r="I1146" s="354">
        <v>1</v>
      </c>
      <c r="J1146" s="355"/>
      <c r="K1146" s="356">
        <f t="shared" si="99"/>
        <v>12000</v>
      </c>
      <c r="L1146" s="30"/>
      <c r="M1146" s="422">
        <v>36000</v>
      </c>
    </row>
    <row r="1147" spans="1:13" ht="13.2">
      <c r="A1147" s="227"/>
      <c r="B1147" s="30"/>
      <c r="C1147" s="372"/>
      <c r="D1147" s="28" t="s">
        <v>740</v>
      </c>
      <c r="E1147" s="350" t="str">
        <f>VLOOKUP(D1147,'Danh mục hàng hóa'!$C$3:$D$643,2,0)</f>
        <v>Kẹp tóc hoa sứ đỏ</v>
      </c>
      <c r="F1147" s="351" t="str">
        <f>VLOOKUP(D1147,'Danh mục hàng hóa'!$C$3:$E$656,3,0)</f>
        <v>cái</v>
      </c>
      <c r="G1147" s="352">
        <v>12000</v>
      </c>
      <c r="H1147" s="353"/>
      <c r="I1147" s="354">
        <v>2</v>
      </c>
      <c r="J1147" s="355"/>
      <c r="K1147" s="356">
        <f t="shared" si="99"/>
        <v>24000</v>
      </c>
      <c r="L1147" s="30"/>
      <c r="M1147" s="373"/>
    </row>
    <row r="1148" spans="1:13" ht="13.2">
      <c r="A1148" s="227"/>
      <c r="B1148" s="30"/>
      <c r="C1148" s="372"/>
      <c r="D1148" s="28" t="s">
        <v>734</v>
      </c>
      <c r="E1148" s="350" t="str">
        <f>VLOOKUP(D1148,'Danh mục hàng hóa'!$C$3:$D$643,2,0)</f>
        <v>Kẹp tóc hoa sứ hồng</v>
      </c>
      <c r="F1148" s="351" t="str">
        <f>VLOOKUP(D1148,'Danh mục hàng hóa'!$C$3:$E$656,3,0)</f>
        <v>cái</v>
      </c>
      <c r="G1148" s="352">
        <v>15000</v>
      </c>
      <c r="H1148" s="353"/>
      <c r="I1148" s="354">
        <v>1</v>
      </c>
      <c r="J1148" s="355"/>
      <c r="K1148" s="356">
        <f t="shared" si="99"/>
        <v>15000</v>
      </c>
      <c r="L1148" s="30"/>
      <c r="M1148" s="422">
        <v>30000</v>
      </c>
    </row>
    <row r="1149" spans="1:13" ht="13.2">
      <c r="A1149" s="227"/>
      <c r="B1149" s="30"/>
      <c r="C1149" s="372"/>
      <c r="D1149" s="28" t="s">
        <v>736</v>
      </c>
      <c r="E1149" s="350" t="str">
        <f>VLOOKUP(D1149,'Danh mục hàng hóa'!$C$3:$D$643,2,0)</f>
        <v>Kẹp tóc hoa sứ vàng</v>
      </c>
      <c r="F1149" s="351" t="str">
        <f>VLOOKUP(D1149,'Danh mục hàng hóa'!$C$3:$E$656,3,0)</f>
        <v>cái</v>
      </c>
      <c r="G1149" s="352">
        <v>15000</v>
      </c>
      <c r="H1149" s="353"/>
      <c r="I1149" s="354">
        <v>1</v>
      </c>
      <c r="J1149" s="355"/>
      <c r="K1149" s="356">
        <f t="shared" si="99"/>
        <v>15000</v>
      </c>
      <c r="L1149" s="30"/>
      <c r="M1149" s="373"/>
    </row>
    <row r="1150" spans="1:13" ht="13.2">
      <c r="A1150" s="227"/>
      <c r="B1150" s="30"/>
      <c r="C1150" s="372"/>
      <c r="D1150" s="28" t="s">
        <v>744</v>
      </c>
      <c r="E1150" s="350" t="str">
        <f>VLOOKUP(D1150,'Danh mục hàng hóa'!$C$3:$D$643,2,0)</f>
        <v>Kẹp tóc hoa sứ đỏ hồng đậm</v>
      </c>
      <c r="F1150" s="351" t="str">
        <f>VLOOKUP(D1150,'Danh mục hàng hóa'!$C$3:$E$656,3,0)</f>
        <v>cái</v>
      </c>
      <c r="G1150" s="352">
        <v>14599</v>
      </c>
      <c r="H1150" s="353"/>
      <c r="I1150" s="354">
        <v>1</v>
      </c>
      <c r="J1150" s="355"/>
      <c r="K1150" s="356">
        <f t="shared" si="99"/>
        <v>14599</v>
      </c>
      <c r="L1150" s="30"/>
      <c r="M1150" s="422">
        <v>43796</v>
      </c>
    </row>
    <row r="1151" spans="1:13" ht="13.2">
      <c r="A1151" s="227"/>
      <c r="B1151" s="30"/>
      <c r="C1151" s="372"/>
      <c r="D1151" s="28" t="s">
        <v>742</v>
      </c>
      <c r="E1151" s="350" t="str">
        <f>VLOOKUP(D1151,'Danh mục hàng hóa'!$C$3:$D$643,2,0)</f>
        <v>Kẹp tóc hoa sứ xanh</v>
      </c>
      <c r="F1151" s="351" t="str">
        <f>VLOOKUP(D1151,'Danh mục hàng hóa'!$C$3:$E$656,3,0)</f>
        <v>cái</v>
      </c>
      <c r="G1151" s="352">
        <v>14599</v>
      </c>
      <c r="H1151" s="353"/>
      <c r="I1151" s="354">
        <v>1</v>
      </c>
      <c r="J1151" s="355"/>
      <c r="K1151" s="356">
        <f t="shared" si="99"/>
        <v>14599</v>
      </c>
      <c r="L1151" s="30"/>
      <c r="M1151" s="372"/>
    </row>
    <row r="1152" spans="1:13" ht="13.2">
      <c r="A1152" s="227"/>
      <c r="B1152" s="30"/>
      <c r="C1152" s="372"/>
      <c r="D1152" s="28" t="s">
        <v>734</v>
      </c>
      <c r="E1152" s="350" t="str">
        <f>VLOOKUP(D1152,'Danh mục hàng hóa'!$C$3:$D$643,2,0)</f>
        <v>Kẹp tóc hoa sứ hồng</v>
      </c>
      <c r="F1152" s="351" t="str">
        <f>VLOOKUP(D1152,'Danh mục hàng hóa'!$C$3:$E$656,3,0)</f>
        <v>cái</v>
      </c>
      <c r="G1152" s="352">
        <v>14599</v>
      </c>
      <c r="H1152" s="353"/>
      <c r="I1152" s="354">
        <v>1</v>
      </c>
      <c r="J1152" s="355"/>
      <c r="K1152" s="356">
        <f t="shared" si="99"/>
        <v>14599</v>
      </c>
      <c r="L1152" s="30"/>
      <c r="M1152" s="373"/>
    </row>
    <row r="1153" spans="1:13" ht="13.2">
      <c r="A1153" s="227"/>
      <c r="B1153" s="30"/>
      <c r="C1153" s="372"/>
      <c r="D1153" s="28" t="s">
        <v>742</v>
      </c>
      <c r="E1153" s="350" t="str">
        <f>VLOOKUP(D1153,'Danh mục hàng hóa'!$C$3:$D$643,2,0)</f>
        <v>Kẹp tóc hoa sứ xanh</v>
      </c>
      <c r="F1153" s="351" t="str">
        <f>VLOOKUP(D1153,'Danh mục hàng hóa'!$C$3:$E$656,3,0)</f>
        <v>cái</v>
      </c>
      <c r="G1153" s="352">
        <v>16280</v>
      </c>
      <c r="H1153" s="353"/>
      <c r="I1153" s="354">
        <v>1</v>
      </c>
      <c r="J1153" s="355"/>
      <c r="K1153" s="356">
        <f t="shared" si="99"/>
        <v>16280</v>
      </c>
      <c r="L1153" s="30"/>
      <c r="M1153" s="100">
        <v>16280</v>
      </c>
    </row>
    <row r="1154" spans="1:13" ht="13.2">
      <c r="A1154" s="227"/>
      <c r="B1154" s="30"/>
      <c r="C1154" s="372"/>
      <c r="D1154" s="28" t="s">
        <v>758</v>
      </c>
      <c r="E1154" s="350" t="str">
        <f>VLOOKUP(D1154,'Danh mục hàng hóa'!$C$3:$D$643,2,0)</f>
        <v>Kẹp tóc hoa năm cánh tím</v>
      </c>
      <c r="F1154" s="351" t="str">
        <f>VLOOKUP(D1154,'Danh mục hàng hóa'!$C$3:$E$656,3,0)</f>
        <v>cái</v>
      </c>
      <c r="G1154" s="352">
        <v>14500</v>
      </c>
      <c r="H1154" s="353"/>
      <c r="I1154" s="354">
        <v>1</v>
      </c>
      <c r="J1154" s="355"/>
      <c r="K1154" s="356">
        <f t="shared" si="99"/>
        <v>14500</v>
      </c>
      <c r="L1154" s="30"/>
      <c r="M1154" s="422">
        <v>28680</v>
      </c>
    </row>
    <row r="1155" spans="1:13" ht="13.2">
      <c r="A1155" s="227"/>
      <c r="B1155" s="30"/>
      <c r="C1155" s="372"/>
      <c r="D1155" s="28" t="s">
        <v>742</v>
      </c>
      <c r="E1155" s="350" t="str">
        <f>VLOOKUP(D1155,'Danh mục hàng hóa'!$C$3:$D$643,2,0)</f>
        <v>Kẹp tóc hoa sứ xanh</v>
      </c>
      <c r="F1155" s="351" t="str">
        <f>VLOOKUP(D1155,'Danh mục hàng hóa'!$C$3:$E$656,3,0)</f>
        <v>cái</v>
      </c>
      <c r="G1155" s="352">
        <v>18500</v>
      </c>
      <c r="H1155" s="353"/>
      <c r="I1155" s="354">
        <v>1</v>
      </c>
      <c r="J1155" s="355"/>
      <c r="K1155" s="356">
        <f t="shared" si="99"/>
        <v>18500</v>
      </c>
      <c r="L1155" s="30"/>
      <c r="M1155" s="373"/>
    </row>
    <row r="1156" spans="1:13" ht="13.2">
      <c r="A1156" s="227"/>
      <c r="B1156" s="30"/>
      <c r="C1156" s="372"/>
      <c r="D1156" s="28" t="s">
        <v>736</v>
      </c>
      <c r="E1156" s="350" t="str">
        <f>VLOOKUP(D1156,'Danh mục hàng hóa'!$C$3:$D$643,2,0)</f>
        <v>Kẹp tóc hoa sứ vàng</v>
      </c>
      <c r="F1156" s="351" t="str">
        <f>VLOOKUP(D1156,'Danh mục hàng hóa'!$C$3:$E$656,3,0)</f>
        <v>cái</v>
      </c>
      <c r="G1156" s="357">
        <v>18500</v>
      </c>
      <c r="H1156" s="353"/>
      <c r="I1156" s="354">
        <v>1</v>
      </c>
      <c r="J1156" s="355"/>
      <c r="K1156" s="356">
        <f t="shared" si="99"/>
        <v>18500</v>
      </c>
      <c r="L1156" s="30"/>
      <c r="M1156" s="422">
        <v>43896</v>
      </c>
    </row>
    <row r="1157" spans="1:13" ht="13.2">
      <c r="A1157" s="227"/>
      <c r="B1157" s="30"/>
      <c r="C1157" s="372"/>
      <c r="D1157" s="28" t="s">
        <v>734</v>
      </c>
      <c r="E1157" s="350" t="str">
        <f>VLOOKUP(D1157,'Danh mục hàng hóa'!$C$3:$D$643,2,0)</f>
        <v>Kẹp tóc hoa sứ hồng</v>
      </c>
      <c r="F1157" s="351" t="str">
        <f>VLOOKUP(D1157,'Danh mục hàng hóa'!$C$3:$E$656,3,0)</f>
        <v>cái</v>
      </c>
      <c r="G1157" s="352">
        <v>18500</v>
      </c>
      <c r="H1157" s="353"/>
      <c r="I1157" s="354">
        <v>1</v>
      </c>
      <c r="J1157" s="355"/>
      <c r="K1157" s="356">
        <f t="shared" si="99"/>
        <v>18500</v>
      </c>
      <c r="L1157" s="30"/>
      <c r="M1157" s="372"/>
    </row>
    <row r="1158" spans="1:13" ht="13.2">
      <c r="A1158" s="227"/>
      <c r="B1158" s="30"/>
      <c r="C1158" s="372"/>
      <c r="D1158" s="28" t="s">
        <v>742</v>
      </c>
      <c r="E1158" s="350" t="str">
        <f>VLOOKUP(D1158,'Danh mục hàng hóa'!$C$3:$D$643,2,0)</f>
        <v>Kẹp tóc hoa sứ xanh</v>
      </c>
      <c r="F1158" s="351" t="str">
        <f>VLOOKUP(D1158,'Danh mục hàng hóa'!$C$3:$E$656,3,0)</f>
        <v>cái</v>
      </c>
      <c r="G1158" s="352">
        <v>18500</v>
      </c>
      <c r="H1158" s="353"/>
      <c r="I1158" s="354">
        <v>1</v>
      </c>
      <c r="J1158" s="355"/>
      <c r="K1158" s="356">
        <f t="shared" si="99"/>
        <v>18500</v>
      </c>
      <c r="L1158" s="30"/>
      <c r="M1158" s="373"/>
    </row>
    <row r="1159" spans="1:13" ht="13.2">
      <c r="A1159" s="227"/>
      <c r="B1159" s="30"/>
      <c r="C1159" s="372"/>
      <c r="D1159" s="28" t="s">
        <v>758</v>
      </c>
      <c r="E1159" s="350" t="str">
        <f>VLOOKUP(D1159,'Danh mục hàng hóa'!$C$3:$D$643,2,0)</f>
        <v>Kẹp tóc hoa năm cánh tím</v>
      </c>
      <c r="F1159" s="351" t="str">
        <f>VLOOKUP(D1159,'Danh mục hàng hóa'!$C$3:$E$656,3,0)</f>
        <v>cái</v>
      </c>
      <c r="G1159" s="352">
        <v>14500</v>
      </c>
      <c r="H1159" s="353"/>
      <c r="I1159" s="354">
        <v>1</v>
      </c>
      <c r="J1159" s="355"/>
      <c r="K1159" s="356">
        <f t="shared" si="99"/>
        <v>14500</v>
      </c>
      <c r="L1159" s="30"/>
      <c r="M1159" s="100">
        <v>12440</v>
      </c>
    </row>
    <row r="1160" spans="1:13" ht="13.2">
      <c r="A1160" s="227"/>
      <c r="B1160" s="30"/>
      <c r="C1160" s="372"/>
      <c r="D1160" s="28" t="s">
        <v>736</v>
      </c>
      <c r="E1160" s="350" t="str">
        <f>VLOOKUP(D1160,'Danh mục hàng hóa'!$C$3:$D$643,2,0)</f>
        <v>Kẹp tóc hoa sứ vàng</v>
      </c>
      <c r="F1160" s="351" t="str">
        <f>VLOOKUP(D1160,'Danh mục hàng hóa'!$C$3:$E$656,3,0)</f>
        <v>cái</v>
      </c>
      <c r="G1160" s="352">
        <v>18500</v>
      </c>
      <c r="H1160" s="353"/>
      <c r="I1160" s="354">
        <v>1</v>
      </c>
      <c r="J1160" s="355"/>
      <c r="K1160" s="356">
        <f t="shared" si="99"/>
        <v>18500</v>
      </c>
      <c r="L1160" s="30"/>
      <c r="M1160" s="100">
        <v>15560</v>
      </c>
    </row>
    <row r="1161" spans="1:13" ht="13.2">
      <c r="A1161" s="227"/>
      <c r="B1161" s="30"/>
      <c r="C1161" s="372"/>
      <c r="D1161" s="28" t="s">
        <v>758</v>
      </c>
      <c r="E1161" s="350" t="str">
        <f>VLOOKUP(D1161,'Danh mục hàng hóa'!$C$3:$D$643,2,0)</f>
        <v>Kẹp tóc hoa năm cánh tím</v>
      </c>
      <c r="F1161" s="351" t="str">
        <f>VLOOKUP(D1161,'Danh mục hàng hóa'!$C$3:$E$656,3,0)</f>
        <v>cái</v>
      </c>
      <c r="G1161" s="352">
        <v>14500</v>
      </c>
      <c r="H1161" s="353"/>
      <c r="I1161" s="354">
        <v>1</v>
      </c>
      <c r="J1161" s="355"/>
      <c r="K1161" s="356">
        <f t="shared" si="99"/>
        <v>14500</v>
      </c>
      <c r="L1161" s="30"/>
      <c r="M1161" s="100">
        <v>12480</v>
      </c>
    </row>
    <row r="1162" spans="1:13" ht="13.2">
      <c r="A1162" s="227"/>
      <c r="B1162" s="30"/>
      <c r="C1162" s="372"/>
      <c r="D1162" s="28" t="s">
        <v>977</v>
      </c>
      <c r="E1162" s="350" t="str">
        <f>VLOOKUP(D1162,'Danh mục hàng hóa'!$C$3:$D$643,2,0)</f>
        <v>Móc khóa đôi heo</v>
      </c>
      <c r="F1162" s="351" t="str">
        <f>VLOOKUP(D1162,'Danh mục hàng hóa'!$C$3:$E$656,3,0)</f>
        <v>cái</v>
      </c>
      <c r="G1162" s="352">
        <v>61500</v>
      </c>
      <c r="H1162" s="353"/>
      <c r="I1162" s="354">
        <v>1</v>
      </c>
      <c r="J1162" s="355"/>
      <c r="K1162" s="356">
        <f t="shared" si="99"/>
        <v>61500</v>
      </c>
      <c r="L1162" s="30"/>
      <c r="M1162" s="100">
        <v>48188</v>
      </c>
    </row>
    <row r="1163" spans="1:13" ht="13.2">
      <c r="A1163" s="227"/>
      <c r="B1163" s="30"/>
      <c r="C1163" s="372"/>
      <c r="D1163" s="28" t="s">
        <v>734</v>
      </c>
      <c r="E1163" s="350" t="str">
        <f>VLOOKUP(D1163,'Danh mục hàng hóa'!$C$3:$D$643,2,0)</f>
        <v>Kẹp tóc hoa sứ hồng</v>
      </c>
      <c r="F1163" s="351" t="str">
        <f>VLOOKUP(D1163,'Danh mục hàng hóa'!$C$3:$E$656,3,0)</f>
        <v>cái</v>
      </c>
      <c r="G1163" s="352">
        <v>18500</v>
      </c>
      <c r="H1163" s="353"/>
      <c r="I1163" s="354">
        <v>1</v>
      </c>
      <c r="J1163" s="355"/>
      <c r="K1163" s="356">
        <f t="shared" si="99"/>
        <v>18500</v>
      </c>
      <c r="L1163" s="30"/>
      <c r="M1163" s="100">
        <v>16280</v>
      </c>
    </row>
    <row r="1164" spans="1:13" ht="13.2">
      <c r="A1164" s="227"/>
      <c r="B1164" s="30"/>
      <c r="C1164" s="372"/>
      <c r="D1164" s="28" t="s">
        <v>742</v>
      </c>
      <c r="E1164" s="350" t="str">
        <f>VLOOKUP(D1164,'Danh mục hàng hóa'!$C$3:$D$643,2,0)</f>
        <v>Kẹp tóc hoa sứ xanh</v>
      </c>
      <c r="F1164" s="351" t="str">
        <f>VLOOKUP(D1164,'Danh mục hàng hóa'!$C$3:$E$656,3,0)</f>
        <v>cái</v>
      </c>
      <c r="G1164" s="352">
        <v>18500</v>
      </c>
      <c r="H1164" s="353"/>
      <c r="I1164" s="354">
        <v>1</v>
      </c>
      <c r="J1164" s="355"/>
      <c r="K1164" s="356">
        <f t="shared" si="99"/>
        <v>18500</v>
      </c>
      <c r="L1164" s="30"/>
      <c r="M1164" s="100">
        <v>15760</v>
      </c>
    </row>
    <row r="1165" spans="1:13" ht="13.2">
      <c r="A1165" s="227"/>
      <c r="B1165" s="30"/>
      <c r="C1165" s="372"/>
      <c r="D1165" s="28" t="s">
        <v>701</v>
      </c>
      <c r="E1165" s="350" t="str">
        <f>VLOOKUP(D1165,'Danh mục hàng hóa'!$C$3:$D$643,2,0)</f>
        <v>Buộc tóc hồng len</v>
      </c>
      <c r="F1165" s="351" t="str">
        <f>VLOOKUP(D1165,'Danh mục hàng hóa'!$C$3:$E$656,3,0)</f>
        <v>cái</v>
      </c>
      <c r="G1165" s="352">
        <v>12000</v>
      </c>
      <c r="H1165" s="353"/>
      <c r="I1165" s="354">
        <v>1</v>
      </c>
      <c r="J1165" s="355"/>
      <c r="K1165" s="356">
        <f t="shared" si="99"/>
        <v>12000</v>
      </c>
      <c r="L1165" s="30"/>
      <c r="M1165" s="422">
        <v>48965</v>
      </c>
    </row>
    <row r="1166" spans="1:13" ht="13.2">
      <c r="A1166" s="227"/>
      <c r="B1166" s="30"/>
      <c r="C1166" s="372"/>
      <c r="D1166" s="28" t="s">
        <v>697</v>
      </c>
      <c r="E1166" s="350" t="str">
        <f>VLOOKUP(D1166,'Danh mục hàng hóa'!$C$3:$D$643,2,0)</f>
        <v>Buộc tóc lụa hoa be</v>
      </c>
      <c r="F1166" s="351" t="str">
        <f>VLOOKUP(D1166,'Danh mục hàng hóa'!$C$3:$E$656,3,0)</f>
        <v>cái</v>
      </c>
      <c r="G1166" s="352">
        <v>12900</v>
      </c>
      <c r="H1166" s="353"/>
      <c r="I1166" s="354">
        <v>1</v>
      </c>
      <c r="J1166" s="355"/>
      <c r="K1166" s="356">
        <f t="shared" si="99"/>
        <v>12900</v>
      </c>
      <c r="L1166" s="30"/>
      <c r="M1166" s="372"/>
    </row>
    <row r="1167" spans="1:13" ht="13.2">
      <c r="A1167" s="227"/>
      <c r="B1167" s="30"/>
      <c r="C1167" s="372"/>
      <c r="D1167" s="28" t="s">
        <v>734</v>
      </c>
      <c r="E1167" s="350" t="str">
        <f>VLOOKUP(D1167,'Danh mục hàng hóa'!$C$3:$D$643,2,0)</f>
        <v>Kẹp tóc hoa sứ hồng</v>
      </c>
      <c r="F1167" s="351" t="str">
        <f>VLOOKUP(D1167,'Danh mục hàng hóa'!$C$3:$E$656,3,0)</f>
        <v>cái</v>
      </c>
      <c r="G1167" s="352">
        <v>18500</v>
      </c>
      <c r="H1167" s="353"/>
      <c r="I1167" s="354">
        <v>1</v>
      </c>
      <c r="J1167" s="355"/>
      <c r="K1167" s="356">
        <f t="shared" si="99"/>
        <v>18500</v>
      </c>
      <c r="L1167" s="30"/>
      <c r="M1167" s="372"/>
    </row>
    <row r="1168" spans="1:13" ht="13.2">
      <c r="A1168" s="227"/>
      <c r="B1168" s="30"/>
      <c r="C1168" s="372"/>
      <c r="D1168" s="28" t="s">
        <v>732</v>
      </c>
      <c r="E1168" s="350" t="str">
        <f>VLOOKUP(D1168,'Danh mục hàng hóa'!$C$3:$D$643,2,0)</f>
        <v>Kẹp tóc hoa sứ tím</v>
      </c>
      <c r="F1168" s="351" t="str">
        <f>VLOOKUP(D1168,'Danh mục hàng hóa'!$C$3:$E$656,3,0)</f>
        <v>cái</v>
      </c>
      <c r="G1168" s="352">
        <v>18500</v>
      </c>
      <c r="H1168" s="353"/>
      <c r="I1168" s="354">
        <v>1</v>
      </c>
      <c r="J1168" s="355"/>
      <c r="K1168" s="356">
        <f t="shared" si="99"/>
        <v>18500</v>
      </c>
      <c r="L1168" s="30"/>
      <c r="M1168" s="373"/>
    </row>
    <row r="1169" spans="1:13" ht="13.2">
      <c r="A1169" s="227"/>
      <c r="B1169" s="30"/>
      <c r="C1169" s="372"/>
      <c r="D1169" s="28" t="s">
        <v>734</v>
      </c>
      <c r="E1169" s="350" t="str">
        <f>VLOOKUP(D1169,'Danh mục hàng hóa'!$C$3:$D$643,2,0)</f>
        <v>Kẹp tóc hoa sứ hồng</v>
      </c>
      <c r="F1169" s="351" t="str">
        <f>VLOOKUP(D1169,'Danh mục hàng hóa'!$C$3:$E$656,3,0)</f>
        <v>cái</v>
      </c>
      <c r="G1169" s="352">
        <v>18500</v>
      </c>
      <c r="H1169" s="353"/>
      <c r="I1169" s="354">
        <v>1</v>
      </c>
      <c r="J1169" s="355"/>
      <c r="K1169" s="356">
        <f t="shared" si="99"/>
        <v>18500</v>
      </c>
      <c r="L1169" s="30"/>
      <c r="M1169" s="100">
        <v>15980</v>
      </c>
    </row>
    <row r="1170" spans="1:13" ht="13.2">
      <c r="A1170" s="227"/>
      <c r="B1170" s="30"/>
      <c r="C1170" s="372"/>
      <c r="D1170" s="28" t="s">
        <v>734</v>
      </c>
      <c r="E1170" s="350" t="str">
        <f>VLOOKUP(D1170,'Danh mục hàng hóa'!$C$3:$D$643,2,0)</f>
        <v>Kẹp tóc hoa sứ hồng</v>
      </c>
      <c r="F1170" s="351" t="str">
        <f>VLOOKUP(D1170,'Danh mục hàng hóa'!$C$3:$E$656,3,0)</f>
        <v>cái</v>
      </c>
      <c r="G1170" s="352">
        <v>18500</v>
      </c>
      <c r="H1170" s="353"/>
      <c r="I1170" s="354">
        <v>1</v>
      </c>
      <c r="J1170" s="355"/>
      <c r="K1170" s="356">
        <f t="shared" si="99"/>
        <v>18500</v>
      </c>
      <c r="L1170" s="30"/>
      <c r="M1170" s="422">
        <v>32420</v>
      </c>
    </row>
    <row r="1171" spans="1:13" ht="13.2">
      <c r="A1171" s="227"/>
      <c r="B1171" s="30"/>
      <c r="C1171" s="372"/>
      <c r="D1171" s="28" t="s">
        <v>732</v>
      </c>
      <c r="E1171" s="350" t="str">
        <f>VLOOKUP(D1171,'Danh mục hàng hóa'!$C$3:$D$643,2,0)</f>
        <v>Kẹp tóc hoa sứ tím</v>
      </c>
      <c r="F1171" s="351" t="str">
        <f>VLOOKUP(D1171,'Danh mục hàng hóa'!$C$3:$E$656,3,0)</f>
        <v>cái</v>
      </c>
      <c r="G1171" s="352">
        <v>18500</v>
      </c>
      <c r="H1171" s="353"/>
      <c r="I1171" s="354">
        <v>1</v>
      </c>
      <c r="J1171" s="355"/>
      <c r="K1171" s="356">
        <f t="shared" si="99"/>
        <v>18500</v>
      </c>
      <c r="L1171" s="30"/>
      <c r="M1171" s="373"/>
    </row>
    <row r="1172" spans="1:13" ht="13.2">
      <c r="A1172" s="227"/>
      <c r="B1172" s="30"/>
      <c r="C1172" s="372"/>
      <c r="D1172" s="28" t="s">
        <v>744</v>
      </c>
      <c r="E1172" s="350" t="str">
        <f>VLOOKUP(D1172,'Danh mục hàng hóa'!$C$3:$D$643,2,0)</f>
        <v>Kẹp tóc hoa sứ đỏ hồng đậm</v>
      </c>
      <c r="F1172" s="351" t="str">
        <f>VLOOKUP(D1172,'Danh mục hàng hóa'!$C$3:$E$656,3,0)</f>
        <v>cái</v>
      </c>
      <c r="G1172" s="352">
        <v>18500</v>
      </c>
      <c r="H1172" s="353"/>
      <c r="I1172" s="354">
        <v>1</v>
      </c>
      <c r="J1172" s="355"/>
      <c r="K1172" s="356">
        <f t="shared" si="99"/>
        <v>18500</v>
      </c>
      <c r="L1172" s="30"/>
      <c r="M1172" s="422">
        <v>32560</v>
      </c>
    </row>
    <row r="1173" spans="1:13" ht="13.2">
      <c r="A1173" s="227"/>
      <c r="B1173" s="30"/>
      <c r="C1173" s="372"/>
      <c r="D1173" s="28" t="s">
        <v>734</v>
      </c>
      <c r="E1173" s="350" t="str">
        <f>VLOOKUP(D1173,'Danh mục hàng hóa'!$C$3:$D$643,2,0)</f>
        <v>Kẹp tóc hoa sứ hồng</v>
      </c>
      <c r="F1173" s="351" t="str">
        <f>VLOOKUP(D1173,'Danh mục hàng hóa'!$C$3:$E$656,3,0)</f>
        <v>cái</v>
      </c>
      <c r="G1173" s="352">
        <v>18500</v>
      </c>
      <c r="H1173" s="353"/>
      <c r="I1173" s="354">
        <v>1</v>
      </c>
      <c r="J1173" s="355"/>
      <c r="K1173" s="356">
        <f t="shared" si="99"/>
        <v>18500</v>
      </c>
      <c r="L1173" s="30"/>
      <c r="M1173" s="373"/>
    </row>
    <row r="1174" spans="1:13" ht="13.2">
      <c r="A1174" s="227"/>
      <c r="B1174" s="30"/>
      <c r="C1174" s="372"/>
      <c r="D1174" s="28" t="s">
        <v>734</v>
      </c>
      <c r="E1174" s="350" t="str">
        <f>VLOOKUP(D1174,'Danh mục hàng hóa'!$C$3:$D$643,2,0)</f>
        <v>Kẹp tóc hoa sứ hồng</v>
      </c>
      <c r="F1174" s="351" t="str">
        <f>VLOOKUP(D1174,'Danh mục hàng hóa'!$C$3:$E$656,3,0)</f>
        <v>cái</v>
      </c>
      <c r="G1174" s="352">
        <v>18500</v>
      </c>
      <c r="H1174" s="353"/>
      <c r="I1174" s="354">
        <v>1</v>
      </c>
      <c r="J1174" s="355"/>
      <c r="K1174" s="356">
        <f t="shared" si="99"/>
        <v>18500</v>
      </c>
      <c r="L1174" s="30"/>
      <c r="M1174" s="100">
        <v>15720</v>
      </c>
    </row>
    <row r="1175" spans="1:13" ht="13.2">
      <c r="A1175" s="227"/>
      <c r="B1175" s="30"/>
      <c r="C1175" s="372"/>
      <c r="D1175" s="28" t="s">
        <v>732</v>
      </c>
      <c r="E1175" s="350" t="str">
        <f>VLOOKUP(D1175,'Danh mục hàng hóa'!$C$3:$D$643,2,0)</f>
        <v>Kẹp tóc hoa sứ tím</v>
      </c>
      <c r="F1175" s="351" t="str">
        <f>VLOOKUP(D1175,'Danh mục hàng hóa'!$C$3:$E$656,3,0)</f>
        <v>cái</v>
      </c>
      <c r="G1175" s="352">
        <v>18500</v>
      </c>
      <c r="H1175" s="353"/>
      <c r="I1175" s="354">
        <v>2</v>
      </c>
      <c r="J1175" s="355"/>
      <c r="K1175" s="356">
        <f t="shared" si="99"/>
        <v>37000</v>
      </c>
      <c r="L1175" s="30"/>
      <c r="M1175" s="100">
        <v>32280</v>
      </c>
    </row>
    <row r="1176" spans="1:13" ht="13.2">
      <c r="A1176" s="227"/>
      <c r="B1176" s="30"/>
      <c r="C1176" s="372"/>
      <c r="D1176" s="28" t="s">
        <v>732</v>
      </c>
      <c r="E1176" s="350" t="str">
        <f>VLOOKUP(D1176,'Danh mục hàng hóa'!$C$3:$D$643,2,0)</f>
        <v>Kẹp tóc hoa sứ tím</v>
      </c>
      <c r="F1176" s="351" t="str">
        <f>VLOOKUP(D1176,'Danh mục hàng hóa'!$C$3:$E$656,3,0)</f>
        <v>cái</v>
      </c>
      <c r="G1176" s="352">
        <v>18500</v>
      </c>
      <c r="H1176" s="353"/>
      <c r="I1176" s="354">
        <v>4</v>
      </c>
      <c r="J1176" s="355"/>
      <c r="K1176" s="356">
        <f t="shared" si="99"/>
        <v>74000</v>
      </c>
      <c r="L1176" s="30"/>
      <c r="M1176" s="100">
        <v>58548</v>
      </c>
    </row>
    <row r="1177" spans="1:13" ht="13.2">
      <c r="A1177" s="227"/>
      <c r="B1177" s="30"/>
      <c r="C1177" s="372"/>
      <c r="D1177" s="28" t="s">
        <v>891</v>
      </c>
      <c r="E1177" s="350" t="str">
        <f>VLOOKUP(D1177,'Danh mục hàng hóa'!$C$3:$D$643,2,0)</f>
        <v>Heo ú</v>
      </c>
      <c r="F1177" s="351" t="str">
        <f>VLOOKUP(D1177,'Danh mục hàng hóa'!$C$3:$E$656,3,0)</f>
        <v>cái</v>
      </c>
      <c r="G1177" s="352">
        <v>59500</v>
      </c>
      <c r="H1177" s="353"/>
      <c r="I1177" s="354">
        <v>1</v>
      </c>
      <c r="J1177" s="355"/>
      <c r="K1177" s="356">
        <f t="shared" si="99"/>
        <v>59500</v>
      </c>
      <c r="L1177" s="30"/>
      <c r="M1177" s="422">
        <v>77820</v>
      </c>
    </row>
    <row r="1178" spans="1:13" ht="13.2">
      <c r="A1178" s="227"/>
      <c r="B1178" s="30"/>
      <c r="C1178" s="372"/>
      <c r="D1178" s="28" t="s">
        <v>734</v>
      </c>
      <c r="E1178" s="350" t="str">
        <f>VLOOKUP(D1178,'Danh mục hàng hóa'!$C$3:$D$643,2,0)</f>
        <v>Kẹp tóc hoa sứ hồng</v>
      </c>
      <c r="F1178" s="351" t="str">
        <f>VLOOKUP(D1178,'Danh mục hàng hóa'!$C$3:$E$656,3,0)</f>
        <v>cái</v>
      </c>
      <c r="G1178" s="352">
        <v>18500</v>
      </c>
      <c r="H1178" s="353"/>
      <c r="I1178" s="354">
        <v>1</v>
      </c>
      <c r="J1178" s="355"/>
      <c r="K1178" s="356">
        <f t="shared" si="99"/>
        <v>18500</v>
      </c>
      <c r="L1178" s="30"/>
      <c r="M1178" s="372"/>
    </row>
    <row r="1179" spans="1:13" ht="13.2">
      <c r="A1179" s="227"/>
      <c r="B1179" s="30"/>
      <c r="C1179" s="372"/>
      <c r="D1179" s="28" t="s">
        <v>732</v>
      </c>
      <c r="E1179" s="350" t="str">
        <f>VLOOKUP(D1179,'Danh mục hàng hóa'!$C$3:$D$643,2,0)</f>
        <v>Kẹp tóc hoa sứ tím</v>
      </c>
      <c r="F1179" s="351" t="str">
        <f>VLOOKUP(D1179,'Danh mục hàng hóa'!$C$3:$E$656,3,0)</f>
        <v>cái</v>
      </c>
      <c r="G1179" s="352">
        <v>18500</v>
      </c>
      <c r="H1179" s="353"/>
      <c r="I1179" s="354">
        <v>1</v>
      </c>
      <c r="J1179" s="355"/>
      <c r="K1179" s="356">
        <f t="shared" si="99"/>
        <v>18500</v>
      </c>
      <c r="L1179" s="30"/>
      <c r="M1179" s="373"/>
    </row>
    <row r="1180" spans="1:13" ht="13.2">
      <c r="A1180" s="227"/>
      <c r="B1180" s="30"/>
      <c r="C1180" s="372"/>
      <c r="D1180" s="28" t="s">
        <v>732</v>
      </c>
      <c r="E1180" s="350" t="str">
        <f>VLOOKUP(D1180,'Danh mục hàng hóa'!$C$3:$D$643,2,0)</f>
        <v>Kẹp tóc hoa sứ tím</v>
      </c>
      <c r="F1180" s="351" t="str">
        <f>VLOOKUP(D1180,'Danh mục hàng hóa'!$C$3:$E$656,3,0)</f>
        <v>cái</v>
      </c>
      <c r="G1180" s="352">
        <v>18500</v>
      </c>
      <c r="H1180" s="353"/>
      <c r="I1180" s="354">
        <v>1</v>
      </c>
      <c r="J1180" s="355"/>
      <c r="K1180" s="356">
        <f t="shared" si="99"/>
        <v>18500</v>
      </c>
      <c r="L1180" s="30"/>
      <c r="M1180" s="100">
        <v>16220</v>
      </c>
    </row>
    <row r="1181" spans="1:13" ht="13.2">
      <c r="A1181" s="227"/>
      <c r="B1181" s="30"/>
      <c r="C1181" s="372"/>
      <c r="D1181" s="28" t="s">
        <v>758</v>
      </c>
      <c r="E1181" s="350" t="str">
        <f>VLOOKUP(D1181,'Danh mục hàng hóa'!$C$3:$D$643,2,0)</f>
        <v>Kẹp tóc hoa năm cánh tím</v>
      </c>
      <c r="F1181" s="351" t="str">
        <f>VLOOKUP(D1181,'Danh mục hàng hóa'!$C$3:$E$656,3,0)</f>
        <v>cái</v>
      </c>
      <c r="G1181" s="352">
        <v>14500</v>
      </c>
      <c r="H1181" s="353"/>
      <c r="I1181" s="354">
        <v>1</v>
      </c>
      <c r="J1181" s="355"/>
      <c r="K1181" s="356">
        <f t="shared" si="99"/>
        <v>14500</v>
      </c>
      <c r="L1181" s="30"/>
      <c r="M1181" s="422">
        <v>28980</v>
      </c>
    </row>
    <row r="1182" spans="1:13" ht="13.2">
      <c r="A1182" s="227"/>
      <c r="B1182" s="30"/>
      <c r="C1182" s="372"/>
      <c r="D1182" s="28" t="s">
        <v>732</v>
      </c>
      <c r="E1182" s="350" t="str">
        <f>VLOOKUP(D1182,'Danh mục hàng hóa'!$C$3:$D$643,2,0)</f>
        <v>Kẹp tóc hoa sứ tím</v>
      </c>
      <c r="F1182" s="351" t="str">
        <f>VLOOKUP(D1182,'Danh mục hàng hóa'!$C$3:$E$656,3,0)</f>
        <v>cái</v>
      </c>
      <c r="G1182" s="352">
        <v>18500</v>
      </c>
      <c r="H1182" s="353"/>
      <c r="I1182" s="354">
        <v>1</v>
      </c>
      <c r="J1182" s="355"/>
      <c r="K1182" s="356">
        <f t="shared" si="99"/>
        <v>18500</v>
      </c>
      <c r="L1182" s="30"/>
      <c r="M1182" s="373"/>
    </row>
    <row r="1183" spans="1:13" ht="13.2">
      <c r="A1183" s="227"/>
      <c r="B1183" s="30"/>
      <c r="C1183" s="372"/>
      <c r="D1183" s="28" t="s">
        <v>981</v>
      </c>
      <c r="E1183" s="350" t="str">
        <f>VLOOKUP(D1183,'Danh mục hàng hóa'!$C$3:$D$643,2,0)</f>
        <v>Móc khóa đôi corgy</v>
      </c>
      <c r="F1183" s="351" t="str">
        <f>VLOOKUP(D1183,'Danh mục hàng hóa'!$C$3:$E$656,3,0)</f>
        <v>cái</v>
      </c>
      <c r="G1183" s="352">
        <v>61500</v>
      </c>
      <c r="H1183" s="353"/>
      <c r="I1183" s="354">
        <v>1</v>
      </c>
      <c r="J1183" s="355"/>
      <c r="K1183" s="356">
        <f t="shared" si="99"/>
        <v>61500</v>
      </c>
      <c r="L1183" s="30"/>
      <c r="M1183" s="100">
        <v>47608</v>
      </c>
    </row>
    <row r="1184" spans="1:13" ht="13.2">
      <c r="A1184" s="227"/>
      <c r="B1184" s="30"/>
      <c r="C1184" s="372"/>
      <c r="D1184" s="28" t="s">
        <v>732</v>
      </c>
      <c r="E1184" s="350" t="str">
        <f>VLOOKUP(D1184,'Danh mục hàng hóa'!$C$3:$D$643,2,0)</f>
        <v>Kẹp tóc hoa sứ tím</v>
      </c>
      <c r="F1184" s="351" t="str">
        <f>VLOOKUP(D1184,'Danh mục hàng hóa'!$C$3:$E$656,3,0)</f>
        <v>cái</v>
      </c>
      <c r="G1184" s="352">
        <v>18500</v>
      </c>
      <c r="H1184" s="353"/>
      <c r="I1184" s="354">
        <v>1</v>
      </c>
      <c r="J1184" s="355"/>
      <c r="K1184" s="356">
        <f t="shared" si="99"/>
        <v>18500</v>
      </c>
      <c r="L1184" s="30"/>
      <c r="M1184" s="100">
        <v>16280</v>
      </c>
    </row>
    <row r="1185" spans="1:13" ht="13.2">
      <c r="A1185" s="227"/>
      <c r="B1185" s="30"/>
      <c r="C1185" s="372"/>
      <c r="D1185" s="28" t="s">
        <v>891</v>
      </c>
      <c r="E1185" s="350" t="str">
        <f>VLOOKUP(D1185,'Danh mục hàng hóa'!$C$3:$D$643,2,0)</f>
        <v>Heo ú</v>
      </c>
      <c r="F1185" s="351" t="str">
        <f>VLOOKUP(D1185,'Danh mục hàng hóa'!$C$3:$E$656,3,0)</f>
        <v>cái</v>
      </c>
      <c r="G1185" s="352">
        <v>59500</v>
      </c>
      <c r="H1185" s="353"/>
      <c r="I1185" s="354">
        <v>1</v>
      </c>
      <c r="J1185" s="355"/>
      <c r="K1185" s="356">
        <f t="shared" si="99"/>
        <v>59500</v>
      </c>
      <c r="L1185" s="30"/>
      <c r="M1185" s="100">
        <v>46984</v>
      </c>
    </row>
    <row r="1186" spans="1:13" ht="13.2">
      <c r="A1186" s="227"/>
      <c r="B1186" s="30"/>
      <c r="C1186" s="372"/>
      <c r="D1186" s="28" t="s">
        <v>981</v>
      </c>
      <c r="E1186" s="350" t="str">
        <f>VLOOKUP(D1186,'Danh mục hàng hóa'!$C$3:$D$643,2,0)</f>
        <v>Móc khóa đôi corgy</v>
      </c>
      <c r="F1186" s="351" t="str">
        <f>VLOOKUP(D1186,'Danh mục hàng hóa'!$C$3:$E$656,3,0)</f>
        <v>cái</v>
      </c>
      <c r="G1186" s="352">
        <v>61500</v>
      </c>
      <c r="H1186" s="353"/>
      <c r="I1186" s="354">
        <v>1</v>
      </c>
      <c r="J1186" s="355"/>
      <c r="K1186" s="356">
        <f t="shared" si="99"/>
        <v>61500</v>
      </c>
      <c r="L1186" s="30"/>
      <c r="M1186" s="100">
        <v>48648</v>
      </c>
    </row>
    <row r="1187" spans="1:13" ht="13.2">
      <c r="A1187" s="227"/>
      <c r="B1187" s="30"/>
      <c r="C1187" s="372"/>
      <c r="D1187" s="28" t="s">
        <v>732</v>
      </c>
      <c r="E1187" s="350" t="str">
        <f>VLOOKUP(D1187,'Danh mục hàng hóa'!$C$3:$D$643,2,0)</f>
        <v>Kẹp tóc hoa sứ tím</v>
      </c>
      <c r="F1187" s="351" t="str">
        <f>VLOOKUP(D1187,'Danh mục hàng hóa'!$C$3:$E$656,3,0)</f>
        <v>cái</v>
      </c>
      <c r="G1187" s="352">
        <v>18500</v>
      </c>
      <c r="H1187" s="353"/>
      <c r="I1187" s="354">
        <v>1</v>
      </c>
      <c r="J1187" s="355"/>
      <c r="K1187" s="356">
        <f t="shared" si="99"/>
        <v>18500</v>
      </c>
      <c r="L1187" s="30"/>
      <c r="M1187" s="100">
        <v>16220</v>
      </c>
    </row>
    <row r="1188" spans="1:13" ht="13.2">
      <c r="A1188" s="227"/>
      <c r="B1188" s="30"/>
      <c r="C1188" s="372"/>
      <c r="D1188" s="28" t="s">
        <v>752</v>
      </c>
      <c r="E1188" s="350" t="str">
        <f>VLOOKUP(D1188,'Danh mục hàng hóa'!$C$3:$D$643,2,0)</f>
        <v>Kẹp tóc hoa năm cánh đỏ hồng đẹp</v>
      </c>
      <c r="F1188" s="351" t="str">
        <f>VLOOKUP(D1188,'Danh mục hàng hóa'!$C$3:$E$656,3,0)</f>
        <v>cái</v>
      </c>
      <c r="G1188" s="352">
        <v>19500</v>
      </c>
      <c r="H1188" s="353"/>
      <c r="I1188" s="354">
        <v>1</v>
      </c>
      <c r="J1188" s="355"/>
      <c r="K1188" s="356">
        <f t="shared" si="99"/>
        <v>19500</v>
      </c>
      <c r="L1188" s="30"/>
      <c r="M1188" s="422">
        <v>69020</v>
      </c>
    </row>
    <row r="1189" spans="1:13" ht="13.2">
      <c r="A1189" s="227"/>
      <c r="B1189" s="30"/>
      <c r="C1189" s="372"/>
      <c r="D1189" s="28" t="s">
        <v>758</v>
      </c>
      <c r="E1189" s="350" t="str">
        <f>VLOOKUP(D1189,'Danh mục hàng hóa'!$C$3:$D$643,2,0)</f>
        <v>Kẹp tóc hoa năm cánh tím</v>
      </c>
      <c r="F1189" s="351" t="str">
        <f>VLOOKUP(D1189,'Danh mục hàng hóa'!$C$3:$E$656,3,0)</f>
        <v>cái</v>
      </c>
      <c r="G1189" s="352">
        <v>14500</v>
      </c>
      <c r="H1189" s="353"/>
      <c r="I1189" s="354">
        <v>1</v>
      </c>
      <c r="J1189" s="355"/>
      <c r="K1189" s="356">
        <f t="shared" si="99"/>
        <v>14500</v>
      </c>
      <c r="L1189" s="30"/>
      <c r="M1189" s="372"/>
    </row>
    <row r="1190" spans="1:13" ht="13.2">
      <c r="A1190" s="227"/>
      <c r="B1190" s="30"/>
      <c r="C1190" s="372"/>
      <c r="D1190" s="28" t="s">
        <v>756</v>
      </c>
      <c r="E1190" s="350" t="str">
        <f>VLOOKUP(D1190,'Danh mục hàng hóa'!$C$3:$D$643,2,0)</f>
        <v>Kẹp tóc hoa năm cánh xanh</v>
      </c>
      <c r="F1190" s="351" t="str">
        <f>VLOOKUP(D1190,'Danh mục hàng hóa'!$C$3:$E$656,3,0)</f>
        <v>cái</v>
      </c>
      <c r="G1190" s="352">
        <v>14500</v>
      </c>
      <c r="H1190" s="353"/>
      <c r="I1190" s="354">
        <v>1</v>
      </c>
      <c r="J1190" s="355"/>
      <c r="K1190" s="356">
        <f t="shared" si="99"/>
        <v>14500</v>
      </c>
      <c r="L1190" s="30"/>
      <c r="M1190" s="372"/>
    </row>
    <row r="1191" spans="1:13" ht="13.2">
      <c r="A1191" s="227"/>
      <c r="B1191" s="30"/>
      <c r="C1191" s="372"/>
      <c r="D1191" s="28" t="s">
        <v>732</v>
      </c>
      <c r="E1191" s="350" t="str">
        <f>VLOOKUP(D1191,'Danh mục hàng hóa'!$C$3:$D$643,2,0)</f>
        <v>Kẹp tóc hoa sứ tím</v>
      </c>
      <c r="F1191" s="351" t="str">
        <f>VLOOKUP(D1191,'Danh mục hàng hóa'!$C$3:$E$656,3,0)</f>
        <v>cái</v>
      </c>
      <c r="G1191" s="352">
        <v>18500</v>
      </c>
      <c r="H1191" s="353"/>
      <c r="I1191" s="354">
        <v>1</v>
      </c>
      <c r="J1191" s="355"/>
      <c r="K1191" s="356">
        <f t="shared" si="99"/>
        <v>18500</v>
      </c>
      <c r="L1191" s="30"/>
      <c r="M1191" s="372"/>
    </row>
    <row r="1192" spans="1:13" ht="13.2">
      <c r="A1192" s="227"/>
      <c r="B1192" s="30"/>
      <c r="C1192" s="373"/>
      <c r="D1192" s="28" t="s">
        <v>750</v>
      </c>
      <c r="E1192" s="350" t="str">
        <f>VLOOKUP(D1192,'Danh mục hàng hóa'!$C$3:$D$643,2,0)</f>
        <v>Kẹp tóc hoa năm cánh cam</v>
      </c>
      <c r="F1192" s="351" t="str">
        <f>VLOOKUP(D1192,'Danh mục hàng hóa'!$C$3:$E$656,3,0)</f>
        <v>cái</v>
      </c>
      <c r="G1192" s="352">
        <v>18500</v>
      </c>
      <c r="H1192" s="353"/>
      <c r="I1192" s="354">
        <v>1</v>
      </c>
      <c r="J1192" s="355"/>
      <c r="K1192" s="356">
        <f t="shared" si="99"/>
        <v>18500</v>
      </c>
      <c r="L1192" s="30"/>
      <c r="M1192" s="373"/>
    </row>
    <row r="1193" spans="1:13" ht="13.2">
      <c r="A1193" s="227"/>
      <c r="B1193" s="30"/>
      <c r="C1193" s="410">
        <v>45372</v>
      </c>
      <c r="D1193" s="33" t="s">
        <v>880</v>
      </c>
      <c r="E1193" s="147" t="str">
        <f>VLOOKUP(D1193,'Danh mục hàng hóa'!$C$3:$D$643,2,0)</f>
        <v>Dao rọc giấy mèo tím</v>
      </c>
      <c r="F1193" s="148" t="str">
        <f>VLOOKUP(D1193,'Danh mục hàng hóa'!$C$3:$E$656,3,0)</f>
        <v>cái</v>
      </c>
      <c r="G1193" s="324">
        <v>9000</v>
      </c>
      <c r="H1193" s="325"/>
      <c r="I1193" s="326">
        <v>1</v>
      </c>
      <c r="J1193" s="327"/>
      <c r="K1193" s="207">
        <f t="shared" si="99"/>
        <v>9000</v>
      </c>
      <c r="L1193" s="32"/>
      <c r="M1193" s="423">
        <v>37840</v>
      </c>
    </row>
    <row r="1194" spans="1:13" ht="13.2">
      <c r="A1194" s="227"/>
      <c r="B1194" s="30"/>
      <c r="C1194" s="372"/>
      <c r="D1194" s="33" t="s">
        <v>758</v>
      </c>
      <c r="E1194" s="147" t="str">
        <f>VLOOKUP(D1194,'Danh mục hàng hóa'!$C$3:$D$643,2,0)</f>
        <v>Kẹp tóc hoa năm cánh tím</v>
      </c>
      <c r="F1194" s="148" t="str">
        <f>VLOOKUP(D1194,'Danh mục hàng hóa'!$C$3:$E$656,3,0)</f>
        <v>cái</v>
      </c>
      <c r="G1194" s="324">
        <v>14500</v>
      </c>
      <c r="H1194" s="325"/>
      <c r="I1194" s="326">
        <v>1</v>
      </c>
      <c r="J1194" s="327"/>
      <c r="K1194" s="207">
        <f t="shared" si="99"/>
        <v>14500</v>
      </c>
      <c r="L1194" s="32"/>
      <c r="M1194" s="372"/>
    </row>
    <row r="1195" spans="1:13" ht="13.2">
      <c r="A1195" s="227"/>
      <c r="B1195" s="30"/>
      <c r="C1195" s="372"/>
      <c r="D1195" s="33" t="s">
        <v>770</v>
      </c>
      <c r="E1195" s="147" t="str">
        <f>VLOOKUP(D1195,'Danh mục hàng hóa'!$C$3:$D$643,2,0)</f>
        <v>Kẹp tóc tím</v>
      </c>
      <c r="F1195" s="148" t="str">
        <f>VLOOKUP(D1195,'Danh mục hàng hóa'!$C$3:$E$656,3,0)</f>
        <v>cái</v>
      </c>
      <c r="G1195" s="324">
        <v>19500</v>
      </c>
      <c r="H1195" s="325"/>
      <c r="I1195" s="326">
        <v>1</v>
      </c>
      <c r="J1195" s="327"/>
      <c r="K1195" s="207">
        <f t="shared" si="99"/>
        <v>19500</v>
      </c>
      <c r="L1195" s="32"/>
      <c r="M1195" s="373"/>
    </row>
    <row r="1196" spans="1:13" ht="13.2">
      <c r="A1196" s="227"/>
      <c r="B1196" s="30"/>
      <c r="C1196" s="372"/>
      <c r="D1196" s="33" t="s">
        <v>891</v>
      </c>
      <c r="E1196" s="147" t="str">
        <f>VLOOKUP(D1196,'Danh mục hàng hóa'!$C$3:$D$643,2,0)</f>
        <v>Heo ú</v>
      </c>
      <c r="F1196" s="148" t="str">
        <f>VLOOKUP(D1196,'Danh mục hàng hóa'!$C$3:$E$656,3,0)</f>
        <v>cái</v>
      </c>
      <c r="G1196" s="324">
        <v>59500</v>
      </c>
      <c r="H1196" s="325"/>
      <c r="I1196" s="326">
        <v>1</v>
      </c>
      <c r="J1196" s="327"/>
      <c r="K1196" s="207">
        <f t="shared" si="99"/>
        <v>59500</v>
      </c>
      <c r="L1196" s="32"/>
      <c r="M1196" s="110">
        <v>46464</v>
      </c>
    </row>
    <row r="1197" spans="1:13" ht="13.2">
      <c r="A1197" s="227"/>
      <c r="B1197" s="30"/>
      <c r="C1197" s="372"/>
      <c r="D1197" s="33" t="s">
        <v>732</v>
      </c>
      <c r="E1197" s="147" t="str">
        <f>VLOOKUP(D1197,'Danh mục hàng hóa'!$C$3:$D$643,2,0)</f>
        <v>Kẹp tóc hoa sứ tím</v>
      </c>
      <c r="F1197" s="148" t="str">
        <f>VLOOKUP(D1197,'Danh mục hàng hóa'!$C$3:$E$656,3,0)</f>
        <v>cái</v>
      </c>
      <c r="G1197" s="324">
        <v>18500</v>
      </c>
      <c r="H1197" s="325"/>
      <c r="I1197" s="326">
        <v>1</v>
      </c>
      <c r="J1197" s="327"/>
      <c r="K1197" s="207">
        <f t="shared" si="99"/>
        <v>18500</v>
      </c>
      <c r="L1197" s="32"/>
      <c r="M1197" s="110">
        <v>16220</v>
      </c>
    </row>
    <row r="1198" spans="1:13" ht="13.2">
      <c r="A1198" s="227"/>
      <c r="B1198" s="30"/>
      <c r="C1198" s="372"/>
      <c r="D1198" s="33" t="s">
        <v>426</v>
      </c>
      <c r="E1198" s="147" t="str">
        <f>VLOOKUP(D1198,'Danh mục hàng hóa'!$C$3:$D$643,2,0)</f>
        <v>Túi chườm bụng thỏ hồng 500ml</v>
      </c>
      <c r="F1198" s="148" t="str">
        <f>VLOOKUP(D1198,'Danh mục hàng hóa'!$C$3:$E$656,3,0)</f>
        <v>túi</v>
      </c>
      <c r="G1198" s="324">
        <v>72250</v>
      </c>
      <c r="H1198" s="325"/>
      <c r="I1198" s="326">
        <v>1</v>
      </c>
      <c r="J1198" s="327"/>
      <c r="K1198" s="207">
        <f t="shared" si="99"/>
        <v>72250</v>
      </c>
      <c r="L1198" s="32"/>
      <c r="M1198" s="110">
        <v>57162</v>
      </c>
    </row>
    <row r="1199" spans="1:13" ht="13.2">
      <c r="A1199" s="227"/>
      <c r="B1199" s="30"/>
      <c r="C1199" s="372"/>
      <c r="D1199" s="33" t="s">
        <v>770</v>
      </c>
      <c r="E1199" s="147" t="str">
        <f>VLOOKUP(D1199,'Danh mục hàng hóa'!$C$3:$D$643,2,0)</f>
        <v>Kẹp tóc tím</v>
      </c>
      <c r="F1199" s="148" t="str">
        <f>VLOOKUP(D1199,'Danh mục hàng hóa'!$C$3:$E$656,3,0)</f>
        <v>cái</v>
      </c>
      <c r="G1199" s="324">
        <v>19500</v>
      </c>
      <c r="H1199" s="325"/>
      <c r="I1199" s="326">
        <v>1</v>
      </c>
      <c r="J1199" s="327"/>
      <c r="K1199" s="207">
        <f t="shared" si="99"/>
        <v>19500</v>
      </c>
      <c r="L1199" s="32"/>
      <c r="M1199" s="423">
        <v>73180</v>
      </c>
    </row>
    <row r="1200" spans="1:13" ht="13.2">
      <c r="A1200" s="227"/>
      <c r="B1200" s="30"/>
      <c r="C1200" s="372"/>
      <c r="D1200" s="33" t="s">
        <v>752</v>
      </c>
      <c r="E1200" s="147" t="str">
        <f>VLOOKUP(D1200,'Danh mục hàng hóa'!$C$3:$D$643,2,0)</f>
        <v>Kẹp tóc hoa năm cánh đỏ hồng đẹp</v>
      </c>
      <c r="F1200" s="148" t="str">
        <f>VLOOKUP(D1200,'Danh mục hàng hóa'!$C$3:$E$656,3,0)</f>
        <v>cái</v>
      </c>
      <c r="G1200" s="324">
        <v>19500</v>
      </c>
      <c r="H1200" s="325"/>
      <c r="I1200" s="326">
        <v>1</v>
      </c>
      <c r="J1200" s="327"/>
      <c r="K1200" s="207">
        <f t="shared" si="99"/>
        <v>19500</v>
      </c>
      <c r="L1200" s="32"/>
      <c r="M1200" s="372"/>
    </row>
    <row r="1201" spans="1:13" ht="13.2">
      <c r="A1201" s="227"/>
      <c r="B1201" s="30"/>
      <c r="C1201" s="372"/>
      <c r="D1201" s="33" t="s">
        <v>756</v>
      </c>
      <c r="E1201" s="147" t="str">
        <f>VLOOKUP(D1201,'Danh mục hàng hóa'!$C$3:$D$643,2,0)</f>
        <v>Kẹp tóc hoa năm cánh xanh</v>
      </c>
      <c r="F1201" s="148" t="str">
        <f>VLOOKUP(D1201,'Danh mục hàng hóa'!$C$3:$E$656,3,0)</f>
        <v>cái</v>
      </c>
      <c r="G1201" s="324">
        <v>14500</v>
      </c>
      <c r="H1201" s="325"/>
      <c r="I1201" s="326">
        <v>1</v>
      </c>
      <c r="J1201" s="327"/>
      <c r="K1201" s="207">
        <f t="shared" si="99"/>
        <v>14500</v>
      </c>
      <c r="L1201" s="32"/>
      <c r="M1201" s="372"/>
    </row>
    <row r="1202" spans="1:13" ht="13.2">
      <c r="A1202" s="227"/>
      <c r="B1202" s="30"/>
      <c r="C1202" s="372"/>
      <c r="D1202" s="33" t="s">
        <v>732</v>
      </c>
      <c r="E1202" s="147" t="str">
        <f>VLOOKUP(D1202,'Danh mục hàng hóa'!$C$3:$D$643,2,0)</f>
        <v>Kẹp tóc hoa sứ tím</v>
      </c>
      <c r="F1202" s="148" t="str">
        <f>VLOOKUP(D1202,'Danh mục hàng hóa'!$C$3:$E$656,3,0)</f>
        <v>cái</v>
      </c>
      <c r="G1202" s="324">
        <v>18500</v>
      </c>
      <c r="H1202" s="325"/>
      <c r="I1202" s="326">
        <v>1</v>
      </c>
      <c r="J1202" s="327"/>
      <c r="K1202" s="207">
        <f t="shared" si="99"/>
        <v>18500</v>
      </c>
      <c r="L1202" s="32"/>
      <c r="M1202" s="372"/>
    </row>
    <row r="1203" spans="1:13" ht="13.2">
      <c r="A1203" s="227"/>
      <c r="B1203" s="30"/>
      <c r="C1203" s="372"/>
      <c r="D1203" s="33" t="s">
        <v>750</v>
      </c>
      <c r="E1203" s="147" t="str">
        <f>VLOOKUP(D1203,'Danh mục hàng hóa'!$C$3:$D$643,2,0)</f>
        <v>Kẹp tóc hoa năm cánh cam</v>
      </c>
      <c r="F1203" s="148" t="str">
        <f>VLOOKUP(D1203,'Danh mục hàng hóa'!$C$3:$E$656,3,0)</f>
        <v>cái</v>
      </c>
      <c r="G1203" s="324">
        <v>18500</v>
      </c>
      <c r="H1203" s="325"/>
      <c r="I1203" s="326">
        <v>1</v>
      </c>
      <c r="J1203" s="327"/>
      <c r="K1203" s="207">
        <f t="shared" si="99"/>
        <v>18500</v>
      </c>
      <c r="L1203" s="32"/>
      <c r="M1203" s="373"/>
    </row>
    <row r="1204" spans="1:13" ht="13.2">
      <c r="A1204" s="227"/>
      <c r="B1204" s="30"/>
      <c r="C1204" s="372"/>
      <c r="D1204" s="33" t="s">
        <v>891</v>
      </c>
      <c r="E1204" s="147" t="str">
        <f>VLOOKUP(D1204,'Danh mục hàng hóa'!$C$3:$D$643,2,0)</f>
        <v>Heo ú</v>
      </c>
      <c r="F1204" s="148" t="str">
        <f>VLOOKUP(D1204,'Danh mục hàng hóa'!$C$3:$E$656,3,0)</f>
        <v>cái</v>
      </c>
      <c r="G1204" s="324">
        <v>59500</v>
      </c>
      <c r="H1204" s="325"/>
      <c r="I1204" s="326">
        <v>1</v>
      </c>
      <c r="J1204" s="327"/>
      <c r="K1204" s="207">
        <f t="shared" si="99"/>
        <v>59500</v>
      </c>
      <c r="L1204" s="32"/>
      <c r="M1204" s="110">
        <v>46464</v>
      </c>
    </row>
    <row r="1205" spans="1:13" ht="13.2">
      <c r="A1205" s="227"/>
      <c r="B1205" s="30"/>
      <c r="C1205" s="372"/>
      <c r="D1205" s="33" t="s">
        <v>770</v>
      </c>
      <c r="E1205" s="147" t="str">
        <f>VLOOKUP(D1205,'Danh mục hàng hóa'!$C$3:$D$643,2,0)</f>
        <v>Kẹp tóc tím</v>
      </c>
      <c r="F1205" s="148" t="str">
        <f>VLOOKUP(D1205,'Danh mục hàng hóa'!$C$3:$E$656,3,0)</f>
        <v>cái</v>
      </c>
      <c r="G1205" s="324">
        <v>19500</v>
      </c>
      <c r="H1205" s="325"/>
      <c r="I1205" s="326">
        <v>1</v>
      </c>
      <c r="J1205" s="327"/>
      <c r="K1205" s="207">
        <f t="shared" si="99"/>
        <v>19500</v>
      </c>
      <c r="L1205" s="32"/>
      <c r="M1205" s="423">
        <v>72540</v>
      </c>
    </row>
    <row r="1206" spans="1:13" ht="13.2">
      <c r="A1206" s="227"/>
      <c r="B1206" s="30"/>
      <c r="C1206" s="372"/>
      <c r="D1206" s="33" t="s">
        <v>744</v>
      </c>
      <c r="E1206" s="147" t="str">
        <f>VLOOKUP(D1206,'Danh mục hàng hóa'!$C$3:$D$643,2,0)</f>
        <v>Kẹp tóc hoa sứ đỏ hồng đậm</v>
      </c>
      <c r="F1206" s="148" t="str">
        <f>VLOOKUP(D1206,'Danh mục hàng hóa'!$C$3:$E$656,3,0)</f>
        <v>cái</v>
      </c>
      <c r="G1206" s="324">
        <v>18500</v>
      </c>
      <c r="H1206" s="325"/>
      <c r="I1206" s="326">
        <v>1</v>
      </c>
      <c r="J1206" s="327"/>
      <c r="K1206" s="207">
        <f t="shared" si="99"/>
        <v>18500</v>
      </c>
      <c r="L1206" s="32"/>
      <c r="M1206" s="372"/>
    </row>
    <row r="1207" spans="1:13" ht="13.2">
      <c r="A1207" s="227"/>
      <c r="B1207" s="30"/>
      <c r="C1207" s="372"/>
      <c r="D1207" s="33" t="s">
        <v>768</v>
      </c>
      <c r="E1207" s="147" t="str">
        <f>VLOOKUP(D1207,'Danh mục hàng hóa'!$C$3:$D$643,2,0)</f>
        <v>Kẹp tóc xanh trơn</v>
      </c>
      <c r="F1207" s="148" t="str">
        <f>VLOOKUP(D1207,'Danh mục hàng hóa'!$C$3:$E$656,3,0)</f>
        <v>cái</v>
      </c>
      <c r="G1207" s="324">
        <v>14500</v>
      </c>
      <c r="H1207" s="325"/>
      <c r="I1207" s="326">
        <v>1</v>
      </c>
      <c r="J1207" s="327"/>
      <c r="K1207" s="207">
        <f t="shared" si="99"/>
        <v>14500</v>
      </c>
      <c r="L1207" s="32"/>
      <c r="M1207" s="372"/>
    </row>
    <row r="1208" spans="1:13" ht="13.2">
      <c r="A1208" s="227"/>
      <c r="B1208" s="30"/>
      <c r="C1208" s="372"/>
      <c r="D1208" s="33" t="s">
        <v>732</v>
      </c>
      <c r="E1208" s="147" t="str">
        <f>VLOOKUP(D1208,'Danh mục hàng hóa'!$C$3:$D$643,2,0)</f>
        <v>Kẹp tóc hoa sứ tím</v>
      </c>
      <c r="F1208" s="148" t="str">
        <f>VLOOKUP(D1208,'Danh mục hàng hóa'!$C$3:$E$656,3,0)</f>
        <v>cái</v>
      </c>
      <c r="G1208" s="324">
        <v>18500</v>
      </c>
      <c r="H1208" s="325"/>
      <c r="I1208" s="326">
        <v>1</v>
      </c>
      <c r="J1208" s="327"/>
      <c r="K1208" s="207">
        <f t="shared" si="99"/>
        <v>18500</v>
      </c>
      <c r="L1208" s="32"/>
      <c r="M1208" s="372"/>
    </row>
    <row r="1209" spans="1:13" ht="13.2">
      <c r="A1209" s="227"/>
      <c r="B1209" s="30"/>
      <c r="C1209" s="373"/>
      <c r="D1209" s="33" t="s">
        <v>750</v>
      </c>
      <c r="E1209" s="147" t="str">
        <f>VLOOKUP(D1209,'Danh mục hàng hóa'!$C$3:$D$643,2,0)</f>
        <v>Kẹp tóc hoa năm cánh cam</v>
      </c>
      <c r="F1209" s="148" t="str">
        <f>VLOOKUP(D1209,'Danh mục hàng hóa'!$C$3:$E$656,3,0)</f>
        <v>cái</v>
      </c>
      <c r="G1209" s="324">
        <v>18500</v>
      </c>
      <c r="H1209" s="325"/>
      <c r="I1209" s="326">
        <v>1</v>
      </c>
      <c r="J1209" s="327"/>
      <c r="K1209" s="207">
        <f t="shared" si="99"/>
        <v>18500</v>
      </c>
      <c r="L1209" s="32"/>
      <c r="M1209" s="373"/>
    </row>
    <row r="1210" spans="1:13" ht="13.2">
      <c r="A1210" s="227"/>
      <c r="B1210" s="30"/>
      <c r="C1210" s="409">
        <v>45373</v>
      </c>
      <c r="D1210" s="45" t="s">
        <v>732</v>
      </c>
      <c r="E1210" s="208" t="str">
        <f>VLOOKUP(D1210,'Danh mục hàng hóa'!$C$3:$D$643,2,0)</f>
        <v>Kẹp tóc hoa sứ tím</v>
      </c>
      <c r="F1210" s="209" t="str">
        <f>VLOOKUP(D1210,'Danh mục hàng hóa'!$C$3:$E$656,3,0)</f>
        <v>cái</v>
      </c>
      <c r="G1210" s="358">
        <v>18500</v>
      </c>
      <c r="H1210" s="359"/>
      <c r="I1210" s="360">
        <v>1</v>
      </c>
      <c r="J1210" s="361"/>
      <c r="K1210" s="210">
        <f t="shared" si="99"/>
        <v>18500</v>
      </c>
      <c r="L1210" s="44"/>
      <c r="M1210" s="362">
        <v>16220</v>
      </c>
    </row>
    <row r="1211" spans="1:13" ht="13.2">
      <c r="A1211" s="227"/>
      <c r="B1211" s="30"/>
      <c r="C1211" s="372"/>
      <c r="D1211" s="45" t="s">
        <v>732</v>
      </c>
      <c r="E1211" s="208" t="str">
        <f>VLOOKUP(D1211,'Danh mục hàng hóa'!$C$3:$D$643,2,0)</f>
        <v>Kẹp tóc hoa sứ tím</v>
      </c>
      <c r="F1211" s="209" t="str">
        <f>VLOOKUP(D1211,'Danh mục hàng hóa'!$C$3:$E$656,3,0)</f>
        <v>cái</v>
      </c>
      <c r="G1211" s="358">
        <v>18500</v>
      </c>
      <c r="H1211" s="359"/>
      <c r="I1211" s="360">
        <v>1</v>
      </c>
      <c r="J1211" s="361"/>
      <c r="K1211" s="210">
        <f t="shared" si="99"/>
        <v>18500</v>
      </c>
      <c r="L1211" s="44"/>
      <c r="M1211" s="362">
        <v>16220</v>
      </c>
    </row>
    <row r="1212" spans="1:13" ht="13.2">
      <c r="A1212" s="227"/>
      <c r="B1212" s="30"/>
      <c r="C1212" s="372"/>
      <c r="D1212" s="45" t="s">
        <v>732</v>
      </c>
      <c r="E1212" s="208" t="str">
        <f>VLOOKUP(D1212,'Danh mục hàng hóa'!$C$3:$D$643,2,0)</f>
        <v>Kẹp tóc hoa sứ tím</v>
      </c>
      <c r="F1212" s="209" t="str">
        <f>VLOOKUP(D1212,'Danh mục hàng hóa'!$C$3:$E$656,3,0)</f>
        <v>cái</v>
      </c>
      <c r="G1212" s="358">
        <v>18500</v>
      </c>
      <c r="H1212" s="359"/>
      <c r="I1212" s="360">
        <v>1</v>
      </c>
      <c r="J1212" s="361"/>
      <c r="K1212" s="210">
        <f t="shared" si="99"/>
        <v>18500</v>
      </c>
      <c r="L1212" s="44"/>
      <c r="M1212" s="362">
        <v>16220</v>
      </c>
    </row>
    <row r="1213" spans="1:13" ht="13.2">
      <c r="A1213" s="227"/>
      <c r="B1213" s="30"/>
      <c r="C1213" s="372"/>
      <c r="D1213" s="45" t="s">
        <v>397</v>
      </c>
      <c r="E1213" s="208" t="str">
        <f>VLOOKUP(D1213,'Danh mục hàng hóa'!$C$3:$D$643,2,0)</f>
        <v>Túi chườm bụng dâu (xanh) 1000ml</v>
      </c>
      <c r="F1213" s="209" t="str">
        <f>VLOOKUP(D1213,'Danh mục hàng hóa'!$C$3:$E$656,3,0)</f>
        <v>túi</v>
      </c>
      <c r="G1213" s="358">
        <v>78200</v>
      </c>
      <c r="H1213" s="359"/>
      <c r="I1213" s="360">
        <v>1</v>
      </c>
      <c r="J1213" s="361"/>
      <c r="K1213" s="210">
        <f t="shared" si="99"/>
        <v>78200</v>
      </c>
      <c r="L1213" s="44"/>
      <c r="M1213" s="362">
        <v>61875</v>
      </c>
    </row>
    <row r="1214" spans="1:13" ht="13.2">
      <c r="A1214" s="227"/>
      <c r="B1214" s="30"/>
      <c r="C1214" s="372"/>
      <c r="D1214" s="45" t="s">
        <v>977</v>
      </c>
      <c r="E1214" s="208" t="str">
        <f>VLOOKUP(D1214,'Danh mục hàng hóa'!$C$3:$D$643,2,0)</f>
        <v>Móc khóa đôi heo</v>
      </c>
      <c r="F1214" s="209" t="str">
        <f>VLOOKUP(D1214,'Danh mục hàng hóa'!$C$3:$E$656,3,0)</f>
        <v>cái</v>
      </c>
      <c r="G1214" s="358">
        <v>61500</v>
      </c>
      <c r="H1214" s="359"/>
      <c r="I1214" s="360">
        <v>1</v>
      </c>
      <c r="J1214" s="361"/>
      <c r="K1214" s="210">
        <f t="shared" si="99"/>
        <v>61500</v>
      </c>
      <c r="L1214" s="44"/>
      <c r="M1214" s="362">
        <v>48648</v>
      </c>
    </row>
    <row r="1215" spans="1:13" ht="13.2">
      <c r="A1215" s="227"/>
      <c r="B1215" s="30"/>
      <c r="C1215" s="372"/>
      <c r="D1215" s="45" t="s">
        <v>913</v>
      </c>
      <c r="E1215" s="208" t="str">
        <f>VLOOKUP(D1215,'Danh mục hàng hóa'!$C$3:$D$643,2,0)</f>
        <v>Thỏ máy bay gắn xe</v>
      </c>
      <c r="F1215" s="209" t="str">
        <f>VLOOKUP(D1215,'Danh mục hàng hóa'!$C$3:$E$656,3,0)</f>
        <v>cái</v>
      </c>
      <c r="G1215" s="358">
        <v>45000</v>
      </c>
      <c r="H1215" s="359"/>
      <c r="I1215" s="360">
        <v>1</v>
      </c>
      <c r="J1215" s="361"/>
      <c r="K1215" s="210">
        <f t="shared" si="99"/>
        <v>45000</v>
      </c>
      <c r="L1215" s="44"/>
      <c r="M1215" s="429">
        <v>72100</v>
      </c>
    </row>
    <row r="1216" spans="1:13" ht="13.2">
      <c r="A1216" s="227"/>
      <c r="B1216" s="30"/>
      <c r="C1216" s="372"/>
      <c r="D1216" s="45" t="s">
        <v>907</v>
      </c>
      <c r="E1216" s="208" t="str">
        <f>VLOOKUP(D1216,'Danh mục hàng hóa'!$C$3:$D$643,2,0)</f>
        <v>Cáo gắn xe</v>
      </c>
      <c r="F1216" s="209" t="str">
        <f>VLOOKUP(D1216,'Danh mục hàng hóa'!$C$3:$E$656,3,0)</f>
        <v>cái</v>
      </c>
      <c r="G1216" s="358">
        <v>45000</v>
      </c>
      <c r="H1216" s="359"/>
      <c r="I1216" s="360">
        <v>1</v>
      </c>
      <c r="J1216" s="361"/>
      <c r="K1216" s="210">
        <f t="shared" si="99"/>
        <v>45000</v>
      </c>
      <c r="L1216" s="44"/>
      <c r="M1216" s="373"/>
    </row>
    <row r="1217" spans="1:13" ht="13.2">
      <c r="A1217" s="227"/>
      <c r="B1217" s="30"/>
      <c r="C1217" s="373"/>
      <c r="D1217" s="45" t="s">
        <v>977</v>
      </c>
      <c r="E1217" s="208" t="str">
        <f>VLOOKUP(D1217,'Danh mục hàng hóa'!$C$3:$D$643,2,0)</f>
        <v>Móc khóa đôi heo</v>
      </c>
      <c r="F1217" s="209" t="str">
        <f>VLOOKUP(D1217,'Danh mục hàng hóa'!$C$3:$E$656,3,0)</f>
        <v>cái</v>
      </c>
      <c r="G1217" s="358">
        <v>61500</v>
      </c>
      <c r="H1217" s="359"/>
      <c r="I1217" s="360">
        <v>1</v>
      </c>
      <c r="J1217" s="361"/>
      <c r="K1217" s="210">
        <f t="shared" si="99"/>
        <v>61500</v>
      </c>
      <c r="L1217" s="44"/>
      <c r="M1217" s="362">
        <v>48708</v>
      </c>
    </row>
    <row r="1218" spans="1:13" ht="13.2">
      <c r="A1218" s="227"/>
      <c r="B1218" s="30"/>
      <c r="C1218" s="425">
        <v>45374</v>
      </c>
      <c r="D1218" s="33" t="s">
        <v>426</v>
      </c>
      <c r="E1218" s="147" t="str">
        <f>VLOOKUP(D1218,'Danh mục hàng hóa'!$C$3:$D$643,2,0)</f>
        <v>Túi chườm bụng thỏ hồng 500ml</v>
      </c>
      <c r="F1218" s="148" t="str">
        <f>VLOOKUP(D1218,'Danh mục hàng hóa'!$C$3:$E$656,3,0)</f>
        <v>túi</v>
      </c>
      <c r="G1218" s="324">
        <v>72250</v>
      </c>
      <c r="H1218" s="325"/>
      <c r="I1218" s="326">
        <v>1</v>
      </c>
      <c r="J1218" s="327"/>
      <c r="K1218" s="207">
        <f t="shared" si="99"/>
        <v>72250</v>
      </c>
      <c r="L1218" s="32"/>
      <c r="M1218" s="110">
        <v>56502</v>
      </c>
    </row>
    <row r="1219" spans="1:13" ht="13.2">
      <c r="A1219" s="227"/>
      <c r="B1219" s="30"/>
      <c r="C1219" s="372"/>
      <c r="D1219" s="33" t="s">
        <v>1025</v>
      </c>
      <c r="E1219" s="147" t="str">
        <f>VLOOKUP(D1219,'Danh mục hàng hóa'!$C$3:$D$643,2,0)</f>
        <v>Mô hình mèo 1</v>
      </c>
      <c r="F1219" s="148" t="str">
        <f>VLOOKUP(D1219,'Danh mục hàng hóa'!$C$3:$E$656,3,0)</f>
        <v>cái</v>
      </c>
      <c r="G1219" s="324">
        <v>37800</v>
      </c>
      <c r="H1219" s="325"/>
      <c r="I1219" s="326">
        <v>1</v>
      </c>
      <c r="J1219" s="327"/>
      <c r="K1219" s="207">
        <f t="shared" si="99"/>
        <v>37800</v>
      </c>
      <c r="L1219" s="32"/>
      <c r="M1219" s="423">
        <v>63715</v>
      </c>
    </row>
    <row r="1220" spans="1:13" ht="13.2">
      <c r="A1220" s="227"/>
      <c r="B1220" s="30"/>
      <c r="C1220" s="372"/>
      <c r="D1220" s="33" t="s">
        <v>1033</v>
      </c>
      <c r="E1220" s="147" t="str">
        <f>VLOOKUP(D1220,'Danh mục hàng hóa'!$C$3:$D$643,2,0)</f>
        <v>Mô hình mèo 5</v>
      </c>
      <c r="F1220" s="148" t="str">
        <f>VLOOKUP(D1220,'Danh mục hàng hóa'!$C$3:$E$656,3,0)</f>
        <v>cái</v>
      </c>
      <c r="G1220" s="324">
        <v>37800</v>
      </c>
      <c r="H1220" s="325"/>
      <c r="I1220" s="326">
        <v>1</v>
      </c>
      <c r="J1220" s="327"/>
      <c r="K1220" s="207">
        <f t="shared" si="99"/>
        <v>37800</v>
      </c>
      <c r="L1220" s="32"/>
      <c r="M1220" s="373"/>
    </row>
    <row r="1221" spans="1:13" ht="13.2">
      <c r="A1221" s="227"/>
      <c r="B1221" s="30"/>
      <c r="C1221" s="372"/>
      <c r="D1221" s="33" t="s">
        <v>977</v>
      </c>
      <c r="E1221" s="147" t="str">
        <f>VLOOKUP(D1221,'Danh mục hàng hóa'!$C$3:$D$643,2,0)</f>
        <v>Móc khóa đôi heo</v>
      </c>
      <c r="F1221" s="148" t="str">
        <f>VLOOKUP(D1221,'Danh mục hàng hóa'!$C$3:$E$656,3,0)</f>
        <v>cái</v>
      </c>
      <c r="G1221" s="324">
        <v>56580</v>
      </c>
      <c r="H1221" s="325"/>
      <c r="I1221" s="326">
        <v>1</v>
      </c>
      <c r="J1221" s="327"/>
      <c r="K1221" s="207">
        <f t="shared" si="99"/>
        <v>56580</v>
      </c>
      <c r="L1221" s="32"/>
      <c r="M1221" s="423">
        <v>77011</v>
      </c>
    </row>
    <row r="1222" spans="1:13" ht="13.2">
      <c r="A1222" s="227"/>
      <c r="B1222" s="30"/>
      <c r="C1222" s="372"/>
      <c r="D1222" s="33" t="s">
        <v>1076</v>
      </c>
      <c r="E1222" s="147" t="str">
        <f>VLOOKUP(D1222,'Danh mục hàng hóa'!$C$3:$D$643,2,0)</f>
        <v>Vớ trắng icon be 2</v>
      </c>
      <c r="F1222" s="148" t="str">
        <f>VLOOKUP(D1222,'Danh mục hàng hóa'!$C$3:$E$656,3,0)</f>
        <v>đôi</v>
      </c>
      <c r="G1222" s="324">
        <v>39000</v>
      </c>
      <c r="H1222" s="325"/>
      <c r="I1222" s="326">
        <v>1</v>
      </c>
      <c r="J1222" s="327"/>
      <c r="K1222" s="207">
        <f t="shared" si="99"/>
        <v>39000</v>
      </c>
      <c r="L1222" s="32"/>
      <c r="M1222" s="373"/>
    </row>
    <row r="1223" spans="1:13" ht="13.2">
      <c r="A1223" s="227"/>
      <c r="B1223" s="30"/>
      <c r="C1223" s="372"/>
      <c r="D1223" s="33" t="s">
        <v>1025</v>
      </c>
      <c r="E1223" s="147" t="str">
        <f>VLOOKUP(D1223,'Danh mục hàng hóa'!$C$3:$D$643,2,0)</f>
        <v>Mô hình mèo 1</v>
      </c>
      <c r="F1223" s="148" t="str">
        <f>VLOOKUP(D1223,'Danh mục hàng hóa'!$C$3:$E$656,3,0)</f>
        <v>cái</v>
      </c>
      <c r="G1223" s="324">
        <v>37800</v>
      </c>
      <c r="H1223" s="325"/>
      <c r="I1223" s="326">
        <v>1</v>
      </c>
      <c r="J1223" s="327"/>
      <c r="K1223" s="207">
        <f t="shared" si="99"/>
        <v>37800</v>
      </c>
      <c r="L1223" s="32"/>
      <c r="M1223" s="423">
        <v>159280</v>
      </c>
    </row>
    <row r="1224" spans="1:13" ht="13.2">
      <c r="A1224" s="227"/>
      <c r="B1224" s="30"/>
      <c r="C1224" s="372"/>
      <c r="D1224" s="33" t="s">
        <v>1027</v>
      </c>
      <c r="E1224" s="147" t="str">
        <f>VLOOKUP(D1224,'Danh mục hàng hóa'!$C$3:$D$643,2,0)</f>
        <v>Mô hình mèo 2</v>
      </c>
      <c r="F1224" s="148" t="str">
        <f>VLOOKUP(D1224,'Danh mục hàng hóa'!$C$3:$E$656,3,0)</f>
        <v>cái</v>
      </c>
      <c r="G1224" s="324">
        <v>37800</v>
      </c>
      <c r="H1224" s="325"/>
      <c r="I1224" s="326">
        <v>1</v>
      </c>
      <c r="J1224" s="327"/>
      <c r="K1224" s="207">
        <f t="shared" si="99"/>
        <v>37800</v>
      </c>
      <c r="L1224" s="32"/>
      <c r="M1224" s="372"/>
    </row>
    <row r="1225" spans="1:13" ht="13.2">
      <c r="A1225" s="227"/>
      <c r="B1225" s="30"/>
      <c r="C1225" s="372"/>
      <c r="D1225" s="33" t="s">
        <v>1029</v>
      </c>
      <c r="E1225" s="147" t="str">
        <f>VLOOKUP(D1225,'Danh mục hàng hóa'!$C$3:$D$643,2,0)</f>
        <v>Mô hình mèo 3</v>
      </c>
      <c r="F1225" s="148" t="str">
        <f>VLOOKUP(D1225,'Danh mục hàng hóa'!$C$3:$E$656,3,0)</f>
        <v>cái</v>
      </c>
      <c r="G1225" s="324">
        <v>37800</v>
      </c>
      <c r="H1225" s="325"/>
      <c r="I1225" s="326">
        <v>1</v>
      </c>
      <c r="J1225" s="327"/>
      <c r="K1225" s="207">
        <f t="shared" si="99"/>
        <v>37800</v>
      </c>
      <c r="L1225" s="32"/>
      <c r="M1225" s="372"/>
    </row>
    <row r="1226" spans="1:13" ht="13.2">
      <c r="A1226" s="227"/>
      <c r="B1226" s="30"/>
      <c r="C1226" s="372"/>
      <c r="D1226" s="33" t="s">
        <v>1031</v>
      </c>
      <c r="E1226" s="147" t="str">
        <f>VLOOKUP(D1226,'Danh mục hàng hóa'!$C$3:$D$643,2,0)</f>
        <v>Mô hình mèo 4</v>
      </c>
      <c r="F1226" s="148" t="str">
        <f>VLOOKUP(D1226,'Danh mục hàng hóa'!$C$3:$E$656,3,0)</f>
        <v>cái</v>
      </c>
      <c r="G1226" s="324">
        <v>37800</v>
      </c>
      <c r="H1226" s="325"/>
      <c r="I1226" s="326">
        <v>1</v>
      </c>
      <c r="J1226" s="327"/>
      <c r="K1226" s="207">
        <f t="shared" si="99"/>
        <v>37800</v>
      </c>
      <c r="L1226" s="32"/>
      <c r="M1226" s="372"/>
    </row>
    <row r="1227" spans="1:13" ht="13.2">
      <c r="A1227" s="227"/>
      <c r="B1227" s="30"/>
      <c r="C1227" s="372"/>
      <c r="D1227" s="33" t="s">
        <v>1033</v>
      </c>
      <c r="E1227" s="147" t="str">
        <f>VLOOKUP(D1227,'Danh mục hàng hóa'!$C$3:$D$643,2,0)</f>
        <v>Mô hình mèo 5</v>
      </c>
      <c r="F1227" s="148" t="str">
        <f>VLOOKUP(D1227,'Danh mục hàng hóa'!$C$3:$E$656,3,0)</f>
        <v>cái</v>
      </c>
      <c r="G1227" s="324">
        <v>37800</v>
      </c>
      <c r="H1227" s="325"/>
      <c r="I1227" s="326">
        <v>1</v>
      </c>
      <c r="J1227" s="327"/>
      <c r="K1227" s="207">
        <f t="shared" si="99"/>
        <v>37800</v>
      </c>
      <c r="L1227" s="32"/>
      <c r="M1227" s="373"/>
    </row>
    <row r="1228" spans="1:13" ht="13.2">
      <c r="A1228" s="227"/>
      <c r="B1228" s="30"/>
      <c r="C1228" s="372"/>
      <c r="D1228" s="33" t="s">
        <v>1025</v>
      </c>
      <c r="E1228" s="147" t="str">
        <f>VLOOKUP(D1228,'Danh mục hàng hóa'!$C$3:$D$643,2,0)</f>
        <v>Mô hình mèo 1</v>
      </c>
      <c r="F1228" s="148" t="str">
        <f>VLOOKUP(D1228,'Danh mục hàng hóa'!$C$3:$E$656,3,0)</f>
        <v>cái</v>
      </c>
      <c r="G1228" s="324">
        <v>37800</v>
      </c>
      <c r="H1228" s="325"/>
      <c r="I1228" s="326">
        <v>1</v>
      </c>
      <c r="J1228" s="327"/>
      <c r="K1228" s="207">
        <f t="shared" si="99"/>
        <v>37800</v>
      </c>
      <c r="L1228" s="32"/>
      <c r="M1228" s="423">
        <v>157520</v>
      </c>
    </row>
    <row r="1229" spans="1:13" ht="13.2">
      <c r="A1229" s="227"/>
      <c r="B1229" s="30"/>
      <c r="C1229" s="372"/>
      <c r="D1229" s="33" t="s">
        <v>1027</v>
      </c>
      <c r="E1229" s="147" t="str">
        <f>VLOOKUP(D1229,'Danh mục hàng hóa'!$C$3:$D$643,2,0)</f>
        <v>Mô hình mèo 2</v>
      </c>
      <c r="F1229" s="148" t="str">
        <f>VLOOKUP(D1229,'Danh mục hàng hóa'!$C$3:$E$656,3,0)</f>
        <v>cái</v>
      </c>
      <c r="G1229" s="324">
        <v>37800</v>
      </c>
      <c r="H1229" s="325"/>
      <c r="I1229" s="326">
        <v>1</v>
      </c>
      <c r="J1229" s="327"/>
      <c r="K1229" s="207">
        <f t="shared" si="99"/>
        <v>37800</v>
      </c>
      <c r="L1229" s="32"/>
      <c r="M1229" s="372"/>
    </row>
    <row r="1230" spans="1:13" ht="13.2">
      <c r="A1230" s="227"/>
      <c r="B1230" s="30"/>
      <c r="C1230" s="372"/>
      <c r="D1230" s="33" t="s">
        <v>1029</v>
      </c>
      <c r="E1230" s="147" t="str">
        <f>VLOOKUP(D1230,'Danh mục hàng hóa'!$C$3:$D$643,2,0)</f>
        <v>Mô hình mèo 3</v>
      </c>
      <c r="F1230" s="148" t="str">
        <f>VLOOKUP(D1230,'Danh mục hàng hóa'!$C$3:$E$656,3,0)</f>
        <v>cái</v>
      </c>
      <c r="G1230" s="324">
        <v>37800</v>
      </c>
      <c r="H1230" s="325"/>
      <c r="I1230" s="326">
        <v>1</v>
      </c>
      <c r="J1230" s="327"/>
      <c r="K1230" s="207">
        <f t="shared" si="99"/>
        <v>37800</v>
      </c>
      <c r="L1230" s="32"/>
      <c r="M1230" s="372"/>
    </row>
    <row r="1231" spans="1:13" ht="13.2">
      <c r="A1231" s="227"/>
      <c r="B1231" s="30"/>
      <c r="C1231" s="372"/>
      <c r="D1231" s="33" t="s">
        <v>1031</v>
      </c>
      <c r="E1231" s="147" t="str">
        <f>VLOOKUP(D1231,'Danh mục hàng hóa'!$C$3:$D$643,2,0)</f>
        <v>Mô hình mèo 4</v>
      </c>
      <c r="F1231" s="148" t="str">
        <f>VLOOKUP(D1231,'Danh mục hàng hóa'!$C$3:$E$656,3,0)</f>
        <v>cái</v>
      </c>
      <c r="G1231" s="324">
        <v>37800</v>
      </c>
      <c r="H1231" s="325"/>
      <c r="I1231" s="326">
        <v>1</v>
      </c>
      <c r="J1231" s="327"/>
      <c r="K1231" s="207">
        <f t="shared" si="99"/>
        <v>37800</v>
      </c>
      <c r="L1231" s="32"/>
      <c r="M1231" s="372"/>
    </row>
    <row r="1232" spans="1:13" ht="13.2">
      <c r="A1232" s="227"/>
      <c r="B1232" s="30"/>
      <c r="C1232" s="373"/>
      <c r="D1232" s="33" t="s">
        <v>1033</v>
      </c>
      <c r="E1232" s="147" t="str">
        <f>VLOOKUP(D1232,'Danh mục hàng hóa'!$C$3:$D$643,2,0)</f>
        <v>Mô hình mèo 5</v>
      </c>
      <c r="F1232" s="148" t="str">
        <f>VLOOKUP(D1232,'Danh mục hàng hóa'!$C$3:$E$656,3,0)</f>
        <v>cái</v>
      </c>
      <c r="G1232" s="324">
        <v>37800</v>
      </c>
      <c r="H1232" s="325"/>
      <c r="I1232" s="326">
        <v>1</v>
      </c>
      <c r="J1232" s="327"/>
      <c r="K1232" s="207">
        <f t="shared" si="99"/>
        <v>37800</v>
      </c>
      <c r="L1232" s="32"/>
      <c r="M1232" s="373"/>
    </row>
    <row r="1233" spans="1:13" ht="13.2">
      <c r="A1233" s="227"/>
      <c r="B1233" s="30"/>
      <c r="C1233" s="409">
        <v>45375</v>
      </c>
      <c r="D1233" s="45" t="s">
        <v>392</v>
      </c>
      <c r="E1233" s="208" t="str">
        <f>VLOOKUP(D1233,'Danh mục hàng hóa'!$C$3:$D$643,2,0)</f>
        <v>Túi chườm bụng trái bơ 1000ml</v>
      </c>
      <c r="F1233" s="209" t="str">
        <f>VLOOKUP(D1233,'Danh mục hàng hóa'!$C$3:$E$656,3,0)</f>
        <v>túi</v>
      </c>
      <c r="G1233" s="358">
        <v>101150</v>
      </c>
      <c r="H1233" s="359"/>
      <c r="I1233" s="360">
        <v>1</v>
      </c>
      <c r="J1233" s="361"/>
      <c r="K1233" s="210">
        <f t="shared" si="99"/>
        <v>101150</v>
      </c>
      <c r="L1233" s="44"/>
      <c r="M1233" s="362">
        <v>79452</v>
      </c>
    </row>
    <row r="1234" spans="1:13" ht="13.2">
      <c r="A1234" s="227"/>
      <c r="B1234" s="30"/>
      <c r="C1234" s="373"/>
      <c r="D1234" s="45" t="s">
        <v>977</v>
      </c>
      <c r="E1234" s="208" t="str">
        <f>VLOOKUP(D1234,'Danh mục hàng hóa'!$C$3:$D$643,2,0)</f>
        <v>Móc khóa đôi heo</v>
      </c>
      <c r="F1234" s="209" t="str">
        <f>VLOOKUP(D1234,'Danh mục hàng hóa'!$C$3:$E$656,3,0)</f>
        <v>cái</v>
      </c>
      <c r="G1234" s="358">
        <v>57922</v>
      </c>
      <c r="H1234" s="359"/>
      <c r="I1234" s="360">
        <v>1</v>
      </c>
      <c r="J1234" s="361"/>
      <c r="K1234" s="210">
        <f t="shared" si="99"/>
        <v>57922</v>
      </c>
      <c r="L1234" s="44"/>
      <c r="M1234" s="362">
        <v>44531</v>
      </c>
    </row>
    <row r="1235" spans="1:13" ht="13.2">
      <c r="A1235" s="227"/>
      <c r="B1235" s="30"/>
      <c r="C1235" s="410">
        <v>45376</v>
      </c>
      <c r="D1235" s="33" t="s">
        <v>981</v>
      </c>
      <c r="E1235" s="147" t="str">
        <f>VLOOKUP(D1235,'Danh mục hàng hóa'!$C$3:$D$643,2,0)</f>
        <v>Móc khóa đôi corgy</v>
      </c>
      <c r="F1235" s="148" t="str">
        <f>VLOOKUP(D1235,'Danh mục hàng hóa'!$C$3:$E$656,3,0)</f>
        <v>cái</v>
      </c>
      <c r="G1235" s="324">
        <v>56580</v>
      </c>
      <c r="H1235" s="325"/>
      <c r="I1235" s="326">
        <v>1</v>
      </c>
      <c r="J1235" s="327"/>
      <c r="K1235" s="207">
        <f t="shared" si="99"/>
        <v>56580</v>
      </c>
      <c r="L1235" s="32"/>
      <c r="M1235" s="110">
        <v>44751</v>
      </c>
    </row>
    <row r="1236" spans="1:13" ht="13.2">
      <c r="A1236" s="227"/>
      <c r="B1236" s="30"/>
      <c r="C1236" s="372"/>
      <c r="D1236" s="33" t="s">
        <v>983</v>
      </c>
      <c r="E1236" s="147" t="str">
        <f>VLOOKUP(D1236,'Danh mục hàng hóa'!$C$3:$D$643,2,0)</f>
        <v>Móc khoá đôi thỏ</v>
      </c>
      <c r="F1236" s="148" t="str">
        <f>VLOOKUP(D1236,'Danh mục hàng hóa'!$C$3:$E$656,3,0)</f>
        <v>cái</v>
      </c>
      <c r="G1236" s="324">
        <v>56580</v>
      </c>
      <c r="H1236" s="325"/>
      <c r="I1236" s="326">
        <v>1</v>
      </c>
      <c r="J1236" s="327"/>
      <c r="K1236" s="207">
        <f t="shared" si="99"/>
        <v>56580</v>
      </c>
      <c r="L1236" s="32"/>
      <c r="M1236" s="110">
        <v>44751</v>
      </c>
    </row>
    <row r="1237" spans="1:13" ht="13.2">
      <c r="A1237" s="227"/>
      <c r="B1237" s="30"/>
      <c r="C1237" s="372"/>
      <c r="D1237" s="33" t="s">
        <v>426</v>
      </c>
      <c r="E1237" s="147" t="str">
        <f>VLOOKUP(D1237,'Danh mục hàng hóa'!$C$3:$D$643,2,0)</f>
        <v>Túi chườm bụng thỏ hồng 500ml</v>
      </c>
      <c r="F1237" s="148" t="str">
        <f>VLOOKUP(D1237,'Danh mục hàng hóa'!$C$3:$E$656,3,0)</f>
        <v>túi</v>
      </c>
      <c r="G1237" s="324">
        <v>72250</v>
      </c>
      <c r="H1237" s="325"/>
      <c r="I1237" s="326">
        <v>1</v>
      </c>
      <c r="J1237" s="327"/>
      <c r="K1237" s="207">
        <f t="shared" si="99"/>
        <v>72250</v>
      </c>
      <c r="L1237" s="32"/>
      <c r="M1237" s="110">
        <v>57222</v>
      </c>
    </row>
    <row r="1238" spans="1:13" ht="13.2">
      <c r="A1238" s="227"/>
      <c r="B1238" s="30"/>
      <c r="C1238" s="373"/>
      <c r="D1238" s="33" t="s">
        <v>744</v>
      </c>
      <c r="E1238" s="147" t="str">
        <f>VLOOKUP(D1238,'Danh mục hàng hóa'!$C$3:$D$643,2,0)</f>
        <v>Kẹp tóc hoa sứ đỏ hồng đậm</v>
      </c>
      <c r="F1238" s="148" t="str">
        <f>VLOOKUP(D1238,'Danh mục hàng hóa'!$C$3:$E$656,3,0)</f>
        <v>cái</v>
      </c>
      <c r="G1238" s="324">
        <v>18500</v>
      </c>
      <c r="H1238" s="325"/>
      <c r="I1238" s="326">
        <v>1</v>
      </c>
      <c r="J1238" s="327"/>
      <c r="K1238" s="207">
        <f t="shared" si="99"/>
        <v>18500</v>
      </c>
      <c r="L1238" s="32"/>
      <c r="M1238" s="110">
        <v>16220</v>
      </c>
    </row>
    <row r="1239" spans="1:13" ht="13.2">
      <c r="A1239" s="227"/>
      <c r="B1239" s="30"/>
      <c r="C1239" s="409">
        <v>45377</v>
      </c>
      <c r="D1239" s="45" t="s">
        <v>788</v>
      </c>
      <c r="E1239" s="208" t="str">
        <f>VLOOKUP(D1239,'Danh mục hàng hóa'!$C$3:$D$643,2,0)</f>
        <v>Kẹp tóc bướm hồng phấn</v>
      </c>
      <c r="F1239" s="209" t="str">
        <f>VLOOKUP(D1239,'Danh mục hàng hóa'!$C$3:$E$656,3,0)</f>
        <v>cái</v>
      </c>
      <c r="G1239" s="358">
        <v>34200</v>
      </c>
      <c r="H1239" s="359"/>
      <c r="I1239" s="360">
        <v>1</v>
      </c>
      <c r="J1239" s="361"/>
      <c r="K1239" s="210">
        <f t="shared" si="99"/>
        <v>34200</v>
      </c>
      <c r="L1239" s="44"/>
      <c r="M1239" s="362">
        <v>29816</v>
      </c>
    </row>
    <row r="1240" spans="1:13" ht="13.2">
      <c r="A1240" s="227"/>
      <c r="B1240" s="30"/>
      <c r="C1240" s="372"/>
      <c r="D1240" s="45" t="s">
        <v>981</v>
      </c>
      <c r="E1240" s="208" t="str">
        <f>VLOOKUP(D1240,'Danh mục hàng hóa'!$C$3:$D$643,2,0)</f>
        <v>Móc khóa đôi corgy</v>
      </c>
      <c r="F1240" s="209" t="str">
        <f>VLOOKUP(D1240,'Danh mục hàng hóa'!$C$3:$E$656,3,0)</f>
        <v>cái</v>
      </c>
      <c r="G1240" s="358">
        <v>56580</v>
      </c>
      <c r="H1240" s="359"/>
      <c r="I1240" s="360">
        <v>1</v>
      </c>
      <c r="J1240" s="361"/>
      <c r="K1240" s="210">
        <f t="shared" ref="K1240:K1482" si="101">G1240*I1240</f>
        <v>56580</v>
      </c>
      <c r="L1240" s="44"/>
      <c r="M1240" s="362">
        <v>52491</v>
      </c>
    </row>
    <row r="1241" spans="1:13" ht="13.2">
      <c r="A1241" s="227"/>
      <c r="B1241" s="30"/>
      <c r="C1241" s="372"/>
      <c r="D1241" s="45" t="s">
        <v>985</v>
      </c>
      <c r="E1241" s="208" t="str">
        <f>VLOOKUP(D1241,'Danh mục hàng hóa'!$C$3:$D$643,2,0)</f>
        <v>Móc khóa đôi gấu trúc</v>
      </c>
      <c r="F1241" s="209" t="str">
        <f>VLOOKUP(D1241,'Danh mục hàng hóa'!$C$3:$E$656,3,0)</f>
        <v>cái</v>
      </c>
      <c r="G1241" s="358">
        <v>56580</v>
      </c>
      <c r="H1241" s="359"/>
      <c r="I1241" s="360">
        <v>1</v>
      </c>
      <c r="J1241" s="361"/>
      <c r="K1241" s="210">
        <f t="shared" si="101"/>
        <v>56580</v>
      </c>
      <c r="L1241" s="44"/>
      <c r="M1241" s="429">
        <v>76693</v>
      </c>
    </row>
    <row r="1242" spans="1:13" ht="13.2">
      <c r="A1242" s="227"/>
      <c r="B1242" s="30"/>
      <c r="C1242" s="372"/>
      <c r="D1242" s="45" t="s">
        <v>1033</v>
      </c>
      <c r="E1242" s="208" t="str">
        <f>VLOOKUP(D1242,'Danh mục hàng hóa'!$C$3:$D$643,2,0)</f>
        <v>Mô hình mèo 5</v>
      </c>
      <c r="F1242" s="209" t="str">
        <f>VLOOKUP(D1242,'Danh mục hàng hóa'!$C$3:$E$656,3,0)</f>
        <v>cái</v>
      </c>
      <c r="G1242" s="358">
        <v>42000</v>
      </c>
      <c r="H1242" s="359"/>
      <c r="I1242" s="360">
        <v>1</v>
      </c>
      <c r="J1242" s="361"/>
      <c r="K1242" s="210">
        <f t="shared" si="101"/>
        <v>42000</v>
      </c>
      <c r="L1242" s="44"/>
      <c r="M1242" s="373"/>
    </row>
    <row r="1243" spans="1:13" ht="13.2">
      <c r="A1243" s="227"/>
      <c r="B1243" s="30"/>
      <c r="C1243" s="373"/>
      <c r="D1243" s="45" t="s">
        <v>977</v>
      </c>
      <c r="E1243" s="208" t="str">
        <f>VLOOKUP(D1243,'Danh mục hàng hóa'!$C$3:$D$643,2,0)</f>
        <v>Móc khóa đôi heo</v>
      </c>
      <c r="F1243" s="209" t="str">
        <f>VLOOKUP(D1243,'Danh mục hàng hóa'!$C$3:$E$656,3,0)</f>
        <v>cái</v>
      </c>
      <c r="G1243" s="358">
        <v>56580</v>
      </c>
      <c r="H1243" s="359"/>
      <c r="I1243" s="360">
        <v>1</v>
      </c>
      <c r="J1243" s="361"/>
      <c r="K1243" s="210">
        <f t="shared" si="101"/>
        <v>56580</v>
      </c>
      <c r="L1243" s="44"/>
      <c r="M1243" s="362">
        <v>44471</v>
      </c>
    </row>
    <row r="1244" spans="1:13" ht="13.2">
      <c r="A1244" s="227"/>
      <c r="B1244" s="30"/>
      <c r="C1244" s="410">
        <v>45378</v>
      </c>
      <c r="D1244" s="33" t="s">
        <v>985</v>
      </c>
      <c r="E1244" s="147" t="str">
        <f>VLOOKUP(D1244,'Danh mục hàng hóa'!$C$3:$D$643,2,0)</f>
        <v>Móc khóa đôi gấu trúc</v>
      </c>
      <c r="F1244" s="148" t="str">
        <f>VLOOKUP(D1244,'Danh mục hàng hóa'!$C$3:$E$656,3,0)</f>
        <v>cái</v>
      </c>
      <c r="G1244" s="324">
        <v>56580</v>
      </c>
      <c r="H1244" s="325"/>
      <c r="I1244" s="326">
        <v>1</v>
      </c>
      <c r="J1244" s="327"/>
      <c r="K1244" s="207">
        <f t="shared" si="101"/>
        <v>56580</v>
      </c>
      <c r="L1244" s="32"/>
      <c r="M1244" s="110">
        <v>49731</v>
      </c>
    </row>
    <row r="1245" spans="1:13" ht="13.2">
      <c r="A1245" s="227"/>
      <c r="B1245" s="30"/>
      <c r="C1245" s="372"/>
      <c r="D1245" s="33" t="s">
        <v>790</v>
      </c>
      <c r="E1245" s="147" t="str">
        <f>VLOOKUP(D1245,'Danh mục hàng hóa'!$C$3:$D$643,2,0)</f>
        <v xml:space="preserve">Kẹp tóc bướm hồng </v>
      </c>
      <c r="F1245" s="148" t="str">
        <f>VLOOKUP(D1245,'Danh mục hàng hóa'!$C$3:$E$656,3,0)</f>
        <v>cái</v>
      </c>
      <c r="G1245" s="324">
        <v>34200</v>
      </c>
      <c r="H1245" s="325"/>
      <c r="I1245" s="326">
        <v>1</v>
      </c>
      <c r="J1245" s="327"/>
      <c r="K1245" s="207">
        <f t="shared" si="101"/>
        <v>34200</v>
      </c>
      <c r="L1245" s="32"/>
      <c r="M1245" s="423">
        <v>89936</v>
      </c>
    </row>
    <row r="1246" spans="1:13" ht="13.2">
      <c r="A1246" s="227"/>
      <c r="B1246" s="30"/>
      <c r="C1246" s="372"/>
      <c r="D1246" s="33" t="s">
        <v>792</v>
      </c>
      <c r="E1246" s="147" t="str">
        <f>VLOOKUP(D1246,'Danh mục hàng hóa'!$C$3:$D$643,2,0)</f>
        <v>Kẹp tóc bướm xanh ngọc</v>
      </c>
      <c r="F1246" s="148" t="str">
        <f>VLOOKUP(D1246,'Danh mục hàng hóa'!$C$3:$E$656,3,0)</f>
        <v>cái</v>
      </c>
      <c r="G1246" s="324">
        <v>34200</v>
      </c>
      <c r="H1246" s="325"/>
      <c r="I1246" s="326">
        <v>1</v>
      </c>
      <c r="J1246" s="327"/>
      <c r="K1246" s="207">
        <f t="shared" si="101"/>
        <v>34200</v>
      </c>
      <c r="L1246" s="32"/>
      <c r="M1246" s="372"/>
    </row>
    <row r="1247" spans="1:13" ht="13.2">
      <c r="A1247" s="227"/>
      <c r="B1247" s="30"/>
      <c r="C1247" s="372"/>
      <c r="D1247" s="33" t="s">
        <v>794</v>
      </c>
      <c r="E1247" s="147" t="str">
        <f>VLOOKUP(D1247,'Danh mục hàng hóa'!$C$3:$D$643,2,0)</f>
        <v>Kẹp tóc bướm xanh tím</v>
      </c>
      <c r="F1247" s="148" t="str">
        <f>VLOOKUP(D1247,'Danh mục hàng hóa'!$C$3:$E$656,3,0)</f>
        <v>cái</v>
      </c>
      <c r="G1247" s="324">
        <v>34200</v>
      </c>
      <c r="H1247" s="325"/>
      <c r="I1247" s="326">
        <v>1</v>
      </c>
      <c r="J1247" s="327"/>
      <c r="K1247" s="207">
        <f t="shared" si="101"/>
        <v>34200</v>
      </c>
      <c r="L1247" s="32"/>
      <c r="M1247" s="373"/>
    </row>
    <row r="1248" spans="1:13" ht="13.2">
      <c r="A1248" s="227"/>
      <c r="B1248" s="30"/>
      <c r="C1248" s="372"/>
      <c r="D1248" s="33" t="s">
        <v>985</v>
      </c>
      <c r="E1248" s="147" t="str">
        <f>VLOOKUP(D1248,'Danh mục hàng hóa'!$C$3:$D$643,2,0)</f>
        <v>Móc khóa đôi gấu trúc</v>
      </c>
      <c r="F1248" s="148" t="str">
        <f>VLOOKUP(D1248,'Danh mục hàng hóa'!$C$3:$E$656,3,0)</f>
        <v>cái</v>
      </c>
      <c r="G1248" s="324">
        <v>56580</v>
      </c>
      <c r="H1248" s="325"/>
      <c r="I1248" s="326">
        <v>1</v>
      </c>
      <c r="J1248" s="327"/>
      <c r="K1248" s="207">
        <f t="shared" si="101"/>
        <v>56580</v>
      </c>
      <c r="L1248" s="32"/>
      <c r="M1248" s="110">
        <v>44751</v>
      </c>
    </row>
    <row r="1249" spans="1:13" ht="13.2">
      <c r="A1249" s="227"/>
      <c r="B1249" s="30"/>
      <c r="C1249" s="372"/>
      <c r="D1249" s="33" t="s">
        <v>882</v>
      </c>
      <c r="E1249" s="147" t="str">
        <f>VLOOKUP(D1249,'Danh mục hàng hóa'!$C$3:$D$643,2,0)</f>
        <v>Dao rọc giấy gấu nâu</v>
      </c>
      <c r="F1249" s="148" t="str">
        <f>VLOOKUP(D1249,'Danh mục hàng hóa'!$C$3:$E$656,3,0)</f>
        <v>cái</v>
      </c>
      <c r="G1249" s="324">
        <v>9000</v>
      </c>
      <c r="H1249" s="325"/>
      <c r="I1249" s="326">
        <v>1</v>
      </c>
      <c r="J1249" s="327"/>
      <c r="K1249" s="207">
        <f t="shared" si="101"/>
        <v>9000</v>
      </c>
      <c r="L1249" s="32"/>
      <c r="M1249" s="423">
        <v>84931</v>
      </c>
    </row>
    <row r="1250" spans="1:13" ht="13.2">
      <c r="A1250" s="227"/>
      <c r="B1250" s="30"/>
      <c r="C1250" s="372"/>
      <c r="D1250" s="33" t="s">
        <v>1040</v>
      </c>
      <c r="E1250" s="147" t="str">
        <f>VLOOKUP(D1250,'Danh mục hàng hóa'!$C$3:$D$643,2,0)</f>
        <v>Vớ cổ ngắn trắng thêu họa tiết mẫu 3</v>
      </c>
      <c r="F1250" s="148" t="str">
        <f>VLOOKUP(D1250,'Danh mục hàng hóa'!$C$3:$E$656,3,0)</f>
        <v>đôi</v>
      </c>
      <c r="G1250" s="324">
        <v>39000</v>
      </c>
      <c r="H1250" s="325"/>
      <c r="I1250" s="326">
        <v>1</v>
      </c>
      <c r="J1250" s="327"/>
      <c r="K1250" s="207">
        <f t="shared" si="101"/>
        <v>39000</v>
      </c>
      <c r="L1250" s="32"/>
      <c r="M1250" s="372"/>
    </row>
    <row r="1251" spans="1:13" ht="13.2">
      <c r="A1251" s="227"/>
      <c r="B1251" s="30"/>
      <c r="C1251" s="372"/>
      <c r="D1251" s="33" t="s">
        <v>977</v>
      </c>
      <c r="E1251" s="147" t="str">
        <f>VLOOKUP(D1251,'Danh mục hàng hóa'!$C$3:$D$643,2,0)</f>
        <v>Móc khóa đôi heo</v>
      </c>
      <c r="F1251" s="148" t="str">
        <f>VLOOKUP(D1251,'Danh mục hàng hóa'!$C$3:$E$656,3,0)</f>
        <v>cái</v>
      </c>
      <c r="G1251" s="324">
        <v>56580</v>
      </c>
      <c r="H1251" s="325"/>
      <c r="I1251" s="326">
        <v>1</v>
      </c>
      <c r="J1251" s="327"/>
      <c r="K1251" s="207">
        <f t="shared" si="101"/>
        <v>56580</v>
      </c>
      <c r="L1251" s="32"/>
      <c r="M1251" s="373"/>
    </row>
    <row r="1252" spans="1:13" ht="13.2">
      <c r="A1252" s="227"/>
      <c r="B1252" s="30"/>
      <c r="C1252" s="372"/>
      <c r="D1252" s="33" t="s">
        <v>977</v>
      </c>
      <c r="E1252" s="147" t="str">
        <f>VLOOKUP(D1252,'Danh mục hàng hóa'!$C$3:$D$643,2,0)</f>
        <v>Móc khóa đôi heo</v>
      </c>
      <c r="F1252" s="148" t="str">
        <f>VLOOKUP(D1252,'Danh mục hàng hóa'!$C$3:$E$656,3,0)</f>
        <v>cái</v>
      </c>
      <c r="G1252" s="324">
        <v>56580</v>
      </c>
      <c r="H1252" s="325"/>
      <c r="I1252" s="326">
        <v>1</v>
      </c>
      <c r="J1252" s="327"/>
      <c r="K1252" s="207">
        <f t="shared" si="101"/>
        <v>56580</v>
      </c>
      <c r="L1252" s="32"/>
      <c r="M1252" s="110">
        <v>44051</v>
      </c>
    </row>
    <row r="1253" spans="1:13" ht="13.8">
      <c r="A1253" s="227"/>
      <c r="B1253" s="30"/>
      <c r="C1253" s="372"/>
      <c r="D1253" s="214" t="s">
        <v>495</v>
      </c>
      <c r="E1253" s="147" t="str">
        <f>VLOOKUP(D1253,'Danh mục hàng hóa'!$C$3:$D$643,2,0)</f>
        <v>Trâm cài 07</v>
      </c>
      <c r="F1253" s="148" t="str">
        <f>VLOOKUP(D1253,'Danh mục hàng hóa'!$C$3:$E$656,3,0)</f>
        <v>cây</v>
      </c>
      <c r="G1253" s="324">
        <v>18000</v>
      </c>
      <c r="H1253" s="325"/>
      <c r="I1253" s="326">
        <v>1</v>
      </c>
      <c r="J1253" s="327"/>
      <c r="K1253" s="207">
        <f t="shared" si="101"/>
        <v>18000</v>
      </c>
      <c r="L1253" s="32"/>
      <c r="M1253" s="423">
        <f>18000*2</f>
        <v>36000</v>
      </c>
    </row>
    <row r="1254" spans="1:13" ht="13.2">
      <c r="A1254" s="227"/>
      <c r="B1254" s="30"/>
      <c r="C1254" s="372"/>
      <c r="D1254" s="33" t="s">
        <v>480</v>
      </c>
      <c r="E1254" s="147" t="str">
        <f>VLOOKUP(D1254,'Danh mục hàng hóa'!$C$3:$D$643,2,0)</f>
        <v>Trâm cài gỗ nâu có họa tiết</v>
      </c>
      <c r="F1254" s="148" t="str">
        <f>VLOOKUP(D1254,'Danh mục hàng hóa'!$C$3:$E$656,3,0)</f>
        <v>cái</v>
      </c>
      <c r="G1254" s="324">
        <v>18000</v>
      </c>
      <c r="H1254" s="325"/>
      <c r="I1254" s="326">
        <v>1</v>
      </c>
      <c r="J1254" s="327"/>
      <c r="K1254" s="207">
        <f t="shared" si="101"/>
        <v>18000</v>
      </c>
      <c r="L1254" s="32"/>
      <c r="M1254" s="373"/>
    </row>
    <row r="1255" spans="1:13" ht="13.2">
      <c r="A1255" s="227"/>
      <c r="B1255" s="30"/>
      <c r="C1255" s="372"/>
      <c r="D1255" s="33" t="s">
        <v>786</v>
      </c>
      <c r="E1255" s="147" t="str">
        <f>VLOOKUP(D1255,'Danh mục hàng hóa'!$C$3:$D$643,2,0)</f>
        <v>Kẹp tóc hoa lan 08</v>
      </c>
      <c r="F1255" s="148" t="str">
        <f>VLOOKUP(D1255,'Danh mục hàng hóa'!$C$3:$E$656,3,0)</f>
        <v>cái</v>
      </c>
      <c r="G1255" s="324">
        <v>12000</v>
      </c>
      <c r="H1255" s="325"/>
      <c r="I1255" s="326">
        <v>1</v>
      </c>
      <c r="J1255" s="327"/>
      <c r="K1255" s="207">
        <f t="shared" si="101"/>
        <v>12000</v>
      </c>
      <c r="L1255" s="32"/>
      <c r="M1255" s="110">
        <v>12000</v>
      </c>
    </row>
    <row r="1256" spans="1:13" ht="13.2">
      <c r="A1256" s="227"/>
      <c r="B1256" s="30"/>
      <c r="C1256" s="372"/>
      <c r="D1256" s="33" t="s">
        <v>2193</v>
      </c>
      <c r="E1256" s="147" t="e">
        <f>VLOOKUP(D1256,'Danh mục hàng hóa'!$C$3:$D$643,2,0)</f>
        <v>#N/A</v>
      </c>
      <c r="F1256" s="148" t="e">
        <f>VLOOKUP(D1256,'Danh mục hàng hóa'!$C$3:$E$656,3,0)</f>
        <v>#N/A</v>
      </c>
      <c r="G1256" s="324">
        <v>12000</v>
      </c>
      <c r="H1256" s="325"/>
      <c r="I1256" s="326">
        <v>1</v>
      </c>
      <c r="J1256" s="327"/>
      <c r="K1256" s="207">
        <f t="shared" si="101"/>
        <v>12000</v>
      </c>
      <c r="L1256" s="32"/>
      <c r="M1256" s="110">
        <v>12000</v>
      </c>
    </row>
    <row r="1257" spans="1:13" ht="13.2">
      <c r="A1257" s="227"/>
      <c r="B1257" s="30"/>
      <c r="C1257" s="372"/>
      <c r="D1257" s="33" t="s">
        <v>764</v>
      </c>
      <c r="E1257" s="147" t="str">
        <f>VLOOKUP(D1257,'Danh mục hàng hóa'!$C$3:$D$643,2,0)</f>
        <v>Kẹp tóc hồng nhạt trơn</v>
      </c>
      <c r="F1257" s="148" t="str">
        <f>VLOOKUP(D1257,'Danh mục hàng hóa'!$C$3:$E$656,3,0)</f>
        <v>cái</v>
      </c>
      <c r="G1257" s="324">
        <v>12000</v>
      </c>
      <c r="H1257" s="325"/>
      <c r="I1257" s="326">
        <v>1</v>
      </c>
      <c r="J1257" s="327"/>
      <c r="K1257" s="207">
        <f t="shared" si="101"/>
        <v>12000</v>
      </c>
      <c r="L1257" s="32"/>
      <c r="M1257" s="110">
        <v>12000</v>
      </c>
    </row>
    <row r="1258" spans="1:13" ht="13.2">
      <c r="A1258" s="227"/>
      <c r="B1258" s="30"/>
      <c r="C1258" s="372"/>
      <c r="D1258" s="33" t="s">
        <v>796</v>
      </c>
      <c r="E1258" s="147" t="str">
        <f>VLOOKUP(D1258,'Danh mục hàng hóa'!$C$3:$D$643,2,0)</f>
        <v>Kẹp tóc bướm tím</v>
      </c>
      <c r="F1258" s="148" t="str">
        <f>VLOOKUP(D1258,'Danh mục hàng hóa'!$C$3:$E$656,3,0)</f>
        <v>cái</v>
      </c>
      <c r="G1258" s="324">
        <v>28000</v>
      </c>
      <c r="H1258" s="325"/>
      <c r="I1258" s="326">
        <v>1</v>
      </c>
      <c r="J1258" s="327"/>
      <c r="K1258" s="207">
        <f t="shared" si="101"/>
        <v>28000</v>
      </c>
      <c r="L1258" s="32"/>
      <c r="M1258" s="110">
        <v>28000</v>
      </c>
    </row>
    <row r="1259" spans="1:13" ht="13.2">
      <c r="A1259" s="227"/>
      <c r="B1259" s="30"/>
      <c r="C1259" s="373"/>
      <c r="D1259" s="33" t="s">
        <v>798</v>
      </c>
      <c r="E1259" s="147" t="str">
        <f>VLOOKUP(D1259,'Danh mục hàng hóa'!$C$3:$D$643,2,0)</f>
        <v>Kẹp tóc bướm trắng</v>
      </c>
      <c r="F1259" s="148" t="str">
        <f>VLOOKUP(D1259,'Danh mục hàng hóa'!$C$3:$E$656,3,0)</f>
        <v>cái</v>
      </c>
      <c r="G1259" s="324">
        <v>28000</v>
      </c>
      <c r="H1259" s="325"/>
      <c r="I1259" s="326">
        <v>1</v>
      </c>
      <c r="J1259" s="327"/>
      <c r="K1259" s="207">
        <f t="shared" si="101"/>
        <v>28000</v>
      </c>
      <c r="L1259" s="32"/>
      <c r="M1259" s="110">
        <v>28000</v>
      </c>
    </row>
    <row r="1260" spans="1:13" ht="13.2">
      <c r="A1260" s="227"/>
      <c r="B1260" s="30"/>
      <c r="C1260" s="396">
        <v>45379</v>
      </c>
      <c r="D1260" s="28" t="s">
        <v>959</v>
      </c>
      <c r="E1260" s="208" t="str">
        <f>VLOOKUP(D1260,'Danh mục hàng hóa'!$C$3:$D$643,2,0)</f>
        <v>Vịt vàng treo gương</v>
      </c>
      <c r="F1260" s="209" t="str">
        <f>VLOOKUP(D1260,'Danh mục hàng hóa'!$C$3:$E$656,3,0)</f>
        <v>cái</v>
      </c>
      <c r="G1260" s="358">
        <v>155000</v>
      </c>
      <c r="H1260" s="359"/>
      <c r="I1260" s="360">
        <v>1</v>
      </c>
      <c r="J1260" s="361"/>
      <c r="K1260" s="210">
        <f t="shared" si="101"/>
        <v>155000</v>
      </c>
      <c r="L1260" s="30"/>
      <c r="M1260" s="100">
        <v>129360</v>
      </c>
    </row>
    <row r="1261" spans="1:13" ht="13.2">
      <c r="A1261" s="227"/>
      <c r="B1261" s="30"/>
      <c r="C1261" s="372"/>
      <c r="D1261" s="28" t="s">
        <v>895</v>
      </c>
      <c r="E1261" s="208" t="str">
        <f>VLOOKUP(D1261,'Danh mục hàng hóa'!$C$3:$D$643,2,0)</f>
        <v>Thỏ chong chóng</v>
      </c>
      <c r="F1261" s="209" t="str">
        <f>VLOOKUP(D1261,'Danh mục hàng hóa'!$C$3:$E$656,3,0)</f>
        <v>cái</v>
      </c>
      <c r="G1261" s="358">
        <v>54145</v>
      </c>
      <c r="H1261" s="359"/>
      <c r="I1261" s="360">
        <v>1</v>
      </c>
      <c r="J1261" s="361"/>
      <c r="K1261" s="210">
        <f t="shared" si="101"/>
        <v>54145</v>
      </c>
      <c r="L1261" s="30"/>
      <c r="M1261" s="422">
        <v>70210</v>
      </c>
    </row>
    <row r="1262" spans="1:13" ht="13.2">
      <c r="A1262" s="227"/>
      <c r="B1262" s="30"/>
      <c r="C1262" s="372"/>
      <c r="D1262" s="28" t="s">
        <v>796</v>
      </c>
      <c r="E1262" s="208" t="str">
        <f>VLOOKUP(D1262,'Danh mục hàng hóa'!$C$3:$D$643,2,0)</f>
        <v>Kẹp tóc bướm tím</v>
      </c>
      <c r="F1262" s="209" t="str">
        <f>VLOOKUP(D1262,'Danh mục hàng hóa'!$C$3:$E$656,3,0)</f>
        <v>cái</v>
      </c>
      <c r="G1262" s="358">
        <v>34580</v>
      </c>
      <c r="H1262" s="359"/>
      <c r="I1262" s="360">
        <v>1</v>
      </c>
      <c r="J1262" s="361"/>
      <c r="K1262" s="210">
        <f t="shared" si="101"/>
        <v>34580</v>
      </c>
      <c r="L1262" s="30"/>
      <c r="M1262" s="373"/>
    </row>
    <row r="1263" spans="1:13" ht="13.2">
      <c r="A1263" s="227"/>
      <c r="B1263" s="30"/>
      <c r="C1263" s="372"/>
      <c r="D1263" s="28" t="s">
        <v>893</v>
      </c>
      <c r="E1263" s="208" t="str">
        <f>VLOOKUP(D1263,'Danh mục hàng hóa'!$C$3:$D$643,2,0)</f>
        <v>Heo ú bay</v>
      </c>
      <c r="F1263" s="209" t="str">
        <f>VLOOKUP(D1263,'Danh mục hàng hóa'!$C$3:$E$656,3,0)</f>
        <v>cái</v>
      </c>
      <c r="G1263" s="358">
        <v>59340</v>
      </c>
      <c r="H1263" s="359"/>
      <c r="I1263" s="360">
        <v>1</v>
      </c>
      <c r="J1263" s="361"/>
      <c r="K1263" s="210">
        <f t="shared" si="101"/>
        <v>59340</v>
      </c>
      <c r="L1263" s="30"/>
      <c r="M1263" s="100">
        <v>46938</v>
      </c>
    </row>
    <row r="1264" spans="1:13" ht="13.2">
      <c r="A1264" s="227"/>
      <c r="B1264" s="30"/>
      <c r="C1264" s="372"/>
      <c r="D1264" s="28" t="s">
        <v>977</v>
      </c>
      <c r="E1264" s="208" t="str">
        <f>VLOOKUP(D1264,'Danh mục hàng hóa'!$C$3:$D$643,2,0)</f>
        <v>Móc khóa đôi heo</v>
      </c>
      <c r="F1264" s="209" t="str">
        <f>VLOOKUP(D1264,'Danh mục hàng hóa'!$C$3:$E$656,3,0)</f>
        <v>cái</v>
      </c>
      <c r="G1264" s="358">
        <v>56580</v>
      </c>
      <c r="H1264" s="359"/>
      <c r="I1264" s="360">
        <v>1</v>
      </c>
      <c r="J1264" s="361"/>
      <c r="K1264" s="210">
        <f t="shared" si="101"/>
        <v>56580</v>
      </c>
      <c r="L1264" s="30"/>
      <c r="M1264" s="100">
        <v>44751</v>
      </c>
    </row>
    <row r="1265" spans="1:13" ht="13.2">
      <c r="A1265" s="227"/>
      <c r="B1265" s="30"/>
      <c r="C1265" s="372"/>
      <c r="D1265" s="28" t="s">
        <v>981</v>
      </c>
      <c r="E1265" s="208" t="str">
        <f>VLOOKUP(D1265,'Danh mục hàng hóa'!$C$3:$D$643,2,0)</f>
        <v>Móc khóa đôi corgy</v>
      </c>
      <c r="F1265" s="209" t="str">
        <f>VLOOKUP(D1265,'Danh mục hàng hóa'!$C$3:$E$656,3,0)</f>
        <v>cái</v>
      </c>
      <c r="G1265" s="358">
        <v>58422</v>
      </c>
      <c r="H1265" s="359"/>
      <c r="I1265" s="360">
        <v>1</v>
      </c>
      <c r="J1265" s="361"/>
      <c r="K1265" s="210">
        <f t="shared" si="101"/>
        <v>58422</v>
      </c>
      <c r="L1265" s="30"/>
      <c r="M1265" s="100">
        <v>44511</v>
      </c>
    </row>
    <row r="1266" spans="1:13" ht="13.2">
      <c r="A1266" s="227"/>
      <c r="B1266" s="30"/>
      <c r="C1266" s="373"/>
      <c r="D1266" s="28" t="s">
        <v>977</v>
      </c>
      <c r="E1266" s="208" t="str">
        <f>VLOOKUP(D1266,'Danh mục hàng hóa'!$C$3:$D$643,2,0)</f>
        <v>Móc khóa đôi heo</v>
      </c>
      <c r="F1266" s="209" t="str">
        <f>VLOOKUP(D1266,'Danh mục hàng hóa'!$C$3:$E$656,3,0)</f>
        <v>cái</v>
      </c>
      <c r="G1266" s="358">
        <v>56580</v>
      </c>
      <c r="H1266" s="359"/>
      <c r="I1266" s="360">
        <v>1</v>
      </c>
      <c r="J1266" s="361"/>
      <c r="K1266" s="210">
        <f t="shared" si="101"/>
        <v>56580</v>
      </c>
      <c r="L1266" s="30"/>
      <c r="M1266" s="100">
        <v>44811</v>
      </c>
    </row>
    <row r="1267" spans="1:13" ht="13.2">
      <c r="A1267" s="227"/>
      <c r="B1267" s="30"/>
      <c r="C1267" s="410">
        <v>45380</v>
      </c>
      <c r="D1267" s="33" t="s">
        <v>459</v>
      </c>
      <c r="E1267" s="147" t="str">
        <f>VLOOKUP(D1267,'Danh mục hàng hóa'!$C$3:$D$643,2,0)</f>
        <v>Cài áo xương rồng</v>
      </c>
      <c r="F1267" s="148" t="str">
        <f>VLOOKUP(D1267,'Danh mục hàng hóa'!$C$3:$E$656,3,0)</f>
        <v>cái</v>
      </c>
      <c r="G1267" s="324">
        <v>37500</v>
      </c>
      <c r="H1267" s="325"/>
      <c r="I1267" s="326">
        <v>1</v>
      </c>
      <c r="J1267" s="327"/>
      <c r="K1267" s="207">
        <f t="shared" si="101"/>
        <v>37500</v>
      </c>
      <c r="L1267" s="32"/>
      <c r="M1267" s="423">
        <v>163223</v>
      </c>
    </row>
    <row r="1268" spans="1:13" ht="13.2">
      <c r="A1268" s="227"/>
      <c r="B1268" s="30"/>
      <c r="C1268" s="372"/>
      <c r="D1268" s="33" t="s">
        <v>457</v>
      </c>
      <c r="E1268" s="147" t="str">
        <f>VLOOKUP(D1268,'Danh mục hàng hóa'!$C$3:$D$643,2,0)</f>
        <v>Cài áo lúa</v>
      </c>
      <c r="F1268" s="148" t="str">
        <f>VLOOKUP(D1268,'Danh mục hàng hóa'!$C$3:$E$656,3,0)</f>
        <v>cái</v>
      </c>
      <c r="G1268" s="324">
        <v>36500</v>
      </c>
      <c r="H1268" s="325"/>
      <c r="I1268" s="326">
        <v>1</v>
      </c>
      <c r="J1268" s="327"/>
      <c r="K1268" s="207">
        <f t="shared" si="101"/>
        <v>36500</v>
      </c>
      <c r="L1268" s="32"/>
      <c r="M1268" s="372"/>
    </row>
    <row r="1269" spans="1:13" ht="13.2">
      <c r="A1269" s="227"/>
      <c r="B1269" s="30"/>
      <c r="C1269" s="372"/>
      <c r="D1269" s="33" t="s">
        <v>469</v>
      </c>
      <c r="E1269" s="147" t="str">
        <f>VLOOKUP(D1269,'Danh mục hàng hóa'!$C$3:$D$643,2,0)</f>
        <v>Cài áo ong</v>
      </c>
      <c r="F1269" s="148" t="str">
        <f>VLOOKUP(D1269,'Danh mục hàng hóa'!$C$3:$E$656,3,0)</f>
        <v>cái</v>
      </c>
      <c r="G1269" s="324">
        <v>34900</v>
      </c>
      <c r="H1269" s="325"/>
      <c r="I1269" s="326">
        <v>1</v>
      </c>
      <c r="J1269" s="327"/>
      <c r="K1269" s="207">
        <f t="shared" si="101"/>
        <v>34900</v>
      </c>
      <c r="L1269" s="32"/>
      <c r="M1269" s="372"/>
    </row>
    <row r="1270" spans="1:13" ht="13.2">
      <c r="A1270" s="227"/>
      <c r="B1270" s="30"/>
      <c r="C1270" s="372"/>
      <c r="D1270" s="33" t="s">
        <v>981</v>
      </c>
      <c r="E1270" s="147" t="str">
        <f>VLOOKUP(D1270,'Danh mục hàng hóa'!$C$3:$D$643,2,0)</f>
        <v>Móc khóa đôi corgy</v>
      </c>
      <c r="F1270" s="148" t="str">
        <f>VLOOKUP(D1270,'Danh mục hàng hóa'!$C$3:$E$656,3,0)</f>
        <v>cái</v>
      </c>
      <c r="G1270" s="324">
        <v>56580</v>
      </c>
      <c r="H1270" s="325"/>
      <c r="I1270" s="326">
        <v>1</v>
      </c>
      <c r="J1270" s="327"/>
      <c r="K1270" s="207">
        <f t="shared" si="101"/>
        <v>56580</v>
      </c>
      <c r="L1270" s="32"/>
      <c r="M1270" s="372"/>
    </row>
    <row r="1271" spans="1:13" ht="13.2">
      <c r="A1271" s="227"/>
      <c r="B1271" s="30"/>
      <c r="C1271" s="372"/>
      <c r="D1271" s="33" t="s">
        <v>543</v>
      </c>
      <c r="E1271" s="147" t="str">
        <f>VLOOKUP(D1271,'Danh mục hàng hóa'!$C$3:$D$643,2,0)</f>
        <v>Kẹp tóc kim loại bông hoa</v>
      </c>
      <c r="F1271" s="148" t="str">
        <f>VLOOKUP(D1271,'Danh mục hàng hóa'!$C$3:$E$656,3,0)</f>
        <v>cái</v>
      </c>
      <c r="G1271" s="324">
        <v>14000</v>
      </c>
      <c r="H1271" s="325"/>
      <c r="I1271" s="326">
        <v>1</v>
      </c>
      <c r="J1271" s="327"/>
      <c r="K1271" s="207">
        <f t="shared" si="101"/>
        <v>14000</v>
      </c>
      <c r="L1271" s="32"/>
      <c r="M1271" s="372"/>
    </row>
    <row r="1272" spans="1:13" ht="13.2">
      <c r="A1272" s="227"/>
      <c r="B1272" s="30"/>
      <c r="C1272" s="372"/>
      <c r="D1272" s="33" t="s">
        <v>547</v>
      </c>
      <c r="E1272" s="147" t="str">
        <f>VLOOKUP(D1272,'Danh mục hàng hóa'!$C$3:$D$643,2,0)</f>
        <v>Kẹp tóc kim loại vỏ sò</v>
      </c>
      <c r="F1272" s="148" t="str">
        <f>VLOOKUP(D1272,'Danh mục hàng hóa'!$C$3:$E$656,3,0)</f>
        <v>cái</v>
      </c>
      <c r="G1272" s="324">
        <v>14000</v>
      </c>
      <c r="H1272" s="325"/>
      <c r="I1272" s="326">
        <v>1</v>
      </c>
      <c r="J1272" s="327"/>
      <c r="K1272" s="207">
        <f t="shared" si="101"/>
        <v>14000</v>
      </c>
      <c r="L1272" s="32"/>
      <c r="M1272" s="373"/>
    </row>
    <row r="1273" spans="1:13" ht="13.2">
      <c r="A1273" s="227"/>
      <c r="B1273" s="30"/>
      <c r="C1273" s="372"/>
      <c r="D1273" s="33" t="s">
        <v>790</v>
      </c>
      <c r="E1273" s="147" t="str">
        <f>VLOOKUP(D1273,'Danh mục hàng hóa'!$C$3:$D$643,2,0)</f>
        <v xml:space="preserve">Kẹp tóc bướm hồng </v>
      </c>
      <c r="F1273" s="148" t="str">
        <f>VLOOKUP(D1273,'Danh mục hàng hóa'!$C$3:$E$656,3,0)</f>
        <v>cái</v>
      </c>
      <c r="G1273" s="324">
        <v>28000</v>
      </c>
      <c r="H1273" s="325"/>
      <c r="I1273" s="326">
        <v>1</v>
      </c>
      <c r="J1273" s="327"/>
      <c r="K1273" s="207">
        <f t="shared" si="101"/>
        <v>28000</v>
      </c>
      <c r="L1273" s="32"/>
      <c r="M1273" s="423">
        <f>28000*4</f>
        <v>112000</v>
      </c>
    </row>
    <row r="1274" spans="1:13" ht="13.2">
      <c r="A1274" s="227"/>
      <c r="B1274" s="30"/>
      <c r="C1274" s="372"/>
      <c r="D1274" s="33" t="s">
        <v>794</v>
      </c>
      <c r="E1274" s="147" t="str">
        <f>VLOOKUP(D1274,'Danh mục hàng hóa'!$C$3:$D$643,2,0)</f>
        <v>Kẹp tóc bướm xanh tím</v>
      </c>
      <c r="F1274" s="148" t="str">
        <f>VLOOKUP(D1274,'Danh mục hàng hóa'!$C$3:$E$656,3,0)</f>
        <v>cái</v>
      </c>
      <c r="G1274" s="324">
        <v>28000</v>
      </c>
      <c r="H1274" s="325"/>
      <c r="I1274" s="326">
        <v>1</v>
      </c>
      <c r="J1274" s="327"/>
      <c r="K1274" s="207">
        <f t="shared" si="101"/>
        <v>28000</v>
      </c>
      <c r="L1274" s="32"/>
      <c r="M1274" s="372"/>
    </row>
    <row r="1275" spans="1:13" ht="13.2">
      <c r="A1275" s="227"/>
      <c r="B1275" s="30"/>
      <c r="C1275" s="372"/>
      <c r="D1275" s="33" t="s">
        <v>796</v>
      </c>
      <c r="E1275" s="147" t="str">
        <f>VLOOKUP(D1275,'Danh mục hàng hóa'!$C$3:$D$643,2,0)</f>
        <v>Kẹp tóc bướm tím</v>
      </c>
      <c r="F1275" s="148" t="str">
        <f>VLOOKUP(D1275,'Danh mục hàng hóa'!$C$3:$E$656,3,0)</f>
        <v>cái</v>
      </c>
      <c r="G1275" s="324">
        <v>28000</v>
      </c>
      <c r="H1275" s="325"/>
      <c r="I1275" s="326">
        <v>1</v>
      </c>
      <c r="J1275" s="327"/>
      <c r="K1275" s="207">
        <f t="shared" si="101"/>
        <v>28000</v>
      </c>
      <c r="L1275" s="32"/>
      <c r="M1275" s="372"/>
    </row>
    <row r="1276" spans="1:13" ht="13.2">
      <c r="A1276" s="227"/>
      <c r="B1276" s="30"/>
      <c r="C1276" s="372"/>
      <c r="D1276" s="33" t="s">
        <v>798</v>
      </c>
      <c r="E1276" s="147" t="str">
        <f>VLOOKUP(D1276,'Danh mục hàng hóa'!$C$3:$D$643,2,0)</f>
        <v>Kẹp tóc bướm trắng</v>
      </c>
      <c r="F1276" s="148" t="str">
        <f>VLOOKUP(D1276,'Danh mục hàng hóa'!$C$3:$E$656,3,0)</f>
        <v>cái</v>
      </c>
      <c r="G1276" s="324">
        <v>28000</v>
      </c>
      <c r="H1276" s="325"/>
      <c r="I1276" s="326">
        <v>1</v>
      </c>
      <c r="J1276" s="327"/>
      <c r="K1276" s="207">
        <f t="shared" si="101"/>
        <v>28000</v>
      </c>
      <c r="L1276" s="32"/>
      <c r="M1276" s="373"/>
    </row>
    <row r="1277" spans="1:13" ht="13.2">
      <c r="A1277" s="227"/>
      <c r="B1277" s="30"/>
      <c r="C1277" s="372"/>
      <c r="D1277" s="33" t="s">
        <v>796</v>
      </c>
      <c r="E1277" s="147" t="str">
        <f>VLOOKUP(D1277,'Danh mục hàng hóa'!$C$3:$D$643,2,0)</f>
        <v>Kẹp tóc bướm tím</v>
      </c>
      <c r="F1277" s="148" t="str">
        <f>VLOOKUP(D1277,'Danh mục hàng hóa'!$C$3:$E$656,3,0)</f>
        <v>cái</v>
      </c>
      <c r="G1277" s="324">
        <v>38000</v>
      </c>
      <c r="H1277" s="325"/>
      <c r="I1277" s="326">
        <v>1</v>
      </c>
      <c r="J1277" s="327"/>
      <c r="K1277" s="207">
        <f t="shared" si="101"/>
        <v>38000</v>
      </c>
      <c r="L1277" s="32"/>
      <c r="M1277" s="110">
        <v>33380</v>
      </c>
    </row>
    <row r="1278" spans="1:13" ht="13.2">
      <c r="A1278" s="227"/>
      <c r="B1278" s="30"/>
      <c r="C1278" s="372"/>
      <c r="D1278" s="33" t="s">
        <v>985</v>
      </c>
      <c r="E1278" s="147" t="str">
        <f>VLOOKUP(D1278,'Danh mục hàng hóa'!$C$3:$D$643,2,0)</f>
        <v>Móc khóa đôi gấu trúc</v>
      </c>
      <c r="F1278" s="148" t="str">
        <f>VLOOKUP(D1278,'Danh mục hàng hóa'!$C$3:$E$656,3,0)</f>
        <v>cái</v>
      </c>
      <c r="G1278" s="324">
        <v>56580</v>
      </c>
      <c r="H1278" s="325"/>
      <c r="I1278" s="326">
        <v>1</v>
      </c>
      <c r="J1278" s="327"/>
      <c r="K1278" s="207">
        <f t="shared" si="101"/>
        <v>56580</v>
      </c>
      <c r="L1278" s="32"/>
      <c r="M1278" s="110">
        <v>44811</v>
      </c>
    </row>
    <row r="1279" spans="1:13" ht="13.2">
      <c r="A1279" s="227"/>
      <c r="B1279" s="30"/>
      <c r="C1279" s="372"/>
      <c r="D1279" s="33" t="s">
        <v>885</v>
      </c>
      <c r="E1279" s="147" t="str">
        <f>VLOOKUP(D1279,'Danh mục hàng hóa'!$C$3:$D$643,2,0)</f>
        <v>Gấu chong chóng</v>
      </c>
      <c r="F1279" s="148" t="str">
        <f>VLOOKUP(D1279,'Danh mục hàng hóa'!$C$3:$E$656,3,0)</f>
        <v>cái</v>
      </c>
      <c r="G1279" s="324">
        <v>54740</v>
      </c>
      <c r="H1279" s="325"/>
      <c r="I1279" s="326">
        <v>1</v>
      </c>
      <c r="J1279" s="327"/>
      <c r="K1279" s="207">
        <f t="shared" si="101"/>
        <v>54740</v>
      </c>
      <c r="L1279" s="32"/>
      <c r="M1279" s="110">
        <v>48111</v>
      </c>
    </row>
    <row r="1280" spans="1:13" ht="13.2">
      <c r="A1280" s="227"/>
      <c r="B1280" s="30"/>
      <c r="C1280" s="372"/>
      <c r="D1280" s="33" t="s">
        <v>981</v>
      </c>
      <c r="E1280" s="147" t="str">
        <f>VLOOKUP(D1280,'Danh mục hàng hóa'!$C$3:$D$643,2,0)</f>
        <v>Móc khóa đôi corgy</v>
      </c>
      <c r="F1280" s="148" t="str">
        <f>VLOOKUP(D1280,'Danh mục hàng hóa'!$C$3:$E$656,3,0)</f>
        <v>cái</v>
      </c>
      <c r="G1280" s="324">
        <v>56580</v>
      </c>
      <c r="H1280" s="325"/>
      <c r="I1280" s="326">
        <v>1</v>
      </c>
      <c r="J1280" s="327"/>
      <c r="K1280" s="207">
        <f t="shared" si="101"/>
        <v>56580</v>
      </c>
      <c r="L1280" s="32"/>
      <c r="M1280" s="110">
        <v>44151</v>
      </c>
    </row>
    <row r="1281" spans="1:13" ht="13.2">
      <c r="A1281" s="227"/>
      <c r="B1281" s="30"/>
      <c r="C1281" s="372"/>
      <c r="D1281" s="33" t="s">
        <v>521</v>
      </c>
      <c r="E1281" s="147" t="str">
        <f>VLOOKUP(D1281,'Danh mục hàng hóa'!$C$3:$D$643,2,0)</f>
        <v>Trâm cài 20</v>
      </c>
      <c r="F1281" s="148" t="str">
        <f>VLOOKUP(D1281,'Danh mục hàng hóa'!$C$3:$E$656,3,0)</f>
        <v>cây</v>
      </c>
      <c r="G1281" s="324">
        <v>27416</v>
      </c>
      <c r="H1281" s="325"/>
      <c r="I1281" s="326">
        <v>1</v>
      </c>
      <c r="J1281" s="327"/>
      <c r="K1281" s="207">
        <f t="shared" si="101"/>
        <v>27416</v>
      </c>
      <c r="L1281" s="32"/>
      <c r="M1281" s="110">
        <v>24066</v>
      </c>
    </row>
    <row r="1282" spans="1:13" ht="13.2">
      <c r="A1282" s="227"/>
      <c r="B1282" s="30"/>
      <c r="C1282" s="372"/>
      <c r="D1282" s="33" t="s">
        <v>981</v>
      </c>
      <c r="E1282" s="147" t="str">
        <f>VLOOKUP(D1282,'Danh mục hàng hóa'!$C$3:$D$643,2,0)</f>
        <v>Móc khóa đôi corgy</v>
      </c>
      <c r="F1282" s="148" t="str">
        <f>VLOOKUP(D1282,'Danh mục hàng hóa'!$C$3:$E$656,3,0)</f>
        <v>cái</v>
      </c>
      <c r="G1282" s="324">
        <v>56580</v>
      </c>
      <c r="H1282" s="325"/>
      <c r="I1282" s="326">
        <v>1</v>
      </c>
      <c r="J1282" s="327"/>
      <c r="K1282" s="207">
        <f t="shared" si="101"/>
        <v>56580</v>
      </c>
      <c r="L1282" s="32"/>
      <c r="M1282" s="110">
        <v>44811</v>
      </c>
    </row>
    <row r="1283" spans="1:13" ht="13.2">
      <c r="A1283" s="227"/>
      <c r="B1283" s="30"/>
      <c r="C1283" s="372"/>
      <c r="D1283" s="33" t="s">
        <v>521</v>
      </c>
      <c r="E1283" s="147" t="str">
        <f>VLOOKUP(D1283,'Danh mục hàng hóa'!$C$3:$D$643,2,0)</f>
        <v>Trâm cài 20</v>
      </c>
      <c r="F1283" s="148" t="str">
        <f>VLOOKUP(D1283,'Danh mục hàng hóa'!$C$3:$E$656,3,0)</f>
        <v>cây</v>
      </c>
      <c r="G1283" s="324">
        <v>27416</v>
      </c>
      <c r="H1283" s="325"/>
      <c r="I1283" s="326">
        <v>1</v>
      </c>
      <c r="J1283" s="327"/>
      <c r="K1283" s="207">
        <f t="shared" si="101"/>
        <v>27416</v>
      </c>
      <c r="L1283" s="32"/>
      <c r="M1283" s="363">
        <v>24066</v>
      </c>
    </row>
    <row r="1284" spans="1:13" ht="13.2">
      <c r="A1284" s="227"/>
      <c r="B1284" s="30"/>
      <c r="C1284" s="372"/>
      <c r="D1284" s="33" t="s">
        <v>981</v>
      </c>
      <c r="E1284" s="147" t="str">
        <f>VLOOKUP(D1284,'Danh mục hàng hóa'!$C$3:$D$643,2,0)</f>
        <v>Móc khóa đôi corgy</v>
      </c>
      <c r="F1284" s="148" t="str">
        <f>VLOOKUP(D1284,'Danh mục hàng hóa'!$C$3:$E$656,3,0)</f>
        <v>cái</v>
      </c>
      <c r="G1284" s="324">
        <v>56580</v>
      </c>
      <c r="H1284" s="325"/>
      <c r="I1284" s="326">
        <v>1</v>
      </c>
      <c r="J1284" s="327"/>
      <c r="K1284" s="207">
        <f t="shared" si="101"/>
        <v>56580</v>
      </c>
      <c r="L1284" s="32"/>
      <c r="M1284" s="363">
        <v>44151</v>
      </c>
    </row>
    <row r="1285" spans="1:13" ht="13.2">
      <c r="A1285" s="227"/>
      <c r="B1285" s="30"/>
      <c r="C1285" s="372"/>
      <c r="D1285" s="33" t="s">
        <v>885</v>
      </c>
      <c r="E1285" s="147" t="str">
        <f>VLOOKUP(D1285,'Danh mục hàng hóa'!$C$3:$D$643,2,0)</f>
        <v>Gấu chong chóng</v>
      </c>
      <c r="F1285" s="148" t="str">
        <f>VLOOKUP(D1285,'Danh mục hàng hóa'!$C$3:$E$656,3,0)</f>
        <v>cái</v>
      </c>
      <c r="G1285" s="324">
        <v>54740</v>
      </c>
      <c r="H1285" s="325"/>
      <c r="I1285" s="326">
        <v>1</v>
      </c>
      <c r="J1285" s="327"/>
      <c r="K1285" s="207">
        <f t="shared" si="101"/>
        <v>54740</v>
      </c>
      <c r="L1285" s="32"/>
      <c r="M1285" s="110">
        <v>48111</v>
      </c>
    </row>
    <row r="1286" spans="1:13" ht="13.2">
      <c r="A1286" s="227"/>
      <c r="B1286" s="30"/>
      <c r="C1286" s="372"/>
      <c r="D1286" s="33" t="s">
        <v>985</v>
      </c>
      <c r="E1286" s="147" t="str">
        <f>VLOOKUP(D1286,'Danh mục hàng hóa'!$C$3:$D$643,2,0)</f>
        <v>Móc khóa đôi gấu trúc</v>
      </c>
      <c r="F1286" s="148" t="str">
        <f>VLOOKUP(D1286,'Danh mục hàng hóa'!$C$3:$E$656,3,0)</f>
        <v>cái</v>
      </c>
      <c r="G1286" s="324">
        <v>56580</v>
      </c>
      <c r="H1286" s="325"/>
      <c r="I1286" s="326">
        <v>1</v>
      </c>
      <c r="J1286" s="327"/>
      <c r="K1286" s="207">
        <f t="shared" si="101"/>
        <v>56580</v>
      </c>
      <c r="L1286" s="32"/>
      <c r="M1286" s="110">
        <v>44811</v>
      </c>
    </row>
    <row r="1287" spans="1:13" ht="13.2">
      <c r="A1287" s="227"/>
      <c r="B1287" s="30"/>
      <c r="C1287" s="372"/>
      <c r="D1287" s="33" t="s">
        <v>796</v>
      </c>
      <c r="E1287" s="147" t="str">
        <f>VLOOKUP(D1287,'Danh mục hàng hóa'!$C$3:$D$643,2,0)</f>
        <v>Kẹp tóc bướm tím</v>
      </c>
      <c r="F1287" s="148" t="str">
        <f>VLOOKUP(D1287,'Danh mục hàng hóa'!$C$3:$E$656,3,0)</f>
        <v>cái</v>
      </c>
      <c r="G1287" s="324">
        <v>38000</v>
      </c>
      <c r="H1287" s="325"/>
      <c r="I1287" s="326">
        <v>1</v>
      </c>
      <c r="J1287" s="327"/>
      <c r="K1287" s="207">
        <f t="shared" si="101"/>
        <v>38000</v>
      </c>
      <c r="L1287" s="32"/>
      <c r="M1287" s="110">
        <v>33380</v>
      </c>
    </row>
    <row r="1288" spans="1:13" ht="13.2">
      <c r="A1288" s="227"/>
      <c r="B1288" s="30"/>
      <c r="C1288" s="373"/>
      <c r="D1288" s="33" t="s">
        <v>792</v>
      </c>
      <c r="E1288" s="147" t="str">
        <f>VLOOKUP(D1288,'Danh mục hàng hóa'!$C$3:$D$643,2,0)</f>
        <v>Kẹp tóc bướm xanh ngọc</v>
      </c>
      <c r="F1288" s="148" t="str">
        <f>VLOOKUP(D1288,'Danh mục hàng hóa'!$C$3:$E$656,3,0)</f>
        <v>cái</v>
      </c>
      <c r="G1288" s="324">
        <v>38000</v>
      </c>
      <c r="H1288" s="325"/>
      <c r="I1288" s="326">
        <v>2</v>
      </c>
      <c r="J1288" s="327"/>
      <c r="K1288" s="207">
        <f t="shared" si="101"/>
        <v>76000</v>
      </c>
      <c r="L1288" s="32"/>
      <c r="M1288" s="110">
        <v>60192</v>
      </c>
    </row>
    <row r="1289" spans="1:13" ht="13.2">
      <c r="A1289" s="227"/>
      <c r="B1289" s="30"/>
      <c r="C1289" s="396">
        <v>45381</v>
      </c>
      <c r="D1289" s="28" t="s">
        <v>790</v>
      </c>
      <c r="E1289" s="208" t="str">
        <f>VLOOKUP(D1289,'Danh mục hàng hóa'!$C$3:$D$643,2,0)</f>
        <v xml:space="preserve">Kẹp tóc bướm hồng </v>
      </c>
      <c r="F1289" s="209" t="str">
        <f>VLOOKUP(D1289,'Danh mục hàng hóa'!$C$3:$E$656,3,0)</f>
        <v>cái</v>
      </c>
      <c r="G1289" s="358">
        <v>38000</v>
      </c>
      <c r="H1289" s="359"/>
      <c r="I1289" s="360">
        <v>1</v>
      </c>
      <c r="J1289" s="361"/>
      <c r="K1289" s="210">
        <f t="shared" si="101"/>
        <v>38000</v>
      </c>
      <c r="L1289" s="30"/>
      <c r="M1289" s="422">
        <v>60192</v>
      </c>
    </row>
    <row r="1290" spans="1:13" ht="13.2">
      <c r="A1290" s="227"/>
      <c r="B1290" s="30"/>
      <c r="C1290" s="372"/>
      <c r="D1290" s="28" t="s">
        <v>794</v>
      </c>
      <c r="E1290" s="208" t="str">
        <f>VLOOKUP(D1290,'Danh mục hàng hóa'!$C$3:$D$643,2,0)</f>
        <v>Kẹp tóc bướm xanh tím</v>
      </c>
      <c r="F1290" s="209" t="str">
        <f>VLOOKUP(D1290,'Danh mục hàng hóa'!$C$3:$E$656,3,0)</f>
        <v>cái</v>
      </c>
      <c r="G1290" s="358">
        <v>38000</v>
      </c>
      <c r="H1290" s="359"/>
      <c r="I1290" s="360">
        <v>1</v>
      </c>
      <c r="J1290" s="361"/>
      <c r="K1290" s="210">
        <f t="shared" si="101"/>
        <v>38000</v>
      </c>
      <c r="L1290" s="30"/>
      <c r="M1290" s="373"/>
    </row>
    <row r="1291" spans="1:13" ht="13.2">
      <c r="A1291" s="227"/>
      <c r="B1291" s="30"/>
      <c r="C1291" s="372"/>
      <c r="D1291" s="28" t="s">
        <v>792</v>
      </c>
      <c r="E1291" s="208" t="str">
        <f>VLOOKUP(D1291,'Danh mục hàng hóa'!$C$3:$D$643,2,0)</f>
        <v>Kẹp tóc bướm xanh ngọc</v>
      </c>
      <c r="F1291" s="209" t="str">
        <f>VLOOKUP(D1291,'Danh mục hàng hóa'!$C$3:$E$656,3,0)</f>
        <v>cái</v>
      </c>
      <c r="G1291" s="358">
        <v>38000</v>
      </c>
      <c r="H1291" s="359"/>
      <c r="I1291" s="360">
        <v>1</v>
      </c>
      <c r="J1291" s="361"/>
      <c r="K1291" s="210">
        <f t="shared" si="101"/>
        <v>38000</v>
      </c>
      <c r="L1291" s="30"/>
      <c r="M1291" s="422">
        <v>60192</v>
      </c>
    </row>
    <row r="1292" spans="1:13" ht="13.2">
      <c r="A1292" s="227"/>
      <c r="B1292" s="30"/>
      <c r="C1292" s="372"/>
      <c r="D1292" s="28" t="s">
        <v>798</v>
      </c>
      <c r="E1292" s="208" t="str">
        <f>VLOOKUP(D1292,'Danh mục hàng hóa'!$C$3:$D$643,2,0)</f>
        <v>Kẹp tóc bướm trắng</v>
      </c>
      <c r="F1292" s="209" t="str">
        <f>VLOOKUP(D1292,'Danh mục hàng hóa'!$C$3:$E$656,3,0)</f>
        <v>cái</v>
      </c>
      <c r="G1292" s="358">
        <v>38000</v>
      </c>
      <c r="H1292" s="359"/>
      <c r="I1292" s="360">
        <v>1</v>
      </c>
      <c r="J1292" s="361"/>
      <c r="K1292" s="210">
        <f t="shared" si="101"/>
        <v>38000</v>
      </c>
      <c r="L1292" s="30"/>
      <c r="M1292" s="373"/>
    </row>
    <row r="1293" spans="1:13" ht="13.2">
      <c r="A1293" s="227"/>
      <c r="B1293" s="30"/>
      <c r="C1293" s="372"/>
      <c r="D1293" s="28" t="s">
        <v>788</v>
      </c>
      <c r="E1293" s="208" t="str">
        <f>VLOOKUP(D1293,'Danh mục hàng hóa'!$C$3:$D$643,2,0)</f>
        <v>Kẹp tóc bướm hồng phấn</v>
      </c>
      <c r="F1293" s="209" t="str">
        <f>VLOOKUP(D1293,'Danh mục hàng hóa'!$C$3:$E$656,3,0)</f>
        <v>cái</v>
      </c>
      <c r="G1293" s="358">
        <v>38000</v>
      </c>
      <c r="H1293" s="359"/>
      <c r="I1293" s="360">
        <v>1</v>
      </c>
      <c r="J1293" s="361"/>
      <c r="K1293" s="210">
        <f t="shared" si="101"/>
        <v>38000</v>
      </c>
      <c r="L1293" s="30"/>
      <c r="M1293" s="422">
        <v>91460</v>
      </c>
    </row>
    <row r="1294" spans="1:13" ht="13.2">
      <c r="A1294" s="227"/>
      <c r="B1294" s="30"/>
      <c r="C1294" s="372"/>
      <c r="D1294" s="28" t="s">
        <v>798</v>
      </c>
      <c r="E1294" s="208" t="str">
        <f>VLOOKUP(D1294,'Danh mục hàng hóa'!$C$3:$D$643,2,0)</f>
        <v>Kẹp tóc bướm trắng</v>
      </c>
      <c r="F1294" s="209" t="str">
        <f>VLOOKUP(D1294,'Danh mục hàng hóa'!$C$3:$E$656,3,0)</f>
        <v>cái</v>
      </c>
      <c r="G1294" s="358">
        <v>38000</v>
      </c>
      <c r="H1294" s="359"/>
      <c r="I1294" s="360">
        <v>1</v>
      </c>
      <c r="J1294" s="361"/>
      <c r="K1294" s="210">
        <f t="shared" si="101"/>
        <v>38000</v>
      </c>
      <c r="L1294" s="30"/>
      <c r="M1294" s="372"/>
    </row>
    <row r="1295" spans="1:13" ht="13.2">
      <c r="A1295" s="227"/>
      <c r="B1295" s="30"/>
      <c r="C1295" s="372"/>
      <c r="D1295" s="28" t="s">
        <v>800</v>
      </c>
      <c r="E1295" s="208" t="str">
        <f>VLOOKUP(D1295,'Danh mục hàng hóa'!$C$3:$D$643,2,0)</f>
        <v>Kẹp tóc bướm kem</v>
      </c>
      <c r="F1295" s="209" t="str">
        <f>VLOOKUP(D1295,'Danh mục hàng hóa'!$C$3:$E$656,3,0)</f>
        <v>cái</v>
      </c>
      <c r="G1295" s="358">
        <v>38000</v>
      </c>
      <c r="H1295" s="359"/>
      <c r="I1295" s="360">
        <v>1</v>
      </c>
      <c r="J1295" s="361"/>
      <c r="K1295" s="210">
        <f t="shared" si="101"/>
        <v>38000</v>
      </c>
      <c r="L1295" s="30"/>
      <c r="M1295" s="373"/>
    </row>
    <row r="1296" spans="1:13" ht="13.2">
      <c r="A1296" s="227"/>
      <c r="B1296" s="30"/>
      <c r="C1296" s="372"/>
      <c r="D1296" s="28" t="s">
        <v>977</v>
      </c>
      <c r="E1296" s="208" t="str">
        <f>VLOOKUP(D1296,'Danh mục hàng hóa'!$C$3:$D$643,2,0)</f>
        <v>Móc khóa đôi heo</v>
      </c>
      <c r="F1296" s="209" t="str">
        <f>VLOOKUP(D1296,'Danh mục hàng hóa'!$C$3:$E$656,3,0)</f>
        <v>cái</v>
      </c>
      <c r="G1296" s="358">
        <v>56580</v>
      </c>
      <c r="H1296" s="359"/>
      <c r="I1296" s="360">
        <v>1</v>
      </c>
      <c r="J1296" s="361"/>
      <c r="K1296" s="210">
        <f t="shared" si="101"/>
        <v>56580</v>
      </c>
      <c r="L1296" s="30"/>
      <c r="M1296" s="100">
        <v>44491</v>
      </c>
    </row>
    <row r="1297" spans="1:13" ht="13.2">
      <c r="A1297" s="227"/>
      <c r="B1297" s="30"/>
      <c r="C1297" s="372"/>
      <c r="D1297" s="28" t="s">
        <v>788</v>
      </c>
      <c r="E1297" s="208" t="str">
        <f>VLOOKUP(D1297,'Danh mục hàng hóa'!$C$3:$D$643,2,0)</f>
        <v>Kẹp tóc bướm hồng phấn</v>
      </c>
      <c r="F1297" s="209" t="str">
        <f>VLOOKUP(D1297,'Danh mục hàng hóa'!$C$3:$E$656,3,0)</f>
        <v>cái</v>
      </c>
      <c r="G1297" s="358">
        <v>38000</v>
      </c>
      <c r="H1297" s="359"/>
      <c r="I1297" s="360">
        <v>2</v>
      </c>
      <c r="J1297" s="361"/>
      <c r="K1297" s="210">
        <f t="shared" si="101"/>
        <v>76000</v>
      </c>
      <c r="L1297" s="30"/>
      <c r="M1297" s="422">
        <v>188601</v>
      </c>
    </row>
    <row r="1298" spans="1:13" ht="13.2">
      <c r="A1298" s="227"/>
      <c r="B1298" s="30"/>
      <c r="C1298" s="372"/>
      <c r="D1298" s="28" t="s">
        <v>790</v>
      </c>
      <c r="E1298" s="208" t="str">
        <f>VLOOKUP(D1298,'Danh mục hàng hóa'!$C$3:$D$643,2,0)</f>
        <v xml:space="preserve">Kẹp tóc bướm hồng </v>
      </c>
      <c r="F1298" s="209" t="str">
        <f>VLOOKUP(D1298,'Danh mục hàng hóa'!$C$3:$E$656,3,0)</f>
        <v>cái</v>
      </c>
      <c r="G1298" s="358">
        <v>38000</v>
      </c>
      <c r="H1298" s="359"/>
      <c r="I1298" s="360">
        <v>2</v>
      </c>
      <c r="J1298" s="361"/>
      <c r="K1298" s="210">
        <f t="shared" si="101"/>
        <v>76000</v>
      </c>
      <c r="L1298" s="30"/>
      <c r="M1298" s="372"/>
    </row>
    <row r="1299" spans="1:13" ht="13.2">
      <c r="A1299" s="227"/>
      <c r="B1299" s="30"/>
      <c r="C1299" s="372"/>
      <c r="D1299" s="28" t="s">
        <v>798</v>
      </c>
      <c r="E1299" s="208" t="str">
        <f>VLOOKUP(D1299,'Danh mục hàng hóa'!$C$3:$D$643,2,0)</f>
        <v>Kẹp tóc bướm trắng</v>
      </c>
      <c r="F1299" s="209" t="str">
        <f>VLOOKUP(D1299,'Danh mục hàng hóa'!$C$3:$E$656,3,0)</f>
        <v>cái</v>
      </c>
      <c r="G1299" s="358">
        <v>38000</v>
      </c>
      <c r="H1299" s="359"/>
      <c r="I1299" s="360">
        <v>2</v>
      </c>
      <c r="J1299" s="361"/>
      <c r="K1299" s="210">
        <f t="shared" si="101"/>
        <v>76000</v>
      </c>
      <c r="L1299" s="30"/>
      <c r="M1299" s="373"/>
    </row>
    <row r="1300" spans="1:13" ht="13.2">
      <c r="A1300" s="75"/>
      <c r="C1300" s="372"/>
      <c r="D1300" s="28" t="s">
        <v>788</v>
      </c>
      <c r="E1300" s="208" t="str">
        <f>VLOOKUP(D1300,'Danh mục hàng hóa'!$C$3:$D$643,2,0)</f>
        <v>Kẹp tóc bướm hồng phấn</v>
      </c>
      <c r="F1300" s="209" t="str">
        <f>VLOOKUP(D1300,'Danh mục hàng hóa'!$C$3:$E$656,3,0)</f>
        <v>cái</v>
      </c>
      <c r="G1300" s="358">
        <v>38000</v>
      </c>
      <c r="H1300" s="359"/>
      <c r="I1300" s="360">
        <v>1</v>
      </c>
      <c r="J1300" s="361"/>
      <c r="K1300" s="210">
        <f t="shared" si="101"/>
        <v>38000</v>
      </c>
      <c r="L1300" s="30"/>
      <c r="M1300" s="422">
        <v>188601</v>
      </c>
    </row>
    <row r="1301" spans="1:13" ht="13.2">
      <c r="A1301" s="75"/>
      <c r="C1301" s="372"/>
      <c r="D1301" s="28" t="s">
        <v>790</v>
      </c>
      <c r="E1301" s="208" t="str">
        <f>VLOOKUP(D1301,'Danh mục hàng hóa'!$C$3:$D$643,2,0)</f>
        <v xml:space="preserve">Kẹp tóc bướm hồng </v>
      </c>
      <c r="F1301" s="209" t="str">
        <f>VLOOKUP(D1301,'Danh mục hàng hóa'!$C$3:$E$656,3,0)</f>
        <v>cái</v>
      </c>
      <c r="G1301" s="358">
        <v>38000</v>
      </c>
      <c r="H1301" s="359"/>
      <c r="I1301" s="360">
        <v>1</v>
      </c>
      <c r="J1301" s="361"/>
      <c r="K1301" s="210">
        <f t="shared" si="101"/>
        <v>38000</v>
      </c>
      <c r="L1301" s="30"/>
      <c r="M1301" s="372"/>
    </row>
    <row r="1302" spans="1:13" ht="13.2">
      <c r="A1302" s="75"/>
      <c r="C1302" s="372"/>
      <c r="D1302" s="28" t="s">
        <v>792</v>
      </c>
      <c r="E1302" s="208" t="str">
        <f>VLOOKUP(D1302,'Danh mục hàng hóa'!$C$3:$D$643,2,0)</f>
        <v>Kẹp tóc bướm xanh ngọc</v>
      </c>
      <c r="F1302" s="209" t="str">
        <f>VLOOKUP(D1302,'Danh mục hàng hóa'!$C$3:$E$656,3,0)</f>
        <v>cái</v>
      </c>
      <c r="G1302" s="358">
        <v>38000</v>
      </c>
      <c r="H1302" s="359"/>
      <c r="I1302" s="360">
        <v>1</v>
      </c>
      <c r="J1302" s="361"/>
      <c r="K1302" s="210">
        <f t="shared" si="101"/>
        <v>38000</v>
      </c>
      <c r="L1302" s="30"/>
      <c r="M1302" s="372"/>
    </row>
    <row r="1303" spans="1:13" ht="13.2">
      <c r="A1303" s="75"/>
      <c r="C1303" s="372"/>
      <c r="D1303" s="28" t="s">
        <v>794</v>
      </c>
      <c r="E1303" s="208" t="str">
        <f>VLOOKUP(D1303,'Danh mục hàng hóa'!$C$3:$D$643,2,0)</f>
        <v>Kẹp tóc bướm xanh tím</v>
      </c>
      <c r="F1303" s="209" t="str">
        <f>VLOOKUP(D1303,'Danh mục hàng hóa'!$C$3:$E$656,3,0)</f>
        <v>cái</v>
      </c>
      <c r="G1303" s="358">
        <v>38000</v>
      </c>
      <c r="H1303" s="359"/>
      <c r="I1303" s="360">
        <v>1</v>
      </c>
      <c r="J1303" s="361"/>
      <c r="K1303" s="210">
        <f t="shared" si="101"/>
        <v>38000</v>
      </c>
      <c r="L1303" s="30"/>
      <c r="M1303" s="372"/>
    </row>
    <row r="1304" spans="1:13" ht="13.2">
      <c r="A1304" s="75"/>
      <c r="C1304" s="372"/>
      <c r="D1304" s="28" t="s">
        <v>796</v>
      </c>
      <c r="E1304" s="208" t="str">
        <f>VLOOKUP(D1304,'Danh mục hàng hóa'!$C$3:$D$643,2,0)</f>
        <v>Kẹp tóc bướm tím</v>
      </c>
      <c r="F1304" s="209" t="str">
        <f>VLOOKUP(D1304,'Danh mục hàng hóa'!$C$3:$E$656,3,0)</f>
        <v>cái</v>
      </c>
      <c r="G1304" s="358">
        <v>38000</v>
      </c>
      <c r="H1304" s="359"/>
      <c r="I1304" s="360">
        <v>1</v>
      </c>
      <c r="J1304" s="361"/>
      <c r="K1304" s="210">
        <f t="shared" si="101"/>
        <v>38000</v>
      </c>
      <c r="L1304" s="30"/>
      <c r="M1304" s="372"/>
    </row>
    <row r="1305" spans="1:13" ht="13.2">
      <c r="A1305" s="75"/>
      <c r="C1305" s="372"/>
      <c r="D1305" s="28" t="s">
        <v>800</v>
      </c>
      <c r="E1305" s="208" t="str">
        <f>VLOOKUP(D1305,'Danh mục hàng hóa'!$C$3:$D$643,2,0)</f>
        <v>Kẹp tóc bướm kem</v>
      </c>
      <c r="F1305" s="209" t="str">
        <f>VLOOKUP(D1305,'Danh mục hàng hóa'!$C$3:$E$656,3,0)</f>
        <v>cái</v>
      </c>
      <c r="G1305" s="358">
        <v>38000</v>
      </c>
      <c r="H1305" s="359"/>
      <c r="I1305" s="360">
        <v>1</v>
      </c>
      <c r="J1305" s="361"/>
      <c r="K1305" s="210">
        <f t="shared" si="101"/>
        <v>38000</v>
      </c>
      <c r="L1305" s="30"/>
      <c r="M1305" s="373"/>
    </row>
    <row r="1306" spans="1:13" ht="13.2">
      <c r="A1306" s="75"/>
      <c r="C1306" s="372"/>
      <c r="D1306" s="28" t="s">
        <v>1001</v>
      </c>
      <c r="E1306" s="208" t="str">
        <f>VLOOKUP(D1306,'Danh mục hàng hóa'!$C$3:$D$643,2,0)</f>
        <v>Mô hình cún 04</v>
      </c>
      <c r="F1306" s="209" t="str">
        <f>VLOOKUP(D1306,'Danh mục hàng hóa'!$C$3:$E$656,3,0)</f>
        <v>cái</v>
      </c>
      <c r="G1306" s="358">
        <v>39000</v>
      </c>
      <c r="H1306" s="359"/>
      <c r="I1306" s="360">
        <v>1</v>
      </c>
      <c r="J1306" s="361"/>
      <c r="K1306" s="210">
        <f t="shared" si="101"/>
        <v>39000</v>
      </c>
      <c r="L1306" s="30"/>
      <c r="M1306" s="422">
        <v>109631</v>
      </c>
    </row>
    <row r="1307" spans="1:13" ht="13.2">
      <c r="A1307" s="75"/>
      <c r="C1307" s="372"/>
      <c r="D1307" s="28" t="s">
        <v>995</v>
      </c>
      <c r="E1307" s="208" t="str">
        <f>VLOOKUP(D1307,'Danh mục hàng hóa'!$C$3:$D$643,2,0)</f>
        <v>Mô hình cún 01</v>
      </c>
      <c r="F1307" s="209" t="str">
        <f>VLOOKUP(D1307,'Danh mục hàng hóa'!$C$3:$E$656,3,0)</f>
        <v>cái</v>
      </c>
      <c r="G1307" s="358">
        <v>39000</v>
      </c>
      <c r="H1307" s="359"/>
      <c r="I1307" s="360">
        <v>1</v>
      </c>
      <c r="J1307" s="361"/>
      <c r="K1307" s="210">
        <f t="shared" si="101"/>
        <v>39000</v>
      </c>
      <c r="L1307" s="30"/>
      <c r="M1307" s="372"/>
    </row>
    <row r="1308" spans="1:13" ht="13.2">
      <c r="A1308" s="75"/>
      <c r="C1308" s="373"/>
      <c r="D1308" s="28" t="s">
        <v>977</v>
      </c>
      <c r="E1308" s="208" t="str">
        <f>VLOOKUP(D1308,'Danh mục hàng hóa'!$C$3:$D$643,2,0)</f>
        <v>Móc khóa đôi heo</v>
      </c>
      <c r="F1308" s="209" t="str">
        <f>VLOOKUP(D1308,'Danh mục hàng hóa'!$C$3:$E$656,3,0)</f>
        <v>cái</v>
      </c>
      <c r="G1308" s="358">
        <v>56580</v>
      </c>
      <c r="H1308" s="359"/>
      <c r="I1308" s="360">
        <v>1</v>
      </c>
      <c r="J1308" s="361"/>
      <c r="K1308" s="210">
        <f t="shared" si="101"/>
        <v>56580</v>
      </c>
      <c r="L1308" s="30"/>
      <c r="M1308" s="373"/>
    </row>
    <row r="1309" spans="1:13" ht="13.2">
      <c r="A1309" s="75"/>
      <c r="C1309" s="410">
        <v>45382</v>
      </c>
      <c r="D1309" s="33" t="s">
        <v>788</v>
      </c>
      <c r="E1309" s="147" t="str">
        <f>VLOOKUP(D1309,'Danh mục hàng hóa'!$C$3:$D$643,2,0)</f>
        <v>Kẹp tóc bướm hồng phấn</v>
      </c>
      <c r="F1309" s="148" t="str">
        <f>VLOOKUP(D1309,'Danh mục hàng hóa'!$C$3:$E$656,3,0)</f>
        <v>cái</v>
      </c>
      <c r="G1309" s="324">
        <v>38000</v>
      </c>
      <c r="H1309" s="325"/>
      <c r="I1309" s="326">
        <v>1</v>
      </c>
      <c r="J1309" s="327"/>
      <c r="K1309" s="207">
        <f t="shared" si="101"/>
        <v>38000</v>
      </c>
      <c r="L1309" s="32"/>
      <c r="M1309" s="423">
        <v>60192</v>
      </c>
    </row>
    <row r="1310" spans="1:13" ht="13.2">
      <c r="A1310" s="75"/>
      <c r="C1310" s="372"/>
      <c r="D1310" s="33" t="s">
        <v>794</v>
      </c>
      <c r="E1310" s="147" t="str">
        <f>VLOOKUP(D1310,'Danh mục hàng hóa'!$C$3:$D$643,2,0)</f>
        <v>Kẹp tóc bướm xanh tím</v>
      </c>
      <c r="F1310" s="148" t="str">
        <f>VLOOKUP(D1310,'Danh mục hàng hóa'!$C$3:$E$656,3,0)</f>
        <v>cái</v>
      </c>
      <c r="G1310" s="324">
        <v>38000</v>
      </c>
      <c r="H1310" s="325"/>
      <c r="I1310" s="326">
        <v>1</v>
      </c>
      <c r="J1310" s="327"/>
      <c r="K1310" s="207">
        <f t="shared" si="101"/>
        <v>38000</v>
      </c>
      <c r="L1310" s="32"/>
      <c r="M1310" s="373"/>
    </row>
    <row r="1311" spans="1:13" ht="13.2">
      <c r="A1311" s="75"/>
      <c r="C1311" s="372"/>
      <c r="D1311" s="33" t="s">
        <v>917</v>
      </c>
      <c r="E1311" s="147" t="str">
        <f>VLOOKUP(D1311,'Danh mục hàng hóa'!$C$3:$D$643,2,0)</f>
        <v>Thỏ đi vịt gắn xe</v>
      </c>
      <c r="F1311" s="148" t="str">
        <f>VLOOKUP(D1311,'Danh mục hàng hóa'!$C$3:$E$656,3,0)</f>
        <v>cái</v>
      </c>
      <c r="G1311" s="324">
        <v>45000</v>
      </c>
      <c r="H1311" s="325"/>
      <c r="I1311" s="326">
        <v>1</v>
      </c>
      <c r="J1311" s="327"/>
      <c r="K1311" s="207">
        <f t="shared" si="101"/>
        <v>45000</v>
      </c>
      <c r="L1311" s="32"/>
      <c r="M1311" s="110">
        <v>39300</v>
      </c>
    </row>
    <row r="1312" spans="1:13" ht="13.2">
      <c r="A1312" s="75"/>
      <c r="C1312" s="372"/>
      <c r="D1312" s="33" t="s">
        <v>788</v>
      </c>
      <c r="E1312" s="147" t="str">
        <f>VLOOKUP(D1312,'Danh mục hàng hóa'!$C$3:$D$643,2,0)</f>
        <v>Kẹp tóc bướm hồng phấn</v>
      </c>
      <c r="F1312" s="148" t="str">
        <f>VLOOKUP(D1312,'Danh mục hàng hóa'!$C$3:$E$656,3,0)</f>
        <v>cái</v>
      </c>
      <c r="G1312" s="324">
        <v>30000</v>
      </c>
      <c r="H1312" s="325"/>
      <c r="I1312" s="326">
        <v>2</v>
      </c>
      <c r="J1312" s="327"/>
      <c r="K1312" s="207">
        <f t="shared" si="101"/>
        <v>60000</v>
      </c>
      <c r="L1312" s="32"/>
      <c r="M1312" s="423">
        <v>560000</v>
      </c>
    </row>
    <row r="1313" spans="1:13" ht="13.2">
      <c r="A1313" s="75"/>
      <c r="C1313" s="372"/>
      <c r="D1313" s="33" t="s">
        <v>790</v>
      </c>
      <c r="E1313" s="147" t="str">
        <f>VLOOKUP(D1313,'Danh mục hàng hóa'!$C$3:$D$643,2,0)</f>
        <v xml:space="preserve">Kẹp tóc bướm hồng </v>
      </c>
      <c r="F1313" s="148" t="str">
        <f>VLOOKUP(D1313,'Danh mục hàng hóa'!$C$3:$E$656,3,0)</f>
        <v>cái</v>
      </c>
      <c r="G1313" s="324">
        <v>30000</v>
      </c>
      <c r="H1313" s="325"/>
      <c r="I1313" s="326">
        <v>6</v>
      </c>
      <c r="J1313" s="327"/>
      <c r="K1313" s="207">
        <f t="shared" si="101"/>
        <v>180000</v>
      </c>
      <c r="L1313" s="32"/>
      <c r="M1313" s="372"/>
    </row>
    <row r="1314" spans="1:13" ht="13.2">
      <c r="A1314" s="75"/>
      <c r="C1314" s="372"/>
      <c r="D1314" s="33" t="s">
        <v>792</v>
      </c>
      <c r="E1314" s="147" t="str">
        <f>VLOOKUP(D1314,'Danh mục hàng hóa'!$C$3:$D$643,2,0)</f>
        <v>Kẹp tóc bướm xanh ngọc</v>
      </c>
      <c r="F1314" s="148" t="str">
        <f>VLOOKUP(D1314,'Danh mục hàng hóa'!$C$3:$E$656,3,0)</f>
        <v>cái</v>
      </c>
      <c r="G1314" s="324">
        <v>30000</v>
      </c>
      <c r="H1314" s="325"/>
      <c r="I1314" s="326">
        <v>1</v>
      </c>
      <c r="J1314" s="327"/>
      <c r="K1314" s="207">
        <f t="shared" si="101"/>
        <v>30000</v>
      </c>
      <c r="L1314" s="32"/>
      <c r="M1314" s="372"/>
    </row>
    <row r="1315" spans="1:13" ht="13.2">
      <c r="A1315" s="75"/>
      <c r="C1315" s="372"/>
      <c r="D1315" s="33" t="s">
        <v>794</v>
      </c>
      <c r="E1315" s="147" t="str">
        <f>VLOOKUP(D1315,'Danh mục hàng hóa'!$C$3:$D$643,2,0)</f>
        <v>Kẹp tóc bướm xanh tím</v>
      </c>
      <c r="F1315" s="148" t="str">
        <f>VLOOKUP(D1315,'Danh mục hàng hóa'!$C$3:$E$656,3,0)</f>
        <v>cái</v>
      </c>
      <c r="G1315" s="324">
        <v>30000</v>
      </c>
      <c r="H1315" s="325"/>
      <c r="I1315" s="326">
        <v>6</v>
      </c>
      <c r="J1315" s="327"/>
      <c r="K1315" s="207">
        <f t="shared" si="101"/>
        <v>180000</v>
      </c>
      <c r="L1315" s="32"/>
      <c r="M1315" s="372"/>
    </row>
    <row r="1316" spans="1:13" ht="13.2">
      <c r="A1316" s="75"/>
      <c r="C1316" s="372"/>
      <c r="D1316" s="33" t="s">
        <v>796</v>
      </c>
      <c r="E1316" s="147" t="str">
        <f>VLOOKUP(D1316,'Danh mục hàng hóa'!$C$3:$D$643,2,0)</f>
        <v>Kẹp tóc bướm tím</v>
      </c>
      <c r="F1316" s="148" t="str">
        <f>VLOOKUP(D1316,'Danh mục hàng hóa'!$C$3:$E$656,3,0)</f>
        <v>cái</v>
      </c>
      <c r="G1316" s="324">
        <v>30000</v>
      </c>
      <c r="H1316" s="325"/>
      <c r="I1316" s="326">
        <v>1</v>
      </c>
      <c r="J1316" s="327"/>
      <c r="K1316" s="207">
        <f t="shared" si="101"/>
        <v>30000</v>
      </c>
      <c r="L1316" s="32"/>
      <c r="M1316" s="372"/>
    </row>
    <row r="1317" spans="1:13" ht="13.2">
      <c r="A1317" s="75"/>
      <c r="C1317" s="372"/>
      <c r="D1317" s="33" t="s">
        <v>798</v>
      </c>
      <c r="E1317" s="147" t="str">
        <f>VLOOKUP(D1317,'Danh mục hàng hóa'!$C$3:$D$643,2,0)</f>
        <v>Kẹp tóc bướm trắng</v>
      </c>
      <c r="F1317" s="148" t="str">
        <f>VLOOKUP(D1317,'Danh mục hàng hóa'!$C$3:$E$656,3,0)</f>
        <v>cái</v>
      </c>
      <c r="G1317" s="324">
        <v>30000</v>
      </c>
      <c r="H1317" s="325"/>
      <c r="I1317" s="326">
        <v>2</v>
      </c>
      <c r="J1317" s="327"/>
      <c r="K1317" s="207">
        <f t="shared" si="101"/>
        <v>60000</v>
      </c>
      <c r="L1317" s="32"/>
      <c r="M1317" s="372"/>
    </row>
    <row r="1318" spans="1:13" ht="13.2">
      <c r="A1318" s="75"/>
      <c r="C1318" s="372"/>
      <c r="D1318" s="33" t="s">
        <v>800</v>
      </c>
      <c r="E1318" s="147" t="str">
        <f>VLOOKUP(D1318,'Danh mục hàng hóa'!$C$3:$D$643,2,0)</f>
        <v>Kẹp tóc bướm kem</v>
      </c>
      <c r="F1318" s="148" t="str">
        <f>VLOOKUP(D1318,'Danh mục hàng hóa'!$C$3:$E$656,3,0)</f>
        <v>cái</v>
      </c>
      <c r="G1318" s="324">
        <v>30000</v>
      </c>
      <c r="H1318" s="325"/>
      <c r="I1318" s="326">
        <v>2</v>
      </c>
      <c r="J1318" s="327"/>
      <c r="K1318" s="207">
        <f t="shared" si="101"/>
        <v>60000</v>
      </c>
      <c r="L1318" s="32"/>
      <c r="M1318" s="373"/>
    </row>
    <row r="1319" spans="1:13" ht="13.2">
      <c r="A1319" s="75"/>
      <c r="C1319" s="372"/>
      <c r="D1319" s="33" t="s">
        <v>895</v>
      </c>
      <c r="E1319" s="147" t="str">
        <f>VLOOKUP(D1319,'Danh mục hàng hóa'!$C$3:$D$643,2,0)</f>
        <v>Thỏ chong chóng</v>
      </c>
      <c r="F1319" s="148" t="str">
        <f>VLOOKUP(D1319,'Danh mục hàng hóa'!$C$3:$E$656,3,0)</f>
        <v>cái</v>
      </c>
      <c r="G1319" s="324">
        <v>54740</v>
      </c>
      <c r="H1319" s="325"/>
      <c r="I1319" s="326">
        <v>1</v>
      </c>
      <c r="J1319" s="327"/>
      <c r="K1319" s="207">
        <f t="shared" si="101"/>
        <v>54740</v>
      </c>
      <c r="L1319" s="32"/>
      <c r="M1319" s="110">
        <v>48171</v>
      </c>
    </row>
    <row r="1320" spans="1:13" ht="13.2">
      <c r="A1320" s="75"/>
      <c r="C1320" s="372"/>
      <c r="D1320" s="33" t="s">
        <v>796</v>
      </c>
      <c r="E1320" s="147" t="str">
        <f>VLOOKUP(D1320,'Danh mục hàng hóa'!$C$3:$D$643,2,0)</f>
        <v>Kẹp tóc bướm tím</v>
      </c>
      <c r="F1320" s="148" t="str">
        <f>VLOOKUP(D1320,'Danh mục hàng hóa'!$C$3:$E$656,3,0)</f>
        <v>cái</v>
      </c>
      <c r="G1320" s="324">
        <v>38000</v>
      </c>
      <c r="H1320" s="325"/>
      <c r="I1320" s="326">
        <v>1</v>
      </c>
      <c r="J1320" s="327"/>
      <c r="K1320" s="207">
        <f t="shared" si="101"/>
        <v>38000</v>
      </c>
      <c r="L1320" s="32"/>
      <c r="M1320" s="423">
        <v>60132</v>
      </c>
    </row>
    <row r="1321" spans="1:13" ht="13.2">
      <c r="A1321" s="75"/>
      <c r="C1321" s="372"/>
      <c r="D1321" s="33" t="s">
        <v>792</v>
      </c>
      <c r="E1321" s="147" t="str">
        <f>VLOOKUP(D1321,'Danh mục hàng hóa'!$C$3:$D$643,2,0)</f>
        <v>Kẹp tóc bướm xanh ngọc</v>
      </c>
      <c r="F1321" s="148" t="str">
        <f>VLOOKUP(D1321,'Danh mục hàng hóa'!$C$3:$E$656,3,0)</f>
        <v>cái</v>
      </c>
      <c r="G1321" s="324">
        <v>38000</v>
      </c>
      <c r="H1321" s="325"/>
      <c r="I1321" s="326">
        <v>1</v>
      </c>
      <c r="J1321" s="327"/>
      <c r="K1321" s="207">
        <f t="shared" si="101"/>
        <v>38000</v>
      </c>
      <c r="L1321" s="32"/>
      <c r="M1321" s="373"/>
    </row>
    <row r="1322" spans="1:13" ht="13.2">
      <c r="A1322" s="75"/>
      <c r="C1322" s="372"/>
      <c r="D1322" s="33" t="s">
        <v>788</v>
      </c>
      <c r="E1322" s="147" t="str">
        <f>VLOOKUP(D1322,'Danh mục hàng hóa'!$C$3:$D$643,2,0)</f>
        <v>Kẹp tóc bướm hồng phấn</v>
      </c>
      <c r="F1322" s="148" t="str">
        <f>VLOOKUP(D1322,'Danh mục hàng hóa'!$C$3:$E$656,3,0)</f>
        <v>cái</v>
      </c>
      <c r="G1322" s="324">
        <v>38000</v>
      </c>
      <c r="H1322" s="325"/>
      <c r="I1322" s="326">
        <v>1</v>
      </c>
      <c r="J1322" s="327"/>
      <c r="K1322" s="207">
        <f t="shared" si="101"/>
        <v>38000</v>
      </c>
      <c r="L1322" s="32"/>
      <c r="M1322" s="423">
        <v>60192</v>
      </c>
    </row>
    <row r="1323" spans="1:13" ht="13.2">
      <c r="A1323" s="75"/>
      <c r="C1323" s="372"/>
      <c r="D1323" s="33" t="s">
        <v>796</v>
      </c>
      <c r="E1323" s="147" t="str">
        <f>VLOOKUP(D1323,'Danh mục hàng hóa'!$C$3:$D$643,2,0)</f>
        <v>Kẹp tóc bướm tím</v>
      </c>
      <c r="F1323" s="148" t="str">
        <f>VLOOKUP(D1323,'Danh mục hàng hóa'!$C$3:$E$656,3,0)</f>
        <v>cái</v>
      </c>
      <c r="G1323" s="324">
        <v>38000</v>
      </c>
      <c r="H1323" s="325"/>
      <c r="I1323" s="326">
        <v>1</v>
      </c>
      <c r="J1323" s="327"/>
      <c r="K1323" s="207">
        <f t="shared" si="101"/>
        <v>38000</v>
      </c>
      <c r="L1323" s="32"/>
      <c r="M1323" s="373"/>
    </row>
    <row r="1324" spans="1:13" ht="13.2">
      <c r="A1324" s="75"/>
      <c r="C1324" s="372"/>
      <c r="D1324" s="33" t="s">
        <v>792</v>
      </c>
      <c r="E1324" s="147" t="str">
        <f>VLOOKUP(D1324,'Danh mục hàng hóa'!$C$3:$D$643,2,0)</f>
        <v>Kẹp tóc bướm xanh ngọc</v>
      </c>
      <c r="F1324" s="148" t="str">
        <f>VLOOKUP(D1324,'Danh mục hàng hóa'!$C$3:$E$656,3,0)</f>
        <v>cái</v>
      </c>
      <c r="G1324" s="324">
        <v>38000</v>
      </c>
      <c r="H1324" s="325"/>
      <c r="I1324" s="326">
        <v>2</v>
      </c>
      <c r="J1324" s="327"/>
      <c r="K1324" s="207">
        <f t="shared" si="101"/>
        <v>76000</v>
      </c>
      <c r="L1324" s="32"/>
      <c r="M1324" s="423">
        <v>160160</v>
      </c>
    </row>
    <row r="1325" spans="1:13" ht="13.2">
      <c r="A1325" s="75"/>
      <c r="C1325" s="372"/>
      <c r="D1325" s="33" t="s">
        <v>794</v>
      </c>
      <c r="E1325" s="147" t="str">
        <f>VLOOKUP(D1325,'Danh mục hàng hóa'!$C$3:$D$643,2,0)</f>
        <v>Kẹp tóc bướm xanh tím</v>
      </c>
      <c r="F1325" s="148" t="str">
        <f>VLOOKUP(D1325,'Danh mục hàng hóa'!$C$3:$E$656,3,0)</f>
        <v>cái</v>
      </c>
      <c r="G1325" s="324">
        <v>38000</v>
      </c>
      <c r="H1325" s="325"/>
      <c r="I1325" s="326">
        <v>1</v>
      </c>
      <c r="J1325" s="327"/>
      <c r="K1325" s="207">
        <f t="shared" si="101"/>
        <v>38000</v>
      </c>
      <c r="L1325" s="32"/>
      <c r="M1325" s="372"/>
    </row>
    <row r="1326" spans="1:13" ht="13.2">
      <c r="A1326" s="75"/>
      <c r="C1326" s="372"/>
      <c r="D1326" s="33" t="s">
        <v>798</v>
      </c>
      <c r="E1326" s="147" t="str">
        <f>VLOOKUP(D1326,'Danh mục hàng hóa'!$C$3:$D$643,2,0)</f>
        <v>Kẹp tóc bướm trắng</v>
      </c>
      <c r="F1326" s="148" t="str">
        <f>VLOOKUP(D1326,'Danh mục hàng hóa'!$C$3:$E$656,3,0)</f>
        <v>cái</v>
      </c>
      <c r="G1326" s="324">
        <v>38000</v>
      </c>
      <c r="H1326" s="325"/>
      <c r="I1326" s="326">
        <v>1</v>
      </c>
      <c r="J1326" s="327"/>
      <c r="K1326" s="207">
        <f t="shared" si="101"/>
        <v>38000</v>
      </c>
      <c r="L1326" s="32"/>
      <c r="M1326" s="372"/>
    </row>
    <row r="1327" spans="1:13" ht="13.2">
      <c r="A1327" s="75"/>
      <c r="C1327" s="372"/>
      <c r="D1327" s="33" t="s">
        <v>796</v>
      </c>
      <c r="E1327" s="147" t="str">
        <f>VLOOKUP(D1327,'Danh mục hàng hóa'!$C$3:$D$643,2,0)</f>
        <v>Kẹp tóc bướm tím</v>
      </c>
      <c r="F1327" s="148" t="str">
        <f>VLOOKUP(D1327,'Danh mục hàng hóa'!$C$3:$E$656,3,0)</f>
        <v>cái</v>
      </c>
      <c r="G1327" s="324">
        <v>38000</v>
      </c>
      <c r="H1327" s="325"/>
      <c r="I1327" s="326">
        <v>1</v>
      </c>
      <c r="J1327" s="327"/>
      <c r="K1327" s="207">
        <f t="shared" si="101"/>
        <v>38000</v>
      </c>
      <c r="L1327" s="32"/>
      <c r="M1327" s="373"/>
    </row>
    <row r="1328" spans="1:13" ht="13.2">
      <c r="A1328" s="75"/>
      <c r="C1328" s="372"/>
      <c r="D1328" s="33" t="s">
        <v>788</v>
      </c>
      <c r="E1328" s="147" t="str">
        <f>VLOOKUP(D1328,'Danh mục hàng hóa'!$C$3:$D$643,2,0)</f>
        <v>Kẹp tóc bướm hồng phấn</v>
      </c>
      <c r="F1328" s="148" t="str">
        <f>VLOOKUP(D1328,'Danh mục hàng hóa'!$C$3:$E$656,3,0)</f>
        <v>cái</v>
      </c>
      <c r="G1328" s="324">
        <v>38000</v>
      </c>
      <c r="H1328" s="325"/>
      <c r="I1328" s="326">
        <v>1</v>
      </c>
      <c r="J1328" s="327"/>
      <c r="K1328" s="207">
        <f t="shared" si="101"/>
        <v>38000</v>
      </c>
      <c r="L1328" s="32"/>
      <c r="M1328" s="423">
        <v>124960</v>
      </c>
    </row>
    <row r="1329" spans="1:13" ht="13.2">
      <c r="A1329" s="75"/>
      <c r="C1329" s="372"/>
      <c r="D1329" s="33" t="s">
        <v>790</v>
      </c>
      <c r="E1329" s="147" t="str">
        <f>VLOOKUP(D1329,'Danh mục hàng hóa'!$C$3:$D$643,2,0)</f>
        <v xml:space="preserve">Kẹp tóc bướm hồng </v>
      </c>
      <c r="F1329" s="148" t="str">
        <f>VLOOKUP(D1329,'Danh mục hàng hóa'!$C$3:$E$656,3,0)</f>
        <v>cái</v>
      </c>
      <c r="G1329" s="324">
        <v>38000</v>
      </c>
      <c r="H1329" s="325"/>
      <c r="I1329" s="326">
        <v>1</v>
      </c>
      <c r="J1329" s="327"/>
      <c r="K1329" s="207">
        <f t="shared" si="101"/>
        <v>38000</v>
      </c>
      <c r="L1329" s="32"/>
      <c r="M1329" s="372"/>
    </row>
    <row r="1330" spans="1:13" ht="13.2">
      <c r="A1330" s="75"/>
      <c r="C1330" s="372"/>
      <c r="D1330" s="33" t="s">
        <v>794</v>
      </c>
      <c r="E1330" s="147" t="str">
        <f>VLOOKUP(D1330,'Danh mục hàng hóa'!$C$3:$D$643,2,0)</f>
        <v>Kẹp tóc bướm xanh tím</v>
      </c>
      <c r="F1330" s="148" t="str">
        <f>VLOOKUP(D1330,'Danh mục hàng hóa'!$C$3:$E$656,3,0)</f>
        <v>cái</v>
      </c>
      <c r="G1330" s="324">
        <v>38000</v>
      </c>
      <c r="H1330" s="325"/>
      <c r="I1330" s="326">
        <v>1</v>
      </c>
      <c r="J1330" s="327"/>
      <c r="K1330" s="207">
        <f t="shared" si="101"/>
        <v>38000</v>
      </c>
      <c r="L1330" s="32"/>
      <c r="M1330" s="372"/>
    </row>
    <row r="1331" spans="1:13" ht="13.2">
      <c r="A1331" s="75"/>
      <c r="C1331" s="372"/>
      <c r="D1331" s="33" t="s">
        <v>798</v>
      </c>
      <c r="E1331" s="147" t="str">
        <f>VLOOKUP(D1331,'Danh mục hàng hóa'!$C$3:$D$643,2,0)</f>
        <v>Kẹp tóc bướm trắng</v>
      </c>
      <c r="F1331" s="148" t="str">
        <f>VLOOKUP(D1331,'Danh mục hàng hóa'!$C$3:$E$656,3,0)</f>
        <v>cái</v>
      </c>
      <c r="G1331" s="324">
        <v>38000</v>
      </c>
      <c r="H1331" s="325"/>
      <c r="I1331" s="326">
        <v>1</v>
      </c>
      <c r="J1331" s="327"/>
      <c r="K1331" s="207">
        <f t="shared" si="101"/>
        <v>38000</v>
      </c>
      <c r="L1331" s="32"/>
      <c r="M1331" s="373"/>
    </row>
    <row r="1332" spans="1:13" ht="13.2">
      <c r="A1332" s="75"/>
      <c r="C1332" s="372"/>
      <c r="D1332" s="33" t="s">
        <v>796</v>
      </c>
      <c r="E1332" s="147" t="str">
        <f>VLOOKUP(D1332,'Danh mục hàng hóa'!$C$3:$D$643,2,0)</f>
        <v>Kẹp tóc bướm tím</v>
      </c>
      <c r="F1332" s="148" t="str">
        <f>VLOOKUP(D1332,'Danh mục hàng hóa'!$C$3:$E$656,3,0)</f>
        <v>cái</v>
      </c>
      <c r="G1332" s="324">
        <v>38000</v>
      </c>
      <c r="H1332" s="325"/>
      <c r="I1332" s="326">
        <v>1</v>
      </c>
      <c r="J1332" s="327"/>
      <c r="K1332" s="207">
        <f t="shared" si="101"/>
        <v>38000</v>
      </c>
      <c r="L1332" s="32"/>
      <c r="M1332" s="423">
        <v>60132</v>
      </c>
    </row>
    <row r="1333" spans="1:13" ht="13.2">
      <c r="A1333" s="75"/>
      <c r="C1333" s="372"/>
      <c r="D1333" s="33" t="s">
        <v>800</v>
      </c>
      <c r="E1333" s="147" t="str">
        <f>VLOOKUP(D1333,'Danh mục hàng hóa'!$C$3:$D$643,2,0)</f>
        <v>Kẹp tóc bướm kem</v>
      </c>
      <c r="F1333" s="148" t="str">
        <f>VLOOKUP(D1333,'Danh mục hàng hóa'!$C$3:$E$656,3,0)</f>
        <v>cái</v>
      </c>
      <c r="G1333" s="324">
        <v>38000</v>
      </c>
      <c r="H1333" s="325"/>
      <c r="I1333" s="326">
        <v>1</v>
      </c>
      <c r="J1333" s="327"/>
      <c r="K1333" s="207">
        <f t="shared" si="101"/>
        <v>38000</v>
      </c>
      <c r="L1333" s="32"/>
      <c r="M1333" s="373"/>
    </row>
    <row r="1334" spans="1:13" ht="13.2">
      <c r="A1334" s="75"/>
      <c r="C1334" s="372"/>
      <c r="D1334" s="33" t="s">
        <v>1052</v>
      </c>
      <c r="E1334" s="147" t="str">
        <f>VLOOKUP(D1334,'Danh mục hàng hóa'!$C$3:$D$643,2,0)</f>
        <v>Vớ cổ ngắn set xanh bơ 4</v>
      </c>
      <c r="F1334" s="148" t="str">
        <f>VLOOKUP(D1334,'Danh mục hàng hóa'!$C$3:$E$656,3,0)</f>
        <v>đôi</v>
      </c>
      <c r="G1334" s="324">
        <v>9800</v>
      </c>
      <c r="H1334" s="325"/>
      <c r="I1334" s="326">
        <v>1</v>
      </c>
      <c r="J1334" s="327"/>
      <c r="K1334" s="207">
        <f t="shared" si="101"/>
        <v>9800</v>
      </c>
      <c r="L1334" s="32"/>
      <c r="M1334" s="423">
        <v>143616</v>
      </c>
    </row>
    <row r="1335" spans="1:13" ht="13.2">
      <c r="A1335" s="75"/>
      <c r="C1335" s="372"/>
      <c r="D1335" s="33" t="s">
        <v>1060</v>
      </c>
      <c r="E1335" s="147" t="str">
        <f>VLOOKUP(D1335,'Danh mục hàng hóa'!$C$3:$D$643,2,0)</f>
        <v>Vớ cổ ngắn họa tiết hoa thỏ kem</v>
      </c>
      <c r="F1335" s="148" t="str">
        <f>VLOOKUP(D1335,'Danh mục hàng hóa'!$C$3:$E$656,3,0)</f>
        <v>đôi</v>
      </c>
      <c r="G1335" s="324">
        <v>9400</v>
      </c>
      <c r="H1335" s="325"/>
      <c r="I1335" s="326">
        <v>1</v>
      </c>
      <c r="J1335" s="327"/>
      <c r="K1335" s="207">
        <f t="shared" si="101"/>
        <v>9400</v>
      </c>
      <c r="L1335" s="32"/>
      <c r="M1335" s="372"/>
    </row>
    <row r="1336" spans="1:13" ht="13.2">
      <c r="A1336" s="75"/>
      <c r="C1336" s="372"/>
      <c r="D1336" s="33" t="s">
        <v>788</v>
      </c>
      <c r="E1336" s="147" t="str">
        <f>VLOOKUP(D1336,'Danh mục hàng hóa'!$C$3:$D$643,2,0)</f>
        <v>Kẹp tóc bướm hồng phấn</v>
      </c>
      <c r="F1336" s="148" t="str">
        <f>VLOOKUP(D1336,'Danh mục hàng hóa'!$C$3:$E$656,3,0)</f>
        <v>cái</v>
      </c>
      <c r="G1336" s="324">
        <v>38000</v>
      </c>
      <c r="H1336" s="325"/>
      <c r="I1336" s="326">
        <v>1</v>
      </c>
      <c r="J1336" s="327"/>
      <c r="K1336" s="207">
        <f t="shared" si="101"/>
        <v>38000</v>
      </c>
      <c r="L1336" s="32"/>
      <c r="M1336" s="372"/>
    </row>
    <row r="1337" spans="1:13" ht="13.2">
      <c r="A1337" s="75"/>
      <c r="C1337" s="372"/>
      <c r="D1337" s="33" t="s">
        <v>792</v>
      </c>
      <c r="E1337" s="147" t="str">
        <f>VLOOKUP(D1337,'Danh mục hàng hóa'!$C$3:$D$643,2,0)</f>
        <v>Kẹp tóc bướm xanh ngọc</v>
      </c>
      <c r="F1337" s="148" t="str">
        <f>VLOOKUP(D1337,'Danh mục hàng hóa'!$C$3:$E$656,3,0)</f>
        <v>cái</v>
      </c>
      <c r="G1337" s="324">
        <v>38000</v>
      </c>
      <c r="H1337" s="325"/>
      <c r="I1337" s="326">
        <v>1</v>
      </c>
      <c r="J1337" s="327"/>
      <c r="K1337" s="207">
        <f t="shared" si="101"/>
        <v>38000</v>
      </c>
      <c r="L1337" s="32"/>
      <c r="M1337" s="372"/>
    </row>
    <row r="1338" spans="1:13" ht="13.2">
      <c r="A1338" s="75"/>
      <c r="C1338" s="372"/>
      <c r="D1338" s="33" t="s">
        <v>794</v>
      </c>
      <c r="E1338" s="147" t="str">
        <f>VLOOKUP(D1338,'Danh mục hàng hóa'!$C$3:$D$643,2,0)</f>
        <v>Kẹp tóc bướm xanh tím</v>
      </c>
      <c r="F1338" s="148" t="str">
        <f>VLOOKUP(D1338,'Danh mục hàng hóa'!$C$3:$E$656,3,0)</f>
        <v>cái</v>
      </c>
      <c r="G1338" s="324">
        <v>38000</v>
      </c>
      <c r="H1338" s="325"/>
      <c r="I1338" s="326">
        <v>1</v>
      </c>
      <c r="J1338" s="327"/>
      <c r="K1338" s="207">
        <f t="shared" si="101"/>
        <v>38000</v>
      </c>
      <c r="L1338" s="32"/>
      <c r="M1338" s="372"/>
    </row>
    <row r="1339" spans="1:13" ht="13.2">
      <c r="A1339" s="75"/>
      <c r="C1339" s="372"/>
      <c r="D1339" s="33" t="s">
        <v>798</v>
      </c>
      <c r="E1339" s="147" t="str">
        <f>VLOOKUP(D1339,'Danh mục hàng hóa'!$C$3:$D$643,2,0)</f>
        <v>Kẹp tóc bướm trắng</v>
      </c>
      <c r="F1339" s="148" t="str">
        <f>VLOOKUP(D1339,'Danh mục hàng hóa'!$C$3:$E$656,3,0)</f>
        <v>cái</v>
      </c>
      <c r="G1339" s="324">
        <v>38000</v>
      </c>
      <c r="H1339" s="325"/>
      <c r="I1339" s="326">
        <v>1</v>
      </c>
      <c r="J1339" s="327"/>
      <c r="K1339" s="207">
        <f t="shared" si="101"/>
        <v>38000</v>
      </c>
      <c r="L1339" s="32"/>
      <c r="M1339" s="373"/>
    </row>
    <row r="1340" spans="1:13" ht="13.2">
      <c r="A1340" s="75"/>
      <c r="C1340" s="372"/>
      <c r="D1340" s="33" t="s">
        <v>794</v>
      </c>
      <c r="E1340" s="147" t="str">
        <f>VLOOKUP(D1340,'Danh mục hàng hóa'!$C$3:$D$643,2,0)</f>
        <v>Kẹp tóc bướm xanh tím</v>
      </c>
      <c r="F1340" s="148" t="str">
        <f>VLOOKUP(D1340,'Danh mục hàng hóa'!$C$3:$E$656,3,0)</f>
        <v>cái</v>
      </c>
      <c r="G1340" s="324">
        <v>38000</v>
      </c>
      <c r="H1340" s="325"/>
      <c r="I1340" s="326">
        <v>1</v>
      </c>
      <c r="J1340" s="327"/>
      <c r="K1340" s="207">
        <f t="shared" si="101"/>
        <v>38000</v>
      </c>
      <c r="L1340" s="32"/>
      <c r="M1340" s="423">
        <v>60132</v>
      </c>
    </row>
    <row r="1341" spans="1:13" ht="13.2">
      <c r="A1341" s="75"/>
      <c r="C1341" s="372"/>
      <c r="D1341" s="33" t="s">
        <v>796</v>
      </c>
      <c r="E1341" s="147" t="str">
        <f>VLOOKUP(D1341,'Danh mục hàng hóa'!$C$3:$D$643,2,0)</f>
        <v>Kẹp tóc bướm tím</v>
      </c>
      <c r="F1341" s="148" t="str">
        <f>VLOOKUP(D1341,'Danh mục hàng hóa'!$C$3:$E$656,3,0)</f>
        <v>cái</v>
      </c>
      <c r="G1341" s="324">
        <v>38000</v>
      </c>
      <c r="H1341" s="325"/>
      <c r="I1341" s="326">
        <v>1</v>
      </c>
      <c r="J1341" s="327"/>
      <c r="K1341" s="207">
        <f t="shared" si="101"/>
        <v>38000</v>
      </c>
      <c r="L1341" s="32"/>
      <c r="M1341" s="373"/>
    </row>
    <row r="1342" spans="1:13" ht="13.2">
      <c r="A1342" s="75"/>
      <c r="C1342" s="372"/>
      <c r="D1342" s="33" t="s">
        <v>1068</v>
      </c>
      <c r="E1342" s="147" t="str">
        <f>VLOOKUP(D1342,'Danh mục hàng hóa'!$C$3:$D$643,2,0)</f>
        <v>Vớ trắng mỏng hoa vàng</v>
      </c>
      <c r="F1342" s="148" t="str">
        <f>VLOOKUP(D1342,'Danh mục hàng hóa'!$C$3:$E$656,3,0)</f>
        <v>đôi</v>
      </c>
      <c r="G1342" s="324">
        <v>9900</v>
      </c>
      <c r="H1342" s="325"/>
      <c r="I1342" s="326">
        <v>1</v>
      </c>
      <c r="J1342" s="327"/>
      <c r="K1342" s="207">
        <f t="shared" si="101"/>
        <v>9900</v>
      </c>
      <c r="L1342" s="32"/>
      <c r="M1342" s="423">
        <v>41832</v>
      </c>
    </row>
    <row r="1343" spans="1:13" ht="13.2">
      <c r="A1343" s="75"/>
      <c r="C1343" s="372"/>
      <c r="D1343" s="33" t="s">
        <v>794</v>
      </c>
      <c r="E1343" s="147" t="str">
        <f>VLOOKUP(D1343,'Danh mục hàng hóa'!$C$3:$D$643,2,0)</f>
        <v>Kẹp tóc bướm xanh tím</v>
      </c>
      <c r="F1343" s="148" t="str">
        <f>VLOOKUP(D1343,'Danh mục hàng hóa'!$C$3:$E$656,3,0)</f>
        <v>cái</v>
      </c>
      <c r="G1343" s="324">
        <v>38000</v>
      </c>
      <c r="H1343" s="325"/>
      <c r="I1343" s="326">
        <v>1</v>
      </c>
      <c r="J1343" s="327"/>
      <c r="K1343" s="207">
        <f t="shared" si="101"/>
        <v>38000</v>
      </c>
      <c r="L1343" s="32"/>
      <c r="M1343" s="373"/>
    </row>
    <row r="1344" spans="1:13" ht="13.2">
      <c r="A1344" s="75"/>
      <c r="C1344" s="372"/>
      <c r="D1344" s="33" t="s">
        <v>891</v>
      </c>
      <c r="E1344" s="147" t="str">
        <f>VLOOKUP(D1344,'Danh mục hàng hóa'!$C$3:$D$643,2,0)</f>
        <v>Heo ú</v>
      </c>
      <c r="F1344" s="148" t="str">
        <f>VLOOKUP(D1344,'Danh mục hàng hóa'!$C$3:$E$656,3,0)</f>
        <v>cái</v>
      </c>
      <c r="G1344" s="324">
        <v>54740</v>
      </c>
      <c r="H1344" s="325"/>
      <c r="I1344" s="326">
        <v>1</v>
      </c>
      <c r="J1344" s="327"/>
      <c r="K1344" s="207">
        <f t="shared" si="101"/>
        <v>54740</v>
      </c>
      <c r="L1344" s="32"/>
      <c r="M1344" s="110">
        <v>48171</v>
      </c>
    </row>
    <row r="1345" spans="1:13" ht="13.2">
      <c r="A1345" s="75"/>
      <c r="C1345" s="372"/>
      <c r="D1345" s="33" t="s">
        <v>792</v>
      </c>
      <c r="E1345" s="147" t="str">
        <f>VLOOKUP(D1345,'Danh mục hàng hóa'!$C$3:$D$643,2,0)</f>
        <v>Kẹp tóc bướm xanh ngọc</v>
      </c>
      <c r="F1345" s="148" t="str">
        <f>VLOOKUP(D1345,'Danh mục hàng hóa'!$C$3:$E$656,3,0)</f>
        <v>cái</v>
      </c>
      <c r="G1345" s="324">
        <v>38000</v>
      </c>
      <c r="H1345" s="325"/>
      <c r="I1345" s="326">
        <v>1</v>
      </c>
      <c r="J1345" s="327"/>
      <c r="K1345" s="207">
        <f t="shared" si="101"/>
        <v>38000</v>
      </c>
      <c r="L1345" s="32"/>
      <c r="M1345" s="423">
        <v>44048</v>
      </c>
    </row>
    <row r="1346" spans="1:13" ht="13.2">
      <c r="A1346" s="75"/>
      <c r="C1346" s="372"/>
      <c r="D1346" s="33" t="s">
        <v>738</v>
      </c>
      <c r="E1346" s="147" t="str">
        <f>VLOOKUP(D1346,'Danh mục hàng hóa'!$C$3:$D$643,2,0)</f>
        <v>Kẹp tóc hoa sứ cam</v>
      </c>
      <c r="F1346" s="148" t="str">
        <f>VLOOKUP(D1346,'Danh mục hàng hóa'!$C$3:$E$656,3,0)</f>
        <v>cái</v>
      </c>
      <c r="G1346" s="324">
        <v>18500</v>
      </c>
      <c r="H1346" s="325"/>
      <c r="I1346" s="326">
        <v>1</v>
      </c>
      <c r="J1346" s="327"/>
      <c r="K1346" s="207">
        <f t="shared" si="101"/>
        <v>18500</v>
      </c>
      <c r="L1346" s="32"/>
      <c r="M1346" s="373"/>
    </row>
    <row r="1347" spans="1:13" ht="13.2">
      <c r="A1347" s="75"/>
      <c r="C1347" s="372"/>
      <c r="D1347" s="33" t="s">
        <v>800</v>
      </c>
      <c r="E1347" s="147" t="str">
        <f>VLOOKUP(D1347,'Danh mục hàng hóa'!$C$3:$D$643,2,0)</f>
        <v>Kẹp tóc bướm kem</v>
      </c>
      <c r="F1347" s="148" t="str">
        <f>VLOOKUP(D1347,'Danh mục hàng hóa'!$C$3:$E$656,3,0)</f>
        <v>cái</v>
      </c>
      <c r="G1347" s="324">
        <v>38000</v>
      </c>
      <c r="H1347" s="325"/>
      <c r="I1347" s="326">
        <v>1</v>
      </c>
      <c r="J1347" s="327"/>
      <c r="K1347" s="207">
        <f t="shared" si="101"/>
        <v>38000</v>
      </c>
      <c r="L1347" s="32"/>
      <c r="M1347" s="110">
        <v>33120</v>
      </c>
    </row>
    <row r="1348" spans="1:13" ht="13.2">
      <c r="A1348" s="75"/>
      <c r="C1348" s="372"/>
      <c r="D1348" s="33" t="s">
        <v>977</v>
      </c>
      <c r="E1348" s="147" t="str">
        <f>VLOOKUP(D1348,'Danh mục hàng hóa'!$C$3:$D$643,2,0)</f>
        <v>Móc khóa đôi heo</v>
      </c>
      <c r="F1348" s="148" t="str">
        <f>VLOOKUP(D1348,'Danh mục hàng hóa'!$C$3:$E$656,3,0)</f>
        <v>cái</v>
      </c>
      <c r="G1348" s="324">
        <v>56580</v>
      </c>
      <c r="H1348" s="325"/>
      <c r="I1348" s="326">
        <v>1</v>
      </c>
      <c r="J1348" s="327"/>
      <c r="K1348" s="207">
        <f t="shared" si="101"/>
        <v>56580</v>
      </c>
      <c r="L1348" s="32"/>
      <c r="M1348" s="110">
        <v>44811</v>
      </c>
    </row>
    <row r="1349" spans="1:13" ht="13.2">
      <c r="A1349" s="75"/>
      <c r="C1349" s="372"/>
      <c r="D1349" s="33" t="s">
        <v>788</v>
      </c>
      <c r="E1349" s="147" t="str">
        <f>VLOOKUP(D1349,'Danh mục hàng hóa'!$C$3:$D$643,2,0)</f>
        <v>Kẹp tóc bướm hồng phấn</v>
      </c>
      <c r="F1349" s="148" t="str">
        <f>VLOOKUP(D1349,'Danh mục hàng hóa'!$C$3:$E$656,3,0)</f>
        <v>cái</v>
      </c>
      <c r="G1349" s="324">
        <v>38000</v>
      </c>
      <c r="H1349" s="325"/>
      <c r="I1349" s="326">
        <v>2</v>
      </c>
      <c r="J1349" s="327"/>
      <c r="K1349" s="207">
        <f t="shared" si="101"/>
        <v>76000</v>
      </c>
      <c r="L1349" s="32"/>
      <c r="M1349" s="423">
        <v>227040</v>
      </c>
    </row>
    <row r="1350" spans="1:13" ht="13.2">
      <c r="A1350" s="75"/>
      <c r="C1350" s="372"/>
      <c r="D1350" s="33" t="s">
        <v>792</v>
      </c>
      <c r="E1350" s="147" t="str">
        <f>VLOOKUP(D1350,'Danh mục hàng hóa'!$C$3:$D$643,2,0)</f>
        <v>Kẹp tóc bướm xanh ngọc</v>
      </c>
      <c r="F1350" s="148" t="str">
        <f>VLOOKUP(D1350,'Danh mục hàng hóa'!$C$3:$E$656,3,0)</f>
        <v>cái</v>
      </c>
      <c r="G1350" s="324">
        <v>38000</v>
      </c>
      <c r="H1350" s="325"/>
      <c r="I1350" s="326">
        <v>1</v>
      </c>
      <c r="J1350" s="327"/>
      <c r="K1350" s="207">
        <f t="shared" si="101"/>
        <v>38000</v>
      </c>
      <c r="L1350" s="32"/>
      <c r="M1350" s="372"/>
    </row>
    <row r="1351" spans="1:13" ht="13.2">
      <c r="A1351" s="75"/>
      <c r="C1351" s="372"/>
      <c r="D1351" s="33" t="s">
        <v>794</v>
      </c>
      <c r="E1351" s="147" t="str">
        <f>VLOOKUP(D1351,'Danh mục hàng hóa'!$C$3:$D$643,2,0)</f>
        <v>Kẹp tóc bướm xanh tím</v>
      </c>
      <c r="F1351" s="148" t="str">
        <f>VLOOKUP(D1351,'Danh mục hàng hóa'!$C$3:$E$656,3,0)</f>
        <v>cái</v>
      </c>
      <c r="G1351" s="324">
        <v>38000</v>
      </c>
      <c r="H1351" s="325"/>
      <c r="I1351" s="326">
        <v>2</v>
      </c>
      <c r="J1351" s="327"/>
      <c r="K1351" s="207">
        <f t="shared" si="101"/>
        <v>76000</v>
      </c>
      <c r="L1351" s="32"/>
      <c r="M1351" s="372"/>
    </row>
    <row r="1352" spans="1:13" ht="13.2">
      <c r="A1352" s="75"/>
      <c r="C1352" s="372"/>
      <c r="D1352" s="33" t="s">
        <v>790</v>
      </c>
      <c r="E1352" s="147" t="str">
        <f>VLOOKUP(D1352,'Danh mục hàng hóa'!$C$3:$D$643,2,0)</f>
        <v xml:space="preserve">Kẹp tóc bướm hồng </v>
      </c>
      <c r="F1352" s="148" t="str">
        <f>VLOOKUP(D1352,'Danh mục hàng hóa'!$C$3:$E$656,3,0)</f>
        <v>cái</v>
      </c>
      <c r="G1352" s="324">
        <v>38000</v>
      </c>
      <c r="H1352" s="325"/>
      <c r="I1352" s="326">
        <v>2</v>
      </c>
      <c r="J1352" s="327"/>
      <c r="K1352" s="207">
        <f t="shared" si="101"/>
        <v>76000</v>
      </c>
      <c r="L1352" s="32"/>
      <c r="M1352" s="373"/>
    </row>
    <row r="1353" spans="1:13" ht="13.2">
      <c r="A1353" s="75"/>
      <c r="C1353" s="372"/>
      <c r="D1353" s="33" t="s">
        <v>788</v>
      </c>
      <c r="E1353" s="147" t="str">
        <f>VLOOKUP(D1353,'Danh mục hàng hóa'!$C$3:$D$643,2,0)</f>
        <v>Kẹp tóc bướm hồng phấn</v>
      </c>
      <c r="F1353" s="148" t="str">
        <f>VLOOKUP(D1353,'Danh mục hàng hóa'!$C$3:$E$656,3,0)</f>
        <v>cái</v>
      </c>
      <c r="G1353" s="324">
        <v>38000</v>
      </c>
      <c r="H1353" s="325"/>
      <c r="I1353" s="326">
        <v>1</v>
      </c>
      <c r="J1353" s="327"/>
      <c r="K1353" s="207">
        <f t="shared" si="101"/>
        <v>38000</v>
      </c>
      <c r="L1353" s="32"/>
      <c r="M1353" s="110">
        <v>33440</v>
      </c>
    </row>
    <row r="1354" spans="1:13" ht="13.2">
      <c r="A1354" s="75"/>
      <c r="C1354" s="372"/>
      <c r="D1354" s="33" t="s">
        <v>794</v>
      </c>
      <c r="E1354" s="147" t="str">
        <f>VLOOKUP(D1354,'Danh mục hàng hóa'!$C$3:$D$643,2,0)</f>
        <v>Kẹp tóc bướm xanh tím</v>
      </c>
      <c r="F1354" s="148" t="str">
        <f>VLOOKUP(D1354,'Danh mục hàng hóa'!$C$3:$E$656,3,0)</f>
        <v>cái</v>
      </c>
      <c r="G1354" s="324">
        <v>38000</v>
      </c>
      <c r="H1354" s="325"/>
      <c r="I1354" s="326">
        <v>1</v>
      </c>
      <c r="J1354" s="327"/>
      <c r="K1354" s="207">
        <f t="shared" si="101"/>
        <v>38000</v>
      </c>
      <c r="L1354" s="32"/>
      <c r="M1354" s="423">
        <v>43662</v>
      </c>
    </row>
    <row r="1355" spans="1:13" ht="13.2">
      <c r="A1355" s="75"/>
      <c r="C1355" s="372"/>
      <c r="D1355" s="33" t="s">
        <v>732</v>
      </c>
      <c r="E1355" s="147" t="str">
        <f>VLOOKUP(D1355,'Danh mục hàng hóa'!$C$3:$D$643,2,0)</f>
        <v>Kẹp tóc hoa sứ tím</v>
      </c>
      <c r="F1355" s="148" t="str">
        <f>VLOOKUP(D1355,'Danh mục hàng hóa'!$C$3:$E$656,3,0)</f>
        <v>cái</v>
      </c>
      <c r="G1355" s="324">
        <v>18000</v>
      </c>
      <c r="H1355" s="325"/>
      <c r="I1355" s="326">
        <v>1</v>
      </c>
      <c r="J1355" s="327"/>
      <c r="K1355" s="207">
        <f t="shared" si="101"/>
        <v>18000</v>
      </c>
      <c r="L1355" s="32"/>
      <c r="M1355" s="373"/>
    </row>
    <row r="1356" spans="1:13" ht="13.2">
      <c r="A1356" s="75"/>
      <c r="C1356" s="372"/>
      <c r="D1356" s="33" t="s">
        <v>794</v>
      </c>
      <c r="E1356" s="147" t="str">
        <f>VLOOKUP(D1356,'Danh mục hàng hóa'!$C$3:$D$643,2,0)</f>
        <v>Kẹp tóc bướm xanh tím</v>
      </c>
      <c r="F1356" s="148" t="str">
        <f>VLOOKUP(D1356,'Danh mục hàng hóa'!$C$3:$E$656,3,0)</f>
        <v>cái</v>
      </c>
      <c r="G1356" s="324">
        <v>38000</v>
      </c>
      <c r="H1356" s="325"/>
      <c r="I1356" s="326">
        <v>1</v>
      </c>
      <c r="J1356" s="327"/>
      <c r="K1356" s="207">
        <f t="shared" si="101"/>
        <v>38000</v>
      </c>
      <c r="L1356" s="32"/>
      <c r="M1356" s="423">
        <v>59892</v>
      </c>
    </row>
    <row r="1357" spans="1:13" ht="13.2">
      <c r="A1357" s="75"/>
      <c r="C1357" s="372"/>
      <c r="D1357" s="33" t="s">
        <v>798</v>
      </c>
      <c r="E1357" s="147" t="str">
        <f>VLOOKUP(D1357,'Danh mục hàng hóa'!$C$3:$D$643,2,0)</f>
        <v>Kẹp tóc bướm trắng</v>
      </c>
      <c r="F1357" s="148" t="str">
        <f>VLOOKUP(D1357,'Danh mục hàng hóa'!$C$3:$E$656,3,0)</f>
        <v>cái</v>
      </c>
      <c r="G1357" s="324">
        <v>38000</v>
      </c>
      <c r="H1357" s="325"/>
      <c r="I1357" s="326">
        <v>1</v>
      </c>
      <c r="J1357" s="327"/>
      <c r="K1357" s="207">
        <f t="shared" si="101"/>
        <v>38000</v>
      </c>
      <c r="L1357" s="32"/>
      <c r="M1357" s="373"/>
    </row>
    <row r="1358" spans="1:13" ht="13.2">
      <c r="A1358" s="75"/>
      <c r="C1358" s="372"/>
      <c r="D1358" s="33" t="s">
        <v>891</v>
      </c>
      <c r="E1358" s="147" t="str">
        <f>VLOOKUP(D1358,'Danh mục hàng hóa'!$C$3:$D$643,2,0)</f>
        <v>Heo ú</v>
      </c>
      <c r="F1358" s="148" t="str">
        <f>VLOOKUP(D1358,'Danh mục hàng hóa'!$C$3:$E$656,3,0)</f>
        <v>cái</v>
      </c>
      <c r="G1358" s="324">
        <v>54740</v>
      </c>
      <c r="H1358" s="325"/>
      <c r="I1358" s="326">
        <v>2</v>
      </c>
      <c r="J1358" s="327"/>
      <c r="K1358" s="207">
        <f t="shared" si="101"/>
        <v>109480</v>
      </c>
      <c r="L1358" s="32"/>
      <c r="M1358" s="110">
        <v>89303</v>
      </c>
    </row>
    <row r="1359" spans="1:13" ht="13.2">
      <c r="A1359" s="75"/>
      <c r="C1359" s="372"/>
      <c r="D1359" s="33" t="s">
        <v>792</v>
      </c>
      <c r="E1359" s="147" t="str">
        <f>VLOOKUP(D1359,'Danh mục hàng hóa'!$C$3:$D$643,2,0)</f>
        <v>Kẹp tóc bướm xanh ngọc</v>
      </c>
      <c r="F1359" s="148" t="str">
        <f>VLOOKUP(D1359,'Danh mục hàng hóa'!$C$3:$E$656,3,0)</f>
        <v>cái</v>
      </c>
      <c r="G1359" s="324">
        <v>38000</v>
      </c>
      <c r="H1359" s="325"/>
      <c r="I1359" s="326">
        <v>1</v>
      </c>
      <c r="J1359" s="327"/>
      <c r="K1359" s="207">
        <f t="shared" si="101"/>
        <v>38000</v>
      </c>
      <c r="L1359" s="32"/>
      <c r="M1359" s="423">
        <v>123812</v>
      </c>
    </row>
    <row r="1360" spans="1:13" ht="13.2">
      <c r="A1360" s="75"/>
      <c r="C1360" s="372"/>
      <c r="D1360" s="33" t="s">
        <v>794</v>
      </c>
      <c r="E1360" s="147" t="str">
        <f>VLOOKUP(D1360,'Danh mục hàng hóa'!$C$3:$D$643,2,0)</f>
        <v>Kẹp tóc bướm xanh tím</v>
      </c>
      <c r="F1360" s="148" t="str">
        <f>VLOOKUP(D1360,'Danh mục hàng hóa'!$C$3:$E$656,3,0)</f>
        <v>cái</v>
      </c>
      <c r="G1360" s="324">
        <v>38000</v>
      </c>
      <c r="H1360" s="325"/>
      <c r="I1360" s="326">
        <v>1</v>
      </c>
      <c r="J1360" s="327"/>
      <c r="K1360" s="207">
        <f t="shared" si="101"/>
        <v>38000</v>
      </c>
      <c r="L1360" s="32"/>
      <c r="M1360" s="372"/>
    </row>
    <row r="1361" spans="1:13" ht="13.2">
      <c r="A1361" s="75"/>
      <c r="C1361" s="372"/>
      <c r="D1361" s="33" t="s">
        <v>796</v>
      </c>
      <c r="E1361" s="147" t="str">
        <f>VLOOKUP(D1361,'Danh mục hàng hóa'!$C$3:$D$643,2,0)</f>
        <v>Kẹp tóc bướm tím</v>
      </c>
      <c r="F1361" s="148" t="str">
        <f>VLOOKUP(D1361,'Danh mục hàng hóa'!$C$3:$E$656,3,0)</f>
        <v>cái</v>
      </c>
      <c r="G1361" s="324">
        <v>38000</v>
      </c>
      <c r="H1361" s="325"/>
      <c r="I1361" s="326">
        <v>1</v>
      </c>
      <c r="J1361" s="327"/>
      <c r="K1361" s="207">
        <f t="shared" si="101"/>
        <v>38000</v>
      </c>
      <c r="L1361" s="32"/>
      <c r="M1361" s="372"/>
    </row>
    <row r="1362" spans="1:13" ht="13.2">
      <c r="A1362" s="75"/>
      <c r="C1362" s="372"/>
      <c r="D1362" s="33" t="s">
        <v>790</v>
      </c>
      <c r="E1362" s="147" t="str">
        <f>VLOOKUP(D1362,'Danh mục hàng hóa'!$C$3:$D$643,2,0)</f>
        <v xml:space="preserve">Kẹp tóc bướm hồng </v>
      </c>
      <c r="F1362" s="148" t="str">
        <f>VLOOKUP(D1362,'Danh mục hàng hóa'!$C$3:$E$656,3,0)</f>
        <v>cái</v>
      </c>
      <c r="G1362" s="324">
        <v>38000</v>
      </c>
      <c r="H1362" s="325"/>
      <c r="I1362" s="326">
        <v>1</v>
      </c>
      <c r="J1362" s="327"/>
      <c r="K1362" s="207">
        <f t="shared" si="101"/>
        <v>38000</v>
      </c>
      <c r="L1362" s="32"/>
      <c r="M1362" s="373"/>
    </row>
    <row r="1363" spans="1:13" ht="13.2">
      <c r="A1363" s="75"/>
      <c r="C1363" s="373"/>
      <c r="D1363" s="33" t="s">
        <v>792</v>
      </c>
      <c r="E1363" s="147" t="str">
        <f>VLOOKUP(D1363,'Danh mục hàng hóa'!$C$3:$D$643,2,0)</f>
        <v>Kẹp tóc bướm xanh ngọc</v>
      </c>
      <c r="F1363" s="148" t="str">
        <f>VLOOKUP(D1363,'Danh mục hàng hóa'!$C$3:$E$656,3,0)</f>
        <v>cái</v>
      </c>
      <c r="G1363" s="324">
        <v>38000</v>
      </c>
      <c r="H1363" s="325"/>
      <c r="I1363" s="326">
        <v>1</v>
      </c>
      <c r="J1363" s="327"/>
      <c r="K1363" s="207">
        <f t="shared" si="101"/>
        <v>38000</v>
      </c>
      <c r="L1363" s="32"/>
      <c r="M1363" s="110">
        <v>33380</v>
      </c>
    </row>
    <row r="1364" spans="1:13" ht="13.2">
      <c r="A1364" s="75"/>
      <c r="E1364" s="208" t="e">
        <f>VLOOKUP(D1364,'Danh mục hàng hóa'!$C$3:$D$643,2,0)</f>
        <v>#N/A</v>
      </c>
      <c r="F1364" s="209" t="e">
        <f>VLOOKUP(D1364,'Danh mục hàng hóa'!$C$3:$E$656,3,0)</f>
        <v>#N/A</v>
      </c>
      <c r="G1364" s="358">
        <v>0</v>
      </c>
      <c r="H1364" s="359"/>
      <c r="I1364" s="360">
        <v>1</v>
      </c>
      <c r="J1364" s="361"/>
      <c r="K1364" s="210">
        <f t="shared" si="101"/>
        <v>0</v>
      </c>
      <c r="M1364" s="67"/>
    </row>
    <row r="1365" spans="1:13" ht="13.2">
      <c r="A1365" s="75"/>
      <c r="E1365" s="208" t="e">
        <f>VLOOKUP(D1365,'Danh mục hàng hóa'!$C$3:$D$643,2,0)</f>
        <v>#N/A</v>
      </c>
      <c r="F1365" s="209" t="e">
        <f>VLOOKUP(D1365,'Danh mục hàng hóa'!$C$3:$E$656,3,0)</f>
        <v>#N/A</v>
      </c>
      <c r="G1365" s="358">
        <v>0</v>
      </c>
      <c r="H1365" s="359"/>
      <c r="I1365" s="360">
        <v>1</v>
      </c>
      <c r="J1365" s="361"/>
      <c r="K1365" s="210">
        <f t="shared" si="101"/>
        <v>0</v>
      </c>
      <c r="M1365" s="67"/>
    </row>
    <row r="1366" spans="1:13" ht="13.2">
      <c r="A1366" s="75"/>
      <c r="E1366" s="208" t="e">
        <f>VLOOKUP(D1366,'Danh mục hàng hóa'!$C$3:$D$643,2,0)</f>
        <v>#N/A</v>
      </c>
      <c r="F1366" s="209" t="e">
        <f>VLOOKUP(D1366,'Danh mục hàng hóa'!$C$3:$E$656,3,0)</f>
        <v>#N/A</v>
      </c>
      <c r="G1366" s="358">
        <v>0</v>
      </c>
      <c r="H1366" s="359"/>
      <c r="I1366" s="360">
        <v>1</v>
      </c>
      <c r="J1366" s="361"/>
      <c r="K1366" s="210">
        <f t="shared" si="101"/>
        <v>0</v>
      </c>
      <c r="M1366" s="67"/>
    </row>
    <row r="1367" spans="1:13" ht="13.2">
      <c r="A1367" s="75"/>
      <c r="E1367" s="208" t="e">
        <f>VLOOKUP(D1367,'Danh mục hàng hóa'!$C$3:$D$643,2,0)</f>
        <v>#N/A</v>
      </c>
      <c r="F1367" s="209" t="e">
        <f>VLOOKUP(D1367,'Danh mục hàng hóa'!$C$3:$E$656,3,0)</f>
        <v>#N/A</v>
      </c>
      <c r="G1367" s="358">
        <v>0</v>
      </c>
      <c r="H1367" s="359"/>
      <c r="I1367" s="360">
        <v>1</v>
      </c>
      <c r="J1367" s="361"/>
      <c r="K1367" s="210">
        <f t="shared" si="101"/>
        <v>0</v>
      </c>
      <c r="M1367" s="67"/>
    </row>
    <row r="1368" spans="1:13" ht="13.2">
      <c r="A1368" s="75"/>
      <c r="E1368" s="208" t="e">
        <f>VLOOKUP(D1368,'Danh mục hàng hóa'!$C$3:$D$643,2,0)</f>
        <v>#N/A</v>
      </c>
      <c r="F1368" s="209" t="e">
        <f>VLOOKUP(D1368,'Danh mục hàng hóa'!$C$3:$E$656,3,0)</f>
        <v>#N/A</v>
      </c>
      <c r="G1368" s="358">
        <v>0</v>
      </c>
      <c r="H1368" s="359"/>
      <c r="I1368" s="360">
        <v>1</v>
      </c>
      <c r="J1368" s="361"/>
      <c r="K1368" s="210">
        <f t="shared" si="101"/>
        <v>0</v>
      </c>
      <c r="M1368" s="67"/>
    </row>
    <row r="1369" spans="1:13" ht="13.2">
      <c r="A1369" s="75"/>
      <c r="E1369" s="208" t="e">
        <f>VLOOKUP(D1369,'Danh mục hàng hóa'!$C$3:$D$643,2,0)</f>
        <v>#N/A</v>
      </c>
      <c r="F1369" s="209" t="e">
        <f>VLOOKUP(D1369,'Danh mục hàng hóa'!$C$3:$E$656,3,0)</f>
        <v>#N/A</v>
      </c>
      <c r="G1369" s="358">
        <v>0</v>
      </c>
      <c r="H1369" s="359"/>
      <c r="I1369" s="360">
        <v>1</v>
      </c>
      <c r="J1369" s="361"/>
      <c r="K1369" s="210">
        <f t="shared" si="101"/>
        <v>0</v>
      </c>
      <c r="M1369" s="67"/>
    </row>
    <row r="1370" spans="1:13" ht="13.2">
      <c r="A1370" s="75"/>
      <c r="E1370" s="208" t="e">
        <f>VLOOKUP(D1370,'Danh mục hàng hóa'!$C$3:$D$643,2,0)</f>
        <v>#N/A</v>
      </c>
      <c r="F1370" s="209" t="e">
        <f>VLOOKUP(D1370,'Danh mục hàng hóa'!$C$3:$E$656,3,0)</f>
        <v>#N/A</v>
      </c>
      <c r="G1370" s="358">
        <v>0</v>
      </c>
      <c r="H1370" s="359"/>
      <c r="I1370" s="360">
        <v>1</v>
      </c>
      <c r="J1370" s="361"/>
      <c r="K1370" s="210">
        <f t="shared" si="101"/>
        <v>0</v>
      </c>
      <c r="M1370" s="67"/>
    </row>
    <row r="1371" spans="1:13" ht="13.2">
      <c r="A1371" s="75"/>
      <c r="E1371" s="208" t="e">
        <f>VLOOKUP(D1371,'Danh mục hàng hóa'!$C$3:$D$643,2,0)</f>
        <v>#N/A</v>
      </c>
      <c r="F1371" s="209" t="e">
        <f>VLOOKUP(D1371,'Danh mục hàng hóa'!$C$3:$E$656,3,0)</f>
        <v>#N/A</v>
      </c>
      <c r="G1371" s="358">
        <v>0</v>
      </c>
      <c r="H1371" s="359"/>
      <c r="I1371" s="360">
        <v>1</v>
      </c>
      <c r="J1371" s="361"/>
      <c r="K1371" s="210">
        <f t="shared" si="101"/>
        <v>0</v>
      </c>
      <c r="M1371" s="67"/>
    </row>
    <row r="1372" spans="1:13" ht="13.2">
      <c r="A1372" s="75"/>
      <c r="E1372" s="208" t="e">
        <f>VLOOKUP(D1372,'Danh mục hàng hóa'!$C$3:$D$643,2,0)</f>
        <v>#N/A</v>
      </c>
      <c r="F1372" s="209" t="e">
        <f>VLOOKUP(D1372,'Danh mục hàng hóa'!$C$3:$E$656,3,0)</f>
        <v>#N/A</v>
      </c>
      <c r="G1372" s="358">
        <v>0</v>
      </c>
      <c r="H1372" s="359"/>
      <c r="I1372" s="360">
        <v>1</v>
      </c>
      <c r="J1372" s="361"/>
      <c r="K1372" s="210">
        <f t="shared" si="101"/>
        <v>0</v>
      </c>
      <c r="M1372" s="67"/>
    </row>
    <row r="1373" spans="1:13" ht="13.2">
      <c r="A1373" s="75"/>
      <c r="E1373" s="208" t="e">
        <f>VLOOKUP(D1373,'Danh mục hàng hóa'!$C$3:$D$643,2,0)</f>
        <v>#N/A</v>
      </c>
      <c r="F1373" s="209" t="e">
        <f>VLOOKUP(D1373,'Danh mục hàng hóa'!$C$3:$E$656,3,0)</f>
        <v>#N/A</v>
      </c>
      <c r="G1373" s="358">
        <v>0</v>
      </c>
      <c r="H1373" s="359"/>
      <c r="I1373" s="360">
        <v>1</v>
      </c>
      <c r="J1373" s="361"/>
      <c r="K1373" s="210">
        <f t="shared" si="101"/>
        <v>0</v>
      </c>
      <c r="M1373" s="67"/>
    </row>
    <row r="1374" spans="1:13" ht="13.2">
      <c r="A1374" s="75"/>
      <c r="E1374" s="208" t="e">
        <f>VLOOKUP(D1374,'Danh mục hàng hóa'!$C$3:$D$643,2,0)</f>
        <v>#N/A</v>
      </c>
      <c r="F1374" s="209" t="e">
        <f>VLOOKUP(D1374,'Danh mục hàng hóa'!$C$3:$E$656,3,0)</f>
        <v>#N/A</v>
      </c>
      <c r="G1374" s="358">
        <v>0</v>
      </c>
      <c r="H1374" s="359"/>
      <c r="I1374" s="360">
        <v>1</v>
      </c>
      <c r="J1374" s="361"/>
      <c r="K1374" s="210">
        <f t="shared" si="101"/>
        <v>0</v>
      </c>
      <c r="M1374" s="67"/>
    </row>
    <row r="1375" spans="1:13" ht="13.2">
      <c r="A1375" s="75"/>
      <c r="E1375" s="208" t="e">
        <f>VLOOKUP(D1375,'Danh mục hàng hóa'!$C$3:$D$643,2,0)</f>
        <v>#N/A</v>
      </c>
      <c r="F1375" s="209" t="e">
        <f>VLOOKUP(D1375,'Danh mục hàng hóa'!$C$3:$E$656,3,0)</f>
        <v>#N/A</v>
      </c>
      <c r="G1375" s="358">
        <v>0</v>
      </c>
      <c r="H1375" s="359"/>
      <c r="I1375" s="360">
        <v>1</v>
      </c>
      <c r="J1375" s="361"/>
      <c r="K1375" s="210">
        <f t="shared" si="101"/>
        <v>0</v>
      </c>
      <c r="M1375" s="67"/>
    </row>
    <row r="1376" spans="1:13" ht="13.2">
      <c r="A1376" s="75"/>
      <c r="E1376" s="208" t="e">
        <f>VLOOKUP(D1376,'Danh mục hàng hóa'!$C$3:$D$643,2,0)</f>
        <v>#N/A</v>
      </c>
      <c r="F1376" s="209" t="e">
        <f>VLOOKUP(D1376,'Danh mục hàng hóa'!$C$3:$E$656,3,0)</f>
        <v>#N/A</v>
      </c>
      <c r="G1376" s="358">
        <v>0</v>
      </c>
      <c r="H1376" s="359"/>
      <c r="I1376" s="360">
        <v>1</v>
      </c>
      <c r="J1376" s="361"/>
      <c r="K1376" s="210">
        <f t="shared" si="101"/>
        <v>0</v>
      </c>
      <c r="M1376" s="67"/>
    </row>
    <row r="1377" spans="1:13" ht="13.2">
      <c r="A1377" s="75"/>
      <c r="E1377" s="208" t="e">
        <f>VLOOKUP(D1377,'Danh mục hàng hóa'!$C$3:$D$643,2,0)</f>
        <v>#N/A</v>
      </c>
      <c r="F1377" s="209" t="e">
        <f>VLOOKUP(D1377,'Danh mục hàng hóa'!$C$3:$E$656,3,0)</f>
        <v>#N/A</v>
      </c>
      <c r="G1377" s="358">
        <v>0</v>
      </c>
      <c r="H1377" s="359"/>
      <c r="I1377" s="360">
        <v>1</v>
      </c>
      <c r="J1377" s="361"/>
      <c r="K1377" s="210">
        <f t="shared" si="101"/>
        <v>0</v>
      </c>
      <c r="M1377" s="67"/>
    </row>
    <row r="1378" spans="1:13" ht="13.2">
      <c r="A1378" s="75"/>
      <c r="E1378" s="208" t="e">
        <f>VLOOKUP(D1378,'Danh mục hàng hóa'!$C$3:$D$643,2,0)</f>
        <v>#N/A</v>
      </c>
      <c r="F1378" s="209" t="e">
        <f>VLOOKUP(D1378,'Danh mục hàng hóa'!$C$3:$E$656,3,0)</f>
        <v>#N/A</v>
      </c>
      <c r="G1378" s="358">
        <v>0</v>
      </c>
      <c r="H1378" s="359"/>
      <c r="I1378" s="360">
        <v>1</v>
      </c>
      <c r="J1378" s="361"/>
      <c r="K1378" s="210">
        <f t="shared" si="101"/>
        <v>0</v>
      </c>
      <c r="M1378" s="67"/>
    </row>
    <row r="1379" spans="1:13" ht="13.2">
      <c r="A1379" s="75"/>
      <c r="E1379" s="208" t="e">
        <f>VLOOKUP(D1379,'Danh mục hàng hóa'!$C$3:$D$643,2,0)</f>
        <v>#N/A</v>
      </c>
      <c r="F1379" s="209" t="e">
        <f>VLOOKUP(D1379,'Danh mục hàng hóa'!$C$3:$E$656,3,0)</f>
        <v>#N/A</v>
      </c>
      <c r="G1379" s="358">
        <v>0</v>
      </c>
      <c r="H1379" s="359"/>
      <c r="I1379" s="360">
        <v>1</v>
      </c>
      <c r="J1379" s="361"/>
      <c r="K1379" s="210">
        <f t="shared" si="101"/>
        <v>0</v>
      </c>
      <c r="M1379" s="67"/>
    </row>
    <row r="1380" spans="1:13" ht="13.2">
      <c r="A1380" s="75"/>
      <c r="E1380" s="208" t="e">
        <f>VLOOKUP(D1380,'Danh mục hàng hóa'!$C$3:$D$643,2,0)</f>
        <v>#N/A</v>
      </c>
      <c r="F1380" s="209" t="e">
        <f>VLOOKUP(D1380,'Danh mục hàng hóa'!$C$3:$E$656,3,0)</f>
        <v>#N/A</v>
      </c>
      <c r="G1380" s="358">
        <v>0</v>
      </c>
      <c r="H1380" s="359"/>
      <c r="I1380" s="360">
        <v>1</v>
      </c>
      <c r="J1380" s="361"/>
      <c r="K1380" s="210">
        <f t="shared" si="101"/>
        <v>0</v>
      </c>
      <c r="M1380" s="67"/>
    </row>
    <row r="1381" spans="1:13" ht="13.2">
      <c r="A1381" s="75"/>
      <c r="E1381" s="208" t="e">
        <f>VLOOKUP(D1381,'Danh mục hàng hóa'!$C$3:$D$643,2,0)</f>
        <v>#N/A</v>
      </c>
      <c r="F1381" s="209" t="e">
        <f>VLOOKUP(D1381,'Danh mục hàng hóa'!$C$3:$E$656,3,0)</f>
        <v>#N/A</v>
      </c>
      <c r="G1381" s="358">
        <v>0</v>
      </c>
      <c r="H1381" s="359"/>
      <c r="I1381" s="360">
        <v>1</v>
      </c>
      <c r="J1381" s="361"/>
      <c r="K1381" s="210">
        <f t="shared" si="101"/>
        <v>0</v>
      </c>
      <c r="M1381" s="67"/>
    </row>
    <row r="1382" spans="1:13" ht="13.2">
      <c r="A1382" s="75"/>
      <c r="E1382" s="208" t="e">
        <f>VLOOKUP(D1382,'Danh mục hàng hóa'!$C$3:$D$643,2,0)</f>
        <v>#N/A</v>
      </c>
      <c r="F1382" s="209" t="e">
        <f>VLOOKUP(D1382,'Danh mục hàng hóa'!$C$3:$E$656,3,0)</f>
        <v>#N/A</v>
      </c>
      <c r="G1382" s="358">
        <v>0</v>
      </c>
      <c r="H1382" s="359"/>
      <c r="I1382" s="360">
        <v>1</v>
      </c>
      <c r="J1382" s="361"/>
      <c r="K1382" s="210">
        <f t="shared" si="101"/>
        <v>0</v>
      </c>
      <c r="M1382" s="67"/>
    </row>
    <row r="1383" spans="1:13" ht="13.2">
      <c r="A1383" s="75"/>
      <c r="E1383" s="208" t="e">
        <f>VLOOKUP(D1383,'Danh mục hàng hóa'!$C$3:$D$643,2,0)</f>
        <v>#N/A</v>
      </c>
      <c r="F1383" s="209" t="e">
        <f>VLOOKUP(D1383,'Danh mục hàng hóa'!$C$3:$E$656,3,0)</f>
        <v>#N/A</v>
      </c>
      <c r="G1383" s="358">
        <v>0</v>
      </c>
      <c r="H1383" s="359"/>
      <c r="I1383" s="360">
        <v>1</v>
      </c>
      <c r="J1383" s="361"/>
      <c r="K1383" s="210">
        <f t="shared" si="101"/>
        <v>0</v>
      </c>
      <c r="M1383" s="67"/>
    </row>
    <row r="1384" spans="1:13" ht="13.2">
      <c r="A1384" s="75"/>
      <c r="E1384" s="208" t="e">
        <f>VLOOKUP(D1384,'Danh mục hàng hóa'!$C$3:$D$643,2,0)</f>
        <v>#N/A</v>
      </c>
      <c r="F1384" s="209" t="e">
        <f>VLOOKUP(D1384,'Danh mục hàng hóa'!$C$3:$E$656,3,0)</f>
        <v>#N/A</v>
      </c>
      <c r="G1384" s="358">
        <v>0</v>
      </c>
      <c r="H1384" s="359"/>
      <c r="I1384" s="360">
        <v>1</v>
      </c>
      <c r="J1384" s="361"/>
      <c r="K1384" s="210">
        <f t="shared" si="101"/>
        <v>0</v>
      </c>
      <c r="M1384" s="67"/>
    </row>
    <row r="1385" spans="1:13" ht="13.2">
      <c r="A1385" s="75"/>
      <c r="E1385" s="208" t="e">
        <f>VLOOKUP(D1385,'Danh mục hàng hóa'!$C$3:$D$643,2,0)</f>
        <v>#N/A</v>
      </c>
      <c r="F1385" s="209" t="e">
        <f>VLOOKUP(D1385,'Danh mục hàng hóa'!$C$3:$E$656,3,0)</f>
        <v>#N/A</v>
      </c>
      <c r="G1385" s="358">
        <v>0</v>
      </c>
      <c r="H1385" s="359"/>
      <c r="I1385" s="360">
        <v>1</v>
      </c>
      <c r="J1385" s="361"/>
      <c r="K1385" s="210">
        <f t="shared" si="101"/>
        <v>0</v>
      </c>
      <c r="M1385" s="67"/>
    </row>
    <row r="1386" spans="1:13" ht="13.2">
      <c r="A1386" s="75"/>
      <c r="E1386" s="208" t="e">
        <f>VLOOKUP(D1386,'Danh mục hàng hóa'!$C$3:$D$643,2,0)</f>
        <v>#N/A</v>
      </c>
      <c r="F1386" s="209" t="e">
        <f>VLOOKUP(D1386,'Danh mục hàng hóa'!$C$3:$E$656,3,0)</f>
        <v>#N/A</v>
      </c>
      <c r="G1386" s="358">
        <v>0</v>
      </c>
      <c r="H1386" s="359"/>
      <c r="I1386" s="360">
        <v>1</v>
      </c>
      <c r="J1386" s="361"/>
      <c r="K1386" s="210">
        <f t="shared" si="101"/>
        <v>0</v>
      </c>
      <c r="M1386" s="67"/>
    </row>
    <row r="1387" spans="1:13" ht="13.2">
      <c r="A1387" s="75"/>
      <c r="E1387" s="208" t="e">
        <f>VLOOKUP(D1387,'Danh mục hàng hóa'!$C$3:$D$643,2,0)</f>
        <v>#N/A</v>
      </c>
      <c r="F1387" s="209" t="e">
        <f>VLOOKUP(D1387,'Danh mục hàng hóa'!$C$3:$E$656,3,0)</f>
        <v>#N/A</v>
      </c>
      <c r="G1387" s="358">
        <v>0</v>
      </c>
      <c r="H1387" s="359"/>
      <c r="I1387" s="360">
        <v>1</v>
      </c>
      <c r="J1387" s="361"/>
      <c r="K1387" s="210">
        <f t="shared" si="101"/>
        <v>0</v>
      </c>
      <c r="M1387" s="67"/>
    </row>
    <row r="1388" spans="1:13" ht="13.2">
      <c r="A1388" s="75"/>
      <c r="E1388" s="208" t="e">
        <f>VLOOKUP(D1388,'Danh mục hàng hóa'!$C$3:$D$643,2,0)</f>
        <v>#N/A</v>
      </c>
      <c r="F1388" s="209" t="e">
        <f>VLOOKUP(D1388,'Danh mục hàng hóa'!$C$3:$E$656,3,0)</f>
        <v>#N/A</v>
      </c>
      <c r="G1388" s="358">
        <v>0</v>
      </c>
      <c r="H1388" s="359"/>
      <c r="I1388" s="360">
        <v>1</v>
      </c>
      <c r="J1388" s="361"/>
      <c r="K1388" s="210">
        <f t="shared" si="101"/>
        <v>0</v>
      </c>
      <c r="M1388" s="67"/>
    </row>
    <row r="1389" spans="1:13" ht="13.2">
      <c r="A1389" s="75"/>
      <c r="E1389" s="208" t="e">
        <f>VLOOKUP(D1389,'Danh mục hàng hóa'!$C$3:$D$643,2,0)</f>
        <v>#N/A</v>
      </c>
      <c r="F1389" s="209" t="e">
        <f>VLOOKUP(D1389,'Danh mục hàng hóa'!$C$3:$E$656,3,0)</f>
        <v>#N/A</v>
      </c>
      <c r="G1389" s="358">
        <v>0</v>
      </c>
      <c r="H1389" s="359"/>
      <c r="I1389" s="360">
        <v>1</v>
      </c>
      <c r="J1389" s="361"/>
      <c r="K1389" s="210">
        <f t="shared" si="101"/>
        <v>0</v>
      </c>
      <c r="M1389" s="67"/>
    </row>
    <row r="1390" spans="1:13" ht="13.2">
      <c r="A1390" s="75"/>
      <c r="E1390" s="208" t="e">
        <f>VLOOKUP(D1390,'Danh mục hàng hóa'!$C$3:$D$643,2,0)</f>
        <v>#N/A</v>
      </c>
      <c r="F1390" s="209" t="e">
        <f>VLOOKUP(D1390,'Danh mục hàng hóa'!$C$3:$E$656,3,0)</f>
        <v>#N/A</v>
      </c>
      <c r="G1390" s="358">
        <v>0</v>
      </c>
      <c r="H1390" s="359"/>
      <c r="I1390" s="360">
        <v>1</v>
      </c>
      <c r="J1390" s="361"/>
      <c r="K1390" s="210">
        <f t="shared" si="101"/>
        <v>0</v>
      </c>
      <c r="M1390" s="67"/>
    </row>
    <row r="1391" spans="1:13" ht="13.2">
      <c r="A1391" s="75"/>
      <c r="E1391" s="208" t="e">
        <f>VLOOKUP(D1391,'Danh mục hàng hóa'!$C$3:$D$643,2,0)</f>
        <v>#N/A</v>
      </c>
      <c r="F1391" s="209" t="e">
        <f>VLOOKUP(D1391,'Danh mục hàng hóa'!$C$3:$E$656,3,0)</f>
        <v>#N/A</v>
      </c>
      <c r="G1391" s="358">
        <v>0</v>
      </c>
      <c r="H1391" s="359"/>
      <c r="I1391" s="360">
        <v>1</v>
      </c>
      <c r="J1391" s="361"/>
      <c r="K1391" s="210">
        <f t="shared" si="101"/>
        <v>0</v>
      </c>
      <c r="M1391" s="67"/>
    </row>
    <row r="1392" spans="1:13" ht="13.2">
      <c r="A1392" s="75"/>
      <c r="E1392" s="208" t="e">
        <f>VLOOKUP(D1392,'Danh mục hàng hóa'!$C$3:$D$643,2,0)</f>
        <v>#N/A</v>
      </c>
      <c r="F1392" s="209" t="e">
        <f>VLOOKUP(D1392,'Danh mục hàng hóa'!$C$3:$E$656,3,0)</f>
        <v>#N/A</v>
      </c>
      <c r="G1392" s="358">
        <v>0</v>
      </c>
      <c r="H1392" s="359"/>
      <c r="I1392" s="360">
        <v>1</v>
      </c>
      <c r="J1392" s="361"/>
      <c r="K1392" s="210">
        <f t="shared" si="101"/>
        <v>0</v>
      </c>
      <c r="M1392" s="67"/>
    </row>
    <row r="1393" spans="1:13" ht="13.2">
      <c r="A1393" s="75"/>
      <c r="E1393" s="208" t="e">
        <f>VLOOKUP(D1393,'Danh mục hàng hóa'!$C$3:$D$643,2,0)</f>
        <v>#N/A</v>
      </c>
      <c r="F1393" s="209" t="e">
        <f>VLOOKUP(D1393,'Danh mục hàng hóa'!$C$3:$E$656,3,0)</f>
        <v>#N/A</v>
      </c>
      <c r="G1393" s="358">
        <v>0</v>
      </c>
      <c r="H1393" s="359"/>
      <c r="I1393" s="360">
        <v>1</v>
      </c>
      <c r="J1393" s="361"/>
      <c r="K1393" s="210">
        <f t="shared" si="101"/>
        <v>0</v>
      </c>
      <c r="M1393" s="67"/>
    </row>
    <row r="1394" spans="1:13" ht="13.2">
      <c r="A1394" s="75"/>
      <c r="E1394" s="208" t="e">
        <f>VLOOKUP(D1394,'Danh mục hàng hóa'!$C$3:$D$643,2,0)</f>
        <v>#N/A</v>
      </c>
      <c r="F1394" s="209" t="e">
        <f>VLOOKUP(D1394,'Danh mục hàng hóa'!$C$3:$E$656,3,0)</f>
        <v>#N/A</v>
      </c>
      <c r="G1394" s="358">
        <v>0</v>
      </c>
      <c r="H1394" s="359"/>
      <c r="I1394" s="360">
        <v>1</v>
      </c>
      <c r="J1394" s="361"/>
      <c r="K1394" s="210">
        <f t="shared" si="101"/>
        <v>0</v>
      </c>
      <c r="M1394" s="67"/>
    </row>
    <row r="1395" spans="1:13" ht="13.2">
      <c r="A1395" s="75"/>
      <c r="E1395" s="208" t="e">
        <f>VLOOKUP(D1395,'Danh mục hàng hóa'!$C$3:$D$643,2,0)</f>
        <v>#N/A</v>
      </c>
      <c r="F1395" s="209" t="e">
        <f>VLOOKUP(D1395,'Danh mục hàng hóa'!$C$3:$E$656,3,0)</f>
        <v>#N/A</v>
      </c>
      <c r="G1395" s="358">
        <v>0</v>
      </c>
      <c r="H1395" s="359"/>
      <c r="I1395" s="360">
        <v>1</v>
      </c>
      <c r="J1395" s="361"/>
      <c r="K1395" s="210">
        <f t="shared" si="101"/>
        <v>0</v>
      </c>
      <c r="M1395" s="67"/>
    </row>
    <row r="1396" spans="1:13" ht="13.2">
      <c r="A1396" s="75"/>
      <c r="E1396" s="208" t="e">
        <f>VLOOKUP(D1396,'Danh mục hàng hóa'!$C$3:$D$643,2,0)</f>
        <v>#N/A</v>
      </c>
      <c r="F1396" s="209" t="e">
        <f>VLOOKUP(D1396,'Danh mục hàng hóa'!$C$3:$E$656,3,0)</f>
        <v>#N/A</v>
      </c>
      <c r="G1396" s="358">
        <v>0</v>
      </c>
      <c r="H1396" s="359"/>
      <c r="I1396" s="360">
        <v>1</v>
      </c>
      <c r="J1396" s="361"/>
      <c r="K1396" s="210">
        <f t="shared" si="101"/>
        <v>0</v>
      </c>
      <c r="M1396" s="67"/>
    </row>
    <row r="1397" spans="1:13" ht="13.2">
      <c r="A1397" s="75"/>
      <c r="E1397" s="208" t="e">
        <f>VLOOKUP(D1397,'Danh mục hàng hóa'!$C$3:$D$643,2,0)</f>
        <v>#N/A</v>
      </c>
      <c r="F1397" s="209" t="e">
        <f>VLOOKUP(D1397,'Danh mục hàng hóa'!$C$3:$E$656,3,0)</f>
        <v>#N/A</v>
      </c>
      <c r="G1397" s="358">
        <v>0</v>
      </c>
      <c r="H1397" s="359"/>
      <c r="I1397" s="360">
        <v>1</v>
      </c>
      <c r="J1397" s="361"/>
      <c r="K1397" s="210">
        <f t="shared" si="101"/>
        <v>0</v>
      </c>
      <c r="M1397" s="67"/>
    </row>
    <row r="1398" spans="1:13" ht="13.2">
      <c r="A1398" s="75"/>
      <c r="E1398" s="208" t="e">
        <f>VLOOKUP(D1398,'Danh mục hàng hóa'!$C$3:$D$643,2,0)</f>
        <v>#N/A</v>
      </c>
      <c r="F1398" s="209" t="e">
        <f>VLOOKUP(D1398,'Danh mục hàng hóa'!$C$3:$E$656,3,0)</f>
        <v>#N/A</v>
      </c>
      <c r="G1398" s="358">
        <v>0</v>
      </c>
      <c r="H1398" s="359"/>
      <c r="I1398" s="360">
        <v>1</v>
      </c>
      <c r="J1398" s="361"/>
      <c r="K1398" s="210">
        <f t="shared" si="101"/>
        <v>0</v>
      </c>
      <c r="M1398" s="67"/>
    </row>
    <row r="1399" spans="1:13" ht="13.2">
      <c r="A1399" s="75"/>
      <c r="E1399" s="208" t="e">
        <f>VLOOKUP(D1399,'Danh mục hàng hóa'!$C$3:$D$643,2,0)</f>
        <v>#N/A</v>
      </c>
      <c r="F1399" s="209" t="e">
        <f>VLOOKUP(D1399,'Danh mục hàng hóa'!$C$3:$E$656,3,0)</f>
        <v>#N/A</v>
      </c>
      <c r="G1399" s="358">
        <v>0</v>
      </c>
      <c r="H1399" s="359"/>
      <c r="I1399" s="360">
        <v>1</v>
      </c>
      <c r="J1399" s="361"/>
      <c r="K1399" s="210">
        <f t="shared" si="101"/>
        <v>0</v>
      </c>
      <c r="M1399" s="67"/>
    </row>
    <row r="1400" spans="1:13" ht="13.2">
      <c r="A1400" s="75"/>
      <c r="E1400" s="208" t="e">
        <f>VLOOKUP(D1400,'Danh mục hàng hóa'!$C$3:$D$643,2,0)</f>
        <v>#N/A</v>
      </c>
      <c r="F1400" s="209" t="e">
        <f>VLOOKUP(D1400,'Danh mục hàng hóa'!$C$3:$E$656,3,0)</f>
        <v>#N/A</v>
      </c>
      <c r="G1400" s="358">
        <v>0</v>
      </c>
      <c r="H1400" s="359"/>
      <c r="I1400" s="360">
        <v>1</v>
      </c>
      <c r="J1400" s="361"/>
      <c r="K1400" s="210">
        <f t="shared" si="101"/>
        <v>0</v>
      </c>
      <c r="M1400" s="67"/>
    </row>
    <row r="1401" spans="1:13" ht="13.2">
      <c r="A1401" s="75"/>
      <c r="E1401" s="208" t="e">
        <f>VLOOKUP(D1401,'Danh mục hàng hóa'!$C$3:$D$643,2,0)</f>
        <v>#N/A</v>
      </c>
      <c r="F1401" s="209" t="e">
        <f>VLOOKUP(D1401,'Danh mục hàng hóa'!$C$3:$E$656,3,0)</f>
        <v>#N/A</v>
      </c>
      <c r="G1401" s="358">
        <v>0</v>
      </c>
      <c r="H1401" s="359"/>
      <c r="I1401" s="360">
        <v>1</v>
      </c>
      <c r="J1401" s="361"/>
      <c r="K1401" s="210">
        <f t="shared" si="101"/>
        <v>0</v>
      </c>
      <c r="M1401" s="67"/>
    </row>
    <row r="1402" spans="1:13" ht="13.2">
      <c r="A1402" s="75"/>
      <c r="E1402" s="208" t="e">
        <f>VLOOKUP(D1402,'Danh mục hàng hóa'!$C$3:$D$643,2,0)</f>
        <v>#N/A</v>
      </c>
      <c r="F1402" s="209" t="e">
        <f>VLOOKUP(D1402,'Danh mục hàng hóa'!$C$3:$E$656,3,0)</f>
        <v>#N/A</v>
      </c>
      <c r="G1402" s="358">
        <v>0</v>
      </c>
      <c r="H1402" s="359"/>
      <c r="I1402" s="360">
        <v>1</v>
      </c>
      <c r="J1402" s="361"/>
      <c r="K1402" s="210">
        <f t="shared" si="101"/>
        <v>0</v>
      </c>
      <c r="M1402" s="67"/>
    </row>
    <row r="1403" spans="1:13" ht="13.2">
      <c r="A1403" s="75"/>
      <c r="E1403" s="208" t="e">
        <f>VLOOKUP(D1403,'Danh mục hàng hóa'!$C$3:$D$643,2,0)</f>
        <v>#N/A</v>
      </c>
      <c r="F1403" s="209" t="e">
        <f>VLOOKUP(D1403,'Danh mục hàng hóa'!$C$3:$E$656,3,0)</f>
        <v>#N/A</v>
      </c>
      <c r="G1403" s="358">
        <v>0</v>
      </c>
      <c r="H1403" s="359"/>
      <c r="I1403" s="360">
        <v>1</v>
      </c>
      <c r="J1403" s="361"/>
      <c r="K1403" s="210">
        <f t="shared" si="101"/>
        <v>0</v>
      </c>
      <c r="M1403" s="67"/>
    </row>
    <row r="1404" spans="1:13" ht="13.2">
      <c r="A1404" s="75"/>
      <c r="E1404" s="208" t="e">
        <f>VLOOKUP(D1404,'Danh mục hàng hóa'!$C$3:$D$643,2,0)</f>
        <v>#N/A</v>
      </c>
      <c r="F1404" s="209" t="e">
        <f>VLOOKUP(D1404,'Danh mục hàng hóa'!$C$3:$E$656,3,0)</f>
        <v>#N/A</v>
      </c>
      <c r="G1404" s="358">
        <v>0</v>
      </c>
      <c r="H1404" s="359"/>
      <c r="I1404" s="360">
        <v>1</v>
      </c>
      <c r="J1404" s="361"/>
      <c r="K1404" s="210">
        <f t="shared" si="101"/>
        <v>0</v>
      </c>
      <c r="M1404" s="67"/>
    </row>
    <row r="1405" spans="1:13" ht="13.2">
      <c r="A1405" s="75"/>
      <c r="E1405" s="208" t="e">
        <f>VLOOKUP(D1405,'Danh mục hàng hóa'!$C$3:$D$643,2,0)</f>
        <v>#N/A</v>
      </c>
      <c r="F1405" s="209" t="e">
        <f>VLOOKUP(D1405,'Danh mục hàng hóa'!$C$3:$E$656,3,0)</f>
        <v>#N/A</v>
      </c>
      <c r="G1405" s="358">
        <v>0</v>
      </c>
      <c r="H1405" s="359"/>
      <c r="I1405" s="360">
        <v>1</v>
      </c>
      <c r="J1405" s="361"/>
      <c r="K1405" s="210">
        <f t="shared" si="101"/>
        <v>0</v>
      </c>
      <c r="M1405" s="67"/>
    </row>
    <row r="1406" spans="1:13" ht="13.2">
      <c r="A1406" s="75"/>
      <c r="E1406" s="208" t="e">
        <f>VLOOKUP(D1406,'Danh mục hàng hóa'!$C$3:$D$643,2,0)</f>
        <v>#N/A</v>
      </c>
      <c r="F1406" s="209" t="e">
        <f>VLOOKUP(D1406,'Danh mục hàng hóa'!$C$3:$E$656,3,0)</f>
        <v>#N/A</v>
      </c>
      <c r="G1406" s="358">
        <v>0</v>
      </c>
      <c r="H1406" s="359"/>
      <c r="I1406" s="360">
        <v>1</v>
      </c>
      <c r="J1406" s="361"/>
      <c r="K1406" s="210">
        <f t="shared" si="101"/>
        <v>0</v>
      </c>
      <c r="M1406" s="67"/>
    </row>
    <row r="1407" spans="1:13" ht="13.2">
      <c r="A1407" s="75"/>
      <c r="E1407" s="208" t="e">
        <f>VLOOKUP(D1407,'Danh mục hàng hóa'!$C$3:$D$643,2,0)</f>
        <v>#N/A</v>
      </c>
      <c r="F1407" s="209" t="e">
        <f>VLOOKUP(D1407,'Danh mục hàng hóa'!$C$3:$E$656,3,0)</f>
        <v>#N/A</v>
      </c>
      <c r="G1407" s="358">
        <v>0</v>
      </c>
      <c r="H1407" s="359"/>
      <c r="I1407" s="360">
        <v>1</v>
      </c>
      <c r="J1407" s="361"/>
      <c r="K1407" s="210">
        <f t="shared" si="101"/>
        <v>0</v>
      </c>
      <c r="M1407" s="67"/>
    </row>
    <row r="1408" spans="1:13" ht="13.2">
      <c r="A1408" s="75"/>
      <c r="E1408" s="208" t="e">
        <f>VLOOKUP(D1408,'Danh mục hàng hóa'!$C$3:$D$643,2,0)</f>
        <v>#N/A</v>
      </c>
      <c r="F1408" s="209" t="e">
        <f>VLOOKUP(D1408,'Danh mục hàng hóa'!$C$3:$E$656,3,0)</f>
        <v>#N/A</v>
      </c>
      <c r="G1408" s="358">
        <v>0</v>
      </c>
      <c r="H1408" s="359"/>
      <c r="I1408" s="360">
        <v>1</v>
      </c>
      <c r="J1408" s="361"/>
      <c r="K1408" s="210">
        <f t="shared" si="101"/>
        <v>0</v>
      </c>
      <c r="M1408" s="67"/>
    </row>
    <row r="1409" spans="1:13" ht="13.2">
      <c r="A1409" s="75"/>
      <c r="E1409" s="208" t="e">
        <f>VLOOKUP(D1409,'Danh mục hàng hóa'!$C$3:$D$643,2,0)</f>
        <v>#N/A</v>
      </c>
      <c r="F1409" s="209" t="e">
        <f>VLOOKUP(D1409,'Danh mục hàng hóa'!$C$3:$E$656,3,0)</f>
        <v>#N/A</v>
      </c>
      <c r="G1409" s="358">
        <v>0</v>
      </c>
      <c r="H1409" s="359"/>
      <c r="I1409" s="360">
        <v>1</v>
      </c>
      <c r="J1409" s="361"/>
      <c r="K1409" s="210">
        <f t="shared" si="101"/>
        <v>0</v>
      </c>
      <c r="M1409" s="67"/>
    </row>
    <row r="1410" spans="1:13" ht="13.2">
      <c r="A1410" s="75"/>
      <c r="E1410" s="208" t="e">
        <f>VLOOKUP(D1410,'Danh mục hàng hóa'!$C$3:$D$643,2,0)</f>
        <v>#N/A</v>
      </c>
      <c r="F1410" s="209" t="e">
        <f>VLOOKUP(D1410,'Danh mục hàng hóa'!$C$3:$E$656,3,0)</f>
        <v>#N/A</v>
      </c>
      <c r="G1410" s="358">
        <v>0</v>
      </c>
      <c r="H1410" s="359"/>
      <c r="I1410" s="360">
        <v>1</v>
      </c>
      <c r="J1410" s="361"/>
      <c r="K1410" s="210">
        <f t="shared" si="101"/>
        <v>0</v>
      </c>
      <c r="M1410" s="67"/>
    </row>
    <row r="1411" spans="1:13" ht="13.2">
      <c r="A1411" s="75"/>
      <c r="E1411" s="208" t="e">
        <f>VLOOKUP(D1411,'Danh mục hàng hóa'!$C$3:$D$643,2,0)</f>
        <v>#N/A</v>
      </c>
      <c r="F1411" s="209" t="e">
        <f>VLOOKUP(D1411,'Danh mục hàng hóa'!$C$3:$E$656,3,0)</f>
        <v>#N/A</v>
      </c>
      <c r="G1411" s="358">
        <v>0</v>
      </c>
      <c r="H1411" s="359"/>
      <c r="I1411" s="360">
        <v>1</v>
      </c>
      <c r="J1411" s="361"/>
      <c r="K1411" s="210">
        <f t="shared" si="101"/>
        <v>0</v>
      </c>
      <c r="M1411" s="67"/>
    </row>
    <row r="1412" spans="1:13" ht="13.2">
      <c r="A1412" s="75"/>
      <c r="E1412" s="208" t="e">
        <f>VLOOKUP(D1412,'Danh mục hàng hóa'!$C$3:$D$643,2,0)</f>
        <v>#N/A</v>
      </c>
      <c r="F1412" s="209" t="e">
        <f>VLOOKUP(D1412,'Danh mục hàng hóa'!$C$3:$E$656,3,0)</f>
        <v>#N/A</v>
      </c>
      <c r="G1412" s="358">
        <v>0</v>
      </c>
      <c r="H1412" s="359"/>
      <c r="I1412" s="360">
        <v>1</v>
      </c>
      <c r="J1412" s="361"/>
      <c r="K1412" s="210">
        <f t="shared" si="101"/>
        <v>0</v>
      </c>
      <c r="M1412" s="67"/>
    </row>
    <row r="1413" spans="1:13" ht="13.2">
      <c r="A1413" s="75"/>
      <c r="E1413" s="208" t="e">
        <f>VLOOKUP(D1413,'Danh mục hàng hóa'!$C$3:$D$643,2,0)</f>
        <v>#N/A</v>
      </c>
      <c r="F1413" s="209" t="e">
        <f>VLOOKUP(D1413,'Danh mục hàng hóa'!$C$3:$E$656,3,0)</f>
        <v>#N/A</v>
      </c>
      <c r="G1413" s="358">
        <v>0</v>
      </c>
      <c r="H1413" s="359"/>
      <c r="I1413" s="360">
        <v>1</v>
      </c>
      <c r="J1413" s="361"/>
      <c r="K1413" s="210">
        <f t="shared" si="101"/>
        <v>0</v>
      </c>
      <c r="M1413" s="67"/>
    </row>
    <row r="1414" spans="1:13" ht="13.2">
      <c r="A1414" s="75"/>
      <c r="E1414" s="208" t="e">
        <f>VLOOKUP(D1414,'Danh mục hàng hóa'!$C$3:$D$643,2,0)</f>
        <v>#N/A</v>
      </c>
      <c r="F1414" s="209" t="e">
        <f>VLOOKUP(D1414,'Danh mục hàng hóa'!$C$3:$E$656,3,0)</f>
        <v>#N/A</v>
      </c>
      <c r="G1414" s="358">
        <v>0</v>
      </c>
      <c r="H1414" s="359"/>
      <c r="I1414" s="360">
        <v>1</v>
      </c>
      <c r="J1414" s="361"/>
      <c r="K1414" s="210">
        <f t="shared" si="101"/>
        <v>0</v>
      </c>
      <c r="M1414" s="67"/>
    </row>
    <row r="1415" spans="1:13" ht="13.2">
      <c r="A1415" s="75"/>
      <c r="E1415" s="208" t="e">
        <f>VLOOKUP(D1415,'Danh mục hàng hóa'!$C$3:$D$643,2,0)</f>
        <v>#N/A</v>
      </c>
      <c r="F1415" s="209" t="e">
        <f>VLOOKUP(D1415,'Danh mục hàng hóa'!$C$3:$E$656,3,0)</f>
        <v>#N/A</v>
      </c>
      <c r="G1415" s="358">
        <v>0</v>
      </c>
      <c r="H1415" s="359"/>
      <c r="I1415" s="360">
        <v>1</v>
      </c>
      <c r="J1415" s="361"/>
      <c r="K1415" s="210">
        <f t="shared" si="101"/>
        <v>0</v>
      </c>
      <c r="M1415" s="67"/>
    </row>
    <row r="1416" spans="1:13" ht="13.2">
      <c r="A1416" s="75"/>
      <c r="E1416" s="208" t="e">
        <f>VLOOKUP(D1416,'Danh mục hàng hóa'!$C$3:$D$643,2,0)</f>
        <v>#N/A</v>
      </c>
      <c r="F1416" s="209" t="e">
        <f>VLOOKUP(D1416,'Danh mục hàng hóa'!$C$3:$E$656,3,0)</f>
        <v>#N/A</v>
      </c>
      <c r="G1416" s="358">
        <v>0</v>
      </c>
      <c r="H1416" s="359"/>
      <c r="I1416" s="360">
        <v>1</v>
      </c>
      <c r="J1416" s="361"/>
      <c r="K1416" s="210">
        <f t="shared" si="101"/>
        <v>0</v>
      </c>
      <c r="M1416" s="67"/>
    </row>
    <row r="1417" spans="1:13" ht="13.2">
      <c r="A1417" s="75"/>
      <c r="E1417" s="208" t="e">
        <f>VLOOKUP(D1417,'Danh mục hàng hóa'!$C$3:$D$643,2,0)</f>
        <v>#N/A</v>
      </c>
      <c r="F1417" s="209" t="e">
        <f>VLOOKUP(D1417,'Danh mục hàng hóa'!$C$3:$E$656,3,0)</f>
        <v>#N/A</v>
      </c>
      <c r="G1417" s="358">
        <v>0</v>
      </c>
      <c r="H1417" s="359"/>
      <c r="I1417" s="360">
        <v>1</v>
      </c>
      <c r="J1417" s="361"/>
      <c r="K1417" s="210">
        <f t="shared" si="101"/>
        <v>0</v>
      </c>
      <c r="M1417" s="67"/>
    </row>
    <row r="1418" spans="1:13" ht="13.2">
      <c r="A1418" s="75"/>
      <c r="E1418" s="208" t="e">
        <f>VLOOKUP(D1418,'Danh mục hàng hóa'!$C$3:$D$643,2,0)</f>
        <v>#N/A</v>
      </c>
      <c r="F1418" s="209" t="e">
        <f>VLOOKUP(D1418,'Danh mục hàng hóa'!$C$3:$E$656,3,0)</f>
        <v>#N/A</v>
      </c>
      <c r="G1418" s="358">
        <v>0</v>
      </c>
      <c r="H1418" s="359"/>
      <c r="I1418" s="360">
        <v>1</v>
      </c>
      <c r="J1418" s="361"/>
      <c r="K1418" s="210">
        <f t="shared" si="101"/>
        <v>0</v>
      </c>
      <c r="M1418" s="67"/>
    </row>
    <row r="1419" spans="1:13" ht="13.2">
      <c r="A1419" s="75"/>
      <c r="E1419" s="208" t="e">
        <f>VLOOKUP(D1419,'Danh mục hàng hóa'!$C$3:$D$643,2,0)</f>
        <v>#N/A</v>
      </c>
      <c r="F1419" s="209" t="e">
        <f>VLOOKUP(D1419,'Danh mục hàng hóa'!$C$3:$E$656,3,0)</f>
        <v>#N/A</v>
      </c>
      <c r="G1419" s="358">
        <v>0</v>
      </c>
      <c r="H1419" s="359"/>
      <c r="I1419" s="360">
        <v>1</v>
      </c>
      <c r="J1419" s="361"/>
      <c r="K1419" s="210">
        <f t="shared" si="101"/>
        <v>0</v>
      </c>
      <c r="M1419" s="67"/>
    </row>
    <row r="1420" spans="1:13" ht="13.2">
      <c r="A1420" s="75"/>
      <c r="E1420" s="208" t="e">
        <f>VLOOKUP(D1420,'Danh mục hàng hóa'!$C$3:$D$643,2,0)</f>
        <v>#N/A</v>
      </c>
      <c r="F1420" s="209" t="e">
        <f>VLOOKUP(D1420,'Danh mục hàng hóa'!$C$3:$E$656,3,0)</f>
        <v>#N/A</v>
      </c>
      <c r="G1420" s="358">
        <v>0</v>
      </c>
      <c r="H1420" s="359"/>
      <c r="I1420" s="360">
        <v>1</v>
      </c>
      <c r="J1420" s="361"/>
      <c r="K1420" s="210">
        <f t="shared" si="101"/>
        <v>0</v>
      </c>
      <c r="M1420" s="67"/>
    </row>
    <row r="1421" spans="1:13" ht="13.2">
      <c r="A1421" s="75"/>
      <c r="E1421" s="208" t="e">
        <f>VLOOKUP(D1421,'Danh mục hàng hóa'!$C$3:$D$643,2,0)</f>
        <v>#N/A</v>
      </c>
      <c r="F1421" s="209" t="e">
        <f>VLOOKUP(D1421,'Danh mục hàng hóa'!$C$3:$E$656,3,0)</f>
        <v>#N/A</v>
      </c>
      <c r="G1421" s="358">
        <v>0</v>
      </c>
      <c r="H1421" s="359"/>
      <c r="I1421" s="360">
        <v>1</v>
      </c>
      <c r="J1421" s="361"/>
      <c r="K1421" s="210">
        <f t="shared" si="101"/>
        <v>0</v>
      </c>
      <c r="M1421" s="67"/>
    </row>
    <row r="1422" spans="1:13" ht="13.2">
      <c r="A1422" s="75"/>
      <c r="E1422" s="208" t="e">
        <f>VLOOKUP(D1422,'Danh mục hàng hóa'!$C$3:$D$643,2,0)</f>
        <v>#N/A</v>
      </c>
      <c r="F1422" s="209" t="e">
        <f>VLOOKUP(D1422,'Danh mục hàng hóa'!$C$3:$E$656,3,0)</f>
        <v>#N/A</v>
      </c>
      <c r="G1422" s="358">
        <v>0</v>
      </c>
      <c r="H1422" s="359"/>
      <c r="I1422" s="360">
        <v>1</v>
      </c>
      <c r="J1422" s="361"/>
      <c r="K1422" s="210">
        <f t="shared" si="101"/>
        <v>0</v>
      </c>
      <c r="M1422" s="67"/>
    </row>
    <row r="1423" spans="1:13" ht="13.2">
      <c r="A1423" s="75"/>
      <c r="E1423" s="208" t="e">
        <f>VLOOKUP(D1423,'Danh mục hàng hóa'!$C$3:$D$643,2,0)</f>
        <v>#N/A</v>
      </c>
      <c r="F1423" s="209" t="e">
        <f>VLOOKUP(D1423,'Danh mục hàng hóa'!$C$3:$E$656,3,0)</f>
        <v>#N/A</v>
      </c>
      <c r="G1423" s="358">
        <v>0</v>
      </c>
      <c r="H1423" s="359"/>
      <c r="I1423" s="360">
        <v>1</v>
      </c>
      <c r="J1423" s="361"/>
      <c r="K1423" s="210">
        <f t="shared" si="101"/>
        <v>0</v>
      </c>
      <c r="M1423" s="67"/>
    </row>
    <row r="1424" spans="1:13" ht="13.2">
      <c r="A1424" s="75"/>
      <c r="E1424" s="208" t="e">
        <f>VLOOKUP(D1424,'Danh mục hàng hóa'!$C$3:$D$643,2,0)</f>
        <v>#N/A</v>
      </c>
      <c r="F1424" s="209" t="e">
        <f>VLOOKUP(D1424,'Danh mục hàng hóa'!$C$3:$E$656,3,0)</f>
        <v>#N/A</v>
      </c>
      <c r="G1424" s="358">
        <v>0</v>
      </c>
      <c r="H1424" s="359"/>
      <c r="I1424" s="360">
        <v>1</v>
      </c>
      <c r="J1424" s="361"/>
      <c r="K1424" s="210">
        <f t="shared" si="101"/>
        <v>0</v>
      </c>
      <c r="M1424" s="67"/>
    </row>
    <row r="1425" spans="1:13" ht="13.2">
      <c r="A1425" s="75"/>
      <c r="E1425" s="208" t="e">
        <f>VLOOKUP(D1425,'Danh mục hàng hóa'!$C$3:$D$643,2,0)</f>
        <v>#N/A</v>
      </c>
      <c r="F1425" s="209" t="e">
        <f>VLOOKUP(D1425,'Danh mục hàng hóa'!$C$3:$E$656,3,0)</f>
        <v>#N/A</v>
      </c>
      <c r="G1425" s="358">
        <v>0</v>
      </c>
      <c r="H1425" s="359"/>
      <c r="I1425" s="360">
        <v>1</v>
      </c>
      <c r="J1425" s="361"/>
      <c r="K1425" s="210">
        <f t="shared" si="101"/>
        <v>0</v>
      </c>
      <c r="M1425" s="67"/>
    </row>
    <row r="1426" spans="1:13" ht="13.2">
      <c r="A1426" s="75"/>
      <c r="E1426" s="208" t="e">
        <f>VLOOKUP(D1426,'Danh mục hàng hóa'!$C$3:$D$643,2,0)</f>
        <v>#N/A</v>
      </c>
      <c r="F1426" s="209" t="e">
        <f>VLOOKUP(D1426,'Danh mục hàng hóa'!$C$3:$E$656,3,0)</f>
        <v>#N/A</v>
      </c>
      <c r="G1426" s="358">
        <v>0</v>
      </c>
      <c r="H1426" s="359"/>
      <c r="I1426" s="360">
        <v>1</v>
      </c>
      <c r="J1426" s="361"/>
      <c r="K1426" s="210">
        <f t="shared" si="101"/>
        <v>0</v>
      </c>
      <c r="M1426" s="67"/>
    </row>
    <row r="1427" spans="1:13" ht="13.2">
      <c r="A1427" s="75"/>
      <c r="E1427" s="208" t="e">
        <f>VLOOKUP(D1427,'Danh mục hàng hóa'!$C$3:$D$643,2,0)</f>
        <v>#N/A</v>
      </c>
      <c r="F1427" s="209" t="e">
        <f>VLOOKUP(D1427,'Danh mục hàng hóa'!$C$3:$E$656,3,0)</f>
        <v>#N/A</v>
      </c>
      <c r="G1427" s="358">
        <v>0</v>
      </c>
      <c r="H1427" s="359"/>
      <c r="I1427" s="360">
        <v>1</v>
      </c>
      <c r="J1427" s="361"/>
      <c r="K1427" s="210">
        <f t="shared" si="101"/>
        <v>0</v>
      </c>
      <c r="M1427" s="67"/>
    </row>
    <row r="1428" spans="1:13" ht="13.2">
      <c r="A1428" s="75"/>
      <c r="E1428" s="208" t="e">
        <f>VLOOKUP(D1428,'Danh mục hàng hóa'!$C$3:$D$643,2,0)</f>
        <v>#N/A</v>
      </c>
      <c r="F1428" s="209" t="e">
        <f>VLOOKUP(D1428,'Danh mục hàng hóa'!$C$3:$E$656,3,0)</f>
        <v>#N/A</v>
      </c>
      <c r="G1428" s="358">
        <v>0</v>
      </c>
      <c r="H1428" s="359"/>
      <c r="I1428" s="360">
        <v>1</v>
      </c>
      <c r="J1428" s="361"/>
      <c r="K1428" s="210">
        <f t="shared" si="101"/>
        <v>0</v>
      </c>
      <c r="M1428" s="67"/>
    </row>
    <row r="1429" spans="1:13" ht="13.2">
      <c r="A1429" s="75"/>
      <c r="E1429" s="208" t="e">
        <f>VLOOKUP(D1429,'Danh mục hàng hóa'!$C$3:$D$643,2,0)</f>
        <v>#N/A</v>
      </c>
      <c r="F1429" s="209" t="e">
        <f>VLOOKUP(D1429,'Danh mục hàng hóa'!$C$3:$E$656,3,0)</f>
        <v>#N/A</v>
      </c>
      <c r="G1429" s="358">
        <v>0</v>
      </c>
      <c r="H1429" s="359"/>
      <c r="I1429" s="360">
        <v>1</v>
      </c>
      <c r="J1429" s="361"/>
      <c r="K1429" s="210">
        <f t="shared" si="101"/>
        <v>0</v>
      </c>
      <c r="M1429" s="67"/>
    </row>
    <row r="1430" spans="1:13" ht="13.2">
      <c r="A1430" s="75"/>
      <c r="E1430" s="208" t="e">
        <f>VLOOKUP(D1430,'Danh mục hàng hóa'!$C$3:$D$643,2,0)</f>
        <v>#N/A</v>
      </c>
      <c r="F1430" s="209" t="e">
        <f>VLOOKUP(D1430,'Danh mục hàng hóa'!$C$3:$E$656,3,0)</f>
        <v>#N/A</v>
      </c>
      <c r="G1430" s="358">
        <v>0</v>
      </c>
      <c r="H1430" s="359"/>
      <c r="I1430" s="360">
        <v>1</v>
      </c>
      <c r="J1430" s="361"/>
      <c r="K1430" s="210">
        <f t="shared" si="101"/>
        <v>0</v>
      </c>
      <c r="M1430" s="67"/>
    </row>
    <row r="1431" spans="1:13" ht="13.2">
      <c r="A1431" s="75"/>
      <c r="E1431" s="208" t="e">
        <f>VLOOKUP(D1431,'Danh mục hàng hóa'!$C$3:$D$643,2,0)</f>
        <v>#N/A</v>
      </c>
      <c r="F1431" s="209" t="e">
        <f>VLOOKUP(D1431,'Danh mục hàng hóa'!$C$3:$E$656,3,0)</f>
        <v>#N/A</v>
      </c>
      <c r="G1431" s="358">
        <v>0</v>
      </c>
      <c r="H1431" s="359"/>
      <c r="I1431" s="360">
        <v>1</v>
      </c>
      <c r="J1431" s="361"/>
      <c r="K1431" s="210">
        <f t="shared" si="101"/>
        <v>0</v>
      </c>
      <c r="M1431" s="67"/>
    </row>
    <row r="1432" spans="1:13" ht="13.2">
      <c r="A1432" s="75"/>
      <c r="E1432" s="208" t="e">
        <f>VLOOKUP(D1432,'Danh mục hàng hóa'!$C$3:$D$643,2,0)</f>
        <v>#N/A</v>
      </c>
      <c r="F1432" s="209" t="e">
        <f>VLOOKUP(D1432,'Danh mục hàng hóa'!$C$3:$E$656,3,0)</f>
        <v>#N/A</v>
      </c>
      <c r="G1432" s="358">
        <v>0</v>
      </c>
      <c r="H1432" s="359"/>
      <c r="I1432" s="360">
        <v>1</v>
      </c>
      <c r="J1432" s="361"/>
      <c r="K1432" s="210">
        <f t="shared" si="101"/>
        <v>0</v>
      </c>
      <c r="M1432" s="67"/>
    </row>
    <row r="1433" spans="1:13" ht="13.2">
      <c r="A1433" s="75"/>
      <c r="E1433" s="208" t="e">
        <f>VLOOKUP(D1433,'Danh mục hàng hóa'!$C$3:$D$643,2,0)</f>
        <v>#N/A</v>
      </c>
      <c r="F1433" s="209" t="e">
        <f>VLOOKUP(D1433,'Danh mục hàng hóa'!$C$3:$E$656,3,0)</f>
        <v>#N/A</v>
      </c>
      <c r="G1433" s="358">
        <v>0</v>
      </c>
      <c r="H1433" s="359"/>
      <c r="I1433" s="360">
        <v>1</v>
      </c>
      <c r="J1433" s="361"/>
      <c r="K1433" s="210">
        <f t="shared" si="101"/>
        <v>0</v>
      </c>
      <c r="M1433" s="67"/>
    </row>
    <row r="1434" spans="1:13" ht="13.2">
      <c r="A1434" s="75"/>
      <c r="E1434" s="208" t="e">
        <f>VLOOKUP(D1434,'Danh mục hàng hóa'!$C$3:$D$643,2,0)</f>
        <v>#N/A</v>
      </c>
      <c r="F1434" s="209" t="e">
        <f>VLOOKUP(D1434,'Danh mục hàng hóa'!$C$3:$E$656,3,0)</f>
        <v>#N/A</v>
      </c>
      <c r="G1434" s="358">
        <v>0</v>
      </c>
      <c r="H1434" s="359"/>
      <c r="I1434" s="360">
        <v>1</v>
      </c>
      <c r="J1434" s="361"/>
      <c r="K1434" s="210">
        <f t="shared" si="101"/>
        <v>0</v>
      </c>
      <c r="M1434" s="67"/>
    </row>
    <row r="1435" spans="1:13" ht="13.2">
      <c r="A1435" s="75"/>
      <c r="E1435" s="208" t="e">
        <f>VLOOKUP(D1435,'Danh mục hàng hóa'!$C$3:$D$643,2,0)</f>
        <v>#N/A</v>
      </c>
      <c r="F1435" s="209" t="e">
        <f>VLOOKUP(D1435,'Danh mục hàng hóa'!$C$3:$E$656,3,0)</f>
        <v>#N/A</v>
      </c>
      <c r="G1435" s="358">
        <v>0</v>
      </c>
      <c r="H1435" s="359"/>
      <c r="I1435" s="360">
        <v>1</v>
      </c>
      <c r="J1435" s="361"/>
      <c r="K1435" s="210">
        <f t="shared" si="101"/>
        <v>0</v>
      </c>
      <c r="M1435" s="67"/>
    </row>
    <row r="1436" spans="1:13" ht="13.2">
      <c r="A1436" s="75"/>
      <c r="E1436" s="208" t="e">
        <f>VLOOKUP(D1436,'Danh mục hàng hóa'!$C$3:$D$643,2,0)</f>
        <v>#N/A</v>
      </c>
      <c r="F1436" s="209" t="e">
        <f>VLOOKUP(D1436,'Danh mục hàng hóa'!$C$3:$E$656,3,0)</f>
        <v>#N/A</v>
      </c>
      <c r="G1436" s="358">
        <v>0</v>
      </c>
      <c r="H1436" s="359"/>
      <c r="I1436" s="360">
        <v>1</v>
      </c>
      <c r="J1436" s="361"/>
      <c r="K1436" s="210">
        <f t="shared" si="101"/>
        <v>0</v>
      </c>
      <c r="M1436" s="67"/>
    </row>
    <row r="1437" spans="1:13" ht="13.2">
      <c r="A1437" s="75"/>
      <c r="E1437" s="208" t="e">
        <f>VLOOKUP(D1437,'Danh mục hàng hóa'!$C$3:$D$643,2,0)</f>
        <v>#N/A</v>
      </c>
      <c r="F1437" s="209" t="e">
        <f>VLOOKUP(D1437,'Danh mục hàng hóa'!$C$3:$E$656,3,0)</f>
        <v>#N/A</v>
      </c>
      <c r="G1437" s="358">
        <v>0</v>
      </c>
      <c r="H1437" s="359"/>
      <c r="I1437" s="360">
        <v>1</v>
      </c>
      <c r="J1437" s="361"/>
      <c r="K1437" s="210">
        <f t="shared" si="101"/>
        <v>0</v>
      </c>
      <c r="M1437" s="67"/>
    </row>
    <row r="1438" spans="1:13" ht="13.2">
      <c r="A1438" s="75"/>
      <c r="E1438" s="208" t="e">
        <f>VLOOKUP(D1438,'Danh mục hàng hóa'!$C$3:$D$643,2,0)</f>
        <v>#N/A</v>
      </c>
      <c r="F1438" s="209" t="e">
        <f>VLOOKUP(D1438,'Danh mục hàng hóa'!$C$3:$E$656,3,0)</f>
        <v>#N/A</v>
      </c>
      <c r="G1438" s="358">
        <v>0</v>
      </c>
      <c r="H1438" s="359"/>
      <c r="I1438" s="360">
        <v>1</v>
      </c>
      <c r="J1438" s="361"/>
      <c r="K1438" s="210">
        <f t="shared" si="101"/>
        <v>0</v>
      </c>
      <c r="M1438" s="67"/>
    </row>
    <row r="1439" spans="1:13" ht="13.2">
      <c r="A1439" s="75"/>
      <c r="E1439" s="208" t="e">
        <f>VLOOKUP(D1439,'Danh mục hàng hóa'!$C$3:$D$643,2,0)</f>
        <v>#N/A</v>
      </c>
      <c r="F1439" s="209" t="e">
        <f>VLOOKUP(D1439,'Danh mục hàng hóa'!$C$3:$E$656,3,0)</f>
        <v>#N/A</v>
      </c>
      <c r="G1439" s="358">
        <v>0</v>
      </c>
      <c r="H1439" s="359"/>
      <c r="I1439" s="360">
        <v>1</v>
      </c>
      <c r="J1439" s="361"/>
      <c r="K1439" s="210">
        <f t="shared" si="101"/>
        <v>0</v>
      </c>
      <c r="M1439" s="67"/>
    </row>
    <row r="1440" spans="1:13" ht="13.2">
      <c r="A1440" s="75"/>
      <c r="E1440" s="208" t="e">
        <f>VLOOKUP(D1440,'Danh mục hàng hóa'!$C$3:$D$643,2,0)</f>
        <v>#N/A</v>
      </c>
      <c r="F1440" s="209" t="e">
        <f>VLOOKUP(D1440,'Danh mục hàng hóa'!$C$3:$E$656,3,0)</f>
        <v>#N/A</v>
      </c>
      <c r="G1440" s="358">
        <v>0</v>
      </c>
      <c r="H1440" s="359"/>
      <c r="I1440" s="360">
        <v>1</v>
      </c>
      <c r="J1440" s="361"/>
      <c r="K1440" s="210">
        <f t="shared" si="101"/>
        <v>0</v>
      </c>
      <c r="M1440" s="67"/>
    </row>
    <row r="1441" spans="1:13" ht="13.2">
      <c r="A1441" s="75"/>
      <c r="E1441" s="208" t="e">
        <f>VLOOKUP(D1441,'Danh mục hàng hóa'!$C$3:$D$643,2,0)</f>
        <v>#N/A</v>
      </c>
      <c r="F1441" s="209" t="e">
        <f>VLOOKUP(D1441,'Danh mục hàng hóa'!$C$3:$E$656,3,0)</f>
        <v>#N/A</v>
      </c>
      <c r="G1441" s="358">
        <v>0</v>
      </c>
      <c r="H1441" s="359"/>
      <c r="I1441" s="360">
        <v>1</v>
      </c>
      <c r="J1441" s="361"/>
      <c r="K1441" s="210">
        <f t="shared" si="101"/>
        <v>0</v>
      </c>
      <c r="M1441" s="67"/>
    </row>
    <row r="1442" spans="1:13" ht="13.2">
      <c r="A1442" s="75"/>
      <c r="E1442" s="208" t="e">
        <f>VLOOKUP(D1442,'Danh mục hàng hóa'!$C$3:$D$643,2,0)</f>
        <v>#N/A</v>
      </c>
      <c r="F1442" s="209" t="e">
        <f>VLOOKUP(D1442,'Danh mục hàng hóa'!$C$3:$E$656,3,0)</f>
        <v>#N/A</v>
      </c>
      <c r="G1442" s="358">
        <v>0</v>
      </c>
      <c r="H1442" s="359"/>
      <c r="I1442" s="360">
        <v>1</v>
      </c>
      <c r="J1442" s="361"/>
      <c r="K1442" s="210">
        <f t="shared" si="101"/>
        <v>0</v>
      </c>
      <c r="M1442" s="67"/>
    </row>
    <row r="1443" spans="1:13" ht="13.2">
      <c r="A1443" s="75"/>
      <c r="E1443" s="208" t="e">
        <f>VLOOKUP(D1443,'Danh mục hàng hóa'!$C$3:$D$643,2,0)</f>
        <v>#N/A</v>
      </c>
      <c r="F1443" s="209" t="e">
        <f>VLOOKUP(D1443,'Danh mục hàng hóa'!$C$3:$E$656,3,0)</f>
        <v>#N/A</v>
      </c>
      <c r="G1443" s="358">
        <v>0</v>
      </c>
      <c r="H1443" s="359"/>
      <c r="I1443" s="360">
        <v>1</v>
      </c>
      <c r="J1443" s="361"/>
      <c r="K1443" s="210">
        <f t="shared" si="101"/>
        <v>0</v>
      </c>
      <c r="M1443" s="67"/>
    </row>
    <row r="1444" spans="1:13" ht="13.2">
      <c r="A1444" s="75"/>
      <c r="E1444" s="208" t="e">
        <f>VLOOKUP(D1444,'Danh mục hàng hóa'!$C$3:$D$643,2,0)</f>
        <v>#N/A</v>
      </c>
      <c r="F1444" s="209" t="e">
        <f>VLOOKUP(D1444,'Danh mục hàng hóa'!$C$3:$E$656,3,0)</f>
        <v>#N/A</v>
      </c>
      <c r="G1444" s="358">
        <v>0</v>
      </c>
      <c r="H1444" s="359"/>
      <c r="I1444" s="360">
        <v>1</v>
      </c>
      <c r="J1444" s="361"/>
      <c r="K1444" s="210">
        <f t="shared" si="101"/>
        <v>0</v>
      </c>
      <c r="M1444" s="67"/>
    </row>
    <row r="1445" spans="1:13" ht="13.2">
      <c r="A1445" s="75"/>
      <c r="E1445" s="208" t="e">
        <f>VLOOKUP(D1445,'Danh mục hàng hóa'!$C$3:$D$643,2,0)</f>
        <v>#N/A</v>
      </c>
      <c r="F1445" s="209" t="e">
        <f>VLOOKUP(D1445,'Danh mục hàng hóa'!$C$3:$E$656,3,0)</f>
        <v>#N/A</v>
      </c>
      <c r="G1445" s="358">
        <v>0</v>
      </c>
      <c r="H1445" s="359"/>
      <c r="I1445" s="360">
        <v>1</v>
      </c>
      <c r="J1445" s="361"/>
      <c r="K1445" s="210">
        <f t="shared" si="101"/>
        <v>0</v>
      </c>
      <c r="M1445" s="67"/>
    </row>
    <row r="1446" spans="1:13" ht="13.2">
      <c r="A1446" s="75"/>
      <c r="E1446" s="208" t="e">
        <f>VLOOKUP(D1446,'Danh mục hàng hóa'!$C$3:$D$643,2,0)</f>
        <v>#N/A</v>
      </c>
      <c r="F1446" s="209" t="e">
        <f>VLOOKUP(D1446,'Danh mục hàng hóa'!$C$3:$E$656,3,0)</f>
        <v>#N/A</v>
      </c>
      <c r="G1446" s="358">
        <v>0</v>
      </c>
      <c r="H1446" s="359"/>
      <c r="I1446" s="360">
        <v>1</v>
      </c>
      <c r="J1446" s="361"/>
      <c r="K1446" s="210">
        <f t="shared" si="101"/>
        <v>0</v>
      </c>
      <c r="M1446" s="67"/>
    </row>
    <row r="1447" spans="1:13" ht="13.2">
      <c r="A1447" s="75"/>
      <c r="E1447" s="208" t="e">
        <f>VLOOKUP(D1447,'Danh mục hàng hóa'!$C$3:$D$643,2,0)</f>
        <v>#N/A</v>
      </c>
      <c r="F1447" s="209" t="e">
        <f>VLOOKUP(D1447,'Danh mục hàng hóa'!$C$3:$E$656,3,0)</f>
        <v>#N/A</v>
      </c>
      <c r="G1447" s="358">
        <v>0</v>
      </c>
      <c r="H1447" s="359"/>
      <c r="I1447" s="360">
        <v>1</v>
      </c>
      <c r="J1447" s="361"/>
      <c r="K1447" s="210">
        <f t="shared" si="101"/>
        <v>0</v>
      </c>
      <c r="M1447" s="67"/>
    </row>
    <row r="1448" spans="1:13" ht="13.2">
      <c r="A1448" s="75"/>
      <c r="E1448" s="208" t="e">
        <f>VLOOKUP(D1448,'Danh mục hàng hóa'!$C$3:$D$643,2,0)</f>
        <v>#N/A</v>
      </c>
      <c r="F1448" s="209" t="e">
        <f>VLOOKUP(D1448,'Danh mục hàng hóa'!$C$3:$E$656,3,0)</f>
        <v>#N/A</v>
      </c>
      <c r="G1448" s="358">
        <v>0</v>
      </c>
      <c r="H1448" s="359"/>
      <c r="I1448" s="360">
        <v>1</v>
      </c>
      <c r="J1448" s="361"/>
      <c r="K1448" s="210">
        <f t="shared" si="101"/>
        <v>0</v>
      </c>
      <c r="M1448" s="67"/>
    </row>
    <row r="1449" spans="1:13" ht="13.2">
      <c r="A1449" s="75"/>
      <c r="E1449" s="208" t="e">
        <f>VLOOKUP(D1449,'Danh mục hàng hóa'!$C$3:$D$643,2,0)</f>
        <v>#N/A</v>
      </c>
      <c r="F1449" s="209" t="e">
        <f>VLOOKUP(D1449,'Danh mục hàng hóa'!$C$3:$E$656,3,0)</f>
        <v>#N/A</v>
      </c>
      <c r="G1449" s="358">
        <v>0</v>
      </c>
      <c r="H1449" s="359"/>
      <c r="I1449" s="360">
        <v>1</v>
      </c>
      <c r="J1449" s="361"/>
      <c r="K1449" s="210">
        <f t="shared" si="101"/>
        <v>0</v>
      </c>
      <c r="M1449" s="67"/>
    </row>
    <row r="1450" spans="1:13" ht="13.2">
      <c r="A1450" s="75"/>
      <c r="E1450" s="208" t="e">
        <f>VLOOKUP(D1450,'Danh mục hàng hóa'!$C$3:$D$643,2,0)</f>
        <v>#N/A</v>
      </c>
      <c r="F1450" s="209" t="e">
        <f>VLOOKUP(D1450,'Danh mục hàng hóa'!$C$3:$E$656,3,0)</f>
        <v>#N/A</v>
      </c>
      <c r="G1450" s="358">
        <v>0</v>
      </c>
      <c r="H1450" s="359"/>
      <c r="I1450" s="360">
        <v>1</v>
      </c>
      <c r="J1450" s="361"/>
      <c r="K1450" s="210">
        <f t="shared" si="101"/>
        <v>0</v>
      </c>
      <c r="M1450" s="67"/>
    </row>
    <row r="1451" spans="1:13" ht="13.2">
      <c r="A1451" s="75"/>
      <c r="E1451" s="208" t="e">
        <f>VLOOKUP(D1451,'Danh mục hàng hóa'!$C$3:$D$643,2,0)</f>
        <v>#N/A</v>
      </c>
      <c r="F1451" s="209" t="e">
        <f>VLOOKUP(D1451,'Danh mục hàng hóa'!$C$3:$E$656,3,0)</f>
        <v>#N/A</v>
      </c>
      <c r="G1451" s="358">
        <v>0</v>
      </c>
      <c r="H1451" s="359"/>
      <c r="I1451" s="360">
        <v>1</v>
      </c>
      <c r="J1451" s="361"/>
      <c r="K1451" s="210">
        <f t="shared" si="101"/>
        <v>0</v>
      </c>
      <c r="M1451" s="67"/>
    </row>
    <row r="1452" spans="1:13" ht="13.2">
      <c r="A1452" s="75"/>
      <c r="E1452" s="208" t="e">
        <f>VLOOKUP(D1452,'Danh mục hàng hóa'!$C$3:$D$643,2,0)</f>
        <v>#N/A</v>
      </c>
      <c r="F1452" s="209" t="e">
        <f>VLOOKUP(D1452,'Danh mục hàng hóa'!$C$3:$E$656,3,0)</f>
        <v>#N/A</v>
      </c>
      <c r="G1452" s="358">
        <v>0</v>
      </c>
      <c r="H1452" s="359"/>
      <c r="I1452" s="360">
        <v>1</v>
      </c>
      <c r="J1452" s="361"/>
      <c r="K1452" s="210">
        <f t="shared" si="101"/>
        <v>0</v>
      </c>
      <c r="M1452" s="67"/>
    </row>
    <row r="1453" spans="1:13" ht="13.2">
      <c r="A1453" s="75"/>
      <c r="E1453" s="208" t="e">
        <f>VLOOKUP(D1453,'Danh mục hàng hóa'!$C$3:$D$643,2,0)</f>
        <v>#N/A</v>
      </c>
      <c r="F1453" s="209" t="e">
        <f>VLOOKUP(D1453,'Danh mục hàng hóa'!$C$3:$E$656,3,0)</f>
        <v>#N/A</v>
      </c>
      <c r="G1453" s="358">
        <v>0</v>
      </c>
      <c r="H1453" s="359"/>
      <c r="I1453" s="360">
        <v>1</v>
      </c>
      <c r="J1453" s="361"/>
      <c r="K1453" s="210">
        <f t="shared" si="101"/>
        <v>0</v>
      </c>
      <c r="M1453" s="67"/>
    </row>
    <row r="1454" spans="1:13" ht="13.2">
      <c r="A1454" s="75"/>
      <c r="E1454" s="208" t="e">
        <f>VLOOKUP(D1454,'Danh mục hàng hóa'!$C$3:$D$643,2,0)</f>
        <v>#N/A</v>
      </c>
      <c r="F1454" s="209" t="e">
        <f>VLOOKUP(D1454,'Danh mục hàng hóa'!$C$3:$E$656,3,0)</f>
        <v>#N/A</v>
      </c>
      <c r="G1454" s="358">
        <v>0</v>
      </c>
      <c r="H1454" s="359"/>
      <c r="I1454" s="360">
        <v>1</v>
      </c>
      <c r="J1454" s="361"/>
      <c r="K1454" s="210">
        <f t="shared" si="101"/>
        <v>0</v>
      </c>
      <c r="M1454" s="67"/>
    </row>
    <row r="1455" spans="1:13" ht="13.2">
      <c r="A1455" s="75"/>
      <c r="E1455" s="208" t="e">
        <f>VLOOKUP(D1455,'Danh mục hàng hóa'!$C$3:$D$643,2,0)</f>
        <v>#N/A</v>
      </c>
      <c r="F1455" s="209" t="e">
        <f>VLOOKUP(D1455,'Danh mục hàng hóa'!$C$3:$E$656,3,0)</f>
        <v>#N/A</v>
      </c>
      <c r="G1455" s="358">
        <v>0</v>
      </c>
      <c r="H1455" s="359"/>
      <c r="I1455" s="360">
        <v>1</v>
      </c>
      <c r="J1455" s="361"/>
      <c r="K1455" s="210">
        <f t="shared" si="101"/>
        <v>0</v>
      </c>
      <c r="M1455" s="67"/>
    </row>
    <row r="1456" spans="1:13" ht="13.2">
      <c r="A1456" s="75"/>
      <c r="E1456" s="208" t="e">
        <f>VLOOKUP(D1456,'Danh mục hàng hóa'!$C$3:$D$643,2,0)</f>
        <v>#N/A</v>
      </c>
      <c r="F1456" s="209" t="e">
        <f>VLOOKUP(D1456,'Danh mục hàng hóa'!$C$3:$E$656,3,0)</f>
        <v>#N/A</v>
      </c>
      <c r="G1456" s="358">
        <v>0</v>
      </c>
      <c r="H1456" s="359"/>
      <c r="I1456" s="360">
        <v>1</v>
      </c>
      <c r="J1456" s="361"/>
      <c r="K1456" s="210">
        <f t="shared" si="101"/>
        <v>0</v>
      </c>
      <c r="M1456" s="67"/>
    </row>
    <row r="1457" spans="1:13" ht="13.2">
      <c r="A1457" s="75"/>
      <c r="E1457" s="208" t="e">
        <f>VLOOKUP(D1457,'Danh mục hàng hóa'!$C$3:$D$643,2,0)</f>
        <v>#N/A</v>
      </c>
      <c r="F1457" s="209" t="e">
        <f>VLOOKUP(D1457,'Danh mục hàng hóa'!$C$3:$E$656,3,0)</f>
        <v>#N/A</v>
      </c>
      <c r="G1457" s="358">
        <v>0</v>
      </c>
      <c r="H1457" s="359"/>
      <c r="I1457" s="360">
        <v>1</v>
      </c>
      <c r="J1457" s="361"/>
      <c r="K1457" s="210">
        <f t="shared" si="101"/>
        <v>0</v>
      </c>
      <c r="M1457" s="67"/>
    </row>
    <row r="1458" spans="1:13" ht="13.2">
      <c r="A1458" s="75"/>
      <c r="E1458" s="208" t="e">
        <f>VLOOKUP(D1458,'Danh mục hàng hóa'!$C$3:$D$643,2,0)</f>
        <v>#N/A</v>
      </c>
      <c r="F1458" s="209" t="e">
        <f>VLOOKUP(D1458,'Danh mục hàng hóa'!$C$3:$E$656,3,0)</f>
        <v>#N/A</v>
      </c>
      <c r="G1458" s="358">
        <v>0</v>
      </c>
      <c r="H1458" s="359"/>
      <c r="I1458" s="360">
        <v>1</v>
      </c>
      <c r="J1458" s="361"/>
      <c r="K1458" s="210">
        <f t="shared" si="101"/>
        <v>0</v>
      </c>
      <c r="M1458" s="67"/>
    </row>
    <row r="1459" spans="1:13" ht="13.2">
      <c r="A1459" s="75"/>
      <c r="E1459" s="208" t="e">
        <f>VLOOKUP(D1459,'Danh mục hàng hóa'!$C$3:$D$643,2,0)</f>
        <v>#N/A</v>
      </c>
      <c r="F1459" s="209" t="e">
        <f>VLOOKUP(D1459,'Danh mục hàng hóa'!$C$3:$E$656,3,0)</f>
        <v>#N/A</v>
      </c>
      <c r="G1459" s="358">
        <v>0</v>
      </c>
      <c r="H1459" s="359"/>
      <c r="I1459" s="360">
        <v>1</v>
      </c>
      <c r="J1459" s="361"/>
      <c r="K1459" s="210">
        <f t="shared" si="101"/>
        <v>0</v>
      </c>
      <c r="M1459" s="67"/>
    </row>
    <row r="1460" spans="1:13" ht="13.2">
      <c r="A1460" s="75"/>
      <c r="E1460" s="208" t="e">
        <f>VLOOKUP(D1460,'Danh mục hàng hóa'!$C$3:$D$643,2,0)</f>
        <v>#N/A</v>
      </c>
      <c r="F1460" s="209" t="e">
        <f>VLOOKUP(D1460,'Danh mục hàng hóa'!$C$3:$E$656,3,0)</f>
        <v>#N/A</v>
      </c>
      <c r="G1460" s="358">
        <v>0</v>
      </c>
      <c r="H1460" s="359"/>
      <c r="I1460" s="360">
        <v>1</v>
      </c>
      <c r="J1460" s="361"/>
      <c r="K1460" s="210">
        <f t="shared" si="101"/>
        <v>0</v>
      </c>
      <c r="M1460" s="67"/>
    </row>
    <row r="1461" spans="1:13" ht="13.2">
      <c r="A1461" s="75"/>
      <c r="E1461" s="208" t="e">
        <f>VLOOKUP(D1461,'Danh mục hàng hóa'!$C$3:$D$643,2,0)</f>
        <v>#N/A</v>
      </c>
      <c r="F1461" s="209" t="e">
        <f>VLOOKUP(D1461,'Danh mục hàng hóa'!$C$3:$E$656,3,0)</f>
        <v>#N/A</v>
      </c>
      <c r="G1461" s="358">
        <v>0</v>
      </c>
      <c r="H1461" s="359"/>
      <c r="I1461" s="360">
        <v>1</v>
      </c>
      <c r="J1461" s="361"/>
      <c r="K1461" s="210">
        <f t="shared" si="101"/>
        <v>0</v>
      </c>
      <c r="M1461" s="67"/>
    </row>
    <row r="1462" spans="1:13" ht="13.2">
      <c r="A1462" s="75"/>
      <c r="E1462" s="208" t="e">
        <f>VLOOKUP(D1462,'Danh mục hàng hóa'!$C$3:$D$643,2,0)</f>
        <v>#N/A</v>
      </c>
      <c r="F1462" s="209" t="e">
        <f>VLOOKUP(D1462,'Danh mục hàng hóa'!$C$3:$E$656,3,0)</f>
        <v>#N/A</v>
      </c>
      <c r="G1462" s="358">
        <v>0</v>
      </c>
      <c r="H1462" s="359"/>
      <c r="I1462" s="360">
        <v>1</v>
      </c>
      <c r="J1462" s="361"/>
      <c r="K1462" s="210">
        <f t="shared" si="101"/>
        <v>0</v>
      </c>
      <c r="M1462" s="67"/>
    </row>
    <row r="1463" spans="1:13" ht="13.2">
      <c r="A1463" s="75"/>
      <c r="E1463" s="208" t="e">
        <f>VLOOKUP(D1463,'Danh mục hàng hóa'!$C$3:$D$643,2,0)</f>
        <v>#N/A</v>
      </c>
      <c r="F1463" s="209" t="e">
        <f>VLOOKUP(D1463,'Danh mục hàng hóa'!$C$3:$E$656,3,0)</f>
        <v>#N/A</v>
      </c>
      <c r="G1463" s="358">
        <v>0</v>
      </c>
      <c r="H1463" s="359"/>
      <c r="I1463" s="360">
        <v>1</v>
      </c>
      <c r="J1463" s="361"/>
      <c r="K1463" s="210">
        <f t="shared" si="101"/>
        <v>0</v>
      </c>
      <c r="M1463" s="67"/>
    </row>
    <row r="1464" spans="1:13" ht="13.2">
      <c r="A1464" s="75"/>
      <c r="E1464" s="208" t="e">
        <f>VLOOKUP(D1464,'Danh mục hàng hóa'!$C$3:$D$643,2,0)</f>
        <v>#N/A</v>
      </c>
      <c r="F1464" s="209" t="e">
        <f>VLOOKUP(D1464,'Danh mục hàng hóa'!$C$3:$E$656,3,0)</f>
        <v>#N/A</v>
      </c>
      <c r="G1464" s="358">
        <v>0</v>
      </c>
      <c r="H1464" s="359"/>
      <c r="I1464" s="360">
        <v>1</v>
      </c>
      <c r="J1464" s="361"/>
      <c r="K1464" s="210">
        <f t="shared" si="101"/>
        <v>0</v>
      </c>
      <c r="M1464" s="67"/>
    </row>
    <row r="1465" spans="1:13" ht="13.2">
      <c r="A1465" s="75"/>
      <c r="E1465" s="208" t="e">
        <f>VLOOKUP(D1465,'Danh mục hàng hóa'!$C$3:$D$643,2,0)</f>
        <v>#N/A</v>
      </c>
      <c r="F1465" s="209" t="e">
        <f>VLOOKUP(D1465,'Danh mục hàng hóa'!$C$3:$E$656,3,0)</f>
        <v>#N/A</v>
      </c>
      <c r="G1465" s="358">
        <v>0</v>
      </c>
      <c r="H1465" s="359"/>
      <c r="I1465" s="360">
        <v>1</v>
      </c>
      <c r="J1465" s="361"/>
      <c r="K1465" s="210">
        <f t="shared" si="101"/>
        <v>0</v>
      </c>
      <c r="M1465" s="67"/>
    </row>
    <row r="1466" spans="1:13" ht="13.2">
      <c r="A1466" s="75"/>
      <c r="E1466" s="208" t="e">
        <f>VLOOKUP(D1466,'Danh mục hàng hóa'!$C$3:$D$643,2,0)</f>
        <v>#N/A</v>
      </c>
      <c r="F1466" s="209" t="e">
        <f>VLOOKUP(D1466,'Danh mục hàng hóa'!$C$3:$E$656,3,0)</f>
        <v>#N/A</v>
      </c>
      <c r="G1466" s="358">
        <v>0</v>
      </c>
      <c r="H1466" s="359"/>
      <c r="I1466" s="360">
        <v>1</v>
      </c>
      <c r="J1466" s="361"/>
      <c r="K1466" s="210">
        <f t="shared" si="101"/>
        <v>0</v>
      </c>
      <c r="M1466" s="67"/>
    </row>
    <row r="1467" spans="1:13" ht="13.2">
      <c r="A1467" s="75"/>
      <c r="E1467" s="208" t="e">
        <f>VLOOKUP(D1467,'Danh mục hàng hóa'!$C$3:$D$643,2,0)</f>
        <v>#N/A</v>
      </c>
      <c r="F1467" s="209" t="e">
        <f>VLOOKUP(D1467,'Danh mục hàng hóa'!$C$3:$E$656,3,0)</f>
        <v>#N/A</v>
      </c>
      <c r="G1467" s="358">
        <v>0</v>
      </c>
      <c r="H1467" s="359"/>
      <c r="I1467" s="360">
        <v>1</v>
      </c>
      <c r="J1467" s="361"/>
      <c r="K1467" s="210">
        <f t="shared" si="101"/>
        <v>0</v>
      </c>
      <c r="M1467" s="67"/>
    </row>
    <row r="1468" spans="1:13" ht="13.2">
      <c r="A1468" s="75"/>
      <c r="E1468" s="208" t="e">
        <f>VLOOKUP(D1468,'Danh mục hàng hóa'!$C$3:$D$643,2,0)</f>
        <v>#N/A</v>
      </c>
      <c r="F1468" s="209" t="e">
        <f>VLOOKUP(D1468,'Danh mục hàng hóa'!$C$3:$E$656,3,0)</f>
        <v>#N/A</v>
      </c>
      <c r="G1468" s="358">
        <v>0</v>
      </c>
      <c r="H1468" s="359"/>
      <c r="I1468" s="360">
        <v>1</v>
      </c>
      <c r="J1468" s="361"/>
      <c r="K1468" s="210">
        <f t="shared" si="101"/>
        <v>0</v>
      </c>
      <c r="M1468" s="67"/>
    </row>
    <row r="1469" spans="1:13" ht="13.2">
      <c r="A1469" s="75"/>
      <c r="E1469" s="208" t="e">
        <f>VLOOKUP(D1469,'Danh mục hàng hóa'!$C$3:$D$643,2,0)</f>
        <v>#N/A</v>
      </c>
      <c r="F1469" s="209" t="e">
        <f>VLOOKUP(D1469,'Danh mục hàng hóa'!$C$3:$E$656,3,0)</f>
        <v>#N/A</v>
      </c>
      <c r="G1469" s="358">
        <v>0</v>
      </c>
      <c r="H1469" s="359"/>
      <c r="I1469" s="360">
        <v>1</v>
      </c>
      <c r="J1469" s="361"/>
      <c r="K1469" s="210">
        <f t="shared" si="101"/>
        <v>0</v>
      </c>
      <c r="M1469" s="67"/>
    </row>
    <row r="1470" spans="1:13" ht="13.2">
      <c r="A1470" s="75"/>
      <c r="E1470" s="208" t="e">
        <f>VLOOKUP(D1470,'Danh mục hàng hóa'!$C$3:$D$643,2,0)</f>
        <v>#N/A</v>
      </c>
      <c r="F1470" s="209" t="e">
        <f>VLOOKUP(D1470,'Danh mục hàng hóa'!$C$3:$E$656,3,0)</f>
        <v>#N/A</v>
      </c>
      <c r="G1470" s="358">
        <v>0</v>
      </c>
      <c r="H1470" s="359"/>
      <c r="I1470" s="360">
        <v>1</v>
      </c>
      <c r="J1470" s="361"/>
      <c r="K1470" s="210">
        <f t="shared" si="101"/>
        <v>0</v>
      </c>
      <c r="M1470" s="67"/>
    </row>
    <row r="1471" spans="1:13" ht="13.2">
      <c r="A1471" s="75"/>
      <c r="E1471" s="208" t="e">
        <f>VLOOKUP(D1471,'Danh mục hàng hóa'!$C$3:$D$643,2,0)</f>
        <v>#N/A</v>
      </c>
      <c r="F1471" s="209" t="e">
        <f>VLOOKUP(D1471,'Danh mục hàng hóa'!$C$3:$E$656,3,0)</f>
        <v>#N/A</v>
      </c>
      <c r="G1471" s="358">
        <v>0</v>
      </c>
      <c r="H1471" s="359"/>
      <c r="I1471" s="360">
        <v>1</v>
      </c>
      <c r="J1471" s="361"/>
      <c r="K1471" s="210">
        <f t="shared" si="101"/>
        <v>0</v>
      </c>
      <c r="M1471" s="67"/>
    </row>
    <row r="1472" spans="1:13" ht="13.2">
      <c r="A1472" s="75"/>
      <c r="E1472" s="208" t="e">
        <f>VLOOKUP(D1472,'Danh mục hàng hóa'!$C$3:$D$643,2,0)</f>
        <v>#N/A</v>
      </c>
      <c r="F1472" s="209" t="e">
        <f>VLOOKUP(D1472,'Danh mục hàng hóa'!$C$3:$E$656,3,0)</f>
        <v>#N/A</v>
      </c>
      <c r="G1472" s="358">
        <v>0</v>
      </c>
      <c r="H1472" s="359"/>
      <c r="I1472" s="360">
        <v>1</v>
      </c>
      <c r="J1472" s="361"/>
      <c r="K1472" s="210">
        <f t="shared" si="101"/>
        <v>0</v>
      </c>
      <c r="M1472" s="67"/>
    </row>
    <row r="1473" spans="1:13" ht="13.2">
      <c r="A1473" s="75"/>
      <c r="E1473" s="208" t="e">
        <f>VLOOKUP(D1473,'Danh mục hàng hóa'!$C$3:$D$643,2,0)</f>
        <v>#N/A</v>
      </c>
      <c r="F1473" s="209" t="e">
        <f>VLOOKUP(D1473,'Danh mục hàng hóa'!$C$3:$E$656,3,0)</f>
        <v>#N/A</v>
      </c>
      <c r="G1473" s="358">
        <v>0</v>
      </c>
      <c r="H1473" s="359"/>
      <c r="I1473" s="360">
        <v>1</v>
      </c>
      <c r="J1473" s="361"/>
      <c r="K1473" s="210">
        <f t="shared" si="101"/>
        <v>0</v>
      </c>
      <c r="M1473" s="67"/>
    </row>
    <row r="1474" spans="1:13" ht="13.2">
      <c r="A1474" s="75"/>
      <c r="E1474" s="208" t="e">
        <f>VLOOKUP(D1474,'Danh mục hàng hóa'!$C$3:$D$643,2,0)</f>
        <v>#N/A</v>
      </c>
      <c r="F1474" s="209" t="e">
        <f>VLOOKUP(D1474,'Danh mục hàng hóa'!$C$3:$E$656,3,0)</f>
        <v>#N/A</v>
      </c>
      <c r="G1474" s="358">
        <v>0</v>
      </c>
      <c r="H1474" s="359"/>
      <c r="I1474" s="360">
        <v>1</v>
      </c>
      <c r="J1474" s="361"/>
      <c r="K1474" s="210">
        <f t="shared" si="101"/>
        <v>0</v>
      </c>
      <c r="M1474" s="67"/>
    </row>
    <row r="1475" spans="1:13" ht="13.2">
      <c r="A1475" s="75"/>
      <c r="E1475" s="208" t="e">
        <f>VLOOKUP(D1475,'Danh mục hàng hóa'!$C$3:$D$643,2,0)</f>
        <v>#N/A</v>
      </c>
      <c r="F1475" s="209" t="e">
        <f>VLOOKUP(D1475,'Danh mục hàng hóa'!$C$3:$E$656,3,0)</f>
        <v>#N/A</v>
      </c>
      <c r="G1475" s="358">
        <v>0</v>
      </c>
      <c r="H1475" s="359"/>
      <c r="I1475" s="360">
        <v>1</v>
      </c>
      <c r="J1475" s="361"/>
      <c r="K1475" s="210">
        <f t="shared" si="101"/>
        <v>0</v>
      </c>
      <c r="M1475" s="67"/>
    </row>
    <row r="1476" spans="1:13" ht="13.2">
      <c r="A1476" s="75"/>
      <c r="E1476" s="208" t="e">
        <f>VLOOKUP(D1476,'Danh mục hàng hóa'!$C$3:$D$643,2,0)</f>
        <v>#N/A</v>
      </c>
      <c r="F1476" s="209" t="e">
        <f>VLOOKUP(D1476,'Danh mục hàng hóa'!$C$3:$E$656,3,0)</f>
        <v>#N/A</v>
      </c>
      <c r="G1476" s="358">
        <v>0</v>
      </c>
      <c r="H1476" s="359"/>
      <c r="I1476" s="360">
        <v>1</v>
      </c>
      <c r="J1476" s="361"/>
      <c r="K1476" s="210">
        <f t="shared" si="101"/>
        <v>0</v>
      </c>
      <c r="M1476" s="67"/>
    </row>
    <row r="1477" spans="1:13" ht="13.2">
      <c r="A1477" s="75"/>
      <c r="E1477" s="208" t="e">
        <f>VLOOKUP(D1477,'Danh mục hàng hóa'!$C$3:$D$643,2,0)</f>
        <v>#N/A</v>
      </c>
      <c r="F1477" s="209" t="e">
        <f>VLOOKUP(D1477,'Danh mục hàng hóa'!$C$3:$E$656,3,0)</f>
        <v>#N/A</v>
      </c>
      <c r="G1477" s="358">
        <v>0</v>
      </c>
      <c r="H1477" s="359"/>
      <c r="I1477" s="360">
        <v>1</v>
      </c>
      <c r="J1477" s="361"/>
      <c r="K1477" s="210">
        <f t="shared" si="101"/>
        <v>0</v>
      </c>
      <c r="M1477" s="67"/>
    </row>
    <row r="1478" spans="1:13" ht="13.2">
      <c r="A1478" s="75"/>
      <c r="E1478" s="208" t="e">
        <f>VLOOKUP(D1478,'Danh mục hàng hóa'!$C$3:$D$643,2,0)</f>
        <v>#N/A</v>
      </c>
      <c r="F1478" s="209" t="e">
        <f>VLOOKUP(D1478,'Danh mục hàng hóa'!$C$3:$E$656,3,0)</f>
        <v>#N/A</v>
      </c>
      <c r="G1478" s="358">
        <v>0</v>
      </c>
      <c r="H1478" s="359"/>
      <c r="I1478" s="360">
        <v>1</v>
      </c>
      <c r="J1478" s="361"/>
      <c r="K1478" s="210">
        <f t="shared" si="101"/>
        <v>0</v>
      </c>
      <c r="M1478" s="67"/>
    </row>
    <row r="1479" spans="1:13" ht="13.2">
      <c r="A1479" s="75"/>
      <c r="E1479" s="208" t="e">
        <f>VLOOKUP(D1479,'Danh mục hàng hóa'!$C$3:$D$643,2,0)</f>
        <v>#N/A</v>
      </c>
      <c r="F1479" s="209" t="e">
        <f>VLOOKUP(D1479,'Danh mục hàng hóa'!$C$3:$E$656,3,0)</f>
        <v>#N/A</v>
      </c>
      <c r="G1479" s="358">
        <v>0</v>
      </c>
      <c r="H1479" s="359"/>
      <c r="I1479" s="360">
        <v>1</v>
      </c>
      <c r="J1479" s="361"/>
      <c r="K1479" s="210">
        <f t="shared" si="101"/>
        <v>0</v>
      </c>
      <c r="M1479" s="67"/>
    </row>
    <row r="1480" spans="1:13" ht="13.2">
      <c r="A1480" s="75"/>
      <c r="E1480" s="208" t="e">
        <f>VLOOKUP(D1480,'Danh mục hàng hóa'!$C$3:$D$643,2,0)</f>
        <v>#N/A</v>
      </c>
      <c r="F1480" s="209" t="e">
        <f>VLOOKUP(D1480,'Danh mục hàng hóa'!$C$3:$E$656,3,0)</f>
        <v>#N/A</v>
      </c>
      <c r="G1480" s="358">
        <v>0</v>
      </c>
      <c r="H1480" s="359"/>
      <c r="I1480" s="360">
        <v>1</v>
      </c>
      <c r="J1480" s="361"/>
      <c r="K1480" s="210">
        <f t="shared" si="101"/>
        <v>0</v>
      </c>
      <c r="M1480" s="67"/>
    </row>
    <row r="1481" spans="1:13" ht="13.2">
      <c r="A1481" s="75"/>
      <c r="E1481" s="208" t="e">
        <f>VLOOKUP(D1481,'Danh mục hàng hóa'!$C$3:$D$643,2,0)</f>
        <v>#N/A</v>
      </c>
      <c r="F1481" s="209" t="e">
        <f>VLOOKUP(D1481,'Danh mục hàng hóa'!$C$3:$E$656,3,0)</f>
        <v>#N/A</v>
      </c>
      <c r="G1481" s="358">
        <v>0</v>
      </c>
      <c r="H1481" s="359"/>
      <c r="I1481" s="360">
        <v>1</v>
      </c>
      <c r="J1481" s="361"/>
      <c r="K1481" s="210">
        <f t="shared" si="101"/>
        <v>0</v>
      </c>
      <c r="M1481" s="67"/>
    </row>
    <row r="1482" spans="1:13" ht="13.2">
      <c r="A1482" s="75"/>
      <c r="E1482" s="208" t="e">
        <f>VLOOKUP(D1482,'Danh mục hàng hóa'!$C$3:$D$643,2,0)</f>
        <v>#N/A</v>
      </c>
      <c r="F1482" s="209" t="e">
        <f>VLOOKUP(D1482,'Danh mục hàng hóa'!$C$3:$E$656,3,0)</f>
        <v>#N/A</v>
      </c>
      <c r="G1482" s="358">
        <v>0</v>
      </c>
      <c r="H1482" s="359"/>
      <c r="I1482" s="360">
        <v>1</v>
      </c>
      <c r="J1482" s="361"/>
      <c r="K1482" s="210">
        <f t="shared" si="101"/>
        <v>0</v>
      </c>
      <c r="M1482" s="67"/>
    </row>
    <row r="1483" spans="1:13" ht="13.2">
      <c r="A1483" s="75"/>
      <c r="F1483" s="75"/>
      <c r="G1483" s="364"/>
      <c r="H1483" s="365"/>
      <c r="I1483" s="365"/>
      <c r="J1483" s="366"/>
      <c r="M1483" s="67"/>
    </row>
    <row r="1484" spans="1:13" ht="13.2">
      <c r="A1484" s="75"/>
      <c r="F1484" s="75"/>
      <c r="G1484" s="364"/>
      <c r="H1484" s="365"/>
      <c r="I1484" s="365"/>
      <c r="J1484" s="366"/>
      <c r="M1484" s="67"/>
    </row>
    <row r="1485" spans="1:13" ht="13.2">
      <c r="A1485" s="75"/>
      <c r="F1485" s="75"/>
      <c r="G1485" s="364"/>
      <c r="H1485" s="365"/>
      <c r="I1485" s="365"/>
      <c r="J1485" s="366"/>
      <c r="M1485" s="67"/>
    </row>
    <row r="1486" spans="1:13" ht="13.2">
      <c r="A1486" s="75"/>
      <c r="F1486" s="75"/>
      <c r="G1486" s="364"/>
      <c r="H1486" s="365"/>
      <c r="I1486" s="365"/>
      <c r="J1486" s="366"/>
      <c r="M1486" s="67"/>
    </row>
    <row r="1487" spans="1:13" ht="13.2">
      <c r="A1487" s="75"/>
      <c r="F1487" s="75"/>
      <c r="G1487" s="364"/>
      <c r="H1487" s="365"/>
      <c r="I1487" s="365"/>
      <c r="J1487" s="366"/>
      <c r="M1487" s="67"/>
    </row>
    <row r="1488" spans="1:13" ht="13.2">
      <c r="A1488" s="75"/>
      <c r="F1488" s="75"/>
      <c r="G1488" s="364"/>
      <c r="H1488" s="365"/>
      <c r="I1488" s="365"/>
      <c r="J1488" s="366"/>
      <c r="M1488" s="67"/>
    </row>
    <row r="1489" spans="1:13" ht="13.2">
      <c r="A1489" s="75"/>
      <c r="F1489" s="75"/>
      <c r="G1489" s="364"/>
      <c r="H1489" s="365"/>
      <c r="I1489" s="365"/>
      <c r="J1489" s="366"/>
      <c r="M1489" s="67"/>
    </row>
    <row r="1490" spans="1:13" ht="13.2">
      <c r="A1490" s="75"/>
      <c r="F1490" s="75"/>
      <c r="G1490" s="364"/>
      <c r="H1490" s="365"/>
      <c r="I1490" s="365"/>
      <c r="J1490" s="366"/>
      <c r="M1490" s="67"/>
    </row>
    <row r="1491" spans="1:13" ht="13.2">
      <c r="A1491" s="75"/>
      <c r="F1491" s="75"/>
      <c r="G1491" s="364"/>
      <c r="H1491" s="365"/>
      <c r="I1491" s="365"/>
      <c r="J1491" s="366"/>
      <c r="M1491" s="67"/>
    </row>
    <row r="1492" spans="1:13" ht="13.2">
      <c r="A1492" s="75"/>
      <c r="F1492" s="75"/>
      <c r="G1492" s="364"/>
      <c r="H1492" s="365"/>
      <c r="I1492" s="365"/>
      <c r="J1492" s="366"/>
      <c r="M1492" s="67"/>
    </row>
    <row r="1493" spans="1:13" ht="13.2">
      <c r="A1493" s="75"/>
      <c r="F1493" s="75"/>
      <c r="G1493" s="364"/>
      <c r="H1493" s="365"/>
      <c r="I1493" s="365"/>
      <c r="J1493" s="366"/>
      <c r="M1493" s="67"/>
    </row>
    <row r="1494" spans="1:13" ht="13.2">
      <c r="A1494" s="75"/>
      <c r="F1494" s="75"/>
      <c r="G1494" s="364"/>
      <c r="H1494" s="365"/>
      <c r="I1494" s="365"/>
      <c r="J1494" s="366"/>
      <c r="M1494" s="67"/>
    </row>
    <row r="1495" spans="1:13" ht="13.2">
      <c r="A1495" s="75"/>
      <c r="F1495" s="75"/>
      <c r="G1495" s="364"/>
      <c r="H1495" s="365"/>
      <c r="I1495" s="365"/>
      <c r="J1495" s="366"/>
      <c r="M1495" s="67"/>
    </row>
    <row r="1496" spans="1:13" ht="13.2">
      <c r="A1496" s="75"/>
      <c r="F1496" s="75"/>
      <c r="G1496" s="364"/>
      <c r="H1496" s="365"/>
      <c r="I1496" s="365"/>
      <c r="J1496" s="366"/>
      <c r="M1496" s="67"/>
    </row>
    <row r="1497" spans="1:13" ht="13.2">
      <c r="A1497" s="75"/>
      <c r="F1497" s="75"/>
      <c r="G1497" s="364"/>
      <c r="H1497" s="365"/>
      <c r="I1497" s="365"/>
      <c r="J1497" s="366"/>
      <c r="M1497" s="67"/>
    </row>
    <row r="1498" spans="1:13" ht="13.2">
      <c r="A1498" s="75"/>
      <c r="F1498" s="75"/>
      <c r="G1498" s="364"/>
      <c r="H1498" s="365"/>
      <c r="I1498" s="365"/>
      <c r="J1498" s="366"/>
      <c r="M1498" s="67"/>
    </row>
    <row r="1499" spans="1:13" ht="13.2">
      <c r="A1499" s="75"/>
      <c r="F1499" s="75"/>
      <c r="G1499" s="364"/>
      <c r="H1499" s="365"/>
      <c r="I1499" s="365"/>
      <c r="J1499" s="366"/>
      <c r="M1499" s="67"/>
    </row>
    <row r="1500" spans="1:13" ht="13.2">
      <c r="A1500" s="75"/>
      <c r="F1500" s="75"/>
      <c r="G1500" s="364"/>
      <c r="H1500" s="365"/>
      <c r="I1500" s="365"/>
      <c r="J1500" s="366"/>
      <c r="M1500" s="67"/>
    </row>
    <row r="1501" spans="1:13" ht="13.2">
      <c r="A1501" s="75"/>
      <c r="F1501" s="75"/>
      <c r="G1501" s="364"/>
      <c r="H1501" s="365"/>
      <c r="I1501" s="365"/>
      <c r="J1501" s="366"/>
      <c r="M1501" s="67"/>
    </row>
    <row r="1502" spans="1:13" ht="13.2">
      <c r="A1502" s="75"/>
      <c r="F1502" s="75"/>
      <c r="G1502" s="364"/>
      <c r="H1502" s="365"/>
      <c r="I1502" s="365"/>
      <c r="J1502" s="366"/>
      <c r="M1502" s="67"/>
    </row>
    <row r="1503" spans="1:13" ht="13.2">
      <c r="A1503" s="75"/>
      <c r="F1503" s="75"/>
      <c r="G1503" s="364"/>
      <c r="H1503" s="365"/>
      <c r="I1503" s="365"/>
      <c r="J1503" s="366"/>
      <c r="M1503" s="67"/>
    </row>
    <row r="1504" spans="1:13" ht="13.2">
      <c r="A1504" s="75"/>
      <c r="F1504" s="75"/>
      <c r="G1504" s="364"/>
      <c r="H1504" s="365"/>
      <c r="I1504" s="365"/>
      <c r="J1504" s="366"/>
      <c r="M1504" s="67"/>
    </row>
    <row r="1505" spans="1:13" ht="13.2">
      <c r="A1505" s="75"/>
      <c r="F1505" s="75"/>
      <c r="G1505" s="364"/>
      <c r="H1505" s="365"/>
      <c r="I1505" s="365"/>
      <c r="J1505" s="366"/>
      <c r="M1505" s="67"/>
    </row>
    <row r="1506" spans="1:13" ht="13.2">
      <c r="A1506" s="75"/>
      <c r="F1506" s="75"/>
      <c r="G1506" s="364"/>
      <c r="H1506" s="365"/>
      <c r="I1506" s="365"/>
      <c r="J1506" s="366"/>
      <c r="M1506" s="67"/>
    </row>
    <row r="1507" spans="1:13" ht="13.2">
      <c r="A1507" s="75"/>
      <c r="F1507" s="75"/>
      <c r="G1507" s="364"/>
      <c r="H1507" s="365"/>
      <c r="I1507" s="365"/>
      <c r="J1507" s="366"/>
      <c r="M1507" s="67"/>
    </row>
    <row r="1508" spans="1:13" ht="13.2">
      <c r="A1508" s="75"/>
      <c r="F1508" s="75"/>
      <c r="G1508" s="364"/>
      <c r="H1508" s="365"/>
      <c r="I1508" s="365"/>
      <c r="J1508" s="366"/>
      <c r="M1508" s="67"/>
    </row>
    <row r="1509" spans="1:13" ht="13.2">
      <c r="A1509" s="75"/>
      <c r="F1509" s="75"/>
      <c r="G1509" s="364"/>
      <c r="H1509" s="365"/>
      <c r="I1509" s="365"/>
      <c r="J1509" s="366"/>
      <c r="M1509" s="67"/>
    </row>
    <row r="1510" spans="1:13" ht="13.2">
      <c r="A1510" s="75"/>
      <c r="F1510" s="75"/>
      <c r="G1510" s="364"/>
      <c r="H1510" s="365"/>
      <c r="I1510" s="365"/>
      <c r="J1510" s="366"/>
      <c r="M1510" s="67"/>
    </row>
    <row r="1511" spans="1:13" ht="13.2">
      <c r="A1511" s="75"/>
      <c r="F1511" s="75"/>
      <c r="G1511" s="364"/>
      <c r="H1511" s="365"/>
      <c r="I1511" s="365"/>
      <c r="J1511" s="366"/>
      <c r="M1511" s="67"/>
    </row>
    <row r="1512" spans="1:13" ht="13.2">
      <c r="A1512" s="75"/>
      <c r="F1512" s="75"/>
      <c r="G1512" s="364"/>
      <c r="H1512" s="365"/>
      <c r="I1512" s="365"/>
      <c r="J1512" s="366"/>
      <c r="M1512" s="67"/>
    </row>
    <row r="1513" spans="1:13" ht="13.2">
      <c r="A1513" s="75"/>
      <c r="F1513" s="75"/>
      <c r="G1513" s="364"/>
      <c r="H1513" s="365"/>
      <c r="I1513" s="365"/>
      <c r="J1513" s="366"/>
      <c r="M1513" s="67"/>
    </row>
    <row r="1514" spans="1:13" ht="13.2">
      <c r="A1514" s="75"/>
      <c r="F1514" s="75"/>
      <c r="G1514" s="364"/>
      <c r="H1514" s="365"/>
      <c r="I1514" s="365"/>
      <c r="J1514" s="366"/>
      <c r="M1514" s="67"/>
    </row>
    <row r="1515" spans="1:13" ht="13.2">
      <c r="A1515" s="75"/>
      <c r="F1515" s="75"/>
      <c r="G1515" s="364"/>
      <c r="H1515" s="365"/>
      <c r="I1515" s="365"/>
      <c r="J1515" s="366"/>
      <c r="M1515" s="67"/>
    </row>
    <row r="1516" spans="1:13" ht="13.2">
      <c r="A1516" s="75"/>
      <c r="F1516" s="75"/>
      <c r="G1516" s="364"/>
      <c r="H1516" s="365"/>
      <c r="I1516" s="365"/>
      <c r="J1516" s="366"/>
      <c r="M1516" s="67"/>
    </row>
    <row r="1517" spans="1:13" ht="13.2">
      <c r="A1517" s="75"/>
      <c r="F1517" s="75"/>
      <c r="G1517" s="364"/>
      <c r="H1517" s="365"/>
      <c r="I1517" s="365"/>
      <c r="J1517" s="366"/>
      <c r="M1517" s="67"/>
    </row>
    <row r="1518" spans="1:13" ht="13.2">
      <c r="A1518" s="75"/>
      <c r="F1518" s="75"/>
      <c r="G1518" s="364"/>
      <c r="H1518" s="365"/>
      <c r="I1518" s="365"/>
      <c r="J1518" s="366"/>
      <c r="M1518" s="67"/>
    </row>
    <row r="1519" spans="1:13" ht="13.2">
      <c r="A1519" s="75"/>
      <c r="F1519" s="75"/>
      <c r="G1519" s="364"/>
      <c r="H1519" s="365"/>
      <c r="I1519" s="365"/>
      <c r="J1519" s="366"/>
      <c r="M1519" s="67"/>
    </row>
    <row r="1520" spans="1:13" ht="13.2">
      <c r="A1520" s="75"/>
      <c r="F1520" s="75"/>
      <c r="G1520" s="364"/>
      <c r="H1520" s="365"/>
      <c r="I1520" s="365"/>
      <c r="J1520" s="366"/>
      <c r="M1520" s="67"/>
    </row>
    <row r="1521" spans="1:13" ht="13.2">
      <c r="A1521" s="75"/>
      <c r="F1521" s="75"/>
      <c r="G1521" s="364"/>
      <c r="H1521" s="365"/>
      <c r="I1521" s="365"/>
      <c r="J1521" s="366"/>
      <c r="M1521" s="67"/>
    </row>
    <row r="1522" spans="1:13" ht="13.2">
      <c r="A1522" s="75"/>
      <c r="F1522" s="75"/>
      <c r="G1522" s="364"/>
      <c r="H1522" s="365"/>
      <c r="I1522" s="365"/>
      <c r="J1522" s="366"/>
      <c r="M1522" s="67"/>
    </row>
    <row r="1523" spans="1:13" ht="13.2">
      <c r="A1523" s="75"/>
      <c r="F1523" s="75"/>
      <c r="G1523" s="364"/>
      <c r="H1523" s="365"/>
      <c r="I1523" s="365"/>
      <c r="J1523" s="366"/>
      <c r="M1523" s="67"/>
    </row>
    <row r="1524" spans="1:13" ht="13.2">
      <c r="A1524" s="75"/>
      <c r="F1524" s="75"/>
      <c r="G1524" s="364"/>
      <c r="H1524" s="365"/>
      <c r="I1524" s="365"/>
      <c r="J1524" s="366"/>
      <c r="M1524" s="67"/>
    </row>
    <row r="1525" spans="1:13" ht="13.2">
      <c r="A1525" s="75"/>
      <c r="F1525" s="75"/>
      <c r="G1525" s="364"/>
      <c r="H1525" s="365"/>
      <c r="I1525" s="365"/>
      <c r="J1525" s="366"/>
      <c r="M1525" s="67"/>
    </row>
    <row r="1526" spans="1:13" ht="13.2">
      <c r="A1526" s="75"/>
      <c r="F1526" s="75"/>
      <c r="G1526" s="364"/>
      <c r="H1526" s="365"/>
      <c r="I1526" s="365"/>
      <c r="J1526" s="366"/>
      <c r="M1526" s="67"/>
    </row>
    <row r="1527" spans="1:13" ht="13.2">
      <c r="A1527" s="75"/>
      <c r="F1527" s="75"/>
      <c r="G1527" s="364"/>
      <c r="H1527" s="365"/>
      <c r="I1527" s="365"/>
      <c r="J1527" s="366"/>
      <c r="M1527" s="67"/>
    </row>
    <row r="1528" spans="1:13" ht="13.2">
      <c r="A1528" s="75"/>
      <c r="F1528" s="75"/>
      <c r="G1528" s="364"/>
      <c r="H1528" s="365"/>
      <c r="I1528" s="365"/>
      <c r="J1528" s="366"/>
      <c r="M1528" s="67"/>
    </row>
    <row r="1529" spans="1:13" ht="13.2">
      <c r="A1529" s="75"/>
      <c r="F1529" s="75"/>
      <c r="G1529" s="364"/>
      <c r="H1529" s="365"/>
      <c r="I1529" s="365"/>
      <c r="J1529" s="366"/>
      <c r="M1529" s="67"/>
    </row>
    <row r="1530" spans="1:13" ht="13.2">
      <c r="A1530" s="75"/>
      <c r="F1530" s="75"/>
      <c r="G1530" s="364"/>
      <c r="H1530" s="365"/>
      <c r="I1530" s="365"/>
      <c r="J1530" s="366"/>
      <c r="M1530" s="67"/>
    </row>
    <row r="1531" spans="1:13" ht="13.2">
      <c r="A1531" s="75"/>
      <c r="F1531" s="75"/>
      <c r="G1531" s="364"/>
      <c r="H1531" s="365"/>
      <c r="I1531" s="365"/>
      <c r="J1531" s="366"/>
      <c r="M1531" s="67"/>
    </row>
    <row r="1532" spans="1:13" ht="13.2">
      <c r="A1532" s="75"/>
      <c r="F1532" s="75"/>
      <c r="G1532" s="364"/>
      <c r="H1532" s="365"/>
      <c r="I1532" s="365"/>
      <c r="J1532" s="366"/>
      <c r="M1532" s="67"/>
    </row>
    <row r="1533" spans="1:13" ht="13.2">
      <c r="A1533" s="75"/>
      <c r="F1533" s="75"/>
      <c r="G1533" s="364"/>
      <c r="H1533" s="365"/>
      <c r="I1533" s="365"/>
      <c r="J1533" s="366"/>
      <c r="M1533" s="67"/>
    </row>
    <row r="1534" spans="1:13" ht="13.2">
      <c r="A1534" s="75"/>
      <c r="F1534" s="75"/>
      <c r="G1534" s="364"/>
      <c r="H1534" s="365"/>
      <c r="I1534" s="365"/>
      <c r="J1534" s="366"/>
      <c r="M1534" s="67"/>
    </row>
    <row r="1535" spans="1:13" ht="13.2">
      <c r="A1535" s="75"/>
      <c r="F1535" s="75"/>
      <c r="G1535" s="364"/>
      <c r="H1535" s="365"/>
      <c r="I1535" s="365"/>
      <c r="J1535" s="366"/>
      <c r="M1535" s="67"/>
    </row>
    <row r="1536" spans="1:13" ht="13.2">
      <c r="A1536" s="75"/>
      <c r="F1536" s="75"/>
      <c r="G1536" s="364"/>
      <c r="H1536" s="365"/>
      <c r="I1536" s="365"/>
      <c r="J1536" s="366"/>
      <c r="M1536" s="67"/>
    </row>
    <row r="1537" spans="1:13" ht="13.2">
      <c r="A1537" s="75"/>
      <c r="F1537" s="75"/>
      <c r="G1537" s="364"/>
      <c r="H1537" s="365"/>
      <c r="I1537" s="365"/>
      <c r="J1537" s="366"/>
      <c r="M1537" s="67"/>
    </row>
    <row r="1538" spans="1:13" ht="13.2">
      <c r="A1538" s="75"/>
      <c r="F1538" s="75"/>
      <c r="G1538" s="364"/>
      <c r="H1538" s="365"/>
      <c r="I1538" s="365"/>
      <c r="J1538" s="366"/>
      <c r="M1538" s="67"/>
    </row>
    <row r="1539" spans="1:13" ht="13.2">
      <c r="A1539" s="75"/>
      <c r="F1539" s="75"/>
      <c r="G1539" s="364"/>
      <c r="H1539" s="365"/>
      <c r="I1539" s="365"/>
      <c r="J1539" s="366"/>
      <c r="M1539" s="67"/>
    </row>
    <row r="1540" spans="1:13" ht="13.2">
      <c r="A1540" s="75"/>
      <c r="F1540" s="75"/>
      <c r="G1540" s="364"/>
      <c r="H1540" s="365"/>
      <c r="I1540" s="365"/>
      <c r="J1540" s="366"/>
      <c r="M1540" s="67"/>
    </row>
    <row r="1541" spans="1:13" ht="13.2">
      <c r="A1541" s="75"/>
      <c r="F1541" s="75"/>
      <c r="G1541" s="364"/>
      <c r="H1541" s="365"/>
      <c r="I1541" s="365"/>
      <c r="J1541" s="366"/>
      <c r="M1541" s="67"/>
    </row>
    <row r="1542" spans="1:13" ht="13.2">
      <c r="A1542" s="75"/>
      <c r="F1542" s="75"/>
      <c r="G1542" s="364"/>
      <c r="H1542" s="365"/>
      <c r="I1542" s="365"/>
      <c r="J1542" s="366"/>
      <c r="M1542" s="67"/>
    </row>
    <row r="1543" spans="1:13" ht="13.2">
      <c r="A1543" s="75"/>
      <c r="F1543" s="75"/>
      <c r="G1543" s="364"/>
      <c r="H1543" s="365"/>
      <c r="I1543" s="365"/>
      <c r="J1543" s="366"/>
      <c r="M1543" s="67"/>
    </row>
    <row r="1544" spans="1:13" ht="13.2">
      <c r="A1544" s="75"/>
      <c r="F1544" s="75"/>
      <c r="G1544" s="364"/>
      <c r="H1544" s="365"/>
      <c r="I1544" s="365"/>
      <c r="J1544" s="366"/>
      <c r="M1544" s="67"/>
    </row>
    <row r="1545" spans="1:13" ht="13.2">
      <c r="A1545" s="75"/>
      <c r="F1545" s="75"/>
      <c r="G1545" s="364"/>
      <c r="H1545" s="365"/>
      <c r="I1545" s="365"/>
      <c r="J1545" s="366"/>
      <c r="M1545" s="67"/>
    </row>
    <row r="1546" spans="1:13" ht="13.2">
      <c r="A1546" s="75"/>
      <c r="F1546" s="75"/>
      <c r="G1546" s="364"/>
      <c r="H1546" s="365"/>
      <c r="I1546" s="365"/>
      <c r="J1546" s="366"/>
      <c r="M1546" s="67"/>
    </row>
    <row r="1547" spans="1:13" ht="13.2">
      <c r="A1547" s="75"/>
      <c r="F1547" s="75"/>
      <c r="G1547" s="364"/>
      <c r="H1547" s="365"/>
      <c r="I1547" s="365"/>
      <c r="J1547" s="366"/>
      <c r="M1547" s="67"/>
    </row>
    <row r="1548" spans="1:13" ht="13.2">
      <c r="A1548" s="75"/>
      <c r="F1548" s="75"/>
      <c r="G1548" s="364"/>
      <c r="H1548" s="365"/>
      <c r="I1548" s="365"/>
      <c r="J1548" s="366"/>
      <c r="M1548" s="67"/>
    </row>
    <row r="1549" spans="1:13" ht="13.2">
      <c r="A1549" s="75"/>
      <c r="F1549" s="75"/>
      <c r="G1549" s="364"/>
      <c r="H1549" s="365"/>
      <c r="I1549" s="365"/>
      <c r="J1549" s="366"/>
      <c r="M1549" s="67"/>
    </row>
    <row r="1550" spans="1:13" ht="13.2">
      <c r="A1550" s="75"/>
      <c r="F1550" s="75"/>
      <c r="G1550" s="364"/>
      <c r="H1550" s="365"/>
      <c r="I1550" s="365"/>
      <c r="J1550" s="366"/>
      <c r="M1550" s="67"/>
    </row>
    <row r="1551" spans="1:13" ht="13.2">
      <c r="A1551" s="75"/>
      <c r="F1551" s="75"/>
      <c r="G1551" s="364"/>
      <c r="H1551" s="365"/>
      <c r="I1551" s="365"/>
      <c r="J1551" s="366"/>
      <c r="M1551" s="67"/>
    </row>
    <row r="1552" spans="1:13" ht="13.2">
      <c r="A1552" s="75"/>
      <c r="F1552" s="75"/>
      <c r="G1552" s="364"/>
      <c r="H1552" s="365"/>
      <c r="I1552" s="365"/>
      <c r="J1552" s="366"/>
      <c r="M1552" s="67"/>
    </row>
    <row r="1553" spans="1:13" ht="13.2">
      <c r="A1553" s="75"/>
      <c r="F1553" s="75"/>
      <c r="G1553" s="364"/>
      <c r="H1553" s="365"/>
      <c r="I1553" s="365"/>
      <c r="J1553" s="366"/>
      <c r="M1553" s="67"/>
    </row>
    <row r="1554" spans="1:13" ht="13.2">
      <c r="A1554" s="75"/>
      <c r="F1554" s="75"/>
      <c r="G1554" s="364"/>
      <c r="H1554" s="365"/>
      <c r="I1554" s="365"/>
      <c r="J1554" s="366"/>
      <c r="M1554" s="67"/>
    </row>
    <row r="1555" spans="1:13" ht="13.2">
      <c r="A1555" s="75"/>
      <c r="F1555" s="75"/>
      <c r="G1555" s="364"/>
      <c r="H1555" s="365"/>
      <c r="I1555" s="365"/>
      <c r="J1555" s="366"/>
      <c r="M1555" s="67"/>
    </row>
    <row r="1556" spans="1:13" ht="13.2">
      <c r="A1556" s="75"/>
      <c r="F1556" s="75"/>
      <c r="G1556" s="364"/>
      <c r="H1556" s="365"/>
      <c r="I1556" s="365"/>
      <c r="J1556" s="366"/>
      <c r="M1556" s="67"/>
    </row>
    <row r="1557" spans="1:13" ht="13.2">
      <c r="A1557" s="75"/>
      <c r="F1557" s="75"/>
      <c r="G1557" s="364"/>
      <c r="H1557" s="365"/>
      <c r="I1557" s="365"/>
      <c r="J1557" s="366"/>
      <c r="M1557" s="67"/>
    </row>
    <row r="1558" spans="1:13" ht="13.2">
      <c r="A1558" s="75"/>
      <c r="F1558" s="75"/>
      <c r="G1558" s="364"/>
      <c r="H1558" s="365"/>
      <c r="I1558" s="365"/>
      <c r="J1558" s="366"/>
      <c r="M1558" s="67"/>
    </row>
    <row r="1559" spans="1:13" ht="13.2">
      <c r="A1559" s="75"/>
      <c r="F1559" s="75"/>
      <c r="G1559" s="364"/>
      <c r="H1559" s="365"/>
      <c r="I1559" s="365"/>
      <c r="J1559" s="366"/>
      <c r="M1559" s="67"/>
    </row>
    <row r="1560" spans="1:13" ht="13.2">
      <c r="A1560" s="75"/>
      <c r="F1560" s="75"/>
      <c r="G1560" s="364"/>
      <c r="H1560" s="365"/>
      <c r="I1560" s="365"/>
      <c r="J1560" s="366"/>
      <c r="M1560" s="67"/>
    </row>
    <row r="1561" spans="1:13" ht="13.2">
      <c r="A1561" s="75"/>
      <c r="F1561" s="75"/>
      <c r="G1561" s="364"/>
      <c r="H1561" s="365"/>
      <c r="I1561" s="365"/>
      <c r="J1561" s="366"/>
      <c r="M1561" s="67"/>
    </row>
    <row r="1562" spans="1:13" ht="13.2">
      <c r="A1562" s="75"/>
      <c r="F1562" s="75"/>
      <c r="G1562" s="364"/>
      <c r="H1562" s="365"/>
      <c r="I1562" s="365"/>
      <c r="J1562" s="366"/>
      <c r="M1562" s="67"/>
    </row>
    <row r="1563" spans="1:13" ht="13.2">
      <c r="A1563" s="75"/>
      <c r="F1563" s="75"/>
      <c r="G1563" s="364"/>
      <c r="H1563" s="365"/>
      <c r="I1563" s="365"/>
      <c r="J1563" s="366"/>
      <c r="M1563" s="67"/>
    </row>
    <row r="1564" spans="1:13" ht="13.2">
      <c r="A1564" s="75"/>
      <c r="F1564" s="75"/>
      <c r="G1564" s="364"/>
      <c r="H1564" s="365"/>
      <c r="I1564" s="365"/>
      <c r="J1564" s="366"/>
      <c r="M1564" s="67"/>
    </row>
    <row r="1565" spans="1:13" ht="13.2">
      <c r="A1565" s="75"/>
      <c r="F1565" s="75"/>
      <c r="G1565" s="364"/>
      <c r="H1565" s="365"/>
      <c r="I1565" s="365"/>
      <c r="J1565" s="366"/>
      <c r="M1565" s="67"/>
    </row>
    <row r="1566" spans="1:13" ht="13.2">
      <c r="A1566" s="75"/>
      <c r="F1566" s="75"/>
      <c r="G1566" s="364"/>
      <c r="H1566" s="365"/>
      <c r="I1566" s="365"/>
      <c r="J1566" s="366"/>
      <c r="M1566" s="67"/>
    </row>
    <row r="1567" spans="1:13" ht="13.2">
      <c r="A1567" s="75"/>
      <c r="F1567" s="75"/>
      <c r="G1567" s="364"/>
      <c r="H1567" s="365"/>
      <c r="I1567" s="365"/>
      <c r="J1567" s="366"/>
      <c r="M1567" s="67"/>
    </row>
    <row r="1568" spans="1:13" ht="13.2">
      <c r="A1568" s="75"/>
      <c r="F1568" s="75"/>
      <c r="G1568" s="364"/>
      <c r="H1568" s="365"/>
      <c r="I1568" s="365"/>
      <c r="J1568" s="366"/>
      <c r="M1568" s="67"/>
    </row>
    <row r="1569" spans="1:13" ht="13.2">
      <c r="A1569" s="75"/>
      <c r="F1569" s="75"/>
      <c r="G1569" s="364"/>
      <c r="H1569" s="365"/>
      <c r="I1569" s="365"/>
      <c r="J1569" s="366"/>
      <c r="M1569" s="67"/>
    </row>
    <row r="1570" spans="1:13" ht="13.2">
      <c r="A1570" s="75"/>
      <c r="F1570" s="75"/>
      <c r="G1570" s="364"/>
      <c r="H1570" s="365"/>
      <c r="I1570" s="365"/>
      <c r="J1570" s="366"/>
      <c r="M1570" s="67"/>
    </row>
    <row r="1571" spans="1:13" ht="13.2">
      <c r="A1571" s="75"/>
      <c r="F1571" s="75"/>
      <c r="G1571" s="364"/>
      <c r="H1571" s="365"/>
      <c r="I1571" s="365"/>
      <c r="J1571" s="366"/>
      <c r="M1571" s="67"/>
    </row>
    <row r="1572" spans="1:13" ht="13.2">
      <c r="A1572" s="75"/>
      <c r="F1572" s="75"/>
      <c r="G1572" s="364"/>
      <c r="H1572" s="365"/>
      <c r="I1572" s="365"/>
      <c r="J1572" s="366"/>
      <c r="M1572" s="67"/>
    </row>
    <row r="1573" spans="1:13" ht="13.2">
      <c r="A1573" s="75"/>
      <c r="F1573" s="75"/>
      <c r="G1573" s="364"/>
      <c r="H1573" s="365"/>
      <c r="I1573" s="365"/>
      <c r="J1573" s="366"/>
      <c r="M1573" s="67"/>
    </row>
    <row r="1574" spans="1:13" ht="13.2">
      <c r="A1574" s="75"/>
      <c r="F1574" s="75"/>
      <c r="G1574" s="364"/>
      <c r="H1574" s="365"/>
      <c r="I1574" s="365"/>
      <c r="J1574" s="366"/>
      <c r="M1574" s="67"/>
    </row>
    <row r="1575" spans="1:13" ht="13.2">
      <c r="A1575" s="75"/>
      <c r="F1575" s="75"/>
      <c r="G1575" s="364"/>
      <c r="H1575" s="365"/>
      <c r="I1575" s="365"/>
      <c r="J1575" s="366"/>
      <c r="M1575" s="67"/>
    </row>
    <row r="1576" spans="1:13" ht="13.2">
      <c r="A1576" s="75"/>
      <c r="F1576" s="75"/>
      <c r="G1576" s="364"/>
      <c r="H1576" s="365"/>
      <c r="I1576" s="365"/>
      <c r="J1576" s="366"/>
      <c r="M1576" s="67"/>
    </row>
    <row r="1577" spans="1:13" ht="13.2">
      <c r="A1577" s="75"/>
      <c r="F1577" s="75"/>
      <c r="G1577" s="364"/>
      <c r="H1577" s="365"/>
      <c r="I1577" s="365"/>
      <c r="J1577" s="366"/>
      <c r="M1577" s="67"/>
    </row>
    <row r="1578" spans="1:13" ht="13.2">
      <c r="A1578" s="75"/>
      <c r="F1578" s="75"/>
      <c r="G1578" s="364"/>
      <c r="H1578" s="365"/>
      <c r="I1578" s="365"/>
      <c r="J1578" s="366"/>
      <c r="M1578" s="67"/>
    </row>
    <row r="1579" spans="1:13" ht="13.2">
      <c r="A1579" s="75"/>
      <c r="F1579" s="75"/>
      <c r="G1579" s="364"/>
      <c r="H1579" s="365"/>
      <c r="I1579" s="365"/>
      <c r="J1579" s="366"/>
      <c r="M1579" s="67"/>
    </row>
    <row r="1580" spans="1:13" ht="13.2">
      <c r="A1580" s="75"/>
      <c r="F1580" s="75"/>
      <c r="G1580" s="364"/>
      <c r="H1580" s="365"/>
      <c r="I1580" s="365"/>
      <c r="J1580" s="366"/>
      <c r="M1580" s="67"/>
    </row>
    <row r="1581" spans="1:13" ht="13.2">
      <c r="A1581" s="75"/>
      <c r="F1581" s="75"/>
      <c r="G1581" s="364"/>
      <c r="H1581" s="365"/>
      <c r="I1581" s="365"/>
      <c r="J1581" s="366"/>
      <c r="M1581" s="67"/>
    </row>
    <row r="1582" spans="1:13" ht="13.2">
      <c r="A1582" s="75"/>
      <c r="F1582" s="75"/>
      <c r="G1582" s="364"/>
      <c r="H1582" s="365"/>
      <c r="I1582" s="365"/>
      <c r="J1582" s="366"/>
      <c r="M1582" s="67"/>
    </row>
    <row r="1583" spans="1:13" ht="13.2">
      <c r="A1583" s="75"/>
      <c r="F1583" s="75"/>
      <c r="G1583" s="364"/>
      <c r="H1583" s="365"/>
      <c r="I1583" s="365"/>
      <c r="J1583" s="366"/>
      <c r="M1583" s="67"/>
    </row>
    <row r="1584" spans="1:13" ht="13.2">
      <c r="A1584" s="75"/>
      <c r="F1584" s="75"/>
      <c r="G1584" s="364"/>
      <c r="H1584" s="365"/>
      <c r="I1584" s="365"/>
      <c r="J1584" s="366"/>
      <c r="M1584" s="67"/>
    </row>
    <row r="1585" spans="1:13" ht="13.2">
      <c r="A1585" s="75"/>
      <c r="F1585" s="75"/>
      <c r="G1585" s="364"/>
      <c r="H1585" s="365"/>
      <c r="I1585" s="365"/>
      <c r="J1585" s="366"/>
      <c r="M1585" s="67"/>
    </row>
    <row r="1586" spans="1:13" ht="13.2">
      <c r="A1586" s="75"/>
      <c r="F1586" s="75"/>
      <c r="G1586" s="364"/>
      <c r="H1586" s="365"/>
      <c r="I1586" s="365"/>
      <c r="J1586" s="366"/>
      <c r="M1586" s="67"/>
    </row>
    <row r="1587" spans="1:13" ht="13.2">
      <c r="A1587" s="75"/>
      <c r="F1587" s="75"/>
      <c r="G1587" s="364"/>
      <c r="H1587" s="365"/>
      <c r="I1587" s="365"/>
      <c r="J1587" s="366"/>
      <c r="M1587" s="67"/>
    </row>
    <row r="1588" spans="1:13" ht="13.2">
      <c r="A1588" s="75"/>
      <c r="F1588" s="75"/>
      <c r="G1588" s="364"/>
      <c r="H1588" s="365"/>
      <c r="I1588" s="365"/>
      <c r="J1588" s="366"/>
      <c r="M1588" s="67"/>
    </row>
    <row r="1589" spans="1:13" ht="13.2">
      <c r="A1589" s="75"/>
      <c r="F1589" s="75"/>
      <c r="G1589" s="364"/>
      <c r="H1589" s="365"/>
      <c r="I1589" s="365"/>
      <c r="J1589" s="366"/>
      <c r="M1589" s="67"/>
    </row>
    <row r="1590" spans="1:13" ht="13.2">
      <c r="A1590" s="75"/>
      <c r="F1590" s="75"/>
      <c r="G1590" s="364"/>
      <c r="H1590" s="365"/>
      <c r="I1590" s="365"/>
      <c r="J1590" s="366"/>
      <c r="M1590" s="67"/>
    </row>
    <row r="1591" spans="1:13" ht="13.2">
      <c r="A1591" s="75"/>
      <c r="F1591" s="75"/>
      <c r="G1591" s="364"/>
      <c r="H1591" s="365"/>
      <c r="I1591" s="365"/>
      <c r="J1591" s="366"/>
      <c r="M1591" s="67"/>
    </row>
    <row r="1592" spans="1:13" ht="13.2">
      <c r="A1592" s="75"/>
      <c r="F1592" s="75"/>
      <c r="G1592" s="364"/>
      <c r="H1592" s="365"/>
      <c r="I1592" s="365"/>
      <c r="J1592" s="366"/>
      <c r="M1592" s="67"/>
    </row>
    <row r="1593" spans="1:13" ht="13.2">
      <c r="A1593" s="75"/>
      <c r="F1593" s="75"/>
      <c r="G1593" s="364"/>
      <c r="H1593" s="365"/>
      <c r="I1593" s="365"/>
      <c r="J1593" s="366"/>
      <c r="M1593" s="67"/>
    </row>
    <row r="1594" spans="1:13" ht="13.2">
      <c r="A1594" s="75"/>
      <c r="F1594" s="75"/>
      <c r="G1594" s="364"/>
      <c r="H1594" s="365"/>
      <c r="I1594" s="365"/>
      <c r="J1594" s="366"/>
      <c r="M1594" s="67"/>
    </row>
    <row r="1595" spans="1:13" ht="13.2">
      <c r="A1595" s="75"/>
      <c r="F1595" s="75"/>
      <c r="G1595" s="364"/>
      <c r="H1595" s="365"/>
      <c r="I1595" s="365"/>
      <c r="J1595" s="366"/>
      <c r="M1595" s="67"/>
    </row>
    <row r="1596" spans="1:13" ht="13.2">
      <c r="A1596" s="75"/>
      <c r="F1596" s="75"/>
      <c r="G1596" s="364"/>
      <c r="H1596" s="365"/>
      <c r="I1596" s="365"/>
      <c r="J1596" s="366"/>
      <c r="M1596" s="67"/>
    </row>
    <row r="1597" spans="1:13" ht="13.2">
      <c r="A1597" s="75"/>
      <c r="F1597" s="75"/>
      <c r="G1597" s="364"/>
      <c r="H1597" s="365"/>
      <c r="I1597" s="365"/>
      <c r="J1597" s="366"/>
      <c r="M1597" s="67"/>
    </row>
    <row r="1598" spans="1:13" ht="13.2">
      <c r="A1598" s="75"/>
      <c r="F1598" s="75"/>
      <c r="G1598" s="364"/>
      <c r="H1598" s="365"/>
      <c r="I1598" s="365"/>
      <c r="J1598" s="366"/>
      <c r="M1598" s="67"/>
    </row>
    <row r="1599" spans="1:13" ht="13.2">
      <c r="A1599" s="75"/>
      <c r="F1599" s="75"/>
      <c r="G1599" s="364"/>
      <c r="H1599" s="365"/>
      <c r="I1599" s="365"/>
      <c r="J1599" s="366"/>
      <c r="M1599" s="67"/>
    </row>
    <row r="1600" spans="1:13" ht="13.2">
      <c r="A1600" s="75"/>
      <c r="F1600" s="75"/>
      <c r="G1600" s="364"/>
      <c r="H1600" s="365"/>
      <c r="I1600" s="365"/>
      <c r="J1600" s="366"/>
      <c r="M1600" s="67"/>
    </row>
    <row r="1601" spans="1:13" ht="13.2">
      <c r="A1601" s="75"/>
      <c r="F1601" s="75"/>
      <c r="G1601" s="364"/>
      <c r="H1601" s="365"/>
      <c r="I1601" s="365"/>
      <c r="J1601" s="366"/>
      <c r="M1601" s="67"/>
    </row>
    <row r="1602" spans="1:13" ht="13.2">
      <c r="A1602" s="75"/>
      <c r="F1602" s="75"/>
      <c r="G1602" s="364"/>
      <c r="H1602" s="365"/>
      <c r="I1602" s="365"/>
      <c r="J1602" s="366"/>
      <c r="M1602" s="67"/>
    </row>
    <row r="1603" spans="1:13" ht="13.2">
      <c r="A1603" s="75"/>
      <c r="F1603" s="75"/>
      <c r="G1603" s="364"/>
      <c r="H1603" s="365"/>
      <c r="I1603" s="365"/>
      <c r="J1603" s="366"/>
      <c r="M1603" s="67"/>
    </row>
    <row r="1604" spans="1:13" ht="13.2">
      <c r="A1604" s="75"/>
      <c r="F1604" s="75"/>
      <c r="G1604" s="364"/>
      <c r="H1604" s="365"/>
      <c r="I1604" s="365"/>
      <c r="J1604" s="366"/>
      <c r="M1604" s="67"/>
    </row>
    <row r="1605" spans="1:13" ht="13.2">
      <c r="A1605" s="75"/>
      <c r="F1605" s="75"/>
      <c r="G1605" s="364"/>
      <c r="H1605" s="365"/>
      <c r="I1605" s="365"/>
      <c r="J1605" s="366"/>
      <c r="M1605" s="67"/>
    </row>
    <row r="1606" spans="1:13" ht="13.2">
      <c r="A1606" s="75"/>
      <c r="F1606" s="75"/>
      <c r="G1606" s="364"/>
      <c r="H1606" s="365"/>
      <c r="I1606" s="365"/>
      <c r="J1606" s="366"/>
      <c r="M1606" s="67"/>
    </row>
    <row r="1607" spans="1:13" ht="13.2">
      <c r="A1607" s="75"/>
      <c r="F1607" s="75"/>
      <c r="G1607" s="364"/>
      <c r="H1607" s="365"/>
      <c r="I1607" s="365"/>
      <c r="J1607" s="366"/>
      <c r="M1607" s="67"/>
    </row>
    <row r="1608" spans="1:13" ht="13.2">
      <c r="A1608" s="75"/>
      <c r="F1608" s="75"/>
      <c r="G1608" s="364"/>
      <c r="H1608" s="365"/>
      <c r="I1608" s="365"/>
      <c r="J1608" s="366"/>
      <c r="M1608" s="67"/>
    </row>
    <row r="1609" spans="1:13" ht="13.2">
      <c r="A1609" s="75"/>
      <c r="F1609" s="75"/>
      <c r="G1609" s="364"/>
      <c r="H1609" s="365"/>
      <c r="I1609" s="365"/>
      <c r="J1609" s="366"/>
      <c r="M1609" s="67"/>
    </row>
    <row r="1610" spans="1:13" ht="13.2">
      <c r="A1610" s="75"/>
      <c r="F1610" s="75"/>
      <c r="G1610" s="364"/>
      <c r="H1610" s="365"/>
      <c r="I1610" s="365"/>
      <c r="J1610" s="366"/>
      <c r="M1610" s="67"/>
    </row>
    <row r="1611" spans="1:13" ht="13.2">
      <c r="A1611" s="75"/>
      <c r="F1611" s="75"/>
      <c r="G1611" s="364"/>
      <c r="H1611" s="365"/>
      <c r="I1611" s="365"/>
      <c r="J1611" s="366"/>
      <c r="M1611" s="67"/>
    </row>
    <row r="1612" spans="1:13" ht="13.2">
      <c r="A1612" s="75"/>
      <c r="F1612" s="75"/>
      <c r="G1612" s="364"/>
      <c r="H1612" s="365"/>
      <c r="I1612" s="365"/>
      <c r="J1612" s="366"/>
      <c r="M1612" s="67"/>
    </row>
    <row r="1613" spans="1:13" ht="13.2">
      <c r="A1613" s="75"/>
      <c r="F1613" s="75"/>
      <c r="G1613" s="364"/>
      <c r="H1613" s="365"/>
      <c r="I1613" s="365"/>
      <c r="J1613" s="366"/>
      <c r="M1613" s="67"/>
    </row>
    <row r="1614" spans="1:13" ht="13.2">
      <c r="A1614" s="75"/>
      <c r="F1614" s="75"/>
      <c r="G1614" s="364"/>
      <c r="H1614" s="365"/>
      <c r="I1614" s="365"/>
      <c r="J1614" s="366"/>
      <c r="M1614" s="67"/>
    </row>
    <row r="1615" spans="1:13" ht="13.2">
      <c r="A1615" s="75"/>
      <c r="F1615" s="75"/>
      <c r="G1615" s="364"/>
      <c r="H1615" s="365"/>
      <c r="I1615" s="365"/>
      <c r="J1615" s="366"/>
      <c r="M1615" s="67"/>
    </row>
    <row r="1616" spans="1:13" ht="13.2">
      <c r="A1616" s="75"/>
      <c r="F1616" s="75"/>
      <c r="G1616" s="364"/>
      <c r="H1616" s="365"/>
      <c r="I1616" s="365"/>
      <c r="J1616" s="366"/>
      <c r="M1616" s="67"/>
    </row>
    <row r="1617" spans="1:13" ht="13.2">
      <c r="A1617" s="75"/>
      <c r="F1617" s="75"/>
      <c r="G1617" s="364"/>
      <c r="H1617" s="365"/>
      <c r="I1617" s="365"/>
      <c r="J1617" s="366"/>
      <c r="M1617" s="67"/>
    </row>
    <row r="1618" spans="1:13" ht="13.2">
      <c r="A1618" s="75"/>
      <c r="F1618" s="75"/>
      <c r="G1618" s="364"/>
      <c r="H1618" s="365"/>
      <c r="I1618" s="365"/>
      <c r="J1618" s="366"/>
      <c r="M1618" s="67"/>
    </row>
    <row r="1619" spans="1:13" ht="13.2">
      <c r="A1619" s="75"/>
      <c r="F1619" s="75"/>
      <c r="G1619" s="364"/>
      <c r="H1619" s="365"/>
      <c r="I1619" s="365"/>
      <c r="J1619" s="366"/>
      <c r="M1619" s="67"/>
    </row>
    <row r="1620" spans="1:13" ht="13.2">
      <c r="A1620" s="75"/>
      <c r="F1620" s="75"/>
      <c r="G1620" s="364"/>
      <c r="H1620" s="365"/>
      <c r="I1620" s="365"/>
      <c r="J1620" s="366"/>
      <c r="M1620" s="67"/>
    </row>
    <row r="1621" spans="1:13" ht="13.2">
      <c r="A1621" s="75"/>
      <c r="F1621" s="75"/>
      <c r="G1621" s="364"/>
      <c r="H1621" s="365"/>
      <c r="I1621" s="365"/>
      <c r="J1621" s="366"/>
      <c r="M1621" s="67"/>
    </row>
    <row r="1622" spans="1:13" ht="13.2">
      <c r="A1622" s="75"/>
      <c r="F1622" s="75"/>
      <c r="G1622" s="364"/>
      <c r="H1622" s="365"/>
      <c r="I1622" s="365"/>
      <c r="J1622" s="366"/>
      <c r="M1622" s="67"/>
    </row>
    <row r="1623" spans="1:13" ht="13.2">
      <c r="A1623" s="75"/>
      <c r="F1623" s="75"/>
      <c r="G1623" s="364"/>
      <c r="H1623" s="365"/>
      <c r="I1623" s="365"/>
      <c r="J1623" s="366"/>
      <c r="M1623" s="67"/>
    </row>
    <row r="1624" spans="1:13" ht="13.2">
      <c r="A1624" s="75"/>
      <c r="F1624" s="75"/>
      <c r="G1624" s="364"/>
      <c r="H1624" s="365"/>
      <c r="I1624" s="365"/>
      <c r="J1624" s="366"/>
      <c r="M1624" s="67"/>
    </row>
    <row r="1625" spans="1:13" ht="13.2">
      <c r="A1625" s="75"/>
      <c r="F1625" s="75"/>
      <c r="G1625" s="364"/>
      <c r="H1625" s="365"/>
      <c r="I1625" s="365"/>
      <c r="J1625" s="366"/>
      <c r="M1625" s="67"/>
    </row>
    <row r="1626" spans="1:13" ht="13.2">
      <c r="A1626" s="75"/>
      <c r="F1626" s="75"/>
      <c r="G1626" s="364"/>
      <c r="H1626" s="365"/>
      <c r="I1626" s="365"/>
      <c r="J1626" s="366"/>
      <c r="M1626" s="67"/>
    </row>
    <row r="1627" spans="1:13" ht="13.2">
      <c r="A1627" s="75"/>
      <c r="F1627" s="75"/>
      <c r="G1627" s="364"/>
      <c r="H1627" s="365"/>
      <c r="I1627" s="365"/>
      <c r="J1627" s="366"/>
      <c r="M1627" s="67"/>
    </row>
    <row r="1628" spans="1:13" ht="13.2">
      <c r="A1628" s="75"/>
      <c r="F1628" s="75"/>
      <c r="G1628" s="364"/>
      <c r="H1628" s="365"/>
      <c r="I1628" s="365"/>
      <c r="J1628" s="366"/>
      <c r="M1628" s="67"/>
    </row>
    <row r="1629" spans="1:13" ht="13.2">
      <c r="A1629" s="75"/>
      <c r="F1629" s="75"/>
      <c r="G1629" s="364"/>
      <c r="H1629" s="365"/>
      <c r="I1629" s="365"/>
      <c r="J1629" s="366"/>
      <c r="M1629" s="67"/>
    </row>
    <row r="1630" spans="1:13" ht="13.2">
      <c r="A1630" s="75"/>
      <c r="F1630" s="75"/>
      <c r="G1630" s="364"/>
      <c r="H1630" s="365"/>
      <c r="I1630" s="365"/>
      <c r="J1630" s="366"/>
      <c r="M1630" s="67"/>
    </row>
    <row r="1631" spans="1:13" ht="13.2">
      <c r="A1631" s="75"/>
      <c r="F1631" s="75"/>
      <c r="G1631" s="364"/>
      <c r="H1631" s="365"/>
      <c r="I1631" s="365"/>
      <c r="J1631" s="366"/>
      <c r="M1631" s="67"/>
    </row>
    <row r="1632" spans="1:13" ht="13.2">
      <c r="A1632" s="75"/>
      <c r="F1632" s="75"/>
      <c r="G1632" s="364"/>
      <c r="H1632" s="365"/>
      <c r="I1632" s="365"/>
      <c r="J1632" s="366"/>
      <c r="M1632" s="67"/>
    </row>
    <row r="1633" spans="1:13" ht="13.2">
      <c r="A1633" s="75"/>
      <c r="F1633" s="75"/>
      <c r="G1633" s="364"/>
      <c r="H1633" s="365"/>
      <c r="I1633" s="365"/>
      <c r="J1633" s="366"/>
      <c r="M1633" s="67"/>
    </row>
    <row r="1634" spans="1:13" ht="13.2">
      <c r="A1634" s="75"/>
      <c r="F1634" s="75"/>
      <c r="G1634" s="364"/>
      <c r="H1634" s="365"/>
      <c r="I1634" s="365"/>
      <c r="J1634" s="366"/>
      <c r="M1634" s="67"/>
    </row>
    <row r="1635" spans="1:13" ht="13.2">
      <c r="A1635" s="75"/>
      <c r="F1635" s="75"/>
      <c r="G1635" s="364"/>
      <c r="H1635" s="365"/>
      <c r="I1635" s="365"/>
      <c r="J1635" s="366"/>
      <c r="M1635" s="67"/>
    </row>
    <row r="1636" spans="1:13" ht="13.2">
      <c r="A1636" s="75"/>
      <c r="F1636" s="75"/>
      <c r="G1636" s="364"/>
      <c r="H1636" s="365"/>
      <c r="I1636" s="365"/>
      <c r="J1636" s="366"/>
      <c r="M1636" s="67"/>
    </row>
    <row r="1637" spans="1:13" ht="13.2">
      <c r="A1637" s="75"/>
      <c r="F1637" s="75"/>
      <c r="G1637" s="364"/>
      <c r="H1637" s="365"/>
      <c r="I1637" s="365"/>
      <c r="J1637" s="366"/>
      <c r="M1637" s="67"/>
    </row>
    <row r="1638" spans="1:13" ht="13.2">
      <c r="A1638" s="75"/>
      <c r="F1638" s="75"/>
      <c r="G1638" s="364"/>
      <c r="H1638" s="365"/>
      <c r="I1638" s="365"/>
      <c r="J1638" s="366"/>
      <c r="M1638" s="67"/>
    </row>
    <row r="1639" spans="1:13" ht="13.2">
      <c r="A1639" s="75"/>
      <c r="F1639" s="75"/>
      <c r="G1639" s="364"/>
      <c r="H1639" s="365"/>
      <c r="I1639" s="365"/>
      <c r="J1639" s="366"/>
      <c r="M1639" s="67"/>
    </row>
    <row r="1640" spans="1:13" ht="13.2">
      <c r="A1640" s="75"/>
      <c r="F1640" s="75"/>
      <c r="G1640" s="364"/>
      <c r="H1640" s="365"/>
      <c r="I1640" s="365"/>
      <c r="J1640" s="366"/>
      <c r="M1640" s="67"/>
    </row>
    <row r="1641" spans="1:13" ht="13.2">
      <c r="A1641" s="75"/>
      <c r="F1641" s="75"/>
      <c r="G1641" s="364"/>
      <c r="H1641" s="365"/>
      <c r="I1641" s="365"/>
      <c r="J1641" s="366"/>
      <c r="M1641" s="67"/>
    </row>
    <row r="1642" spans="1:13" ht="13.2">
      <c r="A1642" s="75"/>
      <c r="F1642" s="75"/>
      <c r="G1642" s="364"/>
      <c r="H1642" s="365"/>
      <c r="I1642" s="365"/>
      <c r="J1642" s="366"/>
      <c r="M1642" s="67"/>
    </row>
    <row r="1643" spans="1:13" ht="13.2">
      <c r="A1643" s="75"/>
      <c r="F1643" s="75"/>
      <c r="G1643" s="364"/>
      <c r="H1643" s="365"/>
      <c r="I1643" s="365"/>
      <c r="J1643" s="366"/>
      <c r="M1643" s="67"/>
    </row>
    <row r="1644" spans="1:13" ht="13.2">
      <c r="A1644" s="75"/>
      <c r="F1644" s="75"/>
      <c r="G1644" s="364"/>
      <c r="H1644" s="365"/>
      <c r="I1644" s="365"/>
      <c r="J1644" s="366"/>
      <c r="M1644" s="67"/>
    </row>
    <row r="1645" spans="1:13" ht="13.2">
      <c r="A1645" s="75"/>
      <c r="F1645" s="75"/>
      <c r="G1645" s="364"/>
      <c r="H1645" s="365"/>
      <c r="I1645" s="365"/>
      <c r="J1645" s="366"/>
      <c r="M1645" s="67"/>
    </row>
    <row r="1646" spans="1:13" ht="13.2">
      <c r="A1646" s="75"/>
      <c r="F1646" s="75"/>
      <c r="G1646" s="364"/>
      <c r="H1646" s="365"/>
      <c r="I1646" s="365"/>
      <c r="J1646" s="366"/>
      <c r="M1646" s="67"/>
    </row>
    <row r="1647" spans="1:13" ht="13.2">
      <c r="A1647" s="75"/>
      <c r="F1647" s="75"/>
      <c r="G1647" s="364"/>
      <c r="H1647" s="365"/>
      <c r="I1647" s="365"/>
      <c r="J1647" s="366"/>
      <c r="M1647" s="67"/>
    </row>
    <row r="1648" spans="1:13" ht="13.2">
      <c r="A1648" s="75"/>
      <c r="F1648" s="75"/>
      <c r="G1648" s="364"/>
      <c r="H1648" s="365"/>
      <c r="I1648" s="365"/>
      <c r="J1648" s="366"/>
      <c r="M1648" s="67"/>
    </row>
    <row r="1649" spans="1:13" ht="13.2">
      <c r="A1649" s="75"/>
      <c r="F1649" s="75"/>
      <c r="G1649" s="364"/>
      <c r="H1649" s="365"/>
      <c r="I1649" s="365"/>
      <c r="J1649" s="366"/>
      <c r="M1649" s="67"/>
    </row>
    <row r="1650" spans="1:13" ht="13.2">
      <c r="A1650" s="75"/>
      <c r="F1650" s="75"/>
      <c r="G1650" s="364"/>
      <c r="H1650" s="365"/>
      <c r="I1650" s="365"/>
      <c r="J1650" s="366"/>
      <c r="M1650" s="67"/>
    </row>
    <row r="1651" spans="1:13" ht="13.2">
      <c r="A1651" s="75"/>
      <c r="F1651" s="75"/>
      <c r="G1651" s="364"/>
      <c r="H1651" s="365"/>
      <c r="I1651" s="365"/>
      <c r="J1651" s="366"/>
      <c r="M1651" s="67"/>
    </row>
    <row r="1652" spans="1:13" ht="13.2">
      <c r="A1652" s="75"/>
      <c r="F1652" s="75"/>
      <c r="G1652" s="364"/>
      <c r="H1652" s="365"/>
      <c r="I1652" s="365"/>
      <c r="J1652" s="366"/>
      <c r="M1652" s="67"/>
    </row>
    <row r="1653" spans="1:13" ht="13.2">
      <c r="A1653" s="75"/>
      <c r="F1653" s="75"/>
      <c r="G1653" s="364"/>
      <c r="H1653" s="365"/>
      <c r="I1653" s="365"/>
      <c r="J1653" s="366"/>
      <c r="M1653" s="67"/>
    </row>
    <row r="1654" spans="1:13" ht="13.2">
      <c r="A1654" s="75"/>
      <c r="F1654" s="75"/>
      <c r="G1654" s="364"/>
      <c r="H1654" s="365"/>
      <c r="I1654" s="365"/>
      <c r="J1654" s="366"/>
      <c r="M1654" s="67"/>
    </row>
    <row r="1655" spans="1:13" ht="13.2">
      <c r="A1655" s="75"/>
      <c r="F1655" s="75"/>
      <c r="G1655" s="364"/>
      <c r="H1655" s="365"/>
      <c r="I1655" s="365"/>
      <c r="J1655" s="366"/>
      <c r="M1655" s="67"/>
    </row>
    <row r="1656" spans="1:13" ht="13.2">
      <c r="A1656" s="75"/>
      <c r="F1656" s="75"/>
      <c r="G1656" s="364"/>
      <c r="H1656" s="365"/>
      <c r="I1656" s="365"/>
      <c r="J1656" s="366"/>
      <c r="M1656" s="67"/>
    </row>
    <row r="1657" spans="1:13" ht="13.2">
      <c r="A1657" s="75"/>
      <c r="F1657" s="75"/>
      <c r="G1657" s="364"/>
      <c r="H1657" s="365"/>
      <c r="I1657" s="365"/>
      <c r="J1657" s="366"/>
      <c r="M1657" s="67"/>
    </row>
    <row r="1658" spans="1:13" ht="13.2">
      <c r="A1658" s="75"/>
      <c r="F1658" s="75"/>
      <c r="G1658" s="364"/>
      <c r="H1658" s="365"/>
      <c r="I1658" s="365"/>
      <c r="J1658" s="366"/>
      <c r="M1658" s="67"/>
    </row>
    <row r="1659" spans="1:13" ht="13.2">
      <c r="A1659" s="75"/>
      <c r="F1659" s="75"/>
      <c r="G1659" s="364"/>
      <c r="H1659" s="365"/>
      <c r="I1659" s="365"/>
      <c r="J1659" s="366"/>
      <c r="M1659" s="67"/>
    </row>
    <row r="1660" spans="1:13" ht="13.2">
      <c r="A1660" s="75"/>
      <c r="F1660" s="75"/>
      <c r="G1660" s="364"/>
      <c r="H1660" s="365"/>
      <c r="I1660" s="365"/>
      <c r="J1660" s="366"/>
      <c r="M1660" s="67"/>
    </row>
    <row r="1661" spans="1:13" ht="13.2">
      <c r="A1661" s="75"/>
      <c r="F1661" s="75"/>
      <c r="G1661" s="364"/>
      <c r="H1661" s="365"/>
      <c r="I1661" s="365"/>
      <c r="J1661" s="366"/>
      <c r="M1661" s="67"/>
    </row>
    <row r="1662" spans="1:13" ht="13.2">
      <c r="A1662" s="75"/>
      <c r="F1662" s="75"/>
      <c r="G1662" s="364"/>
      <c r="H1662" s="365"/>
      <c r="I1662" s="365"/>
      <c r="J1662" s="366"/>
      <c r="M1662" s="67"/>
    </row>
    <row r="1663" spans="1:13" ht="13.2">
      <c r="A1663" s="75"/>
      <c r="F1663" s="75"/>
      <c r="G1663" s="364"/>
      <c r="H1663" s="365"/>
      <c r="I1663" s="365"/>
      <c r="J1663" s="366"/>
      <c r="M1663" s="67"/>
    </row>
    <row r="1664" spans="1:13" ht="13.2">
      <c r="A1664" s="75"/>
      <c r="F1664" s="75"/>
      <c r="G1664" s="364"/>
      <c r="H1664" s="365"/>
      <c r="I1664" s="365"/>
      <c r="J1664" s="366"/>
      <c r="M1664" s="67"/>
    </row>
    <row r="1665" spans="1:13" ht="13.2">
      <c r="A1665" s="75"/>
      <c r="F1665" s="75"/>
      <c r="G1665" s="364"/>
      <c r="H1665" s="365"/>
      <c r="I1665" s="365"/>
      <c r="J1665" s="366"/>
      <c r="M1665" s="67"/>
    </row>
    <row r="1666" spans="1:13" ht="13.2">
      <c r="A1666" s="75"/>
      <c r="F1666" s="75"/>
      <c r="G1666" s="364"/>
      <c r="H1666" s="365"/>
      <c r="I1666" s="365"/>
      <c r="J1666" s="366"/>
      <c r="M1666" s="67"/>
    </row>
    <row r="1667" spans="1:13" ht="13.2">
      <c r="A1667" s="75"/>
      <c r="F1667" s="75"/>
      <c r="G1667" s="364"/>
      <c r="H1667" s="365"/>
      <c r="I1667" s="365"/>
      <c r="J1667" s="366"/>
      <c r="M1667" s="67"/>
    </row>
    <row r="1668" spans="1:13" ht="13.2">
      <c r="A1668" s="75"/>
      <c r="F1668" s="75"/>
      <c r="G1668" s="364"/>
      <c r="H1668" s="365"/>
      <c r="I1668" s="365"/>
      <c r="J1668" s="366"/>
      <c r="M1668" s="67"/>
    </row>
    <row r="1669" spans="1:13" ht="13.2">
      <c r="A1669" s="75"/>
      <c r="F1669" s="75"/>
      <c r="G1669" s="364"/>
      <c r="H1669" s="365"/>
      <c r="I1669" s="365"/>
      <c r="J1669" s="366"/>
      <c r="M1669" s="67"/>
    </row>
    <row r="1670" spans="1:13" ht="13.2">
      <c r="A1670" s="75"/>
      <c r="F1670" s="75"/>
      <c r="G1670" s="364"/>
      <c r="H1670" s="365"/>
      <c r="I1670" s="365"/>
      <c r="J1670" s="366"/>
      <c r="M1670" s="67"/>
    </row>
    <row r="1671" spans="1:13" ht="13.2">
      <c r="A1671" s="75"/>
      <c r="F1671" s="75"/>
      <c r="G1671" s="364"/>
      <c r="H1671" s="365"/>
      <c r="I1671" s="365"/>
      <c r="J1671" s="366"/>
      <c r="M1671" s="67"/>
    </row>
    <row r="1672" spans="1:13" ht="13.2">
      <c r="A1672" s="75"/>
      <c r="F1672" s="75"/>
      <c r="G1672" s="364"/>
      <c r="H1672" s="365"/>
      <c r="I1672" s="365"/>
      <c r="J1672" s="366"/>
      <c r="M1672" s="67"/>
    </row>
    <row r="1673" spans="1:13" ht="13.2">
      <c r="A1673" s="75"/>
      <c r="F1673" s="75"/>
      <c r="G1673" s="364"/>
      <c r="H1673" s="365"/>
      <c r="I1673" s="365"/>
      <c r="J1673" s="366"/>
      <c r="M1673" s="67"/>
    </row>
    <row r="1674" spans="1:13" ht="13.2">
      <c r="A1674" s="75"/>
      <c r="F1674" s="75"/>
      <c r="G1674" s="364"/>
      <c r="H1674" s="365"/>
      <c r="I1674" s="365"/>
      <c r="J1674" s="366"/>
      <c r="M1674" s="67"/>
    </row>
    <row r="1675" spans="1:13" ht="13.2">
      <c r="A1675" s="75"/>
      <c r="F1675" s="75"/>
      <c r="G1675" s="364"/>
      <c r="H1675" s="365"/>
      <c r="I1675" s="365"/>
      <c r="J1675" s="366"/>
      <c r="M1675" s="67"/>
    </row>
    <row r="1676" spans="1:13" ht="13.2">
      <c r="A1676" s="75"/>
      <c r="F1676" s="75"/>
      <c r="G1676" s="364"/>
      <c r="H1676" s="365"/>
      <c r="I1676" s="365"/>
      <c r="J1676" s="366"/>
      <c r="M1676" s="67"/>
    </row>
    <row r="1677" spans="1:13" ht="13.2">
      <c r="A1677" s="75"/>
      <c r="F1677" s="75"/>
      <c r="G1677" s="364"/>
      <c r="H1677" s="365"/>
      <c r="I1677" s="365"/>
      <c r="J1677" s="366"/>
      <c r="M1677" s="67"/>
    </row>
    <row r="1678" spans="1:13" ht="13.2">
      <c r="A1678" s="75"/>
      <c r="F1678" s="75"/>
      <c r="G1678" s="364"/>
      <c r="H1678" s="365"/>
      <c r="I1678" s="365"/>
      <c r="J1678" s="366"/>
      <c r="M1678" s="67"/>
    </row>
    <row r="1679" spans="1:13" ht="13.2">
      <c r="A1679" s="75"/>
      <c r="F1679" s="75"/>
      <c r="G1679" s="364"/>
      <c r="H1679" s="365"/>
      <c r="I1679" s="365"/>
      <c r="J1679" s="366"/>
      <c r="M1679" s="67"/>
    </row>
    <row r="1680" spans="1:13" ht="13.2">
      <c r="A1680" s="75"/>
      <c r="F1680" s="75"/>
      <c r="G1680" s="364"/>
      <c r="H1680" s="365"/>
      <c r="I1680" s="365"/>
      <c r="J1680" s="366"/>
      <c r="M1680" s="67"/>
    </row>
    <row r="1681" spans="1:13" ht="13.2">
      <c r="A1681" s="75"/>
      <c r="F1681" s="75"/>
      <c r="G1681" s="364"/>
      <c r="H1681" s="365"/>
      <c r="I1681" s="365"/>
      <c r="J1681" s="366"/>
      <c r="M1681" s="67"/>
    </row>
    <row r="1682" spans="1:13" ht="13.2">
      <c r="A1682" s="75"/>
      <c r="F1682" s="75"/>
      <c r="G1682" s="364"/>
      <c r="H1682" s="365"/>
      <c r="I1682" s="365"/>
      <c r="J1682" s="366"/>
      <c r="M1682" s="67"/>
    </row>
    <row r="1683" spans="1:13" ht="13.2">
      <c r="A1683" s="75"/>
      <c r="F1683" s="75"/>
      <c r="G1683" s="364"/>
      <c r="H1683" s="365"/>
      <c r="I1683" s="365"/>
      <c r="J1683" s="366"/>
      <c r="M1683" s="67"/>
    </row>
    <row r="1684" spans="1:13" ht="13.2">
      <c r="A1684" s="75"/>
      <c r="F1684" s="75"/>
      <c r="G1684" s="364"/>
      <c r="H1684" s="365"/>
      <c r="I1684" s="365"/>
      <c r="J1684" s="366"/>
      <c r="M1684" s="67"/>
    </row>
    <row r="1685" spans="1:13" ht="13.2">
      <c r="A1685" s="75"/>
      <c r="F1685" s="75"/>
      <c r="G1685" s="364"/>
      <c r="H1685" s="365"/>
      <c r="I1685" s="365"/>
      <c r="J1685" s="366"/>
      <c r="M1685" s="67"/>
    </row>
    <row r="1686" spans="1:13" ht="13.2">
      <c r="A1686" s="75"/>
      <c r="F1686" s="75"/>
      <c r="G1686" s="364"/>
      <c r="H1686" s="365"/>
      <c r="I1686" s="365"/>
      <c r="J1686" s="366"/>
      <c r="M1686" s="67"/>
    </row>
    <row r="1687" spans="1:13" ht="13.2">
      <c r="A1687" s="75"/>
      <c r="F1687" s="75"/>
      <c r="G1687" s="364"/>
      <c r="H1687" s="365"/>
      <c r="I1687" s="365"/>
      <c r="J1687" s="366"/>
      <c r="M1687" s="67"/>
    </row>
    <row r="1688" spans="1:13" ht="13.2">
      <c r="A1688" s="75"/>
      <c r="F1688" s="75"/>
      <c r="G1688" s="364"/>
      <c r="H1688" s="365"/>
      <c r="I1688" s="365"/>
      <c r="J1688" s="366"/>
      <c r="M1688" s="67"/>
    </row>
    <row r="1689" spans="1:13" ht="13.2">
      <c r="A1689" s="75"/>
      <c r="F1689" s="75"/>
      <c r="G1689" s="364"/>
      <c r="H1689" s="365"/>
      <c r="I1689" s="365"/>
      <c r="J1689" s="366"/>
      <c r="M1689" s="67"/>
    </row>
    <row r="1690" spans="1:13" ht="13.2">
      <c r="A1690" s="75"/>
      <c r="F1690" s="75"/>
      <c r="G1690" s="364"/>
      <c r="H1690" s="365"/>
      <c r="I1690" s="365"/>
      <c r="J1690" s="366"/>
      <c r="M1690" s="67"/>
    </row>
    <row r="1691" spans="1:13" ht="13.2">
      <c r="A1691" s="75"/>
      <c r="F1691" s="75"/>
      <c r="G1691" s="364"/>
      <c r="H1691" s="365"/>
      <c r="I1691" s="365"/>
      <c r="J1691" s="366"/>
      <c r="M1691" s="67"/>
    </row>
    <row r="1692" spans="1:13" ht="13.2">
      <c r="A1692" s="75"/>
      <c r="F1692" s="75"/>
      <c r="G1692" s="364"/>
      <c r="H1692" s="365"/>
      <c r="I1692" s="365"/>
      <c r="J1692" s="366"/>
      <c r="M1692" s="67"/>
    </row>
    <row r="1693" spans="1:13" ht="13.2">
      <c r="A1693" s="75"/>
      <c r="F1693" s="75"/>
      <c r="G1693" s="364"/>
      <c r="H1693" s="365"/>
      <c r="I1693" s="365"/>
      <c r="J1693" s="366"/>
      <c r="M1693" s="67"/>
    </row>
    <row r="1694" spans="1:13" ht="13.2">
      <c r="A1694" s="75"/>
      <c r="F1694" s="75"/>
      <c r="G1694" s="364"/>
      <c r="H1694" s="365"/>
      <c r="I1694" s="365"/>
      <c r="J1694" s="366"/>
      <c r="M1694" s="67"/>
    </row>
    <row r="1695" spans="1:13" ht="13.2">
      <c r="A1695" s="75"/>
      <c r="F1695" s="75"/>
      <c r="G1695" s="364"/>
      <c r="H1695" s="365"/>
      <c r="I1695" s="365"/>
      <c r="J1695" s="366"/>
      <c r="M1695" s="67"/>
    </row>
    <row r="1696" spans="1:13" ht="13.2">
      <c r="A1696" s="75"/>
      <c r="F1696" s="75"/>
      <c r="G1696" s="364"/>
      <c r="H1696" s="365"/>
      <c r="I1696" s="365"/>
      <c r="J1696" s="366"/>
      <c r="M1696" s="67"/>
    </row>
    <row r="1697" spans="1:13" ht="13.2">
      <c r="A1697" s="75"/>
      <c r="F1697" s="75"/>
      <c r="G1697" s="364"/>
      <c r="H1697" s="365"/>
      <c r="I1697" s="365"/>
      <c r="J1697" s="366"/>
      <c r="M1697" s="67"/>
    </row>
    <row r="1698" spans="1:13" ht="13.2">
      <c r="A1698" s="75"/>
      <c r="F1698" s="75"/>
      <c r="G1698" s="364"/>
      <c r="H1698" s="365"/>
      <c r="I1698" s="365"/>
      <c r="J1698" s="366"/>
      <c r="M1698" s="67"/>
    </row>
    <row r="1699" spans="1:13" ht="13.2">
      <c r="A1699" s="75"/>
      <c r="F1699" s="75"/>
      <c r="G1699" s="364"/>
      <c r="H1699" s="365"/>
      <c r="I1699" s="365"/>
      <c r="J1699" s="366"/>
      <c r="M1699" s="67"/>
    </row>
    <row r="1700" spans="1:13" ht="13.2">
      <c r="A1700" s="75"/>
      <c r="F1700" s="75"/>
      <c r="G1700" s="364"/>
      <c r="H1700" s="365"/>
      <c r="I1700" s="365"/>
      <c r="J1700" s="366"/>
      <c r="M1700" s="67"/>
    </row>
    <row r="1701" spans="1:13" ht="13.2">
      <c r="A1701" s="75"/>
      <c r="F1701" s="75"/>
      <c r="G1701" s="364"/>
      <c r="H1701" s="365"/>
      <c r="I1701" s="365"/>
      <c r="J1701" s="366"/>
      <c r="M1701" s="67"/>
    </row>
    <row r="1702" spans="1:13" ht="13.2">
      <c r="A1702" s="75"/>
      <c r="F1702" s="75"/>
      <c r="G1702" s="364"/>
      <c r="H1702" s="365"/>
      <c r="I1702" s="365"/>
      <c r="J1702" s="366"/>
      <c r="M1702" s="67"/>
    </row>
    <row r="1703" spans="1:13" ht="13.2">
      <c r="A1703" s="75"/>
      <c r="F1703" s="75"/>
      <c r="G1703" s="364"/>
      <c r="H1703" s="365"/>
      <c r="I1703" s="365"/>
      <c r="J1703" s="366"/>
      <c r="M1703" s="67"/>
    </row>
    <row r="1704" spans="1:13" ht="13.2">
      <c r="A1704" s="75"/>
      <c r="F1704" s="75"/>
      <c r="G1704" s="364"/>
      <c r="H1704" s="365"/>
      <c r="I1704" s="365"/>
      <c r="J1704" s="366"/>
      <c r="M1704" s="67"/>
    </row>
    <row r="1705" spans="1:13" ht="13.2">
      <c r="A1705" s="75"/>
      <c r="F1705" s="75"/>
      <c r="G1705" s="364"/>
      <c r="H1705" s="365"/>
      <c r="I1705" s="365"/>
      <c r="J1705" s="366"/>
      <c r="M1705" s="67"/>
    </row>
    <row r="1706" spans="1:13" ht="13.2">
      <c r="A1706" s="75"/>
      <c r="F1706" s="75"/>
      <c r="G1706" s="364"/>
      <c r="H1706" s="365"/>
      <c r="I1706" s="365"/>
      <c r="J1706" s="366"/>
      <c r="M1706" s="67"/>
    </row>
    <row r="1707" spans="1:13" ht="13.2">
      <c r="A1707" s="75"/>
      <c r="F1707" s="75"/>
      <c r="G1707" s="364"/>
      <c r="H1707" s="365"/>
      <c r="I1707" s="365"/>
      <c r="J1707" s="366"/>
      <c r="M1707" s="67"/>
    </row>
    <row r="1708" spans="1:13" ht="13.2">
      <c r="A1708" s="75"/>
      <c r="F1708" s="75"/>
      <c r="G1708" s="364"/>
      <c r="H1708" s="365"/>
      <c r="I1708" s="365"/>
      <c r="J1708" s="366"/>
      <c r="M1708" s="67"/>
    </row>
    <row r="1709" spans="1:13" ht="13.2">
      <c r="A1709" s="75"/>
      <c r="F1709" s="75"/>
      <c r="G1709" s="364"/>
      <c r="H1709" s="365"/>
      <c r="I1709" s="365"/>
      <c r="J1709" s="366"/>
      <c r="M1709" s="67"/>
    </row>
    <row r="1710" spans="1:13" ht="13.2">
      <c r="A1710" s="75"/>
      <c r="F1710" s="75"/>
      <c r="G1710" s="364"/>
      <c r="H1710" s="365"/>
      <c r="I1710" s="365"/>
      <c r="J1710" s="366"/>
      <c r="M1710" s="67"/>
    </row>
    <row r="1711" spans="1:13" ht="13.2">
      <c r="A1711" s="75"/>
      <c r="F1711" s="75"/>
      <c r="G1711" s="364"/>
      <c r="H1711" s="365"/>
      <c r="I1711" s="365"/>
      <c r="J1711" s="366"/>
      <c r="M1711" s="67"/>
    </row>
    <row r="1712" spans="1:13" ht="13.2">
      <c r="A1712" s="75"/>
      <c r="F1712" s="75"/>
      <c r="G1712" s="364"/>
      <c r="H1712" s="365"/>
      <c r="I1712" s="365"/>
      <c r="J1712" s="366"/>
      <c r="M1712" s="67"/>
    </row>
    <row r="1713" spans="1:13" ht="13.2">
      <c r="A1713" s="75"/>
      <c r="F1713" s="75"/>
      <c r="G1713" s="364"/>
      <c r="H1713" s="365"/>
      <c r="I1713" s="365"/>
      <c r="J1713" s="366"/>
      <c r="M1713" s="67"/>
    </row>
    <row r="1714" spans="1:13" ht="13.2">
      <c r="A1714" s="75"/>
      <c r="F1714" s="75"/>
      <c r="G1714" s="364"/>
      <c r="H1714" s="365"/>
      <c r="I1714" s="365"/>
      <c r="J1714" s="366"/>
      <c r="M1714" s="67"/>
    </row>
    <row r="1715" spans="1:13" ht="13.2">
      <c r="A1715" s="75"/>
      <c r="F1715" s="75"/>
      <c r="G1715" s="364"/>
      <c r="H1715" s="365"/>
      <c r="I1715" s="365"/>
      <c r="J1715" s="366"/>
      <c r="M1715" s="67"/>
    </row>
    <row r="1716" spans="1:13" ht="13.2">
      <c r="A1716" s="75"/>
      <c r="F1716" s="75"/>
      <c r="G1716" s="364"/>
      <c r="H1716" s="365"/>
      <c r="I1716" s="365"/>
      <c r="J1716" s="366"/>
      <c r="M1716" s="67"/>
    </row>
    <row r="1717" spans="1:13" ht="13.2">
      <c r="A1717" s="75"/>
      <c r="F1717" s="75"/>
      <c r="G1717" s="364"/>
      <c r="H1717" s="365"/>
      <c r="I1717" s="365"/>
      <c r="J1717" s="366"/>
      <c r="M1717" s="67"/>
    </row>
    <row r="1718" spans="1:13" ht="13.2">
      <c r="A1718" s="75"/>
      <c r="F1718" s="75"/>
      <c r="G1718" s="364"/>
      <c r="H1718" s="365"/>
      <c r="I1718" s="365"/>
      <c r="J1718" s="366"/>
      <c r="M1718" s="67"/>
    </row>
    <row r="1719" spans="1:13" ht="13.2">
      <c r="A1719" s="75"/>
      <c r="F1719" s="75"/>
      <c r="G1719" s="364"/>
      <c r="H1719" s="365"/>
      <c r="I1719" s="365"/>
      <c r="J1719" s="366"/>
      <c r="M1719" s="67"/>
    </row>
    <row r="1720" spans="1:13" ht="13.2">
      <c r="A1720" s="75"/>
      <c r="F1720" s="75"/>
      <c r="G1720" s="364"/>
      <c r="H1720" s="365"/>
      <c r="I1720" s="365"/>
      <c r="J1720" s="366"/>
      <c r="M1720" s="67"/>
    </row>
    <row r="1721" spans="1:13" ht="13.2">
      <c r="A1721" s="75"/>
      <c r="F1721" s="75"/>
      <c r="G1721" s="364"/>
      <c r="H1721" s="365"/>
      <c r="I1721" s="365"/>
      <c r="J1721" s="366"/>
      <c r="M1721" s="67"/>
    </row>
    <row r="1722" spans="1:13" ht="13.2">
      <c r="A1722" s="75"/>
      <c r="F1722" s="75"/>
      <c r="G1722" s="364"/>
      <c r="H1722" s="365"/>
      <c r="I1722" s="365"/>
      <c r="J1722" s="366"/>
      <c r="M1722" s="67"/>
    </row>
    <row r="1723" spans="1:13" ht="13.2">
      <c r="A1723" s="75"/>
      <c r="F1723" s="75"/>
      <c r="G1723" s="364"/>
      <c r="H1723" s="365"/>
      <c r="I1723" s="365"/>
      <c r="J1723" s="366"/>
      <c r="M1723" s="67"/>
    </row>
    <row r="1724" spans="1:13" ht="13.2">
      <c r="A1724" s="75"/>
      <c r="F1724" s="75"/>
      <c r="G1724" s="364"/>
      <c r="H1724" s="365"/>
      <c r="I1724" s="365"/>
      <c r="J1724" s="366"/>
      <c r="M1724" s="67"/>
    </row>
    <row r="1725" spans="1:13" ht="13.2">
      <c r="A1725" s="75"/>
      <c r="F1725" s="75"/>
      <c r="G1725" s="364"/>
      <c r="H1725" s="365"/>
      <c r="I1725" s="365"/>
      <c r="J1725" s="366"/>
      <c r="M1725" s="67"/>
    </row>
    <row r="1726" spans="1:13" ht="13.2">
      <c r="A1726" s="75"/>
      <c r="F1726" s="75"/>
      <c r="G1726" s="364"/>
      <c r="H1726" s="365"/>
      <c r="I1726" s="365"/>
      <c r="J1726" s="366"/>
      <c r="M1726" s="67"/>
    </row>
    <row r="1727" spans="1:13" ht="13.2">
      <c r="A1727" s="75"/>
      <c r="F1727" s="75"/>
      <c r="G1727" s="364"/>
      <c r="H1727" s="365"/>
      <c r="I1727" s="365"/>
      <c r="J1727" s="366"/>
      <c r="M1727" s="67"/>
    </row>
    <row r="1728" spans="1:13" ht="13.2">
      <c r="A1728" s="75"/>
      <c r="F1728" s="75"/>
      <c r="G1728" s="364"/>
      <c r="H1728" s="365"/>
      <c r="I1728" s="365"/>
      <c r="J1728" s="366"/>
      <c r="M1728" s="67"/>
    </row>
    <row r="1729" spans="1:13" ht="13.2">
      <c r="A1729" s="75"/>
      <c r="F1729" s="75"/>
      <c r="G1729" s="364"/>
      <c r="H1729" s="365"/>
      <c r="I1729" s="365"/>
      <c r="J1729" s="366"/>
      <c r="M1729" s="67"/>
    </row>
    <row r="1730" spans="1:13" ht="13.2">
      <c r="A1730" s="75"/>
      <c r="F1730" s="75"/>
      <c r="G1730" s="364"/>
      <c r="H1730" s="365"/>
      <c r="I1730" s="365"/>
      <c r="J1730" s="366"/>
      <c r="M1730" s="67"/>
    </row>
    <row r="1731" spans="1:13" ht="13.2">
      <c r="A1731" s="75"/>
      <c r="F1731" s="75"/>
      <c r="G1731" s="364"/>
      <c r="H1731" s="365"/>
      <c r="I1731" s="365"/>
      <c r="J1731" s="366"/>
      <c r="M1731" s="67"/>
    </row>
    <row r="1732" spans="1:13" ht="13.2">
      <c r="A1732" s="75"/>
      <c r="F1732" s="75"/>
      <c r="G1732" s="364"/>
      <c r="H1732" s="365"/>
      <c r="I1732" s="365"/>
      <c r="J1732" s="366"/>
      <c r="M1732" s="67"/>
    </row>
    <row r="1733" spans="1:13" ht="13.2">
      <c r="A1733" s="75"/>
      <c r="F1733" s="75"/>
      <c r="G1733" s="364"/>
      <c r="H1733" s="365"/>
      <c r="I1733" s="365"/>
      <c r="J1733" s="366"/>
      <c r="M1733" s="67"/>
    </row>
    <row r="1734" spans="1:13" ht="13.2">
      <c r="A1734" s="75"/>
      <c r="F1734" s="75"/>
      <c r="G1734" s="364"/>
      <c r="H1734" s="365"/>
      <c r="I1734" s="365"/>
      <c r="J1734" s="366"/>
      <c r="M1734" s="67"/>
    </row>
    <row r="1735" spans="1:13" ht="13.2">
      <c r="A1735" s="75"/>
      <c r="F1735" s="75"/>
      <c r="G1735" s="364"/>
      <c r="H1735" s="365"/>
      <c r="I1735" s="365"/>
      <c r="J1735" s="366"/>
      <c r="M1735" s="67"/>
    </row>
    <row r="1736" spans="1:13" ht="13.2">
      <c r="A1736" s="75"/>
      <c r="F1736" s="75"/>
      <c r="G1736" s="364"/>
      <c r="H1736" s="365"/>
      <c r="I1736" s="365"/>
      <c r="J1736" s="366"/>
      <c r="M1736" s="67"/>
    </row>
    <row r="1737" spans="1:13" ht="13.2">
      <c r="A1737" s="75"/>
      <c r="F1737" s="75"/>
      <c r="G1737" s="364"/>
      <c r="H1737" s="365"/>
      <c r="I1737" s="365"/>
      <c r="J1737" s="366"/>
      <c r="M1737" s="67"/>
    </row>
    <row r="1738" spans="1:13" ht="13.2">
      <c r="A1738" s="75"/>
      <c r="F1738" s="75"/>
      <c r="G1738" s="364"/>
      <c r="H1738" s="365"/>
      <c r="I1738" s="365"/>
      <c r="J1738" s="366"/>
      <c r="M1738" s="67"/>
    </row>
    <row r="1739" spans="1:13" ht="13.2">
      <c r="A1739" s="75"/>
      <c r="F1739" s="75"/>
      <c r="G1739" s="364"/>
      <c r="H1739" s="365"/>
      <c r="I1739" s="365"/>
      <c r="J1739" s="366"/>
      <c r="M1739" s="67"/>
    </row>
    <row r="1740" spans="1:13" ht="13.2">
      <c r="A1740" s="75"/>
      <c r="F1740" s="75"/>
      <c r="G1740" s="364"/>
      <c r="H1740" s="365"/>
      <c r="I1740" s="365"/>
      <c r="J1740" s="366"/>
      <c r="M1740" s="67"/>
    </row>
    <row r="1741" spans="1:13" ht="13.2">
      <c r="A1741" s="75"/>
      <c r="F1741" s="75"/>
      <c r="G1741" s="364"/>
      <c r="H1741" s="365"/>
      <c r="I1741" s="365"/>
      <c r="J1741" s="366"/>
      <c r="M1741" s="67"/>
    </row>
    <row r="1742" spans="1:13" ht="13.2">
      <c r="A1742" s="75"/>
      <c r="F1742" s="75"/>
      <c r="G1742" s="364"/>
      <c r="H1742" s="365"/>
      <c r="I1742" s="365"/>
      <c r="J1742" s="366"/>
      <c r="M1742" s="67"/>
    </row>
    <row r="1743" spans="1:13" ht="13.2">
      <c r="A1743" s="75"/>
      <c r="F1743" s="75"/>
      <c r="G1743" s="364"/>
      <c r="H1743" s="365"/>
      <c r="I1743" s="365"/>
      <c r="J1743" s="366"/>
      <c r="M1743" s="67"/>
    </row>
    <row r="1744" spans="1:13" ht="13.2">
      <c r="A1744" s="75"/>
      <c r="F1744" s="75"/>
      <c r="G1744" s="364"/>
      <c r="H1744" s="365"/>
      <c r="I1744" s="365"/>
      <c r="J1744" s="366"/>
      <c r="M1744" s="67"/>
    </row>
    <row r="1745" spans="1:13" ht="13.2">
      <c r="A1745" s="75"/>
      <c r="F1745" s="75"/>
      <c r="G1745" s="364"/>
      <c r="H1745" s="365"/>
      <c r="I1745" s="365"/>
      <c r="J1745" s="366"/>
      <c r="M1745" s="67"/>
    </row>
    <row r="1746" spans="1:13" ht="13.2">
      <c r="A1746" s="75"/>
      <c r="F1746" s="75"/>
      <c r="G1746" s="364"/>
      <c r="H1746" s="365"/>
      <c r="I1746" s="365"/>
      <c r="J1746" s="366"/>
      <c r="M1746" s="67"/>
    </row>
    <row r="1747" spans="1:13" ht="13.2">
      <c r="A1747" s="75"/>
      <c r="F1747" s="75"/>
      <c r="G1747" s="364"/>
      <c r="H1747" s="365"/>
      <c r="I1747" s="365"/>
      <c r="J1747" s="366"/>
      <c r="M1747" s="67"/>
    </row>
    <row r="1748" spans="1:13" ht="13.2">
      <c r="A1748" s="75"/>
      <c r="F1748" s="75"/>
      <c r="G1748" s="364"/>
      <c r="H1748" s="365"/>
      <c r="I1748" s="365"/>
      <c r="J1748" s="366"/>
      <c r="M1748" s="67"/>
    </row>
    <row r="1749" spans="1:13" ht="13.2">
      <c r="A1749" s="75"/>
      <c r="F1749" s="75"/>
      <c r="G1749" s="364"/>
      <c r="H1749" s="365"/>
      <c r="I1749" s="365"/>
      <c r="J1749" s="366"/>
      <c r="M1749" s="67"/>
    </row>
    <row r="1750" spans="1:13" ht="13.2">
      <c r="A1750" s="75"/>
      <c r="F1750" s="75"/>
      <c r="G1750" s="364"/>
      <c r="H1750" s="365"/>
      <c r="I1750" s="365"/>
      <c r="J1750" s="366"/>
      <c r="M1750" s="67"/>
    </row>
    <row r="1751" spans="1:13" ht="13.2">
      <c r="A1751" s="75"/>
      <c r="F1751" s="75"/>
      <c r="G1751" s="364"/>
      <c r="H1751" s="365"/>
      <c r="I1751" s="365"/>
      <c r="J1751" s="366"/>
      <c r="M1751" s="67"/>
    </row>
    <row r="1752" spans="1:13" ht="13.2">
      <c r="A1752" s="75"/>
      <c r="F1752" s="75"/>
      <c r="G1752" s="364"/>
      <c r="H1752" s="365"/>
      <c r="I1752" s="365"/>
      <c r="J1752" s="366"/>
      <c r="M1752" s="67"/>
    </row>
    <row r="1753" spans="1:13" ht="13.2">
      <c r="A1753" s="75"/>
      <c r="F1753" s="75"/>
      <c r="G1753" s="364"/>
      <c r="H1753" s="365"/>
      <c r="I1753" s="365"/>
      <c r="J1753" s="366"/>
      <c r="M1753" s="67"/>
    </row>
    <row r="1754" spans="1:13" ht="13.2">
      <c r="A1754" s="75"/>
      <c r="F1754" s="75"/>
      <c r="G1754" s="364"/>
      <c r="H1754" s="365"/>
      <c r="I1754" s="365"/>
      <c r="J1754" s="366"/>
      <c r="M1754" s="67"/>
    </row>
    <row r="1755" spans="1:13" ht="13.2">
      <c r="A1755" s="75"/>
      <c r="F1755" s="75"/>
      <c r="G1755" s="364"/>
      <c r="H1755" s="365"/>
      <c r="I1755" s="365"/>
      <c r="J1755" s="366"/>
      <c r="M1755" s="67"/>
    </row>
    <row r="1756" spans="1:13" ht="13.2">
      <c r="A1756" s="75"/>
      <c r="F1756" s="75"/>
      <c r="G1756" s="364"/>
      <c r="H1756" s="365"/>
      <c r="I1756" s="365"/>
      <c r="J1756" s="366"/>
      <c r="M1756" s="67"/>
    </row>
    <row r="1757" spans="1:13" ht="13.2">
      <c r="A1757" s="75"/>
      <c r="F1757" s="75"/>
      <c r="G1757" s="364"/>
      <c r="H1757" s="365"/>
      <c r="I1757" s="365"/>
      <c r="J1757" s="366"/>
      <c r="M1757" s="67"/>
    </row>
    <row r="1758" spans="1:13" ht="13.2">
      <c r="A1758" s="75"/>
      <c r="F1758" s="75"/>
      <c r="G1758" s="364"/>
      <c r="H1758" s="365"/>
      <c r="I1758" s="365"/>
      <c r="J1758" s="366"/>
      <c r="M1758" s="67"/>
    </row>
    <row r="1759" spans="1:13" ht="13.2">
      <c r="A1759" s="75"/>
      <c r="F1759" s="75"/>
      <c r="G1759" s="364"/>
      <c r="H1759" s="365"/>
      <c r="I1759" s="365"/>
      <c r="J1759" s="366"/>
      <c r="M1759" s="67"/>
    </row>
    <row r="1760" spans="1:13" ht="13.2">
      <c r="A1760" s="75"/>
      <c r="F1760" s="75"/>
      <c r="G1760" s="364"/>
      <c r="H1760" s="365"/>
      <c r="I1760" s="365"/>
      <c r="J1760" s="366"/>
      <c r="M1760" s="67"/>
    </row>
    <row r="1761" spans="1:13" ht="13.2">
      <c r="A1761" s="75"/>
      <c r="F1761" s="75"/>
      <c r="G1761" s="364"/>
      <c r="H1761" s="365"/>
      <c r="I1761" s="365"/>
      <c r="J1761" s="366"/>
      <c r="M1761" s="67"/>
    </row>
    <row r="1762" spans="1:13" ht="13.2">
      <c r="A1762" s="75"/>
      <c r="F1762" s="75"/>
      <c r="G1762" s="364"/>
      <c r="H1762" s="365"/>
      <c r="I1762" s="365"/>
      <c r="J1762" s="366"/>
      <c r="M1762" s="67"/>
    </row>
    <row r="1763" spans="1:13" ht="13.2">
      <c r="A1763" s="75"/>
      <c r="F1763" s="75"/>
      <c r="G1763" s="364"/>
      <c r="H1763" s="365"/>
      <c r="I1763" s="365"/>
      <c r="J1763" s="366"/>
      <c r="M1763" s="67"/>
    </row>
    <row r="1764" spans="1:13" ht="13.2">
      <c r="A1764" s="75"/>
      <c r="F1764" s="75"/>
      <c r="G1764" s="364"/>
      <c r="H1764" s="365"/>
      <c r="I1764" s="365"/>
      <c r="J1764" s="366"/>
      <c r="M1764" s="67"/>
    </row>
    <row r="1765" spans="1:13" ht="13.2">
      <c r="A1765" s="75"/>
      <c r="F1765" s="75"/>
      <c r="G1765" s="364"/>
      <c r="H1765" s="365"/>
      <c r="I1765" s="365"/>
      <c r="J1765" s="366"/>
      <c r="M1765" s="67"/>
    </row>
    <row r="1766" spans="1:13" ht="13.2">
      <c r="A1766" s="75"/>
      <c r="F1766" s="75"/>
      <c r="G1766" s="364"/>
      <c r="H1766" s="365"/>
      <c r="I1766" s="365"/>
      <c r="J1766" s="366"/>
      <c r="M1766" s="67"/>
    </row>
    <row r="1767" spans="1:13" ht="13.2">
      <c r="A1767" s="75"/>
      <c r="F1767" s="75"/>
      <c r="G1767" s="364"/>
      <c r="H1767" s="365"/>
      <c r="I1767" s="365"/>
      <c r="J1767" s="366"/>
      <c r="M1767" s="67"/>
    </row>
    <row r="1768" spans="1:13" ht="13.2">
      <c r="A1768" s="75"/>
      <c r="F1768" s="75"/>
      <c r="G1768" s="364"/>
      <c r="H1768" s="365"/>
      <c r="I1768" s="365"/>
      <c r="J1768" s="366"/>
      <c r="M1768" s="67"/>
    </row>
    <row r="1769" spans="1:13" ht="13.2">
      <c r="A1769" s="75"/>
      <c r="F1769" s="75"/>
      <c r="G1769" s="364"/>
      <c r="H1769" s="365"/>
      <c r="I1769" s="365"/>
      <c r="J1769" s="366"/>
      <c r="M1769" s="67"/>
    </row>
    <row r="1770" spans="1:13" ht="13.2">
      <c r="A1770" s="75"/>
      <c r="F1770" s="75"/>
      <c r="G1770" s="364"/>
      <c r="H1770" s="365"/>
      <c r="I1770" s="365"/>
      <c r="J1770" s="366"/>
      <c r="M1770" s="67"/>
    </row>
    <row r="1771" spans="1:13" ht="13.2">
      <c r="A1771" s="75"/>
      <c r="F1771" s="75"/>
      <c r="G1771" s="364"/>
      <c r="H1771" s="365"/>
      <c r="I1771" s="365"/>
      <c r="J1771" s="366"/>
      <c r="M1771" s="67"/>
    </row>
    <row r="1772" spans="1:13" ht="13.2">
      <c r="A1772" s="75"/>
      <c r="F1772" s="75"/>
      <c r="G1772" s="364"/>
      <c r="H1772" s="365"/>
      <c r="I1772" s="365"/>
      <c r="J1772" s="366"/>
      <c r="M1772" s="67"/>
    </row>
    <row r="1773" spans="1:13" ht="13.2">
      <c r="A1773" s="75"/>
      <c r="F1773" s="75"/>
      <c r="G1773" s="364"/>
      <c r="H1773" s="365"/>
      <c r="I1773" s="365"/>
      <c r="J1773" s="366"/>
      <c r="M1773" s="67"/>
    </row>
    <row r="1774" spans="1:13" ht="13.2">
      <c r="A1774" s="75"/>
      <c r="F1774" s="75"/>
      <c r="G1774" s="364"/>
      <c r="H1774" s="365"/>
      <c r="I1774" s="365"/>
      <c r="J1774" s="366"/>
      <c r="M1774" s="67"/>
    </row>
    <row r="1775" spans="1:13" ht="13.2">
      <c r="A1775" s="75"/>
      <c r="F1775" s="75"/>
      <c r="G1775" s="364"/>
      <c r="H1775" s="365"/>
      <c r="I1775" s="365"/>
      <c r="J1775" s="366"/>
      <c r="M1775" s="67"/>
    </row>
    <row r="1776" spans="1:13" ht="13.2">
      <c r="A1776" s="75"/>
      <c r="F1776" s="75"/>
      <c r="G1776" s="364"/>
      <c r="H1776" s="365"/>
      <c r="I1776" s="365"/>
      <c r="J1776" s="366"/>
      <c r="M1776" s="67"/>
    </row>
    <row r="1777" spans="1:13" ht="13.2">
      <c r="A1777" s="75"/>
      <c r="F1777" s="75"/>
      <c r="G1777" s="364"/>
      <c r="H1777" s="365"/>
      <c r="I1777" s="365"/>
      <c r="J1777" s="366"/>
      <c r="M1777" s="67"/>
    </row>
    <row r="1778" spans="1:13" ht="13.2">
      <c r="A1778" s="75"/>
      <c r="F1778" s="75"/>
      <c r="G1778" s="364"/>
      <c r="H1778" s="365"/>
      <c r="I1778" s="365"/>
      <c r="J1778" s="366"/>
      <c r="M1778" s="67"/>
    </row>
    <row r="1779" spans="1:13" ht="13.2">
      <c r="A1779" s="75"/>
      <c r="F1779" s="75"/>
      <c r="G1779" s="364"/>
      <c r="H1779" s="365"/>
      <c r="I1779" s="365"/>
      <c r="J1779" s="366"/>
      <c r="M1779" s="67"/>
    </row>
    <row r="1780" spans="1:13" ht="13.2">
      <c r="A1780" s="75"/>
      <c r="F1780" s="75"/>
      <c r="G1780" s="364"/>
      <c r="H1780" s="365"/>
      <c r="I1780" s="365"/>
      <c r="J1780" s="366"/>
      <c r="M1780" s="67"/>
    </row>
    <row r="1781" spans="1:13" ht="13.2">
      <c r="A1781" s="75"/>
      <c r="F1781" s="75"/>
      <c r="G1781" s="364"/>
      <c r="H1781" s="365"/>
      <c r="I1781" s="365"/>
      <c r="J1781" s="366"/>
      <c r="M1781" s="67"/>
    </row>
    <row r="1782" spans="1:13" ht="13.2">
      <c r="A1782" s="75"/>
      <c r="F1782" s="75"/>
      <c r="G1782" s="364"/>
      <c r="H1782" s="365"/>
      <c r="I1782" s="365"/>
      <c r="J1782" s="366"/>
      <c r="M1782" s="67"/>
    </row>
    <row r="1783" spans="1:13" ht="13.2">
      <c r="A1783" s="75"/>
      <c r="F1783" s="75"/>
      <c r="G1783" s="364"/>
      <c r="H1783" s="365"/>
      <c r="I1783" s="365"/>
      <c r="J1783" s="366"/>
      <c r="M1783" s="67"/>
    </row>
    <row r="1784" spans="1:13" ht="13.2">
      <c r="A1784" s="75"/>
      <c r="F1784" s="75"/>
      <c r="G1784" s="364"/>
      <c r="H1784" s="365"/>
      <c r="I1784" s="365"/>
      <c r="J1784" s="366"/>
      <c r="M1784" s="67"/>
    </row>
    <row r="1785" spans="1:13" ht="13.2">
      <c r="A1785" s="75"/>
      <c r="F1785" s="75"/>
      <c r="G1785" s="364"/>
      <c r="H1785" s="365"/>
      <c r="I1785" s="365"/>
      <c r="J1785" s="366"/>
      <c r="M1785" s="67"/>
    </row>
    <row r="1786" spans="1:13" ht="13.2">
      <c r="A1786" s="75"/>
      <c r="F1786" s="75"/>
      <c r="G1786" s="364"/>
      <c r="H1786" s="365"/>
      <c r="I1786" s="365"/>
      <c r="J1786" s="366"/>
      <c r="M1786" s="67"/>
    </row>
    <row r="1787" spans="1:13" ht="13.2">
      <c r="A1787" s="75"/>
      <c r="F1787" s="75"/>
      <c r="G1787" s="364"/>
      <c r="H1787" s="365"/>
      <c r="I1787" s="365"/>
      <c r="J1787" s="366"/>
      <c r="M1787" s="67"/>
    </row>
    <row r="1788" spans="1:13" ht="13.2">
      <c r="A1788" s="75"/>
      <c r="F1788" s="75"/>
      <c r="G1788" s="364"/>
      <c r="H1788" s="365"/>
      <c r="I1788" s="365"/>
      <c r="J1788" s="366"/>
      <c r="M1788" s="67"/>
    </row>
    <row r="1789" spans="1:13" ht="13.2">
      <c r="A1789" s="75"/>
      <c r="F1789" s="75"/>
      <c r="G1789" s="364"/>
      <c r="H1789" s="365"/>
      <c r="I1789" s="365"/>
      <c r="J1789" s="366"/>
      <c r="M1789" s="67"/>
    </row>
    <row r="1790" spans="1:13" ht="13.2">
      <c r="A1790" s="75"/>
      <c r="F1790" s="75"/>
      <c r="G1790" s="364"/>
      <c r="H1790" s="365"/>
      <c r="I1790" s="365"/>
      <c r="J1790" s="366"/>
      <c r="M1790" s="67"/>
    </row>
    <row r="1791" spans="1:13" ht="13.2">
      <c r="A1791" s="75"/>
      <c r="F1791" s="75"/>
      <c r="G1791" s="364"/>
      <c r="H1791" s="365"/>
      <c r="I1791" s="365"/>
      <c r="J1791" s="366"/>
      <c r="M1791" s="67"/>
    </row>
    <row r="1792" spans="1:13" ht="13.2">
      <c r="A1792" s="75"/>
      <c r="F1792" s="75"/>
      <c r="G1792" s="364"/>
      <c r="H1792" s="365"/>
      <c r="I1792" s="365"/>
      <c r="J1792" s="366"/>
      <c r="M1792" s="67"/>
    </row>
    <row r="1793" spans="1:13" ht="13.2">
      <c r="A1793" s="75"/>
      <c r="F1793" s="75"/>
      <c r="G1793" s="364"/>
      <c r="H1793" s="365"/>
      <c r="I1793" s="365"/>
      <c r="J1793" s="366"/>
      <c r="M1793" s="67"/>
    </row>
    <row r="1794" spans="1:13" ht="13.2">
      <c r="A1794" s="75"/>
      <c r="F1794" s="75"/>
      <c r="G1794" s="364"/>
      <c r="H1794" s="365"/>
      <c r="I1794" s="365"/>
      <c r="J1794" s="366"/>
      <c r="M1794" s="67"/>
    </row>
    <row r="1795" spans="1:13" ht="13.2">
      <c r="A1795" s="75"/>
      <c r="F1795" s="75"/>
      <c r="G1795" s="364"/>
      <c r="H1795" s="365"/>
      <c r="I1795" s="365"/>
      <c r="J1795" s="366"/>
      <c r="M1795" s="67"/>
    </row>
    <row r="1796" spans="1:13" ht="13.2">
      <c r="A1796" s="75"/>
      <c r="F1796" s="75"/>
      <c r="G1796" s="364"/>
      <c r="H1796" s="365"/>
      <c r="I1796" s="365"/>
      <c r="J1796" s="366"/>
      <c r="M1796" s="67"/>
    </row>
    <row r="1797" spans="1:13" ht="13.2">
      <c r="A1797" s="75"/>
      <c r="F1797" s="75"/>
      <c r="G1797" s="364"/>
      <c r="H1797" s="365"/>
      <c r="I1797" s="365"/>
      <c r="J1797" s="366"/>
      <c r="M1797" s="67"/>
    </row>
    <row r="1798" spans="1:13" ht="13.2">
      <c r="A1798" s="75"/>
      <c r="F1798" s="75"/>
      <c r="G1798" s="364"/>
      <c r="H1798" s="365"/>
      <c r="I1798" s="365"/>
      <c r="J1798" s="366"/>
      <c r="M1798" s="67"/>
    </row>
    <row r="1799" spans="1:13" ht="13.2">
      <c r="A1799" s="75"/>
      <c r="F1799" s="75"/>
      <c r="G1799" s="364"/>
      <c r="H1799" s="365"/>
      <c r="I1799" s="365"/>
      <c r="J1799" s="366"/>
      <c r="M1799" s="67"/>
    </row>
    <row r="1800" spans="1:13" ht="13.2">
      <c r="A1800" s="75"/>
      <c r="F1800" s="75"/>
      <c r="G1800" s="364"/>
      <c r="H1800" s="365"/>
      <c r="I1800" s="365"/>
      <c r="J1800" s="366"/>
      <c r="M1800" s="67"/>
    </row>
    <row r="1801" spans="1:13" ht="13.2">
      <c r="A1801" s="75"/>
      <c r="F1801" s="75"/>
      <c r="G1801" s="364"/>
      <c r="H1801" s="365"/>
      <c r="I1801" s="365"/>
      <c r="J1801" s="366"/>
      <c r="M1801" s="67"/>
    </row>
    <row r="1802" spans="1:13" ht="13.2">
      <c r="A1802" s="75"/>
      <c r="F1802" s="75"/>
      <c r="G1802" s="364"/>
      <c r="H1802" s="365"/>
      <c r="I1802" s="365"/>
      <c r="J1802" s="366"/>
      <c r="M1802" s="67"/>
    </row>
    <row r="1803" spans="1:13" ht="13.2">
      <c r="A1803" s="75"/>
      <c r="F1803" s="75"/>
      <c r="G1803" s="364"/>
      <c r="H1803" s="365"/>
      <c r="I1803" s="365"/>
      <c r="J1803" s="366"/>
      <c r="M1803" s="67"/>
    </row>
    <row r="1804" spans="1:13" ht="13.2">
      <c r="A1804" s="75"/>
      <c r="F1804" s="75"/>
      <c r="G1804" s="364"/>
      <c r="H1804" s="365"/>
      <c r="I1804" s="365"/>
      <c r="J1804" s="366"/>
      <c r="M1804" s="67"/>
    </row>
    <row r="1805" spans="1:13" ht="13.2">
      <c r="A1805" s="75"/>
      <c r="F1805" s="75"/>
      <c r="G1805" s="364"/>
      <c r="H1805" s="365"/>
      <c r="I1805" s="365"/>
      <c r="J1805" s="366"/>
      <c r="M1805" s="67"/>
    </row>
    <row r="1806" spans="1:13" ht="13.2">
      <c r="A1806" s="75"/>
      <c r="F1806" s="75"/>
      <c r="G1806" s="364"/>
      <c r="H1806" s="365"/>
      <c r="I1806" s="365"/>
      <c r="J1806" s="366"/>
      <c r="M1806" s="67"/>
    </row>
    <row r="1807" spans="1:13" ht="13.2">
      <c r="A1807" s="75"/>
      <c r="F1807" s="75"/>
      <c r="G1807" s="364"/>
      <c r="H1807" s="365"/>
      <c r="I1807" s="365"/>
      <c r="J1807" s="366"/>
      <c r="M1807" s="67"/>
    </row>
    <row r="1808" spans="1:13" ht="13.2">
      <c r="A1808" s="75"/>
      <c r="F1808" s="75"/>
      <c r="G1808" s="364"/>
      <c r="H1808" s="365"/>
      <c r="I1808" s="365"/>
      <c r="J1808" s="366"/>
      <c r="M1808" s="67"/>
    </row>
    <row r="1809" spans="1:13" ht="13.2">
      <c r="A1809" s="75"/>
      <c r="F1809" s="75"/>
      <c r="G1809" s="364"/>
      <c r="H1809" s="365"/>
      <c r="I1809" s="365"/>
      <c r="J1809" s="366"/>
      <c r="M1809" s="67"/>
    </row>
    <row r="1810" spans="1:13" ht="13.2">
      <c r="A1810" s="75"/>
      <c r="F1810" s="75"/>
      <c r="G1810" s="364"/>
      <c r="H1810" s="365"/>
      <c r="I1810" s="365"/>
      <c r="J1810" s="366"/>
      <c r="M1810" s="67"/>
    </row>
    <row r="1811" spans="1:13" ht="13.2">
      <c r="A1811" s="75"/>
      <c r="F1811" s="75"/>
      <c r="G1811" s="364"/>
      <c r="H1811" s="365"/>
      <c r="I1811" s="365"/>
      <c r="J1811" s="366"/>
      <c r="M1811" s="67"/>
    </row>
    <row r="1812" spans="1:13" ht="13.2">
      <c r="A1812" s="75"/>
      <c r="F1812" s="75"/>
      <c r="G1812" s="364"/>
      <c r="H1812" s="365"/>
      <c r="I1812" s="365"/>
      <c r="J1812" s="366"/>
      <c r="M1812" s="67"/>
    </row>
    <row r="1813" spans="1:13" ht="13.2">
      <c r="A1813" s="75"/>
      <c r="F1813" s="75"/>
      <c r="G1813" s="364"/>
      <c r="H1813" s="365"/>
      <c r="I1813" s="365"/>
      <c r="J1813" s="366"/>
      <c r="M1813" s="67"/>
    </row>
    <row r="1814" spans="1:13" ht="13.2">
      <c r="A1814" s="75"/>
      <c r="F1814" s="75"/>
      <c r="G1814" s="364"/>
      <c r="H1814" s="365"/>
      <c r="I1814" s="365"/>
      <c r="J1814" s="366"/>
      <c r="M1814" s="67"/>
    </row>
    <row r="1815" spans="1:13" ht="13.2">
      <c r="A1815" s="75"/>
      <c r="F1815" s="75"/>
      <c r="G1815" s="364"/>
      <c r="H1815" s="365"/>
      <c r="I1815" s="365"/>
      <c r="J1815" s="366"/>
      <c r="M1815" s="67"/>
    </row>
    <row r="1816" spans="1:13" ht="13.2">
      <c r="A1816" s="75"/>
      <c r="F1816" s="75"/>
      <c r="G1816" s="364"/>
      <c r="H1816" s="365"/>
      <c r="I1816" s="365"/>
      <c r="J1816" s="366"/>
      <c r="M1816" s="67"/>
    </row>
    <row r="1817" spans="1:13" ht="13.2">
      <c r="A1817" s="75"/>
      <c r="F1817" s="75"/>
      <c r="G1817" s="364"/>
      <c r="H1817" s="365"/>
      <c r="I1817" s="365"/>
      <c r="J1817" s="366"/>
      <c r="M1817" s="67"/>
    </row>
    <row r="1818" spans="1:13" ht="13.2">
      <c r="A1818" s="75"/>
      <c r="F1818" s="75"/>
      <c r="G1818" s="364"/>
      <c r="H1818" s="365"/>
      <c r="I1818" s="365"/>
      <c r="J1818" s="366"/>
      <c r="M1818" s="67"/>
    </row>
    <row r="1819" spans="1:13" ht="13.2">
      <c r="A1819" s="75"/>
      <c r="F1819" s="75"/>
      <c r="G1819" s="364"/>
      <c r="H1819" s="365"/>
      <c r="I1819" s="365"/>
      <c r="J1819" s="366"/>
      <c r="M1819" s="67"/>
    </row>
    <row r="1820" spans="1:13" ht="13.2">
      <c r="A1820" s="75"/>
      <c r="F1820" s="75"/>
      <c r="G1820" s="364"/>
      <c r="H1820" s="365"/>
      <c r="I1820" s="365"/>
      <c r="J1820" s="366"/>
      <c r="M1820" s="67"/>
    </row>
    <row r="1821" spans="1:13" ht="13.2">
      <c r="A1821" s="75"/>
      <c r="F1821" s="75"/>
      <c r="G1821" s="364"/>
      <c r="H1821" s="365"/>
      <c r="I1821" s="365"/>
      <c r="J1821" s="366"/>
      <c r="M1821" s="67"/>
    </row>
    <row r="1822" spans="1:13" ht="13.2">
      <c r="A1822" s="75"/>
      <c r="F1822" s="75"/>
      <c r="G1822" s="364"/>
      <c r="H1822" s="365"/>
      <c r="I1822" s="365"/>
      <c r="J1822" s="366"/>
      <c r="M1822" s="67"/>
    </row>
    <row r="1823" spans="1:13" ht="13.2">
      <c r="A1823" s="75"/>
      <c r="F1823" s="75"/>
      <c r="G1823" s="364"/>
      <c r="H1823" s="365"/>
      <c r="I1823" s="365"/>
      <c r="J1823" s="366"/>
      <c r="M1823" s="67"/>
    </row>
    <row r="1824" spans="1:13" ht="13.2">
      <c r="A1824" s="75"/>
      <c r="F1824" s="75"/>
      <c r="G1824" s="364"/>
      <c r="H1824" s="365"/>
      <c r="I1824" s="365"/>
      <c r="J1824" s="366"/>
      <c r="M1824" s="67"/>
    </row>
    <row r="1825" spans="1:13" ht="13.2">
      <c r="A1825" s="75"/>
      <c r="F1825" s="75"/>
      <c r="G1825" s="364"/>
      <c r="H1825" s="365"/>
      <c r="I1825" s="365"/>
      <c r="J1825" s="366"/>
      <c r="M1825" s="67"/>
    </row>
    <row r="1826" spans="1:13" ht="13.2">
      <c r="A1826" s="75"/>
      <c r="F1826" s="75"/>
      <c r="G1826" s="364"/>
      <c r="H1826" s="365"/>
      <c r="I1826" s="365"/>
      <c r="J1826" s="366"/>
      <c r="M1826" s="67"/>
    </row>
    <row r="1827" spans="1:13" ht="13.2">
      <c r="A1827" s="75"/>
      <c r="F1827" s="75"/>
      <c r="G1827" s="364"/>
      <c r="H1827" s="365"/>
      <c r="I1827" s="365"/>
      <c r="J1827" s="366"/>
      <c r="M1827" s="67"/>
    </row>
    <row r="1828" spans="1:13" ht="13.2">
      <c r="A1828" s="75"/>
      <c r="F1828" s="75"/>
      <c r="G1828" s="364"/>
      <c r="H1828" s="365"/>
      <c r="I1828" s="365"/>
      <c r="J1828" s="366"/>
      <c r="M1828" s="67"/>
    </row>
    <row r="1829" spans="1:13" ht="13.2">
      <c r="A1829" s="75"/>
      <c r="F1829" s="75"/>
      <c r="G1829" s="364"/>
      <c r="H1829" s="365"/>
      <c r="I1829" s="365"/>
      <c r="J1829" s="366"/>
      <c r="M1829" s="67"/>
    </row>
    <row r="1830" spans="1:13" ht="13.2">
      <c r="A1830" s="75"/>
      <c r="F1830" s="75"/>
      <c r="G1830" s="364"/>
      <c r="H1830" s="365"/>
      <c r="I1830" s="365"/>
      <c r="J1830" s="366"/>
      <c r="M1830" s="67"/>
    </row>
    <row r="1831" spans="1:13" ht="13.2">
      <c r="A1831" s="75"/>
      <c r="F1831" s="75"/>
      <c r="G1831" s="364"/>
      <c r="H1831" s="365"/>
      <c r="I1831" s="365"/>
      <c r="J1831" s="366"/>
      <c r="M1831" s="67"/>
    </row>
    <row r="1832" spans="1:13" ht="13.2">
      <c r="A1832" s="75"/>
      <c r="F1832" s="75"/>
      <c r="G1832" s="364"/>
      <c r="H1832" s="365"/>
      <c r="I1832" s="365"/>
      <c r="J1832" s="366"/>
      <c r="M1832" s="67"/>
    </row>
    <row r="1833" spans="1:13" ht="13.2">
      <c r="A1833" s="75"/>
      <c r="F1833" s="75"/>
      <c r="G1833" s="364"/>
      <c r="H1833" s="365"/>
      <c r="I1833" s="365"/>
      <c r="J1833" s="366"/>
      <c r="M1833" s="67"/>
    </row>
    <row r="1834" spans="1:13" ht="13.2">
      <c r="A1834" s="75"/>
      <c r="F1834" s="75"/>
      <c r="G1834" s="364"/>
      <c r="H1834" s="365"/>
      <c r="I1834" s="365"/>
      <c r="J1834" s="366"/>
      <c r="M1834" s="67"/>
    </row>
    <row r="1835" spans="1:13" ht="13.2">
      <c r="A1835" s="75"/>
      <c r="F1835" s="75"/>
      <c r="G1835" s="364"/>
      <c r="H1835" s="365"/>
      <c r="I1835" s="365"/>
      <c r="J1835" s="366"/>
      <c r="M1835" s="67"/>
    </row>
    <row r="1836" spans="1:13" ht="13.2">
      <c r="A1836" s="75"/>
      <c r="F1836" s="75"/>
      <c r="G1836" s="364"/>
      <c r="H1836" s="365"/>
      <c r="I1836" s="365"/>
      <c r="J1836" s="366"/>
      <c r="M1836" s="67"/>
    </row>
    <row r="1837" spans="1:13" ht="13.2">
      <c r="A1837" s="75"/>
      <c r="F1837" s="75"/>
      <c r="G1837" s="364"/>
      <c r="H1837" s="365"/>
      <c r="I1837" s="365"/>
      <c r="J1837" s="366"/>
      <c r="M1837" s="67"/>
    </row>
    <row r="1838" spans="1:13" ht="13.2">
      <c r="A1838" s="75"/>
      <c r="F1838" s="75"/>
      <c r="G1838" s="364"/>
      <c r="H1838" s="365"/>
      <c r="I1838" s="365"/>
      <c r="J1838" s="366"/>
      <c r="M1838" s="67"/>
    </row>
    <row r="1839" spans="1:13" ht="13.2">
      <c r="A1839" s="75"/>
      <c r="F1839" s="75"/>
      <c r="G1839" s="364"/>
      <c r="H1839" s="365"/>
      <c r="I1839" s="365"/>
      <c r="J1839" s="366"/>
      <c r="M1839" s="67"/>
    </row>
    <row r="1840" spans="1:13" ht="13.2">
      <c r="A1840" s="75"/>
      <c r="F1840" s="75"/>
      <c r="G1840" s="364"/>
      <c r="H1840" s="365"/>
      <c r="I1840" s="365"/>
      <c r="J1840" s="366"/>
      <c r="M1840" s="67"/>
    </row>
    <row r="1841" spans="1:13" ht="13.2">
      <c r="A1841" s="75"/>
      <c r="F1841" s="75"/>
      <c r="G1841" s="364"/>
      <c r="H1841" s="365"/>
      <c r="I1841" s="365"/>
      <c r="J1841" s="366"/>
      <c r="M1841" s="67"/>
    </row>
    <row r="1842" spans="1:13" ht="13.2">
      <c r="A1842" s="75"/>
      <c r="F1842" s="75"/>
      <c r="G1842" s="364"/>
      <c r="H1842" s="365"/>
      <c r="I1842" s="365"/>
      <c r="J1842" s="366"/>
      <c r="M1842" s="67"/>
    </row>
    <row r="1843" spans="1:13" ht="13.2">
      <c r="A1843" s="75"/>
      <c r="F1843" s="75"/>
      <c r="G1843" s="364"/>
      <c r="H1843" s="365"/>
      <c r="I1843" s="365"/>
      <c r="J1843" s="366"/>
      <c r="M1843" s="67"/>
    </row>
    <row r="1844" spans="1:13" ht="13.2">
      <c r="A1844" s="75"/>
      <c r="F1844" s="75"/>
      <c r="G1844" s="364"/>
      <c r="H1844" s="365"/>
      <c r="I1844" s="365"/>
      <c r="J1844" s="366"/>
      <c r="M1844" s="67"/>
    </row>
    <row r="1845" spans="1:13" ht="13.2">
      <c r="A1845" s="75"/>
      <c r="F1845" s="75"/>
      <c r="G1845" s="364"/>
      <c r="H1845" s="365"/>
      <c r="I1845" s="365"/>
      <c r="J1845" s="366"/>
      <c r="M1845" s="67"/>
    </row>
    <row r="1846" spans="1:13" ht="13.2">
      <c r="A1846" s="75"/>
      <c r="F1846" s="75"/>
      <c r="G1846" s="364"/>
      <c r="H1846" s="365"/>
      <c r="I1846" s="365"/>
      <c r="J1846" s="366"/>
      <c r="M1846" s="67"/>
    </row>
    <row r="1847" spans="1:13" ht="13.2">
      <c r="A1847" s="75"/>
      <c r="F1847" s="75"/>
      <c r="G1847" s="364"/>
      <c r="H1847" s="365"/>
      <c r="I1847" s="365"/>
      <c r="J1847" s="366"/>
      <c r="M1847" s="67"/>
    </row>
    <row r="1848" spans="1:13" ht="13.2">
      <c r="A1848" s="75"/>
      <c r="F1848" s="75"/>
      <c r="G1848" s="364"/>
      <c r="H1848" s="365"/>
      <c r="I1848" s="365"/>
      <c r="J1848" s="366"/>
      <c r="M1848" s="67"/>
    </row>
    <row r="1849" spans="1:13" ht="13.2">
      <c r="A1849" s="75"/>
      <c r="F1849" s="75"/>
      <c r="G1849" s="364"/>
      <c r="H1849" s="365"/>
      <c r="I1849" s="365"/>
      <c r="J1849" s="366"/>
      <c r="M1849" s="67"/>
    </row>
    <row r="1850" spans="1:13" ht="13.2">
      <c r="A1850" s="75"/>
      <c r="F1850" s="75"/>
      <c r="G1850" s="364"/>
      <c r="H1850" s="365"/>
      <c r="I1850" s="365"/>
      <c r="J1850" s="366"/>
      <c r="M1850" s="67"/>
    </row>
    <row r="1851" spans="1:13" ht="13.2">
      <c r="A1851" s="75"/>
      <c r="F1851" s="75"/>
      <c r="G1851" s="364"/>
      <c r="H1851" s="365"/>
      <c r="I1851" s="365"/>
      <c r="J1851" s="366"/>
      <c r="M1851" s="67"/>
    </row>
    <row r="1852" spans="1:13" ht="13.2">
      <c r="A1852" s="75"/>
      <c r="F1852" s="75"/>
      <c r="G1852" s="364"/>
      <c r="H1852" s="365"/>
      <c r="I1852" s="365"/>
      <c r="J1852" s="366"/>
      <c r="M1852" s="67"/>
    </row>
    <row r="1853" spans="1:13" ht="13.2">
      <c r="A1853" s="75"/>
      <c r="F1853" s="75"/>
      <c r="G1853" s="364"/>
      <c r="H1853" s="365"/>
      <c r="I1853" s="365"/>
      <c r="J1853" s="366"/>
      <c r="M1853" s="67"/>
    </row>
    <row r="1854" spans="1:13" ht="13.2">
      <c r="A1854" s="75"/>
      <c r="F1854" s="75"/>
      <c r="G1854" s="364"/>
      <c r="H1854" s="365"/>
      <c r="I1854" s="365"/>
      <c r="J1854" s="366"/>
      <c r="M1854" s="67"/>
    </row>
    <row r="1855" spans="1:13" ht="13.2">
      <c r="A1855" s="75"/>
      <c r="F1855" s="75"/>
      <c r="G1855" s="364"/>
      <c r="H1855" s="365"/>
      <c r="I1855" s="365"/>
      <c r="J1855" s="366"/>
      <c r="M1855" s="67"/>
    </row>
    <row r="1856" spans="1:13" ht="13.2">
      <c r="A1856" s="75"/>
      <c r="F1856" s="75"/>
      <c r="G1856" s="364"/>
      <c r="H1856" s="365"/>
      <c r="I1856" s="365"/>
      <c r="J1856" s="366"/>
      <c r="M1856" s="67"/>
    </row>
    <row r="1857" spans="1:13" ht="13.2">
      <c r="A1857" s="75"/>
      <c r="F1857" s="75"/>
      <c r="G1857" s="364"/>
      <c r="H1857" s="365"/>
      <c r="I1857" s="365"/>
      <c r="J1857" s="366"/>
      <c r="M1857" s="67"/>
    </row>
    <row r="1858" spans="1:13" ht="13.2">
      <c r="A1858" s="75"/>
      <c r="F1858" s="75"/>
      <c r="G1858" s="364"/>
      <c r="H1858" s="365"/>
      <c r="I1858" s="365"/>
      <c r="J1858" s="366"/>
      <c r="M1858" s="67"/>
    </row>
    <row r="1859" spans="1:13" ht="13.2">
      <c r="A1859" s="75"/>
      <c r="F1859" s="75"/>
      <c r="G1859" s="364"/>
      <c r="H1859" s="365"/>
      <c r="I1859" s="365"/>
      <c r="J1859" s="366"/>
      <c r="M1859" s="67"/>
    </row>
    <row r="1860" spans="1:13" ht="13.2">
      <c r="A1860" s="75"/>
      <c r="F1860" s="75"/>
      <c r="G1860" s="364"/>
      <c r="H1860" s="365"/>
      <c r="I1860" s="365"/>
      <c r="J1860" s="366"/>
      <c r="M1860" s="67"/>
    </row>
    <row r="1861" spans="1:13" ht="13.2">
      <c r="A1861" s="75"/>
      <c r="F1861" s="75"/>
      <c r="G1861" s="364"/>
      <c r="H1861" s="365"/>
      <c r="I1861" s="365"/>
      <c r="J1861" s="366"/>
      <c r="M1861" s="67"/>
    </row>
    <row r="1862" spans="1:13" ht="13.2">
      <c r="A1862" s="75"/>
      <c r="F1862" s="75"/>
      <c r="G1862" s="364"/>
      <c r="H1862" s="365"/>
      <c r="I1862" s="365"/>
      <c r="J1862" s="366"/>
      <c r="M1862" s="67"/>
    </row>
    <row r="1863" spans="1:13" ht="13.2">
      <c r="A1863" s="75"/>
      <c r="F1863" s="75"/>
      <c r="G1863" s="364"/>
      <c r="H1863" s="365"/>
      <c r="I1863" s="365"/>
      <c r="J1863" s="366"/>
      <c r="M1863" s="67"/>
    </row>
    <row r="1864" spans="1:13" ht="13.2">
      <c r="A1864" s="75"/>
      <c r="F1864" s="75"/>
      <c r="G1864" s="364"/>
      <c r="H1864" s="365"/>
      <c r="I1864" s="365"/>
      <c r="J1864" s="366"/>
      <c r="M1864" s="67"/>
    </row>
    <row r="1865" spans="1:13" ht="13.2">
      <c r="A1865" s="75"/>
      <c r="F1865" s="75"/>
      <c r="G1865" s="364"/>
      <c r="H1865" s="365"/>
      <c r="I1865" s="365"/>
      <c r="J1865" s="366"/>
      <c r="M1865" s="67"/>
    </row>
    <row r="1866" spans="1:13" ht="13.2">
      <c r="A1866" s="75"/>
      <c r="F1866" s="75"/>
      <c r="G1866" s="364"/>
      <c r="H1866" s="365"/>
      <c r="I1866" s="365"/>
      <c r="J1866" s="366"/>
      <c r="M1866" s="67"/>
    </row>
    <row r="1867" spans="1:13" ht="13.2">
      <c r="A1867" s="75"/>
      <c r="F1867" s="75"/>
      <c r="G1867" s="364"/>
      <c r="H1867" s="365"/>
      <c r="I1867" s="365"/>
      <c r="J1867" s="366"/>
      <c r="M1867" s="67"/>
    </row>
    <row r="1868" spans="1:13" ht="13.2">
      <c r="A1868" s="75"/>
      <c r="F1868" s="75"/>
      <c r="G1868" s="364"/>
      <c r="H1868" s="365"/>
      <c r="I1868" s="365"/>
      <c r="J1868" s="366"/>
      <c r="M1868" s="67"/>
    </row>
    <row r="1869" spans="1:13" ht="13.2">
      <c r="A1869" s="75"/>
      <c r="F1869" s="75"/>
      <c r="G1869" s="364"/>
      <c r="H1869" s="365"/>
      <c r="I1869" s="365"/>
      <c r="J1869" s="366"/>
      <c r="M1869" s="67"/>
    </row>
    <row r="1870" spans="1:13" ht="13.2">
      <c r="A1870" s="75"/>
      <c r="F1870" s="75"/>
      <c r="G1870" s="364"/>
      <c r="H1870" s="365"/>
      <c r="I1870" s="365"/>
      <c r="J1870" s="366"/>
      <c r="M1870" s="67"/>
    </row>
    <row r="1871" spans="1:13" ht="13.2">
      <c r="A1871" s="75"/>
      <c r="F1871" s="75"/>
      <c r="G1871" s="364"/>
      <c r="H1871" s="365"/>
      <c r="I1871" s="365"/>
      <c r="J1871" s="366"/>
      <c r="M1871" s="67"/>
    </row>
    <row r="1872" spans="1:13" ht="13.2">
      <c r="A1872" s="75"/>
      <c r="F1872" s="75"/>
      <c r="G1872" s="364"/>
      <c r="H1872" s="365"/>
      <c r="I1872" s="365"/>
      <c r="J1872" s="366"/>
      <c r="M1872" s="67"/>
    </row>
    <row r="1873" spans="1:13" ht="13.2">
      <c r="A1873" s="75"/>
      <c r="F1873" s="75"/>
      <c r="G1873" s="364"/>
      <c r="H1873" s="365"/>
      <c r="I1873" s="365"/>
      <c r="J1873" s="366"/>
      <c r="M1873" s="67"/>
    </row>
    <row r="1874" spans="1:13" ht="13.2">
      <c r="A1874" s="75"/>
      <c r="F1874" s="75"/>
      <c r="G1874" s="364"/>
      <c r="H1874" s="365"/>
      <c r="I1874" s="365"/>
      <c r="J1874" s="366"/>
      <c r="M1874" s="67"/>
    </row>
    <row r="1875" spans="1:13" ht="13.2">
      <c r="A1875" s="75"/>
      <c r="F1875" s="75"/>
      <c r="G1875" s="364"/>
      <c r="H1875" s="365"/>
      <c r="I1875" s="365"/>
      <c r="J1875" s="366"/>
      <c r="M1875" s="67"/>
    </row>
    <row r="1876" spans="1:13" ht="13.2">
      <c r="A1876" s="75"/>
      <c r="F1876" s="75"/>
      <c r="G1876" s="364"/>
      <c r="H1876" s="365"/>
      <c r="I1876" s="365"/>
      <c r="J1876" s="366"/>
      <c r="M1876" s="67"/>
    </row>
    <row r="1877" spans="1:13" ht="13.2">
      <c r="A1877" s="75"/>
      <c r="F1877" s="75"/>
      <c r="G1877" s="364"/>
      <c r="H1877" s="365"/>
      <c r="I1877" s="365"/>
      <c r="J1877" s="366"/>
      <c r="M1877" s="67"/>
    </row>
    <row r="1878" spans="1:13" ht="13.2">
      <c r="A1878" s="75"/>
      <c r="F1878" s="75"/>
      <c r="G1878" s="364"/>
      <c r="H1878" s="365"/>
      <c r="I1878" s="365"/>
      <c r="J1878" s="366"/>
      <c r="M1878" s="67"/>
    </row>
    <row r="1879" spans="1:13" ht="13.2">
      <c r="A1879" s="75"/>
      <c r="F1879" s="75"/>
      <c r="G1879" s="364"/>
      <c r="H1879" s="365"/>
      <c r="I1879" s="365"/>
      <c r="J1879" s="366"/>
      <c r="M1879" s="67"/>
    </row>
    <row r="1880" spans="1:13" ht="13.2">
      <c r="A1880" s="75"/>
      <c r="F1880" s="75"/>
      <c r="G1880" s="364"/>
      <c r="H1880" s="365"/>
      <c r="I1880" s="365"/>
      <c r="J1880" s="366"/>
      <c r="M1880" s="67"/>
    </row>
    <row r="1881" spans="1:13" ht="13.2">
      <c r="A1881" s="75"/>
      <c r="F1881" s="75"/>
      <c r="G1881" s="364"/>
      <c r="H1881" s="365"/>
      <c r="I1881" s="365"/>
      <c r="J1881" s="366"/>
      <c r="M1881" s="67"/>
    </row>
    <row r="1882" spans="1:13" ht="13.2">
      <c r="A1882" s="75"/>
      <c r="F1882" s="75"/>
      <c r="G1882" s="364"/>
      <c r="H1882" s="365"/>
      <c r="I1882" s="365"/>
      <c r="J1882" s="366"/>
      <c r="M1882" s="67"/>
    </row>
    <row r="1883" spans="1:13" ht="13.2">
      <c r="A1883" s="75"/>
      <c r="F1883" s="75"/>
      <c r="G1883" s="364"/>
      <c r="H1883" s="365"/>
      <c r="I1883" s="365"/>
      <c r="J1883" s="366"/>
      <c r="M1883" s="67"/>
    </row>
    <row r="1884" spans="1:13" ht="13.2">
      <c r="A1884" s="75"/>
      <c r="F1884" s="75"/>
      <c r="G1884" s="364"/>
      <c r="H1884" s="365"/>
      <c r="I1884" s="365"/>
      <c r="J1884" s="366"/>
      <c r="M1884" s="67"/>
    </row>
    <row r="1885" spans="1:13" ht="13.2">
      <c r="A1885" s="75"/>
      <c r="F1885" s="75"/>
      <c r="G1885" s="364"/>
      <c r="H1885" s="365"/>
      <c r="I1885" s="365"/>
      <c r="J1885" s="366"/>
      <c r="M1885" s="67"/>
    </row>
    <row r="1886" spans="1:13" ht="13.2">
      <c r="A1886" s="75"/>
      <c r="F1886" s="75"/>
      <c r="G1886" s="364"/>
      <c r="H1886" s="365"/>
      <c r="I1886" s="365"/>
      <c r="J1886" s="366"/>
      <c r="M1886" s="67"/>
    </row>
    <row r="1887" spans="1:13" ht="13.2">
      <c r="A1887" s="75"/>
      <c r="F1887" s="75"/>
      <c r="G1887" s="364"/>
      <c r="H1887" s="365"/>
      <c r="I1887" s="365"/>
      <c r="J1887" s="366"/>
      <c r="M1887" s="67"/>
    </row>
    <row r="1888" spans="1:13" ht="13.2">
      <c r="A1888" s="75"/>
      <c r="F1888" s="75"/>
      <c r="G1888" s="364"/>
      <c r="H1888" s="365"/>
      <c r="I1888" s="365"/>
      <c r="J1888" s="366"/>
      <c r="M1888" s="67"/>
    </row>
    <row r="1889" spans="1:13" ht="13.2">
      <c r="A1889" s="75"/>
      <c r="F1889" s="75"/>
      <c r="G1889" s="364"/>
      <c r="H1889" s="365"/>
      <c r="I1889" s="365"/>
      <c r="J1889" s="366"/>
      <c r="M1889" s="67"/>
    </row>
    <row r="1890" spans="1:13" ht="13.2">
      <c r="A1890" s="75"/>
      <c r="F1890" s="75"/>
      <c r="G1890" s="364"/>
      <c r="H1890" s="365"/>
      <c r="I1890" s="365"/>
      <c r="J1890" s="366"/>
      <c r="M1890" s="67"/>
    </row>
    <row r="1891" spans="1:13" ht="13.2">
      <c r="A1891" s="75"/>
      <c r="F1891" s="75"/>
      <c r="G1891" s="364"/>
      <c r="H1891" s="365"/>
      <c r="I1891" s="365"/>
      <c r="J1891" s="366"/>
      <c r="M1891" s="67"/>
    </row>
    <row r="1892" spans="1:13" ht="13.2">
      <c r="A1892" s="75"/>
      <c r="F1892" s="75"/>
      <c r="G1892" s="364"/>
      <c r="H1892" s="365"/>
      <c r="I1892" s="365"/>
      <c r="J1892" s="366"/>
      <c r="M1892" s="67"/>
    </row>
    <row r="1893" spans="1:13" ht="13.2">
      <c r="A1893" s="75"/>
      <c r="F1893" s="75"/>
      <c r="G1893" s="364"/>
      <c r="H1893" s="365"/>
      <c r="I1893" s="365"/>
      <c r="J1893" s="366"/>
      <c r="M1893" s="67"/>
    </row>
    <row r="1894" spans="1:13" ht="13.2">
      <c r="A1894" s="75"/>
      <c r="F1894" s="75"/>
      <c r="G1894" s="364"/>
      <c r="H1894" s="365"/>
      <c r="I1894" s="365"/>
      <c r="J1894" s="366"/>
      <c r="M1894" s="67"/>
    </row>
    <row r="1895" spans="1:13" ht="13.2">
      <c r="A1895" s="75"/>
      <c r="F1895" s="75"/>
      <c r="G1895" s="364"/>
      <c r="H1895" s="365"/>
      <c r="I1895" s="365"/>
      <c r="J1895" s="366"/>
      <c r="M1895" s="67"/>
    </row>
    <row r="1896" spans="1:13" ht="13.2">
      <c r="A1896" s="75"/>
      <c r="F1896" s="75"/>
      <c r="G1896" s="364"/>
      <c r="H1896" s="365"/>
      <c r="I1896" s="365"/>
      <c r="J1896" s="366"/>
      <c r="M1896" s="67"/>
    </row>
    <row r="1897" spans="1:13" ht="13.2">
      <c r="A1897" s="75"/>
      <c r="F1897" s="75"/>
      <c r="G1897" s="364"/>
      <c r="H1897" s="365"/>
      <c r="I1897" s="365"/>
      <c r="J1897" s="366"/>
      <c r="M1897" s="67"/>
    </row>
    <row r="1898" spans="1:13" ht="13.2">
      <c r="A1898" s="75"/>
      <c r="F1898" s="75"/>
      <c r="G1898" s="364"/>
      <c r="H1898" s="365"/>
      <c r="I1898" s="365"/>
      <c r="J1898" s="366"/>
      <c r="M1898" s="67"/>
    </row>
    <row r="1899" spans="1:13" ht="13.2">
      <c r="A1899" s="75"/>
      <c r="F1899" s="75"/>
      <c r="G1899" s="364"/>
      <c r="H1899" s="365"/>
      <c r="I1899" s="365"/>
      <c r="J1899" s="366"/>
      <c r="M1899" s="67"/>
    </row>
    <row r="1900" spans="1:13" ht="13.2">
      <c r="A1900" s="75"/>
      <c r="F1900" s="75"/>
      <c r="G1900" s="364"/>
      <c r="H1900" s="365"/>
      <c r="I1900" s="365"/>
      <c r="J1900" s="366"/>
      <c r="M1900" s="67"/>
    </row>
    <row r="1901" spans="1:13" ht="13.2">
      <c r="A1901" s="75"/>
      <c r="F1901" s="75"/>
      <c r="G1901" s="364"/>
      <c r="H1901" s="365"/>
      <c r="I1901" s="365"/>
      <c r="J1901" s="366"/>
      <c r="M1901" s="67"/>
    </row>
    <row r="1902" spans="1:13" ht="13.2">
      <c r="A1902" s="75"/>
      <c r="F1902" s="75"/>
      <c r="G1902" s="364"/>
      <c r="H1902" s="365"/>
      <c r="I1902" s="365"/>
      <c r="J1902" s="366"/>
      <c r="M1902" s="67"/>
    </row>
    <row r="1903" spans="1:13" ht="13.2">
      <c r="A1903" s="75"/>
      <c r="F1903" s="75"/>
      <c r="G1903" s="364"/>
      <c r="H1903" s="365"/>
      <c r="I1903" s="365"/>
      <c r="J1903" s="366"/>
      <c r="M1903" s="67"/>
    </row>
    <row r="1904" spans="1:13" ht="13.2">
      <c r="A1904" s="75"/>
      <c r="F1904" s="75"/>
      <c r="G1904" s="364"/>
      <c r="H1904" s="365"/>
      <c r="I1904" s="365"/>
      <c r="J1904" s="366"/>
      <c r="M1904" s="67"/>
    </row>
    <row r="1905" spans="1:13" ht="13.2">
      <c r="A1905" s="75"/>
      <c r="F1905" s="75"/>
      <c r="G1905" s="364"/>
      <c r="H1905" s="365"/>
      <c r="I1905" s="365"/>
      <c r="J1905" s="366"/>
      <c r="M1905" s="67"/>
    </row>
    <row r="1906" spans="1:13" ht="13.2">
      <c r="A1906" s="75"/>
      <c r="F1906" s="75"/>
      <c r="G1906" s="364"/>
      <c r="H1906" s="365"/>
      <c r="I1906" s="365"/>
      <c r="J1906" s="366"/>
      <c r="M1906" s="67"/>
    </row>
    <row r="1907" spans="1:13" ht="13.2">
      <c r="A1907" s="75"/>
      <c r="F1907" s="75"/>
      <c r="G1907" s="364"/>
      <c r="H1907" s="365"/>
      <c r="I1907" s="365"/>
      <c r="J1907" s="366"/>
      <c r="M1907" s="67"/>
    </row>
    <row r="1908" spans="1:13" ht="13.2">
      <c r="A1908" s="75"/>
      <c r="F1908" s="75"/>
      <c r="G1908" s="364"/>
      <c r="H1908" s="365"/>
      <c r="I1908" s="365"/>
      <c r="J1908" s="366"/>
      <c r="M1908" s="67"/>
    </row>
    <row r="1909" spans="1:13" ht="13.2">
      <c r="A1909" s="75"/>
      <c r="F1909" s="75"/>
      <c r="G1909" s="364"/>
      <c r="H1909" s="365"/>
      <c r="I1909" s="365"/>
      <c r="J1909" s="366"/>
      <c r="M1909" s="67"/>
    </row>
    <row r="1910" spans="1:13" ht="13.2">
      <c r="A1910" s="75"/>
      <c r="F1910" s="75"/>
      <c r="G1910" s="364"/>
      <c r="H1910" s="365"/>
      <c r="I1910" s="365"/>
      <c r="J1910" s="366"/>
      <c r="M1910" s="67"/>
    </row>
    <row r="1911" spans="1:13" ht="13.2">
      <c r="A1911" s="75"/>
      <c r="F1911" s="75"/>
      <c r="G1911" s="364"/>
      <c r="H1911" s="365"/>
      <c r="I1911" s="365"/>
      <c r="J1911" s="366"/>
      <c r="M1911" s="67"/>
    </row>
    <row r="1912" spans="1:13" ht="13.2">
      <c r="A1912" s="75"/>
      <c r="F1912" s="75"/>
      <c r="G1912" s="364"/>
      <c r="H1912" s="365"/>
      <c r="I1912" s="365"/>
      <c r="J1912" s="366"/>
      <c r="M1912" s="67"/>
    </row>
    <row r="1913" spans="1:13" ht="13.2">
      <c r="A1913" s="75"/>
      <c r="F1913" s="75"/>
      <c r="G1913" s="364"/>
      <c r="H1913" s="365"/>
      <c r="I1913" s="365"/>
      <c r="J1913" s="366"/>
      <c r="M1913" s="67"/>
    </row>
    <row r="1914" spans="1:13" ht="13.2">
      <c r="A1914" s="75"/>
      <c r="F1914" s="75"/>
      <c r="G1914" s="364"/>
      <c r="H1914" s="365"/>
      <c r="I1914" s="365"/>
      <c r="J1914" s="366"/>
      <c r="M1914" s="67"/>
    </row>
    <row r="1915" spans="1:13" ht="13.2">
      <c r="A1915" s="75"/>
      <c r="F1915" s="75"/>
      <c r="G1915" s="364"/>
      <c r="H1915" s="365"/>
      <c r="I1915" s="365"/>
      <c r="J1915" s="366"/>
      <c r="M1915" s="67"/>
    </row>
    <row r="1916" spans="1:13" ht="13.2">
      <c r="A1916" s="75"/>
      <c r="F1916" s="75"/>
      <c r="G1916" s="364"/>
      <c r="H1916" s="365"/>
      <c r="I1916" s="365"/>
      <c r="J1916" s="366"/>
      <c r="M1916" s="67"/>
    </row>
    <row r="1917" spans="1:13" ht="13.2">
      <c r="A1917" s="75"/>
      <c r="F1917" s="75"/>
      <c r="G1917" s="364"/>
      <c r="H1917" s="365"/>
      <c r="I1917" s="365"/>
      <c r="J1917" s="366"/>
      <c r="M1917" s="67"/>
    </row>
    <row r="1918" spans="1:13" ht="13.2">
      <c r="A1918" s="75"/>
      <c r="F1918" s="75"/>
      <c r="G1918" s="364"/>
      <c r="H1918" s="365"/>
      <c r="I1918" s="365"/>
      <c r="J1918" s="366"/>
      <c r="M1918" s="67"/>
    </row>
    <row r="1919" spans="1:13" ht="13.2">
      <c r="A1919" s="75"/>
      <c r="F1919" s="75"/>
      <c r="G1919" s="364"/>
      <c r="H1919" s="365"/>
      <c r="I1919" s="365"/>
      <c r="J1919" s="366"/>
      <c r="M1919" s="67"/>
    </row>
    <row r="1920" spans="1:13" ht="13.2">
      <c r="A1920" s="75"/>
      <c r="F1920" s="75"/>
      <c r="G1920" s="364"/>
      <c r="H1920" s="365"/>
      <c r="I1920" s="365"/>
      <c r="J1920" s="366"/>
      <c r="M1920" s="67"/>
    </row>
    <row r="1921" spans="1:13" ht="13.2">
      <c r="A1921" s="75"/>
      <c r="F1921" s="75"/>
      <c r="G1921" s="364"/>
      <c r="H1921" s="365"/>
      <c r="I1921" s="365"/>
      <c r="J1921" s="366"/>
      <c r="M1921" s="67"/>
    </row>
    <row r="1922" spans="1:13" ht="13.2">
      <c r="A1922" s="75"/>
      <c r="F1922" s="75"/>
      <c r="G1922" s="364"/>
      <c r="H1922" s="365"/>
      <c r="I1922" s="365"/>
      <c r="J1922" s="366"/>
      <c r="M1922" s="67"/>
    </row>
    <row r="1923" spans="1:13" ht="13.2">
      <c r="A1923" s="75"/>
      <c r="F1923" s="75"/>
      <c r="G1923" s="364"/>
      <c r="H1923" s="365"/>
      <c r="I1923" s="365"/>
      <c r="J1923" s="366"/>
      <c r="M1923" s="67"/>
    </row>
    <row r="1924" spans="1:13" ht="13.2">
      <c r="A1924" s="75"/>
      <c r="F1924" s="75"/>
      <c r="G1924" s="364"/>
      <c r="H1924" s="365"/>
      <c r="I1924" s="365"/>
      <c r="J1924" s="366"/>
      <c r="M1924" s="67"/>
    </row>
    <row r="1925" spans="1:13" ht="13.2">
      <c r="A1925" s="75"/>
      <c r="F1925" s="75"/>
      <c r="G1925" s="364"/>
      <c r="H1925" s="365"/>
      <c r="I1925" s="365"/>
      <c r="J1925" s="366"/>
      <c r="M1925" s="67"/>
    </row>
    <row r="1926" spans="1:13" ht="13.2">
      <c r="A1926" s="75"/>
      <c r="F1926" s="75"/>
      <c r="G1926" s="364"/>
      <c r="H1926" s="365"/>
      <c r="I1926" s="365"/>
      <c r="J1926" s="366"/>
      <c r="M1926" s="67"/>
    </row>
    <row r="1927" spans="1:13" ht="13.2">
      <c r="A1927" s="75"/>
      <c r="F1927" s="75"/>
      <c r="G1927" s="364"/>
      <c r="H1927" s="365"/>
      <c r="I1927" s="365"/>
      <c r="J1927" s="366"/>
      <c r="M1927" s="67"/>
    </row>
    <row r="1928" spans="1:13" ht="13.2">
      <c r="A1928" s="75"/>
      <c r="F1928" s="75"/>
      <c r="G1928" s="364"/>
      <c r="H1928" s="365"/>
      <c r="I1928" s="365"/>
      <c r="J1928" s="366"/>
      <c r="M1928" s="67"/>
    </row>
    <row r="1929" spans="1:13" ht="13.2">
      <c r="A1929" s="75"/>
      <c r="F1929" s="75"/>
      <c r="G1929" s="364"/>
      <c r="H1929" s="365"/>
      <c r="I1929" s="365"/>
      <c r="J1929" s="366"/>
      <c r="M1929" s="67"/>
    </row>
    <row r="1930" spans="1:13" ht="13.2">
      <c r="A1930" s="75"/>
      <c r="F1930" s="75"/>
      <c r="G1930" s="364"/>
      <c r="H1930" s="365"/>
      <c r="I1930" s="365"/>
      <c r="J1930" s="366"/>
      <c r="M1930" s="67"/>
    </row>
    <row r="1931" spans="1:13" ht="13.2">
      <c r="A1931" s="75"/>
      <c r="F1931" s="75"/>
      <c r="G1931" s="364"/>
      <c r="H1931" s="365"/>
      <c r="I1931" s="365"/>
      <c r="J1931" s="366"/>
      <c r="M1931" s="67"/>
    </row>
    <row r="1932" spans="1:13" ht="13.2">
      <c r="A1932" s="75"/>
      <c r="F1932" s="75"/>
      <c r="G1932" s="364"/>
      <c r="H1932" s="365"/>
      <c r="I1932" s="365"/>
      <c r="J1932" s="366"/>
      <c r="M1932" s="67"/>
    </row>
    <row r="1933" spans="1:13" ht="13.2">
      <c r="A1933" s="75"/>
      <c r="F1933" s="75"/>
      <c r="G1933" s="364"/>
      <c r="H1933" s="365"/>
      <c r="I1933" s="365"/>
      <c r="J1933" s="366"/>
      <c r="M1933" s="67"/>
    </row>
    <row r="1934" spans="1:13" ht="13.2">
      <c r="A1934" s="75"/>
      <c r="F1934" s="75"/>
      <c r="G1934" s="364"/>
      <c r="H1934" s="365"/>
      <c r="I1934" s="365"/>
      <c r="J1934" s="366"/>
      <c r="M1934" s="67"/>
    </row>
    <row r="1935" spans="1:13" ht="13.2">
      <c r="A1935" s="75"/>
      <c r="F1935" s="75"/>
      <c r="G1935" s="364"/>
      <c r="H1935" s="365"/>
      <c r="I1935" s="365"/>
      <c r="J1935" s="366"/>
      <c r="M1935" s="67"/>
    </row>
    <row r="1936" spans="1:13" ht="13.2">
      <c r="A1936" s="75"/>
      <c r="F1936" s="75"/>
      <c r="G1936" s="364"/>
      <c r="H1936" s="365"/>
      <c r="I1936" s="365"/>
      <c r="J1936" s="366"/>
      <c r="M1936" s="67"/>
    </row>
    <row r="1937" spans="1:13" ht="13.2">
      <c r="A1937" s="75"/>
      <c r="F1937" s="75"/>
      <c r="G1937" s="364"/>
      <c r="H1937" s="365"/>
      <c r="I1937" s="365"/>
      <c r="J1937" s="366"/>
      <c r="M1937" s="67"/>
    </row>
    <row r="1938" spans="1:13" ht="13.2">
      <c r="A1938" s="75"/>
      <c r="F1938" s="75"/>
      <c r="G1938" s="364"/>
      <c r="H1938" s="365"/>
      <c r="I1938" s="365"/>
      <c r="J1938" s="366"/>
      <c r="M1938" s="67"/>
    </row>
    <row r="1939" spans="1:13" ht="13.2">
      <c r="A1939" s="75"/>
      <c r="F1939" s="75"/>
      <c r="G1939" s="364"/>
      <c r="H1939" s="365"/>
      <c r="I1939" s="365"/>
      <c r="J1939" s="366"/>
      <c r="M1939" s="67"/>
    </row>
    <row r="1940" spans="1:13" ht="13.2">
      <c r="A1940" s="75"/>
      <c r="F1940" s="75"/>
      <c r="G1940" s="364"/>
      <c r="H1940" s="365"/>
      <c r="I1940" s="365"/>
      <c r="J1940" s="366"/>
      <c r="M1940" s="67"/>
    </row>
    <row r="1941" spans="1:13" ht="13.2">
      <c r="A1941" s="75"/>
      <c r="F1941" s="75"/>
      <c r="G1941" s="364"/>
      <c r="H1941" s="365"/>
      <c r="I1941" s="365"/>
      <c r="J1941" s="366"/>
      <c r="M1941" s="67"/>
    </row>
    <row r="1942" spans="1:13" ht="13.2">
      <c r="A1942" s="75"/>
      <c r="F1942" s="75"/>
      <c r="G1942" s="364"/>
      <c r="H1942" s="365"/>
      <c r="I1942" s="365"/>
      <c r="J1942" s="366"/>
      <c r="M1942" s="67"/>
    </row>
    <row r="1943" spans="1:13" ht="13.2">
      <c r="A1943" s="75"/>
      <c r="F1943" s="75"/>
      <c r="G1943" s="364"/>
      <c r="H1943" s="365"/>
      <c r="I1943" s="365"/>
      <c r="J1943" s="366"/>
      <c r="M1943" s="67"/>
    </row>
    <row r="1944" spans="1:13" ht="13.2">
      <c r="A1944" s="75"/>
      <c r="F1944" s="75"/>
      <c r="G1944" s="364"/>
      <c r="H1944" s="365"/>
      <c r="I1944" s="365"/>
      <c r="J1944" s="366"/>
      <c r="M1944" s="67"/>
    </row>
    <row r="1945" spans="1:13" ht="13.2">
      <c r="A1945" s="75"/>
      <c r="F1945" s="75"/>
      <c r="G1945" s="364"/>
      <c r="H1945" s="365"/>
      <c r="I1945" s="365"/>
      <c r="J1945" s="366"/>
      <c r="M1945" s="67"/>
    </row>
    <row r="1946" spans="1:13" ht="13.2">
      <c r="A1946" s="75"/>
      <c r="F1946" s="75"/>
      <c r="G1946" s="364"/>
      <c r="H1946" s="365"/>
      <c r="I1946" s="365"/>
      <c r="J1946" s="366"/>
      <c r="M1946" s="67"/>
    </row>
    <row r="1947" spans="1:13" ht="13.2">
      <c r="A1947" s="75"/>
      <c r="F1947" s="75"/>
      <c r="G1947" s="364"/>
      <c r="H1947" s="365"/>
      <c r="I1947" s="365"/>
      <c r="J1947" s="366"/>
      <c r="M1947" s="67"/>
    </row>
    <row r="1948" spans="1:13" ht="13.2">
      <c r="A1948" s="75"/>
      <c r="F1948" s="75"/>
      <c r="G1948" s="364"/>
      <c r="H1948" s="365"/>
      <c r="I1948" s="365"/>
      <c r="J1948" s="366"/>
      <c r="M1948" s="67"/>
    </row>
    <row r="1949" spans="1:13" ht="13.2">
      <c r="A1949" s="75"/>
      <c r="F1949" s="75"/>
      <c r="G1949" s="364"/>
      <c r="H1949" s="365"/>
      <c r="I1949" s="365"/>
      <c r="J1949" s="366"/>
      <c r="M1949" s="67"/>
    </row>
    <row r="1950" spans="1:13" ht="13.2">
      <c r="A1950" s="75"/>
      <c r="F1950" s="75"/>
      <c r="G1950" s="364"/>
      <c r="H1950" s="365"/>
      <c r="I1950" s="365"/>
      <c r="J1950" s="366"/>
      <c r="M1950" s="67"/>
    </row>
    <row r="1951" spans="1:13" ht="13.2">
      <c r="A1951" s="75"/>
      <c r="F1951" s="75"/>
      <c r="G1951" s="364"/>
      <c r="H1951" s="365"/>
      <c r="I1951" s="365"/>
      <c r="J1951" s="366"/>
      <c r="M1951" s="67"/>
    </row>
    <row r="1952" spans="1:13" ht="13.2">
      <c r="A1952" s="75"/>
      <c r="F1952" s="75"/>
      <c r="G1952" s="364"/>
      <c r="H1952" s="365"/>
      <c r="I1952" s="365"/>
      <c r="J1952" s="366"/>
      <c r="M1952" s="67"/>
    </row>
    <row r="1953" spans="1:13" ht="13.2">
      <c r="A1953" s="75"/>
      <c r="F1953" s="75"/>
      <c r="G1953" s="364"/>
      <c r="H1953" s="365"/>
      <c r="I1953" s="365"/>
      <c r="J1953" s="366"/>
      <c r="M1953" s="67"/>
    </row>
    <row r="1954" spans="1:13" ht="13.2">
      <c r="A1954" s="75"/>
      <c r="F1954" s="75"/>
      <c r="G1954" s="364"/>
      <c r="H1954" s="365"/>
      <c r="I1954" s="365"/>
      <c r="J1954" s="366"/>
      <c r="M1954" s="67"/>
    </row>
    <row r="1955" spans="1:13" ht="13.2">
      <c r="A1955" s="75"/>
      <c r="F1955" s="75"/>
      <c r="G1955" s="364"/>
      <c r="H1955" s="365"/>
      <c r="I1955" s="365"/>
      <c r="J1955" s="366"/>
      <c r="M1955" s="67"/>
    </row>
    <row r="1956" spans="1:13" ht="13.2">
      <c r="A1956" s="75"/>
      <c r="F1956" s="75"/>
      <c r="G1956" s="364"/>
      <c r="H1956" s="365"/>
      <c r="I1956" s="365"/>
      <c r="J1956" s="366"/>
      <c r="M1956" s="67"/>
    </row>
    <row r="1957" spans="1:13" ht="13.2">
      <c r="A1957" s="75"/>
      <c r="F1957" s="75"/>
      <c r="G1957" s="364"/>
      <c r="H1957" s="365"/>
      <c r="I1957" s="365"/>
      <c r="J1957" s="366"/>
      <c r="M1957" s="67"/>
    </row>
    <row r="1958" spans="1:13" ht="13.2">
      <c r="A1958" s="75"/>
      <c r="F1958" s="75"/>
      <c r="G1958" s="364"/>
      <c r="H1958" s="365"/>
      <c r="I1958" s="365"/>
      <c r="J1958" s="366"/>
      <c r="M1958" s="67"/>
    </row>
    <row r="1959" spans="1:13" ht="13.2">
      <c r="A1959" s="75"/>
      <c r="F1959" s="75"/>
      <c r="G1959" s="364"/>
      <c r="H1959" s="365"/>
      <c r="I1959" s="365"/>
      <c r="J1959" s="366"/>
      <c r="M1959" s="67"/>
    </row>
    <row r="1960" spans="1:13" ht="13.2">
      <c r="A1960" s="75"/>
      <c r="F1960" s="75"/>
      <c r="G1960" s="364"/>
      <c r="H1960" s="365"/>
      <c r="I1960" s="365"/>
      <c r="J1960" s="366"/>
      <c r="M1960" s="67"/>
    </row>
    <row r="1961" spans="1:13" ht="13.2">
      <c r="A1961" s="75"/>
      <c r="F1961" s="75"/>
      <c r="G1961" s="364"/>
      <c r="H1961" s="365"/>
      <c r="I1961" s="365"/>
      <c r="J1961" s="366"/>
      <c r="M1961" s="67"/>
    </row>
    <row r="1962" spans="1:13" ht="13.2">
      <c r="A1962" s="75"/>
      <c r="F1962" s="75"/>
      <c r="G1962" s="364"/>
      <c r="H1962" s="365"/>
      <c r="I1962" s="365"/>
      <c r="J1962" s="366"/>
      <c r="M1962" s="67"/>
    </row>
    <row r="1963" spans="1:13" ht="13.2">
      <c r="A1963" s="75"/>
      <c r="F1963" s="75"/>
      <c r="G1963" s="364"/>
      <c r="H1963" s="365"/>
      <c r="I1963" s="365"/>
      <c r="J1963" s="366"/>
      <c r="M1963" s="67"/>
    </row>
    <row r="1964" spans="1:13" ht="13.2">
      <c r="A1964" s="75"/>
      <c r="F1964" s="75"/>
      <c r="G1964" s="364"/>
      <c r="H1964" s="365"/>
      <c r="I1964" s="365"/>
      <c r="J1964" s="366"/>
      <c r="M1964" s="67"/>
    </row>
    <row r="1965" spans="1:13" ht="13.2">
      <c r="A1965" s="75"/>
      <c r="F1965" s="75"/>
      <c r="G1965" s="364"/>
      <c r="H1965" s="365"/>
      <c r="I1965" s="365"/>
      <c r="J1965" s="366"/>
      <c r="M1965" s="67"/>
    </row>
    <row r="1966" spans="1:13" ht="13.2">
      <c r="A1966" s="75"/>
      <c r="F1966" s="75"/>
      <c r="G1966" s="364"/>
      <c r="H1966" s="365"/>
      <c r="I1966" s="365"/>
      <c r="J1966" s="366"/>
      <c r="M1966" s="67"/>
    </row>
    <row r="1967" spans="1:13" ht="13.2">
      <c r="A1967" s="75"/>
      <c r="F1967" s="75"/>
      <c r="G1967" s="364"/>
      <c r="H1967" s="365"/>
      <c r="I1967" s="365"/>
      <c r="J1967" s="366"/>
      <c r="M1967" s="67"/>
    </row>
    <row r="1968" spans="1:13" ht="13.2">
      <c r="A1968" s="75"/>
      <c r="F1968" s="75"/>
      <c r="G1968" s="364"/>
      <c r="H1968" s="365"/>
      <c r="I1968" s="365"/>
      <c r="J1968" s="366"/>
      <c r="M1968" s="67"/>
    </row>
    <row r="1969" spans="1:13" ht="13.2">
      <c r="A1969" s="75"/>
      <c r="F1969" s="75"/>
      <c r="G1969" s="364"/>
      <c r="H1969" s="365"/>
      <c r="I1969" s="365"/>
      <c r="J1969" s="366"/>
      <c r="M1969" s="67"/>
    </row>
    <row r="1970" spans="1:13" ht="13.2">
      <c r="A1970" s="75"/>
      <c r="F1970" s="75"/>
      <c r="G1970" s="364"/>
      <c r="H1970" s="365"/>
      <c r="I1970" s="365"/>
      <c r="J1970" s="366"/>
      <c r="M1970" s="67"/>
    </row>
    <row r="1971" spans="1:13" ht="13.2">
      <c r="A1971" s="75"/>
      <c r="F1971" s="75"/>
      <c r="G1971" s="364"/>
      <c r="H1971" s="365"/>
      <c r="I1971" s="365"/>
      <c r="J1971" s="366"/>
      <c r="M1971" s="67"/>
    </row>
    <row r="1972" spans="1:13" ht="13.2">
      <c r="A1972" s="75"/>
      <c r="F1972" s="75"/>
      <c r="G1972" s="364"/>
      <c r="H1972" s="365"/>
      <c r="I1972" s="365"/>
      <c r="J1972" s="366"/>
      <c r="M1972" s="67"/>
    </row>
    <row r="1973" spans="1:13" ht="13.2">
      <c r="A1973" s="75"/>
      <c r="F1973" s="75"/>
      <c r="G1973" s="364"/>
      <c r="H1973" s="365"/>
      <c r="I1973" s="365"/>
      <c r="J1973" s="366"/>
      <c r="M1973" s="67"/>
    </row>
    <row r="1974" spans="1:13" ht="13.2">
      <c r="A1974" s="75"/>
      <c r="F1974" s="75"/>
      <c r="G1974" s="364"/>
      <c r="H1974" s="365"/>
      <c r="I1974" s="365"/>
      <c r="J1974" s="366"/>
      <c r="M1974" s="67"/>
    </row>
    <row r="1975" spans="1:13" ht="13.2">
      <c r="A1975" s="75"/>
      <c r="F1975" s="75"/>
      <c r="G1975" s="364"/>
      <c r="H1975" s="365"/>
      <c r="I1975" s="365"/>
      <c r="J1975" s="366"/>
      <c r="M1975" s="67"/>
    </row>
    <row r="1976" spans="1:13" ht="13.2">
      <c r="A1976" s="75"/>
      <c r="F1976" s="75"/>
      <c r="G1976" s="364"/>
      <c r="H1976" s="365"/>
      <c r="I1976" s="365"/>
      <c r="J1976" s="366"/>
      <c r="M1976" s="67"/>
    </row>
    <row r="1977" spans="1:13" ht="13.2">
      <c r="A1977" s="75"/>
      <c r="F1977" s="75"/>
      <c r="G1977" s="364"/>
      <c r="H1977" s="365"/>
      <c r="I1977" s="365"/>
      <c r="J1977" s="366"/>
      <c r="M1977" s="67"/>
    </row>
    <row r="1978" spans="1:13" ht="13.2">
      <c r="A1978" s="75"/>
      <c r="F1978" s="75"/>
      <c r="G1978" s="364"/>
      <c r="H1978" s="365"/>
      <c r="I1978" s="365"/>
      <c r="J1978" s="366"/>
      <c r="M1978" s="67"/>
    </row>
    <row r="1979" spans="1:13" ht="13.2">
      <c r="A1979" s="75"/>
      <c r="F1979" s="75"/>
      <c r="G1979" s="364"/>
      <c r="H1979" s="365"/>
      <c r="I1979" s="365"/>
      <c r="J1979" s="366"/>
      <c r="M1979" s="67"/>
    </row>
    <row r="1980" spans="1:13" ht="13.2">
      <c r="A1980" s="75"/>
      <c r="F1980" s="75"/>
      <c r="G1980" s="364"/>
      <c r="H1980" s="365"/>
      <c r="I1980" s="365"/>
      <c r="J1980" s="366"/>
      <c r="M1980" s="67"/>
    </row>
    <row r="1981" spans="1:13" ht="13.2">
      <c r="A1981" s="75"/>
      <c r="F1981" s="75"/>
      <c r="G1981" s="364"/>
      <c r="H1981" s="365"/>
      <c r="I1981" s="365"/>
      <c r="J1981" s="366"/>
      <c r="M1981" s="67"/>
    </row>
    <row r="1982" spans="1:13" ht="13.2">
      <c r="A1982" s="75"/>
      <c r="F1982" s="75"/>
      <c r="G1982" s="364"/>
      <c r="H1982" s="365"/>
      <c r="I1982" s="365"/>
      <c r="J1982" s="366"/>
      <c r="M1982" s="67"/>
    </row>
    <row r="1983" spans="1:13" ht="13.2">
      <c r="A1983" s="75"/>
      <c r="F1983" s="75"/>
      <c r="G1983" s="364"/>
      <c r="H1983" s="365"/>
      <c r="I1983" s="365"/>
      <c r="J1983" s="366"/>
      <c r="M1983" s="67"/>
    </row>
    <row r="1984" spans="1:13" ht="13.2">
      <c r="A1984" s="75"/>
      <c r="F1984" s="75"/>
      <c r="G1984" s="364"/>
      <c r="H1984" s="365"/>
      <c r="I1984" s="365"/>
      <c r="J1984" s="366"/>
      <c r="M1984" s="67"/>
    </row>
    <row r="1985" spans="1:13" ht="13.2">
      <c r="A1985" s="75"/>
      <c r="F1985" s="75"/>
      <c r="G1985" s="364"/>
      <c r="H1985" s="365"/>
      <c r="I1985" s="365"/>
      <c r="J1985" s="366"/>
      <c r="M1985" s="67"/>
    </row>
    <row r="1986" spans="1:13" ht="13.2">
      <c r="A1986" s="75"/>
      <c r="F1986" s="75"/>
      <c r="G1986" s="364"/>
      <c r="H1986" s="365"/>
      <c r="I1986" s="365"/>
      <c r="J1986" s="366"/>
      <c r="M1986" s="67"/>
    </row>
    <row r="1987" spans="1:13" ht="13.2">
      <c r="A1987" s="75"/>
      <c r="F1987" s="75"/>
      <c r="G1987" s="364"/>
      <c r="H1987" s="365"/>
      <c r="I1987" s="365"/>
      <c r="J1987" s="366"/>
      <c r="M1987" s="67"/>
    </row>
    <row r="1988" spans="1:13" ht="13.2">
      <c r="A1988" s="75"/>
      <c r="F1988" s="75"/>
      <c r="G1988" s="364"/>
      <c r="H1988" s="365"/>
      <c r="I1988" s="365"/>
      <c r="J1988" s="366"/>
      <c r="M1988" s="67"/>
    </row>
    <row r="1989" spans="1:13" ht="13.2">
      <c r="A1989" s="75"/>
      <c r="F1989" s="75"/>
      <c r="G1989" s="364"/>
      <c r="H1989" s="365"/>
      <c r="I1989" s="365"/>
      <c r="J1989" s="366"/>
      <c r="M1989" s="67"/>
    </row>
    <row r="1990" spans="1:13" ht="13.2">
      <c r="A1990" s="75"/>
      <c r="F1990" s="75"/>
      <c r="G1990" s="364"/>
      <c r="H1990" s="365"/>
      <c r="I1990" s="365"/>
      <c r="J1990" s="366"/>
      <c r="M1990" s="67"/>
    </row>
    <row r="1991" spans="1:13" ht="13.2">
      <c r="A1991" s="75"/>
      <c r="F1991" s="75"/>
      <c r="G1991" s="364"/>
      <c r="H1991" s="365"/>
      <c r="I1991" s="365"/>
      <c r="J1991" s="366"/>
      <c r="M1991" s="67"/>
    </row>
    <row r="1992" spans="1:13" ht="13.2">
      <c r="A1992" s="75"/>
      <c r="F1992" s="75"/>
      <c r="G1992" s="364"/>
      <c r="H1992" s="365"/>
      <c r="I1992" s="365"/>
      <c r="J1992" s="366"/>
      <c r="M1992" s="67"/>
    </row>
    <row r="1993" spans="1:13" ht="13.2">
      <c r="A1993" s="75"/>
      <c r="F1993" s="75"/>
      <c r="G1993" s="364"/>
      <c r="H1993" s="365"/>
      <c r="I1993" s="365"/>
      <c r="J1993" s="366"/>
      <c r="M1993" s="67"/>
    </row>
    <row r="1994" spans="1:13" ht="13.2">
      <c r="A1994" s="75"/>
      <c r="F1994" s="75"/>
      <c r="G1994" s="364"/>
      <c r="H1994" s="365"/>
      <c r="I1994" s="365"/>
      <c r="J1994" s="366"/>
      <c r="M1994" s="67"/>
    </row>
    <row r="1995" spans="1:13" ht="13.2">
      <c r="A1995" s="75"/>
      <c r="F1995" s="75"/>
      <c r="G1995" s="364"/>
      <c r="H1995" s="365"/>
      <c r="I1995" s="365"/>
      <c r="J1995" s="366"/>
      <c r="M1995" s="67"/>
    </row>
    <row r="1996" spans="1:13" ht="13.2">
      <c r="A1996" s="75"/>
      <c r="F1996" s="75"/>
      <c r="G1996" s="364"/>
      <c r="H1996" s="365"/>
      <c r="I1996" s="365"/>
      <c r="J1996" s="366"/>
      <c r="M1996" s="67"/>
    </row>
    <row r="1997" spans="1:13" ht="13.2">
      <c r="A1997" s="75"/>
      <c r="F1997" s="75"/>
      <c r="G1997" s="364"/>
      <c r="H1997" s="365"/>
      <c r="I1997" s="365"/>
      <c r="J1997" s="366"/>
      <c r="M1997" s="67"/>
    </row>
    <row r="1998" spans="1:13" ht="13.2">
      <c r="A1998" s="75"/>
      <c r="F1998" s="75"/>
      <c r="G1998" s="364"/>
      <c r="H1998" s="365"/>
      <c r="I1998" s="365"/>
      <c r="J1998" s="366"/>
      <c r="M1998" s="67"/>
    </row>
    <row r="1999" spans="1:13" ht="13.2">
      <c r="A1999" s="75"/>
      <c r="F1999" s="75"/>
      <c r="G1999" s="364"/>
      <c r="H1999" s="365"/>
      <c r="I1999" s="365"/>
      <c r="J1999" s="366"/>
      <c r="M1999" s="67"/>
    </row>
    <row r="2000" spans="1:13" ht="13.2">
      <c r="A2000" s="75"/>
      <c r="F2000" s="75"/>
      <c r="G2000" s="364"/>
      <c r="H2000" s="365"/>
      <c r="I2000" s="365"/>
      <c r="J2000" s="366"/>
      <c r="M2000" s="67"/>
    </row>
    <row r="2001" spans="1:13" ht="13.2">
      <c r="A2001" s="75"/>
      <c r="F2001" s="75"/>
      <c r="G2001" s="364"/>
      <c r="H2001" s="365"/>
      <c r="I2001" s="365"/>
      <c r="J2001" s="366"/>
      <c r="M2001" s="67"/>
    </row>
    <row r="2002" spans="1:13" ht="13.2">
      <c r="A2002" s="75"/>
      <c r="F2002" s="75"/>
      <c r="G2002" s="364"/>
      <c r="H2002" s="365"/>
      <c r="I2002" s="365"/>
      <c r="J2002" s="366"/>
      <c r="M2002" s="67"/>
    </row>
    <row r="2003" spans="1:13" ht="13.2">
      <c r="A2003" s="75"/>
      <c r="F2003" s="75"/>
      <c r="G2003" s="364"/>
      <c r="H2003" s="365"/>
      <c r="I2003" s="365"/>
      <c r="J2003" s="366"/>
      <c r="M2003" s="67"/>
    </row>
    <row r="2004" spans="1:13" ht="13.2">
      <c r="A2004" s="75"/>
      <c r="F2004" s="75"/>
      <c r="G2004" s="364"/>
      <c r="H2004" s="365"/>
      <c r="I2004" s="365"/>
      <c r="J2004" s="366"/>
      <c r="M2004" s="67"/>
    </row>
    <row r="2005" spans="1:13" ht="13.2">
      <c r="A2005" s="75"/>
      <c r="F2005" s="75"/>
      <c r="G2005" s="364"/>
      <c r="H2005" s="365"/>
      <c r="I2005" s="365"/>
      <c r="J2005" s="366"/>
      <c r="M2005" s="67"/>
    </row>
    <row r="2006" spans="1:13" ht="13.2">
      <c r="A2006" s="75"/>
      <c r="F2006" s="75"/>
      <c r="G2006" s="364"/>
      <c r="H2006" s="365"/>
      <c r="I2006" s="365"/>
      <c r="J2006" s="366"/>
      <c r="M2006" s="67"/>
    </row>
    <row r="2007" spans="1:13" ht="13.2">
      <c r="A2007" s="75"/>
      <c r="F2007" s="75"/>
      <c r="G2007" s="364"/>
      <c r="H2007" s="365"/>
      <c r="I2007" s="365"/>
      <c r="J2007" s="366"/>
      <c r="M2007" s="67"/>
    </row>
    <row r="2008" spans="1:13" ht="13.2">
      <c r="A2008" s="75"/>
      <c r="F2008" s="75"/>
      <c r="G2008" s="364"/>
      <c r="H2008" s="365"/>
      <c r="I2008" s="365"/>
      <c r="J2008" s="366"/>
      <c r="M2008" s="67"/>
    </row>
    <row r="2009" spans="1:13" ht="13.2">
      <c r="A2009" s="75"/>
      <c r="F2009" s="75"/>
      <c r="G2009" s="364"/>
      <c r="H2009" s="365"/>
      <c r="I2009" s="365"/>
      <c r="J2009" s="366"/>
      <c r="M2009" s="67"/>
    </row>
    <row r="2010" spans="1:13" ht="13.2">
      <c r="A2010" s="75"/>
      <c r="F2010" s="75"/>
      <c r="G2010" s="364"/>
      <c r="H2010" s="365"/>
      <c r="I2010" s="365"/>
      <c r="J2010" s="366"/>
      <c r="M2010" s="67"/>
    </row>
    <row r="2011" spans="1:13" ht="13.2">
      <c r="A2011" s="75"/>
      <c r="F2011" s="75"/>
      <c r="G2011" s="364"/>
      <c r="H2011" s="365"/>
      <c r="I2011" s="365"/>
      <c r="J2011" s="366"/>
      <c r="M2011" s="67"/>
    </row>
    <row r="2012" spans="1:13" ht="13.2">
      <c r="A2012" s="75"/>
      <c r="F2012" s="75"/>
      <c r="G2012" s="364"/>
      <c r="H2012" s="365"/>
      <c r="I2012" s="365"/>
      <c r="J2012" s="366"/>
      <c r="M2012" s="67"/>
    </row>
    <row r="2013" spans="1:13" ht="13.2">
      <c r="A2013" s="75"/>
      <c r="F2013" s="75"/>
      <c r="G2013" s="364"/>
      <c r="H2013" s="365"/>
      <c r="I2013" s="365"/>
      <c r="J2013" s="366"/>
      <c r="M2013" s="67"/>
    </row>
    <row r="2014" spans="1:13" ht="13.2">
      <c r="A2014" s="75"/>
      <c r="F2014" s="75"/>
      <c r="G2014" s="364"/>
      <c r="H2014" s="365"/>
      <c r="I2014" s="365"/>
      <c r="J2014" s="366"/>
      <c r="M2014" s="67"/>
    </row>
    <row r="2015" spans="1:13" ht="13.2">
      <c r="A2015" s="75"/>
      <c r="F2015" s="75"/>
      <c r="G2015" s="364"/>
      <c r="H2015" s="365"/>
      <c r="I2015" s="365"/>
      <c r="J2015" s="366"/>
      <c r="M2015" s="67"/>
    </row>
    <row r="2016" spans="1:13" ht="13.2">
      <c r="A2016" s="75"/>
      <c r="F2016" s="75"/>
      <c r="G2016" s="364"/>
      <c r="H2016" s="365"/>
      <c r="I2016" s="365"/>
      <c r="J2016" s="366"/>
      <c r="M2016" s="67"/>
    </row>
    <row r="2017" spans="1:13" ht="13.2">
      <c r="A2017" s="75"/>
      <c r="F2017" s="75"/>
      <c r="G2017" s="364"/>
      <c r="H2017" s="365"/>
      <c r="I2017" s="365"/>
      <c r="J2017" s="366"/>
      <c r="M2017" s="67"/>
    </row>
  </sheetData>
  <mergeCells count="100">
    <mergeCell ref="M1126:M1127"/>
    <mergeCell ref="M1128:M1129"/>
    <mergeCell ref="M1221:M1222"/>
    <mergeCell ref="M1223:M1227"/>
    <mergeCell ref="M1228:M1232"/>
    <mergeCell ref="M1181:M1182"/>
    <mergeCell ref="M1188:M1192"/>
    <mergeCell ref="M1193:M1195"/>
    <mergeCell ref="M1199:M1203"/>
    <mergeCell ref="M1205:M1209"/>
    <mergeCell ref="M1215:M1216"/>
    <mergeCell ref="M1219:M1220"/>
    <mergeCell ref="M1109:M1110"/>
    <mergeCell ref="M1112:M1116"/>
    <mergeCell ref="M1117:M1118"/>
    <mergeCell ref="M1119:M1120"/>
    <mergeCell ref="M1122:M1123"/>
    <mergeCell ref="M1106:M1108"/>
    <mergeCell ref="A1:L1"/>
    <mergeCell ref="L25:L27"/>
    <mergeCell ref="L337:L339"/>
    <mergeCell ref="L535:L538"/>
    <mergeCell ref="C977:C990"/>
    <mergeCell ref="C991:C1015"/>
    <mergeCell ref="C1016:C1053"/>
    <mergeCell ref="M1090:M1091"/>
    <mergeCell ref="M1093:M1094"/>
    <mergeCell ref="M1095:M1098"/>
    <mergeCell ref="M1099:M1102"/>
    <mergeCell ref="M1103:M1104"/>
    <mergeCell ref="M1067:M1069"/>
    <mergeCell ref="M1073:M1074"/>
    <mergeCell ref="M1075:M1076"/>
    <mergeCell ref="M1077:M1082"/>
    <mergeCell ref="M1085:M1089"/>
    <mergeCell ref="M1040:M1044"/>
    <mergeCell ref="M1045:M1049"/>
    <mergeCell ref="M1050:M1051"/>
    <mergeCell ref="M1054:M1056"/>
    <mergeCell ref="M1065:M1066"/>
    <mergeCell ref="M1012:M1015"/>
    <mergeCell ref="M1019:M1022"/>
    <mergeCell ref="M1023:M1024"/>
    <mergeCell ref="M1028:M1029"/>
    <mergeCell ref="M1032:M1034"/>
    <mergeCell ref="C1309:C1363"/>
    <mergeCell ref="C1054:C1123"/>
    <mergeCell ref="C1124:C1192"/>
    <mergeCell ref="C1193:C1209"/>
    <mergeCell ref="C1210:C1217"/>
    <mergeCell ref="C1218:C1232"/>
    <mergeCell ref="C1233:C1234"/>
    <mergeCell ref="C1235:C1238"/>
    <mergeCell ref="C1239:C1243"/>
    <mergeCell ref="C1244:C1259"/>
    <mergeCell ref="C1260:C1266"/>
    <mergeCell ref="C1267:C1288"/>
    <mergeCell ref="C1289:C1308"/>
    <mergeCell ref="M1359:M1362"/>
    <mergeCell ref="M1328:M1331"/>
    <mergeCell ref="M1332:M1333"/>
    <mergeCell ref="M1334:M1339"/>
    <mergeCell ref="M1340:M1341"/>
    <mergeCell ref="M1342:M1343"/>
    <mergeCell ref="M1345:M1346"/>
    <mergeCell ref="M1349:M1352"/>
    <mergeCell ref="M1320:M1321"/>
    <mergeCell ref="M1322:M1323"/>
    <mergeCell ref="M1324:M1327"/>
    <mergeCell ref="M1354:M1355"/>
    <mergeCell ref="M1356:M1357"/>
    <mergeCell ref="M1297:M1299"/>
    <mergeCell ref="M1300:M1305"/>
    <mergeCell ref="M1306:M1308"/>
    <mergeCell ref="M1309:M1310"/>
    <mergeCell ref="M1312:M1318"/>
    <mergeCell ref="M1267:M1272"/>
    <mergeCell ref="M1273:M1276"/>
    <mergeCell ref="M1289:M1290"/>
    <mergeCell ref="M1291:M1292"/>
    <mergeCell ref="M1293:M1295"/>
    <mergeCell ref="M1165:M1168"/>
    <mergeCell ref="M1170:M1171"/>
    <mergeCell ref="M1172:M1173"/>
    <mergeCell ref="M1177:M1179"/>
    <mergeCell ref="M1261:M1262"/>
    <mergeCell ref="M1241:M1242"/>
    <mergeCell ref="M1245:M1247"/>
    <mergeCell ref="M1249:M1251"/>
    <mergeCell ref="M1253:M1254"/>
    <mergeCell ref="M1146:M1147"/>
    <mergeCell ref="M1148:M1149"/>
    <mergeCell ref="M1150:M1152"/>
    <mergeCell ref="M1154:M1155"/>
    <mergeCell ref="M1156:M1158"/>
    <mergeCell ref="M1130:M1133"/>
    <mergeCell ref="M1134:M1135"/>
    <mergeCell ref="M1137:M1138"/>
    <mergeCell ref="M1139:M1142"/>
    <mergeCell ref="M1144:M1145"/>
  </mergeCells>
  <dataValidations count="1">
    <dataValidation type="list" allowBlank="1" showErrorMessage="1" sqref="B3:B1042" xr:uid="{00000000-0002-0000-1000-000000000000}">
      <formula1>"Nhập,Xuất"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FF"/>
    <outlinePr summaryBelow="0" summaryRight="0"/>
  </sheetPr>
  <dimension ref="A1:H1538"/>
  <sheetViews>
    <sheetView workbookViewId="0"/>
  </sheetViews>
  <sheetFormatPr defaultColWidth="12.6640625" defaultRowHeight="15.75" customHeight="1"/>
  <cols>
    <col min="3" max="3" width="38" customWidth="1"/>
  </cols>
  <sheetData>
    <row r="1" spans="1:8" ht="24.6">
      <c r="A1" s="412"/>
      <c r="B1" s="385"/>
      <c r="C1" s="385"/>
      <c r="D1" s="385"/>
      <c r="E1" s="385"/>
      <c r="F1" s="385"/>
      <c r="G1" s="386"/>
    </row>
    <row r="2" spans="1:8" ht="13.2">
      <c r="A2" s="94" t="s">
        <v>69</v>
      </c>
      <c r="B2" s="94" t="s">
        <v>382</v>
      </c>
      <c r="C2" s="94" t="s">
        <v>383</v>
      </c>
      <c r="D2" s="94" t="s">
        <v>384</v>
      </c>
      <c r="E2" s="161" t="s">
        <v>1577</v>
      </c>
      <c r="F2" s="162" t="s">
        <v>1578</v>
      </c>
      <c r="G2" s="162" t="s">
        <v>1579</v>
      </c>
      <c r="H2" s="220"/>
    </row>
    <row r="3" spans="1:8" ht="13.2" hidden="1">
      <c r="A3" s="312">
        <v>45274</v>
      </c>
      <c r="B3" s="28" t="s">
        <v>435</v>
      </c>
      <c r="C3" s="143" t="str">
        <f>VLOOKUP(B3,'Danh mục hàng hóa'!$C$3:$D$643,2,0)</f>
        <v>Bao lì xì Tết tài lộc</v>
      </c>
      <c r="D3" s="144" t="str">
        <f>VLOOKUP(B3,'Danh mục hàng hóa'!$C$3:$E$656,3,0)</f>
        <v>set 6 cái</v>
      </c>
      <c r="E3" s="166">
        <f t="shared" ref="E3:E7" si="0">640*6</f>
        <v>3840</v>
      </c>
      <c r="F3" s="313">
        <v>20</v>
      </c>
      <c r="G3" s="314"/>
    </row>
    <row r="4" spans="1:8" ht="13.2" hidden="1">
      <c r="A4" s="312">
        <v>45274</v>
      </c>
      <c r="B4" s="28" t="s">
        <v>437</v>
      </c>
      <c r="C4" s="143" t="str">
        <f>VLOOKUP(B4,'Danh mục hàng hóa'!$C$3:$D$643,2,0)</f>
        <v>Bao lì xì Tết hoa</v>
      </c>
      <c r="D4" s="144" t="str">
        <f>VLOOKUP(B4,'Danh mục hàng hóa'!$C$3:$E$656,3,0)</f>
        <v>set 6 cái</v>
      </c>
      <c r="E4" s="166">
        <f t="shared" si="0"/>
        <v>3840</v>
      </c>
      <c r="F4" s="313">
        <v>20</v>
      </c>
      <c r="G4" s="314"/>
    </row>
    <row r="5" spans="1:8" ht="13.2" hidden="1">
      <c r="A5" s="312">
        <v>45274</v>
      </c>
      <c r="B5" s="28" t="s">
        <v>438</v>
      </c>
      <c r="C5" s="143" t="str">
        <f>VLOOKUP(B5,'Danh mục hàng hóa'!$C$3:$D$643,2,0)</f>
        <v>Bao lì xì Tết xanh</v>
      </c>
      <c r="D5" s="144" t="str">
        <f>VLOOKUP(B5,'Danh mục hàng hóa'!$C$3:$E$656,3,0)</f>
        <v>set 6 cái</v>
      </c>
      <c r="E5" s="166">
        <f t="shared" si="0"/>
        <v>3840</v>
      </c>
      <c r="F5" s="313">
        <v>20</v>
      </c>
      <c r="G5" s="314"/>
    </row>
    <row r="6" spans="1:8" ht="13.2" hidden="1">
      <c r="A6" s="312">
        <v>45274</v>
      </c>
      <c r="B6" s="28" t="s">
        <v>439</v>
      </c>
      <c r="C6" s="143" t="str">
        <f>VLOOKUP(B6,'Danh mục hàng hóa'!$C$3:$D$643,2,0)</f>
        <v>Bao lì xì vui vẻ</v>
      </c>
      <c r="D6" s="144" t="str">
        <f>VLOOKUP(B6,'Danh mục hàng hóa'!$C$3:$E$656,3,0)</f>
        <v>set 6 cái</v>
      </c>
      <c r="E6" s="166">
        <f t="shared" si="0"/>
        <v>3840</v>
      </c>
      <c r="F6" s="313">
        <v>20</v>
      </c>
      <c r="G6" s="314"/>
    </row>
    <row r="7" spans="1:8" ht="13.2" hidden="1">
      <c r="A7" s="312">
        <v>45274</v>
      </c>
      <c r="B7" s="28" t="s">
        <v>440</v>
      </c>
      <c r="C7" s="143" t="str">
        <f>VLOOKUP(B7,'Danh mục hàng hóa'!$C$3:$D$643,2,0)</f>
        <v>Bao lì xì ngộ nghĩnh</v>
      </c>
      <c r="D7" s="144" t="str">
        <f>VLOOKUP(B7,'Danh mục hàng hóa'!$C$3:$E$656,3,0)</f>
        <v>set 6 cái</v>
      </c>
      <c r="E7" s="166">
        <f t="shared" si="0"/>
        <v>3840</v>
      </c>
      <c r="F7" s="313">
        <v>20</v>
      </c>
      <c r="G7" s="314"/>
    </row>
    <row r="8" spans="1:8" ht="13.2" hidden="1">
      <c r="A8" s="312">
        <v>45278</v>
      </c>
      <c r="B8" s="28" t="s">
        <v>392</v>
      </c>
      <c r="C8" s="143" t="str">
        <f>VLOOKUP(B8,'Danh mục hàng hóa'!$C$3:$D$643,2,0)</f>
        <v>Túi chườm bụng trái bơ 1000ml</v>
      </c>
      <c r="D8" s="144" t="str">
        <f>VLOOKUP(B8,'Danh mục hàng hóa'!$C$3:$E$656,3,0)</f>
        <v>túi</v>
      </c>
      <c r="E8" s="166">
        <f>VLOOKUP(B8,'Danh mục hàng hóa'!$C$3:$M$656,5,0)</f>
        <v>50440</v>
      </c>
      <c r="F8" s="167">
        <v>0</v>
      </c>
      <c r="G8" s="314"/>
    </row>
    <row r="9" spans="1:8" ht="13.2" hidden="1">
      <c r="A9" s="312">
        <v>45278</v>
      </c>
      <c r="B9" s="28" t="s">
        <v>397</v>
      </c>
      <c r="C9" s="143" t="str">
        <f>VLOOKUP(B9,'Danh mục hàng hóa'!$C$3:$D$643,2,0)</f>
        <v>Túi chườm bụng dâu (xanh) 1000ml</v>
      </c>
      <c r="D9" s="144" t="str">
        <f>VLOOKUP(B9,'Danh mục hàng hóa'!$C$3:$E$656,3,0)</f>
        <v>túi</v>
      </c>
      <c r="E9" s="166">
        <f>VLOOKUP(B9,'Danh mục hàng hóa'!$C$3:$M$656,5,0)</f>
        <v>50440</v>
      </c>
      <c r="F9" s="313">
        <v>4</v>
      </c>
      <c r="G9" s="314"/>
    </row>
    <row r="10" spans="1:8" ht="13.2" hidden="1">
      <c r="A10" s="312">
        <v>45278</v>
      </c>
      <c r="B10" s="28" t="s">
        <v>401</v>
      </c>
      <c r="C10" s="143" t="str">
        <f>VLOOKUP(B10,'Danh mục hàng hóa'!$C$3:$D$643,2,0)</f>
        <v>Túi chườm bụng dứa xanh đậm  1000ml</v>
      </c>
      <c r="D10" s="144" t="str">
        <f>VLOOKUP(B10,'Danh mục hàng hóa'!$C$3:$E$656,3,0)</f>
        <v>túi</v>
      </c>
      <c r="E10" s="166">
        <f>VLOOKUP(B10,'Danh mục hàng hóa'!$C$3:$M$656,5,0)</f>
        <v>50440</v>
      </c>
      <c r="F10" s="313">
        <v>4</v>
      </c>
      <c r="G10" s="314"/>
    </row>
    <row r="11" spans="1:8" ht="13.2" hidden="1">
      <c r="A11" s="312">
        <v>45278</v>
      </c>
      <c r="B11" s="28" t="s">
        <v>405</v>
      </c>
      <c r="C11" s="143" t="str">
        <f>VLOOKUP(B11,'Danh mục hàng hóa'!$C$3:$D$643,2,0)</f>
        <v>Túi chườm bụng dâu xanh nhạt 1000ml</v>
      </c>
      <c r="D11" s="144" t="str">
        <f>VLOOKUP(B11,'Danh mục hàng hóa'!$C$3:$E$656,3,0)</f>
        <v>túi</v>
      </c>
      <c r="E11" s="166">
        <f>VLOOKUP(B11,'Danh mục hàng hóa'!$C$3:$M$656,5,0)</f>
        <v>50440</v>
      </c>
      <c r="F11" s="313">
        <v>3</v>
      </c>
      <c r="G11" s="314"/>
    </row>
    <row r="12" spans="1:8" ht="13.2" hidden="1">
      <c r="A12" s="312">
        <v>45278</v>
      </c>
      <c r="B12" s="28" t="s">
        <v>409</v>
      </c>
      <c r="C12" s="143" t="str">
        <f>VLOOKUP(B12,'Danh mục hàng hóa'!$C$3:$D$643,2,0)</f>
        <v>Túi chườm bụng thỏ dứa 1000ml</v>
      </c>
      <c r="D12" s="144" t="str">
        <f>VLOOKUP(B12,'Danh mục hàng hóa'!$C$3:$E$656,3,0)</f>
        <v>túi</v>
      </c>
      <c r="E12" s="166">
        <f>VLOOKUP(B12,'Danh mục hàng hóa'!$C$3:$M$656,5,0)</f>
        <v>50440</v>
      </c>
      <c r="F12" s="313">
        <v>4</v>
      </c>
      <c r="G12" s="314"/>
    </row>
    <row r="13" spans="1:8" ht="13.2" hidden="1">
      <c r="A13" s="312">
        <v>45278</v>
      </c>
      <c r="B13" s="28" t="s">
        <v>413</v>
      </c>
      <c r="C13" s="143" t="str">
        <f>VLOOKUP(B13,'Danh mục hàng hóa'!$C$3:$D$643,2,0)</f>
        <v>Túi chườm bụng trái bơ 500ml</v>
      </c>
      <c r="D13" s="144" t="str">
        <f>VLOOKUP(B13,'Danh mục hàng hóa'!$C$3:$E$656,3,0)</f>
        <v>túi</v>
      </c>
      <c r="E13" s="166">
        <f>VLOOKUP(B13,'Danh mục hàng hóa'!$C$3:$M$656,5,0)</f>
        <v>43340</v>
      </c>
      <c r="F13" s="313">
        <v>3</v>
      </c>
      <c r="G13" s="314"/>
    </row>
    <row r="14" spans="1:8" ht="13.2" hidden="1">
      <c r="A14" s="312">
        <v>45278</v>
      </c>
      <c r="B14" s="28" t="s">
        <v>414</v>
      </c>
      <c r="C14" s="143" t="str">
        <f>VLOOKUP(B14,'Danh mục hàng hóa'!$C$3:$D$643,2,0)</f>
        <v>Túi chườm bụng dâu tây 500ml</v>
      </c>
      <c r="D14" s="144" t="str">
        <f>VLOOKUP(B14,'Danh mục hàng hóa'!$C$3:$E$656,3,0)</f>
        <v>túi</v>
      </c>
      <c r="E14" s="166">
        <f>VLOOKUP(B14,'Danh mục hàng hóa'!$C$3:$M$656,5,0)</f>
        <v>43340</v>
      </c>
      <c r="F14" s="313">
        <v>2</v>
      </c>
      <c r="G14" s="314"/>
    </row>
    <row r="15" spans="1:8" ht="13.2" hidden="1">
      <c r="A15" s="312">
        <v>45278</v>
      </c>
      <c r="B15" s="28" t="s">
        <v>416</v>
      </c>
      <c r="C15" s="143" t="str">
        <f>VLOOKUP(B15,'Danh mục hàng hóa'!$C$3:$D$643,2,0)</f>
        <v>Túi chườm bụng dứa xanh đậm  500ml</v>
      </c>
      <c r="D15" s="144" t="str">
        <f>VLOOKUP(B15,'Danh mục hàng hóa'!$C$3:$E$656,3,0)</f>
        <v>túi</v>
      </c>
      <c r="E15" s="166">
        <f>VLOOKUP(B15,'Danh mục hàng hóa'!$C$3:$M$656,5,0)</f>
        <v>43340</v>
      </c>
      <c r="F15" s="313">
        <v>2</v>
      </c>
      <c r="G15" s="314"/>
    </row>
    <row r="16" spans="1:8" ht="13.2" hidden="1">
      <c r="A16" s="312">
        <v>45278</v>
      </c>
      <c r="B16" s="28" t="s">
        <v>418</v>
      </c>
      <c r="C16" s="143" t="str">
        <f>VLOOKUP(B16,'Danh mục hàng hóa'!$C$3:$D$643,2,0)</f>
        <v>Túi chườm bụng dâu xanh nhạt 500ml</v>
      </c>
      <c r="D16" s="144" t="str">
        <f>VLOOKUP(B16,'Danh mục hàng hóa'!$C$3:$E$656,3,0)</f>
        <v>túi</v>
      </c>
      <c r="E16" s="166">
        <f>VLOOKUP(B16,'Danh mục hàng hóa'!$C$3:$M$656,5,0)</f>
        <v>43340</v>
      </c>
      <c r="F16" s="313">
        <v>2</v>
      </c>
      <c r="G16" s="314"/>
    </row>
    <row r="17" spans="1:7" ht="13.2" hidden="1">
      <c r="A17" s="312">
        <v>45278</v>
      </c>
      <c r="B17" s="28" t="s">
        <v>420</v>
      </c>
      <c r="C17" s="143" t="str">
        <f>VLOOKUP(B17,'Danh mục hàng hóa'!$C$3:$D$643,2,0)</f>
        <v>Túi chườm bụng thỏ dứa 500ml</v>
      </c>
      <c r="D17" s="144" t="str">
        <f>VLOOKUP(B17,'Danh mục hàng hóa'!$C$3:$E$656,3,0)</f>
        <v>túi</v>
      </c>
      <c r="E17" s="166">
        <f>VLOOKUP(B17,'Danh mục hàng hóa'!$C$3:$M$656,5,0)</f>
        <v>43340</v>
      </c>
      <c r="F17" s="313">
        <v>2</v>
      </c>
      <c r="G17" s="314"/>
    </row>
    <row r="18" spans="1:7" ht="13.2" hidden="1">
      <c r="A18" s="312">
        <v>45278</v>
      </c>
      <c r="B18" s="28" t="s">
        <v>472</v>
      </c>
      <c r="C18" s="143" t="str">
        <f>VLOOKUP(B18,'Danh mục hàng hóa'!$C$3:$D$643,2,0)</f>
        <v>Trâm cài gỗ nâu trơn</v>
      </c>
      <c r="D18" s="144" t="str">
        <f>VLOOKUP(B18,'Danh mục hàng hóa'!$C$3:$E$656,3,0)</f>
        <v>cái</v>
      </c>
      <c r="E18" s="166">
        <f>VLOOKUP(B18,'Danh mục hàng hóa'!$C$3:$M$656,5,0)</f>
        <v>9970</v>
      </c>
      <c r="F18" s="313">
        <v>4</v>
      </c>
      <c r="G18" s="314"/>
    </row>
    <row r="19" spans="1:7" ht="13.2" hidden="1">
      <c r="A19" s="312">
        <v>45278</v>
      </c>
      <c r="B19" s="28" t="s">
        <v>474</v>
      </c>
      <c r="C19" s="143" t="str">
        <f>VLOOKUP(B19,'Danh mục hàng hóa'!$C$3:$D$643,2,0)</f>
        <v>Trâm cài hoa xanh</v>
      </c>
      <c r="D19" s="144" t="str">
        <f>VLOOKUP(B19,'Danh mục hàng hóa'!$C$3:$E$656,3,0)</f>
        <v>cái</v>
      </c>
      <c r="E19" s="166">
        <f>VLOOKUP(B19,'Danh mục hàng hóa'!$C$3:$M$656,5,0)</f>
        <v>12455</v>
      </c>
      <c r="F19" s="313">
        <v>4</v>
      </c>
      <c r="G19" s="314"/>
    </row>
    <row r="20" spans="1:7" ht="13.2" hidden="1">
      <c r="A20" s="312">
        <v>45278</v>
      </c>
      <c r="B20" s="28" t="s">
        <v>476</v>
      </c>
      <c r="C20" s="143" t="str">
        <f>VLOOKUP(B20,'Danh mục hàng hóa'!$C$3:$D$643,2,0)</f>
        <v>Trâm cài hoa trắng</v>
      </c>
      <c r="D20" s="144" t="str">
        <f>VLOOKUP(B20,'Danh mục hàng hóa'!$C$3:$E$656,3,0)</f>
        <v>cái</v>
      </c>
      <c r="E20" s="166">
        <f>VLOOKUP(B20,'Danh mục hàng hóa'!$C$3:$M$656,5,0)</f>
        <v>12100</v>
      </c>
      <c r="F20" s="313">
        <v>4</v>
      </c>
      <c r="G20" s="314"/>
    </row>
    <row r="21" spans="1:7" ht="13.2" hidden="1">
      <c r="A21" s="312">
        <v>45278</v>
      </c>
      <c r="B21" s="28" t="s">
        <v>478</v>
      </c>
      <c r="C21" s="143" t="str">
        <f>VLOOKUP(B21,'Danh mục hàng hóa'!$C$3:$D$643,2,0)</f>
        <v>Trâm cài hoa hồng</v>
      </c>
      <c r="D21" s="144" t="str">
        <f>VLOOKUP(B21,'Danh mục hàng hóa'!$C$3:$E$656,3,0)</f>
        <v>cái</v>
      </c>
      <c r="E21" s="166">
        <f>VLOOKUP(B21,'Danh mục hàng hóa'!$C$3:$M$656,5,0)</f>
        <v>13165</v>
      </c>
      <c r="F21" s="313">
        <v>4</v>
      </c>
      <c r="G21" s="314"/>
    </row>
    <row r="22" spans="1:7" ht="13.2" hidden="1">
      <c r="A22" s="312">
        <v>45278</v>
      </c>
      <c r="B22" s="28" t="s">
        <v>480</v>
      </c>
      <c r="C22" s="143" t="str">
        <f>VLOOKUP(B22,'Danh mục hàng hóa'!$C$3:$D$643,2,0)</f>
        <v>Trâm cài gỗ nâu có họa tiết</v>
      </c>
      <c r="D22" s="144" t="str">
        <f>VLOOKUP(B22,'Danh mục hàng hóa'!$C$3:$E$656,3,0)</f>
        <v>cái</v>
      </c>
      <c r="E22" s="166">
        <f>VLOOKUP(B22,'Danh mục hàng hóa'!$C$3:$M$656,5,0)</f>
        <v>9970</v>
      </c>
      <c r="F22" s="313">
        <v>4</v>
      </c>
      <c r="G22" s="314"/>
    </row>
    <row r="23" spans="1:7" ht="13.2" hidden="1">
      <c r="A23" s="312">
        <v>45278</v>
      </c>
      <c r="B23" s="28" t="s">
        <v>431</v>
      </c>
      <c r="C23" s="143" t="str">
        <f>VLOOKUP(B23,'Danh mục hàng hóa'!$C$3:$D$643,2,0)</f>
        <v>Bao lì xì rồng con</v>
      </c>
      <c r="D23" s="144" t="str">
        <f>VLOOKUP(B23,'Danh mục hàng hóa'!$C$3:$E$656,3,0)</f>
        <v>túi 4 cái</v>
      </c>
      <c r="E23" s="166">
        <f>VLOOKUP(B23,'Danh mục hàng hóa'!$C$3:$M$656,5,0)</f>
        <v>7167.5</v>
      </c>
      <c r="F23" s="313">
        <v>50</v>
      </c>
      <c r="G23" s="314"/>
    </row>
    <row r="24" spans="1:7" ht="13.2" hidden="1">
      <c r="A24" s="312">
        <v>45278</v>
      </c>
      <c r="B24" s="28" t="s">
        <v>433</v>
      </c>
      <c r="C24" s="143" t="str">
        <f>VLOOKUP(B24,'Danh mục hàng hóa'!$C$3:$D$643,2,0)</f>
        <v>Bao lì xì rồng lân</v>
      </c>
      <c r="D24" s="144" t="str">
        <f>VLOOKUP(B24,'Danh mục hàng hóa'!$C$3:$E$656,3,0)</f>
        <v>túi 4 cái</v>
      </c>
      <c r="E24" s="166">
        <f>VLOOKUP(B24,'Danh mục hàng hóa'!$C$3:$M$656,5,0)</f>
        <v>7167.5</v>
      </c>
      <c r="F24" s="313">
        <v>50</v>
      </c>
      <c r="G24" s="314"/>
    </row>
    <row r="25" spans="1:7" ht="13.2" hidden="1">
      <c r="A25" s="316">
        <v>45279</v>
      </c>
      <c r="B25" s="124" t="s">
        <v>401</v>
      </c>
      <c r="C25" s="143" t="str">
        <f>VLOOKUP(B25,'Danh mục hàng hóa'!$C$3:$D$643,2,0)</f>
        <v>Túi chườm bụng dứa xanh đậm  1000ml</v>
      </c>
      <c r="D25" s="144" t="str">
        <f>VLOOKUP(B25,'Danh mục hàng hóa'!$C$3:$E$656,3,0)</f>
        <v>túi</v>
      </c>
      <c r="E25" s="211">
        <v>75000</v>
      </c>
      <c r="F25" s="317"/>
      <c r="G25" s="313">
        <v>1</v>
      </c>
    </row>
    <row r="26" spans="1:7" ht="13.2" hidden="1">
      <c r="A26" s="316">
        <v>45279</v>
      </c>
      <c r="B26" s="28" t="s">
        <v>431</v>
      </c>
      <c r="C26" s="143" t="str">
        <f>VLOOKUP(B26,'Danh mục hàng hóa'!$C$3:$D$643,2,0)</f>
        <v>Bao lì xì rồng con</v>
      </c>
      <c r="D26" s="144" t="str">
        <f>VLOOKUP(B26,'Danh mục hàng hóa'!$C$3:$E$656,3,0)</f>
        <v>túi 4 cái</v>
      </c>
      <c r="E26" s="211">
        <f>200000/15</f>
        <v>13333.333333333334</v>
      </c>
      <c r="F26" s="317"/>
      <c r="G26" s="313">
        <v>15</v>
      </c>
    </row>
    <row r="27" spans="1:7" ht="13.2" hidden="1">
      <c r="A27" s="316">
        <v>45279</v>
      </c>
      <c r="B27" s="28" t="s">
        <v>435</v>
      </c>
      <c r="C27" s="143" t="str">
        <f>VLOOKUP(B27,'Danh mục hàng hóa'!$C$3:$D$643,2,0)</f>
        <v>Bao lì xì Tết tài lộc</v>
      </c>
      <c r="D27" s="144" t="str">
        <f>VLOOKUP(B27,'Danh mục hàng hóa'!$C$3:$E$656,3,0)</f>
        <v>set 6 cái</v>
      </c>
      <c r="E27" s="211">
        <f>183540/(30+2/3)</f>
        <v>5985</v>
      </c>
      <c r="F27" s="317"/>
      <c r="G27" s="313">
        <f>30+2/3</f>
        <v>30.666666666666668</v>
      </c>
    </row>
    <row r="28" spans="1:7" ht="13.2" hidden="1">
      <c r="A28" s="316">
        <v>45281</v>
      </c>
      <c r="B28" s="124" t="s">
        <v>414</v>
      </c>
      <c r="C28" s="143" t="str">
        <f>VLOOKUP(B28,'Danh mục hàng hóa'!$C$3:$D$643,2,0)</f>
        <v>Túi chườm bụng dâu tây 500ml</v>
      </c>
      <c r="D28" s="144" t="str">
        <f>VLOOKUP(B28,'Danh mục hàng hóa'!$C$3:$E$656,3,0)</f>
        <v>túi</v>
      </c>
      <c r="E28" s="211">
        <v>75000</v>
      </c>
      <c r="F28" s="317"/>
      <c r="G28" s="313">
        <v>1</v>
      </c>
    </row>
    <row r="29" spans="1:7" ht="13.2" hidden="1">
      <c r="A29" s="316">
        <v>45281</v>
      </c>
      <c r="B29" s="28" t="s">
        <v>409</v>
      </c>
      <c r="C29" s="143" t="str">
        <f>VLOOKUP(B29,'Danh mục hàng hóa'!$C$3:$D$643,2,0)</f>
        <v>Túi chườm bụng thỏ dứa 1000ml</v>
      </c>
      <c r="D29" s="144" t="str">
        <f>VLOOKUP(B29,'Danh mục hàng hóa'!$C$3:$E$656,3,0)</f>
        <v>túi</v>
      </c>
      <c r="E29" s="211">
        <v>90000</v>
      </c>
      <c r="F29" s="317"/>
      <c r="G29" s="313">
        <v>1</v>
      </c>
    </row>
    <row r="30" spans="1:7" ht="13.2" hidden="1">
      <c r="A30" s="316">
        <v>45281</v>
      </c>
      <c r="B30" s="28" t="s">
        <v>433</v>
      </c>
      <c r="C30" s="143" t="str">
        <f>VLOOKUP(B30,'Danh mục hàng hóa'!$C$3:$D$643,2,0)</f>
        <v>Bao lì xì rồng lân</v>
      </c>
      <c r="D30" s="144" t="str">
        <f>VLOOKUP(B30,'Danh mục hàng hóa'!$C$3:$E$656,3,0)</f>
        <v>túi 4 cái</v>
      </c>
      <c r="E30" s="211">
        <f>449266/35</f>
        <v>12836.171428571428</v>
      </c>
      <c r="F30" s="317"/>
      <c r="G30" s="313">
        <v>35</v>
      </c>
    </row>
    <row r="31" spans="1:7" ht="13.2" hidden="1">
      <c r="A31" s="316">
        <v>45283</v>
      </c>
      <c r="B31" s="124" t="s">
        <v>437</v>
      </c>
      <c r="C31" s="143" t="str">
        <f>VLOOKUP(B31,'Danh mục hàng hóa'!$C$3:$D$643,2,0)</f>
        <v>Bao lì xì Tết hoa</v>
      </c>
      <c r="D31" s="144" t="str">
        <f>VLOOKUP(B31,'Danh mục hàng hóa'!$C$3:$E$656,3,0)</f>
        <v>set 6 cái</v>
      </c>
      <c r="E31" s="211">
        <f>140150/(23+2/3)</f>
        <v>5921.8309859154924</v>
      </c>
      <c r="F31" s="317"/>
      <c r="G31" s="313">
        <f>23+2/3</f>
        <v>23.666666666666668</v>
      </c>
    </row>
    <row r="32" spans="1:7" ht="13.2" hidden="1">
      <c r="A32" s="316">
        <v>45284</v>
      </c>
      <c r="B32" s="28" t="s">
        <v>438</v>
      </c>
      <c r="C32" s="143" t="str">
        <f>VLOOKUP(B32,'Danh mục hàng hóa'!$C$3:$D$643,2,0)</f>
        <v>Bao lì xì Tết xanh</v>
      </c>
      <c r="D32" s="144" t="str">
        <f>VLOOKUP(B32,'Danh mục hàng hóa'!$C$3:$E$656,3,0)</f>
        <v>set 6 cái</v>
      </c>
      <c r="E32" s="211">
        <f>131736/(20+2/3)</f>
        <v>6374.322580645161</v>
      </c>
      <c r="F32" s="317"/>
      <c r="G32" s="313">
        <f>20+2/3</f>
        <v>20.666666666666668</v>
      </c>
    </row>
    <row r="33" spans="1:7" ht="13.2" hidden="1">
      <c r="A33" s="316">
        <v>45285</v>
      </c>
      <c r="B33" s="28" t="s">
        <v>439</v>
      </c>
      <c r="C33" s="143" t="str">
        <f>VLOOKUP(B33,'Danh mục hàng hóa'!$C$3:$D$643,2,0)</f>
        <v>Bao lì xì vui vẻ</v>
      </c>
      <c r="D33" s="144" t="str">
        <f>VLOOKUP(B33,'Danh mục hàng hóa'!$C$3:$E$656,3,0)</f>
        <v>set 6 cái</v>
      </c>
      <c r="E33" s="211">
        <f>183410/(30+2/3)</f>
        <v>5980.760869565217</v>
      </c>
      <c r="F33" s="317"/>
      <c r="G33" s="313">
        <f>30+2/3</f>
        <v>30.666666666666668</v>
      </c>
    </row>
    <row r="34" spans="1:7" ht="13.2" hidden="1">
      <c r="A34" s="316">
        <v>45286</v>
      </c>
      <c r="B34" s="28" t="s">
        <v>440</v>
      </c>
      <c r="C34" s="143" t="str">
        <f>VLOOKUP(B34,'Danh mục hàng hóa'!$C$3:$D$643,2,0)</f>
        <v>Bao lì xì ngộ nghĩnh</v>
      </c>
      <c r="D34" s="144" t="str">
        <f>VLOOKUP(B34,'Danh mục hàng hóa'!$C$3:$E$656,3,0)</f>
        <v>set 6 cái</v>
      </c>
      <c r="E34" s="211">
        <f>191150/(29+2/3)</f>
        <v>6443.2584269662921</v>
      </c>
      <c r="F34" s="317"/>
      <c r="G34" s="313">
        <f>29+2/3</f>
        <v>29.666666666666668</v>
      </c>
    </row>
    <row r="35" spans="1:7" ht="13.2" hidden="1">
      <c r="A35" s="316">
        <v>45280</v>
      </c>
      <c r="B35" s="28" t="s">
        <v>476</v>
      </c>
      <c r="C35" s="143" t="str">
        <f>VLOOKUP(B35,'Danh mục hàng hóa'!$C$3:$D$643,2,0)</f>
        <v>Trâm cài hoa trắng</v>
      </c>
      <c r="D35" s="144" t="str">
        <f>VLOOKUP(B35,'Danh mục hàng hóa'!$C$3:$E$656,3,0)</f>
        <v>cái</v>
      </c>
      <c r="E35" s="211">
        <v>14700</v>
      </c>
      <c r="F35" s="317"/>
      <c r="G35" s="313">
        <v>1</v>
      </c>
    </row>
    <row r="36" spans="1:7" ht="13.2" hidden="1">
      <c r="A36" s="316">
        <v>45282</v>
      </c>
      <c r="B36" s="124" t="s">
        <v>401</v>
      </c>
      <c r="C36" s="143" t="str">
        <f>VLOOKUP(B36,'Danh mục hàng hóa'!$C$3:$D$643,2,0)</f>
        <v>Túi chườm bụng dứa xanh đậm  1000ml</v>
      </c>
      <c r="D36" s="144" t="str">
        <f>VLOOKUP(B36,'Danh mục hàng hóa'!$C$3:$E$656,3,0)</f>
        <v>túi</v>
      </c>
      <c r="E36" s="211">
        <v>80000</v>
      </c>
      <c r="F36" s="317"/>
      <c r="G36" s="313">
        <v>1</v>
      </c>
    </row>
    <row r="37" spans="1:7" ht="13.2" hidden="1">
      <c r="A37" s="316">
        <v>45282</v>
      </c>
      <c r="B37" s="28" t="s">
        <v>416</v>
      </c>
      <c r="C37" s="143" t="str">
        <f>VLOOKUP(B37,'Danh mục hàng hóa'!$C$3:$D$643,2,0)</f>
        <v>Túi chườm bụng dứa xanh đậm  500ml</v>
      </c>
      <c r="D37" s="144" t="str">
        <f>VLOOKUP(B37,'Danh mục hàng hóa'!$C$3:$E$656,3,0)</f>
        <v>túi</v>
      </c>
      <c r="E37" s="211">
        <v>60000</v>
      </c>
      <c r="F37" s="317"/>
      <c r="G37" s="313">
        <v>1</v>
      </c>
    </row>
    <row r="38" spans="1:7" ht="13.2" hidden="1">
      <c r="A38" s="312">
        <v>45282</v>
      </c>
      <c r="B38" s="28" t="s">
        <v>435</v>
      </c>
      <c r="C38" s="143" t="str">
        <f>VLOOKUP(B38,'Danh mục hàng hóa'!$C$3:$D$643,2,0)</f>
        <v>Bao lì xì Tết tài lộc</v>
      </c>
      <c r="D38" s="144" t="str">
        <f>VLOOKUP(B38,'Danh mục hàng hóa'!$C$3:$E$656,3,0)</f>
        <v>set 6 cái</v>
      </c>
      <c r="E38" s="211">
        <v>3665</v>
      </c>
      <c r="F38" s="313">
        <v>100</v>
      </c>
      <c r="G38" s="167"/>
    </row>
    <row r="39" spans="1:7" ht="13.2" hidden="1">
      <c r="A39" s="312">
        <v>45282</v>
      </c>
      <c r="B39" s="124" t="s">
        <v>437</v>
      </c>
      <c r="C39" s="143" t="str">
        <f>VLOOKUP(B39,'Danh mục hàng hóa'!$C$3:$D$643,2,0)</f>
        <v>Bao lì xì Tết hoa</v>
      </c>
      <c r="D39" s="144" t="str">
        <f>VLOOKUP(B39,'Danh mục hàng hóa'!$C$3:$E$656,3,0)</f>
        <v>set 6 cái</v>
      </c>
      <c r="E39" s="211">
        <v>3665</v>
      </c>
      <c r="F39" s="313">
        <v>100</v>
      </c>
      <c r="G39" s="167"/>
    </row>
    <row r="40" spans="1:7" ht="13.2" hidden="1">
      <c r="A40" s="312">
        <v>45283</v>
      </c>
      <c r="B40" s="128" t="s">
        <v>442</v>
      </c>
      <c r="C40" s="143" t="str">
        <f>VLOOKUP(B40,'Danh mục hàng hóa'!$C$3:$D$643,2,0)</f>
        <v>Cài áo hoa hồng đen</v>
      </c>
      <c r="D40" s="144" t="str">
        <f>VLOOKUP(B40,'Danh mục hàng hóa'!$C$3:$E$656,3,0)</f>
        <v>cái</v>
      </c>
      <c r="E40" s="166">
        <f>VLOOKUP(B40,'Danh mục hàng hóa'!$C$3:$M$656,5,0)</f>
        <v>16910</v>
      </c>
      <c r="F40" s="313">
        <v>3</v>
      </c>
      <c r="G40" s="314"/>
    </row>
    <row r="41" spans="1:7" ht="13.2" hidden="1">
      <c r="A41" s="312">
        <v>45283</v>
      </c>
      <c r="B41" s="128" t="s">
        <v>445</v>
      </c>
      <c r="C41" s="143" t="str">
        <f>VLOOKUP(B41,'Danh mục hàng hóa'!$C$3:$D$643,2,0)</f>
        <v>Cài áo hoa hồng đỏ</v>
      </c>
      <c r="D41" s="144" t="str">
        <f>VLOOKUP(B41,'Danh mục hàng hóa'!$C$3:$E$656,3,0)</f>
        <v>cái</v>
      </c>
      <c r="E41" s="166">
        <f>VLOOKUP(B41,'Danh mục hàng hóa'!$C$3:$M$656,5,0)</f>
        <v>16910</v>
      </c>
      <c r="F41" s="313">
        <v>3</v>
      </c>
      <c r="G41" s="314"/>
    </row>
    <row r="42" spans="1:7" ht="13.2" hidden="1">
      <c r="A42" s="312">
        <v>45283</v>
      </c>
      <c r="B42" s="128" t="s">
        <v>447</v>
      </c>
      <c r="C42" s="143" t="str">
        <f>VLOOKUP(B42,'Danh mục hàng hóa'!$C$3:$D$643,2,0)</f>
        <v>Cài áo hoa hồng xanh có ngọc trai</v>
      </c>
      <c r="D42" s="144" t="str">
        <f>VLOOKUP(B42,'Danh mục hàng hóa'!$C$3:$E$656,3,0)</f>
        <v>cái</v>
      </c>
      <c r="E42" s="166">
        <f>VLOOKUP(B42,'Danh mục hàng hóa'!$C$3:$M$656,5,0)</f>
        <v>9810</v>
      </c>
      <c r="F42" s="313">
        <v>3</v>
      </c>
      <c r="G42" s="314"/>
    </row>
    <row r="43" spans="1:7" ht="13.2" hidden="1">
      <c r="A43" s="312">
        <v>45283</v>
      </c>
      <c r="B43" s="128" t="s">
        <v>449</v>
      </c>
      <c r="C43" s="143" t="str">
        <f>VLOOKUP(B43,'Danh mục hàng hóa'!$C$3:$D$643,2,0)</f>
        <v>Cài áo hoa hồng trắng có ngọc trai</v>
      </c>
      <c r="D43" s="144" t="str">
        <f>VLOOKUP(B43,'Danh mục hàng hóa'!$C$3:$E$656,3,0)</f>
        <v>cái</v>
      </c>
      <c r="E43" s="166">
        <f>VLOOKUP(B43,'Danh mục hàng hóa'!$C$3:$M$656,5,0)</f>
        <v>9810</v>
      </c>
      <c r="F43" s="313">
        <v>3</v>
      </c>
      <c r="G43" s="314"/>
    </row>
    <row r="44" spans="1:7" ht="13.2" hidden="1">
      <c r="A44" s="312">
        <v>45283</v>
      </c>
      <c r="B44" s="128" t="s">
        <v>451</v>
      </c>
      <c r="C44" s="143" t="str">
        <f>VLOOKUP(B44,'Danh mục hàng hóa'!$C$3:$D$643,2,0)</f>
        <v>Cài áo ngọc trai bướm vàng</v>
      </c>
      <c r="D44" s="144" t="str">
        <f>VLOOKUP(B44,'Danh mục hàng hóa'!$C$3:$E$656,3,0)</f>
        <v>cái</v>
      </c>
      <c r="E44" s="166">
        <f>VLOOKUP(B44,'Danh mục hàng hóa'!$C$3:$M$656,5,0)</f>
        <v>9810</v>
      </c>
      <c r="F44" s="313">
        <v>3</v>
      </c>
      <c r="G44" s="314"/>
    </row>
    <row r="45" spans="1:7" ht="13.2" hidden="1">
      <c r="A45" s="312">
        <v>45283</v>
      </c>
      <c r="B45" s="128" t="s">
        <v>453</v>
      </c>
      <c r="C45" s="143" t="str">
        <f>VLOOKUP(B45,'Danh mục hàng hóa'!$C$3:$D$643,2,0)</f>
        <v>Cài áo ngọc trai bướm bạc</v>
      </c>
      <c r="D45" s="144" t="str">
        <f>VLOOKUP(B45,'Danh mục hàng hóa'!$C$3:$E$656,3,0)</f>
        <v>cái</v>
      </c>
      <c r="E45" s="166">
        <f>VLOOKUP(B45,'Danh mục hàng hóa'!$C$3:$M$656,5,0)</f>
        <v>9810</v>
      </c>
      <c r="F45" s="313">
        <v>3</v>
      </c>
      <c r="G45" s="314"/>
    </row>
    <row r="46" spans="1:7" ht="13.2" hidden="1">
      <c r="A46" s="312">
        <v>45283</v>
      </c>
      <c r="B46" s="128" t="s">
        <v>455</v>
      </c>
      <c r="C46" s="143" t="str">
        <f>VLOOKUP(B46,'Danh mục hàng hóa'!$C$3:$D$643,2,0)</f>
        <v>Cài áo tulip</v>
      </c>
      <c r="D46" s="144" t="str">
        <f>VLOOKUP(B46,'Danh mục hàng hóa'!$C$3:$E$656,3,0)</f>
        <v>cái</v>
      </c>
      <c r="E46" s="166">
        <f>VLOOKUP(B46,'Danh mục hàng hóa'!$C$3:$M$656,5,0)</f>
        <v>11940</v>
      </c>
      <c r="F46" s="313">
        <v>3</v>
      </c>
      <c r="G46" s="314"/>
    </row>
    <row r="47" spans="1:7" ht="13.2" hidden="1">
      <c r="A47" s="312">
        <v>45283</v>
      </c>
      <c r="B47" s="128" t="s">
        <v>457</v>
      </c>
      <c r="C47" s="143" t="str">
        <f>VLOOKUP(B47,'Danh mục hàng hóa'!$C$3:$D$643,2,0)</f>
        <v>Cài áo lúa</v>
      </c>
      <c r="D47" s="144" t="str">
        <f>VLOOKUP(B47,'Danh mục hàng hóa'!$C$3:$E$656,3,0)</f>
        <v>cái</v>
      </c>
      <c r="E47" s="166">
        <f>VLOOKUP(B47,'Danh mục hàng hóa'!$C$3:$M$656,5,0)</f>
        <v>15135</v>
      </c>
      <c r="F47" s="313">
        <v>3</v>
      </c>
      <c r="G47" s="314"/>
    </row>
    <row r="48" spans="1:7" ht="13.2" hidden="1">
      <c r="A48" s="312">
        <v>45283</v>
      </c>
      <c r="B48" s="128" t="s">
        <v>459</v>
      </c>
      <c r="C48" s="143" t="str">
        <f>VLOOKUP(B48,'Danh mục hàng hóa'!$C$3:$D$643,2,0)</f>
        <v>Cài áo xương rồng</v>
      </c>
      <c r="D48" s="144" t="str">
        <f>VLOOKUP(B48,'Danh mục hàng hóa'!$C$3:$E$656,3,0)</f>
        <v>cái</v>
      </c>
      <c r="E48" s="166">
        <f>VLOOKUP(B48,'Danh mục hàng hóa'!$C$3:$M$656,5,0)</f>
        <v>15490</v>
      </c>
      <c r="F48" s="313">
        <v>3</v>
      </c>
      <c r="G48" s="314"/>
    </row>
    <row r="49" spans="1:7" ht="13.2" hidden="1">
      <c r="A49" s="312">
        <v>45283</v>
      </c>
      <c r="B49" s="128" t="s">
        <v>461</v>
      </c>
      <c r="C49" s="143" t="str">
        <f>VLOOKUP(B49,'Danh mục hàng hóa'!$C$3:$D$643,2,0)</f>
        <v>Cài áo trái tim vàng</v>
      </c>
      <c r="D49" s="144" t="str">
        <f>VLOOKUP(B49,'Danh mục hàng hóa'!$C$3:$E$656,3,0)</f>
        <v>cái</v>
      </c>
      <c r="E49" s="166">
        <f>VLOOKUP(B49,'Danh mục hàng hóa'!$C$3:$M$656,5,0)</f>
        <v>10165</v>
      </c>
      <c r="F49" s="313">
        <v>3</v>
      </c>
      <c r="G49" s="314"/>
    </row>
    <row r="50" spans="1:7" ht="13.2" hidden="1">
      <c r="A50" s="312">
        <v>45283</v>
      </c>
      <c r="B50" s="128" t="s">
        <v>463</v>
      </c>
      <c r="C50" s="143" t="str">
        <f>VLOOKUP(B50,'Danh mục hàng hóa'!$C$3:$D$643,2,0)</f>
        <v>Cài áo trái tim bạc</v>
      </c>
      <c r="D50" s="144" t="str">
        <f>VLOOKUP(B50,'Danh mục hàng hóa'!$C$3:$E$656,3,0)</f>
        <v>cái</v>
      </c>
      <c r="E50" s="166">
        <f>VLOOKUP(B50,'Danh mục hàng hóa'!$C$3:$M$656,5,0)</f>
        <v>10165</v>
      </c>
      <c r="F50" s="313">
        <v>3</v>
      </c>
      <c r="G50" s="314"/>
    </row>
    <row r="51" spans="1:7" ht="13.2" hidden="1">
      <c r="A51" s="312">
        <v>45283</v>
      </c>
      <c r="B51" s="128" t="s">
        <v>465</v>
      </c>
      <c r="C51" s="143" t="str">
        <f>VLOOKUP(B51,'Danh mục hàng hóa'!$C$3:$D$643,2,0)</f>
        <v>Cài áo kính vàng</v>
      </c>
      <c r="D51" s="144" t="str">
        <f>VLOOKUP(B51,'Danh mục hàng hóa'!$C$3:$E$656,3,0)</f>
        <v>cái</v>
      </c>
      <c r="E51" s="166">
        <f>VLOOKUP(B51,'Danh mục hàng hóa'!$C$3:$M$656,5,0)</f>
        <v>6260</v>
      </c>
      <c r="F51" s="313">
        <v>3</v>
      </c>
      <c r="G51" s="314"/>
    </row>
    <row r="52" spans="1:7" ht="13.2" hidden="1">
      <c r="A52" s="312">
        <v>45283</v>
      </c>
      <c r="B52" s="128" t="s">
        <v>467</v>
      </c>
      <c r="C52" s="143" t="str">
        <f>VLOOKUP(B52,'Danh mục hàng hóa'!$C$3:$D$643,2,0)</f>
        <v>Cài áo kính bạc</v>
      </c>
      <c r="D52" s="144" t="str">
        <f>VLOOKUP(B52,'Danh mục hàng hóa'!$C$3:$E$656,3,0)</f>
        <v>cái</v>
      </c>
      <c r="E52" s="166">
        <f>VLOOKUP(B52,'Danh mục hàng hóa'!$C$3:$M$656,5,0)</f>
        <v>6260</v>
      </c>
      <c r="F52" s="313">
        <v>3</v>
      </c>
      <c r="G52" s="314"/>
    </row>
    <row r="53" spans="1:7" ht="13.2" hidden="1">
      <c r="A53" s="312">
        <v>45283</v>
      </c>
      <c r="B53" s="128" t="s">
        <v>469</v>
      </c>
      <c r="C53" s="143" t="str">
        <f>VLOOKUP(B53,'Danh mục hàng hóa'!$C$3:$D$643,2,0)</f>
        <v>Cài áo ong</v>
      </c>
      <c r="D53" s="144" t="str">
        <f>VLOOKUP(B53,'Danh mục hàng hóa'!$C$3:$E$656,3,0)</f>
        <v>cái</v>
      </c>
      <c r="E53" s="166">
        <f>VLOOKUP(B53,'Danh mục hàng hóa'!$C$3:$M$656,5,0)</f>
        <v>14425</v>
      </c>
      <c r="F53" s="313">
        <v>3</v>
      </c>
      <c r="G53" s="314"/>
    </row>
    <row r="54" spans="1:7" ht="13.2" hidden="1">
      <c r="A54" s="312">
        <v>45283</v>
      </c>
      <c r="B54" s="128" t="s">
        <v>455</v>
      </c>
      <c r="C54" s="143" t="str">
        <f>VLOOKUP(B54,'Danh mục hàng hóa'!$C$3:$D$643,2,0)</f>
        <v>Cài áo tulip</v>
      </c>
      <c r="D54" s="144" t="str">
        <f>VLOOKUP(B54,'Danh mục hàng hóa'!$C$3:$E$656,3,0)</f>
        <v>cái</v>
      </c>
      <c r="E54" s="166">
        <f>VLOOKUP(B54,'Danh mục hàng hóa'!$C$3:$M$656,5,0)</f>
        <v>11940</v>
      </c>
      <c r="F54" s="313"/>
      <c r="G54" s="167">
        <v>1</v>
      </c>
    </row>
    <row r="55" spans="1:7" ht="13.2" hidden="1">
      <c r="A55" s="312">
        <v>45283</v>
      </c>
      <c r="B55" s="128" t="s">
        <v>457</v>
      </c>
      <c r="C55" s="143" t="str">
        <f>VLOOKUP(B55,'Danh mục hàng hóa'!$C$3:$D$643,2,0)</f>
        <v>Cài áo lúa</v>
      </c>
      <c r="D55" s="144" t="str">
        <f>VLOOKUP(B55,'Danh mục hàng hóa'!$C$3:$E$656,3,0)</f>
        <v>cái</v>
      </c>
      <c r="E55" s="166">
        <f>VLOOKUP(B55,'Danh mục hàng hóa'!$C$3:$M$656,5,0)</f>
        <v>15135</v>
      </c>
      <c r="F55" s="313"/>
      <c r="G55" s="167">
        <v>1</v>
      </c>
    </row>
    <row r="56" spans="1:7" ht="13.2" hidden="1">
      <c r="A56" s="312">
        <v>45283</v>
      </c>
      <c r="B56" s="28" t="s">
        <v>552</v>
      </c>
      <c r="C56" s="143" t="str">
        <f>VLOOKUP(B56,'Danh mục hàng hóa'!$C$3:$D$643,2,0)</f>
        <v>Ống 20 dây cột tóc kem be nâu</v>
      </c>
      <c r="D56" s="144" t="str">
        <f>VLOOKUP(B56,'Danh mục hàng hóa'!$C$3:$E$656,3,0)</f>
        <v>ống</v>
      </c>
      <c r="E56" s="166">
        <f>VLOOKUP(B56,'Danh mục hàng hóa'!$C$3:$M$656,5,0)</f>
        <v>6680</v>
      </c>
      <c r="F56" s="313">
        <v>5</v>
      </c>
      <c r="G56" s="314"/>
    </row>
    <row r="57" spans="1:7" ht="13.2" hidden="1">
      <c r="A57" s="312">
        <v>45283</v>
      </c>
      <c r="B57" s="28" t="s">
        <v>554</v>
      </c>
      <c r="C57" s="143" t="str">
        <f>VLOOKUP(B57,'Danh mục hàng hóa'!$C$3:$D$643,2,0)</f>
        <v>Ống 50 dây cột tóc đen</v>
      </c>
      <c r="D57" s="144" t="str">
        <f>VLOOKUP(B57,'Danh mục hàng hóa'!$C$3:$E$656,3,0)</f>
        <v>ống</v>
      </c>
      <c r="E57" s="166">
        <f>VLOOKUP(B57,'Danh mục hàng hóa'!$C$3:$M$656,5,0)</f>
        <v>10940</v>
      </c>
      <c r="F57" s="313">
        <v>8</v>
      </c>
      <c r="G57" s="314"/>
    </row>
    <row r="58" spans="1:7" ht="13.2" hidden="1">
      <c r="A58" s="312">
        <v>45283</v>
      </c>
      <c r="B58" s="28" t="s">
        <v>556</v>
      </c>
      <c r="C58" s="143" t="str">
        <f>VLOOKUP(B58,'Danh mục hàng hóa'!$C$3:$D$643,2,0)</f>
        <v>Ống 50 dây cột tóc đen be nâu</v>
      </c>
      <c r="D58" s="144" t="str">
        <f>VLOOKUP(B58,'Danh mục hàng hóa'!$C$3:$E$656,3,0)</f>
        <v>ống</v>
      </c>
      <c r="E58" s="166">
        <f>VLOOKUP(B58,'Danh mục hàng hóa'!$C$3:$M$656,5,0)</f>
        <v>10940</v>
      </c>
      <c r="F58" s="313">
        <v>3</v>
      </c>
      <c r="G58" s="314"/>
    </row>
    <row r="59" spans="1:7" ht="13.2" hidden="1">
      <c r="A59" s="312">
        <v>45283</v>
      </c>
      <c r="B59" s="28" t="s">
        <v>558</v>
      </c>
      <c r="C59" s="143" t="str">
        <f>VLOOKUP(B59,'Danh mục hàng hóa'!$C$3:$D$643,2,0)</f>
        <v>Ống 50 dây cột tóc be nâu</v>
      </c>
      <c r="D59" s="144" t="str">
        <f>VLOOKUP(B59,'Danh mục hàng hóa'!$C$3:$E$656,3,0)</f>
        <v>ống</v>
      </c>
      <c r="E59" s="166">
        <f>VLOOKUP(B59,'Danh mục hàng hóa'!$C$3:$M$656,5,0)</f>
        <v>10940</v>
      </c>
      <c r="F59" s="313">
        <v>4</v>
      </c>
      <c r="G59" s="314"/>
    </row>
    <row r="60" spans="1:7" ht="13.2" hidden="1">
      <c r="A60" s="312">
        <v>45283</v>
      </c>
      <c r="B60" s="28" t="s">
        <v>560</v>
      </c>
      <c r="C60" s="143" t="str">
        <f>VLOOKUP(B60,'Danh mục hàng hóa'!$C$3:$D$643,2,0)</f>
        <v>Ống 50 dây cột tóc nhiều màu</v>
      </c>
      <c r="D60" s="144" t="str">
        <f>VLOOKUP(B60,'Danh mục hàng hóa'!$C$3:$E$656,3,0)</f>
        <v>ống</v>
      </c>
      <c r="E60" s="166">
        <f>VLOOKUP(B60,'Danh mục hàng hóa'!$C$3:$M$656,5,0)</f>
        <v>10940</v>
      </c>
      <c r="F60" s="313">
        <v>1</v>
      </c>
      <c r="G60" s="314"/>
    </row>
    <row r="61" spans="1:7" ht="13.2" hidden="1">
      <c r="A61" s="312">
        <v>45283</v>
      </c>
      <c r="B61" s="28" t="s">
        <v>562</v>
      </c>
      <c r="C61" s="143" t="str">
        <f>VLOOKUP(B61,'Danh mục hàng hóa'!$C$3:$D$643,2,0)</f>
        <v>Ống 10 dây cột tóc đen</v>
      </c>
      <c r="D61" s="144" t="str">
        <f>VLOOKUP(B61,'Danh mục hàng hóa'!$C$3:$E$656,3,0)</f>
        <v>ống</v>
      </c>
      <c r="E61" s="166">
        <f>VLOOKUP(B61,'Danh mục hàng hóa'!$C$3:$M$656,5,0)</f>
        <v>15200</v>
      </c>
      <c r="F61" s="313">
        <v>5</v>
      </c>
      <c r="G61" s="314"/>
    </row>
    <row r="62" spans="1:7" ht="13.2" hidden="1">
      <c r="A62" s="312">
        <v>45283</v>
      </c>
      <c r="B62" s="28" t="s">
        <v>564</v>
      </c>
      <c r="C62" s="143" t="str">
        <f>VLOOKUP(B62,'Danh mục hàng hóa'!$C$3:$D$643,2,0)</f>
        <v>Ống 8 dây cột tóc đen xoắn</v>
      </c>
      <c r="D62" s="144" t="str">
        <f>VLOOKUP(B62,'Danh mục hàng hóa'!$C$3:$E$656,3,0)</f>
        <v>ống</v>
      </c>
      <c r="E62" s="166">
        <f>VLOOKUP(B62,'Danh mục hàng hóa'!$C$3:$M$656,5,0)</f>
        <v>15200</v>
      </c>
      <c r="F62" s="313">
        <v>2</v>
      </c>
      <c r="G62" s="314"/>
    </row>
    <row r="63" spans="1:7" ht="13.2" hidden="1">
      <c r="A63" s="312">
        <v>45283</v>
      </c>
      <c r="B63" s="28" t="s">
        <v>566</v>
      </c>
      <c r="C63" s="143" t="str">
        <f>VLOOKUP(B63,'Danh mục hàng hóa'!$C$3:$D$643,2,0)</f>
        <v>Ống 8 dây cột tóc đen nâu be</v>
      </c>
      <c r="D63" s="144" t="str">
        <f>VLOOKUP(B63,'Danh mục hàng hóa'!$C$3:$E$656,3,0)</f>
        <v>ống</v>
      </c>
      <c r="E63" s="166">
        <f>VLOOKUP(B63,'Danh mục hàng hóa'!$C$3:$M$656,5,0)</f>
        <v>15200</v>
      </c>
      <c r="F63" s="313">
        <v>2</v>
      </c>
      <c r="G63" s="314"/>
    </row>
    <row r="64" spans="1:7" ht="13.2" hidden="1">
      <c r="A64" s="312">
        <v>45283</v>
      </c>
      <c r="B64" s="28" t="s">
        <v>568</v>
      </c>
      <c r="C64" s="143" t="str">
        <f>VLOOKUP(B64,'Danh mục hàng hóa'!$C$3:$D$643,2,0)</f>
        <v>Ống 100 dây cột tóc đen</v>
      </c>
      <c r="D64" s="144" t="str">
        <f>VLOOKUP(B64,'Danh mục hàng hóa'!$C$3:$E$656,3,0)</f>
        <v>ống</v>
      </c>
      <c r="E64" s="166">
        <f>VLOOKUP(B64,'Danh mục hàng hóa'!$C$3:$M$656,5,0)</f>
        <v>14490</v>
      </c>
      <c r="F64" s="313">
        <v>8</v>
      </c>
      <c r="G64" s="314"/>
    </row>
    <row r="65" spans="1:7" ht="13.2" hidden="1">
      <c r="A65" s="312">
        <v>45283</v>
      </c>
      <c r="B65" s="28" t="s">
        <v>570</v>
      </c>
      <c r="C65" s="143" t="str">
        <f>VLOOKUP(B65,'Danh mục hàng hóa'!$C$3:$D$643,2,0)</f>
        <v>Ống 100 dây cột tóc đen nâu be</v>
      </c>
      <c r="D65" s="144" t="str">
        <f>VLOOKUP(B65,'Danh mục hàng hóa'!$C$3:$E$656,3,0)</f>
        <v>ống</v>
      </c>
      <c r="E65" s="166">
        <f>VLOOKUP(B65,'Danh mục hàng hóa'!$C$3:$M$656,5,0)</f>
        <v>14490</v>
      </c>
      <c r="F65" s="313">
        <v>3</v>
      </c>
      <c r="G65" s="314"/>
    </row>
    <row r="66" spans="1:7" ht="13.2" hidden="1">
      <c r="A66" s="312">
        <v>45283</v>
      </c>
      <c r="B66" s="28" t="s">
        <v>572</v>
      </c>
      <c r="C66" s="143" t="str">
        <f>VLOOKUP(B66,'Danh mục hàng hóa'!$C$3:$D$643,2,0)</f>
        <v>Ống 100 dây cột tóc be nâu</v>
      </c>
      <c r="D66" s="144" t="str">
        <f>VLOOKUP(B66,'Danh mục hàng hóa'!$C$3:$E$656,3,0)</f>
        <v>ống</v>
      </c>
      <c r="E66" s="166">
        <f>VLOOKUP(B66,'Danh mục hàng hóa'!$C$3:$M$656,5,0)</f>
        <v>14490</v>
      </c>
      <c r="F66" s="313">
        <v>4</v>
      </c>
      <c r="G66" s="314"/>
    </row>
    <row r="67" spans="1:7" ht="13.2" hidden="1">
      <c r="A67" s="312">
        <v>45283</v>
      </c>
      <c r="B67" s="28" t="s">
        <v>574</v>
      </c>
      <c r="C67" s="143" t="str">
        <f>VLOOKUP(B67,'Danh mục hàng hóa'!$C$3:$D$643,2,0)</f>
        <v>Ống 100 dây cột tóc nhiều màu</v>
      </c>
      <c r="D67" s="144" t="str">
        <f>VLOOKUP(B67,'Danh mục hàng hóa'!$C$3:$E$656,3,0)</f>
        <v>ống</v>
      </c>
      <c r="E67" s="166">
        <f>VLOOKUP(B67,'Danh mục hàng hóa'!$C$3:$M$656,5,0)</f>
        <v>14490</v>
      </c>
      <c r="F67" s="313">
        <v>1</v>
      </c>
      <c r="G67" s="314"/>
    </row>
    <row r="68" spans="1:7" ht="13.2" hidden="1">
      <c r="A68" s="312">
        <v>45283</v>
      </c>
      <c r="B68" s="28" t="s">
        <v>576</v>
      </c>
      <c r="C68" s="143" t="str">
        <f>VLOOKUP(B68,'Danh mục hàng hóa'!$C$3:$D$643,2,0)</f>
        <v>Ống 6 dây cột tóc đen</v>
      </c>
      <c r="D68" s="144" t="str">
        <f>VLOOKUP(B68,'Danh mục hàng hóa'!$C$3:$E$656,3,0)</f>
        <v>ống</v>
      </c>
      <c r="E68" s="166">
        <f>VLOOKUP(B68,'Danh mục hàng hóa'!$C$3:$M$656,5,0)</f>
        <v>8100</v>
      </c>
      <c r="F68" s="313">
        <v>10</v>
      </c>
      <c r="G68" s="314"/>
    </row>
    <row r="69" spans="1:7" ht="13.2" hidden="1">
      <c r="A69" s="312">
        <v>45283</v>
      </c>
      <c r="B69" s="28" t="s">
        <v>578</v>
      </c>
      <c r="C69" s="143" t="str">
        <f>VLOOKUP(B69,'Danh mục hàng hóa'!$C$3:$D$643,2,0)</f>
        <v>Ống 6 dâu cột tóc nâu</v>
      </c>
      <c r="D69" s="144" t="str">
        <f>VLOOKUP(B69,'Danh mục hàng hóa'!$C$3:$E$656,3,0)</f>
        <v>ống</v>
      </c>
      <c r="E69" s="166">
        <f>VLOOKUP(B69,'Danh mục hàng hóa'!$C$3:$M$656,5,0)</f>
        <v>8100</v>
      </c>
      <c r="F69" s="313">
        <v>10</v>
      </c>
      <c r="G69" s="314"/>
    </row>
    <row r="70" spans="1:7" ht="13.2" hidden="1">
      <c r="A70" s="312">
        <v>45283</v>
      </c>
      <c r="B70" s="28" t="s">
        <v>580</v>
      </c>
      <c r="C70" s="143" t="str">
        <f>VLOOKUP(B70,'Danh mục hàng hóa'!$C$3:$D$643,2,0)</f>
        <v>Ống 6 dây cột tóc be nâu</v>
      </c>
      <c r="D70" s="144" t="str">
        <f>VLOOKUP(B70,'Danh mục hàng hóa'!$C$3:$E$656,3,0)</f>
        <v>ống</v>
      </c>
      <c r="E70" s="166">
        <f>VLOOKUP(B70,'Danh mục hàng hóa'!$C$3:$M$656,5,0)</f>
        <v>8100</v>
      </c>
      <c r="F70" s="313">
        <v>10</v>
      </c>
      <c r="G70" s="314"/>
    </row>
    <row r="71" spans="1:7" ht="13.2" hidden="1">
      <c r="A71" s="312">
        <v>45283</v>
      </c>
      <c r="B71" s="28" t="s">
        <v>582</v>
      </c>
      <c r="C71" s="143" t="str">
        <f>VLOOKUP(B71,'Danh mục hàng hóa'!$C$3:$D$643,2,0)</f>
        <v>Kẹp tóc nhựa đen</v>
      </c>
      <c r="D71" s="144" t="str">
        <f>VLOOKUP(B71,'Danh mục hàng hóa'!$C$3:$E$656,3,0)</f>
        <v>cái</v>
      </c>
      <c r="E71" s="166">
        <f>VLOOKUP(B71,'Danh mục hàng hóa'!$C$3:$M$656,5,0)</f>
        <v>8810</v>
      </c>
      <c r="F71" s="313">
        <v>3</v>
      </c>
      <c r="G71" s="314"/>
    </row>
    <row r="72" spans="1:7" ht="13.2" hidden="1">
      <c r="A72" s="312">
        <v>45283</v>
      </c>
      <c r="B72" s="28" t="s">
        <v>584</v>
      </c>
      <c r="C72" s="143" t="str">
        <f>VLOOKUP(B72,'Danh mục hàng hóa'!$C$3:$D$643,2,0)</f>
        <v>Kẹp tóc nhựa nâu đậm</v>
      </c>
      <c r="D72" s="144" t="str">
        <f>VLOOKUP(B72,'Danh mục hàng hóa'!$C$3:$E$656,3,0)</f>
        <v>cái</v>
      </c>
      <c r="E72" s="166">
        <f>VLOOKUP(B72,'Danh mục hàng hóa'!$C$3:$M$656,5,0)</f>
        <v>8810</v>
      </c>
      <c r="F72" s="313">
        <v>3</v>
      </c>
      <c r="G72" s="314"/>
    </row>
    <row r="73" spans="1:7" ht="13.2" hidden="1">
      <c r="A73" s="312">
        <v>45283</v>
      </c>
      <c r="B73" s="28" t="s">
        <v>586</v>
      </c>
      <c r="C73" s="143" t="str">
        <f>VLOOKUP(B73,'Danh mục hàng hóa'!$C$3:$D$643,2,0)</f>
        <v>Kẹp tóc nhựa nâu nhạt</v>
      </c>
      <c r="D73" s="144" t="str">
        <f>VLOOKUP(B73,'Danh mục hàng hóa'!$C$3:$E$656,3,0)</f>
        <v>cái</v>
      </c>
      <c r="E73" s="166">
        <f>VLOOKUP(B73,'Danh mục hàng hóa'!$C$3:$M$656,5,0)</f>
        <v>8810</v>
      </c>
      <c r="F73" s="313">
        <v>3</v>
      </c>
      <c r="G73" s="314"/>
    </row>
    <row r="74" spans="1:7" ht="13.2" hidden="1">
      <c r="A74" s="312">
        <v>45283</v>
      </c>
      <c r="B74" s="28" t="s">
        <v>588</v>
      </c>
      <c r="C74" s="143" t="str">
        <f>VLOOKUP(B74,'Danh mục hàng hóa'!$C$3:$D$643,2,0)</f>
        <v>Kẹp tóc nhựa be</v>
      </c>
      <c r="D74" s="144" t="str">
        <f>VLOOKUP(B74,'Danh mục hàng hóa'!$C$3:$E$656,3,0)</f>
        <v>cái</v>
      </c>
      <c r="E74" s="166">
        <f>VLOOKUP(B74,'Danh mục hàng hóa'!$C$3:$M$656,5,0)</f>
        <v>8810</v>
      </c>
      <c r="F74" s="313">
        <v>2</v>
      </c>
      <c r="G74" s="314"/>
    </row>
    <row r="75" spans="1:7" ht="13.2" hidden="1">
      <c r="A75" s="312">
        <v>45283</v>
      </c>
      <c r="B75" s="28" t="s">
        <v>590</v>
      </c>
      <c r="C75" s="143" t="str">
        <f>VLOOKUP(B75,'Danh mục hàng hóa'!$C$3:$D$643,2,0)</f>
        <v>Kẹp tóc nhựa kem</v>
      </c>
      <c r="D75" s="144" t="str">
        <f>VLOOKUP(B75,'Danh mục hàng hóa'!$C$3:$E$656,3,0)</f>
        <v>cái</v>
      </c>
      <c r="E75" s="166">
        <f>VLOOKUP(B75,'Danh mục hàng hóa'!$C$3:$M$656,5,0)</f>
        <v>8810</v>
      </c>
      <c r="F75" s="313">
        <v>3</v>
      </c>
      <c r="G75" s="314"/>
    </row>
    <row r="76" spans="1:7" ht="13.2" hidden="1">
      <c r="A76" s="312">
        <v>45283</v>
      </c>
      <c r="B76" s="28" t="s">
        <v>629</v>
      </c>
      <c r="C76" s="143" t="str">
        <f>VLOOKUP(B76,'Danh mục hàng hóa'!$C$3:$D$643,2,0)</f>
        <v>Kẹp tóc lông nâu đậm</v>
      </c>
      <c r="D76" s="144" t="str">
        <f>VLOOKUP(B76,'Danh mục hàng hóa'!$C$3:$E$656,3,0)</f>
        <v>cái</v>
      </c>
      <c r="E76" s="166">
        <f>VLOOKUP(B76,'Danh mục hàng hóa'!$C$3:$M$656,5,0)</f>
        <v>9875</v>
      </c>
      <c r="F76" s="313">
        <v>3</v>
      </c>
      <c r="G76" s="314"/>
    </row>
    <row r="77" spans="1:7" ht="13.2" hidden="1">
      <c r="A77" s="312">
        <v>45283</v>
      </c>
      <c r="B77" s="28" t="s">
        <v>631</v>
      </c>
      <c r="C77" s="143" t="str">
        <f>VLOOKUP(B77,'Danh mục hàng hóa'!$C$3:$D$643,2,0)</f>
        <v>Kẹp tóc lông nâu nhạt</v>
      </c>
      <c r="D77" s="144" t="str">
        <f>VLOOKUP(B77,'Danh mục hàng hóa'!$C$3:$E$656,3,0)</f>
        <v>cái</v>
      </c>
      <c r="E77" s="166">
        <f>VLOOKUP(B77,'Danh mục hàng hóa'!$C$3:$M$656,5,0)</f>
        <v>9875</v>
      </c>
      <c r="F77" s="313">
        <v>3</v>
      </c>
      <c r="G77" s="314"/>
    </row>
    <row r="78" spans="1:7" ht="13.2" hidden="1">
      <c r="A78" s="312">
        <v>45283</v>
      </c>
      <c r="B78" s="28" t="s">
        <v>633</v>
      </c>
      <c r="C78" s="143" t="str">
        <f>VLOOKUP(B78,'Danh mục hàng hóa'!$C$3:$D$643,2,0)</f>
        <v>Kẹp tóc lông be</v>
      </c>
      <c r="D78" s="144" t="str">
        <f>VLOOKUP(B78,'Danh mục hàng hóa'!$C$3:$E$656,3,0)</f>
        <v>cái</v>
      </c>
      <c r="E78" s="166">
        <f>VLOOKUP(B78,'Danh mục hàng hóa'!$C$3:$M$656,5,0)</f>
        <v>9875</v>
      </c>
      <c r="F78" s="313">
        <v>3</v>
      </c>
      <c r="G78" s="314"/>
    </row>
    <row r="79" spans="1:7" ht="13.2" hidden="1">
      <c r="A79" s="312">
        <v>45283</v>
      </c>
      <c r="B79" s="28" t="s">
        <v>635</v>
      </c>
      <c r="C79" s="143" t="str">
        <f>VLOOKUP(B79,'Danh mục hàng hóa'!$C$3:$D$643,2,0)</f>
        <v>Kẹp tóc len hoa cam</v>
      </c>
      <c r="D79" s="144" t="str">
        <f>VLOOKUP(B79,'Danh mục hàng hóa'!$C$3:$E$656,3,0)</f>
        <v>cái</v>
      </c>
      <c r="E79" s="166">
        <f>VLOOKUP(B79,'Danh mục hàng hóa'!$C$3:$M$656,5,0)</f>
        <v>18750</v>
      </c>
      <c r="F79" s="313">
        <v>7</v>
      </c>
      <c r="G79" s="314"/>
    </row>
    <row r="80" spans="1:7" ht="13.2" hidden="1">
      <c r="A80" s="312">
        <v>45283</v>
      </c>
      <c r="B80" s="28" t="s">
        <v>637</v>
      </c>
      <c r="C80" s="143" t="str">
        <f>VLOOKUP(B80,'Danh mục hàng hóa'!$C$3:$D$643,2,0)</f>
        <v>Kẹp tóc len hoa trắng</v>
      </c>
      <c r="D80" s="144" t="str">
        <f>VLOOKUP(B80,'Danh mục hàng hóa'!$C$3:$E$656,3,0)</f>
        <v>cái</v>
      </c>
      <c r="E80" s="166">
        <f>VLOOKUP(B80,'Danh mục hàng hóa'!$C$3:$M$656,5,0)</f>
        <v>18750</v>
      </c>
      <c r="F80" s="313">
        <v>2</v>
      </c>
      <c r="G80" s="314"/>
    </row>
    <row r="81" spans="1:7" ht="13.2" hidden="1">
      <c r="A81" s="312">
        <v>45283</v>
      </c>
      <c r="B81" s="28" t="s">
        <v>639</v>
      </c>
      <c r="C81" s="143" t="str">
        <f>VLOOKUP(B81,'Danh mục hàng hóa'!$C$3:$D$643,2,0)</f>
        <v>Kẹp tóc len hoa be</v>
      </c>
      <c r="D81" s="144" t="str">
        <f>VLOOKUP(B81,'Danh mục hàng hóa'!$C$3:$E$656,3,0)</f>
        <v>cái</v>
      </c>
      <c r="E81" s="166">
        <f>VLOOKUP(B81,'Danh mục hàng hóa'!$C$3:$M$656,5,0)</f>
        <v>18750</v>
      </c>
      <c r="F81" s="313">
        <v>2</v>
      </c>
      <c r="G81" s="314"/>
    </row>
    <row r="82" spans="1:7" ht="13.2" hidden="1">
      <c r="A82" s="312">
        <v>45283</v>
      </c>
      <c r="B82" s="28" t="s">
        <v>641</v>
      </c>
      <c r="C82" s="143" t="str">
        <f>VLOOKUP(B82,'Danh mục hàng hóa'!$C$3:$D$643,2,0)</f>
        <v>Cài tóc đen</v>
      </c>
      <c r="D82" s="144" t="str">
        <f>VLOOKUP(B82,'Danh mục hàng hóa'!$C$3:$E$656,3,0)</f>
        <v>cái</v>
      </c>
      <c r="E82" s="166">
        <f>VLOOKUP(B82,'Danh mục hàng hóa'!$C$3:$M$656,5,0)</f>
        <v>11650</v>
      </c>
      <c r="F82" s="313">
        <v>3</v>
      </c>
      <c r="G82" s="314"/>
    </row>
    <row r="83" spans="1:7" ht="13.2" hidden="1">
      <c r="A83" s="312">
        <v>45283</v>
      </c>
      <c r="B83" s="28" t="s">
        <v>643</v>
      </c>
      <c r="C83" s="143" t="str">
        <f>VLOOKUP(B83,'Danh mục hàng hóa'!$C$3:$D$643,2,0)</f>
        <v>Cài tóc nâu</v>
      </c>
      <c r="D83" s="144" t="str">
        <f>VLOOKUP(B83,'Danh mục hàng hóa'!$C$3:$E$656,3,0)</f>
        <v>cái</v>
      </c>
      <c r="E83" s="166">
        <f>VLOOKUP(B83,'Danh mục hàng hóa'!$C$3:$M$656,5,0)</f>
        <v>11650</v>
      </c>
      <c r="F83" s="313">
        <v>3</v>
      </c>
      <c r="G83" s="314"/>
    </row>
    <row r="84" spans="1:7" ht="13.2" hidden="1">
      <c r="A84" s="312">
        <v>45283</v>
      </c>
      <c r="B84" s="28" t="s">
        <v>645</v>
      </c>
      <c r="C84" s="143" t="str">
        <f>VLOOKUP(B84,'Danh mục hàng hóa'!$C$3:$D$643,2,0)</f>
        <v>Cài tóc be</v>
      </c>
      <c r="D84" s="144" t="str">
        <f>VLOOKUP(B84,'Danh mục hàng hóa'!$C$3:$E$656,3,0)</f>
        <v>cái</v>
      </c>
      <c r="E84" s="166">
        <f>VLOOKUP(B84,'Danh mục hàng hóa'!$C$3:$M$656,5,0)</f>
        <v>11650</v>
      </c>
      <c r="F84" s="313">
        <v>3</v>
      </c>
      <c r="G84" s="314"/>
    </row>
    <row r="85" spans="1:7" ht="13.2" hidden="1">
      <c r="A85" s="312">
        <v>45283</v>
      </c>
      <c r="B85" s="28" t="s">
        <v>647</v>
      </c>
      <c r="C85" s="143" t="str">
        <f>VLOOKUP(B85,'Danh mục hàng hóa'!$C$3:$D$643,2,0)</f>
        <v>Cài tóc kem</v>
      </c>
      <c r="D85" s="144" t="str">
        <f>VLOOKUP(B85,'Danh mục hàng hóa'!$C$3:$E$656,3,0)</f>
        <v>cái</v>
      </c>
      <c r="E85" s="166">
        <f>VLOOKUP(B85,'Danh mục hàng hóa'!$C$3:$M$656,5,0)</f>
        <v>11650</v>
      </c>
      <c r="F85" s="313">
        <v>3</v>
      </c>
      <c r="G85" s="314"/>
    </row>
    <row r="86" spans="1:7" ht="13.2" hidden="1">
      <c r="A86" s="312">
        <v>45283</v>
      </c>
      <c r="B86" s="28" t="s">
        <v>649</v>
      </c>
      <c r="C86" s="143" t="str">
        <f>VLOOKUP(B86,'Danh mục hàng hóa'!$C$3:$D$643,2,0)</f>
        <v>Buộc tóc hoa cam</v>
      </c>
      <c r="D86" s="144" t="str">
        <f>VLOOKUP(B86,'Danh mục hàng hóa'!$C$3:$E$656,3,0)</f>
        <v>cái</v>
      </c>
      <c r="E86" s="166">
        <f>VLOOKUP(B86,'Danh mục hàng hóa'!$C$3:$M$656,5,0)</f>
        <v>10230</v>
      </c>
      <c r="F86" s="313">
        <v>3</v>
      </c>
      <c r="G86" s="314"/>
    </row>
    <row r="87" spans="1:7" ht="13.2" hidden="1">
      <c r="A87" s="312">
        <v>45283</v>
      </c>
      <c r="B87" s="28" t="s">
        <v>651</v>
      </c>
      <c r="C87" s="143" t="str">
        <f>VLOOKUP(B87,'Danh mục hàng hóa'!$C$3:$D$643,2,0)</f>
        <v>Buộc tóc hoa hồng</v>
      </c>
      <c r="D87" s="144" t="str">
        <f>VLOOKUP(B87,'Danh mục hàng hóa'!$C$3:$E$656,3,0)</f>
        <v>cái</v>
      </c>
      <c r="E87" s="166">
        <f>VLOOKUP(B87,'Danh mục hàng hóa'!$C$3:$M$656,5,0)</f>
        <v>10230</v>
      </c>
      <c r="F87" s="313">
        <v>3</v>
      </c>
      <c r="G87" s="314"/>
    </row>
    <row r="88" spans="1:7" ht="13.2" hidden="1">
      <c r="A88" s="312">
        <v>45283</v>
      </c>
      <c r="B88" s="28" t="s">
        <v>653</v>
      </c>
      <c r="C88" s="143" t="str">
        <f>VLOOKUP(B88,'Danh mục hàng hóa'!$C$3:$D$643,2,0)</f>
        <v>Buộc tóc hoa tím</v>
      </c>
      <c r="D88" s="144" t="str">
        <f>VLOOKUP(B88,'Danh mục hàng hóa'!$C$3:$E$656,3,0)</f>
        <v>cái</v>
      </c>
      <c r="E88" s="166">
        <f>VLOOKUP(B88,'Danh mục hàng hóa'!$C$3:$M$656,5,0)</f>
        <v>10230</v>
      </c>
      <c r="F88" s="313">
        <v>3</v>
      </c>
      <c r="G88" s="314"/>
    </row>
    <row r="89" spans="1:7" ht="13.2" hidden="1">
      <c r="A89" s="312">
        <v>45283</v>
      </c>
      <c r="B89" s="28" t="s">
        <v>655</v>
      </c>
      <c r="C89" s="143" t="str">
        <f>VLOOKUP(B89,'Danh mục hàng hóa'!$C$3:$D$643,2,0)</f>
        <v>Buộc tóc hoa vàng</v>
      </c>
      <c r="D89" s="144" t="str">
        <f>VLOOKUP(B89,'Danh mục hàng hóa'!$C$3:$E$656,3,0)</f>
        <v>cái</v>
      </c>
      <c r="E89" s="166">
        <f>VLOOKUP(B89,'Danh mục hàng hóa'!$C$3:$M$656,5,0)</f>
        <v>10230</v>
      </c>
      <c r="F89" s="313">
        <v>2</v>
      </c>
      <c r="G89" s="314"/>
    </row>
    <row r="90" spans="1:7" ht="13.2" hidden="1">
      <c r="A90" s="312">
        <v>45283</v>
      </c>
      <c r="B90" s="28" t="s">
        <v>657</v>
      </c>
      <c r="C90" s="143" t="str">
        <f>VLOOKUP(B90,'Danh mục hàng hóa'!$C$3:$D$643,2,0)</f>
        <v>Buộc tóc hoa xanh</v>
      </c>
      <c r="D90" s="144" t="str">
        <f>VLOOKUP(B90,'Danh mục hàng hóa'!$C$3:$E$656,3,0)</f>
        <v>cái</v>
      </c>
      <c r="E90" s="166">
        <f>VLOOKUP(B90,'Danh mục hàng hóa'!$C$3:$M$656,5,0)</f>
        <v>10230</v>
      </c>
      <c r="F90" s="313">
        <v>2</v>
      </c>
      <c r="G90" s="314"/>
    </row>
    <row r="91" spans="1:7" ht="13.2" hidden="1">
      <c r="A91" s="312">
        <v>45283</v>
      </c>
      <c r="B91" s="28" t="s">
        <v>659</v>
      </c>
      <c r="C91" s="143" t="str">
        <f>VLOOKUP(B91,'Danh mục hàng hóa'!$C$3:$D$643,2,0)</f>
        <v>Buộc tóc ngọc trai trắng</v>
      </c>
      <c r="D91" s="144" t="str">
        <f>VLOOKUP(B91,'Danh mục hàng hóa'!$C$3:$E$656,3,0)</f>
        <v>cái</v>
      </c>
      <c r="E91" s="166">
        <f>VLOOKUP(B91,'Danh mục hàng hóa'!$C$3:$M$656,5,0)</f>
        <v>13425</v>
      </c>
      <c r="F91" s="313">
        <v>3</v>
      </c>
      <c r="G91" s="314"/>
    </row>
    <row r="92" spans="1:7" ht="13.2" hidden="1">
      <c r="A92" s="312">
        <v>45283</v>
      </c>
      <c r="B92" s="28" t="s">
        <v>661</v>
      </c>
      <c r="C92" s="143" t="str">
        <f>VLOOKUP(B92,'Danh mục hàng hóa'!$C$3:$D$643,2,0)</f>
        <v>Buộc tóc ngọc trai đen</v>
      </c>
      <c r="D92" s="144" t="str">
        <f>VLOOKUP(B92,'Danh mục hàng hóa'!$C$3:$E$656,3,0)</f>
        <v>cái</v>
      </c>
      <c r="E92" s="166">
        <f>VLOOKUP(B92,'Danh mục hàng hóa'!$C$3:$M$656,5,0)</f>
        <v>13425</v>
      </c>
      <c r="F92" s="313">
        <v>3</v>
      </c>
      <c r="G92" s="314"/>
    </row>
    <row r="93" spans="1:7" ht="13.2" hidden="1">
      <c r="A93" s="312">
        <v>45283</v>
      </c>
      <c r="B93" s="28" t="s">
        <v>663</v>
      </c>
      <c r="C93" s="143" t="str">
        <f>VLOOKUP(B93,'Danh mục hàng hóa'!$C$3:$D$643,2,0)</f>
        <v>Buộc tóc trắng lông nhỏ</v>
      </c>
      <c r="D93" s="144" t="str">
        <f>VLOOKUP(B93,'Danh mục hàng hóa'!$C$3:$E$656,3,0)</f>
        <v>cái</v>
      </c>
      <c r="E93" s="166">
        <f>VLOOKUP(B93,'Danh mục hàng hóa'!$C$3:$M$656,5,0)</f>
        <v>2775</v>
      </c>
      <c r="F93" s="313">
        <v>2</v>
      </c>
      <c r="G93" s="314"/>
    </row>
    <row r="94" spans="1:7" ht="13.2" hidden="1">
      <c r="A94" s="312">
        <v>45283</v>
      </c>
      <c r="B94" s="28" t="s">
        <v>665</v>
      </c>
      <c r="C94" s="143" t="str">
        <f>VLOOKUP(B94,'Danh mục hàng hóa'!$C$3:$D$643,2,0)</f>
        <v>Buộc tóc trắng lông</v>
      </c>
      <c r="D94" s="144" t="str">
        <f>VLOOKUP(B94,'Danh mục hàng hóa'!$C$3:$E$656,3,0)</f>
        <v>cái</v>
      </c>
      <c r="E94" s="166">
        <f>VLOOKUP(B94,'Danh mục hàng hóa'!$C$3:$M$656,5,0)</f>
        <v>5260</v>
      </c>
      <c r="F94" s="313">
        <v>2</v>
      </c>
      <c r="G94" s="314"/>
    </row>
    <row r="95" spans="1:7" ht="13.2" hidden="1">
      <c r="A95" s="312">
        <v>45283</v>
      </c>
      <c r="B95" s="28" t="s">
        <v>667</v>
      </c>
      <c r="C95" s="143" t="str">
        <f>VLOOKUP(B95,'Danh mục hàng hóa'!$C$3:$D$643,2,0)</f>
        <v>Buộc tóc trắng nhung tăm</v>
      </c>
      <c r="D95" s="144" t="str">
        <f>VLOOKUP(B95,'Danh mục hàng hóa'!$C$3:$E$656,3,0)</f>
        <v>cái</v>
      </c>
      <c r="E95" s="166">
        <f>VLOOKUP(B95,'Danh mục hàng hóa'!$C$3:$M$656,5,0)</f>
        <v>5615</v>
      </c>
      <c r="F95" s="313">
        <v>2</v>
      </c>
      <c r="G95" s="314"/>
    </row>
    <row r="96" spans="1:7" ht="13.2" hidden="1">
      <c r="A96" s="312">
        <v>45283</v>
      </c>
      <c r="B96" s="28" t="s">
        <v>669</v>
      </c>
      <c r="C96" s="143" t="str">
        <f>VLOOKUP(B96,'Danh mục hàng hóa'!$C$3:$D$643,2,0)</f>
        <v>Buộc tóc trắng vải</v>
      </c>
      <c r="D96" s="144" t="str">
        <f>VLOOKUP(B96,'Danh mục hàng hóa'!$C$3:$E$656,3,0)</f>
        <v>cái</v>
      </c>
      <c r="E96" s="166">
        <f>VLOOKUP(B96,'Danh mục hàng hóa'!$C$3:$M$656,5,0)</f>
        <v>6680</v>
      </c>
      <c r="F96" s="313">
        <v>2</v>
      </c>
      <c r="G96" s="314"/>
    </row>
    <row r="97" spans="1:7" ht="13.2" hidden="1">
      <c r="A97" s="312">
        <v>45283</v>
      </c>
      <c r="B97" s="28" t="s">
        <v>671</v>
      </c>
      <c r="C97" s="143" t="str">
        <f>VLOOKUP(B97,'Danh mục hàng hóa'!$C$3:$D$643,2,0)</f>
        <v>Buộc tóc trắng vải nhung</v>
      </c>
      <c r="D97" s="144" t="str">
        <f>VLOOKUP(B97,'Danh mục hàng hóa'!$C$3:$E$656,3,0)</f>
        <v>cái</v>
      </c>
      <c r="E97" s="166">
        <f>VLOOKUP(B97,'Danh mục hàng hóa'!$C$3:$M$656,5,0)</f>
        <v>5260</v>
      </c>
      <c r="F97" s="313">
        <v>2</v>
      </c>
      <c r="G97" s="314"/>
    </row>
    <row r="98" spans="1:7" ht="13.2" hidden="1">
      <c r="A98" s="312">
        <v>45283</v>
      </c>
      <c r="B98" s="28" t="s">
        <v>673</v>
      </c>
      <c r="C98" s="143" t="str">
        <f>VLOOKUP(B98,'Danh mục hàng hóa'!$C$3:$D$643,2,0)</f>
        <v>Buộc tóc trắng vải xù</v>
      </c>
      <c r="D98" s="144" t="str">
        <f>VLOOKUP(B98,'Danh mục hàng hóa'!$C$3:$E$656,3,0)</f>
        <v>cái</v>
      </c>
      <c r="E98" s="166">
        <f>VLOOKUP(B98,'Danh mục hàng hóa'!$C$3:$M$656,5,0)</f>
        <v>5615</v>
      </c>
      <c r="F98" s="313">
        <v>2</v>
      </c>
      <c r="G98" s="314"/>
    </row>
    <row r="99" spans="1:7" ht="13.2" hidden="1">
      <c r="A99" s="312">
        <v>45283</v>
      </c>
      <c r="B99" s="28" t="s">
        <v>675</v>
      </c>
      <c r="C99" s="143" t="str">
        <f>VLOOKUP(B99,'Danh mục hàng hóa'!$C$3:$D$643,2,0)</f>
        <v>Buộc tóc vải xốp trắng</v>
      </c>
      <c r="D99" s="144" t="str">
        <f>VLOOKUP(B99,'Danh mục hàng hóa'!$C$3:$E$656,3,0)</f>
        <v>cái</v>
      </c>
      <c r="E99" s="166">
        <f>VLOOKUP(B99,'Danh mục hàng hóa'!$C$3:$M$656,5,0)</f>
        <v>9875</v>
      </c>
      <c r="F99" s="313">
        <v>2</v>
      </c>
      <c r="G99" s="314"/>
    </row>
    <row r="100" spans="1:7" ht="13.2" hidden="1">
      <c r="A100" s="312">
        <v>45283</v>
      </c>
      <c r="B100" s="28" t="s">
        <v>677</v>
      </c>
      <c r="C100" s="143" t="str">
        <f>VLOOKUP(B100,'Danh mục hàng hóa'!$C$3:$D$643,2,0)</f>
        <v>Buộc tóc voan hồng nhỏ</v>
      </c>
      <c r="D100" s="144" t="str">
        <f>VLOOKUP(B100,'Danh mục hàng hóa'!$C$3:$E$656,3,0)</f>
        <v>cái</v>
      </c>
      <c r="E100" s="166">
        <f>VLOOKUP(B100,'Danh mục hàng hóa'!$C$3:$M$656,5,0)</f>
        <v>7390</v>
      </c>
      <c r="F100" s="313">
        <v>2</v>
      </c>
      <c r="G100" s="314"/>
    </row>
    <row r="101" spans="1:7" ht="13.2" hidden="1">
      <c r="A101" s="312">
        <v>45283</v>
      </c>
      <c r="B101" s="28" t="s">
        <v>679</v>
      </c>
      <c r="C101" s="143" t="str">
        <f>VLOOKUP(B101,'Danh mục hàng hóa'!$C$3:$D$643,2,0)</f>
        <v>Buộc tóc voan hồng lớn</v>
      </c>
      <c r="D101" s="144" t="str">
        <f>VLOOKUP(B101,'Danh mục hàng hóa'!$C$3:$E$656,3,0)</f>
        <v>cái</v>
      </c>
      <c r="E101" s="166">
        <f>VLOOKUP(B101,'Danh mục hàng hóa'!$C$3:$M$656,5,0)</f>
        <v>10940</v>
      </c>
      <c r="F101" s="313">
        <v>2</v>
      </c>
      <c r="G101" s="314"/>
    </row>
    <row r="102" spans="1:7" ht="13.2" hidden="1">
      <c r="A102" s="312">
        <v>45283</v>
      </c>
      <c r="B102" s="28" t="s">
        <v>681</v>
      </c>
      <c r="C102" s="143" t="str">
        <f>VLOOKUP(B102,'Danh mục hàng hóa'!$C$3:$D$643,2,0)</f>
        <v>Buộc tóc voan kem nhỏ</v>
      </c>
      <c r="D102" s="144" t="str">
        <f>VLOOKUP(B102,'Danh mục hàng hóa'!$C$3:$E$656,3,0)</f>
        <v>cái</v>
      </c>
      <c r="E102" s="166">
        <f>VLOOKUP(B102,'Danh mục hàng hóa'!$C$3:$M$656,5,0)</f>
        <v>7390</v>
      </c>
      <c r="F102" s="313">
        <v>2</v>
      </c>
      <c r="G102" s="314"/>
    </row>
    <row r="103" spans="1:7" ht="13.2" hidden="1">
      <c r="A103" s="312">
        <v>45283</v>
      </c>
      <c r="B103" s="28" t="s">
        <v>683</v>
      </c>
      <c r="C103" s="143" t="str">
        <f>VLOOKUP(B103,'Danh mục hàng hóa'!$C$3:$D$643,2,0)</f>
        <v>Buộc tóc voan kem lớn</v>
      </c>
      <c r="D103" s="144" t="str">
        <f>VLOOKUP(B103,'Danh mục hàng hóa'!$C$3:$E$656,3,0)</f>
        <v>cái</v>
      </c>
      <c r="E103" s="166">
        <f>VLOOKUP(B103,'Danh mục hàng hóa'!$C$3:$M$656,5,0)</f>
        <v>10940</v>
      </c>
      <c r="F103" s="313">
        <v>2</v>
      </c>
      <c r="G103" s="314"/>
    </row>
    <row r="104" spans="1:7" ht="13.2" hidden="1">
      <c r="A104" s="312">
        <v>45283</v>
      </c>
      <c r="B104" s="28" t="s">
        <v>685</v>
      </c>
      <c r="C104" s="143" t="str">
        <f>VLOOKUP(B104,'Danh mục hàng hóa'!$C$3:$D$643,2,0)</f>
        <v>Buộc tóc voan xanh lớn</v>
      </c>
      <c r="D104" s="144" t="str">
        <f>VLOOKUP(B104,'Danh mục hàng hóa'!$C$3:$E$656,3,0)</f>
        <v>cái</v>
      </c>
      <c r="E104" s="166">
        <f>VLOOKUP(B104,'Danh mục hàng hóa'!$C$3:$M$656,5,0)</f>
        <v>10940</v>
      </c>
      <c r="F104" s="313">
        <v>2</v>
      </c>
      <c r="G104" s="314"/>
    </row>
    <row r="105" spans="1:7" ht="13.2" hidden="1">
      <c r="A105" s="312">
        <v>45283</v>
      </c>
      <c r="B105" s="28" t="s">
        <v>687</v>
      </c>
      <c r="C105" s="143" t="str">
        <f>VLOOKUP(B105,'Danh mục hàng hóa'!$C$3:$D$643,2,0)</f>
        <v>Buộc tóc hoa xốp hồng</v>
      </c>
      <c r="D105" s="144" t="str">
        <f>VLOOKUP(B105,'Danh mục hàng hóa'!$C$3:$E$656,3,0)</f>
        <v>cái</v>
      </c>
      <c r="E105" s="166">
        <f>VLOOKUP(B105,'Danh mục hàng hóa'!$C$3:$M$656,5,0)</f>
        <v>8455</v>
      </c>
      <c r="F105" s="313">
        <v>2</v>
      </c>
      <c r="G105" s="314"/>
    </row>
    <row r="106" spans="1:7" ht="13.2" hidden="1">
      <c r="A106" s="312">
        <v>45283</v>
      </c>
      <c r="B106" s="28" t="s">
        <v>689</v>
      </c>
      <c r="C106" s="143" t="str">
        <f>VLOOKUP(B106,'Danh mục hàng hóa'!$C$3:$D$643,2,0)</f>
        <v>Buộc tóc hoa xốp kem</v>
      </c>
      <c r="D106" s="144" t="str">
        <f>VLOOKUP(B106,'Danh mục hàng hóa'!$C$3:$E$656,3,0)</f>
        <v>cái</v>
      </c>
      <c r="E106" s="166">
        <f>VLOOKUP(B106,'Danh mục hàng hóa'!$C$3:$M$656,5,0)</f>
        <v>8455</v>
      </c>
      <c r="F106" s="313">
        <v>3</v>
      </c>
      <c r="G106" s="314"/>
    </row>
    <row r="107" spans="1:7" ht="13.2" hidden="1">
      <c r="A107" s="312">
        <v>45283</v>
      </c>
      <c r="B107" s="28" t="s">
        <v>691</v>
      </c>
      <c r="C107" s="143" t="str">
        <f>VLOOKUP(B107,'Danh mục hàng hóa'!$C$3:$D$643,2,0)</f>
        <v>Buộc tóc vải xốp nâu</v>
      </c>
      <c r="D107" s="144" t="str">
        <f>VLOOKUP(B107,'Danh mục hàng hóa'!$C$3:$E$656,3,0)</f>
        <v>cái</v>
      </c>
      <c r="E107" s="166">
        <f>VLOOKUP(B107,'Danh mục hàng hóa'!$C$3:$M$656,5,0)</f>
        <v>9875</v>
      </c>
      <c r="F107" s="313">
        <v>3</v>
      </c>
      <c r="G107" s="314"/>
    </row>
    <row r="108" spans="1:7" ht="13.2" hidden="1">
      <c r="A108" s="312">
        <v>45283</v>
      </c>
      <c r="B108" s="28" t="s">
        <v>693</v>
      </c>
      <c r="C108" s="143" t="str">
        <f>VLOOKUP(B108,'Danh mục hàng hóa'!$C$3:$D$643,2,0)</f>
        <v>Buộc tóc vải xốp đen</v>
      </c>
      <c r="D108" s="144" t="str">
        <f>VLOOKUP(B108,'Danh mục hàng hóa'!$C$3:$E$656,3,0)</f>
        <v>cái</v>
      </c>
      <c r="E108" s="166">
        <f>VLOOKUP(B108,'Danh mục hàng hóa'!$C$3:$M$656,5,0)</f>
        <v>9875</v>
      </c>
      <c r="F108" s="313">
        <v>3</v>
      </c>
      <c r="G108" s="314"/>
    </row>
    <row r="109" spans="1:7" ht="13.2" hidden="1">
      <c r="A109" s="312">
        <v>45283</v>
      </c>
      <c r="B109" s="28" t="s">
        <v>695</v>
      </c>
      <c r="C109" s="143" t="str">
        <f>VLOOKUP(B109,'Danh mục hàng hóa'!$C$3:$D$643,2,0)</f>
        <v>Buộc tóc lụa hoa đen</v>
      </c>
      <c r="D109" s="144" t="str">
        <f>VLOOKUP(B109,'Danh mục hàng hóa'!$C$3:$E$656,3,0)</f>
        <v>cái</v>
      </c>
      <c r="E109" s="166">
        <f>VLOOKUP(B109,'Danh mục hàng hóa'!$C$3:$M$656,5,0)</f>
        <v>16265</v>
      </c>
      <c r="F109" s="313">
        <v>3</v>
      </c>
      <c r="G109" s="314"/>
    </row>
    <row r="110" spans="1:7" ht="13.2" hidden="1">
      <c r="A110" s="312">
        <v>45283</v>
      </c>
      <c r="B110" s="28" t="s">
        <v>697</v>
      </c>
      <c r="C110" s="143" t="str">
        <f>VLOOKUP(B110,'Danh mục hàng hóa'!$C$3:$D$643,2,0)</f>
        <v>Buộc tóc lụa hoa be</v>
      </c>
      <c r="D110" s="144" t="str">
        <f>VLOOKUP(B110,'Danh mục hàng hóa'!$C$3:$E$656,3,0)</f>
        <v>cái</v>
      </c>
      <c r="E110" s="166">
        <f>VLOOKUP(B110,'Danh mục hàng hóa'!$C$3:$M$656,5,0)</f>
        <v>16265</v>
      </c>
      <c r="F110" s="313">
        <v>3</v>
      </c>
      <c r="G110" s="314"/>
    </row>
    <row r="111" spans="1:7" ht="13.2" hidden="1">
      <c r="A111" s="312">
        <v>45283</v>
      </c>
      <c r="B111" s="28" t="s">
        <v>699</v>
      </c>
      <c r="C111" s="143" t="str">
        <f>VLOOKUP(B111,'Danh mục hàng hóa'!$C$3:$D$643,2,0)</f>
        <v>Buộc tóc lụa hoa xanh</v>
      </c>
      <c r="D111" s="144" t="str">
        <f>VLOOKUP(B111,'Danh mục hàng hóa'!$C$3:$E$656,3,0)</f>
        <v>cái</v>
      </c>
      <c r="E111" s="166">
        <f>VLOOKUP(B111,'Danh mục hàng hóa'!$C$3:$M$656,5,0)</f>
        <v>16265</v>
      </c>
      <c r="F111" s="313">
        <v>3</v>
      </c>
      <c r="G111" s="314"/>
    </row>
    <row r="112" spans="1:7" ht="13.2" hidden="1">
      <c r="A112" s="312">
        <v>45283</v>
      </c>
      <c r="B112" s="28" t="s">
        <v>701</v>
      </c>
      <c r="C112" s="143" t="str">
        <f>VLOOKUP(B112,'Danh mục hàng hóa'!$C$3:$D$643,2,0)</f>
        <v>Buộc tóc hồng len</v>
      </c>
      <c r="D112" s="144" t="str">
        <f>VLOOKUP(B112,'Danh mục hàng hóa'!$C$3:$E$656,3,0)</f>
        <v>cái</v>
      </c>
      <c r="E112" s="166">
        <f>VLOOKUP(B112,'Danh mục hàng hóa'!$C$3:$M$656,5,0)</f>
        <v>7035</v>
      </c>
      <c r="F112" s="313">
        <v>2</v>
      </c>
      <c r="G112" s="314"/>
    </row>
    <row r="113" spans="1:7" ht="13.2" hidden="1">
      <c r="A113" s="312">
        <v>45283</v>
      </c>
      <c r="B113" s="28" t="s">
        <v>703</v>
      </c>
      <c r="C113" s="143" t="str">
        <f>VLOOKUP(B113,'Danh mục hàng hóa'!$C$3:$D$643,2,0)</f>
        <v>Buộc tóc hồng vải xù</v>
      </c>
      <c r="D113" s="144" t="str">
        <f>VLOOKUP(B113,'Danh mục hàng hóa'!$C$3:$E$656,3,0)</f>
        <v>cái</v>
      </c>
      <c r="E113" s="166">
        <f>VLOOKUP(B113,'Danh mục hàng hóa'!$C$3:$M$656,5,0)</f>
        <v>6325</v>
      </c>
      <c r="F113" s="313">
        <v>2</v>
      </c>
      <c r="G113" s="314"/>
    </row>
    <row r="114" spans="1:7" ht="13.2" hidden="1">
      <c r="A114" s="312">
        <v>45283</v>
      </c>
      <c r="B114" s="28" t="s">
        <v>705</v>
      </c>
      <c r="C114" s="143" t="str">
        <f>VLOOKUP(B114,'Danh mục hàng hóa'!$C$3:$D$643,2,0)</f>
        <v>Buộc tóc hồng nhung</v>
      </c>
      <c r="D114" s="144" t="str">
        <f>VLOOKUP(B114,'Danh mục hàng hóa'!$C$3:$E$656,3,0)</f>
        <v>cái</v>
      </c>
      <c r="E114" s="166">
        <f>VLOOKUP(B114,'Danh mục hàng hóa'!$C$3:$M$656,5,0)</f>
        <v>6680</v>
      </c>
      <c r="F114" s="313">
        <v>3</v>
      </c>
      <c r="G114" s="314"/>
    </row>
    <row r="115" spans="1:7" ht="13.2" hidden="1">
      <c r="A115" s="312">
        <v>45283</v>
      </c>
      <c r="B115" s="28" t="s">
        <v>707</v>
      </c>
      <c r="C115" s="143" t="str">
        <f>VLOOKUP(B115,'Danh mục hàng hóa'!$C$3:$D$643,2,0)</f>
        <v>Buộc tóc hồng nhung tăm</v>
      </c>
      <c r="D115" s="144" t="str">
        <f>VLOOKUP(B115,'Danh mục hàng hóa'!$C$3:$E$656,3,0)</f>
        <v>cái</v>
      </c>
      <c r="E115" s="166">
        <f>VLOOKUP(B115,'Danh mục hàng hóa'!$C$3:$M$656,5,0)</f>
        <v>6325</v>
      </c>
      <c r="F115" s="313">
        <v>2</v>
      </c>
      <c r="G115" s="314"/>
    </row>
    <row r="116" spans="1:7" ht="13.2" hidden="1">
      <c r="A116" s="312">
        <v>45283</v>
      </c>
      <c r="B116" s="28" t="s">
        <v>709</v>
      </c>
      <c r="C116" s="143" t="str">
        <f>VLOOKUP(B116,'Danh mục hàng hóa'!$C$3:$D$643,2,0)</f>
        <v>Buộc tóc hồng lông nhỏ</v>
      </c>
      <c r="D116" s="144" t="str">
        <f>VLOOKUP(B116,'Danh mục hàng hóa'!$C$3:$E$656,3,0)</f>
        <v>cái</v>
      </c>
      <c r="E116" s="166">
        <f>VLOOKUP(B116,'Danh mục hàng hóa'!$C$3:$M$656,5,0)</f>
        <v>3840</v>
      </c>
      <c r="F116" s="313">
        <v>2</v>
      </c>
      <c r="G116" s="314"/>
    </row>
    <row r="117" spans="1:7" ht="13.2" hidden="1">
      <c r="A117" s="312">
        <v>45283</v>
      </c>
      <c r="B117" s="28" t="s">
        <v>711</v>
      </c>
      <c r="C117" s="143" t="str">
        <f>VLOOKUP(B117,'Danh mục hàng hóa'!$C$3:$D$643,2,0)</f>
        <v>Buộc tóc hồng lông lớn</v>
      </c>
      <c r="D117" s="144" t="str">
        <f>VLOOKUP(B117,'Danh mục hàng hóa'!$C$3:$E$656,3,0)</f>
        <v>cái</v>
      </c>
      <c r="E117" s="166">
        <f>VLOOKUP(B117,'Danh mục hàng hóa'!$C$3:$M$656,5,0)</f>
        <v>6325</v>
      </c>
      <c r="F117" s="313">
        <v>2</v>
      </c>
      <c r="G117" s="314"/>
    </row>
    <row r="118" spans="1:7" ht="13.2" hidden="1">
      <c r="A118" s="312">
        <v>45283</v>
      </c>
      <c r="B118" s="28" t="s">
        <v>715</v>
      </c>
      <c r="C118" s="143" t="str">
        <f>VLOOKUP(B118,'Danh mục hàng hóa'!$C$3:$D$643,2,0)</f>
        <v>Buộc tóc trắng nhỏ</v>
      </c>
      <c r="D118" s="144" t="str">
        <f>VLOOKUP(B118,'Danh mục hàng hóa'!$C$3:$E$656,3,0)</f>
        <v>cái</v>
      </c>
      <c r="E118" s="166">
        <f>VLOOKUP(B118,'Danh mục hàng hóa'!$C$3:$M$656,5,0)</f>
        <v>3840</v>
      </c>
      <c r="F118" s="313">
        <v>1</v>
      </c>
      <c r="G118" s="314"/>
    </row>
    <row r="119" spans="1:7" ht="13.2" hidden="1">
      <c r="A119" s="312">
        <v>45283</v>
      </c>
      <c r="B119" s="28" t="s">
        <v>717</v>
      </c>
      <c r="C119" s="143" t="str">
        <f>VLOOKUP(B119,'Danh mục hàng hóa'!$C$3:$D$643,2,0)</f>
        <v>Kẹp nơ hồng</v>
      </c>
      <c r="D119" s="144" t="str">
        <f>VLOOKUP(B119,'Danh mục hàng hóa'!$C$3:$E$656,3,0)</f>
        <v>cái</v>
      </c>
      <c r="E119" s="166">
        <f>VLOOKUP(B119,'Danh mục hàng hóa'!$C$3:$M$656,5,0)</f>
        <v>9697.5</v>
      </c>
      <c r="F119" s="313">
        <v>3</v>
      </c>
      <c r="G119" s="314"/>
    </row>
    <row r="120" spans="1:7" ht="13.2" hidden="1">
      <c r="A120" s="312">
        <v>45283</v>
      </c>
      <c r="B120" s="28" t="s">
        <v>590</v>
      </c>
      <c r="C120" s="143" t="str">
        <f>VLOOKUP(B120,'Danh mục hàng hóa'!$C$3:$D$643,2,0)</f>
        <v>Kẹp tóc nhựa kem</v>
      </c>
      <c r="D120" s="144" t="str">
        <f>VLOOKUP(B120,'Danh mục hàng hóa'!$C$3:$E$656,3,0)</f>
        <v>cái</v>
      </c>
      <c r="E120" s="166">
        <f>VLOOKUP(B120,'Danh mục hàng hóa'!$C$3:$M$656,5,0)</f>
        <v>8810</v>
      </c>
      <c r="F120" s="317"/>
      <c r="G120" s="313">
        <v>2</v>
      </c>
    </row>
    <row r="121" spans="1:7" ht="13.2" hidden="1">
      <c r="A121" s="312">
        <v>45283</v>
      </c>
      <c r="B121" s="28" t="s">
        <v>657</v>
      </c>
      <c r="C121" s="143" t="str">
        <f>VLOOKUP(B121,'Danh mục hàng hóa'!$C$3:$D$643,2,0)</f>
        <v>Buộc tóc hoa xanh</v>
      </c>
      <c r="D121" s="144" t="str">
        <f>VLOOKUP(B121,'Danh mục hàng hóa'!$C$3:$E$656,3,0)</f>
        <v>cái</v>
      </c>
      <c r="E121" s="166">
        <f>VLOOKUP(B121,'Danh mục hàng hóa'!$C$3:$M$656,5,0)</f>
        <v>10230</v>
      </c>
      <c r="F121" s="317"/>
      <c r="G121" s="313">
        <v>2</v>
      </c>
    </row>
    <row r="122" spans="1:7" ht="13.2" hidden="1">
      <c r="A122" s="312">
        <v>45283</v>
      </c>
      <c r="B122" s="28" t="s">
        <v>839</v>
      </c>
      <c r="C122" s="143" t="str">
        <f>VLOOKUP(B122,'Danh mục hàng hóa'!$C$3:$D$643,2,0)</f>
        <v>Hộp thuốc nơ nâu</v>
      </c>
      <c r="D122" s="144" t="str">
        <f>VLOOKUP(B122,'Danh mục hàng hóa'!$C$3:$E$656,3,0)</f>
        <v>hộp</v>
      </c>
      <c r="E122" s="166">
        <f>VLOOKUP(B122,'Danh mục hàng hóa'!$C$3:$M$656,5,0)</f>
        <v>4479</v>
      </c>
      <c r="F122" s="313">
        <v>5</v>
      </c>
      <c r="G122" s="314"/>
    </row>
    <row r="123" spans="1:7" ht="13.2" hidden="1">
      <c r="A123" s="312">
        <v>45283</v>
      </c>
      <c r="B123" s="28" t="s">
        <v>842</v>
      </c>
      <c r="C123" s="143" t="str">
        <f>VLOOKUP(B123,'Danh mục hàng hóa'!$C$3:$D$643,2,0)</f>
        <v>Hộp thuốc dấu chân cún</v>
      </c>
      <c r="D123" s="144" t="str">
        <f>VLOOKUP(B123,'Danh mục hàng hóa'!$C$3:$E$656,3,0)</f>
        <v>hộp</v>
      </c>
      <c r="E123" s="166">
        <f>VLOOKUP(B123,'Danh mục hàng hóa'!$C$3:$M$656,5,0)</f>
        <v>4479</v>
      </c>
      <c r="F123" s="313">
        <v>7</v>
      </c>
      <c r="G123" s="314"/>
    </row>
    <row r="124" spans="1:7" ht="13.2" hidden="1">
      <c r="A124" s="312">
        <v>45283</v>
      </c>
      <c r="B124" s="28" t="s">
        <v>844</v>
      </c>
      <c r="C124" s="143" t="str">
        <f>VLOOKUP(B124,'Danh mục hàng hóa'!$C$3:$D$643,2,0)</f>
        <v>Hộp thuốc mây hồng</v>
      </c>
      <c r="D124" s="144" t="str">
        <f>VLOOKUP(B124,'Danh mục hàng hóa'!$C$3:$E$656,3,0)</f>
        <v>hộp</v>
      </c>
      <c r="E124" s="166">
        <f>VLOOKUP(B124,'Danh mục hàng hóa'!$C$3:$M$656,5,0)</f>
        <v>4479</v>
      </c>
      <c r="F124" s="313">
        <v>5</v>
      </c>
      <c r="G124" s="314"/>
    </row>
    <row r="125" spans="1:7" ht="13.2" hidden="1">
      <c r="A125" s="312">
        <v>45283</v>
      </c>
      <c r="B125" s="28" t="s">
        <v>846</v>
      </c>
      <c r="C125" s="143" t="str">
        <f>VLOOKUP(B125,'Danh mục hàng hóa'!$C$3:$D$643,2,0)</f>
        <v>Hộp thuốc ngôi sao xanh</v>
      </c>
      <c r="D125" s="144" t="str">
        <f>VLOOKUP(B125,'Danh mục hàng hóa'!$C$3:$E$656,3,0)</f>
        <v>hộp</v>
      </c>
      <c r="E125" s="166">
        <f>VLOOKUP(B125,'Danh mục hàng hóa'!$C$3:$M$656,5,0)</f>
        <v>4479</v>
      </c>
      <c r="F125" s="313">
        <v>5</v>
      </c>
      <c r="G125" s="314"/>
    </row>
    <row r="126" spans="1:7" ht="13.2" hidden="1">
      <c r="A126" s="312">
        <v>45283</v>
      </c>
      <c r="B126" s="28" t="s">
        <v>848</v>
      </c>
      <c r="C126" s="143" t="str">
        <f>VLOOKUP(B126,'Danh mục hàng hóa'!$C$3:$D$643,2,0)</f>
        <v>Hộp thuốc ông mặt trời</v>
      </c>
      <c r="D126" s="144" t="str">
        <f>VLOOKUP(B126,'Danh mục hàng hóa'!$C$3:$E$656,3,0)</f>
        <v>hộp</v>
      </c>
      <c r="E126" s="166">
        <f>VLOOKUP(B126,'Danh mục hàng hóa'!$C$3:$M$656,5,0)</f>
        <v>4479</v>
      </c>
      <c r="F126" s="313">
        <v>5</v>
      </c>
      <c r="G126" s="314"/>
    </row>
    <row r="127" spans="1:7" ht="13.2" hidden="1">
      <c r="A127" s="312">
        <v>45283</v>
      </c>
      <c r="B127" s="28" t="s">
        <v>850</v>
      </c>
      <c r="C127" s="143" t="str">
        <f>VLOOKUP(B127,'Danh mục hàng hóa'!$C$3:$D$643,2,0)</f>
        <v>Hộp thuốc cô bé tóc nâu</v>
      </c>
      <c r="D127" s="144" t="str">
        <f>VLOOKUP(B127,'Danh mục hàng hóa'!$C$3:$E$656,3,0)</f>
        <v>hộp</v>
      </c>
      <c r="E127" s="166">
        <f>VLOOKUP(B127,'Danh mục hàng hóa'!$C$3:$M$656,5,0)</f>
        <v>4479</v>
      </c>
      <c r="F127" s="313">
        <v>3</v>
      </c>
      <c r="G127" s="314"/>
    </row>
    <row r="128" spans="1:7" ht="13.2" hidden="1">
      <c r="A128" s="312">
        <v>45283</v>
      </c>
      <c r="B128" s="28" t="s">
        <v>852</v>
      </c>
      <c r="C128" s="143" t="str">
        <f>VLOOKUP(B128,'Danh mục hàng hóa'!$C$3:$D$643,2,0)</f>
        <v>Hộp thuốc nơ hồng</v>
      </c>
      <c r="D128" s="144" t="str">
        <f>VLOOKUP(B128,'Danh mục hàng hóa'!$C$3:$E$656,3,0)</f>
        <v>hộp</v>
      </c>
      <c r="E128" s="166">
        <f>VLOOKUP(B128,'Danh mục hàng hóa'!$C$3:$M$656,5,0)</f>
        <v>4479</v>
      </c>
      <c r="F128" s="313">
        <v>10</v>
      </c>
      <c r="G128" s="314"/>
    </row>
    <row r="129" spans="1:7" ht="13.2" hidden="1">
      <c r="A129" s="312">
        <v>45283</v>
      </c>
      <c r="B129" s="28" t="s">
        <v>854</v>
      </c>
      <c r="C129" s="143" t="str">
        <f>VLOOKUP(B129,'Danh mục hàng hóa'!$C$3:$D$643,2,0)</f>
        <v>Hộp thuốc thỏ nâu</v>
      </c>
      <c r="D129" s="144" t="str">
        <f>VLOOKUP(B129,'Danh mục hàng hóa'!$C$3:$E$656,3,0)</f>
        <v>hộp</v>
      </c>
      <c r="E129" s="166">
        <f>VLOOKUP(B129,'Danh mục hàng hóa'!$C$3:$M$656,5,0)</f>
        <v>4479</v>
      </c>
      <c r="F129" s="313">
        <v>3</v>
      </c>
      <c r="G129" s="314"/>
    </row>
    <row r="130" spans="1:7" ht="13.2" hidden="1">
      <c r="A130" s="312">
        <v>45283</v>
      </c>
      <c r="B130" s="28" t="s">
        <v>856</v>
      </c>
      <c r="C130" s="143" t="str">
        <f>VLOOKUP(B130,'Danh mục hàng hóa'!$C$3:$D$643,2,0)</f>
        <v>Hộp thuốc nơ tím</v>
      </c>
      <c r="D130" s="144" t="str">
        <f>VLOOKUP(B130,'Danh mục hàng hóa'!$C$3:$E$656,3,0)</f>
        <v>hộp</v>
      </c>
      <c r="E130" s="166">
        <f>VLOOKUP(B130,'Danh mục hàng hóa'!$C$3:$M$656,5,0)</f>
        <v>4479</v>
      </c>
      <c r="F130" s="313">
        <v>7</v>
      </c>
      <c r="G130" s="314"/>
    </row>
    <row r="131" spans="1:7" ht="13.2" hidden="1">
      <c r="A131" s="312">
        <v>45283</v>
      </c>
      <c r="B131" s="28" t="s">
        <v>858</v>
      </c>
      <c r="C131" s="143" t="str">
        <f>VLOOKUP(B131,'Danh mục hàng hóa'!$C$3:$D$643,2,0)</f>
        <v>Hộp thuốc gấu vàng</v>
      </c>
      <c r="D131" s="144" t="str">
        <f>VLOOKUP(B131,'Danh mục hàng hóa'!$C$3:$E$656,3,0)</f>
        <v>hộp</v>
      </c>
      <c r="E131" s="166">
        <f>VLOOKUP(B131,'Danh mục hàng hóa'!$C$3:$M$656,5,0)</f>
        <v>4479</v>
      </c>
      <c r="F131" s="313">
        <v>3</v>
      </c>
      <c r="G131" s="314"/>
    </row>
    <row r="132" spans="1:7" ht="13.2" hidden="1">
      <c r="A132" s="312">
        <v>45283</v>
      </c>
      <c r="B132" s="28" t="s">
        <v>860</v>
      </c>
      <c r="C132" s="143" t="str">
        <f>VLOOKUP(B132,'Danh mục hàng hóa'!$C$3:$D$643,2,0)</f>
        <v>Thước dây trắng</v>
      </c>
      <c r="D132" s="144" t="str">
        <f>VLOOKUP(B132,'Danh mục hàng hóa'!$C$3:$E$656,3,0)</f>
        <v>cái</v>
      </c>
      <c r="E132" s="166">
        <f>VLOOKUP(B132,'Danh mục hàng hóa'!$C$3:$M$656,5,0)</f>
        <v>3840</v>
      </c>
      <c r="F132" s="313">
        <v>2</v>
      </c>
      <c r="G132" s="314"/>
    </row>
    <row r="133" spans="1:7" ht="13.2" hidden="1">
      <c r="A133" s="312">
        <v>45283</v>
      </c>
      <c r="B133" s="28" t="s">
        <v>862</v>
      </c>
      <c r="C133" s="143" t="str">
        <f>VLOOKUP(B133,'Danh mục hàng hóa'!$C$3:$D$643,2,0)</f>
        <v>Thước dây vàng</v>
      </c>
      <c r="D133" s="144" t="str">
        <f>VLOOKUP(B133,'Danh mục hàng hóa'!$C$3:$E$656,3,0)</f>
        <v>cái</v>
      </c>
      <c r="E133" s="166">
        <f>VLOOKUP(B133,'Danh mục hàng hóa'!$C$3:$M$656,5,0)</f>
        <v>3840</v>
      </c>
      <c r="F133" s="313">
        <v>2</v>
      </c>
      <c r="G133" s="314"/>
    </row>
    <row r="134" spans="1:7" ht="13.2" hidden="1">
      <c r="A134" s="312">
        <v>45283</v>
      </c>
      <c r="B134" s="28" t="s">
        <v>864</v>
      </c>
      <c r="C134" s="143" t="str">
        <f>VLOOKUP(B134,'Danh mục hàng hóa'!$C$3:$D$643,2,0)</f>
        <v>Thước dây hồng đất</v>
      </c>
      <c r="D134" s="144" t="str">
        <f>VLOOKUP(B134,'Danh mục hàng hóa'!$C$3:$E$656,3,0)</f>
        <v>cái</v>
      </c>
      <c r="E134" s="166">
        <f>VLOOKUP(B134,'Danh mục hàng hóa'!$C$3:$M$656,5,0)</f>
        <v>3840</v>
      </c>
      <c r="F134" s="313">
        <v>2</v>
      </c>
      <c r="G134" s="314"/>
    </row>
    <row r="135" spans="1:7" ht="13.2" hidden="1">
      <c r="A135" s="312">
        <v>45283</v>
      </c>
      <c r="B135" s="28" t="s">
        <v>866</v>
      </c>
      <c r="C135" s="143" t="str">
        <f>VLOOKUP(B135,'Danh mục hàng hóa'!$C$3:$D$643,2,0)</f>
        <v>Thước dây hồng phấn</v>
      </c>
      <c r="D135" s="144" t="str">
        <f>VLOOKUP(B135,'Danh mục hàng hóa'!$C$3:$E$656,3,0)</f>
        <v>cái</v>
      </c>
      <c r="E135" s="166">
        <f>VLOOKUP(B135,'Danh mục hàng hóa'!$C$3:$M$656,5,0)</f>
        <v>3840</v>
      </c>
      <c r="F135" s="313">
        <v>4</v>
      </c>
      <c r="G135" s="314"/>
    </row>
    <row r="136" spans="1:7" ht="13.2" hidden="1">
      <c r="A136" s="312">
        <v>45283</v>
      </c>
      <c r="B136" s="28" t="s">
        <v>868</v>
      </c>
      <c r="C136" s="143" t="str">
        <f>VLOOKUP(B136,'Danh mục hàng hóa'!$C$3:$D$643,2,0)</f>
        <v>Thước dây xám</v>
      </c>
      <c r="D136" s="144" t="str">
        <f>VLOOKUP(B136,'Danh mục hàng hóa'!$C$3:$E$656,3,0)</f>
        <v>cái</v>
      </c>
      <c r="E136" s="166">
        <f>VLOOKUP(B136,'Danh mục hàng hóa'!$C$3:$M$656,5,0)</f>
        <v>3840</v>
      </c>
      <c r="F136" s="313">
        <v>2</v>
      </c>
      <c r="G136" s="314"/>
    </row>
    <row r="137" spans="1:7" ht="13.2" hidden="1">
      <c r="A137" s="312">
        <v>45283</v>
      </c>
      <c r="B137" s="28" t="s">
        <v>870</v>
      </c>
      <c r="C137" s="143" t="str">
        <f>VLOOKUP(B137,'Danh mục hàng hóa'!$C$3:$D$643,2,0)</f>
        <v>Thước dây xanh</v>
      </c>
      <c r="D137" s="144" t="str">
        <f>VLOOKUP(B137,'Danh mục hàng hóa'!$C$3:$E$656,3,0)</f>
        <v>cái</v>
      </c>
      <c r="E137" s="166">
        <f>VLOOKUP(B137,'Danh mục hàng hóa'!$C$3:$M$656,5,0)</f>
        <v>3840</v>
      </c>
      <c r="F137" s="313">
        <v>2</v>
      </c>
      <c r="G137" s="314"/>
    </row>
    <row r="138" spans="1:7" ht="13.2" hidden="1">
      <c r="A138" s="312">
        <v>45283</v>
      </c>
      <c r="B138" s="28" t="s">
        <v>872</v>
      </c>
      <c r="C138" s="143" t="str">
        <f>VLOOKUP(B138,'Danh mục hàng hóa'!$C$3:$D$643,2,0)</f>
        <v>Dao rọc giấy cún vàng</v>
      </c>
      <c r="D138" s="144" t="str">
        <f>VLOOKUP(B138,'Danh mục hàng hóa'!$C$3:$E$656,3,0)</f>
        <v>cái</v>
      </c>
      <c r="E138" s="166">
        <f>VLOOKUP(B138,'Danh mục hàng hóa'!$C$3:$M$656,5,0)</f>
        <v>3840</v>
      </c>
      <c r="F138" s="313">
        <v>5</v>
      </c>
      <c r="G138" s="314"/>
    </row>
    <row r="139" spans="1:7" ht="13.2" hidden="1">
      <c r="A139" s="312">
        <v>45283</v>
      </c>
      <c r="B139" s="28" t="s">
        <v>874</v>
      </c>
      <c r="C139" s="143" t="str">
        <f>VLOOKUP(B139,'Danh mục hàng hóa'!$C$3:$D$643,2,0)</f>
        <v>Dao rọc giấy cún xanh</v>
      </c>
      <c r="D139" s="144" t="str">
        <f>VLOOKUP(B139,'Danh mục hàng hóa'!$C$3:$E$656,3,0)</f>
        <v>cái</v>
      </c>
      <c r="E139" s="166">
        <f>VLOOKUP(B139,'Danh mục hàng hóa'!$C$3:$M$656,5,0)</f>
        <v>3840</v>
      </c>
      <c r="F139" s="313">
        <v>5</v>
      </c>
      <c r="G139" s="314"/>
    </row>
    <row r="140" spans="1:7" ht="13.2" hidden="1">
      <c r="A140" s="312">
        <v>45283</v>
      </c>
      <c r="B140" s="28" t="s">
        <v>876</v>
      </c>
      <c r="C140" s="143" t="str">
        <f>VLOOKUP(B140,'Danh mục hàng hóa'!$C$3:$D$643,2,0)</f>
        <v>Dao rọc giấy cún trắng</v>
      </c>
      <c r="D140" s="144" t="str">
        <f>VLOOKUP(B140,'Danh mục hàng hóa'!$C$3:$E$656,3,0)</f>
        <v>cái</v>
      </c>
      <c r="E140" s="166">
        <f>VLOOKUP(B140,'Danh mục hàng hóa'!$C$3:$M$656,5,0)</f>
        <v>3840</v>
      </c>
      <c r="F140" s="313">
        <v>5</v>
      </c>
      <c r="G140" s="314"/>
    </row>
    <row r="141" spans="1:7" ht="13.2" hidden="1">
      <c r="A141" s="312">
        <v>45283</v>
      </c>
      <c r="B141" s="28" t="s">
        <v>878</v>
      </c>
      <c r="C141" s="143" t="str">
        <f>VLOOKUP(B141,'Danh mục hàng hóa'!$C$3:$D$643,2,0)</f>
        <v>Dao rọc giấy cún hồng</v>
      </c>
      <c r="D141" s="144" t="str">
        <f>VLOOKUP(B141,'Danh mục hàng hóa'!$C$3:$E$656,3,0)</f>
        <v>cái</v>
      </c>
      <c r="E141" s="166">
        <f>VLOOKUP(B141,'Danh mục hàng hóa'!$C$3:$M$656,5,0)</f>
        <v>3840</v>
      </c>
      <c r="F141" s="313">
        <v>5</v>
      </c>
      <c r="G141" s="314"/>
    </row>
    <row r="142" spans="1:7" ht="13.2" hidden="1">
      <c r="A142" s="312">
        <v>45283</v>
      </c>
      <c r="B142" s="28" t="s">
        <v>880</v>
      </c>
      <c r="C142" s="143" t="str">
        <f>VLOOKUP(B142,'Danh mục hàng hóa'!$C$3:$D$643,2,0)</f>
        <v>Dao rọc giấy mèo tím</v>
      </c>
      <c r="D142" s="144" t="str">
        <f>VLOOKUP(B142,'Danh mục hàng hóa'!$C$3:$E$656,3,0)</f>
        <v>cái</v>
      </c>
      <c r="E142" s="166">
        <f>VLOOKUP(B142,'Danh mục hàng hóa'!$C$3:$M$656,5,0)</f>
        <v>3840</v>
      </c>
      <c r="F142" s="313">
        <v>5</v>
      </c>
      <c r="G142" s="314"/>
    </row>
    <row r="143" spans="1:7" ht="13.2" hidden="1">
      <c r="A143" s="312">
        <v>45283</v>
      </c>
      <c r="B143" s="28" t="s">
        <v>882</v>
      </c>
      <c r="C143" s="143" t="str">
        <f>VLOOKUP(B143,'Danh mục hàng hóa'!$C$3:$D$643,2,0)</f>
        <v>Dao rọc giấy gấu nâu</v>
      </c>
      <c r="D143" s="144" t="str">
        <f>VLOOKUP(B143,'Danh mục hàng hóa'!$C$3:$E$656,3,0)</f>
        <v>cái</v>
      </c>
      <c r="E143" s="166">
        <f>VLOOKUP(B143,'Danh mục hàng hóa'!$C$3:$M$656,5,0)</f>
        <v>3840</v>
      </c>
      <c r="F143" s="313">
        <v>5</v>
      </c>
      <c r="G143" s="314"/>
    </row>
    <row r="144" spans="1:7" ht="13.2" hidden="1">
      <c r="A144" s="312">
        <v>45283</v>
      </c>
      <c r="B144" s="28" t="s">
        <v>409</v>
      </c>
      <c r="C144" s="143" t="str">
        <f>VLOOKUP(B144,'Danh mục hàng hóa'!$C$3:$D$643,2,0)</f>
        <v>Túi chườm bụng thỏ dứa 1000ml</v>
      </c>
      <c r="D144" s="146" t="s">
        <v>444</v>
      </c>
      <c r="E144" s="211">
        <v>90000</v>
      </c>
      <c r="F144" s="317"/>
      <c r="G144" s="313">
        <v>1</v>
      </c>
    </row>
    <row r="145" spans="1:7" ht="13.2" hidden="1">
      <c r="A145" s="312">
        <v>45283</v>
      </c>
      <c r="B145" s="28" t="s">
        <v>418</v>
      </c>
      <c r="C145" s="143" t="str">
        <f>VLOOKUP(B145,'Danh mục hàng hóa'!$C$3:$D$643,2,0)</f>
        <v>Túi chườm bụng dâu xanh nhạt 500ml</v>
      </c>
      <c r="D145" s="146" t="s">
        <v>444</v>
      </c>
      <c r="E145" s="211">
        <v>74574</v>
      </c>
      <c r="F145" s="317"/>
      <c r="G145" s="313">
        <v>1</v>
      </c>
    </row>
    <row r="146" spans="1:7" ht="13.2" hidden="1">
      <c r="A146" s="316">
        <v>45285</v>
      </c>
      <c r="B146" s="28" t="s">
        <v>414</v>
      </c>
      <c r="C146" s="143" t="str">
        <f>VLOOKUP(B146,'Danh mục hàng hóa'!$C$3:$D$643,2,0)</f>
        <v>Túi chườm bụng dâu tây 500ml</v>
      </c>
      <c r="D146" s="144" t="str">
        <f>VLOOKUP(B146,'Danh mục hàng hóa'!$C$3:$E$656,3,0)</f>
        <v>túi</v>
      </c>
      <c r="E146" s="211">
        <v>60000</v>
      </c>
      <c r="F146" s="317"/>
      <c r="G146" s="313">
        <v>1</v>
      </c>
    </row>
    <row r="147" spans="1:7" ht="13.2" hidden="1">
      <c r="A147" s="316">
        <v>45285</v>
      </c>
      <c r="B147" s="28" t="s">
        <v>588</v>
      </c>
      <c r="C147" s="143" t="str">
        <f>VLOOKUP(B147,'Danh mục hàng hóa'!$C$3:$D$643,2,0)</f>
        <v>Kẹp tóc nhựa be</v>
      </c>
      <c r="D147" s="144" t="str">
        <f>VLOOKUP(B147,'Danh mục hàng hóa'!$C$3:$E$656,3,0)</f>
        <v>cái</v>
      </c>
      <c r="E147" s="166">
        <f>VLOOKUP(B147,'Danh mục hàng hóa'!$C$3:$M$656,6,0)</f>
        <v>17000</v>
      </c>
      <c r="F147" s="317"/>
      <c r="G147" s="313">
        <v>1</v>
      </c>
    </row>
    <row r="148" spans="1:7" ht="13.2" hidden="1">
      <c r="A148" s="316">
        <v>45285</v>
      </c>
      <c r="B148" s="28" t="s">
        <v>401</v>
      </c>
      <c r="C148" s="143" t="str">
        <f>VLOOKUP(B148,'Danh mục hàng hóa'!$C$3:$D$643,2,0)</f>
        <v>Túi chườm bụng dứa xanh đậm  1000ml</v>
      </c>
      <c r="D148" s="144" t="str">
        <f>VLOOKUP(B148,'Danh mục hàng hóa'!$C$3:$E$656,3,0)</f>
        <v>túi</v>
      </c>
      <c r="E148" s="211">
        <v>99348</v>
      </c>
      <c r="F148" s="317"/>
      <c r="G148" s="313">
        <v>1</v>
      </c>
    </row>
    <row r="149" spans="1:7" ht="13.2" hidden="1">
      <c r="A149" s="316">
        <v>45286</v>
      </c>
      <c r="B149" s="28" t="s">
        <v>568</v>
      </c>
      <c r="C149" s="143" t="str">
        <f>VLOOKUP(B149,'Danh mục hàng hóa'!$C$3:$D$643,2,0)</f>
        <v>Ống 100 dây cột tóc đen</v>
      </c>
      <c r="D149" s="144" t="str">
        <f>VLOOKUP(B149,'Danh mục hàng hóa'!$C$3:$E$656,3,0)</f>
        <v>ống</v>
      </c>
      <c r="E149" s="211">
        <v>26000</v>
      </c>
      <c r="F149" s="317"/>
      <c r="G149" s="313">
        <v>1</v>
      </c>
    </row>
    <row r="150" spans="1:7" ht="13.2" hidden="1">
      <c r="A150" s="316">
        <v>45286</v>
      </c>
      <c r="B150" s="28" t="s">
        <v>709</v>
      </c>
      <c r="C150" s="143" t="str">
        <f>VLOOKUP(B150,'Danh mục hàng hóa'!$C$3:$D$643,2,0)</f>
        <v>Buộc tóc hồng lông nhỏ</v>
      </c>
      <c r="D150" s="144" t="str">
        <f>VLOOKUP(B150,'Danh mục hàng hóa'!$C$3:$E$656,3,0)</f>
        <v>cái</v>
      </c>
      <c r="E150" s="211">
        <v>12000</v>
      </c>
      <c r="F150" s="317"/>
      <c r="G150" s="313">
        <v>1</v>
      </c>
    </row>
    <row r="151" spans="1:7" ht="13.2" hidden="1">
      <c r="A151" s="316">
        <v>45286</v>
      </c>
      <c r="B151" s="28" t="s">
        <v>476</v>
      </c>
      <c r="C151" s="143" t="str">
        <f>VLOOKUP(B151,'Danh mục hàng hóa'!$C$3:$D$643,2,0)</f>
        <v>Trâm cài hoa trắng</v>
      </c>
      <c r="D151" s="144" t="str">
        <f>VLOOKUP(B151,'Danh mục hàng hóa'!$C$3:$E$656,3,0)</f>
        <v>cái</v>
      </c>
      <c r="E151" s="211">
        <v>16000</v>
      </c>
      <c r="F151" s="317"/>
      <c r="G151" s="313">
        <v>1</v>
      </c>
    </row>
    <row r="152" spans="1:7" ht="13.2" hidden="1">
      <c r="A152" s="316">
        <v>45286</v>
      </c>
      <c r="B152" s="28" t="s">
        <v>480</v>
      </c>
      <c r="C152" s="143" t="str">
        <f>VLOOKUP(B152,'Danh mục hàng hóa'!$C$3:$D$643,2,0)</f>
        <v>Trâm cài gỗ nâu có họa tiết</v>
      </c>
      <c r="D152" s="144" t="str">
        <f>VLOOKUP(B152,'Danh mục hàng hóa'!$C$3:$E$656,3,0)</f>
        <v>cái</v>
      </c>
      <c r="E152" s="211">
        <v>6016</v>
      </c>
      <c r="F152" s="317"/>
      <c r="G152" s="313">
        <v>1</v>
      </c>
    </row>
    <row r="153" spans="1:7" ht="13.2" hidden="1">
      <c r="A153" s="316">
        <v>45286</v>
      </c>
      <c r="B153" s="28" t="s">
        <v>629</v>
      </c>
      <c r="C153" s="143" t="str">
        <f>VLOOKUP(B153,'Danh mục hàng hóa'!$C$3:$D$643,2,0)</f>
        <v>Kẹp tóc lông nâu đậm</v>
      </c>
      <c r="D153" s="144" t="str">
        <f>VLOOKUP(B153,'Danh mục hàng hóa'!$C$3:$E$656,3,0)</f>
        <v>cái</v>
      </c>
      <c r="E153" s="211">
        <v>25000</v>
      </c>
      <c r="F153" s="313"/>
      <c r="G153" s="313">
        <v>1</v>
      </c>
    </row>
    <row r="154" spans="1:7" ht="13.2" hidden="1">
      <c r="A154" s="316">
        <v>45286</v>
      </c>
      <c r="B154" s="28" t="s">
        <v>568</v>
      </c>
      <c r="C154" s="143" t="str">
        <f>VLOOKUP(B154,'Danh mục hàng hóa'!$C$3:$D$643,2,0)</f>
        <v>Ống 100 dây cột tóc đen</v>
      </c>
      <c r="D154" s="144" t="str">
        <f>VLOOKUP(B154,'Danh mục hàng hóa'!$C$3:$E$656,3,0)</f>
        <v>ống</v>
      </c>
      <c r="E154" s="211">
        <v>15000</v>
      </c>
      <c r="F154" s="313"/>
      <c r="G154" s="313">
        <v>1</v>
      </c>
    </row>
    <row r="155" spans="1:7" ht="13.2" hidden="1">
      <c r="A155" s="316">
        <v>45287</v>
      </c>
      <c r="B155" s="28" t="s">
        <v>439</v>
      </c>
      <c r="C155" s="143" t="str">
        <f>VLOOKUP(B155,'Danh mục hàng hóa'!$C$3:$D$643,2,0)</f>
        <v>Bao lì xì vui vẻ</v>
      </c>
      <c r="D155" s="144" t="str">
        <f>VLOOKUP(B155,'Danh mục hàng hóa'!$C$3:$E$656,3,0)</f>
        <v>set 6 cái</v>
      </c>
      <c r="E155" s="211">
        <v>3640</v>
      </c>
      <c r="F155" s="313">
        <v>100</v>
      </c>
      <c r="G155" s="317"/>
    </row>
    <row r="156" spans="1:7" ht="13.2" hidden="1">
      <c r="A156" s="316">
        <v>45287</v>
      </c>
      <c r="B156" s="28" t="s">
        <v>440</v>
      </c>
      <c r="C156" s="143" t="str">
        <f>VLOOKUP(B156,'Danh mục hàng hóa'!$C$3:$D$643,2,0)</f>
        <v>Bao lì xì ngộ nghĩnh</v>
      </c>
      <c r="D156" s="144" t="str">
        <f>VLOOKUP(B156,'Danh mục hàng hóa'!$C$3:$E$656,3,0)</f>
        <v>set 6 cái</v>
      </c>
      <c r="E156" s="211">
        <v>3640</v>
      </c>
      <c r="F156" s="313">
        <v>100</v>
      </c>
      <c r="G156" s="317"/>
    </row>
    <row r="157" spans="1:7" ht="13.2" hidden="1">
      <c r="A157" s="318">
        <v>45288</v>
      </c>
      <c r="B157" s="28" t="s">
        <v>431</v>
      </c>
      <c r="C157" s="143" t="str">
        <f>VLOOKUP(B157,'Danh mục hàng hóa'!$C$3:$D$643,2,0)</f>
        <v>Bao lì xì rồng con</v>
      </c>
      <c r="D157" s="144" t="str">
        <f>VLOOKUP(B157,'Danh mục hàng hóa'!$C$3:$E$656,3,0)</f>
        <v>túi 4 cái</v>
      </c>
      <c r="E157" s="211">
        <v>14000</v>
      </c>
      <c r="F157" s="317"/>
      <c r="G157" s="313">
        <v>3</v>
      </c>
    </row>
    <row r="158" spans="1:7" ht="13.2" hidden="1">
      <c r="A158" s="318">
        <v>45288</v>
      </c>
      <c r="B158" s="28" t="s">
        <v>438</v>
      </c>
      <c r="C158" s="143" t="str">
        <f>VLOOKUP(B158,'Danh mục hàng hóa'!$C$3:$D$643,2,0)</f>
        <v>Bao lì xì Tết xanh</v>
      </c>
      <c r="D158" s="144" t="str">
        <f>VLOOKUP(B158,'Danh mục hàng hóa'!$C$3:$E$656,3,0)</f>
        <v>set 6 cái</v>
      </c>
      <c r="E158" s="211">
        <v>3600</v>
      </c>
      <c r="F158" s="313">
        <v>100</v>
      </c>
      <c r="G158" s="313">
        <v>0</v>
      </c>
    </row>
    <row r="159" spans="1:7" ht="13.2" hidden="1">
      <c r="A159" s="319">
        <v>45291</v>
      </c>
      <c r="B159" s="28" t="s">
        <v>709</v>
      </c>
      <c r="C159" s="143" t="str">
        <f>VLOOKUP(B159,'Danh mục hàng hóa'!$C$3:$D$643,2,0)</f>
        <v>Buộc tóc hồng lông nhỏ</v>
      </c>
      <c r="D159" s="144" t="str">
        <f>VLOOKUP(B159,'Danh mục hàng hóa'!$C$3:$E$656,3,0)</f>
        <v>cái</v>
      </c>
      <c r="E159" s="320">
        <v>8890</v>
      </c>
      <c r="F159" s="317"/>
      <c r="G159" s="313">
        <v>1</v>
      </c>
    </row>
    <row r="160" spans="1:7" ht="13.2" hidden="1">
      <c r="A160" s="319">
        <v>45292</v>
      </c>
      <c r="B160" s="28" t="s">
        <v>418</v>
      </c>
      <c r="C160" s="143" t="str">
        <f>VLOOKUP(B160,'Danh mục hàng hóa'!$C$3:$D$643,2,0)</f>
        <v>Túi chườm bụng dâu xanh nhạt 500ml</v>
      </c>
      <c r="D160" s="144" t="str">
        <f>VLOOKUP(B160,'Danh mục hàng hóa'!$C$3:$E$656,3,0)</f>
        <v>túi</v>
      </c>
      <c r="E160" s="320">
        <v>79150</v>
      </c>
      <c r="F160" s="317"/>
      <c r="G160" s="313">
        <v>1</v>
      </c>
    </row>
    <row r="161" spans="1:7" ht="13.2" hidden="1">
      <c r="A161" s="319">
        <v>45292</v>
      </c>
      <c r="B161" s="28" t="s">
        <v>438</v>
      </c>
      <c r="C161" s="143" t="str">
        <f>VLOOKUP(B161,'Danh mục hàng hóa'!$C$3:$D$643,2,0)</f>
        <v>Bao lì xì Tết xanh</v>
      </c>
      <c r="D161" s="144" t="str">
        <f>VLOOKUP(B161,'Danh mục hàng hóa'!$C$3:$E$656,3,0)</f>
        <v>set 6 cái</v>
      </c>
      <c r="E161" s="320">
        <v>7500</v>
      </c>
      <c r="F161" s="317"/>
      <c r="G161" s="313">
        <v>1</v>
      </c>
    </row>
    <row r="162" spans="1:7" ht="13.2" hidden="1">
      <c r="A162" s="319">
        <v>45292</v>
      </c>
      <c r="B162" s="28" t="s">
        <v>439</v>
      </c>
      <c r="C162" s="143" t="str">
        <f>VLOOKUP(B162,'Danh mục hàng hóa'!$C$3:$D$643,2,0)</f>
        <v>Bao lì xì vui vẻ</v>
      </c>
      <c r="D162" s="144" t="str">
        <f>VLOOKUP(B162,'Danh mục hàng hóa'!$C$3:$E$656,3,0)</f>
        <v>set 6 cái</v>
      </c>
      <c r="E162" s="320">
        <v>7500</v>
      </c>
      <c r="F162" s="317"/>
      <c r="G162" s="313">
        <v>2</v>
      </c>
    </row>
    <row r="163" spans="1:7" ht="13.2" hidden="1">
      <c r="A163" s="319">
        <v>45292</v>
      </c>
      <c r="B163" s="28" t="s">
        <v>440</v>
      </c>
      <c r="C163" s="143" t="str">
        <f>VLOOKUP(B163,'Danh mục hàng hóa'!$C$3:$D$643,2,0)</f>
        <v>Bao lì xì ngộ nghĩnh</v>
      </c>
      <c r="D163" s="144" t="str">
        <f>VLOOKUP(B163,'Danh mục hàng hóa'!$C$3:$E$656,3,0)</f>
        <v>set 6 cái</v>
      </c>
      <c r="E163" s="320">
        <v>7500</v>
      </c>
      <c r="F163" s="317"/>
      <c r="G163" s="313">
        <v>3</v>
      </c>
    </row>
    <row r="164" spans="1:7" ht="13.2" hidden="1">
      <c r="A164" s="319">
        <v>45292</v>
      </c>
      <c r="B164" s="28" t="s">
        <v>874</v>
      </c>
      <c r="C164" s="143" t="str">
        <f>VLOOKUP(B164,'Danh mục hàng hóa'!$C$3:$D$643,2,0)</f>
        <v>Dao rọc giấy cún xanh</v>
      </c>
      <c r="D164" s="144" t="str">
        <f>VLOOKUP(B164,'Danh mục hàng hóa'!$C$3:$E$656,3,0)</f>
        <v>cái</v>
      </c>
      <c r="E164" s="320">
        <v>7746</v>
      </c>
      <c r="F164" s="317"/>
      <c r="G164" s="313">
        <v>1</v>
      </c>
    </row>
    <row r="165" spans="1:7" ht="13.2" hidden="1">
      <c r="A165" s="319">
        <v>45292</v>
      </c>
      <c r="B165" s="28" t="s">
        <v>431</v>
      </c>
      <c r="C165" s="143" t="str">
        <f>VLOOKUP(B165,'Danh mục hàng hóa'!$C$3:$D$643,2,0)</f>
        <v>Bao lì xì rồng con</v>
      </c>
      <c r="D165" s="144" t="str">
        <f>VLOOKUP(B165,'Danh mục hàng hóa'!$C$3:$E$656,3,0)</f>
        <v>túi 4 cái</v>
      </c>
      <c r="E165" s="320">
        <v>14148.5</v>
      </c>
      <c r="F165" s="317"/>
      <c r="G165" s="313">
        <v>2</v>
      </c>
    </row>
    <row r="166" spans="1:7" ht="13.2" hidden="1">
      <c r="A166" s="319">
        <v>45292</v>
      </c>
      <c r="B166" s="28" t="s">
        <v>437</v>
      </c>
      <c r="C166" s="143" t="str">
        <f>VLOOKUP(B166,'Danh mục hàng hóa'!$C$3:$D$643,2,0)</f>
        <v>Bao lì xì Tết hoa</v>
      </c>
      <c r="D166" s="144" t="str">
        <f>VLOOKUP(B166,'Danh mục hàng hóa'!$C$3:$E$656,3,0)</f>
        <v>set 6 cái</v>
      </c>
      <c r="E166" s="320">
        <v>8900</v>
      </c>
      <c r="F166" s="317"/>
      <c r="G166" s="313">
        <v>1</v>
      </c>
    </row>
    <row r="167" spans="1:7" ht="13.2" hidden="1">
      <c r="A167" s="319">
        <v>45292</v>
      </c>
      <c r="B167" s="28" t="s">
        <v>440</v>
      </c>
      <c r="C167" s="143" t="str">
        <f>VLOOKUP(B167,'Danh mục hàng hóa'!$C$3:$D$643,2,0)</f>
        <v>Bao lì xì ngộ nghĩnh</v>
      </c>
      <c r="D167" s="144" t="str">
        <f>VLOOKUP(B167,'Danh mục hàng hóa'!$C$3:$E$656,3,0)</f>
        <v>set 6 cái</v>
      </c>
      <c r="E167" s="320">
        <v>8400</v>
      </c>
      <c r="F167" s="317"/>
      <c r="G167" s="313">
        <v>1</v>
      </c>
    </row>
    <row r="168" spans="1:7" ht="13.2" hidden="1">
      <c r="A168" s="319">
        <v>45292</v>
      </c>
      <c r="B168" s="28" t="s">
        <v>435</v>
      </c>
      <c r="C168" s="143" t="str">
        <f>VLOOKUP(B168,'Danh mục hàng hóa'!$C$3:$D$643,2,0)</f>
        <v>Bao lì xì Tết tài lộc</v>
      </c>
      <c r="D168" s="144" t="str">
        <f>VLOOKUP(B168,'Danh mục hàng hóa'!$C$3:$E$656,3,0)</f>
        <v>set 6 cái</v>
      </c>
      <c r="E168" s="321">
        <f t="shared" ref="E168:E172" si="1">28420/5</f>
        <v>5684</v>
      </c>
      <c r="F168" s="317"/>
      <c r="G168" s="313">
        <v>1</v>
      </c>
    </row>
    <row r="169" spans="1:7" ht="13.2" hidden="1">
      <c r="A169" s="319">
        <v>45292</v>
      </c>
      <c r="B169" s="28" t="s">
        <v>437</v>
      </c>
      <c r="C169" s="143" t="str">
        <f>VLOOKUP(B169,'Danh mục hàng hóa'!$C$3:$D$643,2,0)</f>
        <v>Bao lì xì Tết hoa</v>
      </c>
      <c r="D169" s="144" t="str">
        <f>VLOOKUP(B169,'Danh mục hàng hóa'!$C$3:$E$656,3,0)</f>
        <v>set 6 cái</v>
      </c>
      <c r="E169" s="321">
        <f t="shared" si="1"/>
        <v>5684</v>
      </c>
      <c r="F169" s="317"/>
      <c r="G169" s="313">
        <v>1</v>
      </c>
    </row>
    <row r="170" spans="1:7" ht="13.2" hidden="1">
      <c r="A170" s="319">
        <v>45292</v>
      </c>
      <c r="B170" s="28" t="s">
        <v>438</v>
      </c>
      <c r="C170" s="143" t="str">
        <f>VLOOKUP(B170,'Danh mục hàng hóa'!$C$3:$D$643,2,0)</f>
        <v>Bao lì xì Tết xanh</v>
      </c>
      <c r="D170" s="144" t="str">
        <f>VLOOKUP(B170,'Danh mục hàng hóa'!$C$3:$E$656,3,0)</f>
        <v>set 6 cái</v>
      </c>
      <c r="E170" s="321">
        <f t="shared" si="1"/>
        <v>5684</v>
      </c>
      <c r="F170" s="317"/>
      <c r="G170" s="313">
        <v>1</v>
      </c>
    </row>
    <row r="171" spans="1:7" ht="13.2" hidden="1">
      <c r="A171" s="319">
        <v>45292</v>
      </c>
      <c r="B171" s="28" t="s">
        <v>439</v>
      </c>
      <c r="C171" s="143" t="str">
        <f>VLOOKUP(B171,'Danh mục hàng hóa'!$C$3:$D$643,2,0)</f>
        <v>Bao lì xì vui vẻ</v>
      </c>
      <c r="D171" s="144" t="str">
        <f>VLOOKUP(B171,'Danh mục hàng hóa'!$C$3:$E$656,3,0)</f>
        <v>set 6 cái</v>
      </c>
      <c r="E171" s="321">
        <f t="shared" si="1"/>
        <v>5684</v>
      </c>
      <c r="F171" s="317"/>
      <c r="G171" s="313">
        <v>1</v>
      </c>
    </row>
    <row r="172" spans="1:7" ht="13.2" hidden="1">
      <c r="A172" s="319">
        <v>45292</v>
      </c>
      <c r="B172" s="28" t="s">
        <v>440</v>
      </c>
      <c r="C172" s="143" t="str">
        <f>VLOOKUP(B172,'Danh mục hàng hóa'!$C$3:$D$643,2,0)</f>
        <v>Bao lì xì ngộ nghĩnh</v>
      </c>
      <c r="D172" s="144" t="str">
        <f>VLOOKUP(B172,'Danh mục hàng hóa'!$C$3:$E$656,3,0)</f>
        <v>set 6 cái</v>
      </c>
      <c r="E172" s="321">
        <f t="shared" si="1"/>
        <v>5684</v>
      </c>
      <c r="F172" s="317"/>
      <c r="G172" s="313">
        <v>1</v>
      </c>
    </row>
    <row r="173" spans="1:7" ht="13.2" hidden="1">
      <c r="A173" s="319">
        <v>45292</v>
      </c>
      <c r="B173" s="28" t="s">
        <v>435</v>
      </c>
      <c r="C173" s="143" t="str">
        <f>VLOOKUP(B173,'Danh mục hàng hóa'!$C$3:$D$643,2,0)</f>
        <v>Bao lì xì Tết tài lộc</v>
      </c>
      <c r="D173" s="144" t="str">
        <f>VLOOKUP(B173,'Danh mục hàng hóa'!$C$3:$E$656,3,0)</f>
        <v>set 6 cái</v>
      </c>
      <c r="E173" s="320">
        <v>6000</v>
      </c>
      <c r="F173" s="317"/>
      <c r="G173" s="313">
        <v>1</v>
      </c>
    </row>
    <row r="174" spans="1:7" ht="13.2" hidden="1">
      <c r="A174" s="319">
        <v>45292</v>
      </c>
      <c r="B174" s="28" t="s">
        <v>437</v>
      </c>
      <c r="C174" s="143" t="str">
        <f>VLOOKUP(B174,'Danh mục hàng hóa'!$C$3:$D$643,2,0)</f>
        <v>Bao lì xì Tết hoa</v>
      </c>
      <c r="D174" s="144" t="str">
        <f>VLOOKUP(B174,'Danh mục hàng hóa'!$C$3:$E$656,3,0)</f>
        <v>set 6 cái</v>
      </c>
      <c r="E174" s="320">
        <v>6000</v>
      </c>
      <c r="F174" s="317"/>
      <c r="G174" s="313">
        <v>1</v>
      </c>
    </row>
    <row r="175" spans="1:7" ht="13.2" hidden="1">
      <c r="A175" s="319">
        <v>45292</v>
      </c>
      <c r="B175" s="28" t="s">
        <v>438</v>
      </c>
      <c r="C175" s="143" t="str">
        <f>VLOOKUP(B175,'Danh mục hàng hóa'!$C$3:$D$643,2,0)</f>
        <v>Bao lì xì Tết xanh</v>
      </c>
      <c r="D175" s="144" t="str">
        <f>VLOOKUP(B175,'Danh mục hàng hóa'!$C$3:$E$656,3,0)</f>
        <v>set 6 cái</v>
      </c>
      <c r="E175" s="320">
        <v>6000</v>
      </c>
      <c r="F175" s="317"/>
      <c r="G175" s="313">
        <v>1</v>
      </c>
    </row>
    <row r="176" spans="1:7" ht="13.2" hidden="1">
      <c r="A176" s="319">
        <v>45292</v>
      </c>
      <c r="B176" s="28" t="s">
        <v>439</v>
      </c>
      <c r="C176" s="143" t="str">
        <f>VLOOKUP(B176,'Danh mục hàng hóa'!$C$3:$D$643,2,0)</f>
        <v>Bao lì xì vui vẻ</v>
      </c>
      <c r="D176" s="144" t="str">
        <f>VLOOKUP(B176,'Danh mục hàng hóa'!$C$3:$E$656,3,0)</f>
        <v>set 6 cái</v>
      </c>
      <c r="E176" s="320">
        <v>6000</v>
      </c>
      <c r="F176" s="317"/>
      <c r="G176" s="313">
        <v>1</v>
      </c>
    </row>
    <row r="177" spans="1:7" ht="13.2" hidden="1">
      <c r="A177" s="319">
        <v>45292</v>
      </c>
      <c r="B177" s="28" t="s">
        <v>440</v>
      </c>
      <c r="C177" s="143" t="str">
        <f>VLOOKUP(B177,'Danh mục hàng hóa'!$C$3:$D$643,2,0)</f>
        <v>Bao lì xì ngộ nghĩnh</v>
      </c>
      <c r="D177" s="144" t="str">
        <f>VLOOKUP(B177,'Danh mục hàng hóa'!$C$3:$E$656,3,0)</f>
        <v>set 6 cái</v>
      </c>
      <c r="E177" s="320">
        <v>6000</v>
      </c>
      <c r="F177" s="317"/>
      <c r="G177" s="313">
        <v>1</v>
      </c>
    </row>
    <row r="178" spans="1:7" ht="13.2" hidden="1">
      <c r="A178" s="319">
        <v>45292</v>
      </c>
      <c r="B178" s="28" t="s">
        <v>435</v>
      </c>
      <c r="C178" s="143" t="str">
        <f>VLOOKUP(B178,'Danh mục hàng hóa'!$C$3:$D$643,2,0)</f>
        <v>Bao lì xì Tết tài lộc</v>
      </c>
      <c r="D178" s="144" t="str">
        <f>VLOOKUP(B178,'Danh mục hàng hóa'!$C$3:$E$656,3,0)</f>
        <v>set 6 cái</v>
      </c>
      <c r="E178" s="211">
        <f t="shared" ref="E178:E182" si="2">877.1*6</f>
        <v>5262.6</v>
      </c>
      <c r="F178" s="317"/>
      <c r="G178" s="313">
        <f t="shared" ref="G178:G182" si="3">2/6</f>
        <v>0.33333333333333331</v>
      </c>
    </row>
    <row r="179" spans="1:7" ht="13.2" hidden="1">
      <c r="A179" s="319">
        <v>45292</v>
      </c>
      <c r="B179" s="28" t="s">
        <v>437</v>
      </c>
      <c r="C179" s="143" t="str">
        <f>VLOOKUP(B179,'Danh mục hàng hóa'!$C$3:$D$643,2,0)</f>
        <v>Bao lì xì Tết hoa</v>
      </c>
      <c r="D179" s="144" t="str">
        <f>VLOOKUP(B179,'Danh mục hàng hóa'!$C$3:$E$656,3,0)</f>
        <v>set 6 cái</v>
      </c>
      <c r="E179" s="211">
        <f t="shared" si="2"/>
        <v>5262.6</v>
      </c>
      <c r="F179" s="317"/>
      <c r="G179" s="313">
        <f t="shared" si="3"/>
        <v>0.33333333333333331</v>
      </c>
    </row>
    <row r="180" spans="1:7" ht="13.2" hidden="1">
      <c r="A180" s="319">
        <v>45292</v>
      </c>
      <c r="B180" s="28" t="s">
        <v>438</v>
      </c>
      <c r="C180" s="143" t="str">
        <f>VLOOKUP(B180,'Danh mục hàng hóa'!$C$3:$D$643,2,0)</f>
        <v>Bao lì xì Tết xanh</v>
      </c>
      <c r="D180" s="144" t="str">
        <f>VLOOKUP(B180,'Danh mục hàng hóa'!$C$3:$E$656,3,0)</f>
        <v>set 6 cái</v>
      </c>
      <c r="E180" s="211">
        <f t="shared" si="2"/>
        <v>5262.6</v>
      </c>
      <c r="F180" s="317"/>
      <c r="G180" s="313">
        <f t="shared" si="3"/>
        <v>0.33333333333333331</v>
      </c>
    </row>
    <row r="181" spans="1:7" ht="13.2" hidden="1">
      <c r="A181" s="319">
        <v>45292</v>
      </c>
      <c r="B181" s="28" t="s">
        <v>439</v>
      </c>
      <c r="C181" s="143" t="str">
        <f>VLOOKUP(B181,'Danh mục hàng hóa'!$C$3:$D$643,2,0)</f>
        <v>Bao lì xì vui vẻ</v>
      </c>
      <c r="D181" s="144" t="str">
        <f>VLOOKUP(B181,'Danh mục hàng hóa'!$C$3:$E$656,3,0)</f>
        <v>set 6 cái</v>
      </c>
      <c r="E181" s="211">
        <f t="shared" si="2"/>
        <v>5262.6</v>
      </c>
      <c r="F181" s="317"/>
      <c r="G181" s="313">
        <f t="shared" si="3"/>
        <v>0.33333333333333331</v>
      </c>
    </row>
    <row r="182" spans="1:7" ht="13.2" hidden="1">
      <c r="A182" s="319">
        <v>45292</v>
      </c>
      <c r="B182" s="28" t="s">
        <v>440</v>
      </c>
      <c r="C182" s="143" t="str">
        <f>VLOOKUP(B182,'Danh mục hàng hóa'!$C$3:$D$643,2,0)</f>
        <v>Bao lì xì ngộ nghĩnh</v>
      </c>
      <c r="D182" s="144" t="str">
        <f>VLOOKUP(B182,'Danh mục hàng hóa'!$C$3:$E$656,3,0)</f>
        <v>set 6 cái</v>
      </c>
      <c r="E182" s="211">
        <f t="shared" si="2"/>
        <v>5262.6</v>
      </c>
      <c r="F182" s="317"/>
      <c r="G182" s="313">
        <f t="shared" si="3"/>
        <v>0.33333333333333331</v>
      </c>
    </row>
    <row r="183" spans="1:7" ht="13.2" hidden="1">
      <c r="A183" s="319">
        <v>45292</v>
      </c>
      <c r="B183" s="28" t="s">
        <v>435</v>
      </c>
      <c r="C183" s="143" t="str">
        <f>VLOOKUP(B183,'Danh mục hàng hóa'!$C$3:$D$643,2,0)</f>
        <v>Bao lì xì Tết tài lộc</v>
      </c>
      <c r="D183" s="144" t="str">
        <f>VLOOKUP(B183,'Danh mục hàng hóa'!$C$3:$E$656,3,0)</f>
        <v>set 6 cái</v>
      </c>
      <c r="E183" s="320">
        <v>6000</v>
      </c>
      <c r="F183" s="317"/>
      <c r="G183" s="313">
        <v>2</v>
      </c>
    </row>
    <row r="184" spans="1:7" ht="13.2" hidden="1">
      <c r="A184" s="319">
        <v>45292</v>
      </c>
      <c r="B184" s="28" t="s">
        <v>437</v>
      </c>
      <c r="C184" s="143" t="str">
        <f>VLOOKUP(B184,'Danh mục hàng hóa'!$C$3:$D$643,2,0)</f>
        <v>Bao lì xì Tết hoa</v>
      </c>
      <c r="D184" s="144" t="str">
        <f>VLOOKUP(B184,'Danh mục hàng hóa'!$C$3:$E$656,3,0)</f>
        <v>set 6 cái</v>
      </c>
      <c r="E184" s="320">
        <v>6000</v>
      </c>
      <c r="F184" s="317"/>
      <c r="G184" s="313">
        <v>2</v>
      </c>
    </row>
    <row r="185" spans="1:7" ht="13.2" hidden="1">
      <c r="A185" s="319">
        <v>45292</v>
      </c>
      <c r="B185" s="28" t="s">
        <v>438</v>
      </c>
      <c r="C185" s="143" t="str">
        <f>VLOOKUP(B185,'Danh mục hàng hóa'!$C$3:$D$643,2,0)</f>
        <v>Bao lì xì Tết xanh</v>
      </c>
      <c r="D185" s="144" t="str">
        <f>VLOOKUP(B185,'Danh mục hàng hóa'!$C$3:$E$656,3,0)</f>
        <v>set 6 cái</v>
      </c>
      <c r="E185" s="320">
        <v>6000</v>
      </c>
      <c r="F185" s="317"/>
      <c r="G185" s="313">
        <v>2</v>
      </c>
    </row>
    <row r="186" spans="1:7" ht="13.2" hidden="1">
      <c r="A186" s="319">
        <v>45292</v>
      </c>
      <c r="B186" s="28" t="s">
        <v>439</v>
      </c>
      <c r="C186" s="143" t="str">
        <f>VLOOKUP(B186,'Danh mục hàng hóa'!$C$3:$D$643,2,0)</f>
        <v>Bao lì xì vui vẻ</v>
      </c>
      <c r="D186" s="144" t="str">
        <f>VLOOKUP(B186,'Danh mục hàng hóa'!$C$3:$E$656,3,0)</f>
        <v>set 6 cái</v>
      </c>
      <c r="E186" s="320">
        <v>6000</v>
      </c>
      <c r="F186" s="317"/>
      <c r="G186" s="313">
        <v>2</v>
      </c>
    </row>
    <row r="187" spans="1:7" ht="13.2" hidden="1">
      <c r="A187" s="319">
        <v>45292</v>
      </c>
      <c r="B187" s="28" t="s">
        <v>440</v>
      </c>
      <c r="C187" s="143" t="str">
        <f>VLOOKUP(B187,'Danh mục hàng hóa'!$C$3:$D$643,2,0)</f>
        <v>Bao lì xì ngộ nghĩnh</v>
      </c>
      <c r="D187" s="144" t="str">
        <f>VLOOKUP(B187,'Danh mục hàng hóa'!$C$3:$E$656,3,0)</f>
        <v>set 6 cái</v>
      </c>
      <c r="E187" s="320">
        <v>6000</v>
      </c>
      <c r="F187" s="317"/>
      <c r="G187" s="313">
        <v>2</v>
      </c>
    </row>
    <row r="188" spans="1:7" ht="13.2" hidden="1">
      <c r="A188" s="319">
        <v>45292</v>
      </c>
      <c r="B188" s="28" t="s">
        <v>431</v>
      </c>
      <c r="C188" s="143" t="str">
        <f>VLOOKUP(B188,'Danh mục hàng hóa'!$C$3:$D$643,2,0)</f>
        <v>Bao lì xì rồng con</v>
      </c>
      <c r="D188" s="144" t="str">
        <f>VLOOKUP(B188,'Danh mục hàng hóa'!$C$3:$E$656,3,0)</f>
        <v>túi 4 cái</v>
      </c>
      <c r="E188" s="320">
        <v>10278</v>
      </c>
      <c r="F188" s="317"/>
      <c r="G188" s="313">
        <v>1</v>
      </c>
    </row>
    <row r="189" spans="1:7" ht="13.2" hidden="1">
      <c r="A189" s="319">
        <v>45292</v>
      </c>
      <c r="B189" s="28" t="s">
        <v>435</v>
      </c>
      <c r="C189" s="143" t="str">
        <f>VLOOKUP(B189,'Danh mục hàng hóa'!$C$3:$D$643,2,0)</f>
        <v>Bao lì xì Tết tài lộc</v>
      </c>
      <c r="D189" s="144" t="str">
        <f>VLOOKUP(B189,'Danh mục hàng hóa'!$C$3:$E$656,3,0)</f>
        <v>set 6 cái</v>
      </c>
      <c r="E189" s="320">
        <v>5000</v>
      </c>
      <c r="F189" s="317"/>
      <c r="G189" s="313">
        <v>1</v>
      </c>
    </row>
    <row r="190" spans="1:7" ht="13.2" hidden="1">
      <c r="A190" s="319">
        <v>45292</v>
      </c>
      <c r="B190" s="28" t="s">
        <v>438</v>
      </c>
      <c r="C190" s="143" t="str">
        <f>VLOOKUP(B190,'Danh mục hàng hóa'!$C$3:$D$643,2,0)</f>
        <v>Bao lì xì Tết xanh</v>
      </c>
      <c r="D190" s="144" t="str">
        <f>VLOOKUP(B190,'Danh mục hàng hóa'!$C$3:$E$656,3,0)</f>
        <v>set 6 cái</v>
      </c>
      <c r="E190" s="320">
        <v>5000</v>
      </c>
      <c r="F190" s="317"/>
      <c r="G190" s="313">
        <v>1</v>
      </c>
    </row>
    <row r="191" spans="1:7" ht="13.2" hidden="1">
      <c r="A191" s="319">
        <v>45292</v>
      </c>
      <c r="B191" s="28" t="s">
        <v>440</v>
      </c>
      <c r="C191" s="143" t="str">
        <f>VLOOKUP(B191,'Danh mục hàng hóa'!$C$3:$D$643,2,0)</f>
        <v>Bao lì xì ngộ nghĩnh</v>
      </c>
      <c r="D191" s="144" t="str">
        <f>VLOOKUP(B191,'Danh mục hàng hóa'!$C$3:$E$656,3,0)</f>
        <v>set 6 cái</v>
      </c>
      <c r="E191" s="320">
        <v>5000</v>
      </c>
      <c r="F191" s="317"/>
      <c r="G191" s="313">
        <v>1</v>
      </c>
    </row>
    <row r="192" spans="1:7" ht="13.2" hidden="1">
      <c r="A192" s="319">
        <v>45292</v>
      </c>
      <c r="B192" s="28" t="s">
        <v>438</v>
      </c>
      <c r="C192" s="143" t="str">
        <f>VLOOKUP(B192,'Danh mục hàng hóa'!$C$3:$D$643,2,0)</f>
        <v>Bao lì xì Tết xanh</v>
      </c>
      <c r="D192" s="144" t="str">
        <f>VLOOKUP(B192,'Danh mục hàng hóa'!$C$3:$E$656,3,0)</f>
        <v>set 6 cái</v>
      </c>
      <c r="E192" s="321">
        <f>22368/3</f>
        <v>7456</v>
      </c>
      <c r="F192" s="317"/>
      <c r="G192" s="313">
        <v>3</v>
      </c>
    </row>
    <row r="193" spans="1:7" ht="13.2" hidden="1">
      <c r="A193" s="319">
        <v>45292</v>
      </c>
      <c r="B193" s="28" t="s">
        <v>439</v>
      </c>
      <c r="C193" s="143" t="str">
        <f>VLOOKUP(B193,'Danh mục hàng hóa'!$C$3:$D$643,2,0)</f>
        <v>Bao lì xì vui vẻ</v>
      </c>
      <c r="D193" s="144" t="str">
        <f>VLOOKUP(B193,'Danh mục hàng hóa'!$C$3:$E$656,3,0)</f>
        <v>set 6 cái</v>
      </c>
      <c r="E193" s="321">
        <f t="shared" ref="E193:E194" si="4">38458/5</f>
        <v>7691.6</v>
      </c>
      <c r="F193" s="317"/>
      <c r="G193" s="313">
        <v>2</v>
      </c>
    </row>
    <row r="194" spans="1:7" ht="13.2" hidden="1">
      <c r="A194" s="319">
        <v>45292</v>
      </c>
      <c r="B194" s="28" t="s">
        <v>440</v>
      </c>
      <c r="C194" s="143" t="str">
        <f>VLOOKUP(B194,'Danh mục hàng hóa'!$C$3:$D$643,2,0)</f>
        <v>Bao lì xì ngộ nghĩnh</v>
      </c>
      <c r="D194" s="144" t="str">
        <f>VLOOKUP(B194,'Danh mục hàng hóa'!$C$3:$E$656,3,0)</f>
        <v>set 6 cái</v>
      </c>
      <c r="E194" s="321">
        <f t="shared" si="4"/>
        <v>7691.6</v>
      </c>
      <c r="F194" s="317"/>
      <c r="G194" s="313">
        <v>3</v>
      </c>
    </row>
    <row r="195" spans="1:7" ht="13.2" hidden="1">
      <c r="A195" s="319">
        <v>45293</v>
      </c>
      <c r="B195" s="28" t="s">
        <v>435</v>
      </c>
      <c r="C195" s="143" t="str">
        <f>VLOOKUP(B195,'Danh mục hàng hóa'!$C$3:$D$643,2,0)</f>
        <v>Bao lì xì Tết tài lộc</v>
      </c>
      <c r="D195" s="144" t="str">
        <f>VLOOKUP(B195,'Danh mục hàng hóa'!$C$3:$E$656,3,0)</f>
        <v>set 6 cái</v>
      </c>
      <c r="E195" s="320">
        <v>6000</v>
      </c>
      <c r="F195" s="317"/>
      <c r="G195" s="313">
        <v>1</v>
      </c>
    </row>
    <row r="196" spans="1:7" ht="13.2" hidden="1">
      <c r="A196" s="319">
        <v>45293</v>
      </c>
      <c r="B196" s="28" t="s">
        <v>437</v>
      </c>
      <c r="C196" s="143" t="str">
        <f>VLOOKUP(B196,'Danh mục hàng hóa'!$C$3:$D$643,2,0)</f>
        <v>Bao lì xì Tết hoa</v>
      </c>
      <c r="D196" s="144" t="str">
        <f>VLOOKUP(B196,'Danh mục hàng hóa'!$C$3:$E$656,3,0)</f>
        <v>set 6 cái</v>
      </c>
      <c r="E196" s="320">
        <v>6000</v>
      </c>
      <c r="F196" s="317"/>
      <c r="G196" s="313">
        <v>1</v>
      </c>
    </row>
    <row r="197" spans="1:7" ht="13.2" hidden="1">
      <c r="A197" s="319">
        <v>45293</v>
      </c>
      <c r="B197" s="28" t="s">
        <v>438</v>
      </c>
      <c r="C197" s="143" t="str">
        <f>VLOOKUP(B197,'Danh mục hàng hóa'!$C$3:$D$643,2,0)</f>
        <v>Bao lì xì Tết xanh</v>
      </c>
      <c r="D197" s="144" t="str">
        <f>VLOOKUP(B197,'Danh mục hàng hóa'!$C$3:$E$656,3,0)</f>
        <v>set 6 cái</v>
      </c>
      <c r="E197" s="320">
        <v>6000</v>
      </c>
      <c r="F197" s="317"/>
      <c r="G197" s="313">
        <v>1</v>
      </c>
    </row>
    <row r="198" spans="1:7" ht="13.2" hidden="1">
      <c r="A198" s="319">
        <v>45293</v>
      </c>
      <c r="B198" s="28" t="s">
        <v>439</v>
      </c>
      <c r="C198" s="143" t="str">
        <f>VLOOKUP(B198,'Danh mục hàng hóa'!$C$3:$D$643,2,0)</f>
        <v>Bao lì xì vui vẻ</v>
      </c>
      <c r="D198" s="144" t="str">
        <f>VLOOKUP(B198,'Danh mục hàng hóa'!$C$3:$E$656,3,0)</f>
        <v>set 6 cái</v>
      </c>
      <c r="E198" s="320">
        <v>6000</v>
      </c>
      <c r="F198" s="317"/>
      <c r="G198" s="313">
        <v>1</v>
      </c>
    </row>
    <row r="199" spans="1:7" ht="13.2" hidden="1">
      <c r="A199" s="319">
        <v>45293</v>
      </c>
      <c r="B199" s="28" t="s">
        <v>440</v>
      </c>
      <c r="C199" s="143" t="str">
        <f>VLOOKUP(B199,'Danh mục hàng hóa'!$C$3:$D$643,2,0)</f>
        <v>Bao lì xì ngộ nghĩnh</v>
      </c>
      <c r="D199" s="144" t="str">
        <f>VLOOKUP(B199,'Danh mục hàng hóa'!$C$3:$E$656,3,0)</f>
        <v>set 6 cái</v>
      </c>
      <c r="E199" s="320">
        <v>6000</v>
      </c>
      <c r="F199" s="317"/>
      <c r="G199" s="313">
        <v>1</v>
      </c>
    </row>
    <row r="200" spans="1:7" ht="13.2" hidden="1">
      <c r="A200" s="319">
        <v>45293</v>
      </c>
      <c r="B200" s="28" t="s">
        <v>437</v>
      </c>
      <c r="C200" s="143" t="str">
        <f>VLOOKUP(B200,'Danh mục hàng hóa'!$C$3:$D$643,2,0)</f>
        <v>Bao lì xì Tết hoa</v>
      </c>
      <c r="D200" s="144" t="str">
        <f>VLOOKUP(B200,'Danh mục hàng hóa'!$C$3:$E$656,3,0)</f>
        <v>set 6 cái</v>
      </c>
      <c r="E200" s="321">
        <f t="shared" ref="E200:E203" si="5">64452/8</f>
        <v>8056.5</v>
      </c>
      <c r="F200" s="317"/>
      <c r="G200" s="313">
        <v>2</v>
      </c>
    </row>
    <row r="201" spans="1:7" ht="13.2" hidden="1">
      <c r="A201" s="319">
        <v>45293</v>
      </c>
      <c r="B201" s="28" t="s">
        <v>438</v>
      </c>
      <c r="C201" s="143" t="str">
        <f>VLOOKUP(B201,'Danh mục hàng hóa'!$C$3:$D$643,2,0)</f>
        <v>Bao lì xì Tết xanh</v>
      </c>
      <c r="D201" s="144" t="str">
        <f>VLOOKUP(B201,'Danh mục hàng hóa'!$C$3:$E$656,3,0)</f>
        <v>set 6 cái</v>
      </c>
      <c r="E201" s="321">
        <f t="shared" si="5"/>
        <v>8056.5</v>
      </c>
      <c r="F201" s="317"/>
      <c r="G201" s="313">
        <v>2</v>
      </c>
    </row>
    <row r="202" spans="1:7" ht="13.2" hidden="1">
      <c r="A202" s="319">
        <v>45293</v>
      </c>
      <c r="B202" s="28" t="s">
        <v>439</v>
      </c>
      <c r="C202" s="143" t="str">
        <f>VLOOKUP(B202,'Danh mục hàng hóa'!$C$3:$D$643,2,0)</f>
        <v>Bao lì xì vui vẻ</v>
      </c>
      <c r="D202" s="144" t="str">
        <f>VLOOKUP(B202,'Danh mục hàng hóa'!$C$3:$E$656,3,0)</f>
        <v>set 6 cái</v>
      </c>
      <c r="E202" s="321">
        <f t="shared" si="5"/>
        <v>8056.5</v>
      </c>
      <c r="F202" s="317"/>
      <c r="G202" s="313">
        <v>2</v>
      </c>
    </row>
    <row r="203" spans="1:7" ht="13.2" hidden="1">
      <c r="A203" s="319">
        <v>45293</v>
      </c>
      <c r="B203" s="28" t="s">
        <v>440</v>
      </c>
      <c r="C203" s="143" t="str">
        <f>VLOOKUP(B203,'Danh mục hàng hóa'!$C$3:$D$643,2,0)</f>
        <v>Bao lì xì ngộ nghĩnh</v>
      </c>
      <c r="D203" s="144" t="str">
        <f>VLOOKUP(B203,'Danh mục hàng hóa'!$C$3:$E$656,3,0)</f>
        <v>set 6 cái</v>
      </c>
      <c r="E203" s="321">
        <f t="shared" si="5"/>
        <v>8056.5</v>
      </c>
      <c r="F203" s="317"/>
      <c r="G203" s="313">
        <v>2</v>
      </c>
    </row>
    <row r="204" spans="1:7" ht="13.2" hidden="1">
      <c r="A204" s="319">
        <v>45293</v>
      </c>
      <c r="B204" s="28" t="s">
        <v>431</v>
      </c>
      <c r="C204" s="143" t="str">
        <f>VLOOKUP(B204,'Danh mục hàng hóa'!$C$3:$D$643,2,0)</f>
        <v>Bao lì xì rồng con</v>
      </c>
      <c r="D204" s="144" t="str">
        <f>VLOOKUP(B204,'Danh mục hàng hóa'!$C$3:$E$656,3,0)</f>
        <v>túi 4 cái</v>
      </c>
      <c r="E204" s="321">
        <f t="shared" ref="E204:E205" si="6">100000/7</f>
        <v>14285.714285714286</v>
      </c>
      <c r="F204" s="317"/>
      <c r="G204" s="313">
        <v>2</v>
      </c>
    </row>
    <row r="205" spans="1:7" ht="13.2" hidden="1">
      <c r="A205" s="319">
        <v>45293</v>
      </c>
      <c r="B205" s="28" t="s">
        <v>433</v>
      </c>
      <c r="C205" s="143" t="str">
        <f>VLOOKUP(B205,'Danh mục hàng hóa'!$C$3:$D$643,2,0)</f>
        <v>Bao lì xì rồng lân</v>
      </c>
      <c r="D205" s="144" t="str">
        <f>VLOOKUP(B205,'Danh mục hàng hóa'!$C$3:$E$656,3,0)</f>
        <v>túi 4 cái</v>
      </c>
      <c r="E205" s="321">
        <f t="shared" si="6"/>
        <v>14285.714285714286</v>
      </c>
      <c r="F205" s="317"/>
      <c r="G205" s="313">
        <v>5</v>
      </c>
    </row>
    <row r="206" spans="1:7" ht="13.2" hidden="1">
      <c r="A206" s="319">
        <v>45294</v>
      </c>
      <c r="B206" s="28" t="s">
        <v>885</v>
      </c>
      <c r="C206" s="143" t="str">
        <f>VLOOKUP(B206,'Danh mục hàng hóa'!$C$3:$D$643,2,0)</f>
        <v>Gấu chong chóng</v>
      </c>
      <c r="D206" s="144" t="str">
        <f>VLOOKUP(B206,'Danh mục hàng hóa'!$C$3:$E$656,3,0)</f>
        <v>cái</v>
      </c>
      <c r="E206" s="321">
        <v>33045</v>
      </c>
      <c r="F206" s="313">
        <v>7</v>
      </c>
      <c r="G206" s="313"/>
    </row>
    <row r="207" spans="1:7" ht="13.2" hidden="1">
      <c r="A207" s="319">
        <v>45294</v>
      </c>
      <c r="B207" s="28" t="s">
        <v>887</v>
      </c>
      <c r="C207" s="143" t="str">
        <f>VLOOKUP(B207,'Danh mục hàng hóa'!$C$3:$D$643,2,0)</f>
        <v>Mèo chong chóng</v>
      </c>
      <c r="D207" s="144" t="str">
        <f>VLOOKUP(B207,'Danh mục hàng hóa'!$C$3:$E$656,3,0)</f>
        <v>cái</v>
      </c>
      <c r="E207" s="321">
        <v>33045</v>
      </c>
      <c r="F207" s="313">
        <v>7</v>
      </c>
      <c r="G207" s="313"/>
    </row>
    <row r="208" spans="1:7" ht="13.2" hidden="1">
      <c r="A208" s="319">
        <v>45294</v>
      </c>
      <c r="B208" s="28" t="s">
        <v>891</v>
      </c>
      <c r="C208" s="143" t="str">
        <f>VLOOKUP(B208,'Danh mục hàng hóa'!$C$3:$D$643,2,0)</f>
        <v>Heo ú</v>
      </c>
      <c r="D208" s="144" t="str">
        <f>VLOOKUP(B208,'Danh mục hàng hóa'!$C$3:$E$656,3,0)</f>
        <v>cái</v>
      </c>
      <c r="E208" s="321">
        <v>33045</v>
      </c>
      <c r="F208" s="313">
        <v>7</v>
      </c>
      <c r="G208" s="313"/>
    </row>
    <row r="209" spans="1:7" ht="13.2" hidden="1">
      <c r="A209" s="319">
        <v>45294</v>
      </c>
      <c r="B209" s="28" t="s">
        <v>895</v>
      </c>
      <c r="C209" s="143" t="str">
        <f>VLOOKUP(B209,'Danh mục hàng hóa'!$C$3:$D$643,2,0)</f>
        <v>Thỏ chong chóng</v>
      </c>
      <c r="D209" s="144" t="str">
        <f>VLOOKUP(B209,'Danh mục hàng hóa'!$C$3:$E$656,3,0)</f>
        <v>cái</v>
      </c>
      <c r="E209" s="321">
        <v>33045</v>
      </c>
      <c r="F209" s="313">
        <v>7</v>
      </c>
      <c r="G209" s="313"/>
    </row>
    <row r="210" spans="1:7" ht="13.2" hidden="1">
      <c r="A210" s="319"/>
      <c r="B210" s="28" t="s">
        <v>392</v>
      </c>
      <c r="C210" s="143" t="str">
        <f>VLOOKUP(B210,'Danh mục hàng hóa'!$C$3:$D$643,2,0)</f>
        <v>Túi chườm bụng trái bơ 1000ml</v>
      </c>
      <c r="D210" s="144" t="str">
        <f>VLOOKUP(B210,'Danh mục hàng hóa'!$C$3:$E$656,3,0)</f>
        <v>túi</v>
      </c>
      <c r="E210" s="320"/>
      <c r="F210" s="313">
        <v>2</v>
      </c>
      <c r="G210" s="317"/>
    </row>
    <row r="211" spans="1:7" ht="13.2" hidden="1">
      <c r="A211" s="319"/>
      <c r="B211" s="28" t="s">
        <v>397</v>
      </c>
      <c r="C211" s="143" t="str">
        <f>VLOOKUP(B211,'Danh mục hàng hóa'!$C$3:$D$643,2,0)</f>
        <v>Túi chườm bụng dâu (xanh) 1000ml</v>
      </c>
      <c r="D211" s="144" t="str">
        <f>VLOOKUP(B211,'Danh mục hàng hóa'!$C$3:$E$656,3,0)</f>
        <v>túi</v>
      </c>
      <c r="E211" s="320"/>
      <c r="F211" s="313">
        <v>2</v>
      </c>
      <c r="G211" s="317"/>
    </row>
    <row r="212" spans="1:7" ht="13.2" hidden="1">
      <c r="A212" s="319"/>
      <c r="B212" s="28" t="s">
        <v>401</v>
      </c>
      <c r="C212" s="143" t="str">
        <f>VLOOKUP(B212,'Danh mục hàng hóa'!$C$3:$D$643,2,0)</f>
        <v>Túi chườm bụng dứa xanh đậm  1000ml</v>
      </c>
      <c r="D212" s="144" t="str">
        <f>VLOOKUP(B212,'Danh mục hàng hóa'!$C$3:$E$656,3,0)</f>
        <v>túi</v>
      </c>
      <c r="E212" s="320"/>
      <c r="F212" s="313">
        <v>2</v>
      </c>
      <c r="G212" s="317"/>
    </row>
    <row r="213" spans="1:7" ht="13.2" hidden="1">
      <c r="A213" s="319"/>
      <c r="B213" s="28" t="s">
        <v>405</v>
      </c>
      <c r="C213" s="143" t="str">
        <f>VLOOKUP(B213,'Danh mục hàng hóa'!$C$3:$D$643,2,0)</f>
        <v>Túi chườm bụng dâu xanh nhạt 1000ml</v>
      </c>
      <c r="D213" s="144" t="str">
        <f>VLOOKUP(B213,'Danh mục hàng hóa'!$C$3:$E$656,3,0)</f>
        <v>túi</v>
      </c>
      <c r="E213" s="320"/>
      <c r="F213" s="313">
        <v>1</v>
      </c>
      <c r="G213" s="317"/>
    </row>
    <row r="214" spans="1:7" ht="13.2" hidden="1">
      <c r="A214" s="319"/>
      <c r="B214" s="28" t="s">
        <v>409</v>
      </c>
      <c r="C214" s="143" t="str">
        <f>VLOOKUP(B214,'Danh mục hàng hóa'!$C$3:$D$643,2,0)</f>
        <v>Túi chườm bụng thỏ dứa 1000ml</v>
      </c>
      <c r="D214" s="144" t="str">
        <f>VLOOKUP(B214,'Danh mục hàng hóa'!$C$3:$E$656,3,0)</f>
        <v>túi</v>
      </c>
      <c r="E214" s="320"/>
      <c r="F214" s="313">
        <v>2</v>
      </c>
      <c r="G214" s="317"/>
    </row>
    <row r="215" spans="1:7" ht="13.2" hidden="1">
      <c r="A215" s="319"/>
      <c r="B215" s="28" t="s">
        <v>413</v>
      </c>
      <c r="C215" s="143" t="str">
        <f>VLOOKUP(B215,'Danh mục hàng hóa'!$C$3:$D$643,2,0)</f>
        <v>Túi chườm bụng trái bơ 500ml</v>
      </c>
      <c r="D215" s="144" t="str">
        <f>VLOOKUP(B215,'Danh mục hàng hóa'!$C$3:$E$656,3,0)</f>
        <v>túi</v>
      </c>
      <c r="E215" s="320"/>
      <c r="F215" s="313">
        <v>0</v>
      </c>
      <c r="G215" s="317"/>
    </row>
    <row r="216" spans="1:7" ht="13.2" hidden="1">
      <c r="A216" s="319"/>
      <c r="B216" s="28" t="s">
        <v>414</v>
      </c>
      <c r="C216" s="143" t="str">
        <f>VLOOKUP(B216,'Danh mục hàng hóa'!$C$3:$D$643,2,0)</f>
        <v>Túi chườm bụng dâu tây 500ml</v>
      </c>
      <c r="D216" s="144" t="str">
        <f>VLOOKUP(B216,'Danh mục hàng hóa'!$C$3:$E$656,3,0)</f>
        <v>túi</v>
      </c>
      <c r="E216" s="320"/>
      <c r="F216" s="313">
        <v>2</v>
      </c>
      <c r="G216" s="317"/>
    </row>
    <row r="217" spans="1:7" ht="13.2" hidden="1">
      <c r="A217" s="319"/>
      <c r="B217" s="28" t="s">
        <v>416</v>
      </c>
      <c r="C217" s="143" t="str">
        <f>VLOOKUP(B217,'Danh mục hàng hóa'!$C$3:$D$643,2,0)</f>
        <v>Túi chườm bụng dứa xanh đậm  500ml</v>
      </c>
      <c r="D217" s="144" t="str">
        <f>VLOOKUP(B217,'Danh mục hàng hóa'!$C$3:$E$656,3,0)</f>
        <v>túi</v>
      </c>
      <c r="E217" s="320"/>
      <c r="F217" s="313">
        <v>2</v>
      </c>
      <c r="G217" s="317"/>
    </row>
    <row r="218" spans="1:7" ht="13.2" hidden="1">
      <c r="A218" s="319"/>
      <c r="B218" s="28" t="s">
        <v>418</v>
      </c>
      <c r="C218" s="143" t="str">
        <f>VLOOKUP(B218,'Danh mục hàng hóa'!$C$3:$D$643,2,0)</f>
        <v>Túi chườm bụng dâu xanh nhạt 500ml</v>
      </c>
      <c r="D218" s="144" t="str">
        <f>VLOOKUP(B218,'Danh mục hàng hóa'!$C$3:$E$656,3,0)</f>
        <v>túi</v>
      </c>
      <c r="E218" s="320"/>
      <c r="F218" s="313">
        <v>1</v>
      </c>
      <c r="G218" s="317"/>
    </row>
    <row r="219" spans="1:7" ht="13.2" hidden="1">
      <c r="A219" s="319"/>
      <c r="B219" s="28" t="s">
        <v>420</v>
      </c>
      <c r="C219" s="143" t="str">
        <f>VLOOKUP(B219,'Danh mục hàng hóa'!$C$3:$D$643,2,0)</f>
        <v>Túi chườm bụng thỏ dứa 500ml</v>
      </c>
      <c r="D219" s="144" t="str">
        <f>VLOOKUP(B219,'Danh mục hàng hóa'!$C$3:$E$656,3,0)</f>
        <v>túi</v>
      </c>
      <c r="E219" s="320"/>
      <c r="F219" s="313">
        <v>2</v>
      </c>
      <c r="G219" s="317"/>
    </row>
    <row r="220" spans="1:7" ht="13.2" hidden="1">
      <c r="A220" s="319">
        <v>45294</v>
      </c>
      <c r="B220" s="28" t="s">
        <v>891</v>
      </c>
      <c r="C220" s="143" t="str">
        <f>VLOOKUP(B220,'Danh mục hàng hóa'!$C$3:$D$643,2,0)</f>
        <v>Heo ú</v>
      </c>
      <c r="D220" s="144" t="str">
        <f>VLOOKUP(B220,'Danh mục hàng hóa'!$C$3:$E$656,3,0)</f>
        <v>cái</v>
      </c>
      <c r="E220" s="320">
        <v>42000</v>
      </c>
      <c r="F220" s="317"/>
      <c r="G220" s="313">
        <v>2</v>
      </c>
    </row>
    <row r="221" spans="1:7" ht="13.2" hidden="1">
      <c r="A221" s="319">
        <v>45294</v>
      </c>
      <c r="B221" s="28" t="s">
        <v>895</v>
      </c>
      <c r="C221" s="143" t="str">
        <f>VLOOKUP(B221,'Danh mục hàng hóa'!$C$3:$D$643,2,0)</f>
        <v>Thỏ chong chóng</v>
      </c>
      <c r="D221" s="144" t="str">
        <f>VLOOKUP(B221,'Danh mục hàng hóa'!$C$3:$E$656,3,0)</f>
        <v>cái</v>
      </c>
      <c r="E221" s="320">
        <v>42000</v>
      </c>
      <c r="F221" s="317"/>
      <c r="G221" s="313">
        <v>1</v>
      </c>
    </row>
    <row r="222" spans="1:7" ht="13.2" hidden="1">
      <c r="A222" s="319">
        <v>45294</v>
      </c>
      <c r="B222" s="28" t="s">
        <v>431</v>
      </c>
      <c r="C222" s="143" t="str">
        <f>VLOOKUP(B222,'Danh mục hàng hóa'!$C$3:$D$643,2,0)</f>
        <v>Bao lì xì rồng con</v>
      </c>
      <c r="D222" s="144" t="str">
        <f>VLOOKUP(B222,'Danh mục hàng hóa'!$C$3:$E$656,3,0)</f>
        <v>túi 4 cái</v>
      </c>
      <c r="E222" s="320">
        <v>25000</v>
      </c>
      <c r="F222" s="317"/>
      <c r="G222" s="313">
        <v>1</v>
      </c>
    </row>
    <row r="223" spans="1:7" ht="13.2" hidden="1">
      <c r="A223" s="319">
        <v>45294</v>
      </c>
      <c r="B223" s="28" t="s">
        <v>433</v>
      </c>
      <c r="C223" s="143" t="str">
        <f>VLOOKUP(B223,'Danh mục hàng hóa'!$C$3:$D$643,2,0)</f>
        <v>Bao lì xì rồng lân</v>
      </c>
      <c r="D223" s="144" t="str">
        <f>VLOOKUP(B223,'Danh mục hàng hóa'!$C$3:$E$656,3,0)</f>
        <v>túi 4 cái</v>
      </c>
      <c r="E223" s="320">
        <v>25000</v>
      </c>
      <c r="F223" s="317"/>
      <c r="G223" s="313">
        <v>1</v>
      </c>
    </row>
    <row r="224" spans="1:7" ht="13.2" hidden="1">
      <c r="A224" s="319">
        <v>45294</v>
      </c>
      <c r="B224" s="28" t="s">
        <v>435</v>
      </c>
      <c r="C224" s="143" t="str">
        <f>VLOOKUP(B224,'Danh mục hàng hóa'!$C$3:$D$643,2,0)</f>
        <v>Bao lì xì Tết tài lộc</v>
      </c>
      <c r="D224" s="144" t="str">
        <f>VLOOKUP(B224,'Danh mục hàng hóa'!$C$3:$E$656,3,0)</f>
        <v>set 6 cái</v>
      </c>
      <c r="E224" s="320">
        <v>10000</v>
      </c>
      <c r="F224" s="317"/>
      <c r="G224" s="313">
        <v>1</v>
      </c>
    </row>
    <row r="225" spans="1:7" ht="13.2" hidden="1">
      <c r="A225" s="319">
        <v>45294</v>
      </c>
      <c r="B225" s="28" t="s">
        <v>437</v>
      </c>
      <c r="C225" s="143" t="str">
        <f>VLOOKUP(B225,'Danh mục hàng hóa'!$C$3:$D$643,2,0)</f>
        <v>Bao lì xì Tết hoa</v>
      </c>
      <c r="D225" s="144" t="str">
        <f>VLOOKUP(B225,'Danh mục hàng hóa'!$C$3:$E$656,3,0)</f>
        <v>set 6 cái</v>
      </c>
      <c r="E225" s="320">
        <v>10000</v>
      </c>
      <c r="F225" s="317"/>
      <c r="G225" s="313">
        <v>1</v>
      </c>
    </row>
    <row r="226" spans="1:7" ht="13.2" hidden="1">
      <c r="A226" s="319">
        <v>45294</v>
      </c>
      <c r="B226" s="28" t="s">
        <v>438</v>
      </c>
      <c r="C226" s="143" t="str">
        <f>VLOOKUP(B226,'Danh mục hàng hóa'!$C$3:$D$643,2,0)</f>
        <v>Bao lì xì Tết xanh</v>
      </c>
      <c r="D226" s="144" t="str">
        <f>VLOOKUP(B226,'Danh mục hàng hóa'!$C$3:$E$656,3,0)</f>
        <v>set 6 cái</v>
      </c>
      <c r="E226" s="320">
        <v>10000</v>
      </c>
      <c r="F226" s="317"/>
      <c r="G226" s="313">
        <v>1</v>
      </c>
    </row>
    <row r="227" spans="1:7" ht="13.2" hidden="1">
      <c r="A227" s="319">
        <v>45294</v>
      </c>
      <c r="B227" s="28" t="s">
        <v>439</v>
      </c>
      <c r="C227" s="143" t="str">
        <f>VLOOKUP(B227,'Danh mục hàng hóa'!$C$3:$D$643,2,0)</f>
        <v>Bao lì xì vui vẻ</v>
      </c>
      <c r="D227" s="144" t="str">
        <f>VLOOKUP(B227,'Danh mục hàng hóa'!$C$3:$E$656,3,0)</f>
        <v>set 6 cái</v>
      </c>
      <c r="E227" s="320">
        <v>10000</v>
      </c>
      <c r="F227" s="317"/>
      <c r="G227" s="313">
        <v>1</v>
      </c>
    </row>
    <row r="228" spans="1:7" ht="13.2" hidden="1">
      <c r="A228" s="319">
        <v>45294</v>
      </c>
      <c r="B228" s="28" t="s">
        <v>440</v>
      </c>
      <c r="C228" s="143" t="str">
        <f>VLOOKUP(B228,'Danh mục hàng hóa'!$C$3:$D$643,2,0)</f>
        <v>Bao lì xì ngộ nghĩnh</v>
      </c>
      <c r="D228" s="144" t="str">
        <f>VLOOKUP(B228,'Danh mục hàng hóa'!$C$3:$E$656,3,0)</f>
        <v>set 6 cái</v>
      </c>
      <c r="E228" s="320">
        <v>10000</v>
      </c>
      <c r="F228" s="317"/>
      <c r="G228" s="313">
        <v>1</v>
      </c>
    </row>
    <row r="229" spans="1:7" ht="13.2" hidden="1">
      <c r="A229" s="319">
        <v>45294</v>
      </c>
      <c r="B229" s="28" t="s">
        <v>438</v>
      </c>
      <c r="C229" s="143" t="str">
        <f>VLOOKUP(B229,'Danh mục hàng hóa'!$C$3:$D$643,2,0)</f>
        <v>Bao lì xì Tết xanh</v>
      </c>
      <c r="D229" s="144" t="str">
        <f>VLOOKUP(B229,'Danh mục hàng hóa'!$C$3:$E$656,3,0)</f>
        <v>set 6 cái</v>
      </c>
      <c r="E229" s="320">
        <v>6000</v>
      </c>
      <c r="F229" s="317"/>
      <c r="G229" s="313">
        <v>3</v>
      </c>
    </row>
    <row r="230" spans="1:7" ht="13.2" hidden="1">
      <c r="A230" s="319">
        <v>45294</v>
      </c>
      <c r="B230" s="28" t="s">
        <v>439</v>
      </c>
      <c r="C230" s="143" t="str">
        <f>VLOOKUP(B230,'Danh mục hàng hóa'!$C$3:$D$643,2,0)</f>
        <v>Bao lì xì vui vẻ</v>
      </c>
      <c r="D230" s="144" t="str">
        <f>VLOOKUP(B230,'Danh mục hàng hóa'!$C$3:$E$656,3,0)</f>
        <v>set 6 cái</v>
      </c>
      <c r="E230" s="320">
        <v>6000</v>
      </c>
      <c r="F230" s="317"/>
      <c r="G230" s="313">
        <v>1</v>
      </c>
    </row>
    <row r="231" spans="1:7" ht="13.2" hidden="1">
      <c r="A231" s="319">
        <v>45294</v>
      </c>
      <c r="B231" s="28" t="s">
        <v>437</v>
      </c>
      <c r="C231" s="143" t="str">
        <f>VLOOKUP(B231,'Danh mục hàng hóa'!$C$3:$D$643,2,0)</f>
        <v>Bao lì xì Tết hoa</v>
      </c>
      <c r="D231" s="144" t="str">
        <f>VLOOKUP(B231,'Danh mục hàng hóa'!$C$3:$E$656,3,0)</f>
        <v>set 6 cái</v>
      </c>
      <c r="E231" s="320">
        <v>6000</v>
      </c>
      <c r="F231" s="317"/>
      <c r="G231" s="313">
        <v>1</v>
      </c>
    </row>
    <row r="232" spans="1:7" ht="13.2" hidden="1">
      <c r="A232" s="319">
        <v>45294</v>
      </c>
      <c r="B232" s="28" t="s">
        <v>433</v>
      </c>
      <c r="C232" s="143" t="str">
        <f>VLOOKUP(B232,'Danh mục hàng hóa'!$C$3:$D$643,2,0)</f>
        <v>Bao lì xì rồng lân</v>
      </c>
      <c r="D232" s="144" t="str">
        <f>VLOOKUP(B232,'Danh mục hàng hóa'!$C$3:$E$656,3,0)</f>
        <v>túi 4 cái</v>
      </c>
      <c r="E232" s="320">
        <v>10000</v>
      </c>
      <c r="F232" s="317"/>
      <c r="G232" s="313">
        <v>6</v>
      </c>
    </row>
    <row r="233" spans="1:7" ht="13.2" hidden="1">
      <c r="A233" s="319">
        <v>45294</v>
      </c>
      <c r="B233" s="28" t="s">
        <v>431</v>
      </c>
      <c r="C233" s="143" t="str">
        <f>VLOOKUP(B233,'Danh mục hàng hóa'!$C$3:$D$643,2,0)</f>
        <v>Bao lì xì rồng con</v>
      </c>
      <c r="D233" s="144" t="str">
        <f>VLOOKUP(B233,'Danh mục hàng hóa'!$C$3:$E$656,3,0)</f>
        <v>túi 4 cái</v>
      </c>
      <c r="E233" s="320">
        <v>10000</v>
      </c>
      <c r="F233" s="317"/>
      <c r="G233" s="313">
        <v>1</v>
      </c>
    </row>
    <row r="234" spans="1:7" ht="13.2" hidden="1">
      <c r="A234" s="319">
        <v>45294</v>
      </c>
      <c r="B234" s="28" t="s">
        <v>435</v>
      </c>
      <c r="C234" s="143" t="str">
        <f>VLOOKUP(B234,'Danh mục hàng hóa'!$C$3:$D$643,2,0)</f>
        <v>Bao lì xì Tết tài lộc</v>
      </c>
      <c r="D234" s="144" t="str">
        <f>VLOOKUP(B234,'Danh mục hàng hóa'!$C$3:$E$656,3,0)</f>
        <v>set 6 cái</v>
      </c>
      <c r="E234" s="320">
        <v>6000</v>
      </c>
      <c r="F234" s="317"/>
      <c r="G234" s="313">
        <v>2</v>
      </c>
    </row>
    <row r="235" spans="1:7" ht="13.2" hidden="1">
      <c r="A235" s="319">
        <v>45294</v>
      </c>
      <c r="B235" s="28" t="s">
        <v>437</v>
      </c>
      <c r="C235" s="143" t="str">
        <f>VLOOKUP(B235,'Danh mục hàng hóa'!$C$3:$D$643,2,0)</f>
        <v>Bao lì xì Tết hoa</v>
      </c>
      <c r="D235" s="144" t="str">
        <f>VLOOKUP(B235,'Danh mục hàng hóa'!$C$3:$E$656,3,0)</f>
        <v>set 6 cái</v>
      </c>
      <c r="E235" s="320">
        <v>6000</v>
      </c>
      <c r="F235" s="317"/>
      <c r="G235" s="313">
        <v>2</v>
      </c>
    </row>
    <row r="236" spans="1:7" ht="13.2" hidden="1">
      <c r="A236" s="319">
        <v>45294</v>
      </c>
      <c r="B236" s="28" t="s">
        <v>438</v>
      </c>
      <c r="C236" s="143" t="str">
        <f>VLOOKUP(B236,'Danh mục hàng hóa'!$C$3:$D$643,2,0)</f>
        <v>Bao lì xì Tết xanh</v>
      </c>
      <c r="D236" s="144" t="str">
        <f>VLOOKUP(B236,'Danh mục hàng hóa'!$C$3:$E$656,3,0)</f>
        <v>set 6 cái</v>
      </c>
      <c r="E236" s="320">
        <v>6000</v>
      </c>
      <c r="F236" s="317"/>
      <c r="G236" s="313">
        <v>1</v>
      </c>
    </row>
    <row r="237" spans="1:7" ht="13.2" hidden="1">
      <c r="A237" s="319">
        <v>45294</v>
      </c>
      <c r="B237" s="28" t="s">
        <v>439</v>
      </c>
      <c r="C237" s="143" t="str">
        <f>VLOOKUP(B237,'Danh mục hàng hóa'!$C$3:$D$643,2,0)</f>
        <v>Bao lì xì vui vẻ</v>
      </c>
      <c r="D237" s="144" t="str">
        <f>VLOOKUP(B237,'Danh mục hàng hóa'!$C$3:$E$656,3,0)</f>
        <v>set 6 cái</v>
      </c>
      <c r="E237" s="320">
        <v>6000</v>
      </c>
      <c r="F237" s="317"/>
      <c r="G237" s="313">
        <v>1</v>
      </c>
    </row>
    <row r="238" spans="1:7" ht="13.2" hidden="1">
      <c r="A238" s="319">
        <v>45294</v>
      </c>
      <c r="B238" s="28" t="s">
        <v>440</v>
      </c>
      <c r="C238" s="143" t="str">
        <f>VLOOKUP(B238,'Danh mục hàng hóa'!$C$3:$D$643,2,0)</f>
        <v>Bao lì xì ngộ nghĩnh</v>
      </c>
      <c r="D238" s="144" t="str">
        <f>VLOOKUP(B238,'Danh mục hàng hóa'!$C$3:$E$656,3,0)</f>
        <v>set 6 cái</v>
      </c>
      <c r="E238" s="320">
        <v>6000</v>
      </c>
      <c r="F238" s="317"/>
      <c r="G238" s="313">
        <v>1</v>
      </c>
    </row>
    <row r="239" spans="1:7" ht="13.2" hidden="1">
      <c r="A239" s="319">
        <v>45294</v>
      </c>
      <c r="B239" s="28" t="s">
        <v>438</v>
      </c>
      <c r="C239" s="143" t="str">
        <f>VLOOKUP(B239,'Danh mục hàng hóa'!$C$3:$D$643,2,0)</f>
        <v>Bao lì xì Tết xanh</v>
      </c>
      <c r="D239" s="144" t="str">
        <f>VLOOKUP(B239,'Danh mục hàng hóa'!$C$3:$E$656,3,0)</f>
        <v>set 6 cái</v>
      </c>
      <c r="E239" s="321">
        <f>118212/16</f>
        <v>7388.25</v>
      </c>
      <c r="F239" s="317"/>
      <c r="G239" s="313">
        <v>16</v>
      </c>
    </row>
    <row r="240" spans="1:7" ht="13.2" hidden="1">
      <c r="A240" s="319">
        <v>45294</v>
      </c>
      <c r="B240" s="28" t="s">
        <v>435</v>
      </c>
      <c r="C240" s="143" t="str">
        <f>VLOOKUP(B240,'Danh mục hàng hóa'!$C$3:$D$643,2,0)</f>
        <v>Bao lì xì Tết tài lộc</v>
      </c>
      <c r="D240" s="144" t="str">
        <f>VLOOKUP(B240,'Danh mục hàng hóa'!$C$3:$E$656,3,0)</f>
        <v>set 6 cái</v>
      </c>
      <c r="E240" s="321">
        <f>139920/20</f>
        <v>6996</v>
      </c>
      <c r="F240" s="317"/>
      <c r="G240" s="313">
        <v>20</v>
      </c>
    </row>
    <row r="241" spans="1:7" ht="13.2" hidden="1">
      <c r="A241" s="319">
        <v>45294</v>
      </c>
      <c r="B241" s="28" t="s">
        <v>431</v>
      </c>
      <c r="C241" s="143" t="str">
        <f>VLOOKUP(B241,'Danh mục hàng hóa'!$C$3:$D$643,2,0)</f>
        <v>Bao lì xì rồng con</v>
      </c>
      <c r="D241" s="144" t="str">
        <f>VLOOKUP(B241,'Danh mục hàng hóa'!$C$3:$E$656,3,0)</f>
        <v>túi 4 cái</v>
      </c>
      <c r="E241" s="321">
        <f>29860/2</f>
        <v>14930</v>
      </c>
      <c r="F241" s="317"/>
      <c r="G241" s="313">
        <v>2</v>
      </c>
    </row>
    <row r="242" spans="1:7" ht="13.2" hidden="1">
      <c r="A242" s="319">
        <v>45294</v>
      </c>
      <c r="B242" s="28" t="s">
        <v>659</v>
      </c>
      <c r="C242" s="143" t="str">
        <f>VLOOKUP(B242,'Danh mục hàng hóa'!$C$3:$D$643,2,0)</f>
        <v>Buộc tóc ngọc trai trắng</v>
      </c>
      <c r="D242" s="144" t="str">
        <f>VLOOKUP(B242,'Danh mục hàng hóa'!$C$3:$E$656,3,0)</f>
        <v>cái</v>
      </c>
      <c r="E242" s="320">
        <v>18000</v>
      </c>
      <c r="F242" s="317"/>
      <c r="G242" s="313">
        <v>1</v>
      </c>
    </row>
    <row r="243" spans="1:7" ht="13.2" hidden="1">
      <c r="A243" s="319">
        <v>45294</v>
      </c>
      <c r="B243" s="28" t="s">
        <v>661</v>
      </c>
      <c r="C243" s="143" t="str">
        <f>VLOOKUP(B243,'Danh mục hàng hóa'!$C$3:$D$643,2,0)</f>
        <v>Buộc tóc ngọc trai đen</v>
      </c>
      <c r="D243" s="144" t="str">
        <f>VLOOKUP(B243,'Danh mục hàng hóa'!$C$3:$E$656,3,0)</f>
        <v>cái</v>
      </c>
      <c r="E243" s="320">
        <v>18000</v>
      </c>
      <c r="F243" s="317"/>
      <c r="G243" s="313">
        <v>1</v>
      </c>
    </row>
    <row r="244" spans="1:7" ht="13.2" hidden="1">
      <c r="A244" s="319">
        <v>45294</v>
      </c>
      <c r="B244" s="28" t="s">
        <v>685</v>
      </c>
      <c r="C244" s="143" t="str">
        <f>VLOOKUP(B244,'Danh mục hàng hóa'!$C$3:$D$643,2,0)</f>
        <v>Buộc tóc voan xanh lớn</v>
      </c>
      <c r="D244" s="144" t="str">
        <f>VLOOKUP(B244,'Danh mục hàng hóa'!$C$3:$E$656,3,0)</f>
        <v>cái</v>
      </c>
      <c r="E244" s="320">
        <v>12000</v>
      </c>
      <c r="F244" s="317"/>
      <c r="G244" s="313">
        <v>1</v>
      </c>
    </row>
    <row r="245" spans="1:7" ht="13.2" hidden="1">
      <c r="A245" s="319">
        <v>45294</v>
      </c>
      <c r="B245" s="28" t="s">
        <v>695</v>
      </c>
      <c r="C245" s="143" t="str">
        <f>VLOOKUP(B245,'Danh mục hàng hóa'!$C$3:$D$643,2,0)</f>
        <v>Buộc tóc lụa hoa đen</v>
      </c>
      <c r="D245" s="144" t="str">
        <f>VLOOKUP(B245,'Danh mục hàng hóa'!$C$3:$E$656,3,0)</f>
        <v>cái</v>
      </c>
      <c r="E245" s="320">
        <v>12000</v>
      </c>
      <c r="F245" s="317"/>
      <c r="G245" s="313">
        <v>1</v>
      </c>
    </row>
    <row r="246" spans="1:7" ht="13.2" hidden="1">
      <c r="A246" s="319">
        <v>45294</v>
      </c>
      <c r="B246" s="28" t="s">
        <v>637</v>
      </c>
      <c r="C246" s="143" t="str">
        <f>VLOOKUP(B246,'Danh mục hàng hóa'!$C$3:$D$643,2,0)</f>
        <v>Kẹp tóc len hoa trắng</v>
      </c>
      <c r="D246" s="144" t="str">
        <f>VLOOKUP(B246,'Danh mục hàng hóa'!$C$3:$E$656,3,0)</f>
        <v>cái</v>
      </c>
      <c r="E246" s="320">
        <v>25000</v>
      </c>
      <c r="F246" s="317"/>
      <c r="G246" s="313">
        <v>1</v>
      </c>
    </row>
    <row r="247" spans="1:7" ht="13.2" hidden="1">
      <c r="A247" s="319">
        <v>45294</v>
      </c>
      <c r="B247" s="28" t="s">
        <v>629</v>
      </c>
      <c r="C247" s="143" t="str">
        <f>VLOOKUP(B247,'Danh mục hàng hóa'!$C$3:$D$643,2,0)</f>
        <v>Kẹp tóc lông nâu đậm</v>
      </c>
      <c r="D247" s="144" t="str">
        <f>VLOOKUP(B247,'Danh mục hàng hóa'!$C$3:$E$656,3,0)</f>
        <v>cái</v>
      </c>
      <c r="E247" s="320">
        <v>15000</v>
      </c>
      <c r="F247" s="317"/>
      <c r="G247" s="313">
        <v>1</v>
      </c>
    </row>
    <row r="248" spans="1:7" ht="13.2" hidden="1">
      <c r="A248" s="319">
        <v>45294</v>
      </c>
      <c r="B248" s="28" t="s">
        <v>438</v>
      </c>
      <c r="C248" s="143" t="str">
        <f>VLOOKUP(B248,'Danh mục hàng hóa'!$C$3:$D$643,2,0)</f>
        <v>Bao lì xì Tết xanh</v>
      </c>
      <c r="D248" s="144" t="str">
        <f>VLOOKUP(B248,'Danh mục hàng hóa'!$C$3:$E$656,3,0)</f>
        <v>set 6 cái</v>
      </c>
      <c r="E248" s="320">
        <f t="shared" ref="E248:E250" si="7">44512/8</f>
        <v>5564</v>
      </c>
      <c r="F248" s="317"/>
      <c r="G248" s="313">
        <v>3</v>
      </c>
    </row>
    <row r="249" spans="1:7" ht="13.2" hidden="1">
      <c r="A249" s="319">
        <v>45294</v>
      </c>
      <c r="B249" s="28" t="s">
        <v>439</v>
      </c>
      <c r="C249" s="143" t="str">
        <f>VLOOKUP(B249,'Danh mục hàng hóa'!$C$3:$D$643,2,0)</f>
        <v>Bao lì xì vui vẻ</v>
      </c>
      <c r="D249" s="144" t="str">
        <f>VLOOKUP(B249,'Danh mục hàng hóa'!$C$3:$E$656,3,0)</f>
        <v>set 6 cái</v>
      </c>
      <c r="E249" s="320">
        <f t="shared" si="7"/>
        <v>5564</v>
      </c>
      <c r="F249" s="317"/>
      <c r="G249" s="313">
        <v>3</v>
      </c>
    </row>
    <row r="250" spans="1:7" ht="13.2" hidden="1">
      <c r="A250" s="319">
        <v>45294</v>
      </c>
      <c r="B250" s="28" t="s">
        <v>440</v>
      </c>
      <c r="C250" s="143" t="str">
        <f>VLOOKUP(B250,'Danh mục hàng hóa'!$C$3:$D$643,2,0)</f>
        <v>Bao lì xì ngộ nghĩnh</v>
      </c>
      <c r="D250" s="144" t="str">
        <f>VLOOKUP(B250,'Danh mục hàng hóa'!$C$3:$E$656,3,0)</f>
        <v>set 6 cái</v>
      </c>
      <c r="E250" s="320">
        <f t="shared" si="7"/>
        <v>5564</v>
      </c>
      <c r="F250" s="317"/>
      <c r="G250" s="313">
        <v>2</v>
      </c>
    </row>
    <row r="251" spans="1:7" ht="13.2" hidden="1">
      <c r="A251" s="319">
        <v>45295</v>
      </c>
      <c r="B251" s="28" t="s">
        <v>876</v>
      </c>
      <c r="C251" s="143" t="str">
        <f>VLOOKUP(B251,'Danh mục hàng hóa'!$C$3:$D$643,2,0)</f>
        <v>Dao rọc giấy cún trắng</v>
      </c>
      <c r="D251" s="144" t="str">
        <f>VLOOKUP(B251,'Danh mục hàng hóa'!$C$3:$E$656,3,0)</f>
        <v>cái</v>
      </c>
      <c r="E251" s="320">
        <v>0</v>
      </c>
      <c r="F251" s="317"/>
      <c r="G251" s="313">
        <v>1</v>
      </c>
    </row>
    <row r="252" spans="1:7" ht="13.2" hidden="1">
      <c r="A252" s="319">
        <v>45295</v>
      </c>
      <c r="B252" s="143" t="s">
        <v>677</v>
      </c>
      <c r="C252" s="143" t="str">
        <f>VLOOKUP(B252,'Danh mục hàng hóa'!$C$3:$D$643,2,0)</f>
        <v>Buộc tóc voan hồng nhỏ</v>
      </c>
      <c r="D252" s="144" t="str">
        <f>VLOOKUP(B252,'Danh mục hàng hóa'!$C$3:$E$656,3,0)</f>
        <v>cái</v>
      </c>
      <c r="E252" s="320">
        <v>10000</v>
      </c>
      <c r="F252" s="317"/>
      <c r="G252" s="313">
        <v>1</v>
      </c>
    </row>
    <row r="253" spans="1:7" ht="13.2" hidden="1">
      <c r="A253" s="319">
        <v>45295</v>
      </c>
      <c r="B253" s="143" t="s">
        <v>681</v>
      </c>
      <c r="C253" s="143" t="str">
        <f>VLOOKUP(B253,'Danh mục hàng hóa'!$C$3:$D$643,2,0)</f>
        <v>Buộc tóc voan kem nhỏ</v>
      </c>
      <c r="D253" s="144" t="str">
        <f>VLOOKUP(B253,'Danh mục hàng hóa'!$C$3:$E$656,3,0)</f>
        <v>cái</v>
      </c>
      <c r="E253" s="320">
        <v>10000</v>
      </c>
      <c r="F253" s="317"/>
      <c r="G253" s="313">
        <v>1</v>
      </c>
    </row>
    <row r="254" spans="1:7" ht="13.2" hidden="1">
      <c r="A254" s="319">
        <v>45295</v>
      </c>
      <c r="B254" s="143" t="s">
        <v>685</v>
      </c>
      <c r="C254" s="143" t="str">
        <f>VLOOKUP(B254,'Danh mục hàng hóa'!$C$3:$D$643,2,0)</f>
        <v>Buộc tóc voan xanh lớn</v>
      </c>
      <c r="D254" s="144" t="str">
        <f>VLOOKUP(B254,'Danh mục hàng hóa'!$C$3:$E$656,3,0)</f>
        <v>cái</v>
      </c>
      <c r="E254" s="320">
        <v>10000</v>
      </c>
      <c r="F254" s="317"/>
      <c r="G254" s="313">
        <v>1</v>
      </c>
    </row>
    <row r="255" spans="1:7" ht="13.2" hidden="1">
      <c r="A255" s="319">
        <v>45295</v>
      </c>
      <c r="B255" s="28" t="s">
        <v>435</v>
      </c>
      <c r="C255" s="143" t="str">
        <f>VLOOKUP(B255,'Danh mục hàng hóa'!$C$3:$D$643,2,0)</f>
        <v>Bao lì xì Tết tài lộc</v>
      </c>
      <c r="D255" s="144" t="str">
        <f>VLOOKUP(B255,'Danh mục hàng hóa'!$C$3:$E$656,3,0)</f>
        <v>set 6 cái</v>
      </c>
      <c r="E255" s="320">
        <f t="shared" ref="E255:E259" si="8">26460/5</f>
        <v>5292</v>
      </c>
      <c r="F255" s="317"/>
      <c r="G255" s="313">
        <v>1</v>
      </c>
    </row>
    <row r="256" spans="1:7" ht="13.2" hidden="1">
      <c r="A256" s="319">
        <v>45295</v>
      </c>
      <c r="B256" s="28" t="s">
        <v>437</v>
      </c>
      <c r="C256" s="143" t="str">
        <f>VLOOKUP(B256,'Danh mục hàng hóa'!$C$3:$D$643,2,0)</f>
        <v>Bao lì xì Tết hoa</v>
      </c>
      <c r="D256" s="144" t="str">
        <f>VLOOKUP(B256,'Danh mục hàng hóa'!$C$3:$E$656,3,0)</f>
        <v>set 6 cái</v>
      </c>
      <c r="E256" s="320">
        <f t="shared" si="8"/>
        <v>5292</v>
      </c>
      <c r="F256" s="317"/>
      <c r="G256" s="313">
        <v>1</v>
      </c>
    </row>
    <row r="257" spans="1:7" ht="13.2" hidden="1">
      <c r="A257" s="319">
        <v>45295</v>
      </c>
      <c r="B257" s="28" t="s">
        <v>438</v>
      </c>
      <c r="C257" s="143" t="str">
        <f>VLOOKUP(B257,'Danh mục hàng hóa'!$C$3:$D$643,2,0)</f>
        <v>Bao lì xì Tết xanh</v>
      </c>
      <c r="D257" s="144" t="str">
        <f>VLOOKUP(B257,'Danh mục hàng hóa'!$C$3:$E$656,3,0)</f>
        <v>set 6 cái</v>
      </c>
      <c r="E257" s="320">
        <f t="shared" si="8"/>
        <v>5292</v>
      </c>
      <c r="F257" s="317"/>
      <c r="G257" s="313">
        <v>1</v>
      </c>
    </row>
    <row r="258" spans="1:7" ht="13.2" hidden="1">
      <c r="A258" s="319">
        <v>45295</v>
      </c>
      <c r="B258" s="28" t="s">
        <v>439</v>
      </c>
      <c r="C258" s="143" t="str">
        <f>VLOOKUP(B258,'Danh mục hàng hóa'!$C$3:$D$643,2,0)</f>
        <v>Bao lì xì vui vẻ</v>
      </c>
      <c r="D258" s="144" t="str">
        <f>VLOOKUP(B258,'Danh mục hàng hóa'!$C$3:$E$656,3,0)</f>
        <v>set 6 cái</v>
      </c>
      <c r="E258" s="320">
        <f t="shared" si="8"/>
        <v>5292</v>
      </c>
      <c r="F258" s="317"/>
      <c r="G258" s="313">
        <v>1</v>
      </c>
    </row>
    <row r="259" spans="1:7" ht="13.2" hidden="1">
      <c r="A259" s="319">
        <v>45295</v>
      </c>
      <c r="B259" s="28" t="s">
        <v>440</v>
      </c>
      <c r="C259" s="143" t="str">
        <f>VLOOKUP(B259,'Danh mục hàng hóa'!$C$3:$D$643,2,0)</f>
        <v>Bao lì xì ngộ nghĩnh</v>
      </c>
      <c r="D259" s="144" t="str">
        <f>VLOOKUP(B259,'Danh mục hàng hóa'!$C$3:$E$656,3,0)</f>
        <v>set 6 cái</v>
      </c>
      <c r="E259" s="320">
        <f t="shared" si="8"/>
        <v>5292</v>
      </c>
      <c r="F259" s="317"/>
      <c r="G259" s="313">
        <v>1</v>
      </c>
    </row>
    <row r="260" spans="1:7" ht="13.2" hidden="1">
      <c r="A260" s="319">
        <v>45296</v>
      </c>
      <c r="B260" s="28" t="s">
        <v>645</v>
      </c>
      <c r="C260" s="143" t="str">
        <f>VLOOKUP(B260,'Danh mục hàng hóa'!$C$3:$D$643,2,0)</f>
        <v>Cài tóc be</v>
      </c>
      <c r="D260" s="144" t="str">
        <f>VLOOKUP(B260,'Danh mục hàng hóa'!$C$3:$E$656,3,0)</f>
        <v>cái</v>
      </c>
      <c r="E260" s="320">
        <v>15000</v>
      </c>
      <c r="F260" s="317"/>
      <c r="G260" s="313">
        <v>1</v>
      </c>
    </row>
    <row r="261" spans="1:7" ht="13.2" hidden="1">
      <c r="A261" s="319">
        <v>45296</v>
      </c>
      <c r="B261" s="28" t="s">
        <v>647</v>
      </c>
      <c r="C261" s="143" t="str">
        <f>VLOOKUP(B261,'Danh mục hàng hóa'!$C$3:$D$643,2,0)</f>
        <v>Cài tóc kem</v>
      </c>
      <c r="D261" s="144" t="str">
        <f>VLOOKUP(B261,'Danh mục hàng hóa'!$C$3:$E$656,3,0)</f>
        <v>cái</v>
      </c>
      <c r="E261" s="320">
        <v>15000</v>
      </c>
      <c r="F261" s="317"/>
      <c r="G261" s="313">
        <v>1</v>
      </c>
    </row>
    <row r="262" spans="1:7" ht="13.2" hidden="1">
      <c r="A262" s="319">
        <v>45296</v>
      </c>
      <c r="B262" s="28" t="s">
        <v>556</v>
      </c>
      <c r="C262" s="143" t="str">
        <f>VLOOKUP(B262,'Danh mục hàng hóa'!$C$3:$D$643,2,0)</f>
        <v>Ống 50 dây cột tóc đen be nâu</v>
      </c>
      <c r="D262" s="144" t="str">
        <f>VLOOKUP(B262,'Danh mục hàng hóa'!$C$3:$E$656,3,0)</f>
        <v>ống</v>
      </c>
      <c r="E262" s="320">
        <v>18000</v>
      </c>
      <c r="F262" s="317"/>
      <c r="G262" s="313">
        <v>1</v>
      </c>
    </row>
    <row r="263" spans="1:7" ht="13.2" hidden="1">
      <c r="A263" s="319">
        <v>45296</v>
      </c>
      <c r="B263" s="28" t="s">
        <v>435</v>
      </c>
      <c r="C263" s="143" t="str">
        <f>VLOOKUP(B263,'Danh mục hàng hóa'!$C$3:$D$643,2,0)</f>
        <v>Bao lì xì Tết tài lộc</v>
      </c>
      <c r="D263" s="144" t="str">
        <f>VLOOKUP(B263,'Danh mục hàng hóa'!$C$3:$E$656,3,0)</f>
        <v>set 6 cái</v>
      </c>
      <c r="E263" s="321">
        <f t="shared" ref="E263:E266" si="9">44292/6</f>
        <v>7382</v>
      </c>
      <c r="F263" s="317"/>
      <c r="G263" s="313">
        <v>1</v>
      </c>
    </row>
    <row r="264" spans="1:7" ht="13.2" hidden="1">
      <c r="A264" s="319">
        <v>45296</v>
      </c>
      <c r="B264" s="28" t="s">
        <v>437</v>
      </c>
      <c r="C264" s="143" t="str">
        <f>VLOOKUP(B264,'Danh mục hàng hóa'!$C$3:$D$643,2,0)</f>
        <v>Bao lì xì Tết hoa</v>
      </c>
      <c r="D264" s="144" t="str">
        <f>VLOOKUP(B264,'Danh mục hàng hóa'!$C$3:$E$656,3,0)</f>
        <v>set 6 cái</v>
      </c>
      <c r="E264" s="321">
        <f t="shared" si="9"/>
        <v>7382</v>
      </c>
      <c r="F264" s="317"/>
      <c r="G264" s="313">
        <v>1</v>
      </c>
    </row>
    <row r="265" spans="1:7" ht="13.2" hidden="1">
      <c r="A265" s="319">
        <v>45296</v>
      </c>
      <c r="B265" s="28" t="s">
        <v>439</v>
      </c>
      <c r="C265" s="143" t="str">
        <f>VLOOKUP(B265,'Danh mục hàng hóa'!$C$3:$D$643,2,0)</f>
        <v>Bao lì xì vui vẻ</v>
      </c>
      <c r="D265" s="144" t="str">
        <f>VLOOKUP(B265,'Danh mục hàng hóa'!$C$3:$E$656,3,0)</f>
        <v>set 6 cái</v>
      </c>
      <c r="E265" s="321">
        <f t="shared" si="9"/>
        <v>7382</v>
      </c>
      <c r="F265" s="317"/>
      <c r="G265" s="313">
        <v>2</v>
      </c>
    </row>
    <row r="266" spans="1:7" ht="13.2" hidden="1">
      <c r="A266" s="319">
        <v>45296</v>
      </c>
      <c r="B266" s="28" t="s">
        <v>440</v>
      </c>
      <c r="C266" s="143" t="str">
        <f>VLOOKUP(B266,'Danh mục hàng hóa'!$C$3:$D$643,2,0)</f>
        <v>Bao lì xì ngộ nghĩnh</v>
      </c>
      <c r="D266" s="144" t="str">
        <f>VLOOKUP(B266,'Danh mục hàng hóa'!$C$3:$E$656,3,0)</f>
        <v>set 6 cái</v>
      </c>
      <c r="E266" s="321">
        <f t="shared" si="9"/>
        <v>7382</v>
      </c>
      <c r="F266" s="317"/>
      <c r="G266" s="313">
        <v>2</v>
      </c>
    </row>
    <row r="267" spans="1:7" ht="13.2" hidden="1">
      <c r="A267" s="319">
        <v>45299</v>
      </c>
      <c r="B267" s="28" t="s">
        <v>420</v>
      </c>
      <c r="C267" s="143" t="str">
        <f>VLOOKUP(B267,'Danh mục hàng hóa'!$C$3:$D$643,2,0)</f>
        <v>Túi chườm bụng thỏ dứa 500ml</v>
      </c>
      <c r="D267" s="144" t="str">
        <f>VLOOKUP(B267,'Danh mục hàng hóa'!$C$3:$E$656,3,0)</f>
        <v>túi</v>
      </c>
      <c r="E267" s="320">
        <v>80000</v>
      </c>
      <c r="F267" s="317"/>
      <c r="G267" s="313">
        <v>1</v>
      </c>
    </row>
    <row r="268" spans="1:7" ht="13.2" hidden="1">
      <c r="A268" s="319">
        <v>45299</v>
      </c>
      <c r="B268" s="28" t="s">
        <v>435</v>
      </c>
      <c r="C268" s="143" t="str">
        <f>VLOOKUP(B268,'Danh mục hàng hóa'!$C$3:$D$643,2,0)</f>
        <v>Bao lì xì Tết tài lộc</v>
      </c>
      <c r="D268" s="144" t="str">
        <f>VLOOKUP(B268,'Danh mục hàng hóa'!$C$3:$E$656,3,0)</f>
        <v>set 6 cái</v>
      </c>
      <c r="E268" s="320">
        <v>6032</v>
      </c>
      <c r="F268" s="317"/>
      <c r="G268" s="313">
        <v>2</v>
      </c>
    </row>
    <row r="269" spans="1:7" ht="13.2" hidden="1">
      <c r="A269" s="319">
        <v>45299</v>
      </c>
      <c r="B269" s="28" t="s">
        <v>437</v>
      </c>
      <c r="C269" s="143" t="str">
        <f>VLOOKUP(B269,'Danh mục hàng hóa'!$C$3:$D$643,2,0)</f>
        <v>Bao lì xì Tết hoa</v>
      </c>
      <c r="D269" s="144" t="str">
        <f>VLOOKUP(B269,'Danh mục hàng hóa'!$C$3:$E$656,3,0)</f>
        <v>set 6 cái</v>
      </c>
      <c r="E269" s="320">
        <v>6032</v>
      </c>
      <c r="F269" s="317"/>
      <c r="G269" s="313">
        <v>2</v>
      </c>
    </row>
    <row r="270" spans="1:7" ht="13.2" hidden="1">
      <c r="A270" s="319">
        <v>45299</v>
      </c>
      <c r="B270" s="28" t="s">
        <v>438</v>
      </c>
      <c r="C270" s="143" t="str">
        <f>VLOOKUP(B270,'Danh mục hàng hóa'!$C$3:$D$643,2,0)</f>
        <v>Bao lì xì Tết xanh</v>
      </c>
      <c r="D270" s="144" t="str">
        <f>VLOOKUP(B270,'Danh mục hàng hóa'!$C$3:$E$656,3,0)</f>
        <v>set 6 cái</v>
      </c>
      <c r="E270" s="320">
        <v>6032</v>
      </c>
      <c r="F270" s="317"/>
      <c r="G270" s="313">
        <v>2</v>
      </c>
    </row>
    <row r="271" spans="1:7" ht="13.2" hidden="1">
      <c r="A271" s="319">
        <v>45299</v>
      </c>
      <c r="B271" s="28" t="s">
        <v>439</v>
      </c>
      <c r="C271" s="143" t="str">
        <f>VLOOKUP(B271,'Danh mục hàng hóa'!$C$3:$D$643,2,0)</f>
        <v>Bao lì xì vui vẻ</v>
      </c>
      <c r="D271" s="144" t="str">
        <f>VLOOKUP(B271,'Danh mục hàng hóa'!$C$3:$E$656,3,0)</f>
        <v>set 6 cái</v>
      </c>
      <c r="E271" s="320">
        <v>6032</v>
      </c>
      <c r="F271" s="317"/>
      <c r="G271" s="313">
        <v>2</v>
      </c>
    </row>
    <row r="272" spans="1:7" ht="13.2" hidden="1">
      <c r="A272" s="319">
        <v>45299</v>
      </c>
      <c r="B272" s="28" t="s">
        <v>440</v>
      </c>
      <c r="C272" s="143" t="str">
        <f>VLOOKUP(B272,'Danh mục hàng hóa'!$C$3:$D$643,2,0)</f>
        <v>Bao lì xì ngộ nghĩnh</v>
      </c>
      <c r="D272" s="144" t="str">
        <f>VLOOKUP(B272,'Danh mục hàng hóa'!$C$3:$E$656,3,0)</f>
        <v>set 6 cái</v>
      </c>
      <c r="E272" s="320">
        <v>6032</v>
      </c>
      <c r="F272" s="317"/>
      <c r="G272" s="313">
        <v>2</v>
      </c>
    </row>
    <row r="273" spans="1:7" ht="13.2" hidden="1">
      <c r="A273" s="319">
        <v>45299</v>
      </c>
      <c r="B273" s="28" t="s">
        <v>435</v>
      </c>
      <c r="C273" s="143" t="str">
        <f>VLOOKUP(B273,'Danh mục hàng hóa'!$C$3:$D$643,2,0)</f>
        <v>Bao lì xì Tết tài lộc</v>
      </c>
      <c r="D273" s="144" t="str">
        <f>VLOOKUP(B273,'Danh mục hàng hóa'!$C$3:$E$656,3,0)</f>
        <v>set 6 cái</v>
      </c>
      <c r="E273" s="321">
        <f t="shared" ref="E273:E277" si="10">23000/5</f>
        <v>4600</v>
      </c>
      <c r="F273" s="317"/>
      <c r="G273" s="313">
        <v>1</v>
      </c>
    </row>
    <row r="274" spans="1:7" ht="13.2" hidden="1">
      <c r="A274" s="319">
        <v>45299</v>
      </c>
      <c r="B274" s="28" t="s">
        <v>437</v>
      </c>
      <c r="C274" s="143" t="str">
        <f>VLOOKUP(B274,'Danh mục hàng hóa'!$C$3:$D$643,2,0)</f>
        <v>Bao lì xì Tết hoa</v>
      </c>
      <c r="D274" s="144" t="str">
        <f>VLOOKUP(B274,'Danh mục hàng hóa'!$C$3:$E$656,3,0)</f>
        <v>set 6 cái</v>
      </c>
      <c r="E274" s="321">
        <f t="shared" si="10"/>
        <v>4600</v>
      </c>
      <c r="F274" s="317"/>
      <c r="G274" s="313">
        <v>1</v>
      </c>
    </row>
    <row r="275" spans="1:7" ht="13.2" hidden="1">
      <c r="A275" s="319">
        <v>45299</v>
      </c>
      <c r="B275" s="28" t="s">
        <v>438</v>
      </c>
      <c r="C275" s="143" t="str">
        <f>VLOOKUP(B275,'Danh mục hàng hóa'!$C$3:$D$643,2,0)</f>
        <v>Bao lì xì Tết xanh</v>
      </c>
      <c r="D275" s="144" t="str">
        <f>VLOOKUP(B275,'Danh mục hàng hóa'!$C$3:$E$656,3,0)</f>
        <v>set 6 cái</v>
      </c>
      <c r="E275" s="321">
        <f t="shared" si="10"/>
        <v>4600</v>
      </c>
      <c r="F275" s="317"/>
      <c r="G275" s="313">
        <v>1</v>
      </c>
    </row>
    <row r="276" spans="1:7" ht="13.2" hidden="1">
      <c r="A276" s="319">
        <v>45299</v>
      </c>
      <c r="B276" s="28" t="s">
        <v>439</v>
      </c>
      <c r="C276" s="143" t="str">
        <f>VLOOKUP(B276,'Danh mục hàng hóa'!$C$3:$D$643,2,0)</f>
        <v>Bao lì xì vui vẻ</v>
      </c>
      <c r="D276" s="144" t="str">
        <f>VLOOKUP(B276,'Danh mục hàng hóa'!$C$3:$E$656,3,0)</f>
        <v>set 6 cái</v>
      </c>
      <c r="E276" s="321">
        <f t="shared" si="10"/>
        <v>4600</v>
      </c>
      <c r="F276" s="317"/>
      <c r="G276" s="313">
        <v>1</v>
      </c>
    </row>
    <row r="277" spans="1:7" ht="13.2" hidden="1">
      <c r="A277" s="319">
        <v>45299</v>
      </c>
      <c r="B277" s="28" t="s">
        <v>440</v>
      </c>
      <c r="C277" s="143" t="str">
        <f>VLOOKUP(B277,'Danh mục hàng hóa'!$C$3:$D$643,2,0)</f>
        <v>Bao lì xì ngộ nghĩnh</v>
      </c>
      <c r="D277" s="144" t="str">
        <f>VLOOKUP(B277,'Danh mục hàng hóa'!$C$3:$E$656,3,0)</f>
        <v>set 6 cái</v>
      </c>
      <c r="E277" s="321">
        <f t="shared" si="10"/>
        <v>4600</v>
      </c>
      <c r="F277" s="317"/>
      <c r="G277" s="313">
        <v>1</v>
      </c>
    </row>
    <row r="278" spans="1:7" ht="13.2" hidden="1">
      <c r="A278" s="319">
        <v>45300</v>
      </c>
      <c r="B278" s="28" t="s">
        <v>435</v>
      </c>
      <c r="C278" s="143" t="str">
        <f>VLOOKUP(B278,'Danh mục hàng hóa'!$C$3:$D$643,2,0)</f>
        <v>Bao lì xì Tết tài lộc</v>
      </c>
      <c r="D278" s="144" t="str">
        <f>VLOOKUP(B278,'Danh mục hàng hóa'!$C$3:$E$656,3,0)</f>
        <v>set 6 cái</v>
      </c>
      <c r="E278" s="321">
        <f t="shared" ref="E278:E282" si="11">27500/5</f>
        <v>5500</v>
      </c>
      <c r="F278" s="317"/>
      <c r="G278" s="313">
        <v>1</v>
      </c>
    </row>
    <row r="279" spans="1:7" ht="13.2" hidden="1">
      <c r="A279" s="319">
        <v>45300</v>
      </c>
      <c r="B279" s="28" t="s">
        <v>437</v>
      </c>
      <c r="C279" s="143" t="str">
        <f>VLOOKUP(B279,'Danh mục hàng hóa'!$C$3:$D$643,2,0)</f>
        <v>Bao lì xì Tết hoa</v>
      </c>
      <c r="D279" s="144" t="str">
        <f>VLOOKUP(B279,'Danh mục hàng hóa'!$C$3:$E$656,3,0)</f>
        <v>set 6 cái</v>
      </c>
      <c r="E279" s="321">
        <f t="shared" si="11"/>
        <v>5500</v>
      </c>
      <c r="F279" s="317"/>
      <c r="G279" s="313">
        <v>1</v>
      </c>
    </row>
    <row r="280" spans="1:7" ht="13.2" hidden="1">
      <c r="A280" s="319">
        <v>45300</v>
      </c>
      <c r="B280" s="28" t="s">
        <v>438</v>
      </c>
      <c r="C280" s="143" t="str">
        <f>VLOOKUP(B280,'Danh mục hàng hóa'!$C$3:$D$643,2,0)</f>
        <v>Bao lì xì Tết xanh</v>
      </c>
      <c r="D280" s="144" t="str">
        <f>VLOOKUP(B280,'Danh mục hàng hóa'!$C$3:$E$656,3,0)</f>
        <v>set 6 cái</v>
      </c>
      <c r="E280" s="321">
        <f t="shared" si="11"/>
        <v>5500</v>
      </c>
      <c r="F280" s="317"/>
      <c r="G280" s="313">
        <v>1</v>
      </c>
    </row>
    <row r="281" spans="1:7" ht="13.2" hidden="1">
      <c r="A281" s="319">
        <v>45300</v>
      </c>
      <c r="B281" s="28" t="s">
        <v>439</v>
      </c>
      <c r="C281" s="143" t="str">
        <f>VLOOKUP(B281,'Danh mục hàng hóa'!$C$3:$D$643,2,0)</f>
        <v>Bao lì xì vui vẻ</v>
      </c>
      <c r="D281" s="144" t="str">
        <f>VLOOKUP(B281,'Danh mục hàng hóa'!$C$3:$E$656,3,0)</f>
        <v>set 6 cái</v>
      </c>
      <c r="E281" s="321">
        <f t="shared" si="11"/>
        <v>5500</v>
      </c>
      <c r="F281" s="317"/>
      <c r="G281" s="313">
        <v>1</v>
      </c>
    </row>
    <row r="282" spans="1:7" ht="13.2" hidden="1">
      <c r="A282" s="319">
        <v>45300</v>
      </c>
      <c r="B282" s="28" t="s">
        <v>440</v>
      </c>
      <c r="C282" s="143" t="str">
        <f>VLOOKUP(B282,'Danh mục hàng hóa'!$C$3:$D$643,2,0)</f>
        <v>Bao lì xì ngộ nghĩnh</v>
      </c>
      <c r="D282" s="144" t="str">
        <f>VLOOKUP(B282,'Danh mục hàng hóa'!$C$3:$E$656,3,0)</f>
        <v>set 6 cái</v>
      </c>
      <c r="E282" s="321">
        <f t="shared" si="11"/>
        <v>5500</v>
      </c>
      <c r="F282" s="317"/>
      <c r="G282" s="313">
        <v>1</v>
      </c>
    </row>
    <row r="283" spans="1:7" ht="13.2" hidden="1">
      <c r="A283" s="319">
        <v>45300</v>
      </c>
      <c r="B283" s="28" t="s">
        <v>437</v>
      </c>
      <c r="C283" s="143" t="str">
        <f>VLOOKUP(B283,'Danh mục hàng hóa'!$C$3:$D$643,2,0)</f>
        <v>Bao lì xì Tết hoa</v>
      </c>
      <c r="D283" s="144" t="str">
        <f>VLOOKUP(B283,'Danh mục hàng hóa'!$C$3:$E$656,3,0)</f>
        <v>set 6 cái</v>
      </c>
      <c r="E283" s="321">
        <f t="shared" ref="E283:E286" si="12">166764/24</f>
        <v>6948.5</v>
      </c>
      <c r="F283" s="317"/>
      <c r="G283" s="313">
        <v>1</v>
      </c>
    </row>
    <row r="284" spans="1:7" ht="13.2" hidden="1">
      <c r="A284" s="319">
        <v>45300</v>
      </c>
      <c r="B284" s="28" t="s">
        <v>438</v>
      </c>
      <c r="C284" s="143" t="str">
        <f>VLOOKUP(B284,'Danh mục hàng hóa'!$C$3:$D$643,2,0)</f>
        <v>Bao lì xì Tết xanh</v>
      </c>
      <c r="D284" s="144" t="str">
        <f>VLOOKUP(B284,'Danh mục hàng hóa'!$C$3:$E$656,3,0)</f>
        <v>set 6 cái</v>
      </c>
      <c r="E284" s="321">
        <f t="shared" si="12"/>
        <v>6948.5</v>
      </c>
      <c r="F284" s="317"/>
      <c r="G284" s="313">
        <v>3</v>
      </c>
    </row>
    <row r="285" spans="1:7" ht="13.2" hidden="1">
      <c r="A285" s="319">
        <v>45300</v>
      </c>
      <c r="B285" s="28" t="s">
        <v>439</v>
      </c>
      <c r="C285" s="143" t="str">
        <f>VLOOKUP(B285,'Danh mục hàng hóa'!$C$3:$D$643,2,0)</f>
        <v>Bao lì xì vui vẻ</v>
      </c>
      <c r="D285" s="144" t="str">
        <f>VLOOKUP(B285,'Danh mục hàng hóa'!$C$3:$E$656,3,0)</f>
        <v>set 6 cái</v>
      </c>
      <c r="E285" s="321">
        <f t="shared" si="12"/>
        <v>6948.5</v>
      </c>
      <c r="F285" s="317"/>
      <c r="G285" s="313">
        <v>10</v>
      </c>
    </row>
    <row r="286" spans="1:7" ht="13.2" hidden="1">
      <c r="A286" s="319">
        <v>45300</v>
      </c>
      <c r="B286" s="28" t="s">
        <v>440</v>
      </c>
      <c r="C286" s="143" t="str">
        <f>VLOOKUP(B286,'Danh mục hàng hóa'!$C$3:$D$643,2,0)</f>
        <v>Bao lì xì ngộ nghĩnh</v>
      </c>
      <c r="D286" s="144" t="str">
        <f>VLOOKUP(B286,'Danh mục hàng hóa'!$C$3:$E$656,3,0)</f>
        <v>set 6 cái</v>
      </c>
      <c r="E286" s="321">
        <f t="shared" si="12"/>
        <v>6948.5</v>
      </c>
      <c r="F286" s="317"/>
      <c r="G286" s="313">
        <v>10</v>
      </c>
    </row>
    <row r="287" spans="1:7" ht="13.2" hidden="1">
      <c r="A287" s="319">
        <v>45300</v>
      </c>
      <c r="B287" s="28" t="s">
        <v>435</v>
      </c>
      <c r="C287" s="143" t="str">
        <f>VLOOKUP(B287,'Danh mục hàng hóa'!$C$3:$D$643,2,0)</f>
        <v>Bao lì xì Tết tài lộc</v>
      </c>
      <c r="D287" s="144" t="str">
        <f>VLOOKUP(B287,'Danh mục hàng hóa'!$C$3:$E$656,3,0)</f>
        <v>set 6 cái</v>
      </c>
      <c r="E287" s="321">
        <f>49396/SUM(G287:G291)</f>
        <v>5699.5384615384619</v>
      </c>
      <c r="F287" s="317"/>
      <c r="G287" s="317">
        <f t="shared" ref="G287:G288" si="13">2+1/3</f>
        <v>2.3333333333333335</v>
      </c>
    </row>
    <row r="288" spans="1:7" ht="13.2" hidden="1">
      <c r="A288" s="319">
        <v>45300</v>
      </c>
      <c r="B288" s="28" t="s">
        <v>437</v>
      </c>
      <c r="C288" s="143" t="str">
        <f>VLOOKUP(B288,'Danh mục hàng hóa'!$C$3:$D$643,2,0)</f>
        <v>Bao lì xì Tết hoa</v>
      </c>
      <c r="D288" s="144" t="str">
        <f>VLOOKUP(B288,'Danh mục hàng hóa'!$C$3:$E$656,3,0)</f>
        <v>set 6 cái</v>
      </c>
      <c r="E288" s="321">
        <v>5699.5384615384619</v>
      </c>
      <c r="F288" s="317"/>
      <c r="G288" s="317">
        <f t="shared" si="13"/>
        <v>2.3333333333333335</v>
      </c>
    </row>
    <row r="289" spans="1:7" ht="13.2" hidden="1">
      <c r="A289" s="319">
        <v>45300</v>
      </c>
      <c r="B289" s="28" t="s">
        <v>438</v>
      </c>
      <c r="C289" s="143" t="str">
        <f>VLOOKUP(B289,'Danh mục hàng hóa'!$C$3:$D$643,2,0)</f>
        <v>Bao lì xì Tết xanh</v>
      </c>
      <c r="D289" s="144" t="str">
        <f>VLOOKUP(B289,'Danh mục hàng hóa'!$C$3:$E$656,3,0)</f>
        <v>set 6 cái</v>
      </c>
      <c r="E289" s="321">
        <v>5699.5384615384619</v>
      </c>
      <c r="F289" s="317"/>
      <c r="G289" s="317">
        <f t="shared" ref="G289:G291" si="14">1+1/3</f>
        <v>1.3333333333333333</v>
      </c>
    </row>
    <row r="290" spans="1:7" ht="13.2" hidden="1">
      <c r="A290" s="319">
        <v>45300</v>
      </c>
      <c r="B290" s="28" t="s">
        <v>439</v>
      </c>
      <c r="C290" s="143" t="str">
        <f>VLOOKUP(B290,'Danh mục hàng hóa'!$C$3:$D$643,2,0)</f>
        <v>Bao lì xì vui vẻ</v>
      </c>
      <c r="D290" s="144" t="str">
        <f>VLOOKUP(B290,'Danh mục hàng hóa'!$C$3:$E$656,3,0)</f>
        <v>set 6 cái</v>
      </c>
      <c r="E290" s="321">
        <v>5699.5384615384619</v>
      </c>
      <c r="F290" s="317"/>
      <c r="G290" s="317">
        <f t="shared" si="14"/>
        <v>1.3333333333333333</v>
      </c>
    </row>
    <row r="291" spans="1:7" ht="13.2" hidden="1">
      <c r="A291" s="319">
        <v>45300</v>
      </c>
      <c r="B291" s="28" t="s">
        <v>440</v>
      </c>
      <c r="C291" s="143" t="str">
        <f>VLOOKUP(B291,'Danh mục hàng hóa'!$C$3:$D$643,2,0)</f>
        <v>Bao lì xì ngộ nghĩnh</v>
      </c>
      <c r="D291" s="144" t="str">
        <f>VLOOKUP(B291,'Danh mục hàng hóa'!$C$3:$E$656,3,0)</f>
        <v>set 6 cái</v>
      </c>
      <c r="E291" s="321">
        <v>5699.5384615384619</v>
      </c>
      <c r="F291" s="317"/>
      <c r="G291" s="317">
        <f t="shared" si="14"/>
        <v>1.3333333333333333</v>
      </c>
    </row>
    <row r="292" spans="1:7" ht="13.2" hidden="1">
      <c r="A292" s="319">
        <v>45300</v>
      </c>
      <c r="B292" s="28" t="s">
        <v>435</v>
      </c>
      <c r="C292" s="143" t="str">
        <f>VLOOKUP(B292,'Danh mục hàng hóa'!$C$3:$D$643,2,0)</f>
        <v>Bao lì xì Tết tài lộc</v>
      </c>
      <c r="D292" s="144" t="str">
        <f>VLOOKUP(B292,'Danh mục hàng hóa'!$C$3:$E$656,3,0)</f>
        <v>set 6 cái</v>
      </c>
      <c r="E292" s="321">
        <f t="shared" ref="E292:E294" si="15">21916/3</f>
        <v>7305.333333333333</v>
      </c>
      <c r="F292" s="317"/>
      <c r="G292" s="313">
        <v>1</v>
      </c>
    </row>
    <row r="293" spans="1:7" ht="13.2" hidden="1">
      <c r="A293" s="319">
        <v>45300</v>
      </c>
      <c r="B293" s="28" t="s">
        <v>439</v>
      </c>
      <c r="C293" s="143" t="str">
        <f>VLOOKUP(B293,'Danh mục hàng hóa'!$C$3:$D$643,2,0)</f>
        <v>Bao lì xì vui vẻ</v>
      </c>
      <c r="D293" s="144" t="str">
        <f>VLOOKUP(B293,'Danh mục hàng hóa'!$C$3:$E$656,3,0)</f>
        <v>set 6 cái</v>
      </c>
      <c r="E293" s="321">
        <f t="shared" si="15"/>
        <v>7305.333333333333</v>
      </c>
      <c r="F293" s="317"/>
      <c r="G293" s="313">
        <v>1</v>
      </c>
    </row>
    <row r="294" spans="1:7" ht="13.2" hidden="1">
      <c r="A294" s="319">
        <v>45300</v>
      </c>
      <c r="B294" s="28" t="s">
        <v>440</v>
      </c>
      <c r="C294" s="143" t="str">
        <f>VLOOKUP(B294,'Danh mục hàng hóa'!$C$3:$D$643,2,0)</f>
        <v>Bao lì xì ngộ nghĩnh</v>
      </c>
      <c r="D294" s="144" t="str">
        <f>VLOOKUP(B294,'Danh mục hàng hóa'!$C$3:$E$656,3,0)</f>
        <v>set 6 cái</v>
      </c>
      <c r="E294" s="321">
        <f t="shared" si="15"/>
        <v>7305.333333333333</v>
      </c>
      <c r="F294" s="317"/>
      <c r="G294" s="313">
        <v>1</v>
      </c>
    </row>
    <row r="295" spans="1:7" ht="13.2" hidden="1">
      <c r="A295" s="319">
        <v>45300</v>
      </c>
      <c r="B295" s="28" t="s">
        <v>435</v>
      </c>
      <c r="C295" s="143" t="str">
        <f>VLOOKUP(B295,'Danh mục hàng hóa'!$C$3:$D$643,2,0)</f>
        <v>Bao lì xì Tết tài lộc</v>
      </c>
      <c r="D295" s="144" t="str">
        <f>VLOOKUP(B295,'Danh mục hàng hóa'!$C$3:$E$656,3,0)</f>
        <v>set 6 cái</v>
      </c>
      <c r="E295" s="321">
        <f t="shared" ref="E295:E299" si="16">50036/8</f>
        <v>6254.5</v>
      </c>
      <c r="F295" s="317"/>
      <c r="G295" s="313">
        <v>2</v>
      </c>
    </row>
    <row r="296" spans="1:7" ht="13.2" hidden="1">
      <c r="A296" s="319">
        <v>45300</v>
      </c>
      <c r="B296" s="28" t="s">
        <v>437</v>
      </c>
      <c r="C296" s="143" t="str">
        <f>VLOOKUP(B296,'Danh mục hàng hóa'!$C$3:$D$643,2,0)</f>
        <v>Bao lì xì Tết hoa</v>
      </c>
      <c r="D296" s="144" t="str">
        <f>VLOOKUP(B296,'Danh mục hàng hóa'!$C$3:$E$656,3,0)</f>
        <v>set 6 cái</v>
      </c>
      <c r="E296" s="321">
        <f t="shared" si="16"/>
        <v>6254.5</v>
      </c>
      <c r="F296" s="317"/>
      <c r="G296" s="313">
        <v>2</v>
      </c>
    </row>
    <row r="297" spans="1:7" ht="13.2" hidden="1">
      <c r="A297" s="319">
        <v>45300</v>
      </c>
      <c r="B297" s="28" t="s">
        <v>438</v>
      </c>
      <c r="C297" s="143" t="str">
        <f>VLOOKUP(B297,'Danh mục hàng hóa'!$C$3:$D$643,2,0)</f>
        <v>Bao lì xì Tết xanh</v>
      </c>
      <c r="D297" s="144" t="str">
        <f>VLOOKUP(B297,'Danh mục hàng hóa'!$C$3:$E$656,3,0)</f>
        <v>set 6 cái</v>
      </c>
      <c r="E297" s="321">
        <f t="shared" si="16"/>
        <v>6254.5</v>
      </c>
      <c r="F297" s="317"/>
      <c r="G297" s="313">
        <v>2</v>
      </c>
    </row>
    <row r="298" spans="1:7" ht="13.2" hidden="1">
      <c r="A298" s="319">
        <v>45300</v>
      </c>
      <c r="B298" s="28" t="s">
        <v>439</v>
      </c>
      <c r="C298" s="143" t="str">
        <f>VLOOKUP(B298,'Danh mục hàng hóa'!$C$3:$D$643,2,0)</f>
        <v>Bao lì xì vui vẻ</v>
      </c>
      <c r="D298" s="144" t="str">
        <f>VLOOKUP(B298,'Danh mục hàng hóa'!$C$3:$E$656,3,0)</f>
        <v>set 6 cái</v>
      </c>
      <c r="E298" s="321">
        <f t="shared" si="16"/>
        <v>6254.5</v>
      </c>
      <c r="F298" s="317"/>
      <c r="G298" s="313">
        <v>1</v>
      </c>
    </row>
    <row r="299" spans="1:7" ht="13.2" hidden="1">
      <c r="A299" s="319">
        <v>45300</v>
      </c>
      <c r="B299" s="28" t="s">
        <v>440</v>
      </c>
      <c r="C299" s="143" t="str">
        <f>VLOOKUP(B299,'Danh mục hàng hóa'!$C$3:$D$643,2,0)</f>
        <v>Bao lì xì ngộ nghĩnh</v>
      </c>
      <c r="D299" s="144" t="str">
        <f>VLOOKUP(B299,'Danh mục hàng hóa'!$C$3:$E$656,3,0)</f>
        <v>set 6 cái</v>
      </c>
      <c r="E299" s="321">
        <f t="shared" si="16"/>
        <v>6254.5</v>
      </c>
      <c r="F299" s="317"/>
      <c r="G299" s="313">
        <v>1</v>
      </c>
    </row>
    <row r="300" spans="1:7" ht="13.2" hidden="1">
      <c r="A300" s="319">
        <v>45300</v>
      </c>
      <c r="B300" s="28" t="s">
        <v>478</v>
      </c>
      <c r="C300" s="143" t="str">
        <f>VLOOKUP(B300,'Danh mục hàng hóa'!$C$3:$D$643,2,0)</f>
        <v>Trâm cài hoa hồng</v>
      </c>
      <c r="D300" s="144" t="str">
        <f>VLOOKUP(B300,'Danh mục hàng hóa'!$C$3:$E$656,3,0)</f>
        <v>cái</v>
      </c>
      <c r="E300" s="321">
        <f t="shared" ref="E300:E301" si="17">27500/2</f>
        <v>13750</v>
      </c>
      <c r="F300" s="317"/>
      <c r="G300" s="313">
        <v>1</v>
      </c>
    </row>
    <row r="301" spans="1:7" ht="13.2" hidden="1">
      <c r="A301" s="319">
        <v>45300</v>
      </c>
      <c r="B301" s="28" t="s">
        <v>474</v>
      </c>
      <c r="C301" s="143" t="str">
        <f>VLOOKUP(B301,'Danh mục hàng hóa'!$C$3:$D$643,2,0)</f>
        <v>Trâm cài hoa xanh</v>
      </c>
      <c r="D301" s="144" t="str">
        <f>VLOOKUP(B301,'Danh mục hàng hóa'!$C$3:$E$656,3,0)</f>
        <v>cái</v>
      </c>
      <c r="E301" s="321">
        <f t="shared" si="17"/>
        <v>13750</v>
      </c>
      <c r="F301" s="317"/>
      <c r="G301" s="313">
        <v>1</v>
      </c>
    </row>
    <row r="302" spans="1:7" ht="13.2" hidden="1">
      <c r="A302" s="319">
        <v>45300</v>
      </c>
      <c r="B302" s="28" t="s">
        <v>431</v>
      </c>
      <c r="C302" s="143" t="str">
        <f>VLOOKUP(B302,'Danh mục hàng hóa'!$C$3:$D$643,2,0)</f>
        <v>Bao lì xì rồng con</v>
      </c>
      <c r="D302" s="144" t="str">
        <f>VLOOKUP(B302,'Danh mục hàng hóa'!$C$3:$E$656,3,0)</f>
        <v>túi 4 cái</v>
      </c>
      <c r="E302" s="320">
        <v>14000</v>
      </c>
      <c r="F302" s="317"/>
      <c r="G302" s="313">
        <v>4</v>
      </c>
    </row>
    <row r="303" spans="1:7" ht="13.2" hidden="1">
      <c r="A303" s="319">
        <v>45300</v>
      </c>
      <c r="B303" s="28" t="s">
        <v>438</v>
      </c>
      <c r="C303" s="143" t="str">
        <f>VLOOKUP(B303,'Danh mục hàng hóa'!$C$3:$D$643,2,0)</f>
        <v>Bao lì xì Tết xanh</v>
      </c>
      <c r="D303" s="144" t="str">
        <f>VLOOKUP(B303,'Danh mục hàng hóa'!$C$3:$E$656,3,0)</f>
        <v>set 6 cái</v>
      </c>
      <c r="E303" s="320">
        <v>6000</v>
      </c>
      <c r="F303" s="317"/>
      <c r="G303" s="313">
        <v>5</v>
      </c>
    </row>
    <row r="304" spans="1:7" ht="13.2" hidden="1">
      <c r="A304" s="319">
        <v>45300</v>
      </c>
      <c r="B304" s="28" t="s">
        <v>438</v>
      </c>
      <c r="C304" s="143" t="str">
        <f>VLOOKUP(B304,'Danh mục hàng hóa'!$C$3:$D$643,2,0)</f>
        <v>Bao lì xì Tết xanh</v>
      </c>
      <c r="D304" s="144" t="str">
        <f>VLOOKUP(B304,'Danh mục hàng hóa'!$C$3:$E$656,3,0)</f>
        <v>set 6 cái</v>
      </c>
      <c r="E304" s="320">
        <v>6000</v>
      </c>
      <c r="F304" s="317"/>
      <c r="G304" s="313">
        <v>1</v>
      </c>
    </row>
    <row r="305" spans="1:7" ht="13.2" hidden="1">
      <c r="A305" s="319">
        <v>45300</v>
      </c>
      <c r="B305" s="28" t="s">
        <v>439</v>
      </c>
      <c r="C305" s="143" t="str">
        <f>VLOOKUP(B305,'Danh mục hàng hóa'!$C$3:$D$643,2,0)</f>
        <v>Bao lì xì vui vẻ</v>
      </c>
      <c r="D305" s="144" t="str">
        <f>VLOOKUP(B305,'Danh mục hàng hóa'!$C$3:$E$656,3,0)</f>
        <v>set 6 cái</v>
      </c>
      <c r="E305" s="320">
        <v>6000</v>
      </c>
      <c r="F305" s="317"/>
      <c r="G305" s="313">
        <v>1</v>
      </c>
    </row>
    <row r="306" spans="1:7" ht="13.2" hidden="1">
      <c r="A306" s="319">
        <v>45300</v>
      </c>
      <c r="B306" s="28" t="s">
        <v>435</v>
      </c>
      <c r="C306" s="143" t="str">
        <f>VLOOKUP(B306,'Danh mục hàng hóa'!$C$3:$D$643,2,0)</f>
        <v>Bao lì xì Tết tài lộc</v>
      </c>
      <c r="D306" s="144" t="str">
        <f>VLOOKUP(B306,'Danh mục hàng hóa'!$C$3:$E$656,3,0)</f>
        <v>set 6 cái</v>
      </c>
      <c r="E306" s="320">
        <v>6000</v>
      </c>
      <c r="F306" s="317"/>
      <c r="G306" s="313">
        <v>2</v>
      </c>
    </row>
    <row r="307" spans="1:7" ht="13.2" hidden="1">
      <c r="A307" s="319">
        <v>45300</v>
      </c>
      <c r="B307" s="28" t="s">
        <v>437</v>
      </c>
      <c r="C307" s="143" t="str">
        <f>VLOOKUP(B307,'Danh mục hàng hóa'!$C$3:$D$643,2,0)</f>
        <v>Bao lì xì Tết hoa</v>
      </c>
      <c r="D307" s="144" t="str">
        <f>VLOOKUP(B307,'Danh mục hàng hóa'!$C$3:$E$656,3,0)</f>
        <v>set 6 cái</v>
      </c>
      <c r="E307" s="320">
        <v>6000</v>
      </c>
      <c r="F307" s="317"/>
      <c r="G307" s="313">
        <v>1</v>
      </c>
    </row>
    <row r="308" spans="1:7" ht="13.2" hidden="1">
      <c r="A308" s="319">
        <v>45300</v>
      </c>
      <c r="B308" s="28" t="s">
        <v>438</v>
      </c>
      <c r="C308" s="143" t="str">
        <f>VLOOKUP(B308,'Danh mục hàng hóa'!$C$3:$D$643,2,0)</f>
        <v>Bao lì xì Tết xanh</v>
      </c>
      <c r="D308" s="144" t="str">
        <f>VLOOKUP(B308,'Danh mục hàng hóa'!$C$3:$E$656,3,0)</f>
        <v>set 6 cái</v>
      </c>
      <c r="E308" s="320">
        <v>6000</v>
      </c>
      <c r="F308" s="317"/>
      <c r="G308" s="313">
        <v>1</v>
      </c>
    </row>
    <row r="309" spans="1:7" ht="13.2" hidden="1">
      <c r="A309" s="319">
        <v>45300</v>
      </c>
      <c r="B309" s="28" t="s">
        <v>439</v>
      </c>
      <c r="C309" s="143" t="str">
        <f>VLOOKUP(B309,'Danh mục hàng hóa'!$C$3:$D$643,2,0)</f>
        <v>Bao lì xì vui vẻ</v>
      </c>
      <c r="D309" s="144" t="str">
        <f>VLOOKUP(B309,'Danh mục hàng hóa'!$C$3:$E$656,3,0)</f>
        <v>set 6 cái</v>
      </c>
      <c r="E309" s="320">
        <v>6000</v>
      </c>
      <c r="F309" s="317"/>
      <c r="G309" s="313">
        <v>2</v>
      </c>
    </row>
    <row r="310" spans="1:7" ht="13.2" hidden="1">
      <c r="A310" s="319">
        <v>45300</v>
      </c>
      <c r="B310" s="28" t="s">
        <v>431</v>
      </c>
      <c r="C310" s="143" t="str">
        <f>VLOOKUP(B310,'Danh mục hàng hóa'!$C$3:$D$643,2,0)</f>
        <v>Bao lì xì rồng con</v>
      </c>
      <c r="D310" s="144" t="str">
        <f>VLOOKUP(B310,'Danh mục hàng hóa'!$C$3:$E$656,3,0)</f>
        <v>túi 4 cái</v>
      </c>
      <c r="E310" s="320">
        <v>14000</v>
      </c>
      <c r="F310" s="317"/>
      <c r="G310" s="313">
        <v>4</v>
      </c>
    </row>
    <row r="311" spans="1:7" ht="13.2" hidden="1">
      <c r="A311" s="319">
        <v>45332</v>
      </c>
      <c r="B311" s="28" t="s">
        <v>431</v>
      </c>
      <c r="C311" s="143" t="str">
        <f>VLOOKUP(B311,'Danh mục hàng hóa'!$C$3:$D$643,2,0)</f>
        <v>Bao lì xì rồng con</v>
      </c>
      <c r="D311" s="144" t="str">
        <f>VLOOKUP(B311,'Danh mục hàng hóa'!$C$3:$E$656,3,0)</f>
        <v>túi 4 cái</v>
      </c>
      <c r="E311" s="320">
        <v>14000</v>
      </c>
      <c r="F311" s="317"/>
      <c r="G311" s="313">
        <v>5</v>
      </c>
    </row>
    <row r="312" spans="1:7" ht="13.2" hidden="1">
      <c r="A312" s="319">
        <v>45332</v>
      </c>
      <c r="B312" s="28" t="s">
        <v>435</v>
      </c>
      <c r="C312" s="143" t="str">
        <f>VLOOKUP(B312,'Danh mục hàng hóa'!$C$3:$D$643,2,0)</f>
        <v>Bao lì xì Tết tài lộc</v>
      </c>
      <c r="D312" s="144" t="str">
        <f>VLOOKUP(B312,'Danh mục hàng hóa'!$C$3:$E$656,3,0)</f>
        <v>set 6 cái</v>
      </c>
      <c r="E312" s="320">
        <v>6000</v>
      </c>
      <c r="F312" s="317"/>
      <c r="G312" s="313">
        <v>12</v>
      </c>
    </row>
    <row r="313" spans="1:7" ht="13.2" hidden="1">
      <c r="A313" s="319">
        <v>45332</v>
      </c>
      <c r="B313" s="28" t="s">
        <v>437</v>
      </c>
      <c r="C313" s="143" t="str">
        <f>VLOOKUP(B313,'Danh mục hàng hóa'!$C$3:$D$643,2,0)</f>
        <v>Bao lì xì Tết hoa</v>
      </c>
      <c r="D313" s="144" t="str">
        <f>VLOOKUP(B313,'Danh mục hàng hóa'!$C$3:$E$656,3,0)</f>
        <v>set 6 cái</v>
      </c>
      <c r="E313" s="320">
        <v>6000</v>
      </c>
      <c r="F313" s="317"/>
      <c r="G313" s="313">
        <v>11</v>
      </c>
    </row>
    <row r="314" spans="1:7" ht="13.2" hidden="1">
      <c r="A314" s="319">
        <v>45332</v>
      </c>
      <c r="B314" s="28" t="s">
        <v>438</v>
      </c>
      <c r="C314" s="143" t="str">
        <f>VLOOKUP(B314,'Danh mục hàng hóa'!$C$3:$D$643,2,0)</f>
        <v>Bao lì xì Tết xanh</v>
      </c>
      <c r="D314" s="144" t="str">
        <f>VLOOKUP(B314,'Danh mục hàng hóa'!$C$3:$E$656,3,0)</f>
        <v>set 6 cái</v>
      </c>
      <c r="E314" s="320">
        <v>6000</v>
      </c>
      <c r="F314" s="317"/>
      <c r="G314" s="313">
        <v>12</v>
      </c>
    </row>
    <row r="315" spans="1:7" ht="13.2" hidden="1">
      <c r="A315" s="319">
        <v>45332</v>
      </c>
      <c r="B315" s="28" t="s">
        <v>439</v>
      </c>
      <c r="C315" s="143" t="str">
        <f>VLOOKUP(B315,'Danh mục hàng hóa'!$C$3:$D$643,2,0)</f>
        <v>Bao lì xì vui vẻ</v>
      </c>
      <c r="D315" s="144" t="str">
        <f>VLOOKUP(B315,'Danh mục hàng hóa'!$C$3:$E$656,3,0)</f>
        <v>set 6 cái</v>
      </c>
      <c r="E315" s="320">
        <v>6000</v>
      </c>
      <c r="F315" s="317"/>
      <c r="G315" s="313">
        <v>11</v>
      </c>
    </row>
    <row r="316" spans="1:7" ht="13.2" hidden="1">
      <c r="A316" s="319">
        <v>45332</v>
      </c>
      <c r="B316" s="28" t="s">
        <v>440</v>
      </c>
      <c r="C316" s="143" t="str">
        <f>VLOOKUP(B316,'Danh mục hàng hóa'!$C$3:$D$643,2,0)</f>
        <v>Bao lì xì ngộ nghĩnh</v>
      </c>
      <c r="D316" s="144" t="str">
        <f>VLOOKUP(B316,'Danh mục hàng hóa'!$C$3:$E$656,3,0)</f>
        <v>set 6 cái</v>
      </c>
      <c r="E316" s="320">
        <v>6000</v>
      </c>
      <c r="F316" s="317"/>
      <c r="G316" s="313">
        <v>10</v>
      </c>
    </row>
    <row r="317" spans="1:7" ht="13.2" hidden="1">
      <c r="A317" s="319">
        <v>45332</v>
      </c>
      <c r="B317" s="28" t="s">
        <v>866</v>
      </c>
      <c r="C317" s="143" t="str">
        <f>VLOOKUP(B317,'Danh mục hàng hóa'!$C$3:$D$643,2,0)</f>
        <v>Thước dây hồng phấn</v>
      </c>
      <c r="D317" s="144" t="str">
        <f>VLOOKUP(B317,'Danh mục hàng hóa'!$C$3:$E$656,3,0)</f>
        <v>cái</v>
      </c>
      <c r="E317" s="320">
        <v>8000</v>
      </c>
      <c r="F317" s="317"/>
      <c r="G317" s="313">
        <v>1</v>
      </c>
    </row>
    <row r="318" spans="1:7" ht="13.2" hidden="1">
      <c r="A318" s="319">
        <v>45332</v>
      </c>
      <c r="B318" s="28" t="s">
        <v>874</v>
      </c>
      <c r="C318" s="143" t="str">
        <f>VLOOKUP(B318,'Danh mục hàng hóa'!$C$3:$D$643,2,0)</f>
        <v>Dao rọc giấy cún xanh</v>
      </c>
      <c r="D318" s="144" t="str">
        <f>VLOOKUP(B318,'Danh mục hàng hóa'!$C$3:$E$656,3,0)</f>
        <v>cái</v>
      </c>
      <c r="E318" s="320">
        <v>8000</v>
      </c>
      <c r="F318" s="317"/>
      <c r="G318" s="313">
        <v>1</v>
      </c>
    </row>
    <row r="319" spans="1:7" ht="13.2" hidden="1">
      <c r="A319" s="319">
        <v>45332</v>
      </c>
      <c r="B319" s="28" t="s">
        <v>878</v>
      </c>
      <c r="C319" s="143" t="str">
        <f>VLOOKUP(B319,'Danh mục hàng hóa'!$C$3:$D$643,2,0)</f>
        <v>Dao rọc giấy cún hồng</v>
      </c>
      <c r="D319" s="144" t="str">
        <f>VLOOKUP(B319,'Danh mục hàng hóa'!$C$3:$E$656,3,0)</f>
        <v>cái</v>
      </c>
      <c r="E319" s="320">
        <v>9000</v>
      </c>
      <c r="F319" s="317"/>
      <c r="G319" s="313">
        <v>1</v>
      </c>
    </row>
    <row r="320" spans="1:7" ht="13.2" hidden="1">
      <c r="A320" s="319">
        <v>45332</v>
      </c>
      <c r="B320" s="28" t="s">
        <v>438</v>
      </c>
      <c r="C320" s="143" t="str">
        <f>VLOOKUP(B320,'Danh mục hàng hóa'!$C$3:$D$643,2,0)</f>
        <v>Bao lì xì Tết xanh</v>
      </c>
      <c r="D320" s="144" t="str">
        <f>VLOOKUP(B320,'Danh mục hàng hóa'!$C$3:$E$656,3,0)</f>
        <v>set 6 cái</v>
      </c>
      <c r="E320" s="321">
        <f>31092-E317-E318-E319</f>
        <v>6092</v>
      </c>
      <c r="F320" s="317"/>
      <c r="G320" s="313">
        <v>1</v>
      </c>
    </row>
    <row r="321" spans="1:7" ht="13.2" hidden="1">
      <c r="A321" s="319">
        <v>45333</v>
      </c>
      <c r="B321" s="28" t="s">
        <v>431</v>
      </c>
      <c r="C321" s="143" t="str">
        <f>VLOOKUP(B321,'Danh mục hàng hóa'!$C$3:$D$643,2,0)</f>
        <v>Bao lì xì rồng con</v>
      </c>
      <c r="D321" s="144" t="str">
        <f>VLOOKUP(B321,'Danh mục hàng hóa'!$C$3:$E$656,3,0)</f>
        <v>túi 4 cái</v>
      </c>
      <c r="E321" s="320">
        <v>14000</v>
      </c>
      <c r="F321" s="317"/>
      <c r="G321" s="313">
        <v>1</v>
      </c>
    </row>
    <row r="322" spans="1:7" ht="13.2" hidden="1">
      <c r="A322" s="319">
        <v>45333</v>
      </c>
      <c r="B322" s="28" t="s">
        <v>435</v>
      </c>
      <c r="C322" s="143" t="str">
        <f>VLOOKUP(B322,'Danh mục hàng hóa'!$C$3:$D$643,2,0)</f>
        <v>Bao lì xì Tết tài lộc</v>
      </c>
      <c r="D322" s="144" t="str">
        <f>VLOOKUP(B322,'Danh mục hàng hóa'!$C$3:$E$656,3,0)</f>
        <v>set 6 cái</v>
      </c>
      <c r="E322" s="320">
        <v>6000</v>
      </c>
      <c r="F322" s="317"/>
      <c r="G322" s="313">
        <v>2</v>
      </c>
    </row>
    <row r="323" spans="1:7" ht="13.2" hidden="1">
      <c r="A323" s="319">
        <v>45333</v>
      </c>
      <c r="B323" s="28" t="s">
        <v>437</v>
      </c>
      <c r="C323" s="143" t="str">
        <f>VLOOKUP(B323,'Danh mục hàng hóa'!$C$3:$D$643,2,0)</f>
        <v>Bao lì xì Tết hoa</v>
      </c>
      <c r="D323" s="144" t="str">
        <f>VLOOKUP(B323,'Danh mục hàng hóa'!$C$3:$E$656,3,0)</f>
        <v>set 6 cái</v>
      </c>
      <c r="E323" s="320">
        <v>6000</v>
      </c>
      <c r="F323" s="317"/>
      <c r="G323" s="313">
        <v>1</v>
      </c>
    </row>
    <row r="324" spans="1:7" ht="13.2" hidden="1">
      <c r="A324" s="319">
        <v>45333</v>
      </c>
      <c r="B324" s="28" t="s">
        <v>438</v>
      </c>
      <c r="C324" s="143" t="str">
        <f>VLOOKUP(B324,'Danh mục hàng hóa'!$C$3:$D$643,2,0)</f>
        <v>Bao lì xì Tết xanh</v>
      </c>
      <c r="D324" s="144" t="str">
        <f>VLOOKUP(B324,'Danh mục hàng hóa'!$C$3:$E$656,3,0)</f>
        <v>set 6 cái</v>
      </c>
      <c r="E324" s="320">
        <v>6000</v>
      </c>
      <c r="F324" s="317"/>
      <c r="G324" s="313">
        <v>2</v>
      </c>
    </row>
    <row r="325" spans="1:7" ht="13.2" hidden="1">
      <c r="A325" s="319">
        <v>45333</v>
      </c>
      <c r="B325" s="28" t="s">
        <v>439</v>
      </c>
      <c r="C325" s="143" t="str">
        <f>VLOOKUP(B325,'Danh mục hàng hóa'!$C$3:$D$643,2,0)</f>
        <v>Bao lì xì vui vẻ</v>
      </c>
      <c r="D325" s="144" t="str">
        <f>VLOOKUP(B325,'Danh mục hàng hóa'!$C$3:$E$656,3,0)</f>
        <v>set 6 cái</v>
      </c>
      <c r="E325" s="320">
        <v>6000</v>
      </c>
      <c r="F325" s="317"/>
      <c r="G325" s="313">
        <v>1</v>
      </c>
    </row>
    <row r="326" spans="1:7" ht="13.2" hidden="1">
      <c r="A326" s="319">
        <v>45333</v>
      </c>
      <c r="B326" s="28" t="s">
        <v>440</v>
      </c>
      <c r="C326" s="143" t="str">
        <f>VLOOKUP(B326,'Danh mục hàng hóa'!$C$3:$D$643,2,0)</f>
        <v>Bao lì xì ngộ nghĩnh</v>
      </c>
      <c r="D326" s="144" t="str">
        <f>VLOOKUP(B326,'Danh mục hàng hóa'!$C$3:$E$656,3,0)</f>
        <v>set 6 cái</v>
      </c>
      <c r="E326" s="320">
        <v>6000</v>
      </c>
      <c r="F326" s="317"/>
      <c r="G326" s="313">
        <v>1</v>
      </c>
    </row>
    <row r="327" spans="1:7" ht="13.2" hidden="1">
      <c r="A327" s="319">
        <v>45333</v>
      </c>
      <c r="B327" s="28" t="s">
        <v>878</v>
      </c>
      <c r="C327" s="143" t="str">
        <f>VLOOKUP(B327,'Danh mục hàng hóa'!$C$3:$D$643,2,0)</f>
        <v>Dao rọc giấy cún hồng</v>
      </c>
      <c r="D327" s="144" t="str">
        <f>VLOOKUP(B327,'Danh mục hàng hóa'!$C$3:$E$656,3,0)</f>
        <v>cái</v>
      </c>
      <c r="E327" s="320">
        <v>5000</v>
      </c>
      <c r="F327" s="317"/>
      <c r="G327" s="313">
        <v>1</v>
      </c>
    </row>
    <row r="328" spans="1:7" ht="13.2" hidden="1">
      <c r="A328" s="319">
        <v>45333</v>
      </c>
      <c r="B328" s="28" t="s">
        <v>2141</v>
      </c>
      <c r="C328" s="143" t="str">
        <f>VLOOKUP(B328,'Danh mục hàng hóa'!$C$3:$D$643,2,0)</f>
        <v>Dao rọc giấy mèo tím</v>
      </c>
      <c r="D328" s="144" t="str">
        <f>VLOOKUP(B328,'Danh mục hàng hóa'!$C$3:$E$656,3,0)</f>
        <v>cái</v>
      </c>
      <c r="E328" s="320">
        <v>5000</v>
      </c>
      <c r="F328" s="317"/>
      <c r="G328" s="313">
        <v>1</v>
      </c>
    </row>
    <row r="329" spans="1:7" ht="13.2" hidden="1">
      <c r="A329" s="319">
        <v>45333</v>
      </c>
      <c r="B329" s="28" t="s">
        <v>2141</v>
      </c>
      <c r="C329" s="143" t="str">
        <f>VLOOKUP(B329,'Danh mục hàng hóa'!$C$3:$D$643,2,0)</f>
        <v>Dao rọc giấy mèo tím</v>
      </c>
      <c r="D329" s="144" t="str">
        <f>VLOOKUP(B329,'Danh mục hàng hóa'!$C$3:$E$656,3,0)</f>
        <v>cái</v>
      </c>
      <c r="E329" s="320">
        <v>0</v>
      </c>
      <c r="F329" s="317"/>
      <c r="G329" s="313">
        <v>1</v>
      </c>
    </row>
    <row r="330" spans="1:7" ht="13.2" hidden="1">
      <c r="A330" s="319">
        <v>45333</v>
      </c>
      <c r="B330" s="28" t="s">
        <v>438</v>
      </c>
      <c r="C330" s="143" t="str">
        <f>VLOOKUP(B330,'Danh mục hàng hóa'!$C$3:$D$643,2,0)</f>
        <v>Bao lì xì Tết xanh</v>
      </c>
      <c r="D330" s="144" t="str">
        <f>VLOOKUP(B330,'Danh mục hàng hóa'!$C$3:$E$656,3,0)</f>
        <v>set 6 cái</v>
      </c>
      <c r="E330" s="321">
        <f>51684/7</f>
        <v>7383.4285714285716</v>
      </c>
      <c r="F330" s="317"/>
      <c r="G330" s="313">
        <v>7</v>
      </c>
    </row>
    <row r="331" spans="1:7" ht="13.2" hidden="1">
      <c r="A331" s="319">
        <v>45333</v>
      </c>
      <c r="B331" s="28" t="s">
        <v>438</v>
      </c>
      <c r="C331" s="143" t="str">
        <f>VLOOKUP(B331,'Danh mục hàng hóa'!$C$3:$D$643,2,0)</f>
        <v>Bao lì xì Tết xanh</v>
      </c>
      <c r="D331" s="144" t="str">
        <f>VLOOKUP(B331,'Danh mục hàng hóa'!$C$3:$E$656,3,0)</f>
        <v>set 6 cái</v>
      </c>
      <c r="E331" s="321">
        <f>45920/5</f>
        <v>9184</v>
      </c>
      <c r="F331" s="317"/>
      <c r="G331" s="313">
        <v>5</v>
      </c>
    </row>
    <row r="332" spans="1:7" ht="13.2" hidden="1">
      <c r="A332" s="319">
        <v>45333</v>
      </c>
      <c r="B332" s="28" t="s">
        <v>435</v>
      </c>
      <c r="C332" s="143" t="str">
        <f>VLOOKUP(B332,'Danh mục hàng hóa'!$C$3:$D$643,2,0)</f>
        <v>Bao lì xì Tết tài lộc</v>
      </c>
      <c r="D332" s="144" t="str">
        <f>VLOOKUP(B332,'Danh mục hàng hóa'!$C$3:$E$656,3,0)</f>
        <v>set 6 cái</v>
      </c>
      <c r="E332" s="320">
        <v>0</v>
      </c>
      <c r="F332" s="317"/>
      <c r="G332" s="317">
        <f>33-18</f>
        <v>15</v>
      </c>
    </row>
    <row r="333" spans="1:7" ht="13.2" hidden="1">
      <c r="A333" s="319">
        <v>45333</v>
      </c>
      <c r="B333" s="28" t="s">
        <v>437</v>
      </c>
      <c r="C333" s="143" t="str">
        <f>VLOOKUP(B333,'Danh mục hàng hóa'!$C$3:$D$643,2,0)</f>
        <v>Bao lì xì Tết hoa</v>
      </c>
      <c r="D333" s="144" t="str">
        <f>VLOOKUP(B333,'Danh mục hàng hóa'!$C$3:$E$656,3,0)</f>
        <v>set 6 cái</v>
      </c>
      <c r="E333" s="320">
        <v>0</v>
      </c>
      <c r="F333" s="317"/>
      <c r="G333" s="313">
        <v>11</v>
      </c>
    </row>
    <row r="334" spans="1:7" ht="13.2" hidden="1">
      <c r="A334" s="319">
        <v>45333</v>
      </c>
      <c r="B334" s="28" t="s">
        <v>438</v>
      </c>
      <c r="C334" s="143" t="str">
        <f>VLOOKUP(B334,'Danh mục hàng hóa'!$C$3:$D$643,2,0)</f>
        <v>Bao lì xì Tết xanh</v>
      </c>
      <c r="D334" s="144" t="str">
        <f>VLOOKUP(B334,'Danh mục hàng hóa'!$C$3:$E$656,3,0)</f>
        <v>set 6 cái</v>
      </c>
      <c r="E334" s="320">
        <v>0</v>
      </c>
      <c r="F334" s="317"/>
      <c r="G334" s="313">
        <v>0</v>
      </c>
    </row>
    <row r="335" spans="1:7" ht="13.2" hidden="1">
      <c r="A335" s="319">
        <v>45333</v>
      </c>
      <c r="B335" s="28" t="s">
        <v>439</v>
      </c>
      <c r="C335" s="143" t="str">
        <f>VLOOKUP(B335,'Danh mục hàng hóa'!$C$3:$D$643,2,0)</f>
        <v>Bao lì xì vui vẻ</v>
      </c>
      <c r="D335" s="144" t="str">
        <f>VLOOKUP(B335,'Danh mục hàng hóa'!$C$3:$E$656,3,0)</f>
        <v>set 6 cái</v>
      </c>
      <c r="E335" s="320">
        <v>0</v>
      </c>
      <c r="F335" s="317"/>
      <c r="G335" s="313">
        <v>0</v>
      </c>
    </row>
    <row r="336" spans="1:7" ht="13.2" hidden="1">
      <c r="A336" s="319">
        <v>45333</v>
      </c>
      <c r="B336" s="28" t="s">
        <v>440</v>
      </c>
      <c r="C336" s="143" t="str">
        <f>VLOOKUP(B336,'Danh mục hàng hóa'!$C$3:$D$643,2,0)</f>
        <v>Bao lì xì ngộ nghĩnh</v>
      </c>
      <c r="D336" s="144" t="str">
        <f>VLOOKUP(B336,'Danh mục hàng hóa'!$C$3:$E$656,3,0)</f>
        <v>set 6 cái</v>
      </c>
      <c r="E336" s="320">
        <v>0</v>
      </c>
      <c r="F336" s="317"/>
      <c r="G336" s="313">
        <v>4</v>
      </c>
    </row>
    <row r="337" spans="1:7" ht="13.2" hidden="1">
      <c r="A337" s="319">
        <v>45333</v>
      </c>
      <c r="B337" s="28" t="s">
        <v>431</v>
      </c>
      <c r="C337" s="143" t="str">
        <f>VLOOKUP(B337,'Danh mục hàng hóa'!$C$3:$D$643,2,0)</f>
        <v>Bao lì xì rồng con</v>
      </c>
      <c r="D337" s="144" t="str">
        <f>VLOOKUP(B337,'Danh mục hàng hóa'!$C$3:$E$656,3,0)</f>
        <v>túi 4 cái</v>
      </c>
      <c r="E337" s="320">
        <v>14000</v>
      </c>
      <c r="F337" s="317"/>
      <c r="G337" s="313">
        <v>2</v>
      </c>
    </row>
    <row r="338" spans="1:7" ht="13.2" hidden="1">
      <c r="A338" s="319">
        <v>45333</v>
      </c>
      <c r="B338" s="28" t="s">
        <v>435</v>
      </c>
      <c r="C338" s="143" t="str">
        <f>VLOOKUP(B338,'Danh mục hàng hóa'!$C$3:$D$643,2,0)</f>
        <v>Bao lì xì Tết tài lộc</v>
      </c>
      <c r="D338" s="144" t="str">
        <f>VLOOKUP(B338,'Danh mục hàng hóa'!$C$3:$E$656,3,0)</f>
        <v>set 6 cái</v>
      </c>
      <c r="E338" s="320">
        <v>6000</v>
      </c>
      <c r="F338" s="317"/>
      <c r="G338" s="313">
        <v>1</v>
      </c>
    </row>
    <row r="339" spans="1:7" ht="13.2" hidden="1">
      <c r="A339" s="319">
        <v>45333</v>
      </c>
      <c r="B339" s="28" t="s">
        <v>437</v>
      </c>
      <c r="C339" s="143" t="str">
        <f>VLOOKUP(B339,'Danh mục hàng hóa'!$C$3:$D$643,2,0)</f>
        <v>Bao lì xì Tết hoa</v>
      </c>
      <c r="D339" s="144" t="str">
        <f>VLOOKUP(B339,'Danh mục hàng hóa'!$C$3:$E$656,3,0)</f>
        <v>set 6 cái</v>
      </c>
      <c r="E339" s="320">
        <v>6000</v>
      </c>
      <c r="F339" s="317"/>
      <c r="G339" s="313">
        <v>1</v>
      </c>
    </row>
    <row r="340" spans="1:7" ht="13.2" hidden="1">
      <c r="A340" s="319">
        <v>45333</v>
      </c>
      <c r="B340" s="28" t="s">
        <v>438</v>
      </c>
      <c r="C340" s="143"/>
      <c r="D340" s="144"/>
      <c r="E340" s="320">
        <f>40000/5</f>
        <v>8000</v>
      </c>
      <c r="F340" s="317"/>
      <c r="G340" s="313">
        <v>5</v>
      </c>
    </row>
    <row r="341" spans="1:7" ht="13.2" hidden="1">
      <c r="A341" s="319">
        <v>45333</v>
      </c>
      <c r="B341" s="28" t="s">
        <v>842</v>
      </c>
      <c r="C341" s="143" t="str">
        <f>VLOOKUP(B341,'Danh mục hàng hóa'!$C$3:$D$643,2,0)</f>
        <v>Hộp thuốc dấu chân cún</v>
      </c>
      <c r="D341" s="144"/>
      <c r="E341" s="320">
        <v>5920</v>
      </c>
      <c r="F341" s="317"/>
      <c r="G341" s="313">
        <v>1</v>
      </c>
    </row>
    <row r="342" spans="1:7" ht="13.2" hidden="1">
      <c r="A342" s="319">
        <v>45333</v>
      </c>
      <c r="B342" s="28" t="s">
        <v>431</v>
      </c>
      <c r="C342" s="143" t="str">
        <f>VLOOKUP(B342,'Danh mục hàng hóa'!$C$3:$D$643,2,0)</f>
        <v>Bao lì xì rồng con</v>
      </c>
      <c r="D342" s="144" t="str">
        <f>VLOOKUP(B342,'Danh mục hàng hóa'!$C$3:$E$656,3,0)</f>
        <v>túi 4 cái</v>
      </c>
      <c r="E342" s="320">
        <v>14000</v>
      </c>
      <c r="F342" s="317"/>
      <c r="G342" s="313">
        <v>2</v>
      </c>
    </row>
    <row r="343" spans="1:7" ht="13.2" hidden="1">
      <c r="A343" s="319">
        <v>45333</v>
      </c>
      <c r="B343" s="28" t="s">
        <v>431</v>
      </c>
      <c r="C343" s="143" t="str">
        <f>VLOOKUP(B343,'Danh mục hàng hóa'!$C$3:$D$643,2,0)</f>
        <v>Bao lì xì rồng con</v>
      </c>
      <c r="D343" s="144" t="str">
        <f>VLOOKUP(B343,'Danh mục hàng hóa'!$C$3:$E$656,3,0)</f>
        <v>túi 4 cái</v>
      </c>
      <c r="E343" s="320">
        <v>14000</v>
      </c>
      <c r="F343" s="317"/>
      <c r="G343" s="313">
        <v>2</v>
      </c>
    </row>
    <row r="344" spans="1:7" ht="13.2" hidden="1">
      <c r="A344" s="319">
        <v>45333</v>
      </c>
      <c r="B344" s="28" t="s">
        <v>433</v>
      </c>
      <c r="C344" s="143" t="str">
        <f>VLOOKUP(B344,'Danh mục hàng hóa'!$C$3:$D$643,2,0)</f>
        <v>Bao lì xì rồng lân</v>
      </c>
      <c r="D344" s="144" t="str">
        <f>VLOOKUP(B344,'Danh mục hàng hóa'!$C$3:$E$656,3,0)</f>
        <v>túi 4 cái</v>
      </c>
      <c r="E344" s="320">
        <v>14000</v>
      </c>
      <c r="F344" s="317"/>
      <c r="G344" s="313">
        <v>2</v>
      </c>
    </row>
    <row r="345" spans="1:7" ht="13.2" hidden="1">
      <c r="A345" s="319">
        <v>45303</v>
      </c>
      <c r="B345" s="28" t="s">
        <v>438</v>
      </c>
      <c r="C345" s="143" t="str">
        <f>VLOOKUP(B345,'Danh mục hàng hóa'!$C$3:$D$643,2,0)</f>
        <v>Bao lì xì Tết xanh</v>
      </c>
      <c r="D345" s="144" t="str">
        <f>VLOOKUP(B345,'Danh mục hàng hóa'!$C$3:$E$656,3,0)</f>
        <v>set 6 cái</v>
      </c>
      <c r="E345" s="320">
        <v>6852</v>
      </c>
      <c r="F345" s="317"/>
      <c r="G345" s="313">
        <v>1</v>
      </c>
    </row>
    <row r="346" spans="1:7" ht="13.2" hidden="1">
      <c r="A346" s="319">
        <v>45303</v>
      </c>
      <c r="B346" s="28" t="s">
        <v>438</v>
      </c>
      <c r="C346" s="143" t="str">
        <f>VLOOKUP(B346,'Danh mục hàng hóa'!$C$3:$D$643,2,0)</f>
        <v>Bao lì xì Tết xanh</v>
      </c>
      <c r="D346" s="144" t="str">
        <f>VLOOKUP(B346,'Danh mục hàng hóa'!$C$3:$E$656,3,0)</f>
        <v>set 6 cái</v>
      </c>
      <c r="E346" s="320">
        <f>51680/7</f>
        <v>7382.8571428571431</v>
      </c>
      <c r="F346" s="317"/>
      <c r="G346" s="313">
        <v>7</v>
      </c>
    </row>
    <row r="347" spans="1:7" ht="13.2" hidden="1">
      <c r="A347" s="319">
        <v>45303</v>
      </c>
      <c r="B347" s="28" t="s">
        <v>586</v>
      </c>
      <c r="C347" s="143" t="str">
        <f>VLOOKUP(B347,'Danh mục hàng hóa'!$C$3:$D$643,2,0)</f>
        <v>Kẹp tóc nhựa nâu nhạt</v>
      </c>
      <c r="D347" s="144" t="str">
        <f>VLOOKUP(B347,'Danh mục hàng hóa'!$C$3:$E$656,3,0)</f>
        <v>cái</v>
      </c>
      <c r="E347" s="320">
        <v>13860</v>
      </c>
      <c r="F347" s="317"/>
      <c r="G347" s="313">
        <v>1</v>
      </c>
    </row>
    <row r="348" spans="1:7" ht="13.2" hidden="1">
      <c r="A348" s="319">
        <v>45303</v>
      </c>
      <c r="B348" s="28" t="s">
        <v>878</v>
      </c>
      <c r="C348" s="143" t="str">
        <f>VLOOKUP(B348,'Danh mục hàng hóa'!$C$3:$D$643,2,0)</f>
        <v>Dao rọc giấy cún hồng</v>
      </c>
      <c r="D348" s="144" t="str">
        <f>VLOOKUP(B348,'Danh mục hàng hóa'!$C$3:$E$656,3,0)</f>
        <v>cái</v>
      </c>
      <c r="E348" s="320">
        <v>8000</v>
      </c>
      <c r="F348" s="317"/>
      <c r="G348" s="313">
        <v>1</v>
      </c>
    </row>
    <row r="349" spans="1:7" ht="13.2" hidden="1">
      <c r="A349" s="319">
        <v>45303</v>
      </c>
      <c r="B349" s="28" t="s">
        <v>440</v>
      </c>
      <c r="C349" s="143" t="str">
        <f>VLOOKUP(B349,'Danh mục hàng hóa'!$C$3:$D$643,2,0)</f>
        <v>Bao lì xì ngộ nghĩnh</v>
      </c>
      <c r="D349" s="144" t="str">
        <f>VLOOKUP(B349,'Danh mục hàng hóa'!$C$3:$E$656,3,0)</f>
        <v>set 6 cái</v>
      </c>
      <c r="E349" s="320">
        <v>8000</v>
      </c>
      <c r="F349" s="317"/>
      <c r="G349" s="313">
        <v>1</v>
      </c>
    </row>
    <row r="350" spans="1:7" ht="13.2" hidden="1">
      <c r="A350" s="319">
        <v>45303</v>
      </c>
      <c r="B350" s="28" t="s">
        <v>895</v>
      </c>
      <c r="C350" s="143" t="str">
        <f>VLOOKUP(B350,'Danh mục hàng hóa'!$C$3:$D$643,2,0)</f>
        <v>Thỏ chong chóng</v>
      </c>
      <c r="D350" s="144" t="str">
        <f>VLOOKUP(B350,'Danh mục hàng hóa'!$C$3:$E$656,3,0)</f>
        <v>cái</v>
      </c>
      <c r="E350" s="321">
        <f t="shared" ref="E350:E351" si="18">(110292-16000)/2</f>
        <v>47146</v>
      </c>
      <c r="F350" s="317"/>
      <c r="G350" s="313">
        <v>1</v>
      </c>
    </row>
    <row r="351" spans="1:7" ht="13.2" hidden="1">
      <c r="A351" s="319">
        <v>45303</v>
      </c>
      <c r="B351" s="28" t="s">
        <v>885</v>
      </c>
      <c r="C351" s="143" t="str">
        <f>VLOOKUP(B351,'Danh mục hàng hóa'!$C$3:$D$643,2,0)</f>
        <v>Gấu chong chóng</v>
      </c>
      <c r="D351" s="144" t="str">
        <f>VLOOKUP(B351,'Danh mục hàng hóa'!$C$3:$E$656,3,0)</f>
        <v>cái</v>
      </c>
      <c r="E351" s="321">
        <f t="shared" si="18"/>
        <v>47146</v>
      </c>
      <c r="F351" s="317"/>
      <c r="G351" s="313">
        <v>1</v>
      </c>
    </row>
    <row r="352" spans="1:7" ht="13.2" hidden="1">
      <c r="A352" s="319">
        <v>45303</v>
      </c>
      <c r="B352" s="28" t="s">
        <v>392</v>
      </c>
      <c r="C352" s="143" t="str">
        <f>VLOOKUP(B352,'Danh mục hàng hóa'!$C$3:$D$643,2,0)</f>
        <v>Túi chườm bụng trái bơ 1000ml</v>
      </c>
      <c r="D352" s="144" t="str">
        <f>VLOOKUP(B352,'Danh mục hàng hóa'!$C$3:$E$656,3,0)</f>
        <v>túi</v>
      </c>
      <c r="E352" s="320">
        <v>95920</v>
      </c>
      <c r="F352" s="317"/>
      <c r="G352" s="313">
        <v>1</v>
      </c>
    </row>
    <row r="353" spans="1:7" ht="13.2" hidden="1">
      <c r="A353" s="319">
        <v>45304</v>
      </c>
      <c r="B353" s="28" t="s">
        <v>413</v>
      </c>
      <c r="C353" s="143" t="str">
        <f>VLOOKUP(B353,'Danh mục hàng hóa'!$C$3:$D$643,2,0)</f>
        <v>Túi chườm bụng trái bơ 500ml</v>
      </c>
      <c r="D353" s="144" t="str">
        <f>VLOOKUP(B353,'Danh mục hàng hóa'!$C$3:$E$656,3,0)</f>
        <v>túi</v>
      </c>
      <c r="E353" s="320">
        <v>78000</v>
      </c>
      <c r="F353" s="317"/>
      <c r="G353" s="313">
        <v>1</v>
      </c>
    </row>
    <row r="354" spans="1:7" ht="13.2" hidden="1">
      <c r="A354" s="319">
        <v>45304</v>
      </c>
      <c r="B354" s="28" t="s">
        <v>435</v>
      </c>
      <c r="C354" s="143" t="str">
        <f>VLOOKUP(B354,'Danh mục hàng hóa'!$C$3:$D$643,2,0)</f>
        <v>Bao lì xì Tết tài lộc</v>
      </c>
      <c r="D354" s="144" t="str">
        <f>VLOOKUP(B354,'Danh mục hàng hóa'!$C$3:$E$656,3,0)</f>
        <v>set 6 cái</v>
      </c>
      <c r="E354" s="320">
        <v>6154</v>
      </c>
      <c r="F354" s="317"/>
      <c r="G354" s="313">
        <v>2</v>
      </c>
    </row>
    <row r="355" spans="1:7" ht="13.2" hidden="1">
      <c r="A355" s="319">
        <v>45304</v>
      </c>
      <c r="B355" s="28" t="s">
        <v>437</v>
      </c>
      <c r="C355" s="143" t="str">
        <f>VLOOKUP(B355,'Danh mục hàng hóa'!$C$3:$D$643,2,0)</f>
        <v>Bao lì xì Tết hoa</v>
      </c>
      <c r="D355" s="144" t="str">
        <f>VLOOKUP(B355,'Danh mục hàng hóa'!$C$3:$E$656,3,0)</f>
        <v>set 6 cái</v>
      </c>
      <c r="E355" s="320">
        <v>6154</v>
      </c>
      <c r="F355" s="317"/>
      <c r="G355" s="313">
        <v>2</v>
      </c>
    </row>
    <row r="356" spans="1:7" ht="13.2" hidden="1">
      <c r="A356" s="319">
        <v>45304</v>
      </c>
      <c r="B356" s="28" t="s">
        <v>438</v>
      </c>
      <c r="C356" s="143" t="str">
        <f>VLOOKUP(B356,'Danh mục hàng hóa'!$C$3:$D$643,2,0)</f>
        <v>Bao lì xì Tết xanh</v>
      </c>
      <c r="D356" s="144" t="str">
        <f>VLOOKUP(B356,'Danh mục hàng hóa'!$C$3:$E$656,3,0)</f>
        <v>set 6 cái</v>
      </c>
      <c r="E356" s="320">
        <v>6154</v>
      </c>
      <c r="F356" s="317"/>
      <c r="G356" s="313">
        <v>2</v>
      </c>
    </row>
    <row r="357" spans="1:7" ht="13.2" hidden="1">
      <c r="A357" s="319">
        <v>45304</v>
      </c>
      <c r="B357" s="28" t="s">
        <v>2145</v>
      </c>
      <c r="C357" s="143" t="str">
        <f>VLOOKUP(B357,'Danh mục hàng hóa'!$C$3:$D$643,2,0)</f>
        <v>Bao lì xì vui vẻ</v>
      </c>
      <c r="D357" s="144" t="str">
        <f>VLOOKUP(B357,'Danh mục hàng hóa'!$C$3:$E$656,3,0)</f>
        <v>set 6 cái</v>
      </c>
      <c r="E357" s="320">
        <v>6154</v>
      </c>
      <c r="F357" s="317"/>
      <c r="G357" s="313">
        <v>2</v>
      </c>
    </row>
    <row r="358" spans="1:7" ht="13.2" hidden="1">
      <c r="A358" s="319">
        <v>45304</v>
      </c>
      <c r="B358" s="28" t="s">
        <v>1712</v>
      </c>
      <c r="C358" s="143" t="str">
        <f>VLOOKUP(B358,'Danh mục hàng hóa'!$C$3:$D$643,2,0)</f>
        <v>Bao lì xì ngộ nghĩnh</v>
      </c>
      <c r="D358" s="144" t="str">
        <f>VLOOKUP(B358,'Danh mục hàng hóa'!$C$3:$E$656,3,0)</f>
        <v>set 6 cái</v>
      </c>
      <c r="E358" s="320">
        <v>6154</v>
      </c>
      <c r="F358" s="317"/>
      <c r="G358" s="313">
        <v>2</v>
      </c>
    </row>
    <row r="359" spans="1:7" ht="13.2" hidden="1">
      <c r="A359" s="319">
        <v>45304</v>
      </c>
      <c r="B359" s="28" t="s">
        <v>435</v>
      </c>
      <c r="C359" s="143" t="str">
        <f>VLOOKUP(B359,'Danh mục hàng hóa'!$C$3:$D$643,2,0)</f>
        <v>Bao lì xì Tết tài lộc</v>
      </c>
      <c r="D359" s="144" t="str">
        <f>VLOOKUP(B359,'Danh mục hàng hóa'!$C$3:$E$656,3,0)</f>
        <v>set 6 cái</v>
      </c>
      <c r="E359" s="321">
        <f t="shared" ref="E359:E360" si="19">39892/6</f>
        <v>6648.666666666667</v>
      </c>
      <c r="F359" s="317"/>
      <c r="G359" s="313">
        <v>3</v>
      </c>
    </row>
    <row r="360" spans="1:7" ht="13.2" hidden="1">
      <c r="A360" s="319">
        <v>45304</v>
      </c>
      <c r="B360" s="28" t="s">
        <v>440</v>
      </c>
      <c r="C360" s="143" t="str">
        <f>VLOOKUP(B360,'Danh mục hàng hóa'!$C$3:$D$643,2,0)</f>
        <v>Bao lì xì ngộ nghĩnh</v>
      </c>
      <c r="D360" s="144" t="str">
        <f>VLOOKUP(B360,'Danh mục hàng hóa'!$C$3:$E$656,3,0)</f>
        <v>set 6 cái</v>
      </c>
      <c r="E360" s="321">
        <f t="shared" si="19"/>
        <v>6648.666666666667</v>
      </c>
      <c r="F360" s="317"/>
      <c r="G360" s="313">
        <v>3</v>
      </c>
    </row>
    <row r="361" spans="1:7" ht="13.2" hidden="1">
      <c r="A361" s="319">
        <v>45304</v>
      </c>
      <c r="B361" s="28" t="s">
        <v>435</v>
      </c>
      <c r="C361" s="143" t="str">
        <f>VLOOKUP(B361,'Danh mục hàng hóa'!$C$3:$D$643,2,0)</f>
        <v>Bao lì xì Tết tài lộc</v>
      </c>
      <c r="D361" s="144" t="str">
        <f>VLOOKUP(B361,'Danh mục hàng hóa'!$C$3:$E$656,3,0)</f>
        <v>set 6 cái</v>
      </c>
      <c r="E361" s="321">
        <f t="shared" ref="E361:E364" si="20">30800/5</f>
        <v>6160</v>
      </c>
      <c r="F361" s="317"/>
      <c r="G361" s="313">
        <v>1</v>
      </c>
    </row>
    <row r="362" spans="1:7" ht="13.2" hidden="1">
      <c r="A362" s="319">
        <v>45304</v>
      </c>
      <c r="B362" s="28" t="s">
        <v>437</v>
      </c>
      <c r="C362" s="143" t="str">
        <f>VLOOKUP(B362,'Danh mục hàng hóa'!$C$3:$D$643,2,0)</f>
        <v>Bao lì xì Tết hoa</v>
      </c>
      <c r="D362" s="144" t="str">
        <f>VLOOKUP(B362,'Danh mục hàng hóa'!$C$3:$E$656,3,0)</f>
        <v>set 6 cái</v>
      </c>
      <c r="E362" s="321">
        <f t="shared" si="20"/>
        <v>6160</v>
      </c>
      <c r="F362" s="317"/>
      <c r="G362" s="313">
        <v>1</v>
      </c>
    </row>
    <row r="363" spans="1:7" ht="13.2" hidden="1">
      <c r="A363" s="319">
        <v>45304</v>
      </c>
      <c r="B363" s="28" t="s">
        <v>438</v>
      </c>
      <c r="C363" s="143" t="str">
        <f>VLOOKUP(B363,'Danh mục hàng hóa'!$C$3:$D$643,2,0)</f>
        <v>Bao lì xì Tết xanh</v>
      </c>
      <c r="D363" s="144" t="str">
        <f>VLOOKUP(B363,'Danh mục hàng hóa'!$C$3:$E$656,3,0)</f>
        <v>set 6 cái</v>
      </c>
      <c r="E363" s="321">
        <f t="shared" si="20"/>
        <v>6160</v>
      </c>
      <c r="F363" s="317"/>
      <c r="G363" s="313">
        <v>1</v>
      </c>
    </row>
    <row r="364" spans="1:7" ht="13.2" hidden="1">
      <c r="A364" s="319">
        <v>45304</v>
      </c>
      <c r="B364" s="28" t="s">
        <v>2145</v>
      </c>
      <c r="C364" s="143" t="str">
        <f>VLOOKUP(B364,'Danh mục hàng hóa'!$C$3:$D$643,2,0)</f>
        <v>Bao lì xì vui vẻ</v>
      </c>
      <c r="D364" s="144" t="str">
        <f>VLOOKUP(B364,'Danh mục hàng hóa'!$C$3:$E$656,3,0)</f>
        <v>set 6 cái</v>
      </c>
      <c r="E364" s="321">
        <f t="shared" si="20"/>
        <v>6160</v>
      </c>
      <c r="F364" s="317"/>
      <c r="G364" s="313">
        <v>1</v>
      </c>
    </row>
    <row r="365" spans="1:7" ht="13.2" hidden="1">
      <c r="A365" s="319">
        <v>45304</v>
      </c>
      <c r="B365" s="28" t="s">
        <v>435</v>
      </c>
      <c r="C365" s="143" t="str">
        <f>VLOOKUP(B365,'Danh mục hàng hóa'!$C$3:$D$643,2,0)</f>
        <v>Bao lì xì Tết tài lộc</v>
      </c>
      <c r="D365" s="144" t="str">
        <f>VLOOKUP(B365,'Danh mục hàng hóa'!$C$3:$E$656,3,0)</f>
        <v>set 6 cái</v>
      </c>
      <c r="E365" s="321">
        <f t="shared" ref="E365:E369" si="21">61540/10</f>
        <v>6154</v>
      </c>
      <c r="F365" s="317"/>
      <c r="G365" s="313">
        <v>2</v>
      </c>
    </row>
    <row r="366" spans="1:7" ht="13.2" hidden="1">
      <c r="A366" s="319">
        <v>45304</v>
      </c>
      <c r="B366" s="28" t="s">
        <v>437</v>
      </c>
      <c r="C366" s="143" t="str">
        <f>VLOOKUP(B366,'Danh mục hàng hóa'!$C$3:$D$643,2,0)</f>
        <v>Bao lì xì Tết hoa</v>
      </c>
      <c r="D366" s="144" t="str">
        <f>VLOOKUP(B366,'Danh mục hàng hóa'!$C$3:$E$656,3,0)</f>
        <v>set 6 cái</v>
      </c>
      <c r="E366" s="321">
        <f t="shared" si="21"/>
        <v>6154</v>
      </c>
      <c r="F366" s="317"/>
      <c r="G366" s="313">
        <v>2</v>
      </c>
    </row>
    <row r="367" spans="1:7" ht="13.2" hidden="1">
      <c r="A367" s="319">
        <v>45304</v>
      </c>
      <c r="B367" s="28" t="s">
        <v>438</v>
      </c>
      <c r="C367" s="143" t="str">
        <f>VLOOKUP(B367,'Danh mục hàng hóa'!$C$3:$D$643,2,0)</f>
        <v>Bao lì xì Tết xanh</v>
      </c>
      <c r="D367" s="144" t="str">
        <f>VLOOKUP(B367,'Danh mục hàng hóa'!$C$3:$E$656,3,0)</f>
        <v>set 6 cái</v>
      </c>
      <c r="E367" s="321">
        <f t="shared" si="21"/>
        <v>6154</v>
      </c>
      <c r="F367" s="317"/>
      <c r="G367" s="313">
        <v>2</v>
      </c>
    </row>
    <row r="368" spans="1:7" ht="13.2" hidden="1">
      <c r="A368" s="319">
        <v>45304</v>
      </c>
      <c r="B368" s="28" t="s">
        <v>2145</v>
      </c>
      <c r="C368" s="143" t="str">
        <f>VLOOKUP(B368,'Danh mục hàng hóa'!$C$3:$D$643,2,0)</f>
        <v>Bao lì xì vui vẻ</v>
      </c>
      <c r="D368" s="144" t="str">
        <f>VLOOKUP(B368,'Danh mục hàng hóa'!$C$3:$E$656,3,0)</f>
        <v>set 6 cái</v>
      </c>
      <c r="E368" s="321">
        <f t="shared" si="21"/>
        <v>6154</v>
      </c>
      <c r="F368" s="317"/>
      <c r="G368" s="313">
        <v>2</v>
      </c>
    </row>
    <row r="369" spans="1:7" ht="13.2" hidden="1">
      <c r="A369" s="319">
        <v>45304</v>
      </c>
      <c r="B369" s="28" t="s">
        <v>2146</v>
      </c>
      <c r="C369" s="143" t="str">
        <f>VLOOKUP(B369,'Danh mục hàng hóa'!$C$3:$D$643,2,0)</f>
        <v>Bao lì xì ngộ nghĩnh</v>
      </c>
      <c r="D369" s="144" t="str">
        <f>VLOOKUP(B369,'Danh mục hàng hóa'!$C$3:$E$656,3,0)</f>
        <v>set 6 cái</v>
      </c>
      <c r="E369" s="321">
        <f t="shared" si="21"/>
        <v>6154</v>
      </c>
      <c r="F369" s="317"/>
      <c r="G369" s="313">
        <v>2</v>
      </c>
    </row>
    <row r="370" spans="1:7" ht="13.2" hidden="1">
      <c r="A370" s="319">
        <v>45305</v>
      </c>
      <c r="B370" s="28" t="s">
        <v>435</v>
      </c>
      <c r="C370" s="143" t="str">
        <f>VLOOKUP(B370,'Danh mục hàng hóa'!$C$3:$D$643,2,0)</f>
        <v>Bao lì xì Tết tài lộc</v>
      </c>
      <c r="D370" s="144" t="str">
        <f>VLOOKUP(B370,'Danh mục hàng hóa'!$C$3:$E$656,3,0)</f>
        <v>set 6 cái</v>
      </c>
      <c r="E370" s="321">
        <f t="shared" ref="E370:E374" si="22">30660/5</f>
        <v>6132</v>
      </c>
      <c r="F370" s="317"/>
      <c r="G370" s="313">
        <v>1</v>
      </c>
    </row>
    <row r="371" spans="1:7" ht="13.2" hidden="1">
      <c r="A371" s="319">
        <v>45305</v>
      </c>
      <c r="B371" s="28" t="s">
        <v>437</v>
      </c>
      <c r="C371" s="143" t="str">
        <f>VLOOKUP(B371,'Danh mục hàng hóa'!$C$3:$D$643,2,0)</f>
        <v>Bao lì xì Tết hoa</v>
      </c>
      <c r="D371" s="144" t="str">
        <f>VLOOKUP(B371,'Danh mục hàng hóa'!$C$3:$E$656,3,0)</f>
        <v>set 6 cái</v>
      </c>
      <c r="E371" s="321">
        <f t="shared" si="22"/>
        <v>6132</v>
      </c>
      <c r="F371" s="317"/>
      <c r="G371" s="313">
        <v>1</v>
      </c>
    </row>
    <row r="372" spans="1:7" ht="13.2" hidden="1">
      <c r="A372" s="319">
        <v>45305</v>
      </c>
      <c r="B372" s="28" t="s">
        <v>438</v>
      </c>
      <c r="C372" s="143" t="str">
        <f>VLOOKUP(B372,'Danh mục hàng hóa'!$C$3:$D$643,2,0)</f>
        <v>Bao lì xì Tết xanh</v>
      </c>
      <c r="D372" s="144" t="str">
        <f>VLOOKUP(B372,'Danh mục hàng hóa'!$C$3:$E$656,3,0)</f>
        <v>set 6 cái</v>
      </c>
      <c r="E372" s="321">
        <f t="shared" si="22"/>
        <v>6132</v>
      </c>
      <c r="F372" s="317"/>
      <c r="G372" s="313">
        <v>1</v>
      </c>
    </row>
    <row r="373" spans="1:7" ht="13.2" hidden="1">
      <c r="A373" s="319">
        <v>45305</v>
      </c>
      <c r="B373" s="28" t="s">
        <v>2145</v>
      </c>
      <c r="C373" s="143" t="str">
        <f>VLOOKUP(B373,'Danh mục hàng hóa'!$C$3:$D$643,2,0)</f>
        <v>Bao lì xì vui vẻ</v>
      </c>
      <c r="D373" s="144" t="str">
        <f>VLOOKUP(B373,'Danh mục hàng hóa'!$C$3:$E$656,3,0)</f>
        <v>set 6 cái</v>
      </c>
      <c r="E373" s="321">
        <f t="shared" si="22"/>
        <v>6132</v>
      </c>
      <c r="F373" s="317"/>
      <c r="G373" s="313">
        <v>1</v>
      </c>
    </row>
    <row r="374" spans="1:7" ht="13.2" hidden="1">
      <c r="A374" s="319">
        <v>45305</v>
      </c>
      <c r="B374" s="28" t="s">
        <v>2146</v>
      </c>
      <c r="C374" s="143" t="str">
        <f>VLOOKUP(B374,'Danh mục hàng hóa'!$C$3:$D$643,2,0)</f>
        <v>Bao lì xì ngộ nghĩnh</v>
      </c>
      <c r="D374" s="144" t="str">
        <f>VLOOKUP(B374,'Danh mục hàng hóa'!$C$3:$E$656,3,0)</f>
        <v>set 6 cái</v>
      </c>
      <c r="E374" s="321">
        <f t="shared" si="22"/>
        <v>6132</v>
      </c>
      <c r="F374" s="317"/>
      <c r="G374" s="313">
        <v>1</v>
      </c>
    </row>
    <row r="375" spans="1:7" ht="13.2" hidden="1">
      <c r="A375" s="319">
        <v>45305</v>
      </c>
      <c r="B375" s="28" t="s">
        <v>435</v>
      </c>
      <c r="C375" s="143" t="str">
        <f>VLOOKUP(B375,'Danh mục hàng hóa'!$C$3:$D$643,2,0)</f>
        <v>Bao lì xì Tết tài lộc</v>
      </c>
      <c r="D375" s="144" t="str">
        <f>VLOOKUP(B375,'Danh mục hàng hóa'!$C$3:$E$656,3,0)</f>
        <v>set 6 cái</v>
      </c>
      <c r="E375" s="321">
        <f t="shared" ref="E375:E379" si="23">30800/5</f>
        <v>6160</v>
      </c>
      <c r="F375" s="317"/>
      <c r="G375" s="313">
        <v>1</v>
      </c>
    </row>
    <row r="376" spans="1:7" ht="13.2" hidden="1">
      <c r="A376" s="319">
        <v>45305</v>
      </c>
      <c r="B376" s="28" t="s">
        <v>437</v>
      </c>
      <c r="C376" s="143" t="str">
        <f>VLOOKUP(B376,'Danh mục hàng hóa'!$C$3:$D$643,2,0)</f>
        <v>Bao lì xì Tết hoa</v>
      </c>
      <c r="D376" s="144" t="str">
        <f>VLOOKUP(B376,'Danh mục hàng hóa'!$C$3:$E$656,3,0)</f>
        <v>set 6 cái</v>
      </c>
      <c r="E376" s="321">
        <f t="shared" si="23"/>
        <v>6160</v>
      </c>
      <c r="F376" s="317"/>
      <c r="G376" s="313">
        <v>1</v>
      </c>
    </row>
    <row r="377" spans="1:7" ht="13.2" hidden="1">
      <c r="A377" s="319">
        <v>45305</v>
      </c>
      <c r="B377" s="28" t="s">
        <v>438</v>
      </c>
      <c r="C377" s="143" t="str">
        <f>VLOOKUP(B377,'Danh mục hàng hóa'!$C$3:$D$643,2,0)</f>
        <v>Bao lì xì Tết xanh</v>
      </c>
      <c r="D377" s="144" t="str">
        <f>VLOOKUP(B377,'Danh mục hàng hóa'!$C$3:$E$656,3,0)</f>
        <v>set 6 cái</v>
      </c>
      <c r="E377" s="321">
        <f t="shared" si="23"/>
        <v>6160</v>
      </c>
      <c r="F377" s="317"/>
      <c r="G377" s="313">
        <v>1</v>
      </c>
    </row>
    <row r="378" spans="1:7" ht="13.2" hidden="1">
      <c r="A378" s="319">
        <v>45305</v>
      </c>
      <c r="B378" s="28" t="s">
        <v>2145</v>
      </c>
      <c r="C378" s="143" t="str">
        <f>VLOOKUP(B378,'Danh mục hàng hóa'!$C$3:$D$643,2,0)</f>
        <v>Bao lì xì vui vẻ</v>
      </c>
      <c r="D378" s="144" t="str">
        <f>VLOOKUP(B378,'Danh mục hàng hóa'!$C$3:$E$656,3,0)</f>
        <v>set 6 cái</v>
      </c>
      <c r="E378" s="321">
        <f t="shared" si="23"/>
        <v>6160</v>
      </c>
      <c r="F378" s="317"/>
      <c r="G378" s="313">
        <v>1</v>
      </c>
    </row>
    <row r="379" spans="1:7" ht="13.2" hidden="1">
      <c r="A379" s="319">
        <v>45305</v>
      </c>
      <c r="B379" s="28" t="s">
        <v>2146</v>
      </c>
      <c r="C379" s="143" t="str">
        <f>VLOOKUP(B379,'Danh mục hàng hóa'!$C$3:$D$643,2,0)</f>
        <v>Bao lì xì ngộ nghĩnh</v>
      </c>
      <c r="D379" s="144" t="str">
        <f>VLOOKUP(B379,'Danh mục hàng hóa'!$C$3:$E$656,3,0)</f>
        <v>set 6 cái</v>
      </c>
      <c r="E379" s="321">
        <f t="shared" si="23"/>
        <v>6160</v>
      </c>
      <c r="F379" s="317"/>
      <c r="G379" s="313">
        <v>1</v>
      </c>
    </row>
    <row r="380" spans="1:7" ht="13.2" hidden="1">
      <c r="A380" s="319">
        <v>45305</v>
      </c>
      <c r="B380" s="28" t="s">
        <v>2146</v>
      </c>
      <c r="C380" s="143" t="str">
        <f>VLOOKUP(B380,'Danh mục hàng hóa'!$C$3:$D$643,2,0)</f>
        <v>Bao lì xì ngộ nghĩnh</v>
      </c>
      <c r="D380" s="144" t="str">
        <f>VLOOKUP(B380,'Danh mục hàng hóa'!$C$3:$E$656,3,0)</f>
        <v>set 6 cái</v>
      </c>
      <c r="E380" s="321">
        <f>29580/4</f>
        <v>7395</v>
      </c>
      <c r="F380" s="317"/>
      <c r="G380" s="313">
        <v>4</v>
      </c>
    </row>
    <row r="381" spans="1:7" ht="13.2" hidden="1">
      <c r="A381" s="319">
        <v>45305</v>
      </c>
      <c r="B381" s="28" t="s">
        <v>405</v>
      </c>
      <c r="C381" s="143" t="str">
        <f>VLOOKUP(B381,'Danh mục hàng hóa'!$C$3:$D$643,2,0)</f>
        <v>Túi chườm bụng dâu xanh nhạt 1000ml</v>
      </c>
      <c r="D381" s="144" t="str">
        <f>VLOOKUP(B381,'Danh mục hàng hóa'!$C$3:$E$656,3,0)</f>
        <v>túi</v>
      </c>
      <c r="E381" s="320">
        <v>81868</v>
      </c>
      <c r="F381" s="317"/>
      <c r="G381" s="313">
        <v>1</v>
      </c>
    </row>
    <row r="382" spans="1:7" ht="13.2" hidden="1">
      <c r="A382" s="319">
        <v>45306</v>
      </c>
      <c r="B382" s="28" t="s">
        <v>431</v>
      </c>
      <c r="C382" s="143" t="str">
        <f>VLOOKUP(B382,'Danh mục hàng hóa'!$C$3:$D$643,2,0)</f>
        <v>Bao lì xì rồng con</v>
      </c>
      <c r="D382" s="144" t="str">
        <f>VLOOKUP(B382,'Danh mục hàng hóa'!$C$3:$E$656,3,0)</f>
        <v>túi 4 cái</v>
      </c>
      <c r="E382" s="320">
        <v>7000</v>
      </c>
      <c r="F382" s="317"/>
      <c r="G382" s="313">
        <v>1</v>
      </c>
    </row>
    <row r="383" spans="1:7" ht="13.2" hidden="1">
      <c r="A383" s="319">
        <v>45306</v>
      </c>
      <c r="B383" s="28" t="s">
        <v>438</v>
      </c>
      <c r="C383" s="143" t="str">
        <f>VLOOKUP(B383,'Danh mục hàng hóa'!$C$3:$D$643,2,0)</f>
        <v>Bao lì xì Tết xanh</v>
      </c>
      <c r="D383" s="144" t="str">
        <f>VLOOKUP(B383,'Danh mục hàng hóa'!$C$3:$E$656,3,0)</f>
        <v>set 6 cái</v>
      </c>
      <c r="E383" s="320">
        <v>7000</v>
      </c>
      <c r="F383" s="317"/>
      <c r="G383" s="313">
        <v>2</v>
      </c>
    </row>
    <row r="384" spans="1:7" ht="13.2" hidden="1">
      <c r="A384" s="319">
        <v>45306</v>
      </c>
      <c r="B384" s="28" t="s">
        <v>439</v>
      </c>
      <c r="C384" s="143" t="str">
        <f>VLOOKUP(B384,'Danh mục hàng hóa'!$C$3:$D$643,2,0)</f>
        <v>Bao lì xì vui vẻ</v>
      </c>
      <c r="D384" s="144" t="str">
        <f>VLOOKUP(B384,'Danh mục hàng hóa'!$C$3:$E$656,3,0)</f>
        <v>set 6 cái</v>
      </c>
      <c r="E384" s="320">
        <v>7000</v>
      </c>
      <c r="F384" s="317"/>
      <c r="G384" s="313">
        <v>2</v>
      </c>
    </row>
    <row r="385" spans="1:7" ht="13.2" hidden="1">
      <c r="A385" s="319">
        <v>45306</v>
      </c>
      <c r="B385" s="28" t="s">
        <v>560</v>
      </c>
      <c r="C385" s="143" t="str">
        <f>VLOOKUP(B385,'Danh mục hàng hóa'!$C$3:$D$643,2,0)</f>
        <v>Ống 50 dây cột tóc nhiều màu</v>
      </c>
      <c r="D385" s="144" t="str">
        <f>VLOOKUP(B385,'Danh mục hàng hóa'!$C$3:$E$656,3,0)</f>
        <v>ống</v>
      </c>
      <c r="E385" s="321">
        <f>53680-35000</f>
        <v>18680</v>
      </c>
      <c r="F385" s="317"/>
      <c r="G385" s="313">
        <v>1</v>
      </c>
    </row>
    <row r="386" spans="1:7" ht="13.2" hidden="1">
      <c r="A386" s="319">
        <v>45306</v>
      </c>
      <c r="B386" s="28" t="s">
        <v>435</v>
      </c>
      <c r="C386" s="143" t="str">
        <f>VLOOKUP(B386,'Danh mục hàng hóa'!$C$3:$D$643,2,0)</f>
        <v>Bao lì xì Tết tài lộc</v>
      </c>
      <c r="D386" s="144" t="str">
        <f>VLOOKUP(B386,'Danh mục hàng hóa'!$C$3:$E$656,3,0)</f>
        <v>set 6 cái</v>
      </c>
      <c r="E386" s="320">
        <v>6154</v>
      </c>
      <c r="F386" s="317"/>
      <c r="G386" s="313">
        <v>2</v>
      </c>
    </row>
    <row r="387" spans="1:7" ht="13.2" hidden="1">
      <c r="A387" s="319">
        <v>45306</v>
      </c>
      <c r="B387" s="28" t="s">
        <v>437</v>
      </c>
      <c r="C387" s="143" t="str">
        <f>VLOOKUP(B387,'Danh mục hàng hóa'!$C$3:$D$643,2,0)</f>
        <v>Bao lì xì Tết hoa</v>
      </c>
      <c r="D387" s="144" t="str">
        <f>VLOOKUP(B387,'Danh mục hàng hóa'!$C$3:$E$656,3,0)</f>
        <v>set 6 cái</v>
      </c>
      <c r="E387" s="320">
        <v>6154</v>
      </c>
      <c r="F387" s="317"/>
      <c r="G387" s="313">
        <v>2</v>
      </c>
    </row>
    <row r="388" spans="1:7" ht="13.2" hidden="1">
      <c r="A388" s="319">
        <v>45306</v>
      </c>
      <c r="B388" s="28" t="s">
        <v>438</v>
      </c>
      <c r="C388" s="143" t="str">
        <f>VLOOKUP(B388,'Danh mục hàng hóa'!$C$3:$D$643,2,0)</f>
        <v>Bao lì xì Tết xanh</v>
      </c>
      <c r="D388" s="144" t="str">
        <f>VLOOKUP(B388,'Danh mục hàng hóa'!$C$3:$E$656,3,0)</f>
        <v>set 6 cái</v>
      </c>
      <c r="E388" s="320">
        <v>6154</v>
      </c>
      <c r="F388" s="317"/>
      <c r="G388" s="313">
        <v>2</v>
      </c>
    </row>
    <row r="389" spans="1:7" ht="13.2" hidden="1">
      <c r="A389" s="319">
        <v>45306</v>
      </c>
      <c r="B389" s="28" t="s">
        <v>2145</v>
      </c>
      <c r="C389" s="143" t="str">
        <f>VLOOKUP(B389,'Danh mục hàng hóa'!$C$3:$D$643,2,0)</f>
        <v>Bao lì xì vui vẻ</v>
      </c>
      <c r="D389" s="144" t="str">
        <f>VLOOKUP(B389,'Danh mục hàng hóa'!$C$3:$E$656,3,0)</f>
        <v>set 6 cái</v>
      </c>
      <c r="E389" s="320">
        <v>6154</v>
      </c>
      <c r="F389" s="317"/>
      <c r="G389" s="313">
        <v>2</v>
      </c>
    </row>
    <row r="390" spans="1:7" ht="13.2" hidden="1">
      <c r="A390" s="319">
        <v>45306</v>
      </c>
      <c r="B390" s="28" t="s">
        <v>2146</v>
      </c>
      <c r="C390" s="143" t="str">
        <f>VLOOKUP(B390,'Danh mục hàng hóa'!$C$3:$D$643,2,0)</f>
        <v>Bao lì xì ngộ nghĩnh</v>
      </c>
      <c r="D390" s="144" t="str">
        <f>VLOOKUP(B390,'Danh mục hàng hóa'!$C$3:$E$656,3,0)</f>
        <v>set 6 cái</v>
      </c>
      <c r="E390" s="320">
        <v>6154</v>
      </c>
      <c r="F390" s="317"/>
      <c r="G390" s="313">
        <v>2</v>
      </c>
    </row>
    <row r="391" spans="1:7" ht="13.2" hidden="1">
      <c r="A391" s="319">
        <v>45306</v>
      </c>
      <c r="B391" s="28" t="s">
        <v>435</v>
      </c>
      <c r="C391" s="143" t="str">
        <f>VLOOKUP(B391,'Danh mục hàng hóa'!$C$3:$D$643,2,0)</f>
        <v>Bao lì xì Tết tài lộc</v>
      </c>
      <c r="D391" s="144" t="str">
        <f>VLOOKUP(B391,'Danh mục hàng hóa'!$C$3:$E$656,3,0)</f>
        <v>set 6 cái</v>
      </c>
      <c r="E391" s="321">
        <f t="shared" ref="E391:E395" si="24">30740/5</f>
        <v>6148</v>
      </c>
      <c r="F391" s="317"/>
      <c r="G391" s="313">
        <v>1</v>
      </c>
    </row>
    <row r="392" spans="1:7" ht="13.2" hidden="1">
      <c r="A392" s="319">
        <v>45306</v>
      </c>
      <c r="B392" s="28" t="s">
        <v>437</v>
      </c>
      <c r="C392" s="143" t="str">
        <f>VLOOKUP(B392,'Danh mục hàng hóa'!$C$3:$D$643,2,0)</f>
        <v>Bao lì xì Tết hoa</v>
      </c>
      <c r="D392" s="144" t="str">
        <f>VLOOKUP(B392,'Danh mục hàng hóa'!$C$3:$E$656,3,0)</f>
        <v>set 6 cái</v>
      </c>
      <c r="E392" s="321">
        <f t="shared" si="24"/>
        <v>6148</v>
      </c>
      <c r="F392" s="317"/>
      <c r="G392" s="313">
        <v>1</v>
      </c>
    </row>
    <row r="393" spans="1:7" ht="13.2" hidden="1">
      <c r="A393" s="319">
        <v>45306</v>
      </c>
      <c r="B393" s="28" t="s">
        <v>438</v>
      </c>
      <c r="C393" s="143" t="str">
        <f>VLOOKUP(B393,'Danh mục hàng hóa'!$C$3:$D$643,2,0)</f>
        <v>Bao lì xì Tết xanh</v>
      </c>
      <c r="D393" s="144" t="str">
        <f>VLOOKUP(B393,'Danh mục hàng hóa'!$C$3:$E$656,3,0)</f>
        <v>set 6 cái</v>
      </c>
      <c r="E393" s="321">
        <f t="shared" si="24"/>
        <v>6148</v>
      </c>
      <c r="F393" s="317"/>
      <c r="G393" s="313">
        <v>1</v>
      </c>
    </row>
    <row r="394" spans="1:7" ht="13.2" hidden="1">
      <c r="A394" s="319">
        <v>45306</v>
      </c>
      <c r="B394" s="28" t="s">
        <v>2145</v>
      </c>
      <c r="C394" s="143" t="str">
        <f>VLOOKUP(B394,'Danh mục hàng hóa'!$C$3:$D$643,2,0)</f>
        <v>Bao lì xì vui vẻ</v>
      </c>
      <c r="D394" s="144" t="str">
        <f>VLOOKUP(B394,'Danh mục hàng hóa'!$C$3:$E$656,3,0)</f>
        <v>set 6 cái</v>
      </c>
      <c r="E394" s="321">
        <f t="shared" si="24"/>
        <v>6148</v>
      </c>
      <c r="F394" s="317"/>
      <c r="G394" s="313">
        <v>1</v>
      </c>
    </row>
    <row r="395" spans="1:7" ht="13.2" hidden="1">
      <c r="A395" s="319">
        <v>45306</v>
      </c>
      <c r="B395" s="28" t="s">
        <v>2146</v>
      </c>
      <c r="C395" s="143" t="str">
        <f>VLOOKUP(B395,'Danh mục hàng hóa'!$C$3:$D$643,2,0)</f>
        <v>Bao lì xì ngộ nghĩnh</v>
      </c>
      <c r="D395" s="144" t="str">
        <f>VLOOKUP(B395,'Danh mục hàng hóa'!$C$3:$E$656,3,0)</f>
        <v>set 6 cái</v>
      </c>
      <c r="E395" s="321">
        <f t="shared" si="24"/>
        <v>6148</v>
      </c>
      <c r="F395" s="317"/>
      <c r="G395" s="313">
        <v>1</v>
      </c>
    </row>
    <row r="396" spans="1:7" ht="13.2" hidden="1">
      <c r="A396" s="319">
        <v>45306</v>
      </c>
      <c r="B396" s="28" t="s">
        <v>435</v>
      </c>
      <c r="C396" s="143" t="str">
        <f>VLOOKUP(B396,'Danh mục hàng hóa'!$C$3:$D$643,2,0)</f>
        <v>Bao lì xì Tết tài lộc</v>
      </c>
      <c r="D396" s="144" t="str">
        <f>VLOOKUP(B396,'Danh mục hàng hóa'!$C$3:$E$656,3,0)</f>
        <v>set 6 cái</v>
      </c>
      <c r="E396" s="321">
        <f t="shared" ref="E396:E400" si="25">36884/6</f>
        <v>6147.333333333333</v>
      </c>
      <c r="F396" s="317"/>
      <c r="G396" s="313">
        <v>1</v>
      </c>
    </row>
    <row r="397" spans="1:7" ht="13.2" hidden="1">
      <c r="A397" s="319">
        <v>45306</v>
      </c>
      <c r="B397" s="28" t="s">
        <v>437</v>
      </c>
      <c r="C397" s="143" t="str">
        <f>VLOOKUP(B397,'Danh mục hàng hóa'!$C$3:$D$643,2,0)</f>
        <v>Bao lì xì Tết hoa</v>
      </c>
      <c r="D397" s="144" t="str">
        <f>VLOOKUP(B397,'Danh mục hàng hóa'!$C$3:$E$656,3,0)</f>
        <v>set 6 cái</v>
      </c>
      <c r="E397" s="321">
        <f t="shared" si="25"/>
        <v>6147.333333333333</v>
      </c>
      <c r="F397" s="317"/>
      <c r="G397" s="313">
        <v>1</v>
      </c>
    </row>
    <row r="398" spans="1:7" ht="13.2" hidden="1">
      <c r="A398" s="319">
        <v>45306</v>
      </c>
      <c r="B398" s="28" t="s">
        <v>438</v>
      </c>
      <c r="C398" s="143" t="str">
        <f>VLOOKUP(B398,'Danh mục hàng hóa'!$C$3:$D$643,2,0)</f>
        <v>Bao lì xì Tết xanh</v>
      </c>
      <c r="D398" s="144" t="str">
        <f>VLOOKUP(B398,'Danh mục hàng hóa'!$C$3:$E$656,3,0)</f>
        <v>set 6 cái</v>
      </c>
      <c r="E398" s="321">
        <f t="shared" si="25"/>
        <v>6147.333333333333</v>
      </c>
      <c r="F398" s="317"/>
      <c r="G398" s="313">
        <v>1</v>
      </c>
    </row>
    <row r="399" spans="1:7" ht="13.2" hidden="1">
      <c r="A399" s="319">
        <v>45306</v>
      </c>
      <c r="B399" s="28" t="s">
        <v>2145</v>
      </c>
      <c r="C399" s="143" t="str">
        <f>VLOOKUP(B399,'Danh mục hàng hóa'!$C$3:$D$643,2,0)</f>
        <v>Bao lì xì vui vẻ</v>
      </c>
      <c r="D399" s="144" t="str">
        <f>VLOOKUP(B399,'Danh mục hàng hóa'!$C$3:$E$656,3,0)</f>
        <v>set 6 cái</v>
      </c>
      <c r="E399" s="321">
        <f t="shared" si="25"/>
        <v>6147.333333333333</v>
      </c>
      <c r="F399" s="317"/>
      <c r="G399" s="313">
        <v>2</v>
      </c>
    </row>
    <row r="400" spans="1:7" ht="13.2" hidden="1">
      <c r="A400" s="319">
        <v>45306</v>
      </c>
      <c r="B400" s="28" t="s">
        <v>2146</v>
      </c>
      <c r="C400" s="143" t="str">
        <f>VLOOKUP(B400,'Danh mục hàng hóa'!$C$3:$D$643,2,0)</f>
        <v>Bao lì xì ngộ nghĩnh</v>
      </c>
      <c r="D400" s="144" t="str">
        <f>VLOOKUP(B400,'Danh mục hàng hóa'!$C$3:$E$656,3,0)</f>
        <v>set 6 cái</v>
      </c>
      <c r="E400" s="321">
        <f t="shared" si="25"/>
        <v>6147.333333333333</v>
      </c>
      <c r="F400" s="317"/>
      <c r="G400" s="313">
        <v>1</v>
      </c>
    </row>
    <row r="401" spans="1:7" ht="13.2" hidden="1">
      <c r="A401" s="319">
        <v>45306</v>
      </c>
      <c r="B401" s="28" t="s">
        <v>435</v>
      </c>
      <c r="C401" s="143" t="str">
        <f>VLOOKUP(B401,'Danh mục hàng hóa'!$C$3:$D$643,2,0)</f>
        <v>Bao lì xì Tết tài lộc</v>
      </c>
      <c r="D401" s="144" t="str">
        <f>VLOOKUP(B401,'Danh mục hàng hóa'!$C$3:$E$656,3,0)</f>
        <v>set 6 cái</v>
      </c>
      <c r="E401" s="321">
        <f t="shared" ref="E401:E404" si="26">57552/8</f>
        <v>7194</v>
      </c>
      <c r="F401" s="317"/>
      <c r="G401" s="313">
        <v>2</v>
      </c>
    </row>
    <row r="402" spans="1:7" ht="13.2" hidden="1">
      <c r="A402" s="319">
        <v>45306</v>
      </c>
      <c r="B402" s="28" t="s">
        <v>437</v>
      </c>
      <c r="C402" s="143" t="str">
        <f>VLOOKUP(B402,'Danh mục hàng hóa'!$C$3:$D$643,2,0)</f>
        <v>Bao lì xì Tết hoa</v>
      </c>
      <c r="D402" s="144" t="str">
        <f>VLOOKUP(B402,'Danh mục hàng hóa'!$C$3:$E$656,3,0)</f>
        <v>set 6 cái</v>
      </c>
      <c r="E402" s="321">
        <f t="shared" si="26"/>
        <v>7194</v>
      </c>
      <c r="F402" s="317"/>
      <c r="G402" s="313">
        <v>1</v>
      </c>
    </row>
    <row r="403" spans="1:7" ht="13.2" hidden="1">
      <c r="A403" s="319">
        <v>45306</v>
      </c>
      <c r="B403" s="28" t="s">
        <v>2145</v>
      </c>
      <c r="C403" s="143" t="str">
        <f>VLOOKUP(B403,'Danh mục hàng hóa'!$C$3:$D$643,2,0)</f>
        <v>Bao lì xì vui vẻ</v>
      </c>
      <c r="D403" s="144" t="str">
        <f>VLOOKUP(B403,'Danh mục hàng hóa'!$C$3:$E$656,3,0)</f>
        <v>set 6 cái</v>
      </c>
      <c r="E403" s="321">
        <f t="shared" si="26"/>
        <v>7194</v>
      </c>
      <c r="F403" s="317"/>
      <c r="G403" s="313">
        <v>3</v>
      </c>
    </row>
    <row r="404" spans="1:7" ht="13.2" hidden="1">
      <c r="A404" s="319">
        <v>45306</v>
      </c>
      <c r="B404" s="28" t="s">
        <v>2146</v>
      </c>
      <c r="C404" s="143" t="str">
        <f>VLOOKUP(B404,'Danh mục hàng hóa'!$C$3:$D$643,2,0)</f>
        <v>Bao lì xì ngộ nghĩnh</v>
      </c>
      <c r="D404" s="144" t="str">
        <f>VLOOKUP(B404,'Danh mục hàng hóa'!$C$3:$E$656,3,0)</f>
        <v>set 6 cái</v>
      </c>
      <c r="E404" s="321">
        <f t="shared" si="26"/>
        <v>7194</v>
      </c>
      <c r="F404" s="317"/>
      <c r="G404" s="313">
        <v>2</v>
      </c>
    </row>
    <row r="405" spans="1:7" ht="13.2" hidden="1">
      <c r="A405" s="319">
        <v>45306</v>
      </c>
      <c r="B405" s="28" t="s">
        <v>907</v>
      </c>
      <c r="C405" s="143" t="str">
        <f>VLOOKUP(B405,'Danh mục hàng hóa'!$C$3:$D$643,2,0)</f>
        <v>Cáo gắn xe</v>
      </c>
      <c r="D405" s="144" t="str">
        <f>VLOOKUP(B405,'Danh mục hàng hóa'!$C$3:$E$656,3,0)</f>
        <v>cái</v>
      </c>
      <c r="E405" s="321">
        <v>20605</v>
      </c>
      <c r="F405" s="313">
        <v>4</v>
      </c>
      <c r="G405" s="317"/>
    </row>
    <row r="406" spans="1:7" ht="13.2" hidden="1">
      <c r="A406" s="319">
        <v>45306</v>
      </c>
      <c r="B406" s="28" t="s">
        <v>909</v>
      </c>
      <c r="C406" s="143" t="str">
        <f>VLOOKUP(B406,'Danh mục hàng hóa'!$C$3:$D$643,2,0)</f>
        <v>Gấu trúc gắn xe</v>
      </c>
      <c r="D406" s="144" t="str">
        <f>VLOOKUP(B406,'Danh mục hàng hóa'!$C$3:$E$656,3,0)</f>
        <v>cái</v>
      </c>
      <c r="E406" s="321">
        <v>20605</v>
      </c>
      <c r="F406" s="313">
        <v>4</v>
      </c>
      <c r="G406" s="317"/>
    </row>
    <row r="407" spans="1:7" ht="13.2" hidden="1">
      <c r="A407" s="319">
        <v>45306</v>
      </c>
      <c r="B407" s="28" t="s">
        <v>911</v>
      </c>
      <c r="C407" s="143" t="str">
        <f>VLOOKUP(B407,'Danh mục hàng hóa'!$C$3:$D$643,2,0)</f>
        <v>Gấu nâu gắn xe</v>
      </c>
      <c r="D407" s="144" t="str">
        <f>VLOOKUP(B407,'Danh mục hàng hóa'!$C$3:$E$656,3,0)</f>
        <v>cái</v>
      </c>
      <c r="E407" s="321">
        <v>20605</v>
      </c>
      <c r="F407" s="313">
        <v>4</v>
      </c>
      <c r="G407" s="317"/>
    </row>
    <row r="408" spans="1:7" ht="13.2" hidden="1">
      <c r="A408" s="319">
        <v>45306</v>
      </c>
      <c r="B408" s="28" t="s">
        <v>2147</v>
      </c>
      <c r="C408" s="143" t="e">
        <f>VLOOKUP(B408,'Danh mục hàng hóa'!$C$3:$D$643,2,0)</f>
        <v>#N/A</v>
      </c>
      <c r="D408" s="144" t="e">
        <f>VLOOKUP(B408,'Danh mục hàng hóa'!$C$3:$E$656,3,0)</f>
        <v>#N/A</v>
      </c>
      <c r="E408" s="321">
        <v>20605</v>
      </c>
      <c r="F408" s="313">
        <v>3</v>
      </c>
      <c r="G408" s="317"/>
    </row>
    <row r="409" spans="1:7" ht="13.2" hidden="1">
      <c r="A409" s="319">
        <v>45306</v>
      </c>
      <c r="B409" s="28" t="s">
        <v>913</v>
      </c>
      <c r="C409" s="143" t="str">
        <f>VLOOKUP(B409,'Danh mục hàng hóa'!$C$3:$D$643,2,0)</f>
        <v>Thỏ máy bay gắn xe</v>
      </c>
      <c r="D409" s="144" t="str">
        <f>VLOOKUP(B409,'Danh mục hàng hóa'!$C$3:$E$656,3,0)</f>
        <v>cái</v>
      </c>
      <c r="E409" s="321">
        <v>20605</v>
      </c>
      <c r="F409" s="313">
        <v>4</v>
      </c>
      <c r="G409" s="317"/>
    </row>
    <row r="410" spans="1:7" ht="13.2" hidden="1">
      <c r="A410" s="319">
        <v>45306</v>
      </c>
      <c r="B410" s="28" t="s">
        <v>915</v>
      </c>
      <c r="C410" s="143" t="str">
        <f>VLOOKUP(B410,'Danh mục hàng hóa'!$C$3:$D$643,2,0)</f>
        <v>Thỏ chạy xe gắn xe</v>
      </c>
      <c r="D410" s="144" t="str">
        <f>VLOOKUP(B410,'Danh mục hàng hóa'!$C$3:$E$656,3,0)</f>
        <v>cái</v>
      </c>
      <c r="E410" s="321">
        <v>20605</v>
      </c>
      <c r="F410" s="313">
        <v>4</v>
      </c>
      <c r="G410" s="317"/>
    </row>
    <row r="411" spans="1:7" ht="13.2" hidden="1">
      <c r="A411" s="319">
        <v>45306</v>
      </c>
      <c r="B411" s="28" t="s">
        <v>917</v>
      </c>
      <c r="C411" s="143" t="str">
        <f>VLOOKUP(B411,'Danh mục hàng hóa'!$C$3:$D$643,2,0)</f>
        <v>Thỏ đi vịt gắn xe</v>
      </c>
      <c r="D411" s="144" t="str">
        <f>VLOOKUP(B411,'Danh mục hàng hóa'!$C$3:$E$656,3,0)</f>
        <v>cái</v>
      </c>
      <c r="E411" s="321">
        <v>20605</v>
      </c>
      <c r="F411" s="313">
        <v>4</v>
      </c>
      <c r="G411" s="317"/>
    </row>
    <row r="412" spans="1:7" ht="13.2" hidden="1">
      <c r="A412" s="319">
        <v>45306</v>
      </c>
      <c r="B412" s="28" t="s">
        <v>977</v>
      </c>
      <c r="C412" s="143" t="str">
        <f>VLOOKUP(B412,'Danh mục hàng hóa'!$C$3:$D$643,2,0)</f>
        <v>Móc khóa đôi heo</v>
      </c>
      <c r="D412" s="144" t="str">
        <f>VLOOKUP(B412,'Danh mục hàng hóa'!$C$3:$E$656,3,0)</f>
        <v>cái</v>
      </c>
      <c r="E412" s="321">
        <v>25168</v>
      </c>
      <c r="F412" s="313">
        <v>8</v>
      </c>
      <c r="G412" s="317"/>
    </row>
    <row r="413" spans="1:7" ht="13.2" hidden="1">
      <c r="A413" s="319">
        <v>45306</v>
      </c>
      <c r="B413" s="28" t="s">
        <v>979</v>
      </c>
      <c r="C413" s="143" t="str">
        <f>VLOOKUP(B413,'Danh mục hàng hóa'!$C$3:$D$643,2,0)</f>
        <v>Móc khóa đôi thỏ cà rốt</v>
      </c>
      <c r="D413" s="144" t="str">
        <f>VLOOKUP(B413,'Danh mục hàng hóa'!$C$3:$E$656,3,0)</f>
        <v>cái</v>
      </c>
      <c r="E413" s="321">
        <v>21658</v>
      </c>
      <c r="F413" s="313">
        <v>3</v>
      </c>
      <c r="G413" s="317"/>
    </row>
    <row r="414" spans="1:7" ht="13.2" hidden="1">
      <c r="A414" s="319">
        <v>45306</v>
      </c>
      <c r="B414" s="28" t="s">
        <v>981</v>
      </c>
      <c r="C414" s="143" t="str">
        <f>VLOOKUP(B414,'Danh mục hàng hóa'!$C$3:$D$643,2,0)</f>
        <v>Móc khóa đôi corgy</v>
      </c>
      <c r="D414" s="144" t="str">
        <f>VLOOKUP(B414,'Danh mục hàng hóa'!$C$3:$E$656,3,0)</f>
        <v>cái</v>
      </c>
      <c r="E414" s="321">
        <v>25168</v>
      </c>
      <c r="F414" s="313">
        <v>3</v>
      </c>
      <c r="G414" s="317"/>
    </row>
    <row r="415" spans="1:7" ht="13.2" hidden="1">
      <c r="A415" s="319">
        <v>45306</v>
      </c>
      <c r="B415" s="28" t="s">
        <v>977</v>
      </c>
      <c r="C415" s="143" t="str">
        <f>VLOOKUP(B415,'Danh mục hàng hóa'!$C$3:$D$643,2,0)</f>
        <v>Móc khóa đôi heo</v>
      </c>
      <c r="D415" s="144" t="str">
        <f>VLOOKUP(B415,'Danh mục hàng hóa'!$C$3:$E$656,3,0)</f>
        <v>cái</v>
      </c>
      <c r="E415" s="320">
        <v>45000</v>
      </c>
      <c r="F415" s="317"/>
      <c r="G415" s="313">
        <v>1</v>
      </c>
    </row>
    <row r="416" spans="1:7" ht="13.2" hidden="1">
      <c r="A416" s="319">
        <v>45307</v>
      </c>
      <c r="B416" s="28" t="s">
        <v>1035</v>
      </c>
      <c r="C416" s="143" t="str">
        <f>VLOOKUP(B416,'Danh mục hàng hóa'!$C$3:$D$643,2,0)</f>
        <v>Vớ cổ ngắn trắng thêu họa tiết mẫu 1</v>
      </c>
      <c r="D416" s="144" t="str">
        <f>VLOOKUP(B416,'Danh mục hàng hóa'!$C$3:$E$656,3,0)</f>
        <v>đôi</v>
      </c>
      <c r="E416" s="321">
        <v>4123.8999999999996</v>
      </c>
      <c r="F416" s="313">
        <v>5</v>
      </c>
      <c r="G416" s="317"/>
    </row>
    <row r="417" spans="1:7" ht="13.2" hidden="1">
      <c r="A417" s="319">
        <v>45307</v>
      </c>
      <c r="B417" s="28" t="s">
        <v>1038</v>
      </c>
      <c r="C417" s="143" t="str">
        <f>VLOOKUP(B417,'Danh mục hàng hóa'!$C$3:$D$643,2,0)</f>
        <v>Vớ cổ ngắn trắng thêu họa tiết mẫu 2</v>
      </c>
      <c r="D417" s="144" t="str">
        <f>VLOOKUP(B417,'Danh mục hàng hóa'!$C$3:$E$656,3,0)</f>
        <v>đôi</v>
      </c>
      <c r="E417" s="321">
        <v>4123.8999999999996</v>
      </c>
      <c r="F417" s="313">
        <v>5</v>
      </c>
      <c r="G417" s="317"/>
    </row>
    <row r="418" spans="1:7" ht="13.2" hidden="1">
      <c r="A418" s="319">
        <v>45307</v>
      </c>
      <c r="B418" s="28" t="s">
        <v>1040</v>
      </c>
      <c r="C418" s="143" t="str">
        <f>VLOOKUP(B418,'Danh mục hàng hóa'!$C$3:$D$643,2,0)</f>
        <v>Vớ cổ ngắn trắng thêu họa tiết mẫu 3</v>
      </c>
      <c r="D418" s="144" t="str">
        <f>VLOOKUP(B418,'Danh mục hàng hóa'!$C$3:$E$656,3,0)</f>
        <v>đôi</v>
      </c>
      <c r="E418" s="321">
        <v>4123.8999999999996</v>
      </c>
      <c r="F418" s="313">
        <v>5</v>
      </c>
      <c r="G418" s="317"/>
    </row>
    <row r="419" spans="1:7" ht="13.2" hidden="1">
      <c r="A419" s="319">
        <v>45307</v>
      </c>
      <c r="B419" s="28" t="s">
        <v>1042</v>
      </c>
      <c r="C419" s="143" t="str">
        <f>VLOOKUP(B419,'Danh mục hàng hóa'!$C$3:$D$643,2,0)</f>
        <v>Vớ cổ ngắn trắng thêu họa tiết mẫu 4</v>
      </c>
      <c r="D419" s="144" t="str">
        <f>VLOOKUP(B419,'Danh mục hàng hóa'!$C$3:$E$656,3,0)</f>
        <v>đôi</v>
      </c>
      <c r="E419" s="321">
        <v>4123.8999999999996</v>
      </c>
      <c r="F419" s="313">
        <v>5</v>
      </c>
      <c r="G419" s="317"/>
    </row>
    <row r="420" spans="1:7" ht="13.2" hidden="1">
      <c r="A420" s="319">
        <v>45307</v>
      </c>
      <c r="B420" s="28" t="s">
        <v>1044</v>
      </c>
      <c r="C420" s="143" t="str">
        <f>VLOOKUP(B420,'Danh mục hàng hóa'!$C$3:$D$643,2,0)</f>
        <v>Vớ cổ ngắn trắng thêu họa tiết mẫu 5</v>
      </c>
      <c r="D420" s="144" t="str">
        <f>VLOOKUP(B420,'Danh mục hàng hóa'!$C$3:$E$656,3,0)</f>
        <v>đôi</v>
      </c>
      <c r="E420" s="321">
        <v>4123.8999999999996</v>
      </c>
      <c r="F420" s="313">
        <v>5</v>
      </c>
      <c r="G420" s="317"/>
    </row>
    <row r="421" spans="1:7" ht="13.2" hidden="1">
      <c r="A421" s="319">
        <v>45307</v>
      </c>
      <c r="B421" s="28" t="s">
        <v>1046</v>
      </c>
      <c r="C421" s="143" t="str">
        <f>VLOOKUP(B421,'Danh mục hàng hóa'!$C$3:$D$643,2,0)</f>
        <v>Vớ cổ ngắn set xanh bơ 1</v>
      </c>
      <c r="D421" s="144" t="str">
        <f>VLOOKUP(B421,'Danh mục hàng hóa'!$C$3:$E$656,3,0)</f>
        <v>đôi</v>
      </c>
      <c r="E421" s="321">
        <v>3808</v>
      </c>
      <c r="F421" s="313">
        <v>3</v>
      </c>
      <c r="G421" s="317"/>
    </row>
    <row r="422" spans="1:7" ht="13.2" hidden="1">
      <c r="A422" s="319">
        <v>45307</v>
      </c>
      <c r="B422" s="28" t="s">
        <v>1048</v>
      </c>
      <c r="C422" s="143" t="str">
        <f>VLOOKUP(B422,'Danh mục hàng hóa'!$C$3:$D$643,2,0)</f>
        <v>Vớ cổ ngắn set xanh bơ 2</v>
      </c>
      <c r="D422" s="144" t="str">
        <f>VLOOKUP(B422,'Danh mục hàng hóa'!$C$3:$E$656,3,0)</f>
        <v>đôi</v>
      </c>
      <c r="E422" s="321">
        <v>3808</v>
      </c>
      <c r="F422" s="313">
        <v>3</v>
      </c>
      <c r="G422" s="317"/>
    </row>
    <row r="423" spans="1:7" ht="13.2" hidden="1">
      <c r="A423" s="319">
        <v>45307</v>
      </c>
      <c r="B423" s="28" t="s">
        <v>1050</v>
      </c>
      <c r="C423" s="143" t="str">
        <f>VLOOKUP(B423,'Danh mục hàng hóa'!$C$3:$D$643,2,0)</f>
        <v>Vớ cổ ngắn set xanh bơ 3</v>
      </c>
      <c r="D423" s="144" t="str">
        <f>VLOOKUP(B423,'Danh mục hàng hóa'!$C$3:$E$656,3,0)</f>
        <v>đôi</v>
      </c>
      <c r="E423" s="321">
        <v>3808</v>
      </c>
      <c r="F423" s="313">
        <v>3</v>
      </c>
      <c r="G423" s="317"/>
    </row>
    <row r="424" spans="1:7" ht="13.2" hidden="1">
      <c r="A424" s="319">
        <v>45307</v>
      </c>
      <c r="B424" s="28" t="s">
        <v>1052</v>
      </c>
      <c r="C424" s="143" t="str">
        <f>VLOOKUP(B424,'Danh mục hàng hóa'!$C$3:$D$643,2,0)</f>
        <v>Vớ cổ ngắn set xanh bơ 4</v>
      </c>
      <c r="D424" s="144" t="str">
        <f>VLOOKUP(B424,'Danh mục hàng hóa'!$C$3:$E$656,3,0)</f>
        <v>đôi</v>
      </c>
      <c r="E424" s="321">
        <v>3808</v>
      </c>
      <c r="F424" s="313">
        <v>3</v>
      </c>
      <c r="G424" s="317"/>
    </row>
    <row r="425" spans="1:7" ht="13.2" hidden="1">
      <c r="A425" s="319">
        <v>45307</v>
      </c>
      <c r="B425" s="28" t="s">
        <v>1054</v>
      </c>
      <c r="C425" s="143" t="str">
        <f>VLOOKUP(B425,'Danh mục hàng hóa'!$C$3:$D$643,2,0)</f>
        <v>Vớ cổ ngắn set xanh bơ 5</v>
      </c>
      <c r="D425" s="144" t="str">
        <f>VLOOKUP(B425,'Danh mục hàng hóa'!$C$3:$E$656,3,0)</f>
        <v>đôi</v>
      </c>
      <c r="E425" s="321">
        <v>3808</v>
      </c>
      <c r="F425" s="313">
        <v>3</v>
      </c>
      <c r="G425" s="317"/>
    </row>
    <row r="426" spans="1:7" ht="13.2" hidden="1">
      <c r="A426" s="319">
        <v>45307</v>
      </c>
      <c r="B426" s="28" t="s">
        <v>1056</v>
      </c>
      <c r="C426" s="143" t="str">
        <f>VLOOKUP(B426,'Danh mục hàng hóa'!$C$3:$D$643,2,0)</f>
        <v>Vớ cổ ngắn họa tiết hoa thỏ be</v>
      </c>
      <c r="D426" s="144" t="str">
        <f>VLOOKUP(B426,'Danh mục hàng hóa'!$C$3:$E$656,3,0)</f>
        <v>đôi</v>
      </c>
      <c r="E426" s="321">
        <v>3983.5</v>
      </c>
      <c r="F426" s="313">
        <v>5</v>
      </c>
      <c r="G426" s="317"/>
    </row>
    <row r="427" spans="1:7" ht="13.2" hidden="1">
      <c r="A427" s="319">
        <v>45307</v>
      </c>
      <c r="B427" s="28" t="s">
        <v>1058</v>
      </c>
      <c r="C427" s="143" t="str">
        <f>VLOOKUP(B427,'Danh mục hàng hóa'!$C$3:$D$643,2,0)</f>
        <v>Vớ cổ ngắn họa tiết hoa thỏ hồng</v>
      </c>
      <c r="D427" s="144" t="str">
        <f>VLOOKUP(B427,'Danh mục hàng hóa'!$C$3:$E$656,3,0)</f>
        <v>đôi</v>
      </c>
      <c r="E427" s="321">
        <v>3983.5</v>
      </c>
      <c r="F427" s="313">
        <v>3</v>
      </c>
      <c r="G427" s="317"/>
    </row>
    <row r="428" spans="1:7" ht="13.2" hidden="1">
      <c r="A428" s="319">
        <v>45307</v>
      </c>
      <c r="B428" s="28" t="s">
        <v>1060</v>
      </c>
      <c r="C428" s="143" t="str">
        <f>VLOOKUP(B428,'Danh mục hàng hóa'!$C$3:$D$643,2,0)</f>
        <v>Vớ cổ ngắn họa tiết hoa thỏ kem</v>
      </c>
      <c r="D428" s="144" t="str">
        <f>VLOOKUP(B428,'Danh mục hàng hóa'!$C$3:$E$656,3,0)</f>
        <v>đôi</v>
      </c>
      <c r="E428" s="321">
        <v>3983.5</v>
      </c>
      <c r="F428" s="313">
        <v>5</v>
      </c>
      <c r="G428" s="317"/>
    </row>
    <row r="429" spans="1:7" ht="13.2" hidden="1">
      <c r="A429" s="319">
        <v>45307</v>
      </c>
      <c r="B429" s="28" t="s">
        <v>1062</v>
      </c>
      <c r="C429" s="143" t="str">
        <f>VLOOKUP(B429,'Danh mục hàng hóa'!$C$3:$D$643,2,0)</f>
        <v>Vớ cổ ngắn họa tiết hoa thỏ đen</v>
      </c>
      <c r="D429" s="144" t="str">
        <f>VLOOKUP(B429,'Danh mục hàng hóa'!$C$3:$E$656,3,0)</f>
        <v>đôi</v>
      </c>
      <c r="E429" s="321">
        <v>3983.5</v>
      </c>
      <c r="F429" s="313">
        <v>5</v>
      </c>
      <c r="G429" s="317"/>
    </row>
    <row r="430" spans="1:7" ht="13.2" hidden="1">
      <c r="A430" s="319">
        <v>45307</v>
      </c>
      <c r="B430" s="28" t="s">
        <v>1064</v>
      </c>
      <c r="C430" s="143" t="str">
        <f>VLOOKUP(B430,'Danh mục hàng hóa'!$C$3:$D$643,2,0)</f>
        <v>Vớ trắng mỏng nhiều gấu</v>
      </c>
      <c r="D430" s="144" t="str">
        <f>VLOOKUP(B430,'Danh mục hàng hóa'!$C$3:$E$656,3,0)</f>
        <v>đôi</v>
      </c>
      <c r="E430" s="321">
        <v>3983.5</v>
      </c>
      <c r="F430" s="313">
        <v>6</v>
      </c>
      <c r="G430" s="317"/>
    </row>
    <row r="431" spans="1:7" ht="13.2" hidden="1">
      <c r="A431" s="319">
        <v>45307</v>
      </c>
      <c r="B431" s="28" t="s">
        <v>1066</v>
      </c>
      <c r="C431" s="143" t="str">
        <f>VLOOKUP(B431,'Danh mục hàng hóa'!$C$3:$D$643,2,0)</f>
        <v>Vớ trắng mỏng nhiều hoa</v>
      </c>
      <c r="D431" s="144" t="str">
        <f>VLOOKUP(B431,'Danh mục hàng hóa'!$C$3:$E$656,3,0)</f>
        <v>đôi</v>
      </c>
      <c r="E431" s="321">
        <v>4685.5</v>
      </c>
      <c r="F431" s="313">
        <v>6</v>
      </c>
      <c r="G431" s="317"/>
    </row>
    <row r="432" spans="1:7" ht="13.2" hidden="1">
      <c r="A432" s="319">
        <v>45307</v>
      </c>
      <c r="B432" s="28" t="s">
        <v>1068</v>
      </c>
      <c r="C432" s="143" t="str">
        <f>VLOOKUP(B432,'Danh mục hàng hóa'!$C$3:$D$643,2,0)</f>
        <v>Vớ trắng mỏng hoa vàng</v>
      </c>
      <c r="D432" s="144" t="str">
        <f>VLOOKUP(B432,'Danh mục hàng hóa'!$C$3:$E$656,3,0)</f>
        <v>đôi</v>
      </c>
      <c r="E432" s="321">
        <v>4685.5</v>
      </c>
      <c r="F432" s="313">
        <v>6</v>
      </c>
      <c r="G432" s="317"/>
    </row>
    <row r="433" spans="1:7" ht="13.2" hidden="1">
      <c r="A433" s="319">
        <v>45307</v>
      </c>
      <c r="B433" s="28" t="s">
        <v>1070</v>
      </c>
      <c r="C433" s="143" t="str">
        <f>VLOOKUP(B433,'Danh mục hàng hóa'!$C$3:$D$643,2,0)</f>
        <v>Vớ trắng mỏng gấu</v>
      </c>
      <c r="D433" s="144" t="str">
        <f>VLOOKUP(B433,'Danh mục hàng hóa'!$C$3:$E$656,3,0)</f>
        <v>đôi</v>
      </c>
      <c r="E433" s="321">
        <v>4685.5</v>
      </c>
      <c r="F433" s="313">
        <v>6</v>
      </c>
      <c r="G433" s="317"/>
    </row>
    <row r="434" spans="1:7" ht="13.2" hidden="1">
      <c r="A434" s="319">
        <v>45307</v>
      </c>
      <c r="B434" s="28" t="s">
        <v>1072</v>
      </c>
      <c r="C434" s="143" t="str">
        <f>VLOOKUP(B434,'Danh mục hàng hóa'!$C$3:$D$643,2,0)</f>
        <v>Vớ trắng mỏng tulip hồng</v>
      </c>
      <c r="D434" s="144" t="str">
        <f>VLOOKUP(B434,'Danh mục hàng hóa'!$C$3:$E$656,3,0)</f>
        <v>đôi</v>
      </c>
      <c r="E434" s="321">
        <v>4685.5</v>
      </c>
      <c r="F434" s="313">
        <v>6</v>
      </c>
      <c r="G434" s="317"/>
    </row>
    <row r="435" spans="1:7" ht="13.2" hidden="1">
      <c r="A435" s="319">
        <v>45307</v>
      </c>
      <c r="B435" s="28" t="s">
        <v>1074</v>
      </c>
      <c r="C435" s="143" t="str">
        <f>VLOOKUP(B435,'Danh mục hàng hóa'!$C$3:$D$643,2,0)</f>
        <v>Vớ trắng icon be 1</v>
      </c>
      <c r="D435" s="144" t="str">
        <f>VLOOKUP(B435,'Danh mục hàng hóa'!$C$3:$E$656,3,0)</f>
        <v>đôi</v>
      </c>
      <c r="E435" s="321">
        <v>4685.5</v>
      </c>
      <c r="F435" s="313">
        <v>4</v>
      </c>
      <c r="G435" s="317"/>
    </row>
    <row r="436" spans="1:7" ht="13.2" hidden="1">
      <c r="A436" s="319">
        <v>45307</v>
      </c>
      <c r="B436" s="28" t="s">
        <v>1076</v>
      </c>
      <c r="C436" s="143" t="str">
        <f>VLOOKUP(B436,'Danh mục hàng hóa'!$C$3:$D$643,2,0)</f>
        <v>Vớ trắng icon be 2</v>
      </c>
      <c r="D436" s="144" t="str">
        <f>VLOOKUP(B436,'Danh mục hàng hóa'!$C$3:$E$656,3,0)</f>
        <v>đôi</v>
      </c>
      <c r="E436" s="321">
        <v>4510</v>
      </c>
      <c r="F436" s="313">
        <v>4</v>
      </c>
      <c r="G436" s="317"/>
    </row>
    <row r="437" spans="1:7" ht="13.2" hidden="1">
      <c r="A437" s="319">
        <v>45307</v>
      </c>
      <c r="B437" s="28" t="s">
        <v>1078</v>
      </c>
      <c r="C437" s="143" t="str">
        <f>VLOOKUP(B437,'Danh mục hàng hóa'!$C$3:$D$643,2,0)</f>
        <v>Vớ trắng icon be 3</v>
      </c>
      <c r="D437" s="144" t="str">
        <f>VLOOKUP(B437,'Danh mục hàng hóa'!$C$3:$E$656,3,0)</f>
        <v>đôi</v>
      </c>
      <c r="E437" s="321">
        <v>4510</v>
      </c>
      <c r="F437" s="313">
        <v>4</v>
      </c>
      <c r="G437" s="317"/>
    </row>
    <row r="438" spans="1:7" ht="13.2" hidden="1">
      <c r="A438" s="319">
        <v>45307</v>
      </c>
      <c r="B438" s="28" t="s">
        <v>1080</v>
      </c>
      <c r="C438" s="143" t="str">
        <f>VLOOKUP(B438,'Danh mục hàng hóa'!$C$3:$D$643,2,0)</f>
        <v>Vớ trắng icon be 4</v>
      </c>
      <c r="D438" s="144" t="str">
        <f>VLOOKUP(B438,'Danh mục hàng hóa'!$C$3:$E$656,3,0)</f>
        <v>đôi</v>
      </c>
      <c r="E438" s="321">
        <v>4510</v>
      </c>
      <c r="F438" s="313">
        <v>4</v>
      </c>
      <c r="G438" s="317"/>
    </row>
    <row r="439" spans="1:7" ht="13.2" hidden="1">
      <c r="A439" s="319">
        <v>45307</v>
      </c>
      <c r="B439" s="28" t="s">
        <v>1082</v>
      </c>
      <c r="C439" s="143" t="str">
        <f>VLOOKUP(B439,'Danh mục hàng hóa'!$C$3:$D$643,2,0)</f>
        <v>Vớ trắng icon be 5</v>
      </c>
      <c r="D439" s="144" t="str">
        <f>VLOOKUP(B439,'Danh mục hàng hóa'!$C$3:$E$656,3,0)</f>
        <v>đôi</v>
      </c>
      <c r="E439" s="321">
        <v>4510</v>
      </c>
      <c r="F439" s="313">
        <v>4</v>
      </c>
      <c r="G439" s="317"/>
    </row>
    <row r="440" spans="1:7" ht="13.2" hidden="1">
      <c r="A440" s="319">
        <v>45307</v>
      </c>
      <c r="B440" s="28" t="s">
        <v>1084</v>
      </c>
      <c r="C440" s="143" t="str">
        <f>VLOOKUP(B440,'Danh mục hàng hóa'!$C$3:$D$643,2,0)</f>
        <v>Vớ trắng đen mẫu 1</v>
      </c>
      <c r="D440" s="144" t="str">
        <f>VLOOKUP(B440,'Danh mục hàng hóa'!$C$3:$E$656,3,0)</f>
        <v>đôi</v>
      </c>
      <c r="E440" s="321">
        <v>7669</v>
      </c>
      <c r="F440" s="313">
        <v>4</v>
      </c>
      <c r="G440" s="317"/>
    </row>
    <row r="441" spans="1:7" ht="13.2" hidden="1">
      <c r="A441" s="319">
        <v>45307</v>
      </c>
      <c r="B441" s="28" t="s">
        <v>1086</v>
      </c>
      <c r="C441" s="143" t="str">
        <f>VLOOKUP(B441,'Danh mục hàng hóa'!$C$3:$D$643,2,0)</f>
        <v>Vớ trắng đen mẫu 2</v>
      </c>
      <c r="D441" s="144" t="str">
        <f>VLOOKUP(B441,'Danh mục hàng hóa'!$C$3:$E$656,3,0)</f>
        <v>đôi</v>
      </c>
      <c r="E441" s="321">
        <v>7669</v>
      </c>
      <c r="F441" s="313">
        <v>4</v>
      </c>
      <c r="G441" s="317"/>
    </row>
    <row r="442" spans="1:7" ht="13.2" hidden="1">
      <c r="A442" s="319">
        <v>45307</v>
      </c>
      <c r="B442" s="28" t="s">
        <v>1088</v>
      </c>
      <c r="C442" s="143" t="str">
        <f>VLOOKUP(B442,'Danh mục hàng hóa'!$C$3:$D$643,2,0)</f>
        <v>Vớ trắng đen mẫu 3</v>
      </c>
      <c r="D442" s="144" t="str">
        <f>VLOOKUP(B442,'Danh mục hàng hóa'!$C$3:$E$656,3,0)</f>
        <v>đôi</v>
      </c>
      <c r="E442" s="321">
        <v>7669</v>
      </c>
      <c r="F442" s="313">
        <v>4</v>
      </c>
      <c r="G442" s="317"/>
    </row>
    <row r="443" spans="1:7" ht="13.2" hidden="1">
      <c r="A443" s="319">
        <v>45307</v>
      </c>
      <c r="B443" s="28" t="s">
        <v>1090</v>
      </c>
      <c r="C443" s="143" t="str">
        <f>VLOOKUP(B443,'Danh mục hàng hóa'!$C$3:$D$643,2,0)</f>
        <v>Vớ trắng đen mẫu 4</v>
      </c>
      <c r="D443" s="144" t="str">
        <f>VLOOKUP(B443,'Danh mục hàng hóa'!$C$3:$E$656,3,0)</f>
        <v>đôi</v>
      </c>
      <c r="E443" s="321">
        <v>7669</v>
      </c>
      <c r="F443" s="313">
        <v>4</v>
      </c>
      <c r="G443" s="317"/>
    </row>
    <row r="444" spans="1:7" ht="13.2" hidden="1">
      <c r="A444" s="319">
        <v>45307</v>
      </c>
      <c r="B444" s="28" t="s">
        <v>1092</v>
      </c>
      <c r="C444" s="143" t="str">
        <f>VLOOKUP(B444,'Danh mục hàng hóa'!$C$3:$D$643,2,0)</f>
        <v>Vớ trắng đen mẫu 5</v>
      </c>
      <c r="D444" s="144" t="str">
        <f>VLOOKUP(B444,'Danh mục hàng hóa'!$C$3:$E$656,3,0)</f>
        <v>đôi</v>
      </c>
      <c r="E444" s="321">
        <v>9704.7999999999993</v>
      </c>
      <c r="F444" s="313">
        <v>4</v>
      </c>
      <c r="G444" s="317"/>
    </row>
    <row r="445" spans="1:7" ht="13.2" hidden="1">
      <c r="A445" s="319">
        <v>45307</v>
      </c>
      <c r="B445" s="28" t="s">
        <v>1094</v>
      </c>
      <c r="C445" s="143" t="str">
        <f>VLOOKUP(B445,'Danh mục hàng hóa'!$C$3:$D$643,2,0)</f>
        <v>Vớ cổ cao full hồng</v>
      </c>
      <c r="D445" s="144" t="str">
        <f>VLOOKUP(B445,'Danh mục hàng hóa'!$C$3:$E$656,3,0)</f>
        <v>đôi</v>
      </c>
      <c r="E445" s="321">
        <v>9704.7999999999993</v>
      </c>
      <c r="F445" s="313">
        <v>3</v>
      </c>
      <c r="G445" s="317"/>
    </row>
    <row r="446" spans="1:7" ht="13.2" hidden="1">
      <c r="A446" s="319">
        <v>45307</v>
      </c>
      <c r="B446" s="28" t="s">
        <v>1096</v>
      </c>
      <c r="C446" s="143" t="str">
        <f>VLOOKUP(B446,'Danh mục hàng hóa'!$C$3:$D$643,2,0)</f>
        <v>Vớ cổ cao hồng be</v>
      </c>
      <c r="D446" s="144" t="str">
        <f>VLOOKUP(B446,'Danh mục hàng hóa'!$C$3:$E$656,3,0)</f>
        <v>đôi</v>
      </c>
      <c r="E446" s="321">
        <v>9704.7999999999993</v>
      </c>
      <c r="F446" s="313">
        <v>3</v>
      </c>
      <c r="G446" s="317"/>
    </row>
    <row r="447" spans="1:7" ht="13.2" hidden="1">
      <c r="A447" s="319">
        <v>45307</v>
      </c>
      <c r="B447" s="28" t="s">
        <v>1098</v>
      </c>
      <c r="C447" s="143" t="str">
        <f>VLOOKUP(B447,'Danh mục hàng hóa'!$C$3:$D$643,2,0)</f>
        <v>Vớ cổ cao trắng hoa hồng</v>
      </c>
      <c r="D447" s="144" t="str">
        <f>VLOOKUP(B447,'Danh mục hàng hóa'!$C$3:$E$656,3,0)</f>
        <v>đôi</v>
      </c>
      <c r="E447" s="321">
        <v>9704.7999999999993</v>
      </c>
      <c r="F447" s="313">
        <v>3</v>
      </c>
      <c r="G447" s="317"/>
    </row>
    <row r="448" spans="1:7" ht="13.2" hidden="1">
      <c r="A448" s="319">
        <v>45307</v>
      </c>
      <c r="B448" s="28" t="s">
        <v>1100</v>
      </c>
      <c r="C448" s="143" t="str">
        <f>VLOOKUP(B448,'Danh mục hàng hóa'!$C$3:$D$643,2,0)</f>
        <v>Vớ cổ cao sọc hồng</v>
      </c>
      <c r="D448" s="144" t="str">
        <f>VLOOKUP(B448,'Danh mục hàng hóa'!$C$3:$E$656,3,0)</f>
        <v>đôi</v>
      </c>
      <c r="E448" s="321">
        <v>9704.7999999999993</v>
      </c>
      <c r="F448" s="313">
        <v>3</v>
      </c>
      <c r="G448" s="317"/>
    </row>
    <row r="449" spans="1:7" ht="13.2" hidden="1">
      <c r="A449" s="319">
        <v>45307</v>
      </c>
      <c r="B449" s="28" t="s">
        <v>1102</v>
      </c>
      <c r="C449" s="143" t="str">
        <f>VLOOKUP(B449,'Danh mục hàng hóa'!$C$3:$D$643,2,0)</f>
        <v>Vớ cổ cao trắng hoa vàng</v>
      </c>
      <c r="D449" s="144" t="str">
        <f>VLOOKUP(B449,'Danh mục hàng hóa'!$C$3:$E$656,3,0)</f>
        <v>đôi</v>
      </c>
      <c r="E449" s="321">
        <v>9704.7999999999993</v>
      </c>
      <c r="F449" s="313">
        <v>5</v>
      </c>
      <c r="G449" s="317"/>
    </row>
    <row r="450" spans="1:7" ht="13.2" hidden="1">
      <c r="A450" s="319">
        <v>45307</v>
      </c>
      <c r="B450" s="28" t="s">
        <v>1104</v>
      </c>
      <c r="C450" s="143" t="str">
        <f>VLOOKUP(B450,'Danh mục hàng hóa'!$C$3:$D$643,2,0)</f>
        <v>Vớ cổ cao trắng cỏ ba lá xanh</v>
      </c>
      <c r="D450" s="144" t="str">
        <f>VLOOKUP(B450,'Danh mục hàng hóa'!$C$3:$E$656,3,0)</f>
        <v>đôi</v>
      </c>
      <c r="E450" s="321">
        <v>9704.7999999999993</v>
      </c>
      <c r="F450" s="313">
        <v>5</v>
      </c>
      <c r="G450" s="317"/>
    </row>
    <row r="451" spans="1:7" ht="13.2" hidden="1">
      <c r="A451" s="319">
        <v>45307</v>
      </c>
      <c r="B451" s="28" t="s">
        <v>1106</v>
      </c>
      <c r="C451" s="143" t="str">
        <f>VLOOKUP(B451,'Danh mục hàng hóa'!$C$3:$D$643,2,0)</f>
        <v>Vớ cổ cao trắng hoa đen</v>
      </c>
      <c r="D451" s="144" t="str">
        <f>VLOOKUP(B451,'Danh mục hàng hóa'!$C$3:$E$656,3,0)</f>
        <v>đôi</v>
      </c>
      <c r="E451" s="321">
        <v>9704.7999999999993</v>
      </c>
      <c r="F451" s="313">
        <v>5</v>
      </c>
      <c r="G451" s="317"/>
    </row>
    <row r="452" spans="1:7" ht="13.2" hidden="1">
      <c r="A452" s="319">
        <v>45307</v>
      </c>
      <c r="B452" s="28" t="s">
        <v>1108</v>
      </c>
      <c r="C452" s="143" t="str">
        <f>VLOOKUP(B452,'Danh mục hàng hóa'!$C$3:$D$643,2,0)</f>
        <v>Vớ cổ cao trắng hoa hồng</v>
      </c>
      <c r="D452" s="144" t="str">
        <f>VLOOKUP(B452,'Danh mục hàng hóa'!$C$3:$E$656,3,0)</f>
        <v>đôi</v>
      </c>
      <c r="E452" s="321">
        <v>9704.7999999999993</v>
      </c>
      <c r="F452" s="313">
        <v>5</v>
      </c>
      <c r="G452" s="317"/>
    </row>
    <row r="453" spans="1:7" ht="13.2" hidden="1">
      <c r="A453" s="319">
        <v>45307</v>
      </c>
      <c r="B453" s="28" t="s">
        <v>2148</v>
      </c>
      <c r="C453" s="143" t="e">
        <f>VLOOKUP(B453,'Danh mục hàng hóa'!$C$3:$D$643,2,0)</f>
        <v>#N/A</v>
      </c>
      <c r="D453" s="144" t="e">
        <f>VLOOKUP(B453,'Danh mục hàng hóa'!$C$3:$E$656,3,0)</f>
        <v>#N/A</v>
      </c>
      <c r="E453" s="321">
        <v>9704.7999999999993</v>
      </c>
      <c r="F453" s="313">
        <v>5</v>
      </c>
      <c r="G453" s="317"/>
    </row>
    <row r="454" spans="1:7" ht="13.2" hidden="1">
      <c r="A454" s="319">
        <v>45307</v>
      </c>
      <c r="B454" s="28" t="s">
        <v>435</v>
      </c>
      <c r="C454" s="143" t="str">
        <f>VLOOKUP(B454,'Danh mục hàng hóa'!$C$3:$D$643,2,0)</f>
        <v>Bao lì xì Tết tài lộc</v>
      </c>
      <c r="D454" s="144" t="str">
        <f>VLOOKUP(B454,'Danh mục hàng hóa'!$C$3:$E$656,3,0)</f>
        <v>set 6 cái</v>
      </c>
      <c r="E454" s="320">
        <v>6706</v>
      </c>
      <c r="F454" s="317"/>
      <c r="G454" s="313">
        <v>1</v>
      </c>
    </row>
    <row r="455" spans="1:7" ht="13.2" hidden="1">
      <c r="A455" s="319">
        <v>45307</v>
      </c>
      <c r="B455" s="28" t="s">
        <v>437</v>
      </c>
      <c r="C455" s="143" t="str">
        <f>VLOOKUP(B455,'Danh mục hàng hóa'!$C$3:$D$643,2,0)</f>
        <v>Bao lì xì Tết hoa</v>
      </c>
      <c r="D455" s="144" t="str">
        <f>VLOOKUP(B455,'Danh mục hàng hóa'!$C$3:$E$656,3,0)</f>
        <v>set 6 cái</v>
      </c>
      <c r="E455" s="320">
        <v>6706</v>
      </c>
      <c r="F455" s="317"/>
      <c r="G455" s="313">
        <v>6</v>
      </c>
    </row>
    <row r="456" spans="1:7" ht="13.2" hidden="1">
      <c r="A456" s="319">
        <v>45307</v>
      </c>
      <c r="B456" s="28" t="s">
        <v>438</v>
      </c>
      <c r="C456" s="143" t="str">
        <f>VLOOKUP(B456,'Danh mục hàng hóa'!$C$3:$D$643,2,0)</f>
        <v>Bao lì xì Tết xanh</v>
      </c>
      <c r="D456" s="144" t="str">
        <f>VLOOKUP(B456,'Danh mục hàng hóa'!$C$3:$E$656,3,0)</f>
        <v>set 6 cái</v>
      </c>
      <c r="E456" s="320">
        <v>6706</v>
      </c>
      <c r="F456" s="317"/>
      <c r="G456" s="313">
        <v>1</v>
      </c>
    </row>
    <row r="457" spans="1:7" ht="13.2" hidden="1">
      <c r="A457" s="319">
        <v>45307</v>
      </c>
      <c r="B457" s="28" t="s">
        <v>439</v>
      </c>
      <c r="C457" s="143" t="str">
        <f>VLOOKUP(B457,'Danh mục hàng hóa'!$C$3:$D$643,2,0)</f>
        <v>Bao lì xì vui vẻ</v>
      </c>
      <c r="D457" s="144" t="str">
        <f>VLOOKUP(B457,'Danh mục hàng hóa'!$C$3:$E$656,3,0)</f>
        <v>set 6 cái</v>
      </c>
      <c r="E457" s="320">
        <v>6706</v>
      </c>
      <c r="F457" s="317"/>
      <c r="G457" s="313">
        <v>1</v>
      </c>
    </row>
    <row r="458" spans="1:7" ht="13.2" hidden="1">
      <c r="A458" s="319">
        <v>45307</v>
      </c>
      <c r="B458" s="28" t="s">
        <v>440</v>
      </c>
      <c r="C458" s="143" t="str">
        <f>VLOOKUP(B458,'Danh mục hàng hóa'!$C$3:$D$643,2,0)</f>
        <v>Bao lì xì ngộ nghĩnh</v>
      </c>
      <c r="D458" s="144" t="str">
        <f>VLOOKUP(B458,'Danh mục hàng hóa'!$C$3:$E$656,3,0)</f>
        <v>set 6 cái</v>
      </c>
      <c r="E458" s="320">
        <v>6706</v>
      </c>
      <c r="F458" s="317"/>
      <c r="G458" s="313">
        <v>1</v>
      </c>
    </row>
    <row r="459" spans="1:7" ht="13.2" hidden="1">
      <c r="A459" s="319">
        <v>45307</v>
      </c>
      <c r="B459" s="28" t="s">
        <v>588</v>
      </c>
      <c r="C459" s="143" t="str">
        <f>VLOOKUP(B459,'Danh mục hàng hóa'!$C$3:$D$643,2,0)</f>
        <v>Kẹp tóc nhựa be</v>
      </c>
      <c r="D459" s="144" t="str">
        <f>VLOOKUP(B459,'Danh mục hàng hóa'!$C$3:$E$656,3,0)</f>
        <v>cái</v>
      </c>
      <c r="E459" s="320">
        <v>14900</v>
      </c>
      <c r="F459" s="317"/>
      <c r="G459" s="313">
        <v>1</v>
      </c>
    </row>
    <row r="460" spans="1:7" ht="13.2" hidden="1">
      <c r="A460" s="319">
        <v>45307</v>
      </c>
      <c r="B460" s="28" t="s">
        <v>437</v>
      </c>
      <c r="C460" s="143" t="str">
        <f>VLOOKUP(B460,'Danh mục hàng hóa'!$C$3:$D$643,2,0)</f>
        <v>Bao lì xì Tết hoa</v>
      </c>
      <c r="D460" s="144" t="str">
        <f>VLOOKUP(B460,'Danh mục hàng hóa'!$C$3:$E$656,3,0)</f>
        <v>set 6 cái</v>
      </c>
      <c r="E460" s="321">
        <f t="shared" ref="E460:E462" si="27">45744/6</f>
        <v>7624</v>
      </c>
      <c r="F460" s="317"/>
      <c r="G460" s="313">
        <v>2</v>
      </c>
    </row>
    <row r="461" spans="1:7" ht="13.2" hidden="1">
      <c r="A461" s="319">
        <v>45307</v>
      </c>
      <c r="B461" s="28" t="s">
        <v>439</v>
      </c>
      <c r="C461" s="143" t="str">
        <f>VLOOKUP(B461,'Danh mục hàng hóa'!$C$3:$D$643,2,0)</f>
        <v>Bao lì xì vui vẻ</v>
      </c>
      <c r="D461" s="144" t="str">
        <f>VLOOKUP(B461,'Danh mục hàng hóa'!$C$3:$E$656,3,0)</f>
        <v>set 6 cái</v>
      </c>
      <c r="E461" s="321">
        <f t="shared" si="27"/>
        <v>7624</v>
      </c>
      <c r="F461" s="317"/>
      <c r="G461" s="313">
        <v>2</v>
      </c>
    </row>
    <row r="462" spans="1:7" ht="13.2" hidden="1">
      <c r="A462" s="319">
        <v>45307</v>
      </c>
      <c r="B462" s="28" t="s">
        <v>440</v>
      </c>
      <c r="C462" s="143" t="str">
        <f>VLOOKUP(B462,'Danh mục hàng hóa'!$C$3:$D$643,2,0)</f>
        <v>Bao lì xì ngộ nghĩnh</v>
      </c>
      <c r="D462" s="144" t="str">
        <f>VLOOKUP(B462,'Danh mục hàng hóa'!$C$3:$E$656,3,0)</f>
        <v>set 6 cái</v>
      </c>
      <c r="E462" s="321">
        <f t="shared" si="27"/>
        <v>7624</v>
      </c>
      <c r="F462" s="317"/>
      <c r="G462" s="313">
        <v>2</v>
      </c>
    </row>
    <row r="463" spans="1:7" ht="13.2" hidden="1">
      <c r="A463" s="319">
        <v>45307</v>
      </c>
      <c r="B463" s="28" t="s">
        <v>414</v>
      </c>
      <c r="C463" s="143" t="str">
        <f>VLOOKUP(B463,'Danh mục hàng hóa'!$C$3:$D$643,2,0)</f>
        <v>Túi chườm bụng dâu tây 500ml</v>
      </c>
      <c r="D463" s="144" t="str">
        <f>VLOOKUP(B463,'Danh mục hàng hóa'!$C$3:$E$656,3,0)</f>
        <v>túi</v>
      </c>
      <c r="E463" s="320">
        <v>78320</v>
      </c>
      <c r="F463" s="317"/>
      <c r="G463" s="313">
        <v>1</v>
      </c>
    </row>
    <row r="464" spans="1:7" ht="13.2" hidden="1">
      <c r="A464" s="319">
        <v>45307</v>
      </c>
      <c r="B464" s="28" t="s">
        <v>437</v>
      </c>
      <c r="C464" s="143" t="str">
        <f>VLOOKUP(B464,'Danh mục hàng hóa'!$C$3:$D$643,2,0)</f>
        <v>Bao lì xì Tết hoa</v>
      </c>
      <c r="D464" s="144" t="str">
        <f>VLOOKUP(B464,'Danh mục hàng hóa'!$C$3:$E$656,3,0)</f>
        <v>set 6 cái</v>
      </c>
      <c r="E464" s="321">
        <f t="shared" ref="E464:E465" si="28">15448/2</f>
        <v>7724</v>
      </c>
      <c r="F464" s="317"/>
      <c r="G464" s="313">
        <v>1</v>
      </c>
    </row>
    <row r="465" spans="1:7" ht="13.2" hidden="1">
      <c r="A465" s="319">
        <v>45307</v>
      </c>
      <c r="B465" s="28" t="s">
        <v>440</v>
      </c>
      <c r="C465" s="143" t="str">
        <f>VLOOKUP(B465,'Danh mục hàng hóa'!$C$3:$D$643,2,0)</f>
        <v>Bao lì xì ngộ nghĩnh</v>
      </c>
      <c r="D465" s="144" t="str">
        <f>VLOOKUP(B465,'Danh mục hàng hóa'!$C$3:$E$656,3,0)</f>
        <v>set 6 cái</v>
      </c>
      <c r="E465" s="321">
        <f t="shared" si="28"/>
        <v>7724</v>
      </c>
      <c r="F465" s="317"/>
      <c r="G465" s="313">
        <v>1</v>
      </c>
    </row>
    <row r="466" spans="1:7" ht="13.2" hidden="1">
      <c r="A466" s="319">
        <v>45308</v>
      </c>
      <c r="B466" s="28" t="s">
        <v>440</v>
      </c>
      <c r="C466" s="143" t="str">
        <f>VLOOKUP(B466,'Danh mục hàng hóa'!$C$3:$D$643,2,0)</f>
        <v>Bao lì xì ngộ nghĩnh</v>
      </c>
      <c r="D466" s="144" t="str">
        <f>VLOOKUP(B466,'Danh mục hàng hóa'!$C$3:$E$656,3,0)</f>
        <v>set 6 cái</v>
      </c>
      <c r="E466" s="321">
        <f>61052/8</f>
        <v>7631.5</v>
      </c>
      <c r="F466" s="317"/>
      <c r="G466" s="313">
        <v>8</v>
      </c>
    </row>
    <row r="467" spans="1:7" ht="13.2" hidden="1">
      <c r="A467" s="319">
        <v>45308</v>
      </c>
      <c r="B467" s="28" t="s">
        <v>440</v>
      </c>
      <c r="C467" s="143" t="str">
        <f>VLOOKUP(B467,'Danh mục hàng hóa'!$C$3:$D$643,2,0)</f>
        <v>Bao lì xì ngộ nghĩnh</v>
      </c>
      <c r="D467" s="144" t="str">
        <f>VLOOKUP(B467,'Danh mục hàng hóa'!$C$3:$E$656,3,0)</f>
        <v>set 6 cái</v>
      </c>
      <c r="E467" s="321">
        <f t="shared" ref="E467:E468" si="29">15428/2</f>
        <v>7714</v>
      </c>
      <c r="F467" s="317"/>
      <c r="G467" s="313">
        <v>1</v>
      </c>
    </row>
    <row r="468" spans="1:7" ht="13.2" hidden="1">
      <c r="A468" s="319">
        <v>45308</v>
      </c>
      <c r="B468" s="28" t="s">
        <v>439</v>
      </c>
      <c r="C468" s="143" t="str">
        <f>VLOOKUP(B468,'Danh mục hàng hóa'!$C$3:$D$643,2,0)</f>
        <v>Bao lì xì vui vẻ</v>
      </c>
      <c r="D468" s="144" t="str">
        <f>VLOOKUP(B468,'Danh mục hàng hóa'!$C$3:$E$656,3,0)</f>
        <v>set 6 cái</v>
      </c>
      <c r="E468" s="321">
        <f t="shared" si="29"/>
        <v>7714</v>
      </c>
      <c r="F468" s="317"/>
      <c r="G468" s="313">
        <v>1</v>
      </c>
    </row>
    <row r="469" spans="1:7" ht="13.2" hidden="1">
      <c r="A469" s="319">
        <v>45309</v>
      </c>
      <c r="B469" s="28" t="s">
        <v>439</v>
      </c>
      <c r="C469" s="143" t="str">
        <f>VLOOKUP(B469,'Danh mục hàng hóa'!$C$3:$D$643,2,0)</f>
        <v>Bao lì xì vui vẻ</v>
      </c>
      <c r="D469" s="144" t="str">
        <f>VLOOKUP(B469,'Danh mục hàng hóa'!$C$3:$E$656,3,0)</f>
        <v>set 6 cái</v>
      </c>
      <c r="E469" s="321">
        <f>76920/10</f>
        <v>7692</v>
      </c>
      <c r="F469" s="317"/>
      <c r="G469" s="313">
        <v>10</v>
      </c>
    </row>
    <row r="470" spans="1:7" ht="13.2" hidden="1">
      <c r="A470" s="319">
        <v>45309</v>
      </c>
      <c r="B470" s="28" t="s">
        <v>1108</v>
      </c>
      <c r="C470" s="143" t="str">
        <f>VLOOKUP(B470,'Danh mục hàng hóa'!$C$3:$D$643,2,0)</f>
        <v>Vớ cổ cao trắng hoa hồng</v>
      </c>
      <c r="D470" s="144" t="str">
        <f>VLOOKUP(B470,'Danh mục hàng hóa'!$C$3:$E$656,3,0)</f>
        <v>đôi</v>
      </c>
      <c r="E470" s="320">
        <v>18000</v>
      </c>
      <c r="F470" s="317"/>
      <c r="G470" s="313">
        <v>1</v>
      </c>
    </row>
    <row r="471" spans="1:7" ht="13.2" hidden="1">
      <c r="A471" s="319">
        <v>45309</v>
      </c>
      <c r="B471" s="28" t="s">
        <v>1062</v>
      </c>
      <c r="C471" s="143" t="str">
        <f>VLOOKUP(B471,'Danh mục hàng hóa'!$C$3:$D$643,2,0)</f>
        <v>Vớ cổ ngắn họa tiết hoa thỏ đen</v>
      </c>
      <c r="D471" s="144" t="str">
        <f>VLOOKUP(B471,'Danh mục hàng hóa'!$C$3:$E$656,3,0)</f>
        <v>đôi</v>
      </c>
      <c r="E471" s="320">
        <v>8000</v>
      </c>
      <c r="F471" s="317"/>
      <c r="G471" s="313">
        <v>5</v>
      </c>
    </row>
    <row r="472" spans="1:7" ht="13.2" hidden="1">
      <c r="A472" s="319">
        <v>45309</v>
      </c>
      <c r="B472" s="28" t="s">
        <v>1048</v>
      </c>
      <c r="C472" s="143" t="str">
        <f>VLOOKUP(B472,'Danh mục hàng hóa'!$C$3:$D$643,2,0)</f>
        <v>Vớ cổ ngắn set xanh bơ 2</v>
      </c>
      <c r="D472" s="144" t="str">
        <f>VLOOKUP(B472,'Danh mục hàng hóa'!$C$3:$E$656,3,0)</f>
        <v>đôi</v>
      </c>
      <c r="E472" s="320">
        <v>9000</v>
      </c>
      <c r="F472" s="317"/>
      <c r="G472" s="313">
        <v>2</v>
      </c>
    </row>
    <row r="473" spans="1:7" ht="13.2" hidden="1">
      <c r="A473" s="319">
        <v>45309</v>
      </c>
      <c r="B473" s="28" t="s">
        <v>1054</v>
      </c>
      <c r="C473" s="143" t="str">
        <f>VLOOKUP(B473,'Danh mục hàng hóa'!$C$3:$D$643,2,0)</f>
        <v>Vớ cổ ngắn set xanh bơ 5</v>
      </c>
      <c r="D473" s="144" t="str">
        <f>VLOOKUP(B473,'Danh mục hàng hóa'!$C$3:$E$656,3,0)</f>
        <v>đôi</v>
      </c>
      <c r="E473" s="320">
        <v>9000</v>
      </c>
      <c r="F473" s="317"/>
      <c r="G473" s="313">
        <v>1</v>
      </c>
    </row>
    <row r="474" spans="1:7" ht="13.2" hidden="1">
      <c r="A474" s="319">
        <v>45309</v>
      </c>
      <c r="B474" s="28" t="s">
        <v>1035</v>
      </c>
      <c r="C474" s="143" t="str">
        <f>VLOOKUP(B474,'Danh mục hàng hóa'!$C$3:$D$643,2,0)</f>
        <v>Vớ cổ ngắn trắng thêu họa tiết mẫu 1</v>
      </c>
      <c r="D474" s="144" t="str">
        <f>VLOOKUP(B474,'Danh mục hàng hóa'!$C$3:$E$656,3,0)</f>
        <v>đôi</v>
      </c>
      <c r="E474" s="320">
        <v>11000</v>
      </c>
      <c r="F474" s="317"/>
      <c r="G474" s="313">
        <v>1</v>
      </c>
    </row>
    <row r="475" spans="1:7" ht="13.2" hidden="1">
      <c r="A475" s="319">
        <v>45309</v>
      </c>
      <c r="B475" s="28" t="s">
        <v>1040</v>
      </c>
      <c r="C475" s="143" t="str">
        <f>VLOOKUP(B475,'Danh mục hàng hóa'!$C$3:$D$643,2,0)</f>
        <v>Vớ cổ ngắn trắng thêu họa tiết mẫu 3</v>
      </c>
      <c r="D475" s="144" t="str">
        <f>VLOOKUP(B475,'Danh mục hàng hóa'!$C$3:$E$656,3,0)</f>
        <v>đôi</v>
      </c>
      <c r="E475" s="320">
        <v>11000</v>
      </c>
      <c r="F475" s="317"/>
      <c r="G475" s="313">
        <v>2</v>
      </c>
    </row>
    <row r="476" spans="1:7" ht="13.2" hidden="1">
      <c r="A476" s="319">
        <v>45309</v>
      </c>
      <c r="B476" s="28" t="s">
        <v>1044</v>
      </c>
      <c r="C476" s="143" t="str">
        <f>VLOOKUP(B476,'Danh mục hàng hóa'!$C$3:$D$643,2,0)</f>
        <v>Vớ cổ ngắn trắng thêu họa tiết mẫu 5</v>
      </c>
      <c r="D476" s="144" t="str">
        <f>VLOOKUP(B476,'Danh mục hàng hóa'!$C$3:$E$656,3,0)</f>
        <v>đôi</v>
      </c>
      <c r="E476" s="320">
        <v>11000</v>
      </c>
      <c r="F476" s="317"/>
      <c r="G476" s="313">
        <v>1</v>
      </c>
    </row>
    <row r="477" spans="1:7" ht="13.2" hidden="1">
      <c r="A477" s="319">
        <v>45309</v>
      </c>
      <c r="B477" s="28" t="s">
        <v>438</v>
      </c>
      <c r="C477" s="143" t="str">
        <f>VLOOKUP(B477,'Danh mục hàng hóa'!$C$3:$D$643,2,0)</f>
        <v>Bao lì xì Tết xanh</v>
      </c>
      <c r="D477" s="144" t="str">
        <f>VLOOKUP(B477,'Danh mục hàng hóa'!$C$3:$E$656,3,0)</f>
        <v>set 6 cái</v>
      </c>
      <c r="E477" s="320">
        <v>14000</v>
      </c>
      <c r="F477" s="317"/>
      <c r="G477" s="313">
        <v>2</v>
      </c>
    </row>
    <row r="478" spans="1:7" ht="13.2" hidden="1">
      <c r="A478" s="319">
        <v>45310</v>
      </c>
      <c r="B478" s="28" t="s">
        <v>915</v>
      </c>
      <c r="C478" s="143" t="str">
        <f>VLOOKUP(B478,'Danh mục hàng hóa'!$C$3:$D$643,2,0)</f>
        <v>Thỏ chạy xe gắn xe</v>
      </c>
      <c r="D478" s="144" t="str">
        <f>VLOOKUP(B478,'Danh mục hàng hóa'!$C$3:$E$656,3,0)</f>
        <v>cái</v>
      </c>
      <c r="E478" s="211">
        <v>28222</v>
      </c>
      <c r="F478" s="317"/>
      <c r="G478" s="313">
        <v>1</v>
      </c>
    </row>
    <row r="479" spans="1:7" ht="13.2" hidden="1">
      <c r="A479" s="319">
        <v>45310</v>
      </c>
      <c r="B479" s="28" t="s">
        <v>566</v>
      </c>
      <c r="C479" s="143" t="str">
        <f>VLOOKUP(B479,'Danh mục hàng hóa'!$C$3:$D$643,2,0)</f>
        <v>Ống 8 dây cột tóc đen nâu be</v>
      </c>
      <c r="D479" s="144" t="str">
        <f>VLOOKUP(B479,'Danh mục hàng hóa'!$C$3:$E$656,3,0)</f>
        <v>ống</v>
      </c>
      <c r="E479" s="321">
        <f>49220/2</f>
        <v>24610</v>
      </c>
      <c r="F479" s="317"/>
      <c r="G479" s="313">
        <v>2</v>
      </c>
    </row>
    <row r="480" spans="1:7" ht="13.2" hidden="1">
      <c r="A480" s="319">
        <v>45311</v>
      </c>
      <c r="B480" s="28" t="s">
        <v>435</v>
      </c>
      <c r="C480" s="143" t="str">
        <f>VLOOKUP(B480,'Danh mục hàng hóa'!$C$3:$D$643,2,0)</f>
        <v>Bao lì xì Tết tài lộc</v>
      </c>
      <c r="D480" s="144" t="str">
        <f>VLOOKUP(B480,'Danh mục hàng hóa'!$C$3:$E$656,3,0)</f>
        <v>set 6 cái</v>
      </c>
      <c r="E480" s="321">
        <f t="shared" ref="E480:E483" si="30">77648/9</f>
        <v>8627.5555555555547</v>
      </c>
      <c r="F480" s="317"/>
      <c r="G480" s="313">
        <v>2</v>
      </c>
    </row>
    <row r="481" spans="1:7" ht="13.2" hidden="1">
      <c r="A481" s="319">
        <v>45311</v>
      </c>
      <c r="B481" s="28" t="s">
        <v>437</v>
      </c>
      <c r="C481" s="143" t="str">
        <f>VLOOKUP(B481,'Danh mục hàng hóa'!$C$3:$D$643,2,0)</f>
        <v>Bao lì xì Tết hoa</v>
      </c>
      <c r="D481" s="144" t="str">
        <f>VLOOKUP(B481,'Danh mục hàng hóa'!$C$3:$E$656,3,0)</f>
        <v>set 6 cái</v>
      </c>
      <c r="E481" s="321">
        <f t="shared" si="30"/>
        <v>8627.5555555555547</v>
      </c>
      <c r="F481" s="317"/>
      <c r="G481" s="313">
        <v>3</v>
      </c>
    </row>
    <row r="482" spans="1:7" ht="13.2" hidden="1">
      <c r="A482" s="319">
        <v>45311</v>
      </c>
      <c r="B482" s="28" t="s">
        <v>438</v>
      </c>
      <c r="C482" s="143" t="str">
        <f>VLOOKUP(B482,'Danh mục hàng hóa'!$C$3:$D$643,2,0)</f>
        <v>Bao lì xì Tết xanh</v>
      </c>
      <c r="D482" s="144" t="str">
        <f>VLOOKUP(B482,'Danh mục hàng hóa'!$C$3:$E$656,3,0)</f>
        <v>set 6 cái</v>
      </c>
      <c r="E482" s="321">
        <f t="shared" si="30"/>
        <v>8627.5555555555547</v>
      </c>
      <c r="F482" s="317"/>
      <c r="G482" s="313">
        <v>2</v>
      </c>
    </row>
    <row r="483" spans="1:7" ht="13.2" hidden="1">
      <c r="A483" s="319">
        <v>45311</v>
      </c>
      <c r="B483" s="28" t="s">
        <v>439</v>
      </c>
      <c r="C483" s="143" t="str">
        <f>VLOOKUP(B483,'Danh mục hàng hóa'!$C$3:$D$643,2,0)</f>
        <v>Bao lì xì vui vẻ</v>
      </c>
      <c r="D483" s="144" t="str">
        <f>VLOOKUP(B483,'Danh mục hàng hóa'!$C$3:$E$656,3,0)</f>
        <v>set 6 cái</v>
      </c>
      <c r="E483" s="321">
        <f t="shared" si="30"/>
        <v>8627.5555555555547</v>
      </c>
      <c r="F483" s="317"/>
      <c r="G483" s="313">
        <v>2</v>
      </c>
    </row>
    <row r="484" spans="1:7" ht="13.2" hidden="1">
      <c r="A484" s="319"/>
      <c r="B484" s="28" t="s">
        <v>482</v>
      </c>
      <c r="C484" s="143" t="str">
        <f>VLOOKUP(B484,'Danh mục hàng hóa'!$C$3:$D$643,2,0)</f>
        <v>Trâm cài 01</v>
      </c>
      <c r="D484" s="144" t="str">
        <f>VLOOKUP(B484,'Danh mục hàng hóa'!$C$3:$E$656,3,0)</f>
        <v>cây</v>
      </c>
      <c r="E484" s="321">
        <v>16610.900000000001</v>
      </c>
      <c r="F484" s="313">
        <v>3</v>
      </c>
      <c r="G484" s="317"/>
    </row>
    <row r="485" spans="1:7" ht="13.2" hidden="1">
      <c r="A485" s="319"/>
      <c r="B485" s="28" t="s">
        <v>485</v>
      </c>
      <c r="C485" s="143" t="str">
        <f>VLOOKUP(B485,'Danh mục hàng hóa'!$C$3:$D$643,2,0)</f>
        <v>Trâm cài 02</v>
      </c>
      <c r="D485" s="144" t="str">
        <f>VLOOKUP(B485,'Danh mục hàng hóa'!$C$3:$E$656,3,0)</f>
        <v>cây</v>
      </c>
      <c r="E485" s="321">
        <v>16014.199999999999</v>
      </c>
      <c r="F485" s="313">
        <v>10</v>
      </c>
      <c r="G485" s="317"/>
    </row>
    <row r="486" spans="1:7" ht="13.2" hidden="1">
      <c r="A486" s="319"/>
      <c r="B486" s="28" t="s">
        <v>487</v>
      </c>
      <c r="C486" s="143" t="str">
        <f>VLOOKUP(B486,'Danh mục hàng hóa'!$C$3:$D$643,2,0)</f>
        <v>Trâm cài 03</v>
      </c>
      <c r="D486" s="144" t="str">
        <f>VLOOKUP(B486,'Danh mục hàng hóa'!$C$3:$E$656,3,0)</f>
        <v>cây</v>
      </c>
      <c r="E486" s="321">
        <v>17488.399999999998</v>
      </c>
      <c r="F486" s="313">
        <v>10</v>
      </c>
      <c r="G486" s="317"/>
    </row>
    <row r="487" spans="1:7" ht="13.2" hidden="1">
      <c r="A487" s="319"/>
      <c r="B487" s="28" t="s">
        <v>489</v>
      </c>
      <c r="C487" s="143" t="str">
        <f>VLOOKUP(B487,'Danh mục hàng hóa'!$C$3:$D$643,2,0)</f>
        <v>Trâm cài 04</v>
      </c>
      <c r="D487" s="144" t="str">
        <f>VLOOKUP(B487,'Danh mục hàng hóa'!$C$3:$E$656,3,0)</f>
        <v>cây</v>
      </c>
      <c r="E487" s="321">
        <v>4361</v>
      </c>
      <c r="F487" s="313">
        <v>10</v>
      </c>
      <c r="G487" s="317"/>
    </row>
    <row r="488" spans="1:7" ht="13.2" hidden="1">
      <c r="A488" s="319"/>
      <c r="B488" s="28" t="s">
        <v>491</v>
      </c>
      <c r="C488" s="143" t="str">
        <f>VLOOKUP(B488,'Danh mục hàng hóa'!$C$3:$D$643,2,0)</f>
        <v>Trâm cài 05</v>
      </c>
      <c r="D488" s="144" t="str">
        <f>VLOOKUP(B488,'Danh mục hàng hóa'!$C$3:$E$656,3,0)</f>
        <v>cây</v>
      </c>
      <c r="E488" s="321">
        <v>10643.9</v>
      </c>
      <c r="F488" s="313">
        <v>3</v>
      </c>
      <c r="G488" s="317"/>
    </row>
    <row r="489" spans="1:7" ht="13.2" hidden="1">
      <c r="A489" s="319"/>
      <c r="B489" s="28" t="s">
        <v>493</v>
      </c>
      <c r="C489" s="143" t="str">
        <f>VLOOKUP(B489,'Danh mục hàng hóa'!$C$3:$D$643,2,0)</f>
        <v>Trâm cài 06</v>
      </c>
      <c r="D489" s="144" t="str">
        <f>VLOOKUP(B489,'Danh mục hàng hóa'!$C$3:$E$656,3,0)</f>
        <v>cây</v>
      </c>
      <c r="E489" s="321">
        <v>6221.2999999999993</v>
      </c>
      <c r="F489" s="313">
        <v>15</v>
      </c>
      <c r="G489" s="317"/>
    </row>
    <row r="490" spans="1:7" ht="13.2" hidden="1">
      <c r="A490" s="319"/>
      <c r="B490" s="28" t="s">
        <v>495</v>
      </c>
      <c r="C490" s="143" t="str">
        <f>VLOOKUP(B490,'Danh mục hàng hóa'!$C$3:$D$643,2,0)</f>
        <v>Trâm cài 07</v>
      </c>
      <c r="D490" s="144" t="str">
        <f>VLOOKUP(B490,'Danh mục hàng hóa'!$C$3:$E$656,3,0)</f>
        <v>cây</v>
      </c>
      <c r="E490" s="321">
        <v>11837.3</v>
      </c>
      <c r="F490" s="313">
        <v>15</v>
      </c>
      <c r="G490" s="317"/>
    </row>
    <row r="491" spans="1:7" ht="13.2" hidden="1">
      <c r="A491" s="319"/>
      <c r="B491" s="28" t="s">
        <v>497</v>
      </c>
      <c r="C491" s="143" t="str">
        <f>VLOOKUP(B491,'Danh mục hàng hóa'!$C$3:$D$643,2,0)</f>
        <v>Trâm cài 08</v>
      </c>
      <c r="D491" s="144" t="str">
        <f>VLOOKUP(B491,'Danh mục hàng hóa'!$C$3:$E$656,3,0)</f>
        <v>cây</v>
      </c>
      <c r="E491" s="321">
        <v>29141.600000000002</v>
      </c>
      <c r="F491" s="313">
        <v>7</v>
      </c>
      <c r="G491" s="317"/>
    </row>
    <row r="492" spans="1:7" ht="13.2" hidden="1">
      <c r="A492" s="319"/>
      <c r="B492" s="28" t="s">
        <v>499</v>
      </c>
      <c r="C492" s="143" t="str">
        <f>VLOOKUP(B492,'Danh mục hàng hóa'!$C$3:$D$643,2,0)</f>
        <v>Trâm cài 09</v>
      </c>
      <c r="D492" s="144" t="str">
        <f>VLOOKUP(B492,'Danh mục hàng hóa'!$C$3:$E$656,3,0)</f>
        <v>cây</v>
      </c>
      <c r="E492" s="321">
        <v>15417.5</v>
      </c>
      <c r="F492" s="313">
        <v>15</v>
      </c>
      <c r="G492" s="317"/>
    </row>
    <row r="493" spans="1:7" ht="13.2" hidden="1">
      <c r="A493" s="319"/>
      <c r="B493" s="28" t="s">
        <v>501</v>
      </c>
      <c r="C493" s="143" t="str">
        <f>VLOOKUP(B493,'Danh mục hàng hóa'!$C$3:$D$643,2,0)</f>
        <v>Trâm cài 10</v>
      </c>
      <c r="D493" s="144" t="str">
        <f>VLOOKUP(B493,'Danh mục hàng hóa'!$C$3:$E$656,3,0)</f>
        <v>cây</v>
      </c>
      <c r="E493" s="321">
        <v>4361</v>
      </c>
      <c r="F493" s="313">
        <v>15</v>
      </c>
      <c r="G493" s="317"/>
    </row>
    <row r="494" spans="1:7" ht="13.2" hidden="1">
      <c r="A494" s="319"/>
      <c r="B494" s="28" t="s">
        <v>503</v>
      </c>
      <c r="C494" s="143" t="str">
        <f>VLOOKUP(B494,'Danh mục hàng hóa'!$C$3:$D$643,2,0)</f>
        <v>Trâm cài 11</v>
      </c>
      <c r="D494" s="144" t="str">
        <f>VLOOKUP(B494,'Danh mục hàng hóa'!$C$3:$E$656,3,0)</f>
        <v>cây</v>
      </c>
      <c r="E494" s="321">
        <v>17207.599999999999</v>
      </c>
      <c r="F494" s="313">
        <v>10</v>
      </c>
      <c r="G494" s="317"/>
    </row>
    <row r="495" spans="1:7" ht="13.2" hidden="1">
      <c r="A495" s="319"/>
      <c r="B495" s="28" t="s">
        <v>505</v>
      </c>
      <c r="C495" s="143" t="str">
        <f>VLOOKUP(B495,'Danh mục hàng hóa'!$C$3:$D$643,2,0)</f>
        <v>Trâm cài 12</v>
      </c>
      <c r="D495" s="144" t="str">
        <f>VLOOKUP(B495,'Danh mục hàng hóa'!$C$3:$E$656,3,0)</f>
        <v>cây</v>
      </c>
      <c r="E495" s="321">
        <v>19278.5</v>
      </c>
      <c r="F495" s="313">
        <v>10</v>
      </c>
      <c r="G495" s="317"/>
    </row>
    <row r="496" spans="1:7" ht="13.2" hidden="1">
      <c r="A496" s="319"/>
      <c r="B496" s="28" t="s">
        <v>507</v>
      </c>
      <c r="C496" s="143" t="str">
        <f>VLOOKUP(B496,'Danh mục hàng hóa'!$C$3:$D$643,2,0)</f>
        <v>Trâm cài 13</v>
      </c>
      <c r="D496" s="144" t="str">
        <f>VLOOKUP(B496,'Danh mục hàng hóa'!$C$3:$E$656,3,0)</f>
        <v>cây</v>
      </c>
      <c r="E496" s="321">
        <v>21981.200000000001</v>
      </c>
      <c r="F496" s="313">
        <v>3</v>
      </c>
      <c r="G496" s="317"/>
    </row>
    <row r="497" spans="1:7" ht="13.2" hidden="1">
      <c r="A497" s="319"/>
      <c r="B497" s="28" t="s">
        <v>509</v>
      </c>
      <c r="C497" s="143" t="str">
        <f>VLOOKUP(B497,'Danh mục hàng hóa'!$C$3:$D$643,2,0)</f>
        <v>Trâm cài 14</v>
      </c>
      <c r="D497" s="144" t="str">
        <f>VLOOKUP(B497,'Danh mục hàng hóa'!$C$3:$E$656,3,0)</f>
        <v>cây</v>
      </c>
      <c r="E497" s="321">
        <v>25561.399999999998</v>
      </c>
      <c r="F497" s="313">
        <v>2</v>
      </c>
      <c r="G497" s="317"/>
    </row>
    <row r="498" spans="1:7" ht="13.2" hidden="1">
      <c r="A498" s="319"/>
      <c r="B498" s="28" t="s">
        <v>511</v>
      </c>
      <c r="C498" s="143" t="str">
        <f>VLOOKUP(B498,'Danh mục hàng hóa'!$C$3:$D$643,2,0)</f>
        <v>Trâm cài 15</v>
      </c>
      <c r="D498" s="144" t="str">
        <f>VLOOKUP(B498,'Danh mục hàng hóa'!$C$3:$E$656,3,0)</f>
        <v>cây</v>
      </c>
      <c r="E498" s="321">
        <v>14820.800000000001</v>
      </c>
      <c r="F498" s="313">
        <v>3</v>
      </c>
      <c r="G498" s="317"/>
    </row>
    <row r="499" spans="1:7" ht="13.2" hidden="1">
      <c r="A499" s="319"/>
      <c r="B499" s="28" t="s">
        <v>513</v>
      </c>
      <c r="C499" s="143" t="str">
        <f>VLOOKUP(B499,'Danh mục hàng hóa'!$C$3:$D$643,2,0)</f>
        <v>Trâm cài 16</v>
      </c>
      <c r="D499" s="144" t="str">
        <f>VLOOKUP(B499,'Danh mục hàng hóa'!$C$3:$E$656,3,0)</f>
        <v>cây</v>
      </c>
      <c r="E499" s="321">
        <v>14504.900000000001</v>
      </c>
      <c r="F499" s="313">
        <v>5</v>
      </c>
      <c r="G499" s="317"/>
    </row>
    <row r="500" spans="1:7" ht="13.2" hidden="1">
      <c r="A500" s="319"/>
      <c r="B500" s="28" t="s">
        <v>515</v>
      </c>
      <c r="C500" s="143" t="str">
        <f>VLOOKUP(B500,'Danh mục hàng hóa'!$C$3:$D$643,2,0)</f>
        <v>Trâm cài 17</v>
      </c>
      <c r="D500" s="144" t="str">
        <f>VLOOKUP(B500,'Danh mục hàng hóa'!$C$3:$E$656,3,0)</f>
        <v>cây</v>
      </c>
      <c r="E500" s="321">
        <v>14504.900000000001</v>
      </c>
      <c r="F500" s="313">
        <v>5</v>
      </c>
      <c r="G500" s="317"/>
    </row>
    <row r="501" spans="1:7" ht="13.2" hidden="1">
      <c r="A501" s="319"/>
      <c r="B501" s="28" t="s">
        <v>517</v>
      </c>
      <c r="C501" s="143" t="str">
        <f>VLOOKUP(B501,'Danh mục hàng hóa'!$C$3:$D$643,2,0)</f>
        <v>Trâm cài 18</v>
      </c>
      <c r="D501" s="144" t="str">
        <f>VLOOKUP(B501,'Danh mục hàng hóa'!$C$3:$E$656,3,0)</f>
        <v>cây</v>
      </c>
      <c r="E501" s="321">
        <v>14504.900000000001</v>
      </c>
      <c r="F501" s="313">
        <v>5</v>
      </c>
      <c r="G501" s="317"/>
    </row>
    <row r="502" spans="1:7" ht="13.2" hidden="1">
      <c r="A502" s="319"/>
      <c r="B502" s="28" t="s">
        <v>519</v>
      </c>
      <c r="C502" s="143" t="str">
        <f>VLOOKUP(B502,'Danh mục hàng hóa'!$C$3:$D$643,2,0)</f>
        <v>Trâm cài 19</v>
      </c>
      <c r="D502" s="144" t="str">
        <f>VLOOKUP(B502,'Danh mục hàng hóa'!$C$3:$E$656,3,0)</f>
        <v>cây</v>
      </c>
      <c r="E502" s="321">
        <v>20436.8</v>
      </c>
      <c r="F502" s="313">
        <v>5</v>
      </c>
      <c r="G502" s="317"/>
    </row>
    <row r="503" spans="1:7" ht="13.2" hidden="1">
      <c r="A503" s="319"/>
      <c r="B503" s="28" t="s">
        <v>521</v>
      </c>
      <c r="C503" s="143" t="str">
        <f>VLOOKUP(B503,'Danh mục hàng hóa'!$C$3:$D$643,2,0)</f>
        <v>Trâm cài 20</v>
      </c>
      <c r="D503" s="144" t="str">
        <f>VLOOKUP(B503,'Danh mục hàng hóa'!$C$3:$E$656,3,0)</f>
        <v>cây</v>
      </c>
      <c r="E503" s="321">
        <v>14504.900000000001</v>
      </c>
      <c r="F503" s="313">
        <v>5</v>
      </c>
      <c r="G503" s="313"/>
    </row>
    <row r="504" spans="1:7" ht="13.2" hidden="1">
      <c r="A504" s="319"/>
      <c r="B504" s="28" t="s">
        <v>523</v>
      </c>
      <c r="C504" s="143" t="str">
        <f>VLOOKUP(B504,'Danh mục hàng hóa'!$C$3:$D$643,2,0)</f>
        <v>Trâm cài 21</v>
      </c>
      <c r="D504" s="144" t="str">
        <f>VLOOKUP(B504,'Danh mục hàng hóa'!$C$3:$E$656,3,0)</f>
        <v>cây</v>
      </c>
      <c r="E504" s="321">
        <v>14504.900000000001</v>
      </c>
      <c r="F504" s="313">
        <v>5</v>
      </c>
      <c r="G504" s="313"/>
    </row>
    <row r="505" spans="1:7" ht="13.2" hidden="1">
      <c r="A505" s="319"/>
      <c r="B505" s="28" t="s">
        <v>543</v>
      </c>
      <c r="C505" s="143" t="str">
        <f>VLOOKUP(B505,'Danh mục hàng hóa'!$C$3:$D$643,2,0)</f>
        <v>Kẹp tóc kim loại bông hoa</v>
      </c>
      <c r="D505" s="144" t="str">
        <f>VLOOKUP(B505,'Danh mục hàng hóa'!$C$3:$E$656,3,0)</f>
        <v>cái</v>
      </c>
      <c r="E505" s="320">
        <v>7064</v>
      </c>
      <c r="F505" s="313">
        <v>9</v>
      </c>
      <c r="G505" s="313"/>
    </row>
    <row r="506" spans="1:7" ht="13.2" hidden="1">
      <c r="A506" s="319"/>
      <c r="B506" s="28" t="s">
        <v>545</v>
      </c>
      <c r="C506" s="143" t="str">
        <f>VLOOKUP(B506,'Danh mục hàng hóa'!$C$3:$D$643,2,0)</f>
        <v>Kẹp tóc kim loại ngôi sao</v>
      </c>
      <c r="D506" s="144" t="str">
        <f>VLOOKUP(B506,'Danh mục hàng hóa'!$C$3:$E$656,3,0)</f>
        <v>cái</v>
      </c>
      <c r="E506" s="320">
        <v>7064</v>
      </c>
      <c r="F506" s="313">
        <v>10</v>
      </c>
      <c r="G506" s="313"/>
    </row>
    <row r="507" spans="1:7" ht="13.2" hidden="1">
      <c r="A507" s="319"/>
      <c r="B507" s="28" t="s">
        <v>547</v>
      </c>
      <c r="C507" s="143" t="str">
        <f>VLOOKUP(B507,'Danh mục hàng hóa'!$C$3:$D$643,2,0)</f>
        <v>Kẹp tóc kim loại vỏ sò</v>
      </c>
      <c r="D507" s="144" t="str">
        <f>VLOOKUP(B507,'Danh mục hàng hóa'!$C$3:$E$656,3,0)</f>
        <v>cái</v>
      </c>
      <c r="E507" s="320">
        <v>7064</v>
      </c>
      <c r="F507" s="313">
        <v>10</v>
      </c>
      <c r="G507" s="313"/>
    </row>
    <row r="508" spans="1:7" ht="13.2" hidden="1">
      <c r="A508" s="319">
        <v>45312</v>
      </c>
      <c r="B508" s="28" t="s">
        <v>505</v>
      </c>
      <c r="C508" s="143" t="str">
        <f>VLOOKUP(B508,'Danh mục hàng hóa'!$C$3:$D$643,2,0)</f>
        <v>Trâm cài 12</v>
      </c>
      <c r="D508" s="144" t="str">
        <f>VLOOKUP(B508,'Danh mục hàng hóa'!$C$3:$E$656,3,0)</f>
        <v>cây</v>
      </c>
      <c r="E508" s="320">
        <v>35572</v>
      </c>
      <c r="F508" s="317"/>
      <c r="G508" s="313">
        <v>1</v>
      </c>
    </row>
    <row r="509" spans="1:7" ht="13.2" hidden="1">
      <c r="A509" s="319">
        <v>45312</v>
      </c>
      <c r="B509" s="28" t="s">
        <v>517</v>
      </c>
      <c r="C509" s="143" t="str">
        <f>VLOOKUP(B509,'Danh mục hàng hóa'!$C$3:$D$643,2,0)</f>
        <v>Trâm cài 18</v>
      </c>
      <c r="D509" s="144" t="str">
        <f>VLOOKUP(B509,'Danh mục hàng hóa'!$C$3:$E$656,3,0)</f>
        <v>cây</v>
      </c>
      <c r="E509" s="320">
        <v>25000</v>
      </c>
      <c r="F509" s="317"/>
      <c r="G509" s="313">
        <v>1</v>
      </c>
    </row>
    <row r="510" spans="1:7" ht="13.2" hidden="1">
      <c r="A510" s="319">
        <v>45312</v>
      </c>
      <c r="B510" s="28" t="s">
        <v>505</v>
      </c>
      <c r="C510" s="143" t="str">
        <f>VLOOKUP(B510,'Danh mục hàng hóa'!$C$3:$D$643,2,0)</f>
        <v>Trâm cài 12</v>
      </c>
      <c r="D510" s="144" t="str">
        <f>VLOOKUP(B510,'Danh mục hàng hóa'!$C$3:$E$656,3,0)</f>
        <v>cây</v>
      </c>
      <c r="E510" s="320">
        <v>34260</v>
      </c>
      <c r="F510" s="317"/>
      <c r="G510" s="313">
        <v>1</v>
      </c>
    </row>
    <row r="511" spans="1:7" ht="13.2" hidden="1">
      <c r="A511" s="319">
        <v>45313</v>
      </c>
      <c r="B511" s="28" t="s">
        <v>437</v>
      </c>
      <c r="C511" s="143" t="str">
        <f>VLOOKUP(B511,'Danh mục hàng hóa'!$C$3:$D$643,2,0)</f>
        <v>Bao lì xì Tết hoa</v>
      </c>
      <c r="D511" s="144" t="str">
        <f>VLOOKUP(B511,'Danh mục hàng hóa'!$C$3:$E$656,3,0)</f>
        <v>set 6 cái</v>
      </c>
      <c r="E511" s="321">
        <f t="shared" ref="E511:E513" si="31">43508/4</f>
        <v>10877</v>
      </c>
      <c r="F511" s="317"/>
      <c r="G511" s="313">
        <v>1</v>
      </c>
    </row>
    <row r="512" spans="1:7" ht="13.2" hidden="1">
      <c r="A512" s="319">
        <v>45313</v>
      </c>
      <c r="B512" s="28" t="s">
        <v>438</v>
      </c>
      <c r="C512" s="143" t="str">
        <f>VLOOKUP(B512,'Danh mục hàng hóa'!$C$3:$D$643,2,0)</f>
        <v>Bao lì xì Tết xanh</v>
      </c>
      <c r="D512" s="144" t="str">
        <f>VLOOKUP(B512,'Danh mục hàng hóa'!$C$3:$E$656,3,0)</f>
        <v>set 6 cái</v>
      </c>
      <c r="E512" s="321">
        <f t="shared" si="31"/>
        <v>10877</v>
      </c>
      <c r="F512" s="317"/>
      <c r="G512" s="313">
        <v>2</v>
      </c>
    </row>
    <row r="513" spans="1:7" ht="13.2" hidden="1">
      <c r="A513" s="319">
        <v>45313</v>
      </c>
      <c r="B513" s="28" t="s">
        <v>439</v>
      </c>
      <c r="C513" s="143" t="str">
        <f>VLOOKUP(B513,'Danh mục hàng hóa'!$C$3:$D$643,2,0)</f>
        <v>Bao lì xì vui vẻ</v>
      </c>
      <c r="D513" s="144" t="str">
        <f>VLOOKUP(B513,'Danh mục hàng hóa'!$C$3:$E$656,3,0)</f>
        <v>set 6 cái</v>
      </c>
      <c r="E513" s="321">
        <f t="shared" si="31"/>
        <v>10877</v>
      </c>
      <c r="F513" s="317"/>
      <c r="G513" s="313">
        <v>1</v>
      </c>
    </row>
    <row r="514" spans="1:7" ht="13.2" hidden="1">
      <c r="A514" s="319">
        <v>45313</v>
      </c>
      <c r="B514" s="28" t="s">
        <v>977</v>
      </c>
      <c r="C514" s="143" t="str">
        <f>VLOOKUP(B514,'Danh mục hàng hóa'!$C$3:$D$643,2,0)</f>
        <v>Móc khóa đôi heo</v>
      </c>
      <c r="D514" s="144" t="str">
        <f>VLOOKUP(B514,'Danh mục hàng hóa'!$C$3:$E$656,3,0)</f>
        <v>cái</v>
      </c>
      <c r="E514" s="320">
        <v>45000</v>
      </c>
      <c r="F514" s="317"/>
      <c r="G514" s="313">
        <v>1</v>
      </c>
    </row>
    <row r="515" spans="1:7" ht="13.2" hidden="1">
      <c r="A515" s="319">
        <v>45313</v>
      </c>
      <c r="B515" s="143" t="s">
        <v>679</v>
      </c>
      <c r="C515" s="143" t="str">
        <f>VLOOKUP(B515,'Danh mục hàng hóa'!$C$3:$D$643,2,0)</f>
        <v>Buộc tóc voan hồng lớn</v>
      </c>
      <c r="D515" s="144" t="str">
        <f>VLOOKUP(B515,'Danh mục hàng hóa'!$C$3:$E$656,3,0)</f>
        <v>cái</v>
      </c>
      <c r="E515" s="320">
        <v>11000</v>
      </c>
      <c r="F515" s="317"/>
      <c r="G515" s="313">
        <v>1</v>
      </c>
    </row>
    <row r="516" spans="1:7" ht="13.2" hidden="1">
      <c r="A516" s="319">
        <v>45313</v>
      </c>
      <c r="B516" s="143" t="s">
        <v>683</v>
      </c>
      <c r="C516" s="143" t="str">
        <f>VLOOKUP(B516,'Danh mục hàng hóa'!$C$3:$D$643,2,0)</f>
        <v>Buộc tóc voan kem lớn</v>
      </c>
      <c r="D516" s="144" t="str">
        <f>VLOOKUP(B516,'Danh mục hàng hóa'!$C$3:$E$656,3,0)</f>
        <v>cái</v>
      </c>
      <c r="E516" s="320">
        <v>11000</v>
      </c>
      <c r="F516" s="317"/>
      <c r="G516" s="313">
        <v>1</v>
      </c>
    </row>
    <row r="517" spans="1:7" ht="13.2" hidden="1">
      <c r="A517" s="319">
        <v>45314</v>
      </c>
      <c r="B517" s="28" t="s">
        <v>880</v>
      </c>
      <c r="C517" s="143" t="str">
        <f>VLOOKUP(B517,'Danh mục hàng hóa'!$C$3:$D$643,2,0)</f>
        <v>Dao rọc giấy mèo tím</v>
      </c>
      <c r="D517" s="144" t="str">
        <f>VLOOKUP(B517,'Danh mục hàng hóa'!$C$3:$E$656,3,0)</f>
        <v>cái</v>
      </c>
      <c r="E517" s="320">
        <v>8000</v>
      </c>
      <c r="F517" s="317"/>
      <c r="G517" s="313">
        <v>1</v>
      </c>
    </row>
    <row r="518" spans="1:7" ht="13.2" hidden="1">
      <c r="A518" s="319">
        <v>45314</v>
      </c>
      <c r="B518" s="28" t="s">
        <v>437</v>
      </c>
      <c r="C518" s="143" t="str">
        <f>VLOOKUP(B518,'Danh mục hàng hóa'!$C$3:$D$643,2,0)</f>
        <v>Bao lì xì Tết hoa</v>
      </c>
      <c r="D518" s="144" t="str">
        <f>VLOOKUP(B518,'Danh mục hàng hóa'!$C$3:$E$656,3,0)</f>
        <v>set 6 cái</v>
      </c>
      <c r="E518" s="320">
        <v>9308</v>
      </c>
      <c r="F518" s="317"/>
      <c r="G518" s="313">
        <v>1</v>
      </c>
    </row>
    <row r="519" spans="1:7" ht="13.2" hidden="1">
      <c r="A519" s="319">
        <v>45314</v>
      </c>
      <c r="B519" s="28" t="s">
        <v>438</v>
      </c>
      <c r="C519" s="143" t="str">
        <f>VLOOKUP(B519,'Danh mục hàng hóa'!$C$3:$D$643,2,0)</f>
        <v>Bao lì xì Tết xanh</v>
      </c>
      <c r="D519" s="144" t="str">
        <f>VLOOKUP(B519,'Danh mục hàng hóa'!$C$3:$E$656,3,0)</f>
        <v>set 6 cái</v>
      </c>
      <c r="E519" s="320">
        <v>9308</v>
      </c>
      <c r="F519" s="317"/>
      <c r="G519" s="313">
        <v>1</v>
      </c>
    </row>
    <row r="520" spans="1:7" ht="13.2" hidden="1">
      <c r="A520" s="319">
        <v>45314</v>
      </c>
      <c r="B520" s="28" t="s">
        <v>439</v>
      </c>
      <c r="C520" s="143" t="str">
        <f>VLOOKUP(B520,'Danh mục hàng hóa'!$C$3:$D$643,2,0)</f>
        <v>Bao lì xì vui vẻ</v>
      </c>
      <c r="D520" s="144" t="str">
        <f>VLOOKUP(B520,'Danh mục hàng hóa'!$C$3:$E$656,3,0)</f>
        <v>set 6 cái</v>
      </c>
      <c r="E520" s="320">
        <v>9308</v>
      </c>
      <c r="F520" s="317"/>
      <c r="G520" s="313">
        <v>2</v>
      </c>
    </row>
    <row r="521" spans="1:7" ht="13.2" hidden="1">
      <c r="A521" s="319">
        <v>45315</v>
      </c>
      <c r="B521" s="28" t="s">
        <v>519</v>
      </c>
      <c r="C521" s="143" t="str">
        <f>VLOOKUP(B521,'Danh mục hàng hóa'!$C$3:$D$643,2,0)</f>
        <v>Trâm cài 19</v>
      </c>
      <c r="D521" s="144" t="str">
        <f>VLOOKUP(B521,'Danh mục hàng hóa'!$C$3:$E$656,3,0)</f>
        <v>cây</v>
      </c>
      <c r="E521" s="320">
        <v>25000</v>
      </c>
      <c r="F521" s="317"/>
      <c r="G521" s="313">
        <v>1</v>
      </c>
    </row>
    <row r="522" spans="1:7" ht="13.2" hidden="1">
      <c r="A522" s="319">
        <v>45315</v>
      </c>
      <c r="B522" s="28" t="s">
        <v>511</v>
      </c>
      <c r="C522" s="143" t="str">
        <f>VLOOKUP(B522,'Danh mục hàng hóa'!$C$3:$D$643,2,0)</f>
        <v>Trâm cài 15</v>
      </c>
      <c r="D522" s="144" t="str">
        <f>VLOOKUP(B522,'Danh mục hàng hóa'!$C$3:$E$656,3,0)</f>
        <v>cây</v>
      </c>
      <c r="E522" s="320">
        <v>25000</v>
      </c>
      <c r="F522" s="317"/>
      <c r="G522" s="313">
        <v>1</v>
      </c>
    </row>
    <row r="523" spans="1:7" ht="13.2" hidden="1">
      <c r="A523" s="319">
        <v>45315</v>
      </c>
      <c r="B523" s="28" t="s">
        <v>495</v>
      </c>
      <c r="C523" s="143" t="str">
        <f>VLOOKUP(B523,'Danh mục hàng hóa'!$C$3:$D$643,2,0)</f>
        <v>Trâm cài 07</v>
      </c>
      <c r="D523" s="144" t="str">
        <f>VLOOKUP(B523,'Danh mục hàng hóa'!$C$3:$E$656,3,0)</f>
        <v>cây</v>
      </c>
      <c r="E523" s="320">
        <v>25000</v>
      </c>
      <c r="F523" s="317"/>
      <c r="G523" s="313">
        <v>1</v>
      </c>
    </row>
    <row r="524" spans="1:7" ht="13.2" hidden="1">
      <c r="A524" s="319">
        <v>45316</v>
      </c>
      <c r="B524" s="28" t="s">
        <v>977</v>
      </c>
      <c r="C524" s="143" t="str">
        <f>VLOOKUP(B524,'Danh mục hàng hóa'!$C$3:$D$643,2,0)</f>
        <v>Móc khóa đôi heo</v>
      </c>
      <c r="D524" s="144" t="str">
        <f>VLOOKUP(B524,'Danh mục hàng hóa'!$C$3:$E$656,3,0)</f>
        <v>cái</v>
      </c>
      <c r="E524" s="320">
        <v>41520</v>
      </c>
      <c r="F524" s="317"/>
      <c r="G524" s="313">
        <v>1</v>
      </c>
    </row>
    <row r="525" spans="1:7" ht="13.2" hidden="1">
      <c r="A525" s="319">
        <v>45317</v>
      </c>
      <c r="B525" s="28" t="s">
        <v>493</v>
      </c>
      <c r="C525" s="143" t="str">
        <f>VLOOKUP(B525,'Danh mục hàng hóa'!$C$3:$D$643,2,0)</f>
        <v>Trâm cài 06</v>
      </c>
      <c r="D525" s="144" t="str">
        <f>VLOOKUP(B525,'Danh mục hàng hóa'!$C$3:$E$656,3,0)</f>
        <v>cây</v>
      </c>
      <c r="E525" s="320">
        <v>12260</v>
      </c>
      <c r="F525" s="317"/>
      <c r="G525" s="313">
        <v>1</v>
      </c>
    </row>
    <row r="526" spans="1:7" ht="13.2" hidden="1">
      <c r="A526" s="319">
        <v>45317</v>
      </c>
      <c r="B526" s="28" t="s">
        <v>435</v>
      </c>
      <c r="C526" s="143" t="str">
        <f>VLOOKUP(B526,'Danh mục hàng hóa'!$C$3:$D$643,2,0)</f>
        <v>Bao lì xì Tết tài lộc</v>
      </c>
      <c r="D526" s="144" t="str">
        <f>VLOOKUP(B526,'Danh mục hàng hóa'!$C$3:$E$656,3,0)</f>
        <v>set 6 cái</v>
      </c>
      <c r="E526" s="321">
        <f t="shared" ref="E526:E527" si="32">23072/3</f>
        <v>7690.666666666667</v>
      </c>
      <c r="F526" s="317"/>
      <c r="G526" s="313">
        <v>1</v>
      </c>
    </row>
    <row r="527" spans="1:7" ht="13.2" hidden="1">
      <c r="A527" s="319">
        <v>45317</v>
      </c>
      <c r="B527" s="28" t="s">
        <v>437</v>
      </c>
      <c r="C527" s="143" t="str">
        <f>VLOOKUP(B527,'Danh mục hàng hóa'!$C$3:$D$643,2,0)</f>
        <v>Bao lì xì Tết hoa</v>
      </c>
      <c r="D527" s="144" t="str">
        <f>VLOOKUP(B527,'Danh mục hàng hóa'!$C$3:$E$656,3,0)</f>
        <v>set 6 cái</v>
      </c>
      <c r="E527" s="321">
        <f t="shared" si="32"/>
        <v>7690.666666666667</v>
      </c>
      <c r="F527" s="317"/>
      <c r="G527" s="313">
        <v>2</v>
      </c>
    </row>
    <row r="528" spans="1:7" ht="13.2" hidden="1">
      <c r="A528" s="319">
        <v>45317</v>
      </c>
      <c r="B528" s="28" t="s">
        <v>981</v>
      </c>
      <c r="C528" s="143" t="str">
        <f>VLOOKUP(B528,'Danh mục hàng hóa'!$C$3:$D$643,2,0)</f>
        <v>Móc khóa đôi corgy</v>
      </c>
      <c r="D528" s="144" t="str">
        <f>VLOOKUP(B528,'Danh mục hàng hóa'!$C$3:$E$656,3,0)</f>
        <v>cái</v>
      </c>
      <c r="E528" s="320">
        <v>41260</v>
      </c>
      <c r="F528" s="317"/>
      <c r="G528" s="313">
        <v>1</v>
      </c>
    </row>
    <row r="529" spans="1:7" ht="13.2" hidden="1">
      <c r="A529" s="319">
        <v>45317</v>
      </c>
      <c r="B529" s="28" t="s">
        <v>552</v>
      </c>
      <c r="C529" s="143" t="str">
        <f>VLOOKUP(B529,'Danh mục hàng hóa'!$C$3:$D$643,2,0)</f>
        <v>Ống 20 dây cột tóc kem be nâu</v>
      </c>
      <c r="D529" s="144" t="str">
        <f>VLOOKUP(B529,'Danh mục hàng hóa'!$C$3:$E$656,3,0)</f>
        <v>ống</v>
      </c>
      <c r="E529" s="320">
        <v>14640</v>
      </c>
      <c r="F529" s="317"/>
      <c r="G529" s="313">
        <v>1</v>
      </c>
    </row>
    <row r="530" spans="1:7" ht="13.2" hidden="1">
      <c r="A530" s="319">
        <v>45317</v>
      </c>
      <c r="B530" s="28" t="s">
        <v>895</v>
      </c>
      <c r="C530" s="143" t="str">
        <f>VLOOKUP(B530,'Danh mục hàng hóa'!$C$3:$D$643,2,0)</f>
        <v>Thỏ chong chóng</v>
      </c>
      <c r="D530" s="144" t="str">
        <f>VLOOKUP(B530,'Danh mục hàng hóa'!$C$3:$E$656,3,0)</f>
        <v>cái</v>
      </c>
      <c r="E530" s="320">
        <v>46400</v>
      </c>
      <c r="F530" s="317"/>
      <c r="G530" s="313">
        <v>2</v>
      </c>
    </row>
    <row r="531" spans="1:7" ht="13.2" hidden="1">
      <c r="A531" s="319">
        <v>45317</v>
      </c>
      <c r="B531" s="28" t="s">
        <v>891</v>
      </c>
      <c r="C531" s="143" t="str">
        <f>VLOOKUP(B531,'Danh mục hàng hóa'!$C$3:$D$643,2,0)</f>
        <v>Heo ú</v>
      </c>
      <c r="D531" s="144" t="str">
        <f>VLOOKUP(B531,'Danh mục hàng hóa'!$C$3:$E$656,3,0)</f>
        <v>cái</v>
      </c>
      <c r="E531" s="320">
        <v>46400</v>
      </c>
      <c r="F531" s="317"/>
      <c r="G531" s="313">
        <v>2</v>
      </c>
    </row>
    <row r="532" spans="1:7" ht="13.2" hidden="1">
      <c r="A532" s="319">
        <v>45317</v>
      </c>
      <c r="B532" s="28" t="s">
        <v>887</v>
      </c>
      <c r="C532" s="143" t="str">
        <f>VLOOKUP(B532,'Danh mục hàng hóa'!$C$3:$D$643,2,0)</f>
        <v>Mèo chong chóng</v>
      </c>
      <c r="D532" s="144" t="str">
        <f>VLOOKUP(B532,'Danh mục hàng hóa'!$C$3:$E$656,3,0)</f>
        <v>cái</v>
      </c>
      <c r="E532" s="320">
        <v>46400</v>
      </c>
      <c r="F532" s="317"/>
      <c r="G532" s="313">
        <v>1</v>
      </c>
    </row>
    <row r="533" spans="1:7" ht="13.2" hidden="1">
      <c r="A533" s="319">
        <v>45317</v>
      </c>
      <c r="B533" s="28" t="s">
        <v>915</v>
      </c>
      <c r="C533" s="143" t="str">
        <f>VLOOKUP(B533,'Danh mục hàng hóa'!$C$3:$D$643,2,0)</f>
        <v>Thỏ chạy xe gắn xe</v>
      </c>
      <c r="D533" s="144" t="str">
        <f>VLOOKUP(B533,'Danh mục hàng hóa'!$C$3:$E$656,3,0)</f>
        <v>cái</v>
      </c>
      <c r="E533" s="320">
        <v>33000</v>
      </c>
      <c r="F533" s="317"/>
      <c r="G533" s="313">
        <v>1</v>
      </c>
    </row>
    <row r="534" spans="1:7" ht="13.2" hidden="1">
      <c r="A534" s="319">
        <v>45317</v>
      </c>
      <c r="B534" s="28" t="s">
        <v>907</v>
      </c>
      <c r="C534" s="143" t="str">
        <f>VLOOKUP(B534,'Danh mục hàng hóa'!$C$3:$D$643,2,0)</f>
        <v>Cáo gắn xe</v>
      </c>
      <c r="D534" s="144" t="str">
        <f>VLOOKUP(B534,'Danh mục hàng hóa'!$C$3:$E$656,3,0)</f>
        <v>cái</v>
      </c>
      <c r="E534" s="320">
        <v>33000</v>
      </c>
      <c r="F534" s="317"/>
      <c r="G534" s="313">
        <v>1</v>
      </c>
    </row>
    <row r="535" spans="1:7" ht="13.2" hidden="1">
      <c r="A535" s="319">
        <v>45317</v>
      </c>
      <c r="B535" s="28" t="s">
        <v>482</v>
      </c>
      <c r="C535" s="143" t="str">
        <f>VLOOKUP(B535,'Danh mục hàng hóa'!$C$3:$D$643,2,0)</f>
        <v>Trâm cài 01</v>
      </c>
      <c r="D535" s="144" t="str">
        <f>VLOOKUP(B535,'Danh mục hàng hóa'!$C$3:$E$656,3,0)</f>
        <v>cây</v>
      </c>
      <c r="E535" s="320">
        <v>28000</v>
      </c>
      <c r="F535" s="317"/>
      <c r="G535" s="313">
        <v>1</v>
      </c>
    </row>
    <row r="536" spans="1:7" ht="13.2" hidden="1">
      <c r="A536" s="319">
        <v>45317</v>
      </c>
      <c r="B536" s="28" t="s">
        <v>495</v>
      </c>
      <c r="C536" s="143" t="str">
        <f>VLOOKUP(B536,'Danh mục hàng hóa'!$C$3:$D$643,2,0)</f>
        <v>Trâm cài 07</v>
      </c>
      <c r="D536" s="144" t="str">
        <f>VLOOKUP(B536,'Danh mục hàng hóa'!$C$3:$E$656,3,0)</f>
        <v>cây</v>
      </c>
      <c r="E536" s="320">
        <v>20000</v>
      </c>
      <c r="F536" s="317"/>
      <c r="G536" s="313">
        <v>1</v>
      </c>
    </row>
    <row r="537" spans="1:7" ht="13.2" hidden="1">
      <c r="A537" s="319">
        <v>45317</v>
      </c>
      <c r="B537" s="28" t="s">
        <v>507</v>
      </c>
      <c r="C537" s="143" t="str">
        <f>VLOOKUP(B537,'Danh mục hàng hóa'!$C$3:$D$643,2,0)</f>
        <v>Trâm cài 13</v>
      </c>
      <c r="D537" s="144" t="str">
        <f>VLOOKUP(B537,'Danh mục hàng hóa'!$C$3:$E$656,3,0)</f>
        <v>cây</v>
      </c>
      <c r="E537" s="320">
        <v>36000</v>
      </c>
      <c r="F537" s="317"/>
      <c r="G537" s="313">
        <v>1</v>
      </c>
    </row>
    <row r="538" spans="1:7" ht="13.2" hidden="1">
      <c r="A538" s="319">
        <v>45317</v>
      </c>
      <c r="B538" s="28" t="s">
        <v>521</v>
      </c>
      <c r="C538" s="143" t="str">
        <f>VLOOKUP(B538,'Danh mục hàng hóa'!$C$3:$D$643,2,0)</f>
        <v>Trâm cài 20</v>
      </c>
      <c r="D538" s="144" t="str">
        <f>VLOOKUP(B538,'Danh mục hàng hóa'!$C$3:$E$656,3,0)</f>
        <v>cây</v>
      </c>
      <c r="E538" s="320">
        <v>24000</v>
      </c>
      <c r="F538" s="317"/>
      <c r="G538" s="313">
        <v>1</v>
      </c>
    </row>
    <row r="539" spans="1:7" ht="13.2" hidden="1">
      <c r="A539" s="319">
        <v>45318</v>
      </c>
      <c r="B539" s="28" t="s">
        <v>493</v>
      </c>
      <c r="C539" s="143" t="str">
        <f>VLOOKUP(B539,'Danh mục hàng hóa'!$C$3:$D$643,2,0)</f>
        <v>Trâm cài 06</v>
      </c>
      <c r="D539" s="144" t="str">
        <f>VLOOKUP(B539,'Danh mục hàng hóa'!$C$3:$E$656,3,0)</f>
        <v>cây</v>
      </c>
      <c r="E539" s="320">
        <v>12260</v>
      </c>
      <c r="F539" s="317"/>
      <c r="G539" s="313">
        <v>1</v>
      </c>
    </row>
    <row r="540" spans="1:7" ht="13.2" hidden="1">
      <c r="A540" s="319">
        <v>45318</v>
      </c>
      <c r="B540" s="28" t="s">
        <v>907</v>
      </c>
      <c r="C540" s="143" t="str">
        <f>VLOOKUP(B540,'Danh mục hàng hóa'!$C$3:$D$643,2,0)</f>
        <v>Cáo gắn xe</v>
      </c>
      <c r="D540" s="144" t="str">
        <f>VLOOKUP(B540,'Danh mục hàng hóa'!$C$3:$E$656,3,0)</f>
        <v>cái</v>
      </c>
      <c r="E540" s="320">
        <v>32962</v>
      </c>
      <c r="F540" s="317"/>
      <c r="G540" s="313">
        <v>1</v>
      </c>
    </row>
    <row r="541" spans="1:7" ht="13.2" hidden="1">
      <c r="A541" s="319">
        <v>45319</v>
      </c>
      <c r="B541" s="28" t="s">
        <v>505</v>
      </c>
      <c r="C541" s="143" t="str">
        <f>VLOOKUP(B541,'Danh mục hàng hóa'!$C$3:$D$643,2,0)</f>
        <v>Trâm cài 12</v>
      </c>
      <c r="D541" s="144" t="str">
        <f>VLOOKUP(B541,'Danh mục hàng hóa'!$C$3:$E$656,3,0)</f>
        <v>cây</v>
      </c>
      <c r="E541" s="320">
        <v>34000</v>
      </c>
      <c r="F541" s="317"/>
      <c r="G541" s="313">
        <v>1</v>
      </c>
    </row>
    <row r="542" spans="1:7" ht="13.2" hidden="1">
      <c r="A542" s="319">
        <v>45319</v>
      </c>
      <c r="B542" s="28" t="s">
        <v>455</v>
      </c>
      <c r="C542" s="143" t="str">
        <f>VLOOKUP(B542,'Danh mục hàng hóa'!$C$3:$D$643,2,0)</f>
        <v>Cài áo tulip</v>
      </c>
      <c r="D542" s="144" t="str">
        <f>VLOOKUP(B542,'Danh mục hàng hóa'!$C$3:$E$656,3,0)</f>
        <v>cái</v>
      </c>
      <c r="E542" s="320">
        <v>38000</v>
      </c>
      <c r="F542" s="317"/>
      <c r="G542" s="313">
        <v>1</v>
      </c>
    </row>
    <row r="543" spans="1:7" ht="13.2" hidden="1">
      <c r="A543" s="319">
        <v>45319</v>
      </c>
      <c r="B543" s="28" t="s">
        <v>543</v>
      </c>
      <c r="C543" s="143" t="str">
        <f>VLOOKUP(B543,'Danh mục hàng hóa'!$C$3:$D$643,2,0)</f>
        <v>Kẹp tóc kim loại bông hoa</v>
      </c>
      <c r="D543" s="144" t="str">
        <f>VLOOKUP(B543,'Danh mục hàng hóa'!$C$3:$E$656,3,0)</f>
        <v>cái</v>
      </c>
      <c r="E543" s="321">
        <f>81740-E542-E541</f>
        <v>9740</v>
      </c>
      <c r="F543" s="317"/>
      <c r="G543" s="313">
        <v>1</v>
      </c>
    </row>
    <row r="544" spans="1:7" ht="13.2" hidden="1">
      <c r="A544" s="319">
        <v>45319</v>
      </c>
      <c r="B544" s="28" t="s">
        <v>485</v>
      </c>
      <c r="C544" s="143" t="str">
        <f>VLOOKUP(B544,'Danh mục hàng hóa'!$C$3:$D$643,2,0)</f>
        <v>Trâm cài 02</v>
      </c>
      <c r="D544" s="144" t="str">
        <f>VLOOKUP(B544,'Danh mục hàng hóa'!$C$3:$E$656,3,0)</f>
        <v>cây</v>
      </c>
      <c r="E544" s="320">
        <v>28000</v>
      </c>
      <c r="F544" s="317"/>
      <c r="G544" s="313">
        <v>1</v>
      </c>
    </row>
    <row r="545" spans="1:7" ht="13.2" hidden="1">
      <c r="A545" s="319">
        <v>45319</v>
      </c>
      <c r="B545" s="28" t="s">
        <v>487</v>
      </c>
      <c r="C545" s="143" t="str">
        <f>VLOOKUP(B545,'Danh mục hàng hóa'!$C$3:$D$643,2,0)</f>
        <v>Trâm cài 03</v>
      </c>
      <c r="D545" s="144" t="str">
        <f>VLOOKUP(B545,'Danh mục hàng hóa'!$C$3:$E$656,3,0)</f>
        <v>cây</v>
      </c>
      <c r="E545" s="320">
        <v>30000</v>
      </c>
      <c r="F545" s="317"/>
      <c r="G545" s="313">
        <v>1</v>
      </c>
    </row>
    <row r="546" spans="1:7" ht="13.2" hidden="1">
      <c r="A546" s="319">
        <v>45319</v>
      </c>
      <c r="B546" s="28" t="s">
        <v>489</v>
      </c>
      <c r="C546" s="143" t="str">
        <f>VLOOKUP(B546,'Danh mục hàng hóa'!$C$3:$D$643,2,0)</f>
        <v>Trâm cài 04</v>
      </c>
      <c r="D546" s="144" t="str">
        <f>VLOOKUP(B546,'Danh mục hàng hóa'!$C$3:$E$656,3,0)</f>
        <v>cây</v>
      </c>
      <c r="E546" s="321">
        <f>70240-E544-E545</f>
        <v>12240</v>
      </c>
      <c r="F546" s="317"/>
      <c r="G546" s="313">
        <v>1</v>
      </c>
    </row>
    <row r="547" spans="1:7" ht="13.2" hidden="1">
      <c r="A547" s="319">
        <v>45319</v>
      </c>
      <c r="B547" s="28" t="s">
        <v>437</v>
      </c>
      <c r="C547" s="143" t="str">
        <f>VLOOKUP(B547,'Danh mục hàng hóa'!$C$3:$D$643,2,0)</f>
        <v>Bao lì xì Tết hoa</v>
      </c>
      <c r="D547" s="144" t="str">
        <f>VLOOKUP(B547,'Danh mục hàng hóa'!$C$3:$E$656,3,0)</f>
        <v>set 6 cái</v>
      </c>
      <c r="E547" s="321">
        <f>45764/6</f>
        <v>7627.333333333333</v>
      </c>
      <c r="F547" s="317"/>
      <c r="G547" s="313">
        <v>6</v>
      </c>
    </row>
    <row r="548" spans="1:7" ht="13.2" hidden="1">
      <c r="A548" s="319">
        <v>45319</v>
      </c>
      <c r="B548" s="28" t="s">
        <v>511</v>
      </c>
      <c r="C548" s="143" t="str">
        <f>VLOOKUP(B548,'Danh mục hàng hóa'!$C$3:$D$643,2,0)</f>
        <v>Trâm cài 15</v>
      </c>
      <c r="D548" s="144" t="str">
        <f>VLOOKUP(B548,'Danh mục hàng hóa'!$C$3:$E$656,3,0)</f>
        <v>cây</v>
      </c>
      <c r="E548" s="320">
        <v>26252</v>
      </c>
      <c r="F548" s="317"/>
      <c r="G548" s="313">
        <v>1</v>
      </c>
    </row>
    <row r="549" spans="1:7" ht="13.2" hidden="1">
      <c r="A549" s="319">
        <v>45319</v>
      </c>
      <c r="B549" s="28" t="s">
        <v>409</v>
      </c>
      <c r="C549" s="143" t="str">
        <f>VLOOKUP(B549,'Danh mục hàng hóa'!$C$3:$D$643,2,0)</f>
        <v>Túi chườm bụng thỏ dứa 1000ml</v>
      </c>
      <c r="D549" s="144" t="str">
        <f>VLOOKUP(B549,'Danh mục hàng hóa'!$C$3:$E$656,3,0)</f>
        <v>túi</v>
      </c>
      <c r="E549" s="320">
        <v>95920</v>
      </c>
      <c r="F549" s="317"/>
      <c r="G549" s="313">
        <v>1</v>
      </c>
    </row>
    <row r="550" spans="1:7" ht="13.2" hidden="1">
      <c r="A550" s="319">
        <v>45319</v>
      </c>
      <c r="B550" s="28" t="s">
        <v>497</v>
      </c>
      <c r="C550" s="143" t="str">
        <f>VLOOKUP(B550,'Danh mục hàng hóa'!$C$3:$D$643,2,0)</f>
        <v>Trâm cài 08</v>
      </c>
      <c r="D550" s="144" t="str">
        <f>VLOOKUP(B550,'Danh mục hàng hóa'!$C$3:$E$656,3,0)</f>
        <v>cây</v>
      </c>
      <c r="E550" s="320">
        <v>48000</v>
      </c>
      <c r="F550" s="317"/>
      <c r="G550" s="313">
        <v>1</v>
      </c>
    </row>
    <row r="551" spans="1:7" ht="13.2" hidden="1">
      <c r="A551" s="319">
        <v>45319</v>
      </c>
      <c r="B551" s="28" t="s">
        <v>503</v>
      </c>
      <c r="C551" s="143" t="str">
        <f>VLOOKUP(B551,'Danh mục hàng hóa'!$C$3:$D$643,2,0)</f>
        <v>Trâm cài 11</v>
      </c>
      <c r="D551" s="144" t="str">
        <f>VLOOKUP(B551,'Danh mục hàng hóa'!$C$3:$E$656,3,0)</f>
        <v>cây</v>
      </c>
      <c r="E551" s="320">
        <v>30000</v>
      </c>
      <c r="F551" s="317"/>
      <c r="G551" s="313">
        <v>1</v>
      </c>
    </row>
    <row r="552" spans="1:7" ht="13.2" hidden="1">
      <c r="A552" s="319">
        <v>45319</v>
      </c>
      <c r="B552" s="28" t="s">
        <v>505</v>
      </c>
      <c r="C552" s="143" t="str">
        <f>VLOOKUP(B552,'Danh mục hàng hóa'!$C$3:$D$643,2,0)</f>
        <v>Trâm cài 12</v>
      </c>
      <c r="D552" s="144" t="str">
        <f>VLOOKUP(B552,'Danh mục hàng hóa'!$C$3:$E$656,3,0)</f>
        <v>cây</v>
      </c>
      <c r="E552" s="320">
        <v>33000</v>
      </c>
      <c r="F552" s="317"/>
      <c r="G552" s="313">
        <v>1</v>
      </c>
    </row>
    <row r="553" spans="1:7" ht="13.2" hidden="1">
      <c r="A553" s="319">
        <v>45319</v>
      </c>
      <c r="B553" s="28" t="s">
        <v>513</v>
      </c>
      <c r="C553" s="143" t="str">
        <f>VLOOKUP(B553,'Danh mục hàng hóa'!$C$3:$D$643,2,0)</f>
        <v>Trâm cài 16</v>
      </c>
      <c r="D553" s="144" t="str">
        <f>VLOOKUP(B553,'Danh mục hàng hóa'!$C$3:$E$656,3,0)</f>
        <v>cây</v>
      </c>
      <c r="E553" s="320">
        <v>25000</v>
      </c>
      <c r="F553" s="317"/>
      <c r="G553" s="313">
        <v>1</v>
      </c>
    </row>
    <row r="554" spans="1:7" ht="13.2" hidden="1">
      <c r="A554" s="319">
        <v>45319</v>
      </c>
      <c r="B554" s="28" t="s">
        <v>523</v>
      </c>
      <c r="C554" s="143" t="str">
        <f>VLOOKUP(B554,'Danh mục hàng hóa'!$C$3:$D$643,2,0)</f>
        <v>Trâm cài 21</v>
      </c>
      <c r="D554" s="144" t="str">
        <f>VLOOKUP(B554,'Danh mục hàng hóa'!$C$3:$E$656,3,0)</f>
        <v>cây</v>
      </c>
      <c r="E554" s="320">
        <v>25000</v>
      </c>
      <c r="F554" s="317"/>
      <c r="G554" s="313">
        <v>1</v>
      </c>
    </row>
    <row r="555" spans="1:7" ht="13.2" hidden="1">
      <c r="A555" s="319">
        <v>45320</v>
      </c>
      <c r="B555" s="28" t="s">
        <v>523</v>
      </c>
      <c r="C555" s="143" t="str">
        <f>VLOOKUP(B555,'Danh mục hàng hóa'!$C$3:$D$643,2,0)</f>
        <v>Trâm cài 21</v>
      </c>
      <c r="D555" s="144" t="str">
        <f>VLOOKUP(B555,'Danh mục hàng hóa'!$C$3:$E$656,3,0)</f>
        <v>cây</v>
      </c>
      <c r="E555" s="320">
        <v>26000</v>
      </c>
      <c r="F555" s="317"/>
      <c r="G555" s="313">
        <v>1</v>
      </c>
    </row>
    <row r="556" spans="1:7" ht="13.2" hidden="1">
      <c r="A556" s="319">
        <v>45320</v>
      </c>
      <c r="B556" s="28" t="s">
        <v>874</v>
      </c>
      <c r="C556" s="143" t="str">
        <f>VLOOKUP(B556,'Danh mục hàng hóa'!$C$3:$D$643,2,0)</f>
        <v>Dao rọc giấy cún xanh</v>
      </c>
      <c r="D556" s="144" t="str">
        <f>VLOOKUP(B556,'Danh mục hàng hóa'!$C$3:$E$656,3,0)</f>
        <v>cái</v>
      </c>
      <c r="E556" s="321">
        <f>33824-E555</f>
        <v>7824</v>
      </c>
      <c r="F556" s="317"/>
      <c r="G556" s="313">
        <v>1</v>
      </c>
    </row>
    <row r="557" spans="1:7" ht="13.2" hidden="1">
      <c r="A557" s="319">
        <v>45321</v>
      </c>
      <c r="B557" s="28" t="s">
        <v>977</v>
      </c>
      <c r="C557" s="143" t="str">
        <f>VLOOKUP(B557,'Danh mục hàng hóa'!$C$3:$D$643,2,0)</f>
        <v>Móc khóa đôi heo</v>
      </c>
      <c r="D557" s="144" t="str">
        <f>VLOOKUP(B557,'Danh mục hàng hóa'!$C$3:$E$656,3,0)</f>
        <v>cái</v>
      </c>
      <c r="E557" s="321">
        <f>5.68*3510</f>
        <v>19936.8</v>
      </c>
      <c r="F557" s="313">
        <v>14</v>
      </c>
      <c r="G557" s="313">
        <v>0</v>
      </c>
    </row>
    <row r="558" spans="1:7" ht="13.2" hidden="1">
      <c r="A558" s="319">
        <v>45321</v>
      </c>
      <c r="B558" s="28" t="s">
        <v>979</v>
      </c>
      <c r="C558" s="143" t="str">
        <f>VLOOKUP(B558,'Danh mục hàng hóa'!$C$3:$D$643,2,0)</f>
        <v>Móc khóa đôi thỏ cà rốt</v>
      </c>
      <c r="D558" s="144" t="str">
        <f>VLOOKUP(B558,'Danh mục hàng hóa'!$C$3:$E$656,3,0)</f>
        <v>cái</v>
      </c>
      <c r="E558" s="321">
        <f>4.84*3510</f>
        <v>16988.399999999998</v>
      </c>
      <c r="F558" s="313">
        <v>10</v>
      </c>
      <c r="G558" s="313">
        <v>0</v>
      </c>
    </row>
    <row r="559" spans="1:7" ht="13.2" hidden="1">
      <c r="A559" s="319">
        <v>45321</v>
      </c>
      <c r="B559" s="28" t="s">
        <v>981</v>
      </c>
      <c r="C559" s="143" t="str">
        <f>VLOOKUP(B559,'Danh mục hàng hóa'!$C$3:$D$643,2,0)</f>
        <v>Móc khóa đôi corgy</v>
      </c>
      <c r="D559" s="144" t="str">
        <f>VLOOKUP(B559,'Danh mục hàng hóa'!$C$3:$E$656,3,0)</f>
        <v>cái</v>
      </c>
      <c r="E559" s="321">
        <f t="shared" ref="E559:E560" si="33">5.68*3510</f>
        <v>19936.8</v>
      </c>
      <c r="F559" s="313">
        <v>6</v>
      </c>
      <c r="G559" s="313">
        <v>0</v>
      </c>
    </row>
    <row r="560" spans="1:7" ht="13.2" hidden="1">
      <c r="A560" s="319">
        <v>45321</v>
      </c>
      <c r="B560" s="28" t="s">
        <v>983</v>
      </c>
      <c r="C560" s="143" t="str">
        <f>VLOOKUP(B560,'Danh mục hàng hóa'!$C$3:$D$643,2,0)</f>
        <v>Móc khoá đôi thỏ</v>
      </c>
      <c r="D560" s="144" t="str">
        <f>VLOOKUP(B560,'Danh mục hàng hóa'!$C$3:$E$656,3,0)</f>
        <v>cái</v>
      </c>
      <c r="E560" s="321">
        <f t="shared" si="33"/>
        <v>19936.8</v>
      </c>
      <c r="F560" s="313">
        <v>9</v>
      </c>
      <c r="G560" s="313">
        <v>0</v>
      </c>
    </row>
    <row r="561" spans="1:7" ht="13.2" hidden="1">
      <c r="A561" s="319">
        <v>45321</v>
      </c>
      <c r="B561" s="28" t="s">
        <v>433</v>
      </c>
      <c r="C561" s="143" t="str">
        <f>VLOOKUP(B561,'Danh mục hàng hóa'!$C$3:$D$643,2,0)</f>
        <v>Bao lì xì rồng lân</v>
      </c>
      <c r="D561" s="144" t="str">
        <f>VLOOKUP(B561,'Danh mục hàng hóa'!$C$3:$E$656,3,0)</f>
        <v>túi 4 cái</v>
      </c>
      <c r="E561" s="320">
        <v>10000</v>
      </c>
      <c r="F561" s="313"/>
      <c r="G561" s="313">
        <v>1</v>
      </c>
    </row>
    <row r="562" spans="1:7" ht="13.2" hidden="1">
      <c r="A562" s="319">
        <v>45321</v>
      </c>
      <c r="B562" s="28" t="s">
        <v>435</v>
      </c>
      <c r="C562" s="143" t="str">
        <f>VLOOKUP(B562,'Danh mục hàng hóa'!$C$3:$D$643,2,0)</f>
        <v>Bao lì xì Tết tài lộc</v>
      </c>
      <c r="D562" s="144" t="str">
        <f>VLOOKUP(B562,'Danh mục hàng hóa'!$C$3:$E$656,3,0)</f>
        <v>set 6 cái</v>
      </c>
      <c r="E562" s="320">
        <v>6000</v>
      </c>
      <c r="F562" s="313"/>
      <c r="G562" s="313">
        <v>3</v>
      </c>
    </row>
    <row r="563" spans="1:7" ht="13.2" hidden="1">
      <c r="A563" s="319">
        <v>45322</v>
      </c>
      <c r="B563" s="28" t="s">
        <v>511</v>
      </c>
      <c r="C563" s="143" t="str">
        <f>VLOOKUP(B563,'Danh mục hàng hóa'!$C$3:$D$643,2,0)</f>
        <v>Trâm cài 15</v>
      </c>
      <c r="D563" s="144" t="str">
        <f>VLOOKUP(B563,'Danh mục hàng hóa'!$C$3:$E$656,3,0)</f>
        <v>cây</v>
      </c>
      <c r="E563" s="320">
        <v>26252</v>
      </c>
      <c r="F563" s="317"/>
      <c r="G563" s="313">
        <v>1</v>
      </c>
    </row>
    <row r="564" spans="1:7" ht="13.2" hidden="1">
      <c r="A564" s="319">
        <v>45322</v>
      </c>
      <c r="B564" s="28" t="s">
        <v>915</v>
      </c>
      <c r="C564" s="143" t="str">
        <f>VLOOKUP(B564,'Danh mục hàng hóa'!$C$3:$D$643,2,0)</f>
        <v>Thỏ chạy xe gắn xe</v>
      </c>
      <c r="D564" s="144" t="str">
        <f>VLOOKUP(B564,'Danh mục hàng hóa'!$C$3:$E$656,3,0)</f>
        <v>cái</v>
      </c>
      <c r="E564" s="320">
        <v>32702</v>
      </c>
      <c r="F564" s="317"/>
      <c r="G564" s="313">
        <v>1</v>
      </c>
    </row>
    <row r="565" spans="1:7" ht="13.2" hidden="1">
      <c r="A565" s="319">
        <v>45322</v>
      </c>
      <c r="B565" s="28" t="s">
        <v>917</v>
      </c>
      <c r="C565" s="143" t="str">
        <f>VLOOKUP(B565,'Danh mục hàng hóa'!$C$3:$D$643,2,0)</f>
        <v>Thỏ đi vịt gắn xe</v>
      </c>
      <c r="D565" s="144" t="str">
        <f>VLOOKUP(B565,'Danh mục hàng hóa'!$C$3:$E$656,3,0)</f>
        <v>cái</v>
      </c>
      <c r="E565" s="320">
        <v>34882</v>
      </c>
      <c r="F565" s="317"/>
      <c r="G565" s="313">
        <v>1</v>
      </c>
    </row>
    <row r="566" spans="1:7" ht="13.2" hidden="1">
      <c r="A566" s="319">
        <v>45322</v>
      </c>
      <c r="B566" s="28" t="s">
        <v>878</v>
      </c>
      <c r="C566" s="143" t="str">
        <f>VLOOKUP(B566,'Danh mục hàng hóa'!$C$3:$D$643,2,0)</f>
        <v>Dao rọc giấy cún hồng</v>
      </c>
      <c r="D566" s="144" t="str">
        <f>VLOOKUP(B566,'Danh mục hàng hóa'!$C$3:$E$656,3,0)</f>
        <v>cái</v>
      </c>
      <c r="E566" s="320">
        <v>6000</v>
      </c>
      <c r="F566" s="317"/>
      <c r="G566" s="313">
        <v>1</v>
      </c>
    </row>
    <row r="567" spans="1:7" ht="13.2" hidden="1">
      <c r="A567" s="319">
        <v>45322</v>
      </c>
      <c r="B567" s="28" t="s">
        <v>491</v>
      </c>
      <c r="C567" s="143" t="str">
        <f>VLOOKUP(B567,'Danh mục hàng hóa'!$C$3:$D$643,2,0)</f>
        <v>Trâm cài 05</v>
      </c>
      <c r="D567" s="144" t="str">
        <f>VLOOKUP(B567,'Danh mục hàng hóa'!$C$3:$E$656,3,0)</f>
        <v>cây</v>
      </c>
      <c r="E567" s="320">
        <v>12000</v>
      </c>
      <c r="F567" s="317"/>
      <c r="G567" s="313">
        <v>1</v>
      </c>
    </row>
    <row r="568" spans="1:7" ht="13.2" hidden="1">
      <c r="A568" s="319">
        <v>45322</v>
      </c>
      <c r="B568" s="28" t="s">
        <v>499</v>
      </c>
      <c r="C568" s="143" t="str">
        <f>VLOOKUP(B568,'Danh mục hàng hóa'!$C$3:$D$643,2,0)</f>
        <v>Trâm cài 09</v>
      </c>
      <c r="D568" s="144" t="str">
        <f>VLOOKUP(B568,'Danh mục hàng hóa'!$C$3:$E$656,3,0)</f>
        <v>cây</v>
      </c>
      <c r="E568" s="320">
        <v>28000</v>
      </c>
      <c r="F568" s="317"/>
      <c r="G568" s="313">
        <v>1</v>
      </c>
    </row>
    <row r="569" spans="1:7" ht="13.2" hidden="1">
      <c r="A569" s="319">
        <v>45322</v>
      </c>
      <c r="B569" s="28" t="s">
        <v>977</v>
      </c>
      <c r="C569" s="143" t="str">
        <f>VLOOKUP(B569,'Danh mục hàng hóa'!$C$3:$D$643,2,0)</f>
        <v>Móc khóa đôi heo</v>
      </c>
      <c r="D569" s="144" t="str">
        <f>VLOOKUP(B569,'Danh mục hàng hóa'!$C$3:$E$656,3,0)</f>
        <v>cái</v>
      </c>
      <c r="E569" s="320">
        <v>43400</v>
      </c>
      <c r="F569" s="317"/>
      <c r="G569" s="313">
        <v>1</v>
      </c>
    </row>
    <row r="570" spans="1:7" ht="13.2" hidden="1">
      <c r="A570" s="319">
        <v>45322</v>
      </c>
      <c r="B570" s="28" t="s">
        <v>519</v>
      </c>
      <c r="C570" s="143" t="str">
        <f>VLOOKUP(B570,'Danh mục hàng hóa'!$C$3:$D$643,2,0)</f>
        <v>Trâm cài 19</v>
      </c>
      <c r="D570" s="144" t="str">
        <f>VLOOKUP(B570,'Danh mục hàng hóa'!$C$3:$E$656,3,0)</f>
        <v>cây</v>
      </c>
      <c r="E570" s="320">
        <v>36984</v>
      </c>
      <c r="F570" s="317"/>
      <c r="G570" s="313">
        <v>1</v>
      </c>
    </row>
    <row r="571" spans="1:7" ht="13.2" hidden="1">
      <c r="A571" s="319">
        <v>45322</v>
      </c>
      <c r="B571" s="28" t="s">
        <v>515</v>
      </c>
      <c r="C571" s="143" t="str">
        <f>VLOOKUP(B571,'Danh mục hàng hóa'!$C$3:$D$643,2,0)</f>
        <v>Trâm cài 17</v>
      </c>
      <c r="D571" s="144" t="str">
        <f>VLOOKUP(B571,'Danh mục hàng hóa'!$C$3:$E$656,3,0)</f>
        <v>cây</v>
      </c>
      <c r="E571" s="321">
        <f>61984-E570</f>
        <v>25000</v>
      </c>
      <c r="F571" s="317"/>
      <c r="G571" s="313">
        <v>1</v>
      </c>
    </row>
    <row r="572" spans="1:7" ht="13.2" hidden="1">
      <c r="A572" s="319">
        <v>45323</v>
      </c>
      <c r="B572" s="28" t="s">
        <v>519</v>
      </c>
      <c r="C572" s="143" t="str">
        <f>VLOOKUP(B572,'Danh mục hàng hóa'!$C$3:$D$643,2,0)</f>
        <v>Trâm cài 19</v>
      </c>
      <c r="D572" s="144" t="str">
        <f>VLOOKUP(B572,'Danh mục hàng hóa'!$C$3:$E$656,3,0)</f>
        <v>cây</v>
      </c>
      <c r="E572" s="320">
        <v>36000</v>
      </c>
      <c r="F572" s="317"/>
      <c r="G572" s="313">
        <v>1</v>
      </c>
    </row>
    <row r="573" spans="1:7" ht="13.2" hidden="1">
      <c r="A573" s="319">
        <v>45323</v>
      </c>
      <c r="B573" s="28" t="s">
        <v>507</v>
      </c>
      <c r="C573" s="143" t="str">
        <f>VLOOKUP(B573,'Danh mục hàng hóa'!$C$3:$D$643,2,0)</f>
        <v>Trâm cài 13</v>
      </c>
      <c r="D573" s="144" t="str">
        <f>VLOOKUP(B573,'Danh mục hàng hóa'!$C$3:$E$656,3,0)</f>
        <v>cây</v>
      </c>
      <c r="E573" s="320">
        <v>40000</v>
      </c>
      <c r="F573" s="317"/>
      <c r="G573" s="313">
        <v>1</v>
      </c>
    </row>
    <row r="574" spans="1:7" ht="13.2" hidden="1">
      <c r="A574" s="319">
        <v>45323</v>
      </c>
      <c r="B574" s="28" t="s">
        <v>576</v>
      </c>
      <c r="C574" s="143" t="str">
        <f>VLOOKUP(B574,'Danh mục hàng hóa'!$C$3:$D$643,2,0)</f>
        <v>Ống 6 dây cột tóc đen</v>
      </c>
      <c r="D574" s="144" t="str">
        <f>VLOOKUP(B574,'Danh mục hàng hóa'!$C$3:$E$656,3,0)</f>
        <v>ống</v>
      </c>
      <c r="E574" s="321">
        <f>53800/3</f>
        <v>17933.333333333332</v>
      </c>
      <c r="F574" s="317"/>
      <c r="G574" s="313">
        <v>3</v>
      </c>
    </row>
    <row r="575" spans="1:7" ht="13.2" hidden="1">
      <c r="A575" s="319">
        <v>45323</v>
      </c>
      <c r="B575" s="28" t="s">
        <v>485</v>
      </c>
      <c r="C575" s="143" t="str">
        <f>VLOOKUP(B575,'Danh mục hàng hóa'!$C$3:$D$643,2,0)</f>
        <v>Trâm cài 02</v>
      </c>
      <c r="D575" s="144" t="str">
        <f>VLOOKUP(B575,'Danh mục hàng hóa'!$C$3:$E$656,3,0)</f>
        <v>cây</v>
      </c>
      <c r="E575" s="321">
        <f>103692-E572-E573</f>
        <v>27692</v>
      </c>
      <c r="F575" s="317"/>
      <c r="G575" s="313">
        <v>1</v>
      </c>
    </row>
    <row r="576" spans="1:7" ht="13.2" hidden="1">
      <c r="A576" s="319">
        <v>45323</v>
      </c>
      <c r="B576" s="28" t="s">
        <v>915</v>
      </c>
      <c r="C576" s="143" t="str">
        <f>VLOOKUP(B576,'Danh mục hàng hóa'!$C$3:$D$643,2,0)</f>
        <v>Thỏ chạy xe gắn xe</v>
      </c>
      <c r="D576" s="144" t="str">
        <f>VLOOKUP(B576,'Danh mục hàng hóa'!$C$3:$E$656,3,0)</f>
        <v>cái</v>
      </c>
      <c r="E576" s="320">
        <v>32362</v>
      </c>
      <c r="F576" s="317"/>
      <c r="G576" s="313">
        <v>1</v>
      </c>
    </row>
    <row r="577" spans="1:7" ht="13.2" hidden="1">
      <c r="A577" s="319">
        <v>44959</v>
      </c>
      <c r="B577" s="28" t="s">
        <v>917</v>
      </c>
      <c r="C577" s="143" t="str">
        <f>VLOOKUP(B577,'Danh mục hàng hóa'!$C$3:$D$643,2,0)</f>
        <v>Thỏ đi vịt gắn xe</v>
      </c>
      <c r="D577" s="144" t="str">
        <f>VLOOKUP(B577,'Danh mục hàng hóa'!$C$3:$E$656,3,0)</f>
        <v>cái</v>
      </c>
      <c r="E577" s="320">
        <v>32862</v>
      </c>
      <c r="F577" s="317"/>
      <c r="G577" s="313">
        <v>1</v>
      </c>
    </row>
    <row r="578" spans="1:7" ht="13.2" hidden="1">
      <c r="A578" s="319">
        <v>44959</v>
      </c>
      <c r="B578" s="28" t="s">
        <v>983</v>
      </c>
      <c r="C578" s="143" t="str">
        <f>VLOOKUP(B578,'Danh mục hàng hóa'!$C$3:$D$643,2,0)</f>
        <v>Móc khoá đôi thỏ</v>
      </c>
      <c r="D578" s="144" t="str">
        <f>VLOOKUP(B578,'Danh mục hàng hóa'!$C$3:$E$656,3,0)</f>
        <v>cái</v>
      </c>
      <c r="E578" s="320">
        <v>50000</v>
      </c>
      <c r="F578" s="317"/>
      <c r="G578" s="313">
        <v>1</v>
      </c>
    </row>
    <row r="579" spans="1:7" ht="13.2" hidden="1">
      <c r="A579" s="319">
        <v>44959</v>
      </c>
      <c r="B579" s="28" t="s">
        <v>420</v>
      </c>
      <c r="C579" s="143" t="str">
        <f>VLOOKUP(B579,'Danh mục hàng hóa'!$C$3:$D$643,2,0)</f>
        <v>Túi chườm bụng thỏ dứa 500ml</v>
      </c>
      <c r="D579" s="144" t="str">
        <f>VLOOKUP(B579,'Danh mục hàng hóa'!$C$3:$E$656,3,0)</f>
        <v>túi</v>
      </c>
      <c r="E579" s="320">
        <v>79000</v>
      </c>
      <c r="F579" s="317"/>
      <c r="G579" s="313">
        <v>1</v>
      </c>
    </row>
    <row r="580" spans="1:7" ht="13.2" hidden="1">
      <c r="A580" s="319">
        <v>44959</v>
      </c>
      <c r="B580" s="28" t="s">
        <v>1038</v>
      </c>
      <c r="C580" s="143" t="str">
        <f>VLOOKUP(B580,'Danh mục hàng hóa'!$C$3:$D$643,2,0)</f>
        <v>Vớ cổ ngắn trắng thêu họa tiết mẫu 2</v>
      </c>
      <c r="D580" s="144" t="str">
        <f>VLOOKUP(B580,'Danh mục hàng hóa'!$C$3:$E$656,3,0)</f>
        <v>đôi</v>
      </c>
      <c r="E580" s="320">
        <v>12000</v>
      </c>
      <c r="F580" s="317"/>
      <c r="G580" s="313">
        <v>1</v>
      </c>
    </row>
    <row r="581" spans="1:7" ht="13.2" hidden="1">
      <c r="A581" s="319">
        <v>44959</v>
      </c>
      <c r="B581" s="28" t="s">
        <v>1078</v>
      </c>
      <c r="C581" s="143" t="str">
        <f>VLOOKUP(B581,'Danh mục hàng hóa'!$C$3:$D$643,2,0)</f>
        <v>Vớ trắng icon be 3</v>
      </c>
      <c r="D581" s="144" t="str">
        <f>VLOOKUP(B581,'Danh mục hàng hóa'!$C$3:$E$656,3,0)</f>
        <v>đôi</v>
      </c>
      <c r="E581" s="321">
        <f>143264-50000-79000-12000</f>
        <v>2264</v>
      </c>
      <c r="F581" s="317"/>
      <c r="G581" s="313">
        <v>1</v>
      </c>
    </row>
    <row r="582" spans="1:7" ht="13.2" hidden="1">
      <c r="A582" s="319">
        <v>44959</v>
      </c>
      <c r="B582" s="28" t="s">
        <v>917</v>
      </c>
      <c r="C582" s="143" t="str">
        <f>VLOOKUP(B582,'Danh mục hàng hóa'!$C$3:$D$643,2,0)</f>
        <v>Thỏ đi vịt gắn xe</v>
      </c>
      <c r="D582" s="144" t="str">
        <f>VLOOKUP(B582,'Danh mục hàng hóa'!$C$3:$E$656,3,0)</f>
        <v>cái</v>
      </c>
      <c r="E582" s="320">
        <v>39025</v>
      </c>
      <c r="F582" s="317"/>
      <c r="G582" s="313">
        <v>1</v>
      </c>
    </row>
    <row r="583" spans="1:7" ht="13.2" hidden="1">
      <c r="A583" s="319">
        <v>44959</v>
      </c>
      <c r="B583" s="28" t="s">
        <v>505</v>
      </c>
      <c r="C583" s="143" t="str">
        <f>VLOOKUP(B583,'Danh mục hàng hóa'!$C$3:$D$643,2,0)</f>
        <v>Trâm cài 12</v>
      </c>
      <c r="D583" s="144" t="str">
        <f>VLOOKUP(B583,'Danh mục hàng hóa'!$C$3:$E$656,3,0)</f>
        <v>cây</v>
      </c>
      <c r="E583" s="320">
        <v>34260</v>
      </c>
      <c r="F583" s="317"/>
      <c r="G583" s="313">
        <v>1</v>
      </c>
    </row>
    <row r="584" spans="1:7" ht="13.2" hidden="1">
      <c r="A584" s="319">
        <v>44959</v>
      </c>
      <c r="B584" s="28" t="s">
        <v>977</v>
      </c>
      <c r="C584" s="143" t="str">
        <f>VLOOKUP(B584,'Danh mục hàng hóa'!$C$3:$D$643,2,0)</f>
        <v>Móc khóa đôi heo</v>
      </c>
      <c r="D584" s="144" t="str">
        <f>VLOOKUP(B584,'Danh mục hàng hóa'!$C$3:$E$656,3,0)</f>
        <v>cái</v>
      </c>
      <c r="E584" s="320">
        <v>43400</v>
      </c>
      <c r="F584" s="317"/>
      <c r="G584" s="313">
        <v>1</v>
      </c>
    </row>
    <row r="585" spans="1:7" ht="13.2" hidden="1">
      <c r="A585" s="319">
        <v>44959</v>
      </c>
      <c r="B585" s="28" t="s">
        <v>519</v>
      </c>
      <c r="C585" s="143" t="str">
        <f>VLOOKUP(B585,'Danh mục hàng hóa'!$C$3:$D$643,2,0)</f>
        <v>Trâm cài 19</v>
      </c>
      <c r="D585" s="144" t="str">
        <f>VLOOKUP(B585,'Danh mục hàng hóa'!$C$3:$E$656,3,0)</f>
        <v>cây</v>
      </c>
      <c r="E585" s="320">
        <v>35992</v>
      </c>
      <c r="F585" s="317"/>
      <c r="G585" s="313">
        <v>1</v>
      </c>
    </row>
    <row r="586" spans="1:7" ht="13.2" hidden="1">
      <c r="A586" s="319">
        <v>44959</v>
      </c>
      <c r="B586" s="28" t="s">
        <v>505</v>
      </c>
      <c r="C586" s="143" t="str">
        <f>VLOOKUP(B586,'Danh mục hàng hóa'!$C$3:$D$643,2,0)</f>
        <v>Trâm cài 12</v>
      </c>
      <c r="D586" s="144" t="str">
        <f>VLOOKUP(B586,'Danh mục hàng hóa'!$C$3:$E$656,3,0)</f>
        <v>cây</v>
      </c>
      <c r="E586" s="320">
        <v>34000</v>
      </c>
      <c r="F586" s="317"/>
      <c r="G586" s="313">
        <v>1</v>
      </c>
    </row>
    <row r="587" spans="1:7" ht="13.2" hidden="1">
      <c r="A587" s="319">
        <v>45325</v>
      </c>
      <c r="B587" s="28" t="s">
        <v>501</v>
      </c>
      <c r="C587" s="143" t="str">
        <f>VLOOKUP(B587,'Danh mục hàng hóa'!$C$3:$D$643,2,0)</f>
        <v>Trâm cài 10</v>
      </c>
      <c r="D587" s="144" t="str">
        <f>VLOOKUP(B587,'Danh mục hàng hóa'!$C$3:$E$656,3,0)</f>
        <v>cây</v>
      </c>
      <c r="E587" s="320">
        <v>10660</v>
      </c>
      <c r="F587" s="317"/>
      <c r="G587" s="313">
        <v>1</v>
      </c>
    </row>
    <row r="588" spans="1:7" ht="13.2" hidden="1">
      <c r="A588" s="319">
        <v>45325</v>
      </c>
      <c r="B588" s="28" t="s">
        <v>497</v>
      </c>
      <c r="C588" s="143" t="str">
        <f>VLOOKUP(B588,'Danh mục hàng hóa'!$C$3:$D$643,2,0)</f>
        <v>Trâm cài 08</v>
      </c>
      <c r="D588" s="144" t="str">
        <f>VLOOKUP(B588,'Danh mục hàng hóa'!$C$3:$E$656,3,0)</f>
        <v>cây</v>
      </c>
      <c r="E588" s="320">
        <v>50000</v>
      </c>
      <c r="F588" s="317"/>
      <c r="G588" s="313">
        <v>1</v>
      </c>
    </row>
    <row r="589" spans="1:7" ht="13.2" hidden="1">
      <c r="A589" s="319">
        <v>45339</v>
      </c>
      <c r="B589" s="28" t="s">
        <v>503</v>
      </c>
      <c r="C589" s="143" t="str">
        <f>VLOOKUP(B589,'Danh mục hàng hóa'!$C$3:$D$643,2,0)</f>
        <v>Trâm cài 11</v>
      </c>
      <c r="D589" s="144" t="str">
        <f>VLOOKUP(B589,'Danh mục hàng hóa'!$C$3:$E$656,3,0)</f>
        <v>cây</v>
      </c>
      <c r="E589" s="320">
        <v>35060</v>
      </c>
      <c r="F589" s="317"/>
      <c r="G589" s="313">
        <v>1</v>
      </c>
    </row>
    <row r="590" spans="1:7" ht="13.2" hidden="1">
      <c r="A590" s="319">
        <v>45339</v>
      </c>
      <c r="B590" s="28" t="s">
        <v>505</v>
      </c>
      <c r="C590" s="143" t="str">
        <f>VLOOKUP(B590,'Danh mục hàng hóa'!$C$3:$D$643,2,0)</f>
        <v>Trâm cài 12</v>
      </c>
      <c r="D590" s="144" t="str">
        <f>VLOOKUP(B590,'Danh mục hàng hóa'!$C$3:$E$656,3,0)</f>
        <v>cây</v>
      </c>
      <c r="E590" s="320">
        <v>30000</v>
      </c>
      <c r="F590" s="317"/>
      <c r="G590" s="313">
        <v>1</v>
      </c>
    </row>
    <row r="591" spans="1:7" ht="13.2" hidden="1">
      <c r="A591" s="319">
        <v>45340</v>
      </c>
      <c r="B591" s="28" t="s">
        <v>895</v>
      </c>
      <c r="C591" s="143" t="str">
        <f>VLOOKUP(B591,'Danh mục hàng hóa'!$C$3:$D$643,2,0)</f>
        <v>Thỏ chong chóng</v>
      </c>
      <c r="D591" s="144" t="str">
        <f>VLOOKUP(B591,'Danh mục hàng hóa'!$C$3:$E$656,3,0)</f>
        <v>cái</v>
      </c>
      <c r="E591" s="320">
        <v>47520</v>
      </c>
      <c r="F591" s="317"/>
      <c r="G591" s="313">
        <v>1</v>
      </c>
    </row>
    <row r="592" spans="1:7" ht="13.2" hidden="1">
      <c r="A592" s="319">
        <v>45341</v>
      </c>
      <c r="B592" s="28" t="s">
        <v>420</v>
      </c>
      <c r="C592" s="143" t="str">
        <f>VLOOKUP(B592,'Danh mục hàng hóa'!$C$3:$D$643,2,0)</f>
        <v>Túi chườm bụng thỏ dứa 500ml</v>
      </c>
      <c r="D592" s="144" t="str">
        <f>VLOOKUP(B592,'Danh mục hàng hóa'!$C$3:$E$656,3,0)</f>
        <v>túi</v>
      </c>
      <c r="E592" s="320">
        <v>72564</v>
      </c>
      <c r="F592" s="317"/>
      <c r="G592" s="313">
        <v>1</v>
      </c>
    </row>
    <row r="593" spans="1:7" ht="13.2" hidden="1">
      <c r="A593" s="319">
        <v>45341</v>
      </c>
      <c r="B593" s="28" t="s">
        <v>519</v>
      </c>
      <c r="C593" s="143" t="str">
        <f>VLOOKUP(B593,'Danh mục hàng hóa'!$C$3:$D$643,2,0)</f>
        <v>Trâm cài 19</v>
      </c>
      <c r="D593" s="144" t="str">
        <f>VLOOKUP(B593,'Danh mục hàng hóa'!$C$3:$E$656,3,0)</f>
        <v>cây</v>
      </c>
      <c r="E593" s="320">
        <v>35932</v>
      </c>
      <c r="F593" s="317"/>
      <c r="G593" s="313">
        <v>1</v>
      </c>
    </row>
    <row r="594" spans="1:7" ht="13.2" hidden="1">
      <c r="A594" s="319">
        <v>45342</v>
      </c>
      <c r="B594" s="28" t="s">
        <v>891</v>
      </c>
      <c r="C594" s="143" t="str">
        <f>VLOOKUP(B594,'Danh mục hàng hóa'!$C$3:$D$643,2,0)</f>
        <v>Heo ú</v>
      </c>
      <c r="D594" s="144" t="str">
        <f>VLOOKUP(B594,'Danh mục hàng hóa'!$C$3:$E$656,3,0)</f>
        <v>cái</v>
      </c>
      <c r="E594" s="320">
        <v>46860</v>
      </c>
      <c r="F594" s="317"/>
      <c r="G594" s="313">
        <v>1</v>
      </c>
    </row>
    <row r="595" spans="1:7" ht="13.2" hidden="1">
      <c r="A595" s="319">
        <v>45342</v>
      </c>
      <c r="B595" s="28" t="s">
        <v>977</v>
      </c>
      <c r="C595" s="143" t="str">
        <f>VLOOKUP(B595,'Danh mục hàng hóa'!$C$3:$D$643,2,0)</f>
        <v>Móc khóa đôi heo</v>
      </c>
      <c r="D595" s="144" t="str">
        <f>VLOOKUP(B595,'Danh mục hàng hóa'!$C$3:$E$656,3,0)</f>
        <v>cái</v>
      </c>
      <c r="E595" s="320">
        <v>45800</v>
      </c>
      <c r="F595" s="317"/>
      <c r="G595" s="313">
        <v>1</v>
      </c>
    </row>
    <row r="596" spans="1:7" ht="13.2" hidden="1">
      <c r="A596" s="319">
        <v>45343</v>
      </c>
      <c r="B596" s="28" t="s">
        <v>977</v>
      </c>
      <c r="C596" s="143" t="str">
        <f>VLOOKUP(B596,'Danh mục hàng hóa'!$C$3:$D$643,2,0)</f>
        <v>Móc khóa đôi heo</v>
      </c>
      <c r="D596" s="144" t="str">
        <f>VLOOKUP(B596,'Danh mục hàng hóa'!$C$3:$E$656,3,0)</f>
        <v>cái</v>
      </c>
      <c r="E596" s="320">
        <v>45260</v>
      </c>
      <c r="F596" s="317"/>
      <c r="G596" s="313">
        <v>1</v>
      </c>
    </row>
    <row r="597" spans="1:7" ht="13.2" hidden="1">
      <c r="A597" s="319">
        <v>45343</v>
      </c>
      <c r="B597" s="28" t="s">
        <v>891</v>
      </c>
      <c r="C597" s="143" t="str">
        <f>VLOOKUP(B597,'Danh mục hàng hóa'!$C$3:$D$643,2,0)</f>
        <v>Heo ú</v>
      </c>
      <c r="D597" s="144" t="str">
        <f>VLOOKUP(B597,'Danh mục hàng hóa'!$C$3:$E$656,3,0)</f>
        <v>cái</v>
      </c>
      <c r="E597" s="320">
        <v>42000</v>
      </c>
      <c r="F597" s="317"/>
      <c r="G597" s="313">
        <v>1</v>
      </c>
    </row>
    <row r="598" spans="1:7" ht="13.2" hidden="1">
      <c r="A598" s="319">
        <v>45343</v>
      </c>
      <c r="B598" s="28" t="s">
        <v>977</v>
      </c>
      <c r="C598" s="143" t="str">
        <f>VLOOKUP(B598,'Danh mục hàng hóa'!$C$3:$D$643,2,0)</f>
        <v>Móc khóa đôi heo</v>
      </c>
      <c r="D598" s="144" t="str">
        <f>VLOOKUP(B598,'Danh mục hàng hóa'!$C$3:$E$656,3,0)</f>
        <v>cái</v>
      </c>
      <c r="E598" s="320">
        <v>43000</v>
      </c>
      <c r="F598" s="317"/>
      <c r="G598" s="313">
        <v>1</v>
      </c>
    </row>
    <row r="599" spans="1:7" ht="13.2" hidden="1">
      <c r="A599" s="319">
        <v>45343</v>
      </c>
      <c r="B599" s="28" t="s">
        <v>517</v>
      </c>
      <c r="C599" s="143" t="str">
        <f>VLOOKUP(B599,'Danh mục hàng hóa'!$C$3:$D$643,2,0)</f>
        <v>Trâm cài 18</v>
      </c>
      <c r="D599" s="144" t="str">
        <f>VLOOKUP(B599,'Danh mục hàng hóa'!$C$3:$E$656,3,0)</f>
        <v>cây</v>
      </c>
      <c r="E599" s="320">
        <v>28000</v>
      </c>
      <c r="F599" s="317"/>
      <c r="G599" s="313">
        <v>1</v>
      </c>
    </row>
    <row r="600" spans="1:7" ht="13.2" hidden="1">
      <c r="A600" s="319">
        <v>45343</v>
      </c>
      <c r="B600" s="28" t="s">
        <v>505</v>
      </c>
      <c r="C600" s="143" t="str">
        <f>VLOOKUP(B600,'Danh mục hàng hóa'!$C$3:$D$643,2,0)</f>
        <v>Trâm cài 12</v>
      </c>
      <c r="D600" s="144" t="str">
        <f>VLOOKUP(B600,'Danh mục hàng hóa'!$C$3:$E$656,3,0)</f>
        <v>cây</v>
      </c>
      <c r="E600" s="321">
        <f>138644-SUM(E597:E599)</f>
        <v>25644</v>
      </c>
      <c r="F600" s="317"/>
      <c r="G600" s="313">
        <v>1</v>
      </c>
    </row>
    <row r="601" spans="1:7" ht="13.2" hidden="1">
      <c r="A601" s="319">
        <v>45343</v>
      </c>
      <c r="B601" s="28" t="s">
        <v>392</v>
      </c>
      <c r="C601" s="143" t="str">
        <f>VLOOKUP(B601,'Danh mục hàng hóa'!$C$3:$D$643,2,0)</f>
        <v>Túi chườm bụng trái bơ 1000ml</v>
      </c>
      <c r="D601" s="144" t="str">
        <f>VLOOKUP(B601,'Danh mục hàng hóa'!$C$3:$E$656,3,0)</f>
        <v>túi</v>
      </c>
      <c r="E601" s="320">
        <v>85812</v>
      </c>
      <c r="F601" s="317"/>
      <c r="G601" s="313">
        <v>1</v>
      </c>
    </row>
    <row r="602" spans="1:7" ht="13.2" hidden="1">
      <c r="A602" s="319">
        <v>45345</v>
      </c>
      <c r="B602" s="28" t="s">
        <v>917</v>
      </c>
      <c r="C602" s="143" t="str">
        <f>VLOOKUP(B602,'Danh mục hàng hóa'!$C$3:$D$643,2,0)</f>
        <v>Thỏ đi vịt gắn xe</v>
      </c>
      <c r="D602" s="144" t="str">
        <f>VLOOKUP(B602,'Danh mục hàng hóa'!$C$3:$E$656,3,0)</f>
        <v>cái</v>
      </c>
      <c r="E602" s="320">
        <v>32682</v>
      </c>
      <c r="F602" s="317"/>
      <c r="G602" s="313">
        <v>1</v>
      </c>
    </row>
    <row r="603" spans="1:7" ht="13.2" hidden="1">
      <c r="A603" s="319">
        <v>45346</v>
      </c>
      <c r="B603" s="28" t="s">
        <v>493</v>
      </c>
      <c r="C603" s="143" t="str">
        <f>VLOOKUP(B603,'Danh mục hàng hóa'!$C$3:$D$643,2,0)</f>
        <v>Trâm cài 06</v>
      </c>
      <c r="D603" s="144" t="str">
        <f>VLOOKUP(B603,'Danh mục hàng hóa'!$C$3:$E$656,3,0)</f>
        <v>cây</v>
      </c>
      <c r="E603" s="320">
        <v>13120</v>
      </c>
      <c r="F603" s="317"/>
      <c r="G603" s="313">
        <v>1</v>
      </c>
    </row>
    <row r="604" spans="1:7" ht="13.2" hidden="1">
      <c r="A604" s="319">
        <v>45346</v>
      </c>
      <c r="B604" s="28" t="s">
        <v>495</v>
      </c>
      <c r="C604" s="143" t="str">
        <f>VLOOKUP(B604,'Danh mục hàng hóa'!$C$3:$D$643,2,0)</f>
        <v>Trâm cài 07</v>
      </c>
      <c r="D604" s="144" t="str">
        <f>VLOOKUP(B604,'Danh mục hàng hóa'!$C$3:$E$656,3,0)</f>
        <v>cây</v>
      </c>
      <c r="E604" s="320">
        <v>20000</v>
      </c>
      <c r="F604" s="317"/>
      <c r="G604" s="313">
        <v>1</v>
      </c>
    </row>
    <row r="605" spans="1:7" ht="13.2" hidden="1">
      <c r="A605" s="319">
        <v>45347</v>
      </c>
      <c r="B605" s="28" t="s">
        <v>887</v>
      </c>
      <c r="C605" s="143" t="str">
        <f>VLOOKUP(B605,'Danh mục hàng hóa'!$C$3:$D$643,2,0)</f>
        <v>Mèo chong chóng</v>
      </c>
      <c r="D605" s="144" t="str">
        <f>VLOOKUP(B605,'Danh mục hàng hóa'!$C$3:$E$656,3,0)</f>
        <v>cái</v>
      </c>
      <c r="E605" s="320">
        <v>47460</v>
      </c>
      <c r="F605" s="317"/>
      <c r="G605" s="313">
        <v>1</v>
      </c>
    </row>
    <row r="606" spans="1:7" ht="13.2" hidden="1">
      <c r="A606" s="319">
        <v>45347</v>
      </c>
      <c r="B606" s="28" t="s">
        <v>509</v>
      </c>
      <c r="C606" s="143" t="str">
        <f>VLOOKUP(B606,'Danh mục hàng hóa'!$C$3:$D$643,2,0)</f>
        <v>Trâm cài 14</v>
      </c>
      <c r="D606" s="144" t="str">
        <f>VLOOKUP(B606,'Danh mục hàng hóa'!$C$3:$E$656,3,0)</f>
        <v>cây</v>
      </c>
      <c r="E606" s="320">
        <v>30000</v>
      </c>
      <c r="F606" s="317"/>
      <c r="G606" s="313">
        <v>1</v>
      </c>
    </row>
    <row r="607" spans="1:7" ht="13.2" hidden="1">
      <c r="A607" s="319">
        <v>45347</v>
      </c>
      <c r="B607" s="28" t="s">
        <v>515</v>
      </c>
      <c r="C607" s="143" t="str">
        <f>VLOOKUP(B607,'Danh mục hàng hóa'!$C$3:$D$643,2,0)</f>
        <v>Trâm cài 17</v>
      </c>
      <c r="D607" s="144" t="str">
        <f>VLOOKUP(B607,'Danh mục hàng hóa'!$C$3:$E$656,3,0)</f>
        <v>cây</v>
      </c>
      <c r="E607" s="320">
        <v>42012</v>
      </c>
      <c r="F607" s="317"/>
      <c r="G607" s="313">
        <v>1</v>
      </c>
    </row>
    <row r="608" spans="1:7" ht="13.2" hidden="1">
      <c r="A608" s="319">
        <v>45347</v>
      </c>
      <c r="B608" s="28" t="s">
        <v>2147</v>
      </c>
      <c r="C608" s="143" t="e">
        <f>VLOOKUP(B608,'Danh mục hàng hóa'!$C$3:$D$643,2,0)</f>
        <v>#N/A</v>
      </c>
      <c r="D608" s="144" t="e">
        <f>VLOOKUP(B608,'Danh mục hàng hóa'!$C$3:$E$656,3,0)</f>
        <v>#N/A</v>
      </c>
      <c r="E608" s="320">
        <v>30000</v>
      </c>
      <c r="F608" s="317"/>
      <c r="G608" s="313">
        <v>1</v>
      </c>
    </row>
    <row r="609" spans="1:7" ht="13.2" hidden="1">
      <c r="A609" s="319">
        <v>45347</v>
      </c>
      <c r="B609" s="28" t="s">
        <v>977</v>
      </c>
      <c r="C609" s="143" t="str">
        <f>VLOOKUP(B609,'Danh mục hàng hóa'!$C$3:$D$643,2,0)</f>
        <v>Móc khóa đôi heo</v>
      </c>
      <c r="D609" s="144" t="str">
        <f>VLOOKUP(B609,'Danh mục hàng hóa'!$C$3:$E$656,3,0)</f>
        <v>cái</v>
      </c>
      <c r="E609" s="320">
        <v>45000</v>
      </c>
      <c r="F609" s="317"/>
      <c r="G609" s="313">
        <v>1</v>
      </c>
    </row>
    <row r="610" spans="1:7" ht="13.2" hidden="1">
      <c r="A610" s="319">
        <v>45347</v>
      </c>
      <c r="B610" s="28" t="s">
        <v>1056</v>
      </c>
      <c r="C610" s="143" t="str">
        <f>VLOOKUP(B610,'Danh mục hàng hóa'!$C$3:$D$643,2,0)</f>
        <v>Vớ cổ ngắn họa tiết hoa thỏ be</v>
      </c>
      <c r="D610" s="144" t="str">
        <f>VLOOKUP(B610,'Danh mục hàng hóa'!$C$3:$E$656,3,0)</f>
        <v>đôi</v>
      </c>
      <c r="E610" s="320">
        <v>8000</v>
      </c>
      <c r="F610" s="317"/>
      <c r="G610" s="313">
        <v>1</v>
      </c>
    </row>
    <row r="611" spans="1:7" ht="13.2" hidden="1">
      <c r="A611" s="319">
        <v>45347</v>
      </c>
      <c r="B611" s="28" t="s">
        <v>1060</v>
      </c>
      <c r="C611" s="143" t="str">
        <f>VLOOKUP(B611,'Danh mục hàng hóa'!$C$3:$D$643,2,0)</f>
        <v>Vớ cổ ngắn họa tiết hoa thỏ kem</v>
      </c>
      <c r="D611" s="144" t="str">
        <f>VLOOKUP(B611,'Danh mục hàng hóa'!$C$3:$E$656,3,0)</f>
        <v>đôi</v>
      </c>
      <c r="E611" s="320">
        <v>8000</v>
      </c>
      <c r="F611" s="317"/>
      <c r="G611" s="313">
        <v>1</v>
      </c>
    </row>
    <row r="612" spans="1:7" ht="13.2" hidden="1">
      <c r="A612" s="319">
        <v>45347</v>
      </c>
      <c r="B612" s="28" t="s">
        <v>1052</v>
      </c>
      <c r="C612" s="143" t="str">
        <f>VLOOKUP(B612,'Danh mục hàng hóa'!$C$3:$D$643,2,0)</f>
        <v>Vớ cổ ngắn set xanh bơ 4</v>
      </c>
      <c r="D612" s="144" t="str">
        <f>VLOOKUP(B612,'Danh mục hàng hóa'!$C$3:$E$656,3,0)</f>
        <v>đôi</v>
      </c>
      <c r="E612" s="321">
        <f>97707-30000-45000-16000</f>
        <v>6707</v>
      </c>
      <c r="F612" s="317"/>
      <c r="G612" s="313">
        <v>1</v>
      </c>
    </row>
    <row r="613" spans="1:7" ht="13.2" hidden="1">
      <c r="A613" s="319">
        <v>45347</v>
      </c>
      <c r="B613" s="28" t="s">
        <v>1054</v>
      </c>
      <c r="C613" s="143" t="str">
        <f>VLOOKUP(B613,'Danh mục hàng hóa'!$C$3:$D$643,2,0)</f>
        <v>Vớ cổ ngắn set xanh bơ 5</v>
      </c>
      <c r="D613" s="144" t="str">
        <f>VLOOKUP(B613,'Danh mục hàng hóa'!$C$3:$E$656,3,0)</f>
        <v>đôi</v>
      </c>
      <c r="E613" s="320">
        <v>0</v>
      </c>
      <c r="F613" s="317"/>
      <c r="G613" s="313">
        <v>1</v>
      </c>
    </row>
    <row r="614" spans="1:7" ht="13.2" hidden="1">
      <c r="A614" s="319">
        <v>45348</v>
      </c>
      <c r="B614" s="28" t="s">
        <v>891</v>
      </c>
      <c r="C614" s="143" t="str">
        <f>VLOOKUP(B614,'Danh mục hàng hóa'!$C$3:$D$643,2,0)</f>
        <v>Heo ú</v>
      </c>
      <c r="D614" s="144" t="str">
        <f>VLOOKUP(B614,'Danh mục hàng hóa'!$C$3:$E$656,3,0)</f>
        <v>cái</v>
      </c>
      <c r="E614" s="320">
        <v>47360</v>
      </c>
      <c r="F614" s="317"/>
      <c r="G614" s="313">
        <v>1</v>
      </c>
    </row>
    <row r="615" spans="1:7" ht="13.2" hidden="1">
      <c r="A615" s="319">
        <v>45348</v>
      </c>
      <c r="B615" s="28" t="s">
        <v>907</v>
      </c>
      <c r="C615" s="143" t="str">
        <f>VLOOKUP(B615,'Danh mục hàng hóa'!$C$3:$D$643,2,0)</f>
        <v>Cáo gắn xe</v>
      </c>
      <c r="D615" s="144" t="str">
        <f>VLOOKUP(B615,'Danh mục hàng hóa'!$C$3:$E$656,3,0)</f>
        <v>cái</v>
      </c>
      <c r="E615" s="320">
        <v>32902</v>
      </c>
      <c r="F615" s="317"/>
      <c r="G615" s="313">
        <v>1</v>
      </c>
    </row>
    <row r="616" spans="1:7" ht="13.2" hidden="1">
      <c r="A616" s="319">
        <v>45348</v>
      </c>
      <c r="B616" s="28" t="s">
        <v>977</v>
      </c>
      <c r="C616" s="143" t="str">
        <f>VLOOKUP(B616,'Danh mục hàng hóa'!$C$3:$D$643,2,0)</f>
        <v>Móc khóa đôi heo</v>
      </c>
      <c r="D616" s="144" t="str">
        <f>VLOOKUP(B616,'Danh mục hàng hóa'!$C$3:$E$656,3,0)</f>
        <v>cái</v>
      </c>
      <c r="E616" s="320">
        <v>41020</v>
      </c>
      <c r="F616" s="317"/>
      <c r="G616" s="313">
        <v>1</v>
      </c>
    </row>
    <row r="617" spans="1:7" ht="13.2" hidden="1">
      <c r="A617" s="319">
        <v>45349</v>
      </c>
      <c r="B617" s="28" t="s">
        <v>977</v>
      </c>
      <c r="C617" s="143" t="str">
        <f>VLOOKUP(B617,'Danh mục hàng hóa'!$C$3:$D$643,2,0)</f>
        <v>Móc khóa đôi heo</v>
      </c>
      <c r="D617" s="144" t="str">
        <f>VLOOKUP(B617,'Danh mục hàng hóa'!$C$3:$E$656,3,0)</f>
        <v>cái</v>
      </c>
      <c r="E617" s="320">
        <v>45000</v>
      </c>
      <c r="F617" s="317"/>
      <c r="G617" s="313">
        <v>1</v>
      </c>
    </row>
    <row r="618" spans="1:7" ht="13.2" hidden="1">
      <c r="A618" s="319">
        <v>45349</v>
      </c>
      <c r="B618" s="28" t="s">
        <v>545</v>
      </c>
      <c r="C618" s="143" t="str">
        <f>VLOOKUP(B618,'Danh mục hàng hóa'!$C$3:$D$643,2,0)</f>
        <v>Kẹp tóc kim loại ngôi sao</v>
      </c>
      <c r="D618" s="144" t="str">
        <f>VLOOKUP(B618,'Danh mục hàng hóa'!$C$3:$E$656,3,0)</f>
        <v>cái</v>
      </c>
      <c r="E618" s="320">
        <v>8380</v>
      </c>
      <c r="F618" s="317"/>
      <c r="G618" s="313">
        <v>1</v>
      </c>
    </row>
    <row r="619" spans="1:7" ht="13.2" hidden="1">
      <c r="A619" s="319">
        <v>45349</v>
      </c>
      <c r="B619" s="28" t="s">
        <v>493</v>
      </c>
      <c r="C619" s="143" t="str">
        <f>VLOOKUP(B619,'Danh mục hàng hóa'!$C$3:$D$643,2,0)</f>
        <v>Trâm cài 06</v>
      </c>
      <c r="D619" s="144" t="str">
        <f>VLOOKUP(B619,'Danh mục hàng hóa'!$C$3:$E$656,3,0)</f>
        <v>cây</v>
      </c>
      <c r="E619" s="320">
        <v>20000</v>
      </c>
      <c r="F619" s="317"/>
      <c r="G619" s="313">
        <v>1</v>
      </c>
    </row>
    <row r="620" spans="1:7" ht="13.2" hidden="1">
      <c r="A620" s="319">
        <v>45349</v>
      </c>
      <c r="B620" s="28" t="s">
        <v>517</v>
      </c>
      <c r="C620" s="143" t="str">
        <f>VLOOKUP(B620,'Danh mục hàng hóa'!$C$3:$D$643,2,0)</f>
        <v>Trâm cài 18</v>
      </c>
      <c r="D620" s="144" t="str">
        <f>VLOOKUP(B620,'Danh mục hàng hóa'!$C$3:$E$656,3,0)</f>
        <v>cây</v>
      </c>
      <c r="E620" s="320">
        <v>26212</v>
      </c>
      <c r="F620" s="317"/>
      <c r="G620" s="313">
        <v>1</v>
      </c>
    </row>
    <row r="621" spans="1:7" ht="13.2" hidden="1">
      <c r="A621" s="319">
        <v>45349</v>
      </c>
      <c r="B621" s="28" t="s">
        <v>907</v>
      </c>
      <c r="C621" s="143" t="str">
        <f>VLOOKUP(B621,'Danh mục hàng hóa'!$C$3:$D$643,2,0)</f>
        <v>Cáo gắn xe</v>
      </c>
      <c r="D621" s="144" t="str">
        <f>VLOOKUP(B621,'Danh mục hàng hóa'!$C$3:$E$656,3,0)</f>
        <v>cái</v>
      </c>
      <c r="E621" s="321">
        <f t="shared" ref="E621:E625" si="34">157765/5</f>
        <v>31553</v>
      </c>
      <c r="F621" s="317"/>
      <c r="G621" s="313">
        <v>1</v>
      </c>
    </row>
    <row r="622" spans="1:7" ht="13.2" hidden="1">
      <c r="A622" s="319">
        <v>45349</v>
      </c>
      <c r="B622" s="28" t="s">
        <v>909</v>
      </c>
      <c r="C622" s="143" t="str">
        <f>VLOOKUP(B622,'Danh mục hàng hóa'!$C$3:$D$643,2,0)</f>
        <v>Gấu trúc gắn xe</v>
      </c>
      <c r="D622" s="144" t="str">
        <f>VLOOKUP(B622,'Danh mục hàng hóa'!$C$3:$E$656,3,0)</f>
        <v>cái</v>
      </c>
      <c r="E622" s="321">
        <f t="shared" si="34"/>
        <v>31553</v>
      </c>
      <c r="F622" s="317"/>
      <c r="G622" s="313">
        <v>1</v>
      </c>
    </row>
    <row r="623" spans="1:7" ht="13.2" hidden="1">
      <c r="A623" s="319">
        <v>45349</v>
      </c>
      <c r="B623" s="28" t="s">
        <v>911</v>
      </c>
      <c r="C623" s="143" t="str">
        <f>VLOOKUP(B623,'Danh mục hàng hóa'!$C$3:$D$643,2,0)</f>
        <v>Gấu nâu gắn xe</v>
      </c>
      <c r="D623" s="144" t="str">
        <f>VLOOKUP(B623,'Danh mục hàng hóa'!$C$3:$E$656,3,0)</f>
        <v>cái</v>
      </c>
      <c r="E623" s="321">
        <f t="shared" si="34"/>
        <v>31553</v>
      </c>
      <c r="F623" s="317"/>
      <c r="G623" s="313">
        <v>1</v>
      </c>
    </row>
    <row r="624" spans="1:7" ht="13.2" hidden="1">
      <c r="A624" s="319">
        <v>45349</v>
      </c>
      <c r="B624" s="28" t="s">
        <v>2147</v>
      </c>
      <c r="C624" s="143" t="e">
        <f>VLOOKUP(B624,'Danh mục hàng hóa'!$C$3:$D$643,2,0)</f>
        <v>#N/A</v>
      </c>
      <c r="D624" s="144" t="e">
        <f>VLOOKUP(B624,'Danh mục hàng hóa'!$C$3:$E$656,3,0)</f>
        <v>#N/A</v>
      </c>
      <c r="E624" s="321">
        <f t="shared" si="34"/>
        <v>31553</v>
      </c>
      <c r="F624" s="317"/>
      <c r="G624" s="313">
        <v>1</v>
      </c>
    </row>
    <row r="625" spans="1:7" ht="13.2" hidden="1">
      <c r="A625" s="319">
        <v>45349</v>
      </c>
      <c r="B625" s="28" t="s">
        <v>913</v>
      </c>
      <c r="C625" s="143" t="str">
        <f>VLOOKUP(B625,'Danh mục hàng hóa'!$C$3:$D$643,2,0)</f>
        <v>Thỏ máy bay gắn xe</v>
      </c>
      <c r="D625" s="144" t="str">
        <f>VLOOKUP(B625,'Danh mục hàng hóa'!$C$3:$E$656,3,0)</f>
        <v>cái</v>
      </c>
      <c r="E625" s="321">
        <f t="shared" si="34"/>
        <v>31553</v>
      </c>
      <c r="F625" s="317"/>
      <c r="G625" s="313">
        <v>1</v>
      </c>
    </row>
    <row r="626" spans="1:7" ht="13.2" hidden="1">
      <c r="A626" s="319">
        <v>45349</v>
      </c>
      <c r="B626" s="28" t="s">
        <v>703</v>
      </c>
      <c r="C626" s="143" t="str">
        <f>VLOOKUP(B626,'Danh mục hàng hóa'!$C$3:$D$643,2,0)</f>
        <v>Buộc tóc hồng vải xù</v>
      </c>
      <c r="D626" s="144" t="str">
        <f>VLOOKUP(B626,'Danh mục hàng hóa'!$C$3:$E$656,3,0)</f>
        <v>cái</v>
      </c>
      <c r="E626" s="320">
        <v>10600</v>
      </c>
      <c r="F626" s="317"/>
      <c r="G626" s="313">
        <v>1</v>
      </c>
    </row>
    <row r="627" spans="1:7" ht="13.2" hidden="1">
      <c r="A627" s="319">
        <v>45350</v>
      </c>
      <c r="B627" s="28" t="s">
        <v>977</v>
      </c>
      <c r="C627" s="143" t="str">
        <f>VLOOKUP(B627,'Danh mục hàng hóa'!$C$3:$D$643,2,0)</f>
        <v>Móc khóa đôi heo</v>
      </c>
      <c r="D627" s="144" t="str">
        <f>VLOOKUP(B627,'Danh mục hàng hóa'!$C$3:$E$656,3,0)</f>
        <v>cái</v>
      </c>
      <c r="E627" s="320">
        <v>45260</v>
      </c>
      <c r="F627" s="317"/>
      <c r="G627" s="313">
        <v>1</v>
      </c>
    </row>
    <row r="628" spans="1:7" ht="13.2" hidden="1">
      <c r="A628" s="319">
        <v>45350</v>
      </c>
      <c r="B628" s="28" t="s">
        <v>895</v>
      </c>
      <c r="C628" s="143" t="str">
        <f>VLOOKUP(B628,'Danh mục hàng hóa'!$C$3:$D$643,2,0)</f>
        <v>Thỏ chong chóng</v>
      </c>
      <c r="D628" s="144" t="str">
        <f>VLOOKUP(B628,'Danh mục hàng hóa'!$C$3:$E$656,3,0)</f>
        <v>cái</v>
      </c>
      <c r="E628" s="320">
        <v>47460</v>
      </c>
      <c r="F628" s="317"/>
      <c r="G628" s="313">
        <v>1</v>
      </c>
    </row>
    <row r="629" spans="1:7" ht="13.2" hidden="1">
      <c r="A629" s="319">
        <v>45350</v>
      </c>
      <c r="B629" s="28" t="s">
        <v>983</v>
      </c>
      <c r="C629" s="143" t="str">
        <f>VLOOKUP(B629,'Danh mục hàng hóa'!$C$3:$D$643,2,0)</f>
        <v>Móc khoá đôi thỏ</v>
      </c>
      <c r="D629" s="144" t="str">
        <f>VLOOKUP(B629,'Danh mục hàng hóa'!$C$3:$E$656,3,0)</f>
        <v>cái</v>
      </c>
      <c r="E629" s="320">
        <v>45000</v>
      </c>
      <c r="F629" s="317"/>
      <c r="G629" s="313">
        <v>1</v>
      </c>
    </row>
    <row r="630" spans="1:7" ht="13.2" hidden="1">
      <c r="A630" s="319">
        <v>45350</v>
      </c>
      <c r="B630" s="28" t="s">
        <v>885</v>
      </c>
      <c r="C630" s="143" t="str">
        <f>VLOOKUP(B630,'Danh mục hàng hóa'!$C$3:$D$643,2,0)</f>
        <v>Gấu chong chóng</v>
      </c>
      <c r="D630" s="144" t="str">
        <f>VLOOKUP(B630,'Danh mục hàng hóa'!$C$3:$E$656,3,0)</f>
        <v>cái</v>
      </c>
      <c r="E630" s="321">
        <f>93280-45000</f>
        <v>48280</v>
      </c>
      <c r="F630" s="317"/>
      <c r="G630" s="313">
        <v>1</v>
      </c>
    </row>
    <row r="631" spans="1:7" ht="13.2" hidden="1">
      <c r="A631" s="319">
        <v>45350</v>
      </c>
      <c r="B631" s="28" t="s">
        <v>887</v>
      </c>
      <c r="C631" s="143" t="str">
        <f>VLOOKUP(B631,'Danh mục hàng hóa'!$C$3:$D$643,2,0)</f>
        <v>Mèo chong chóng</v>
      </c>
      <c r="D631" s="144" t="str">
        <f>VLOOKUP(B631,'Danh mục hàng hóa'!$C$3:$E$656,3,0)</f>
        <v>cái</v>
      </c>
      <c r="E631" s="320">
        <v>45000</v>
      </c>
      <c r="F631" s="317"/>
      <c r="G631" s="313">
        <v>1</v>
      </c>
    </row>
    <row r="632" spans="1:7" ht="13.2" hidden="1">
      <c r="A632" s="319">
        <v>45350</v>
      </c>
      <c r="B632" s="28" t="s">
        <v>895</v>
      </c>
      <c r="C632" s="143" t="str">
        <f>VLOOKUP(B632,'Danh mục hàng hóa'!$C$3:$D$643,2,0)</f>
        <v>Thỏ chong chóng</v>
      </c>
      <c r="D632" s="144" t="str">
        <f>VLOOKUP(B632,'Danh mục hàng hóa'!$C$3:$E$656,3,0)</f>
        <v>cái</v>
      </c>
      <c r="E632" s="320">
        <v>45000</v>
      </c>
      <c r="F632" s="317"/>
      <c r="G632" s="313">
        <v>1</v>
      </c>
    </row>
    <row r="633" spans="1:7" ht="13.2" hidden="1">
      <c r="A633" s="319">
        <v>45350</v>
      </c>
      <c r="B633" s="28" t="s">
        <v>913</v>
      </c>
      <c r="C633" s="143" t="str">
        <f>VLOOKUP(B633,'Danh mục hàng hóa'!$C$3:$D$643,2,0)</f>
        <v>Thỏ máy bay gắn xe</v>
      </c>
      <c r="D633" s="144" t="str">
        <f>VLOOKUP(B633,'Danh mục hàng hóa'!$C$3:$E$656,3,0)</f>
        <v>cái</v>
      </c>
      <c r="E633" s="320">
        <v>35422</v>
      </c>
      <c r="F633" s="317"/>
      <c r="G633" s="313">
        <v>1</v>
      </c>
    </row>
    <row r="634" spans="1:7" ht="13.2" hidden="1">
      <c r="A634" s="319">
        <v>45350</v>
      </c>
      <c r="B634" s="28" t="s">
        <v>977</v>
      </c>
      <c r="C634" s="143" t="str">
        <f>VLOOKUP(B634,'Danh mục hàng hóa'!$C$3:$D$643,2,0)</f>
        <v>Móc khóa đôi heo</v>
      </c>
      <c r="D634" s="144" t="str">
        <f>VLOOKUP(B634,'Danh mục hàng hóa'!$C$3:$E$656,3,0)</f>
        <v>cái</v>
      </c>
      <c r="E634" s="320">
        <v>45920</v>
      </c>
      <c r="F634" s="317"/>
      <c r="G634" s="313">
        <v>1</v>
      </c>
    </row>
    <row r="635" spans="1:7" ht="13.2" hidden="1">
      <c r="A635" s="319">
        <v>45350</v>
      </c>
      <c r="B635" s="28" t="s">
        <v>977</v>
      </c>
      <c r="C635" s="143" t="str">
        <f>VLOOKUP(B635,'Danh mục hàng hóa'!$C$3:$D$643,2,0)</f>
        <v>Móc khóa đôi heo</v>
      </c>
      <c r="D635" s="144" t="str">
        <f>VLOOKUP(B635,'Danh mục hàng hóa'!$C$3:$E$656,3,0)</f>
        <v>cái</v>
      </c>
      <c r="E635" s="320">
        <v>45660</v>
      </c>
      <c r="F635" s="317"/>
      <c r="G635" s="313">
        <v>1</v>
      </c>
    </row>
    <row r="636" spans="1:7" ht="13.2" hidden="1">
      <c r="A636" s="319">
        <v>45350</v>
      </c>
      <c r="B636" s="28" t="s">
        <v>977</v>
      </c>
      <c r="C636" s="143" t="str">
        <f>VLOOKUP(B636,'Danh mục hàng hóa'!$C$3:$D$643,2,0)</f>
        <v>Móc khóa đôi heo</v>
      </c>
      <c r="D636" s="144" t="str">
        <f>VLOOKUP(B636,'Danh mục hàng hóa'!$C$3:$E$656,3,0)</f>
        <v>cái</v>
      </c>
      <c r="E636" s="320">
        <v>44477</v>
      </c>
      <c r="F636" s="317"/>
      <c r="G636" s="313">
        <v>1</v>
      </c>
    </row>
    <row r="637" spans="1:7" ht="13.2" hidden="1">
      <c r="A637" s="319">
        <v>45350</v>
      </c>
      <c r="B637" s="28" t="s">
        <v>977</v>
      </c>
      <c r="C637" s="143" t="str">
        <f>VLOOKUP(B637,'Danh mục hàng hóa'!$C$3:$D$643,2,0)</f>
        <v>Móc khóa đôi heo</v>
      </c>
      <c r="D637" s="144" t="str">
        <f>VLOOKUP(B637,'Danh mục hàng hóa'!$C$3:$E$656,3,0)</f>
        <v>cái</v>
      </c>
      <c r="E637" s="320">
        <v>45980</v>
      </c>
      <c r="F637" s="317"/>
      <c r="G637" s="313">
        <v>1</v>
      </c>
    </row>
    <row r="638" spans="1:7" ht="13.2" hidden="1">
      <c r="A638" s="319">
        <v>45350</v>
      </c>
      <c r="B638" s="28" t="s">
        <v>895</v>
      </c>
      <c r="C638" s="143" t="str">
        <f>VLOOKUP(B638,'Danh mục hàng hóa'!$C$3:$D$643,2,0)</f>
        <v>Thỏ chong chóng</v>
      </c>
      <c r="D638" s="144" t="str">
        <f>VLOOKUP(B638,'Danh mục hàng hóa'!$C$3:$E$656,3,0)</f>
        <v>cái</v>
      </c>
      <c r="E638" s="320">
        <v>40000</v>
      </c>
      <c r="F638" s="317"/>
      <c r="G638" s="313">
        <v>1</v>
      </c>
    </row>
    <row r="639" spans="1:7" ht="13.2" hidden="1">
      <c r="A639" s="319">
        <v>45350</v>
      </c>
      <c r="B639" s="28" t="s">
        <v>913</v>
      </c>
      <c r="C639" s="143" t="str">
        <f>VLOOKUP(B639,'Danh mục hàng hóa'!$C$3:$D$643,2,0)</f>
        <v>Thỏ máy bay gắn xe</v>
      </c>
      <c r="D639" s="144" t="str">
        <f>VLOOKUP(B639,'Danh mục hàng hóa'!$C$3:$E$656,3,0)</f>
        <v>cái</v>
      </c>
      <c r="E639" s="320">
        <v>37182</v>
      </c>
      <c r="F639" s="317"/>
      <c r="G639" s="313">
        <v>1</v>
      </c>
    </row>
    <row r="640" spans="1:7" ht="13.2" hidden="1">
      <c r="A640" s="319">
        <v>45350</v>
      </c>
      <c r="B640" s="28" t="s">
        <v>983</v>
      </c>
      <c r="C640" s="143" t="str">
        <f>VLOOKUP(B640,'Danh mục hàng hóa'!$C$3:$D$643,2,0)</f>
        <v>Móc khoá đôi thỏ</v>
      </c>
      <c r="D640" s="144" t="str">
        <f>VLOOKUP(B640,'Danh mục hàng hóa'!$C$3:$E$656,3,0)</f>
        <v>cái</v>
      </c>
      <c r="E640" s="320">
        <v>43420</v>
      </c>
      <c r="F640" s="317"/>
      <c r="G640" s="313">
        <v>1</v>
      </c>
    </row>
    <row r="641" spans="1:7" ht="13.2" hidden="1">
      <c r="A641" s="319">
        <v>45350</v>
      </c>
      <c r="B641" s="28" t="s">
        <v>977</v>
      </c>
      <c r="C641" s="143" t="str">
        <f>VLOOKUP(B641,'Danh mục hàng hóa'!$C$3:$D$643,2,0)</f>
        <v>Móc khóa đôi heo</v>
      </c>
      <c r="D641" s="144" t="str">
        <f>VLOOKUP(B641,'Danh mục hàng hóa'!$C$3:$E$656,3,0)</f>
        <v>cái</v>
      </c>
      <c r="E641" s="320">
        <v>41520</v>
      </c>
      <c r="F641" s="317"/>
      <c r="G641" s="313">
        <v>1</v>
      </c>
    </row>
    <row r="642" spans="1:7" ht="13.2" hidden="1">
      <c r="A642" s="319">
        <v>45350</v>
      </c>
      <c r="B642" s="28" t="s">
        <v>885</v>
      </c>
      <c r="C642" s="143" t="str">
        <f>VLOOKUP(B642,'Danh mục hàng hóa'!$C$3:$D$643,2,0)</f>
        <v>Gấu chong chóng</v>
      </c>
      <c r="D642" s="144" t="str">
        <f>VLOOKUP(B642,'Danh mục hàng hóa'!$C$3:$E$656,3,0)</f>
        <v>cái</v>
      </c>
      <c r="E642" s="320">
        <v>46200</v>
      </c>
      <c r="F642" s="317"/>
      <c r="G642" s="313">
        <v>2</v>
      </c>
    </row>
    <row r="643" spans="1:7" ht="13.2" hidden="1">
      <c r="A643" s="319">
        <v>45350</v>
      </c>
      <c r="B643" s="28" t="s">
        <v>885</v>
      </c>
      <c r="C643" s="143" t="str">
        <f>VLOOKUP(B643,'Danh mục hàng hóa'!$C$3:$D$643,2,0)</f>
        <v>Gấu chong chóng</v>
      </c>
      <c r="D643" s="144" t="str">
        <f>VLOOKUP(B643,'Danh mục hàng hóa'!$C$3:$E$656,3,0)</f>
        <v>cái</v>
      </c>
      <c r="E643" s="320">
        <v>0</v>
      </c>
      <c r="F643" s="317"/>
      <c r="G643" s="313">
        <v>1</v>
      </c>
    </row>
    <row r="644" spans="1:7" ht="13.2" hidden="1">
      <c r="A644" s="319">
        <v>45351</v>
      </c>
      <c r="B644" s="28" t="s">
        <v>983</v>
      </c>
      <c r="C644" s="143" t="str">
        <f>VLOOKUP(B644,'Danh mục hàng hóa'!$C$3:$D$643,2,0)</f>
        <v>Móc khoá đôi thỏ</v>
      </c>
      <c r="D644" s="144" t="str">
        <f>VLOOKUP(B644,'Danh mục hàng hóa'!$C$3:$E$656,3,0)</f>
        <v>cái</v>
      </c>
      <c r="E644" s="320">
        <v>43720</v>
      </c>
      <c r="F644" s="317"/>
      <c r="G644" s="313">
        <v>1</v>
      </c>
    </row>
    <row r="645" spans="1:7" ht="13.2" hidden="1">
      <c r="A645" s="319">
        <v>45351</v>
      </c>
      <c r="B645" s="28" t="s">
        <v>513</v>
      </c>
      <c r="C645" s="143" t="str">
        <f>VLOOKUP(B645,'Danh mục hàng hóa'!$C$3:$D$643,2,0)</f>
        <v>Trâm cài 16</v>
      </c>
      <c r="D645" s="144" t="str">
        <f>VLOOKUP(B645,'Danh mục hàng hóa'!$C$3:$E$656,3,0)</f>
        <v>cây</v>
      </c>
      <c r="E645" s="320">
        <v>25476</v>
      </c>
      <c r="F645" s="317"/>
      <c r="G645" s="313">
        <v>1</v>
      </c>
    </row>
    <row r="646" spans="1:7" ht="13.2" hidden="1">
      <c r="A646" s="319">
        <v>45351</v>
      </c>
      <c r="B646" s="28" t="s">
        <v>523</v>
      </c>
      <c r="C646" s="143" t="str">
        <f>VLOOKUP(B646,'Danh mục hàng hóa'!$C$3:$D$643,2,0)</f>
        <v>Trâm cài 21</v>
      </c>
      <c r="D646" s="144" t="str">
        <f>VLOOKUP(B646,'Danh mục hàng hóa'!$C$3:$E$656,3,0)</f>
        <v>cây</v>
      </c>
      <c r="E646" s="320">
        <v>27000</v>
      </c>
      <c r="F646" s="317"/>
      <c r="G646" s="313">
        <v>1</v>
      </c>
    </row>
    <row r="647" spans="1:7" ht="13.2" hidden="1">
      <c r="A647" s="319">
        <v>45351</v>
      </c>
      <c r="B647" s="28" t="s">
        <v>977</v>
      </c>
      <c r="C647" s="143" t="str">
        <f>VLOOKUP(B647,'Danh mục hàng hóa'!$C$3:$D$643,2,0)</f>
        <v>Móc khóa đôi heo</v>
      </c>
      <c r="D647" s="144" t="str">
        <f>VLOOKUP(B647,'Danh mục hàng hóa'!$C$3:$E$656,3,0)</f>
        <v>cái</v>
      </c>
      <c r="E647" s="320">
        <v>45920</v>
      </c>
      <c r="F647" s="317"/>
      <c r="G647" s="313">
        <v>1</v>
      </c>
    </row>
    <row r="648" spans="1:7" ht="13.2">
      <c r="A648" s="319">
        <v>45352</v>
      </c>
      <c r="B648" s="28" t="s">
        <v>923</v>
      </c>
      <c r="C648" s="143" t="str">
        <f>VLOOKUP(B648,'Danh mục hàng hóa'!$C$3:$D$643,2,0)</f>
        <v>Kẹp khuếch tán tinh dầu vịt vàng</v>
      </c>
      <c r="D648" s="144" t="str">
        <f>VLOOKUP(B648,'Danh mục hàng hóa'!$C$3:$E$656,3,0)</f>
        <v>cái</v>
      </c>
      <c r="E648" s="321"/>
      <c r="F648" s="313">
        <v>4</v>
      </c>
      <c r="G648" s="317">
        <f t="shared" ref="G648:G724" si="35">E648*F648</f>
        <v>0</v>
      </c>
    </row>
    <row r="649" spans="1:7" ht="13.2">
      <c r="A649" s="319">
        <v>45352</v>
      </c>
      <c r="B649" s="28" t="s">
        <v>925</v>
      </c>
      <c r="C649" s="143" t="str">
        <f>VLOOKUP(B649,'Danh mục hàng hóa'!$C$3:$D$643,2,0)</f>
        <v>Kẹp khuếch tán tinh dầu vịt đen</v>
      </c>
      <c r="D649" s="144" t="str">
        <f>VLOOKUP(B649,'Danh mục hàng hóa'!$C$3:$E$656,3,0)</f>
        <v>cái</v>
      </c>
      <c r="E649" s="321"/>
      <c r="F649" s="313">
        <v>4</v>
      </c>
      <c r="G649" s="317">
        <f t="shared" si="35"/>
        <v>0</v>
      </c>
    </row>
    <row r="650" spans="1:7" ht="13.2">
      <c r="A650" s="319">
        <v>45352</v>
      </c>
      <c r="B650" s="28" t="s">
        <v>927</v>
      </c>
      <c r="C650" s="143" t="str">
        <f>VLOOKUP(B650,'Danh mục hàng hóa'!$C$3:$D$643,2,0)</f>
        <v>Kẹp khuếch tán tinh dầu vịt be</v>
      </c>
      <c r="D650" s="144" t="str">
        <f>VLOOKUP(B650,'Danh mục hàng hóa'!$C$3:$E$656,3,0)</f>
        <v>cái</v>
      </c>
      <c r="E650" s="321"/>
      <c r="F650" s="313">
        <v>4</v>
      </c>
      <c r="G650" s="317">
        <f t="shared" si="35"/>
        <v>0</v>
      </c>
    </row>
    <row r="651" spans="1:7" ht="13.2">
      <c r="A651" s="319">
        <v>45352</v>
      </c>
      <c r="B651" s="28" t="s">
        <v>929</v>
      </c>
      <c r="C651" s="143" t="str">
        <f>VLOOKUP(B651,'Danh mục hàng hóa'!$C$3:$D$643,2,0)</f>
        <v>Kẹp khuếch tán tinh dầu thỏ trắng</v>
      </c>
      <c r="D651" s="144" t="str">
        <f>VLOOKUP(B651,'Danh mục hàng hóa'!$C$3:$E$656,3,0)</f>
        <v>cái</v>
      </c>
      <c r="E651" s="321"/>
      <c r="F651" s="313">
        <v>4</v>
      </c>
      <c r="G651" s="317">
        <f t="shared" si="35"/>
        <v>0</v>
      </c>
    </row>
    <row r="652" spans="1:7" ht="13.2">
      <c r="A652" s="319">
        <v>45352</v>
      </c>
      <c r="B652" s="28" t="s">
        <v>931</v>
      </c>
      <c r="C652" s="143" t="str">
        <f>VLOOKUP(B652,'Danh mục hàng hóa'!$C$3:$D$643,2,0)</f>
        <v>Kẹp khuếch tán tinh dầu thỏ hồng</v>
      </c>
      <c r="D652" s="144" t="str">
        <f>VLOOKUP(B652,'Danh mục hàng hóa'!$C$3:$E$656,3,0)</f>
        <v>cái</v>
      </c>
      <c r="E652" s="321"/>
      <c r="F652" s="313">
        <v>4</v>
      </c>
      <c r="G652" s="317">
        <f t="shared" si="35"/>
        <v>0</v>
      </c>
    </row>
    <row r="653" spans="1:7" ht="13.2">
      <c r="A653" s="319">
        <v>45352</v>
      </c>
      <c r="B653" s="28" t="s">
        <v>933</v>
      </c>
      <c r="C653" s="143" t="str">
        <f>VLOOKUP(B653,'Danh mục hàng hóa'!$C$3:$D$643,2,0)</f>
        <v>Kẹp khuếch tán tinh dầu gấu dâu</v>
      </c>
      <c r="D653" s="144" t="str">
        <f>VLOOKUP(B653,'Danh mục hàng hóa'!$C$3:$E$656,3,0)</f>
        <v>cái</v>
      </c>
      <c r="E653" s="321"/>
      <c r="F653" s="313">
        <v>3</v>
      </c>
      <c r="G653" s="317">
        <f t="shared" si="35"/>
        <v>0</v>
      </c>
    </row>
    <row r="654" spans="1:7" ht="13.2">
      <c r="A654" s="319">
        <v>45352</v>
      </c>
      <c r="B654" s="28" t="s">
        <v>935</v>
      </c>
      <c r="C654" s="143" t="str">
        <f>VLOOKUP(B654,'Danh mục hàng hóa'!$C$3:$D$643,2,0)</f>
        <v>Kẹp khuếch tán tinh dầu batman</v>
      </c>
      <c r="D654" s="144" t="str">
        <f>VLOOKUP(B654,'Danh mục hàng hóa'!$C$3:$E$656,3,0)</f>
        <v>cái</v>
      </c>
      <c r="E654" s="321"/>
      <c r="F654" s="313">
        <v>3</v>
      </c>
      <c r="G654" s="317">
        <f t="shared" si="35"/>
        <v>0</v>
      </c>
    </row>
    <row r="655" spans="1:7" ht="13.2">
      <c r="A655" s="319">
        <v>45352</v>
      </c>
      <c r="B655" s="28" t="s">
        <v>937</v>
      </c>
      <c r="C655" s="143" t="str">
        <f>VLOOKUP(B655,'Danh mục hàng hóa'!$C$3:$D$643,2,0)</f>
        <v>Kẹp khuếch tán tinh dầu spider man</v>
      </c>
      <c r="D655" s="144" t="str">
        <f>VLOOKUP(B655,'Danh mục hàng hóa'!$C$3:$E$656,3,0)</f>
        <v>cái</v>
      </c>
      <c r="E655" s="321"/>
      <c r="F655" s="313">
        <v>3</v>
      </c>
      <c r="G655" s="317">
        <f t="shared" si="35"/>
        <v>0</v>
      </c>
    </row>
    <row r="656" spans="1:7" ht="13.2">
      <c r="A656" s="319">
        <v>45352</v>
      </c>
      <c r="B656" s="45" t="s">
        <v>422</v>
      </c>
      <c r="C656" s="143" t="str">
        <f>VLOOKUP(B656,'Danh mục hàng hóa'!$C$3:$D$643,2,0)</f>
        <v>Túi chườm bụng gấu nâu 500ml</v>
      </c>
      <c r="D656" s="144" t="str">
        <f>VLOOKUP(B656,'Danh mục hàng hóa'!$C$3:$E$656,3,0)</f>
        <v>túi</v>
      </c>
      <c r="E656" s="321"/>
      <c r="F656" s="313">
        <v>10</v>
      </c>
      <c r="G656" s="317">
        <f t="shared" si="35"/>
        <v>0</v>
      </c>
    </row>
    <row r="657" spans="1:7" ht="13.2">
      <c r="A657" s="319">
        <v>45352</v>
      </c>
      <c r="B657" s="45" t="s">
        <v>424</v>
      </c>
      <c r="C657" s="143" t="str">
        <f>VLOOKUP(B657,'Danh mục hàng hóa'!$C$3:$D$643,2,0)</f>
        <v>Túi chườm bụng vịt vàng 500ml</v>
      </c>
      <c r="D657" s="144" t="str">
        <f>VLOOKUP(B657,'Danh mục hàng hóa'!$C$3:$E$656,3,0)</f>
        <v>túi</v>
      </c>
      <c r="E657" s="321"/>
      <c r="F657" s="313">
        <v>10</v>
      </c>
      <c r="G657" s="317">
        <f t="shared" si="35"/>
        <v>0</v>
      </c>
    </row>
    <row r="658" spans="1:7" ht="13.2">
      <c r="A658" s="319">
        <v>45352</v>
      </c>
      <c r="B658" s="45" t="s">
        <v>426</v>
      </c>
      <c r="C658" s="143" t="str">
        <f>VLOOKUP(B658,'Danh mục hàng hóa'!$C$3:$D$643,2,0)</f>
        <v>Túi chườm bụng thỏ hồng 500ml</v>
      </c>
      <c r="D658" s="144" t="str">
        <f>VLOOKUP(B658,'Danh mục hàng hóa'!$C$3:$E$656,3,0)</f>
        <v>túi</v>
      </c>
      <c r="E658" s="321"/>
      <c r="F658" s="313">
        <v>10</v>
      </c>
      <c r="G658" s="317">
        <f t="shared" si="35"/>
        <v>0</v>
      </c>
    </row>
    <row r="659" spans="1:7" ht="13.2">
      <c r="A659" s="319">
        <v>45353</v>
      </c>
      <c r="B659" s="28" t="s">
        <v>895</v>
      </c>
      <c r="C659" s="143" t="str">
        <f>VLOOKUP(B659,'Danh mục hàng hóa'!$C$3:$D$643,2,0)</f>
        <v>Thỏ chong chóng</v>
      </c>
      <c r="D659" s="144" t="str">
        <f>VLOOKUP(B659,'Danh mục hàng hóa'!$C$3:$E$656,3,0)</f>
        <v>cái</v>
      </c>
      <c r="E659" s="321"/>
      <c r="F659" s="313">
        <v>12</v>
      </c>
      <c r="G659" s="317">
        <f t="shared" si="35"/>
        <v>0</v>
      </c>
    </row>
    <row r="660" spans="1:7" ht="13.2">
      <c r="A660" s="319">
        <v>45353</v>
      </c>
      <c r="B660" s="28" t="s">
        <v>887</v>
      </c>
      <c r="C660" s="143" t="str">
        <f>VLOOKUP(B660,'Danh mục hàng hóa'!$C$3:$D$643,2,0)</f>
        <v>Mèo chong chóng</v>
      </c>
      <c r="D660" s="144" t="str">
        <f>VLOOKUP(B660,'Danh mục hàng hóa'!$C$3:$E$656,3,0)</f>
        <v>cái</v>
      </c>
      <c r="E660" s="321"/>
      <c r="F660" s="313">
        <v>7</v>
      </c>
      <c r="G660" s="317">
        <f t="shared" si="35"/>
        <v>0</v>
      </c>
    </row>
    <row r="661" spans="1:7" ht="13.2">
      <c r="A661" s="319">
        <v>45353</v>
      </c>
      <c r="B661" s="28" t="s">
        <v>891</v>
      </c>
      <c r="C661" s="143" t="str">
        <f>VLOOKUP(B661,'Danh mục hàng hóa'!$C$3:$D$643,2,0)</f>
        <v>Heo ú</v>
      </c>
      <c r="D661" s="144" t="str">
        <f>VLOOKUP(B661,'Danh mục hàng hóa'!$C$3:$E$656,3,0)</f>
        <v>cái</v>
      </c>
      <c r="E661" s="321"/>
      <c r="F661" s="313">
        <v>14</v>
      </c>
      <c r="G661" s="317">
        <f t="shared" si="35"/>
        <v>0</v>
      </c>
    </row>
    <row r="662" spans="1:7" ht="13.2">
      <c r="A662" s="319">
        <v>45353</v>
      </c>
      <c r="B662" s="28" t="s">
        <v>885</v>
      </c>
      <c r="C662" s="143" t="str">
        <f>VLOOKUP(B662,'Danh mục hàng hóa'!$C$3:$D$643,2,0)</f>
        <v>Gấu chong chóng</v>
      </c>
      <c r="D662" s="367" t="str">
        <f>VLOOKUP(B662,'Danh mục hàng hóa'!$C$3:$E$656,3,0)</f>
        <v>cái</v>
      </c>
      <c r="E662" s="321"/>
      <c r="F662" s="313">
        <v>7</v>
      </c>
      <c r="G662" s="317">
        <f t="shared" si="35"/>
        <v>0</v>
      </c>
    </row>
    <row r="663" spans="1:7" ht="13.2">
      <c r="A663" s="319">
        <v>45353</v>
      </c>
      <c r="B663" s="28" t="s">
        <v>995</v>
      </c>
      <c r="C663" s="143" t="str">
        <f>VLOOKUP(B663,'Danh mục hàng hóa'!$C$3:$D$643,2,0)</f>
        <v>Mô hình cún 01</v>
      </c>
      <c r="D663" s="367" t="str">
        <f>VLOOKUP(B663,'Danh mục hàng hóa'!$C$3:$E$656,3,0)</f>
        <v>cái</v>
      </c>
      <c r="E663" s="321"/>
      <c r="F663" s="313">
        <v>8</v>
      </c>
      <c r="G663" s="317">
        <f t="shared" si="35"/>
        <v>0</v>
      </c>
    </row>
    <row r="664" spans="1:7" ht="13.2">
      <c r="A664" s="319">
        <v>45353</v>
      </c>
      <c r="B664" s="28" t="s">
        <v>997</v>
      </c>
      <c r="C664" s="143" t="str">
        <f>VLOOKUP(B664,'Danh mục hàng hóa'!$C$3:$D$643,2,0)</f>
        <v>Mô hình cún 02</v>
      </c>
      <c r="D664" s="367" t="str">
        <f>VLOOKUP(B664,'Danh mục hàng hóa'!$C$3:$E$656,3,0)</f>
        <v>cái</v>
      </c>
      <c r="E664" s="321"/>
      <c r="F664" s="313">
        <v>8</v>
      </c>
      <c r="G664" s="317">
        <f t="shared" si="35"/>
        <v>0</v>
      </c>
    </row>
    <row r="665" spans="1:7" ht="13.2">
      <c r="A665" s="319">
        <v>45353</v>
      </c>
      <c r="B665" s="28" t="s">
        <v>999</v>
      </c>
      <c r="C665" s="143" t="str">
        <f>VLOOKUP(B665,'Danh mục hàng hóa'!$C$3:$D$643,2,0)</f>
        <v>Mô hình cún 03</v>
      </c>
      <c r="D665" s="367" t="str">
        <f>VLOOKUP(B665,'Danh mục hàng hóa'!$C$3:$E$656,3,0)</f>
        <v>cái</v>
      </c>
      <c r="E665" s="321"/>
      <c r="F665" s="313">
        <v>8</v>
      </c>
      <c r="G665" s="317">
        <f t="shared" si="35"/>
        <v>0</v>
      </c>
    </row>
    <row r="666" spans="1:7" ht="13.2">
      <c r="A666" s="319">
        <v>45353</v>
      </c>
      <c r="B666" s="28" t="s">
        <v>1001</v>
      </c>
      <c r="C666" s="143" t="str">
        <f>VLOOKUP(B666,'Danh mục hàng hóa'!$C$3:$D$643,2,0)</f>
        <v>Mô hình cún 04</v>
      </c>
      <c r="D666" s="367" t="str">
        <f>VLOOKUP(B666,'Danh mục hàng hóa'!$C$3:$E$656,3,0)</f>
        <v>cái</v>
      </c>
      <c r="E666" s="321"/>
      <c r="F666" s="313">
        <v>8</v>
      </c>
      <c r="G666" s="317">
        <f t="shared" si="35"/>
        <v>0</v>
      </c>
    </row>
    <row r="667" spans="1:7" ht="13.2">
      <c r="A667" s="319">
        <v>45353</v>
      </c>
      <c r="B667" s="28" t="s">
        <v>1005</v>
      </c>
      <c r="C667" s="143" t="str">
        <f>VLOOKUP(B667,'Danh mục hàng hóa'!$C$3:$D$643,2,0)</f>
        <v>Mô hình trái cây 06</v>
      </c>
      <c r="D667" s="367" t="str">
        <f>VLOOKUP(B667,'Danh mục hàng hóa'!$C$3:$E$656,3,0)</f>
        <v>cái</v>
      </c>
      <c r="E667" s="321"/>
      <c r="F667" s="313">
        <v>7</v>
      </c>
      <c r="G667" s="317">
        <f t="shared" si="35"/>
        <v>0</v>
      </c>
    </row>
    <row r="668" spans="1:7" ht="13.2">
      <c r="A668" s="319">
        <v>45353</v>
      </c>
      <c r="B668" s="28" t="s">
        <v>1007</v>
      </c>
      <c r="C668" s="143" t="str">
        <f>VLOOKUP(B668,'Danh mục hàng hóa'!$C$3:$D$643,2,0)</f>
        <v>Mô hình trái cây 07</v>
      </c>
      <c r="D668" s="367" t="str">
        <f>VLOOKUP(B668,'Danh mục hàng hóa'!$C$3:$E$656,3,0)</f>
        <v>cái</v>
      </c>
      <c r="E668" s="321"/>
      <c r="F668" s="313">
        <v>7</v>
      </c>
      <c r="G668" s="317">
        <f t="shared" si="35"/>
        <v>0</v>
      </c>
    </row>
    <row r="669" spans="1:7" ht="13.2">
      <c r="A669" s="319">
        <v>45353</v>
      </c>
      <c r="B669" s="28" t="s">
        <v>1009</v>
      </c>
      <c r="C669" s="143" t="str">
        <f>VLOOKUP(B669,'Danh mục hàng hóa'!$C$3:$D$643,2,0)</f>
        <v>Mô hình trái cây 08</v>
      </c>
      <c r="D669" s="367" t="str">
        <f>VLOOKUP(B669,'Danh mục hàng hóa'!$C$3:$E$656,3,0)</f>
        <v>cái</v>
      </c>
      <c r="E669" s="321"/>
      <c r="F669" s="313">
        <v>7</v>
      </c>
      <c r="G669" s="317">
        <f t="shared" si="35"/>
        <v>0</v>
      </c>
    </row>
    <row r="670" spans="1:7" ht="13.2">
      <c r="A670" s="319">
        <v>45353</v>
      </c>
      <c r="B670" s="28" t="s">
        <v>1011</v>
      </c>
      <c r="C670" s="143" t="str">
        <f>VLOOKUP(B670,'Danh mục hàng hóa'!$C$3:$D$643,2,0)</f>
        <v>Mô hình trái cây 09</v>
      </c>
      <c r="D670" s="367" t="str">
        <f>VLOOKUP(B670,'Danh mục hàng hóa'!$C$3:$E$656,3,0)</f>
        <v>cái</v>
      </c>
      <c r="E670" s="321"/>
      <c r="F670" s="313">
        <v>7</v>
      </c>
      <c r="G670" s="317">
        <f t="shared" si="35"/>
        <v>0</v>
      </c>
    </row>
    <row r="671" spans="1:7" ht="13.2">
      <c r="A671" s="319">
        <v>45353</v>
      </c>
      <c r="B671" s="28" t="s">
        <v>1013</v>
      </c>
      <c r="C671" s="143" t="str">
        <f>VLOOKUP(B671,'Danh mục hàng hóa'!$C$3:$D$643,2,0)</f>
        <v>Mô hình trái cây 10</v>
      </c>
      <c r="D671" s="367" t="str">
        <f>VLOOKUP(B671,'Danh mục hàng hóa'!$C$3:$E$656,3,0)</f>
        <v>cái</v>
      </c>
      <c r="E671" s="321"/>
      <c r="F671" s="313">
        <v>7</v>
      </c>
      <c r="G671" s="317">
        <f t="shared" si="35"/>
        <v>0</v>
      </c>
    </row>
    <row r="672" spans="1:7" ht="13.2">
      <c r="A672" s="319">
        <v>45353</v>
      </c>
      <c r="B672" s="28" t="s">
        <v>1015</v>
      </c>
      <c r="C672" s="143" t="str">
        <f>VLOOKUP(B672,'Danh mục hàng hóa'!$C$3:$D$643,2,0)</f>
        <v>Mô hình trái cây 11</v>
      </c>
      <c r="D672" s="367" t="str">
        <f>VLOOKUP(B672,'Danh mục hàng hóa'!$C$3:$E$656,3,0)</f>
        <v>cái</v>
      </c>
      <c r="E672" s="321"/>
      <c r="F672" s="313">
        <v>6</v>
      </c>
      <c r="G672" s="317">
        <f t="shared" si="35"/>
        <v>0</v>
      </c>
    </row>
    <row r="673" spans="1:7" ht="13.2">
      <c r="A673" s="319">
        <v>45353</v>
      </c>
      <c r="B673" s="28" t="s">
        <v>1017</v>
      </c>
      <c r="C673" s="143" t="str">
        <f>VLOOKUP(B673,'Danh mục hàng hóa'!$C$3:$D$643,2,0)</f>
        <v>Mô hình trái cây 12</v>
      </c>
      <c r="D673" s="367" t="str">
        <f>VLOOKUP(B673,'Danh mục hàng hóa'!$C$3:$E$656,3,0)</f>
        <v>cái</v>
      </c>
      <c r="E673" s="321"/>
      <c r="F673" s="313">
        <v>6</v>
      </c>
      <c r="G673" s="317">
        <f t="shared" si="35"/>
        <v>0</v>
      </c>
    </row>
    <row r="674" spans="1:7" ht="13.2">
      <c r="A674" s="319">
        <v>45353</v>
      </c>
      <c r="B674" s="28" t="s">
        <v>1019</v>
      </c>
      <c r="C674" s="143" t="str">
        <f>VLOOKUP(B674,'Danh mục hàng hóa'!$C$3:$D$643,2,0)</f>
        <v>Mô hình trái cây 13</v>
      </c>
      <c r="D674" s="367" t="str">
        <f>VLOOKUP(B674,'Danh mục hàng hóa'!$C$3:$E$656,3,0)</f>
        <v>cái</v>
      </c>
      <c r="E674" s="321"/>
      <c r="F674" s="313">
        <v>6</v>
      </c>
      <c r="G674" s="317">
        <f t="shared" si="35"/>
        <v>0</v>
      </c>
    </row>
    <row r="675" spans="1:7" ht="13.2">
      <c r="A675" s="319">
        <v>45353</v>
      </c>
      <c r="B675" s="28" t="s">
        <v>1021</v>
      </c>
      <c r="C675" s="143" t="str">
        <f>VLOOKUP(B675,'Danh mục hàng hóa'!$C$3:$D$643,2,0)</f>
        <v>Mô hình trái cây 14</v>
      </c>
      <c r="D675" s="367" t="str">
        <f>VLOOKUP(B675,'Danh mục hàng hóa'!$C$3:$E$656,3,0)</f>
        <v>cái</v>
      </c>
      <c r="E675" s="321"/>
      <c r="F675" s="313">
        <v>6</v>
      </c>
      <c r="G675" s="317">
        <f t="shared" si="35"/>
        <v>0</v>
      </c>
    </row>
    <row r="676" spans="1:7" ht="13.2">
      <c r="A676" s="319">
        <v>45353</v>
      </c>
      <c r="B676" s="28" t="s">
        <v>1023</v>
      </c>
      <c r="C676" s="143" t="str">
        <f>VLOOKUP(B676,'Danh mục hàng hóa'!$C$3:$D$643,2,0)</f>
        <v>Mô hình trái cây 15</v>
      </c>
      <c r="D676" s="367" t="str">
        <f>VLOOKUP(B676,'Danh mục hàng hóa'!$C$3:$E$656,3,0)</f>
        <v>cái</v>
      </c>
      <c r="E676" s="321"/>
      <c r="F676" s="313">
        <v>6</v>
      </c>
      <c r="G676" s="317">
        <f t="shared" si="35"/>
        <v>0</v>
      </c>
    </row>
    <row r="677" spans="1:7" ht="13.2">
      <c r="A677" s="319"/>
      <c r="B677" s="28" t="s">
        <v>907</v>
      </c>
      <c r="C677" s="143" t="str">
        <f>VLOOKUP(B677,'Danh mục hàng hóa'!$C$3:$D$643,2,0)</f>
        <v>Cáo gắn xe</v>
      </c>
      <c r="D677" s="367" t="str">
        <f>VLOOKUP(B677,'Danh mục hàng hóa'!$C$3:$E$656,3,0)</f>
        <v>cái</v>
      </c>
      <c r="E677" s="320"/>
      <c r="F677" s="313">
        <v>3</v>
      </c>
      <c r="G677" s="317">
        <f t="shared" si="35"/>
        <v>0</v>
      </c>
    </row>
    <row r="678" spans="1:7" ht="13.2">
      <c r="A678" s="319"/>
      <c r="B678" s="28" t="s">
        <v>913</v>
      </c>
      <c r="C678" s="143" t="str">
        <f>VLOOKUP(B678,'Danh mục hàng hóa'!$C$3:$D$643,2,0)</f>
        <v>Thỏ máy bay gắn xe</v>
      </c>
      <c r="D678" s="367" t="str">
        <f>VLOOKUP(B678,'Danh mục hàng hóa'!$C$3:$E$656,3,0)</f>
        <v>cái</v>
      </c>
      <c r="E678" s="320"/>
      <c r="F678" s="313">
        <v>3</v>
      </c>
      <c r="G678" s="317">
        <f t="shared" si="35"/>
        <v>0</v>
      </c>
    </row>
    <row r="679" spans="1:7" ht="13.2">
      <c r="A679" s="319"/>
      <c r="B679" s="28" t="s">
        <v>915</v>
      </c>
      <c r="C679" s="143" t="str">
        <f>VLOOKUP(B679,'Danh mục hàng hóa'!$C$3:$D$643,2,0)</f>
        <v>Thỏ chạy xe gắn xe</v>
      </c>
      <c r="D679" s="367" t="str">
        <f>VLOOKUP(B679,'Danh mục hàng hóa'!$C$3:$E$656,3,0)</f>
        <v>cái</v>
      </c>
      <c r="E679" s="320"/>
      <c r="F679" s="313">
        <v>7</v>
      </c>
      <c r="G679" s="317">
        <f t="shared" si="35"/>
        <v>0</v>
      </c>
    </row>
    <row r="680" spans="1:7" ht="13.2">
      <c r="A680" s="319"/>
      <c r="B680" s="28" t="s">
        <v>917</v>
      </c>
      <c r="C680" s="143" t="str">
        <f>VLOOKUP(B680,'Danh mục hàng hóa'!$C$3:$D$643,2,0)</f>
        <v>Thỏ đi vịt gắn xe</v>
      </c>
      <c r="D680" s="367" t="str">
        <f>VLOOKUP(B680,'Danh mục hàng hóa'!$C$3:$E$656,3,0)</f>
        <v>cái</v>
      </c>
      <c r="E680" s="320"/>
      <c r="F680" s="313">
        <v>3</v>
      </c>
      <c r="G680" s="317">
        <f t="shared" si="35"/>
        <v>0</v>
      </c>
    </row>
    <row r="681" spans="1:7" ht="13.2">
      <c r="A681" s="319"/>
      <c r="B681" s="28" t="s">
        <v>919</v>
      </c>
      <c r="C681" s="143" t="str">
        <f>VLOOKUP(B681,'Danh mục hàng hóa'!$C$3:$D$643,2,0)</f>
        <v>Thỏ mặt trăng gắn xe</v>
      </c>
      <c r="D681" s="367" t="str">
        <f>VLOOKUP(B681,'Danh mục hàng hóa'!$C$3:$E$656,3,0)</f>
        <v>cái</v>
      </c>
      <c r="E681" s="320"/>
      <c r="F681" s="313">
        <v>3</v>
      </c>
      <c r="G681" s="317">
        <f t="shared" si="35"/>
        <v>0</v>
      </c>
    </row>
    <row r="682" spans="1:7" ht="13.2">
      <c r="A682" s="322">
        <v>45359</v>
      </c>
      <c r="B682" s="28" t="s">
        <v>732</v>
      </c>
      <c r="C682" s="143" t="str">
        <f>VLOOKUP(B682,'Danh mục hàng hóa'!$C$3:$D$643,2,0)</f>
        <v>Kẹp tóc hoa sứ tím</v>
      </c>
      <c r="D682" s="144" t="str">
        <f>VLOOKUP(B682,'Danh mục hàng hóa'!$C$3:$E$656,3,0)</f>
        <v>cái</v>
      </c>
      <c r="E682" s="321"/>
      <c r="F682" s="313">
        <v>15</v>
      </c>
      <c r="G682" s="317">
        <f t="shared" si="35"/>
        <v>0</v>
      </c>
    </row>
    <row r="683" spans="1:7" ht="13.2">
      <c r="A683" s="322">
        <v>45359</v>
      </c>
      <c r="B683" s="28" t="s">
        <v>734</v>
      </c>
      <c r="C683" s="143" t="str">
        <f>VLOOKUP(B683,'Danh mục hàng hóa'!$C$3:$D$643,2,0)</f>
        <v>Kẹp tóc hoa sứ hồng</v>
      </c>
      <c r="D683" s="144" t="str">
        <f>VLOOKUP(B683,'Danh mục hàng hóa'!$C$3:$E$656,3,0)</f>
        <v>cái</v>
      </c>
      <c r="E683" s="321"/>
      <c r="F683" s="313">
        <v>15</v>
      </c>
      <c r="G683" s="317">
        <f t="shared" si="35"/>
        <v>0</v>
      </c>
    </row>
    <row r="684" spans="1:7" ht="13.2">
      <c r="A684" s="322">
        <v>45359</v>
      </c>
      <c r="B684" s="28" t="s">
        <v>736</v>
      </c>
      <c r="C684" s="143" t="str">
        <f>VLOOKUP(B684,'Danh mục hàng hóa'!$C$3:$D$643,2,0)</f>
        <v>Kẹp tóc hoa sứ vàng</v>
      </c>
      <c r="D684" s="144" t="str">
        <f>VLOOKUP(B684,'Danh mục hàng hóa'!$C$3:$E$656,3,0)</f>
        <v>cái</v>
      </c>
      <c r="E684" s="321"/>
      <c r="F684" s="313">
        <v>15</v>
      </c>
      <c r="G684" s="317">
        <f t="shared" si="35"/>
        <v>0</v>
      </c>
    </row>
    <row r="685" spans="1:7" ht="13.2">
      <c r="A685" s="322">
        <v>45359</v>
      </c>
      <c r="B685" s="28" t="s">
        <v>738</v>
      </c>
      <c r="C685" s="143" t="str">
        <f>VLOOKUP(B685,'Danh mục hàng hóa'!$C$3:$D$643,2,0)</f>
        <v>Kẹp tóc hoa sứ cam</v>
      </c>
      <c r="D685" s="144" t="str">
        <f>VLOOKUP(B685,'Danh mục hàng hóa'!$C$3:$E$656,3,0)</f>
        <v>cái</v>
      </c>
      <c r="E685" s="321"/>
      <c r="F685" s="313">
        <v>15</v>
      </c>
      <c r="G685" s="317">
        <f t="shared" si="35"/>
        <v>0</v>
      </c>
    </row>
    <row r="686" spans="1:7" ht="13.2">
      <c r="A686" s="322">
        <v>45359</v>
      </c>
      <c r="B686" s="28" t="s">
        <v>740</v>
      </c>
      <c r="C686" s="143" t="str">
        <f>VLOOKUP(B686,'Danh mục hàng hóa'!$C$3:$D$643,2,0)</f>
        <v>Kẹp tóc hoa sứ đỏ</v>
      </c>
      <c r="D686" s="144" t="str">
        <f>VLOOKUP(B686,'Danh mục hàng hóa'!$C$3:$E$656,3,0)</f>
        <v>cái</v>
      </c>
      <c r="E686" s="321"/>
      <c r="F686" s="313">
        <v>15</v>
      </c>
      <c r="G686" s="317">
        <f t="shared" si="35"/>
        <v>0</v>
      </c>
    </row>
    <row r="687" spans="1:7" ht="13.2">
      <c r="A687" s="322">
        <v>45359</v>
      </c>
      <c r="B687" s="28" t="s">
        <v>742</v>
      </c>
      <c r="C687" s="143" t="str">
        <f>VLOOKUP(B687,'Danh mục hàng hóa'!$C$3:$D$643,2,0)</f>
        <v>Kẹp tóc hoa sứ xanh</v>
      </c>
      <c r="D687" s="144" t="str">
        <f>VLOOKUP(B687,'Danh mục hàng hóa'!$C$3:$E$656,3,0)</f>
        <v>cái</v>
      </c>
      <c r="E687" s="321"/>
      <c r="F687" s="313">
        <v>15</v>
      </c>
      <c r="G687" s="317">
        <f t="shared" si="35"/>
        <v>0</v>
      </c>
    </row>
    <row r="688" spans="1:7" ht="13.2">
      <c r="A688" s="322">
        <v>45359</v>
      </c>
      <c r="B688" s="28" t="s">
        <v>744</v>
      </c>
      <c r="C688" s="143" t="str">
        <f>VLOOKUP(B688,'Danh mục hàng hóa'!$C$3:$D$643,2,0)</f>
        <v>Kẹp tóc hoa sứ đỏ hồng đậm</v>
      </c>
      <c r="D688" s="144" t="str">
        <f>VLOOKUP(B688,'Danh mục hàng hóa'!$C$3:$E$656,3,0)</f>
        <v>cái</v>
      </c>
      <c r="E688" s="321"/>
      <c r="F688" s="313">
        <v>15</v>
      </c>
      <c r="G688" s="317">
        <f t="shared" si="35"/>
        <v>0</v>
      </c>
    </row>
    <row r="689" spans="1:7" ht="13.2">
      <c r="A689" s="322">
        <v>45359</v>
      </c>
      <c r="B689" s="28" t="s">
        <v>746</v>
      </c>
      <c r="C689" s="143" t="str">
        <f>VLOOKUP(B689,'Danh mục hàng hóa'!$C$3:$D$643,2,0)</f>
        <v>Kẹp tóc hoa năm cánh hồng</v>
      </c>
      <c r="D689" s="144" t="str">
        <f>VLOOKUP(B689,'Danh mục hàng hóa'!$C$3:$E$656,3,0)</f>
        <v>cái</v>
      </c>
      <c r="E689" s="321"/>
      <c r="F689" s="313">
        <v>10</v>
      </c>
      <c r="G689" s="317">
        <f t="shared" si="35"/>
        <v>0</v>
      </c>
    </row>
    <row r="690" spans="1:7" ht="13.2">
      <c r="A690" s="322">
        <v>45359</v>
      </c>
      <c r="B690" s="28" t="s">
        <v>748</v>
      </c>
      <c r="C690" s="143" t="str">
        <f>VLOOKUP(B690,'Danh mục hàng hóa'!$C$3:$D$643,2,0)</f>
        <v>Kẹp tóc hoa năm cánh đỏ hồng</v>
      </c>
      <c r="D690" s="144" t="str">
        <f>VLOOKUP(B690,'Danh mục hàng hóa'!$C$3:$E$656,3,0)</f>
        <v>cái</v>
      </c>
      <c r="E690" s="321"/>
      <c r="F690" s="313">
        <v>10</v>
      </c>
      <c r="G690" s="317">
        <f t="shared" si="35"/>
        <v>0</v>
      </c>
    </row>
    <row r="691" spans="1:7" ht="13.2">
      <c r="A691" s="322">
        <v>45359</v>
      </c>
      <c r="B691" s="28" t="s">
        <v>750</v>
      </c>
      <c r="C691" s="143" t="str">
        <f>VLOOKUP(B691,'Danh mục hàng hóa'!$C$3:$D$643,2,0)</f>
        <v>Kẹp tóc hoa năm cánh cam</v>
      </c>
      <c r="D691" s="144" t="str">
        <f>VLOOKUP(B691,'Danh mục hàng hóa'!$C$3:$E$656,3,0)</f>
        <v>cái</v>
      </c>
      <c r="E691" s="321"/>
      <c r="F691" s="313">
        <v>10</v>
      </c>
      <c r="G691" s="317">
        <f t="shared" si="35"/>
        <v>0</v>
      </c>
    </row>
    <row r="692" spans="1:7" ht="13.2">
      <c r="A692" s="322">
        <v>45359</v>
      </c>
      <c r="B692" s="28" t="s">
        <v>752</v>
      </c>
      <c r="C692" s="143" t="str">
        <f>VLOOKUP(B692,'Danh mục hàng hóa'!$C$3:$D$643,2,0)</f>
        <v>Kẹp tóc hoa năm cánh đỏ hồng đẹp</v>
      </c>
      <c r="D692" s="144" t="str">
        <f>VLOOKUP(B692,'Danh mục hàng hóa'!$C$3:$E$656,3,0)</f>
        <v>cái</v>
      </c>
      <c r="E692" s="321"/>
      <c r="F692" s="313">
        <v>10</v>
      </c>
      <c r="G692" s="317">
        <f t="shared" si="35"/>
        <v>0</v>
      </c>
    </row>
    <row r="693" spans="1:7" ht="13.2">
      <c r="A693" s="322">
        <v>45359</v>
      </c>
      <c r="B693" s="28" t="s">
        <v>754</v>
      </c>
      <c r="C693" s="143" t="str">
        <f>VLOOKUP(B693,'Danh mục hàng hóa'!$C$3:$D$643,2,0)</f>
        <v>Kẹp tóc hoa năm cánh xanh vàng</v>
      </c>
      <c r="D693" s="144" t="str">
        <f>VLOOKUP(B693,'Danh mục hàng hóa'!$C$3:$E$656,3,0)</f>
        <v>cái</v>
      </c>
      <c r="E693" s="321"/>
      <c r="F693" s="313">
        <v>10</v>
      </c>
      <c r="G693" s="317">
        <f t="shared" si="35"/>
        <v>0</v>
      </c>
    </row>
    <row r="694" spans="1:7" ht="13.2">
      <c r="A694" s="322">
        <v>45359</v>
      </c>
      <c r="B694" s="28" t="s">
        <v>756</v>
      </c>
      <c r="C694" s="143" t="str">
        <f>VLOOKUP(B694,'Danh mục hàng hóa'!$C$3:$D$643,2,0)</f>
        <v>Kẹp tóc hoa năm cánh xanh</v>
      </c>
      <c r="D694" s="144" t="str">
        <f>VLOOKUP(B694,'Danh mục hàng hóa'!$C$3:$E$656,3,0)</f>
        <v>cái</v>
      </c>
      <c r="E694" s="321"/>
      <c r="F694" s="313">
        <v>10</v>
      </c>
      <c r="G694" s="317">
        <f t="shared" si="35"/>
        <v>0</v>
      </c>
    </row>
    <row r="695" spans="1:7" ht="13.2">
      <c r="A695" s="322">
        <v>45359</v>
      </c>
      <c r="B695" s="28" t="s">
        <v>758</v>
      </c>
      <c r="C695" s="143" t="str">
        <f>VLOOKUP(B695,'Danh mục hàng hóa'!$C$3:$D$643,2,0)</f>
        <v>Kẹp tóc hoa năm cánh tím</v>
      </c>
      <c r="D695" s="144" t="str">
        <f>VLOOKUP(B695,'Danh mục hàng hóa'!$C$3:$E$656,3,0)</f>
        <v>cái</v>
      </c>
      <c r="E695" s="321"/>
      <c r="F695" s="313">
        <v>6</v>
      </c>
      <c r="G695" s="317">
        <f t="shared" si="35"/>
        <v>0</v>
      </c>
    </row>
    <row r="696" spans="1:7" ht="13.2">
      <c r="A696" s="322">
        <v>45359</v>
      </c>
      <c r="B696" s="28" t="s">
        <v>760</v>
      </c>
      <c r="C696" s="143" t="str">
        <f>VLOOKUP(B696,'Danh mục hàng hóa'!$C$3:$D$643,2,0)</f>
        <v>Kẹp tóc màu vàng trơn</v>
      </c>
      <c r="D696" s="144" t="str">
        <f>VLOOKUP(B696,'Danh mục hàng hóa'!$C$3:$E$656,3,0)</f>
        <v>cái</v>
      </c>
      <c r="E696" s="321"/>
      <c r="F696" s="313">
        <v>10</v>
      </c>
      <c r="G696" s="317">
        <f t="shared" si="35"/>
        <v>0</v>
      </c>
    </row>
    <row r="697" spans="1:7" ht="13.2">
      <c r="A697" s="322">
        <v>45359</v>
      </c>
      <c r="B697" s="28" t="s">
        <v>762</v>
      </c>
      <c r="C697" s="143" t="str">
        <f>VLOOKUP(B697,'Danh mục hàng hóa'!$C$3:$D$643,2,0)</f>
        <v>Kẹp tóc hoa cam trơn</v>
      </c>
      <c r="D697" s="144" t="str">
        <f>VLOOKUP(B697,'Danh mục hàng hóa'!$C$3:$E$656,3,0)</f>
        <v>cái</v>
      </c>
      <c r="E697" s="321"/>
      <c r="F697" s="313">
        <v>10</v>
      </c>
      <c r="G697" s="317">
        <f t="shared" si="35"/>
        <v>0</v>
      </c>
    </row>
    <row r="698" spans="1:7" ht="13.2">
      <c r="A698" s="322">
        <v>45359</v>
      </c>
      <c r="B698" s="28" t="s">
        <v>764</v>
      </c>
      <c r="C698" s="143" t="str">
        <f>VLOOKUP(B698,'Danh mục hàng hóa'!$C$3:$D$643,2,0)</f>
        <v>Kẹp tóc hồng nhạt trơn</v>
      </c>
      <c r="D698" s="144" t="str">
        <f>VLOOKUP(B698,'Danh mục hàng hóa'!$C$3:$E$656,3,0)</f>
        <v>cái</v>
      </c>
      <c r="E698" s="321"/>
      <c r="F698" s="313">
        <v>10</v>
      </c>
      <c r="G698" s="317">
        <f t="shared" si="35"/>
        <v>0</v>
      </c>
    </row>
    <row r="699" spans="1:7" ht="13.2">
      <c r="A699" s="322">
        <v>45359</v>
      </c>
      <c r="B699" s="28" t="s">
        <v>766</v>
      </c>
      <c r="C699" s="143" t="str">
        <f>VLOOKUP(B699,'Danh mục hàng hóa'!$C$3:$D$643,2,0)</f>
        <v>Kẹp tóc trắng trơn</v>
      </c>
      <c r="D699" s="144" t="str">
        <f>VLOOKUP(B699,'Danh mục hàng hóa'!$C$3:$E$656,3,0)</f>
        <v>cái</v>
      </c>
      <c r="E699" s="321"/>
      <c r="F699" s="313">
        <v>5</v>
      </c>
      <c r="G699" s="317">
        <f t="shared" si="35"/>
        <v>0</v>
      </c>
    </row>
    <row r="700" spans="1:7" ht="13.2">
      <c r="A700" s="322">
        <v>45359</v>
      </c>
      <c r="B700" s="28" t="s">
        <v>768</v>
      </c>
      <c r="C700" s="143" t="str">
        <f>VLOOKUP(B700,'Danh mục hàng hóa'!$C$3:$D$643,2,0)</f>
        <v>Kẹp tóc xanh trơn</v>
      </c>
      <c r="D700" s="144" t="str">
        <f>VLOOKUP(B700,'Danh mục hàng hóa'!$C$3:$E$656,3,0)</f>
        <v>cái</v>
      </c>
      <c r="E700" s="321"/>
      <c r="F700" s="313">
        <v>5</v>
      </c>
      <c r="G700" s="317">
        <f t="shared" si="35"/>
        <v>0</v>
      </c>
    </row>
    <row r="701" spans="1:7" ht="13.2">
      <c r="A701" s="322">
        <v>45359</v>
      </c>
      <c r="B701" s="28" t="s">
        <v>923</v>
      </c>
      <c r="C701" s="143" t="str">
        <f>VLOOKUP(B701,'Danh mục hàng hóa'!$C$3:$D$643,2,0)</f>
        <v>Kẹp khuếch tán tinh dầu vịt vàng</v>
      </c>
      <c r="D701" s="144" t="str">
        <f>VLOOKUP(B701,'Danh mục hàng hóa'!$C$3:$E$656,3,0)</f>
        <v>cái</v>
      </c>
      <c r="E701" s="320"/>
      <c r="F701" s="313">
        <v>3</v>
      </c>
      <c r="G701" s="317">
        <f t="shared" si="35"/>
        <v>0</v>
      </c>
    </row>
    <row r="702" spans="1:7" ht="13.2">
      <c r="A702" s="322">
        <v>45359</v>
      </c>
      <c r="B702" s="28" t="s">
        <v>925</v>
      </c>
      <c r="C702" s="143" t="str">
        <f>VLOOKUP(B702,'Danh mục hàng hóa'!$C$3:$D$643,2,0)</f>
        <v>Kẹp khuếch tán tinh dầu vịt đen</v>
      </c>
      <c r="D702" s="144" t="str">
        <f>VLOOKUP(B702,'Danh mục hàng hóa'!$C$3:$E$656,3,0)</f>
        <v>cái</v>
      </c>
      <c r="E702" s="320"/>
      <c r="F702" s="313">
        <v>3</v>
      </c>
      <c r="G702" s="317">
        <f t="shared" si="35"/>
        <v>0</v>
      </c>
    </row>
    <row r="703" spans="1:7" ht="13.2">
      <c r="A703" s="322">
        <v>45359</v>
      </c>
      <c r="B703" s="28" t="s">
        <v>927</v>
      </c>
      <c r="C703" s="143" t="str">
        <f>VLOOKUP(B703,'Danh mục hàng hóa'!$C$3:$D$643,2,0)</f>
        <v>Kẹp khuếch tán tinh dầu vịt be</v>
      </c>
      <c r="D703" s="144" t="str">
        <f>VLOOKUP(B703,'Danh mục hàng hóa'!$C$3:$E$656,3,0)</f>
        <v>cái</v>
      </c>
      <c r="E703" s="320"/>
      <c r="F703" s="313">
        <v>3</v>
      </c>
      <c r="G703" s="317">
        <f t="shared" si="35"/>
        <v>0</v>
      </c>
    </row>
    <row r="704" spans="1:7" ht="13.2">
      <c r="A704" s="322">
        <v>45359</v>
      </c>
      <c r="B704" s="28" t="s">
        <v>929</v>
      </c>
      <c r="C704" s="143" t="str">
        <f>VLOOKUP(B704,'Danh mục hàng hóa'!$C$3:$D$643,2,0)</f>
        <v>Kẹp khuếch tán tinh dầu thỏ trắng</v>
      </c>
      <c r="D704" s="144" t="str">
        <f>VLOOKUP(B704,'Danh mục hàng hóa'!$C$3:$E$656,3,0)</f>
        <v>cái</v>
      </c>
      <c r="E704" s="320"/>
      <c r="F704" s="313">
        <v>3</v>
      </c>
      <c r="G704" s="317">
        <f t="shared" si="35"/>
        <v>0</v>
      </c>
    </row>
    <row r="705" spans="1:7" ht="13.2">
      <c r="A705" s="322">
        <v>45359</v>
      </c>
      <c r="B705" s="28" t="s">
        <v>931</v>
      </c>
      <c r="C705" s="143" t="str">
        <f>VLOOKUP(B705,'Danh mục hàng hóa'!$C$3:$D$643,2,0)</f>
        <v>Kẹp khuếch tán tinh dầu thỏ hồng</v>
      </c>
      <c r="D705" s="144" t="str">
        <f>VLOOKUP(B705,'Danh mục hàng hóa'!$C$3:$E$656,3,0)</f>
        <v>cái</v>
      </c>
      <c r="E705" s="320"/>
      <c r="F705" s="313">
        <v>3</v>
      </c>
      <c r="G705" s="317">
        <f t="shared" si="35"/>
        <v>0</v>
      </c>
    </row>
    <row r="706" spans="1:7" ht="13.2">
      <c r="A706" s="322">
        <v>45359</v>
      </c>
      <c r="B706" s="28" t="s">
        <v>957</v>
      </c>
      <c r="C706" s="143" t="str">
        <f>VLOOKUP(B706,'Danh mục hàng hóa'!$C$3:$D$643,2,0)</f>
        <v>Vịt hồng treo gương</v>
      </c>
      <c r="D706" s="144" t="str">
        <f>VLOOKUP(B706,'Danh mục hàng hóa'!$C$3:$E$656,3,0)</f>
        <v>cái</v>
      </c>
      <c r="E706" s="320"/>
      <c r="F706" s="313">
        <v>4</v>
      </c>
      <c r="G706" s="317">
        <f t="shared" si="35"/>
        <v>0</v>
      </c>
    </row>
    <row r="707" spans="1:7" ht="13.2">
      <c r="A707" s="322">
        <v>45359</v>
      </c>
      <c r="B707" s="28" t="s">
        <v>959</v>
      </c>
      <c r="C707" s="143" t="str">
        <f>VLOOKUP(B707,'Danh mục hàng hóa'!$C$3:$D$643,2,0)</f>
        <v>Vịt vàng treo gương</v>
      </c>
      <c r="D707" s="144" t="str">
        <f>VLOOKUP(B707,'Danh mục hàng hóa'!$C$3:$E$656,3,0)</f>
        <v>cái</v>
      </c>
      <c r="E707" s="320"/>
      <c r="F707" s="313">
        <v>4</v>
      </c>
      <c r="G707" s="317">
        <f t="shared" si="35"/>
        <v>0</v>
      </c>
    </row>
    <row r="708" spans="1:7" ht="13.2">
      <c r="A708" s="322">
        <v>45359</v>
      </c>
      <c r="B708" s="28" t="s">
        <v>961</v>
      </c>
      <c r="C708" s="143" t="str">
        <f>VLOOKUP(B708,'Danh mục hàng hóa'!$C$3:$D$643,2,0)</f>
        <v>Vịt xanh treo gương</v>
      </c>
      <c r="D708" s="144" t="str">
        <f>VLOOKUP(B708,'Danh mục hàng hóa'!$C$3:$E$656,3,0)</f>
        <v>cái</v>
      </c>
      <c r="E708" s="320"/>
      <c r="F708" s="313">
        <v>4</v>
      </c>
      <c r="G708" s="317">
        <f t="shared" si="35"/>
        <v>0</v>
      </c>
    </row>
    <row r="709" spans="1:7" ht="13.2">
      <c r="A709" s="322">
        <v>45359</v>
      </c>
      <c r="B709" s="28" t="s">
        <v>963</v>
      </c>
      <c r="C709" s="143" t="str">
        <f>VLOOKUP(B709,'Danh mục hàng hóa'!$C$3:$D$643,2,0)</f>
        <v>Cánh cụt vàng treo gương</v>
      </c>
      <c r="D709" s="144" t="str">
        <f>VLOOKUP(B709,'Danh mục hàng hóa'!$C$3:$E$656,3,0)</f>
        <v>cái</v>
      </c>
      <c r="E709" s="320"/>
      <c r="F709" s="313">
        <v>4</v>
      </c>
      <c r="G709" s="317">
        <f t="shared" si="35"/>
        <v>0</v>
      </c>
    </row>
    <row r="710" spans="1:7" ht="13.2">
      <c r="A710" s="322">
        <v>45359</v>
      </c>
      <c r="B710" s="28" t="s">
        <v>965</v>
      </c>
      <c r="C710" s="143" t="str">
        <f>VLOOKUP(B710,'Danh mục hàng hóa'!$C$3:$D$643,2,0)</f>
        <v>Cánh cụt xanh treo gương</v>
      </c>
      <c r="D710" s="144" t="str">
        <f>VLOOKUP(B710,'Danh mục hàng hóa'!$C$3:$E$656,3,0)</f>
        <v>cái</v>
      </c>
      <c r="E710" s="320"/>
      <c r="F710" s="313">
        <v>3</v>
      </c>
      <c r="G710" s="317">
        <f t="shared" si="35"/>
        <v>0</v>
      </c>
    </row>
    <row r="711" spans="1:7" ht="13.2">
      <c r="A711" s="322">
        <v>45359</v>
      </c>
      <c r="B711" s="28" t="s">
        <v>967</v>
      </c>
      <c r="C711" s="143" t="str">
        <f>VLOOKUP(B711,'Danh mục hàng hóa'!$C$3:$D$643,2,0)</f>
        <v>Bạch tuyết treo gương</v>
      </c>
      <c r="D711" s="144" t="str">
        <f>VLOOKUP(B711,'Danh mục hàng hóa'!$C$3:$E$656,3,0)</f>
        <v>cái</v>
      </c>
      <c r="E711" s="320"/>
      <c r="F711" s="313">
        <v>3</v>
      </c>
      <c r="G711" s="317">
        <f t="shared" si="35"/>
        <v>0</v>
      </c>
    </row>
    <row r="712" spans="1:7" ht="13.2">
      <c r="A712" s="322">
        <v>45359</v>
      </c>
      <c r="B712" s="28" t="s">
        <v>1025</v>
      </c>
      <c r="C712" s="143" t="str">
        <f>VLOOKUP(B712,'Danh mục hàng hóa'!$C$3:$D$643,2,0)</f>
        <v>Mô hình mèo 1</v>
      </c>
      <c r="D712" s="144" t="str">
        <f>VLOOKUP(B712,'Danh mục hàng hóa'!$C$3:$E$656,3,0)</f>
        <v>cái</v>
      </c>
      <c r="E712" s="320"/>
      <c r="F712" s="313">
        <v>9</v>
      </c>
      <c r="G712" s="317">
        <f t="shared" si="35"/>
        <v>0</v>
      </c>
    </row>
    <row r="713" spans="1:7" ht="13.2">
      <c r="A713" s="322">
        <v>45359</v>
      </c>
      <c r="B713" s="28" t="s">
        <v>1027</v>
      </c>
      <c r="C713" s="143" t="str">
        <f>VLOOKUP(B713,'Danh mục hàng hóa'!$C$3:$D$643,2,0)</f>
        <v>Mô hình mèo 2</v>
      </c>
      <c r="D713" s="144" t="str">
        <f>VLOOKUP(B713,'Danh mục hàng hóa'!$C$3:$E$656,3,0)</f>
        <v>cái</v>
      </c>
      <c r="E713" s="320"/>
      <c r="F713" s="313">
        <v>9</v>
      </c>
      <c r="G713" s="317">
        <f t="shared" si="35"/>
        <v>0</v>
      </c>
    </row>
    <row r="714" spans="1:7" ht="13.2">
      <c r="A714" s="322">
        <v>45359</v>
      </c>
      <c r="B714" s="28" t="s">
        <v>1029</v>
      </c>
      <c r="C714" s="143" t="str">
        <f>VLOOKUP(B714,'Danh mục hàng hóa'!$C$3:$D$643,2,0)</f>
        <v>Mô hình mèo 3</v>
      </c>
      <c r="D714" s="144" t="str">
        <f>VLOOKUP(B714,'Danh mục hàng hóa'!$C$3:$E$656,3,0)</f>
        <v>cái</v>
      </c>
      <c r="E714" s="320"/>
      <c r="F714" s="313">
        <v>9</v>
      </c>
      <c r="G714" s="317">
        <f t="shared" si="35"/>
        <v>0</v>
      </c>
    </row>
    <row r="715" spans="1:7" ht="13.2">
      <c r="A715" s="322">
        <v>45359</v>
      </c>
      <c r="B715" s="28" t="s">
        <v>1031</v>
      </c>
      <c r="C715" s="143" t="str">
        <f>VLOOKUP(B715,'Danh mục hàng hóa'!$C$3:$D$643,2,0)</f>
        <v>Mô hình mèo 4</v>
      </c>
      <c r="D715" s="144" t="str">
        <f>VLOOKUP(B715,'Danh mục hàng hóa'!$C$3:$E$656,3,0)</f>
        <v>cái</v>
      </c>
      <c r="E715" s="320"/>
      <c r="F715" s="313">
        <v>9</v>
      </c>
      <c r="G715" s="317">
        <f t="shared" si="35"/>
        <v>0</v>
      </c>
    </row>
    <row r="716" spans="1:7" ht="13.2">
      <c r="A716" s="322">
        <v>45359</v>
      </c>
      <c r="B716" s="28" t="s">
        <v>1033</v>
      </c>
      <c r="C716" s="143" t="str">
        <f>VLOOKUP(B716,'Danh mục hàng hóa'!$C$3:$D$643,2,0)</f>
        <v>Mô hình mèo 5</v>
      </c>
      <c r="D716" s="144" t="str">
        <f>VLOOKUP(B716,'Danh mục hàng hóa'!$C$3:$E$656,3,0)</f>
        <v>cái</v>
      </c>
      <c r="E716" s="320"/>
      <c r="F716" s="313">
        <v>9</v>
      </c>
      <c r="G716" s="317">
        <f t="shared" si="35"/>
        <v>0</v>
      </c>
    </row>
    <row r="717" spans="1:7" ht="13.2">
      <c r="A717" s="322">
        <v>45359</v>
      </c>
      <c r="B717" s="28" t="s">
        <v>772</v>
      </c>
      <c r="C717" s="143" t="str">
        <f>VLOOKUP(B717,'Danh mục hàng hóa'!$C$3:$D$643,2,0)</f>
        <v>Kẹp tóc hoa lan 01</v>
      </c>
      <c r="D717" s="144" t="str">
        <f>VLOOKUP(B717,'Danh mục hàng hóa'!$C$3:$E$656,3,0)</f>
        <v>cái</v>
      </c>
      <c r="E717" s="320"/>
      <c r="F717" s="313">
        <v>15</v>
      </c>
      <c r="G717" s="317">
        <f t="shared" si="35"/>
        <v>0</v>
      </c>
    </row>
    <row r="718" spans="1:7" ht="13.2">
      <c r="A718" s="322">
        <v>45359</v>
      </c>
      <c r="B718" s="28" t="s">
        <v>774</v>
      </c>
      <c r="C718" s="143" t="str">
        <f>VLOOKUP(B718,'Danh mục hàng hóa'!$C$3:$D$643,2,0)</f>
        <v>Kẹp tóc hoa lan 02</v>
      </c>
      <c r="D718" s="144" t="str">
        <f>VLOOKUP(B718,'Danh mục hàng hóa'!$C$3:$E$656,3,0)</f>
        <v>cái</v>
      </c>
      <c r="E718" s="320"/>
      <c r="F718" s="313">
        <v>15</v>
      </c>
      <c r="G718" s="317">
        <f t="shared" si="35"/>
        <v>0</v>
      </c>
    </row>
    <row r="719" spans="1:7" ht="13.2">
      <c r="A719" s="322">
        <v>45359</v>
      </c>
      <c r="B719" s="28" t="s">
        <v>776</v>
      </c>
      <c r="C719" s="143" t="str">
        <f>VLOOKUP(B719,'Danh mục hàng hóa'!$C$3:$D$643,2,0)</f>
        <v>Kẹp tóc hoa lan 03</v>
      </c>
      <c r="D719" s="144" t="str">
        <f>VLOOKUP(B719,'Danh mục hàng hóa'!$C$3:$E$656,3,0)</f>
        <v>cái</v>
      </c>
      <c r="E719" s="320"/>
      <c r="F719" s="313">
        <v>10</v>
      </c>
      <c r="G719" s="317">
        <f t="shared" si="35"/>
        <v>0</v>
      </c>
    </row>
    <row r="720" spans="1:7" ht="13.2">
      <c r="A720" s="322">
        <v>45359</v>
      </c>
      <c r="B720" s="28" t="s">
        <v>778</v>
      </c>
      <c r="C720" s="143" t="str">
        <f>VLOOKUP(B720,'Danh mục hàng hóa'!$C$3:$D$643,2,0)</f>
        <v>Kẹp tóc hoa lan 04</v>
      </c>
      <c r="D720" s="144" t="str">
        <f>VLOOKUP(B720,'Danh mục hàng hóa'!$C$3:$E$656,3,0)</f>
        <v>cái</v>
      </c>
      <c r="E720" s="320"/>
      <c r="F720" s="313">
        <v>5</v>
      </c>
      <c r="G720" s="317">
        <f t="shared" si="35"/>
        <v>0</v>
      </c>
    </row>
    <row r="721" spans="1:7" ht="13.2">
      <c r="A721" s="322">
        <v>45359</v>
      </c>
      <c r="B721" s="28" t="s">
        <v>780</v>
      </c>
      <c r="C721" s="143" t="str">
        <f>VLOOKUP(B721,'Danh mục hàng hóa'!$C$3:$D$643,2,0)</f>
        <v>Kẹp tóc hoa lan 05</v>
      </c>
      <c r="D721" s="144" t="str">
        <f>VLOOKUP(B721,'Danh mục hàng hóa'!$C$3:$E$656,3,0)</f>
        <v>cái</v>
      </c>
      <c r="E721" s="320"/>
      <c r="F721" s="313">
        <v>15</v>
      </c>
      <c r="G721" s="317">
        <f t="shared" si="35"/>
        <v>0</v>
      </c>
    </row>
    <row r="722" spans="1:7" ht="13.2">
      <c r="A722" s="322">
        <v>45359</v>
      </c>
      <c r="B722" s="28" t="s">
        <v>782</v>
      </c>
      <c r="C722" s="143" t="str">
        <f>VLOOKUP(B722,'Danh mục hàng hóa'!$C$3:$D$643,2,0)</f>
        <v>Kẹp tóc hoa lan 06</v>
      </c>
      <c r="D722" s="144" t="str">
        <f>VLOOKUP(B722,'Danh mục hàng hóa'!$C$3:$E$656,3,0)</f>
        <v>cái</v>
      </c>
      <c r="E722" s="320"/>
      <c r="F722" s="313">
        <v>15</v>
      </c>
      <c r="G722" s="317">
        <f t="shared" si="35"/>
        <v>0</v>
      </c>
    </row>
    <row r="723" spans="1:7" ht="13.2">
      <c r="A723" s="322">
        <v>45359</v>
      </c>
      <c r="B723" s="28" t="s">
        <v>784</v>
      </c>
      <c r="C723" s="143" t="str">
        <f>VLOOKUP(B723,'Danh mục hàng hóa'!$C$3:$D$643,2,0)</f>
        <v>Kẹp tóc hoa lan 07</v>
      </c>
      <c r="D723" s="144" t="str">
        <f>VLOOKUP(B723,'Danh mục hàng hóa'!$C$3:$E$656,3,0)</f>
        <v>cái</v>
      </c>
      <c r="E723" s="320"/>
      <c r="F723" s="313">
        <v>25</v>
      </c>
      <c r="G723" s="317">
        <f t="shared" si="35"/>
        <v>0</v>
      </c>
    </row>
    <row r="724" spans="1:7" ht="13.2">
      <c r="A724" s="322">
        <v>45359</v>
      </c>
      <c r="B724" s="28" t="s">
        <v>786</v>
      </c>
      <c r="C724" s="143" t="str">
        <f>VLOOKUP(B724,'Danh mục hàng hóa'!$C$3:$D$643,2,0)</f>
        <v>Kẹp tóc hoa lan 08</v>
      </c>
      <c r="D724" s="144" t="str">
        <f>VLOOKUP(B724,'Danh mục hàng hóa'!$C$3:$E$656,3,0)</f>
        <v>cái</v>
      </c>
      <c r="E724" s="320"/>
      <c r="F724" s="313">
        <v>15</v>
      </c>
      <c r="G724" s="317">
        <f t="shared" si="35"/>
        <v>0</v>
      </c>
    </row>
    <row r="725" spans="1:7" ht="13.2">
      <c r="C725" s="350" t="e">
        <f>VLOOKUP(B725,'Danh mục hàng hóa'!$C$3:$D$643,2,0)</f>
        <v>#N/A</v>
      </c>
      <c r="D725" s="351" t="e">
        <f>VLOOKUP(B725,'Danh mục hàng hóa'!$C$3:$E$656,3,0)</f>
        <v>#N/A</v>
      </c>
      <c r="E725" s="352">
        <v>0</v>
      </c>
      <c r="F725" s="353"/>
      <c r="G725" s="354">
        <v>1</v>
      </c>
    </row>
    <row r="726" spans="1:7" ht="13.2">
      <c r="C726" s="350" t="e">
        <f>VLOOKUP(B726,'Danh mục hàng hóa'!$C$3:$D$643,2,0)</f>
        <v>#N/A</v>
      </c>
      <c r="D726" s="351" t="e">
        <f>VLOOKUP(B726,'Danh mục hàng hóa'!$C$3:$E$656,3,0)</f>
        <v>#N/A</v>
      </c>
      <c r="E726" s="352">
        <v>0</v>
      </c>
      <c r="F726" s="353"/>
      <c r="G726" s="354">
        <v>1</v>
      </c>
    </row>
    <row r="727" spans="1:7" ht="13.2">
      <c r="C727" s="350" t="e">
        <f>VLOOKUP(B727,'Danh mục hàng hóa'!$C$3:$D$643,2,0)</f>
        <v>#N/A</v>
      </c>
      <c r="D727" s="351" t="e">
        <f>VLOOKUP(B727,'Danh mục hàng hóa'!$C$3:$E$656,3,0)</f>
        <v>#N/A</v>
      </c>
      <c r="E727" s="352">
        <v>0</v>
      </c>
      <c r="F727" s="353"/>
      <c r="G727" s="354">
        <v>1</v>
      </c>
    </row>
    <row r="728" spans="1:7" ht="13.2">
      <c r="C728" s="350" t="e">
        <f>VLOOKUP(B728,'Danh mục hàng hóa'!$C$3:$D$643,2,0)</f>
        <v>#N/A</v>
      </c>
      <c r="D728" s="351" t="e">
        <f>VLOOKUP(B728,'Danh mục hàng hóa'!$C$3:$E$656,3,0)</f>
        <v>#N/A</v>
      </c>
      <c r="E728" s="352">
        <v>0</v>
      </c>
      <c r="F728" s="353"/>
      <c r="G728" s="354">
        <v>1</v>
      </c>
    </row>
    <row r="729" spans="1:7" ht="13.2">
      <c r="C729" s="350" t="e">
        <f>VLOOKUP(B729,'Danh mục hàng hóa'!$C$3:$D$643,2,0)</f>
        <v>#N/A</v>
      </c>
      <c r="D729" s="351" t="e">
        <f>VLOOKUP(B729,'Danh mục hàng hóa'!$C$3:$E$656,3,0)</f>
        <v>#N/A</v>
      </c>
      <c r="E729" s="352">
        <v>0</v>
      </c>
      <c r="F729" s="353"/>
      <c r="G729" s="354">
        <v>1</v>
      </c>
    </row>
    <row r="730" spans="1:7" ht="13.2">
      <c r="D730" s="75"/>
      <c r="E730" s="364"/>
      <c r="F730" s="365"/>
      <c r="G730" s="365"/>
    </row>
    <row r="731" spans="1:7" ht="13.2">
      <c r="D731" s="75"/>
      <c r="E731" s="364"/>
      <c r="F731" s="365"/>
      <c r="G731" s="365"/>
    </row>
    <row r="732" spans="1:7" ht="13.2">
      <c r="D732" s="75"/>
      <c r="E732" s="364"/>
      <c r="F732" s="365"/>
      <c r="G732" s="365"/>
    </row>
    <row r="733" spans="1:7" ht="13.2">
      <c r="D733" s="75"/>
      <c r="E733" s="364"/>
      <c r="F733" s="365"/>
      <c r="G733" s="365"/>
    </row>
    <row r="734" spans="1:7" ht="13.2">
      <c r="D734" s="75"/>
      <c r="E734" s="364"/>
      <c r="F734" s="365"/>
      <c r="G734" s="365"/>
    </row>
    <row r="735" spans="1:7" ht="13.2">
      <c r="D735" s="75"/>
      <c r="E735" s="364"/>
      <c r="F735" s="365"/>
      <c r="G735" s="365"/>
    </row>
    <row r="736" spans="1:7" ht="13.2">
      <c r="D736" s="75"/>
      <c r="E736" s="364"/>
      <c r="F736" s="365"/>
      <c r="G736" s="365"/>
    </row>
    <row r="737" spans="4:7" ht="13.2">
      <c r="D737" s="75"/>
      <c r="E737" s="364"/>
      <c r="F737" s="365"/>
      <c r="G737" s="365"/>
    </row>
    <row r="738" spans="4:7" ht="13.2">
      <c r="D738" s="75"/>
      <c r="E738" s="364"/>
      <c r="F738" s="365"/>
      <c r="G738" s="365"/>
    </row>
    <row r="739" spans="4:7" ht="13.2">
      <c r="D739" s="75"/>
      <c r="E739" s="364"/>
      <c r="F739" s="365"/>
      <c r="G739" s="365"/>
    </row>
    <row r="740" spans="4:7" ht="13.2">
      <c r="D740" s="75"/>
      <c r="E740" s="364"/>
      <c r="F740" s="365"/>
      <c r="G740" s="365"/>
    </row>
    <row r="741" spans="4:7" ht="13.2">
      <c r="D741" s="75"/>
      <c r="E741" s="364"/>
      <c r="F741" s="365"/>
      <c r="G741" s="365"/>
    </row>
    <row r="742" spans="4:7" ht="13.2">
      <c r="D742" s="75"/>
      <c r="E742" s="364"/>
      <c r="F742" s="365"/>
      <c r="G742" s="365"/>
    </row>
    <row r="743" spans="4:7" ht="13.2">
      <c r="D743" s="75"/>
      <c r="E743" s="364"/>
      <c r="F743" s="365"/>
      <c r="G743" s="365"/>
    </row>
    <row r="744" spans="4:7" ht="13.2">
      <c r="D744" s="75"/>
      <c r="E744" s="364"/>
      <c r="F744" s="365"/>
      <c r="G744" s="365"/>
    </row>
    <row r="745" spans="4:7" ht="13.2">
      <c r="D745" s="75"/>
      <c r="E745" s="364"/>
      <c r="F745" s="365"/>
      <c r="G745" s="365"/>
    </row>
    <row r="746" spans="4:7" ht="13.2">
      <c r="D746" s="75"/>
      <c r="E746" s="364"/>
      <c r="F746" s="365"/>
      <c r="G746" s="365"/>
    </row>
    <row r="747" spans="4:7" ht="13.2">
      <c r="D747" s="75"/>
      <c r="E747" s="364"/>
      <c r="F747" s="365"/>
      <c r="G747" s="365"/>
    </row>
    <row r="748" spans="4:7" ht="13.2">
      <c r="D748" s="75"/>
      <c r="E748" s="364"/>
      <c r="F748" s="365"/>
      <c r="G748" s="365"/>
    </row>
    <row r="749" spans="4:7" ht="13.2">
      <c r="D749" s="75"/>
      <c r="E749" s="364"/>
      <c r="F749" s="365"/>
      <c r="G749" s="365"/>
    </row>
    <row r="750" spans="4:7" ht="13.2">
      <c r="D750" s="75"/>
      <c r="E750" s="364"/>
      <c r="F750" s="365"/>
      <c r="G750" s="365"/>
    </row>
    <row r="751" spans="4:7" ht="13.2">
      <c r="D751" s="75"/>
      <c r="E751" s="364"/>
      <c r="F751" s="365"/>
      <c r="G751" s="365"/>
    </row>
    <row r="752" spans="4:7" ht="13.2">
      <c r="D752" s="75"/>
      <c r="E752" s="364"/>
      <c r="F752" s="365"/>
      <c r="G752" s="365"/>
    </row>
    <row r="753" spans="4:7" ht="13.2">
      <c r="D753" s="75"/>
      <c r="E753" s="364"/>
      <c r="F753" s="365"/>
      <c r="G753" s="365"/>
    </row>
    <row r="754" spans="4:7" ht="13.2">
      <c r="D754" s="75"/>
      <c r="E754" s="364"/>
      <c r="F754" s="365"/>
      <c r="G754" s="365"/>
    </row>
    <row r="755" spans="4:7" ht="13.2">
      <c r="D755" s="75"/>
      <c r="E755" s="364"/>
      <c r="F755" s="365"/>
      <c r="G755" s="365"/>
    </row>
    <row r="756" spans="4:7" ht="13.2">
      <c r="D756" s="75"/>
      <c r="E756" s="364"/>
      <c r="F756" s="365"/>
      <c r="G756" s="365"/>
    </row>
    <row r="757" spans="4:7" ht="13.2">
      <c r="D757" s="75"/>
      <c r="E757" s="364"/>
      <c r="F757" s="365"/>
      <c r="G757" s="365"/>
    </row>
    <row r="758" spans="4:7" ht="13.2">
      <c r="D758" s="75"/>
      <c r="E758" s="364"/>
      <c r="F758" s="365"/>
      <c r="G758" s="365"/>
    </row>
    <row r="759" spans="4:7" ht="13.2">
      <c r="D759" s="75"/>
      <c r="E759" s="364"/>
      <c r="F759" s="365"/>
      <c r="G759" s="365"/>
    </row>
    <row r="760" spans="4:7" ht="13.2">
      <c r="D760" s="75"/>
      <c r="E760" s="364"/>
      <c r="F760" s="365"/>
      <c r="G760" s="365"/>
    </row>
    <row r="761" spans="4:7" ht="13.2">
      <c r="D761" s="75"/>
      <c r="E761" s="364"/>
      <c r="F761" s="365"/>
      <c r="G761" s="365"/>
    </row>
    <row r="762" spans="4:7" ht="13.2">
      <c r="D762" s="75"/>
      <c r="E762" s="364"/>
      <c r="F762" s="365"/>
      <c r="G762" s="365"/>
    </row>
    <row r="763" spans="4:7" ht="13.2">
      <c r="D763" s="75"/>
      <c r="E763" s="364"/>
      <c r="F763" s="365"/>
      <c r="G763" s="365"/>
    </row>
    <row r="764" spans="4:7" ht="13.2">
      <c r="D764" s="75"/>
      <c r="E764" s="364"/>
      <c r="F764" s="365"/>
      <c r="G764" s="365"/>
    </row>
    <row r="765" spans="4:7" ht="13.2">
      <c r="D765" s="75"/>
      <c r="E765" s="364"/>
      <c r="F765" s="365"/>
      <c r="G765" s="365"/>
    </row>
    <row r="766" spans="4:7" ht="13.2">
      <c r="D766" s="75"/>
      <c r="E766" s="364"/>
      <c r="F766" s="365"/>
      <c r="G766" s="365"/>
    </row>
    <row r="767" spans="4:7" ht="13.2">
      <c r="D767" s="75"/>
      <c r="E767" s="364"/>
      <c r="F767" s="365"/>
      <c r="G767" s="365"/>
    </row>
    <row r="768" spans="4:7" ht="13.2">
      <c r="D768" s="75"/>
      <c r="E768" s="364"/>
      <c r="F768" s="365"/>
      <c r="G768" s="365"/>
    </row>
    <row r="769" spans="4:7" ht="13.2">
      <c r="D769" s="75"/>
      <c r="E769" s="364"/>
      <c r="F769" s="365"/>
      <c r="G769" s="365"/>
    </row>
    <row r="770" spans="4:7" ht="13.2">
      <c r="D770" s="75"/>
      <c r="E770" s="364"/>
      <c r="F770" s="365"/>
      <c r="G770" s="365"/>
    </row>
    <row r="771" spans="4:7" ht="13.2">
      <c r="D771" s="75"/>
      <c r="E771" s="364"/>
      <c r="F771" s="365"/>
      <c r="G771" s="365"/>
    </row>
    <row r="772" spans="4:7" ht="13.2">
      <c r="D772" s="75"/>
      <c r="E772" s="364"/>
      <c r="F772" s="365"/>
      <c r="G772" s="365"/>
    </row>
    <row r="773" spans="4:7" ht="13.2">
      <c r="D773" s="75"/>
      <c r="E773" s="364"/>
      <c r="F773" s="365"/>
      <c r="G773" s="365"/>
    </row>
    <row r="774" spans="4:7" ht="13.2">
      <c r="D774" s="75"/>
      <c r="E774" s="364"/>
      <c r="F774" s="365"/>
      <c r="G774" s="365"/>
    </row>
    <row r="775" spans="4:7" ht="13.2">
      <c r="D775" s="75"/>
      <c r="E775" s="364"/>
      <c r="F775" s="365"/>
      <c r="G775" s="365"/>
    </row>
    <row r="776" spans="4:7" ht="13.2">
      <c r="D776" s="75"/>
      <c r="E776" s="364"/>
      <c r="F776" s="365"/>
      <c r="G776" s="365"/>
    </row>
    <row r="777" spans="4:7" ht="13.2">
      <c r="D777" s="75"/>
      <c r="E777" s="364"/>
      <c r="F777" s="365"/>
      <c r="G777" s="365"/>
    </row>
    <row r="778" spans="4:7" ht="13.2">
      <c r="D778" s="75"/>
      <c r="E778" s="364"/>
      <c r="F778" s="365"/>
      <c r="G778" s="365"/>
    </row>
    <row r="779" spans="4:7" ht="13.2">
      <c r="D779" s="75"/>
      <c r="E779" s="364"/>
      <c r="F779" s="365"/>
      <c r="G779" s="365"/>
    </row>
    <row r="780" spans="4:7" ht="13.2">
      <c r="D780" s="75"/>
      <c r="E780" s="364"/>
      <c r="F780" s="365"/>
      <c r="G780" s="365"/>
    </row>
    <row r="781" spans="4:7" ht="13.2">
      <c r="D781" s="75"/>
      <c r="E781" s="364"/>
      <c r="F781" s="365"/>
      <c r="G781" s="365"/>
    </row>
    <row r="782" spans="4:7" ht="13.2">
      <c r="D782" s="75"/>
      <c r="E782" s="364"/>
      <c r="F782" s="365"/>
      <c r="G782" s="365"/>
    </row>
    <row r="783" spans="4:7" ht="13.2">
      <c r="D783" s="75"/>
      <c r="E783" s="364"/>
      <c r="F783" s="365"/>
      <c r="G783" s="365"/>
    </row>
    <row r="784" spans="4:7" ht="13.2">
      <c r="D784" s="75"/>
      <c r="E784" s="364"/>
      <c r="F784" s="365"/>
      <c r="G784" s="365"/>
    </row>
    <row r="785" spans="4:7" ht="13.2">
      <c r="D785" s="75"/>
      <c r="E785" s="364"/>
      <c r="F785" s="365"/>
      <c r="G785" s="365"/>
    </row>
    <row r="786" spans="4:7" ht="13.2">
      <c r="D786" s="75"/>
      <c r="E786" s="364"/>
      <c r="F786" s="365"/>
      <c r="G786" s="365"/>
    </row>
    <row r="787" spans="4:7" ht="13.2">
      <c r="D787" s="75"/>
      <c r="E787" s="364"/>
      <c r="F787" s="365"/>
      <c r="G787" s="365"/>
    </row>
    <row r="788" spans="4:7" ht="13.2">
      <c r="D788" s="75"/>
      <c r="E788" s="364"/>
      <c r="F788" s="365"/>
      <c r="G788" s="365"/>
    </row>
    <row r="789" spans="4:7" ht="13.2">
      <c r="D789" s="75"/>
      <c r="E789" s="364"/>
      <c r="F789" s="365"/>
      <c r="G789" s="365"/>
    </row>
    <row r="790" spans="4:7" ht="13.2">
      <c r="D790" s="75"/>
      <c r="E790" s="364"/>
      <c r="F790" s="365"/>
      <c r="G790" s="365"/>
    </row>
    <row r="791" spans="4:7" ht="13.2">
      <c r="D791" s="75"/>
      <c r="E791" s="364"/>
      <c r="F791" s="365"/>
      <c r="G791" s="365"/>
    </row>
    <row r="792" spans="4:7" ht="13.2">
      <c r="D792" s="75"/>
      <c r="E792" s="364"/>
      <c r="F792" s="365"/>
      <c r="G792" s="365"/>
    </row>
    <row r="793" spans="4:7" ht="13.2">
      <c r="D793" s="75"/>
      <c r="E793" s="364"/>
      <c r="F793" s="365"/>
      <c r="G793" s="365"/>
    </row>
    <row r="794" spans="4:7" ht="13.2">
      <c r="D794" s="75"/>
      <c r="E794" s="364"/>
      <c r="F794" s="365"/>
      <c r="G794" s="365"/>
    </row>
    <row r="795" spans="4:7" ht="13.2">
      <c r="D795" s="75"/>
      <c r="E795" s="364"/>
      <c r="F795" s="365"/>
      <c r="G795" s="365"/>
    </row>
    <row r="796" spans="4:7" ht="13.2">
      <c r="D796" s="75"/>
      <c r="E796" s="364"/>
      <c r="F796" s="365"/>
      <c r="G796" s="365"/>
    </row>
    <row r="797" spans="4:7" ht="13.2">
      <c r="D797" s="75"/>
      <c r="E797" s="364"/>
      <c r="F797" s="365"/>
      <c r="G797" s="365"/>
    </row>
    <row r="798" spans="4:7" ht="13.2">
      <c r="D798" s="75"/>
      <c r="E798" s="364"/>
      <c r="F798" s="365"/>
      <c r="G798" s="365"/>
    </row>
    <row r="799" spans="4:7" ht="13.2">
      <c r="D799" s="75"/>
      <c r="E799" s="364"/>
      <c r="F799" s="365"/>
      <c r="G799" s="365"/>
    </row>
    <row r="800" spans="4:7" ht="13.2">
      <c r="D800" s="75"/>
      <c r="E800" s="364"/>
      <c r="F800" s="365"/>
      <c r="G800" s="365"/>
    </row>
    <row r="801" spans="4:7" ht="13.2">
      <c r="D801" s="75"/>
      <c r="E801" s="364"/>
      <c r="F801" s="365"/>
      <c r="G801" s="365"/>
    </row>
    <row r="802" spans="4:7" ht="13.2">
      <c r="D802" s="75"/>
      <c r="E802" s="364"/>
      <c r="F802" s="365"/>
      <c r="G802" s="365"/>
    </row>
    <row r="803" spans="4:7" ht="13.2">
      <c r="D803" s="75"/>
      <c r="E803" s="364"/>
      <c r="F803" s="365"/>
      <c r="G803" s="365"/>
    </row>
    <row r="804" spans="4:7" ht="13.2">
      <c r="D804" s="75"/>
      <c r="E804" s="364"/>
      <c r="F804" s="365"/>
      <c r="G804" s="365"/>
    </row>
    <row r="805" spans="4:7" ht="13.2">
      <c r="D805" s="75"/>
      <c r="E805" s="364"/>
      <c r="F805" s="365"/>
      <c r="G805" s="365"/>
    </row>
    <row r="806" spans="4:7" ht="13.2">
      <c r="D806" s="75"/>
      <c r="E806" s="364"/>
      <c r="F806" s="365"/>
      <c r="G806" s="365"/>
    </row>
    <row r="807" spans="4:7" ht="13.2">
      <c r="D807" s="75"/>
      <c r="E807" s="364"/>
      <c r="F807" s="365"/>
      <c r="G807" s="365"/>
    </row>
    <row r="808" spans="4:7" ht="13.2">
      <c r="D808" s="75"/>
      <c r="E808" s="364"/>
      <c r="F808" s="365"/>
      <c r="G808" s="365"/>
    </row>
    <row r="809" spans="4:7" ht="13.2">
      <c r="D809" s="75"/>
      <c r="E809" s="364"/>
      <c r="F809" s="365"/>
      <c r="G809" s="365"/>
    </row>
    <row r="810" spans="4:7" ht="13.2">
      <c r="D810" s="75"/>
      <c r="E810" s="364"/>
      <c r="F810" s="365"/>
      <c r="G810" s="365"/>
    </row>
    <row r="811" spans="4:7" ht="13.2">
      <c r="D811" s="75"/>
      <c r="E811" s="364"/>
      <c r="F811" s="365"/>
      <c r="G811" s="365"/>
    </row>
    <row r="812" spans="4:7" ht="13.2">
      <c r="D812" s="75"/>
      <c r="E812" s="364"/>
      <c r="F812" s="365"/>
      <c r="G812" s="365"/>
    </row>
    <row r="813" spans="4:7" ht="13.2">
      <c r="D813" s="75"/>
      <c r="E813" s="364"/>
      <c r="F813" s="365"/>
      <c r="G813" s="365"/>
    </row>
    <row r="814" spans="4:7" ht="13.2">
      <c r="D814" s="75"/>
      <c r="E814" s="364"/>
      <c r="F814" s="365"/>
      <c r="G814" s="365"/>
    </row>
    <row r="815" spans="4:7" ht="13.2">
      <c r="D815" s="75"/>
      <c r="E815" s="364"/>
      <c r="F815" s="365"/>
      <c r="G815" s="365"/>
    </row>
    <row r="816" spans="4:7" ht="13.2">
      <c r="D816" s="75"/>
      <c r="E816" s="364"/>
      <c r="F816" s="365"/>
      <c r="G816" s="365"/>
    </row>
    <row r="817" spans="4:7" ht="13.2">
      <c r="D817" s="75"/>
      <c r="E817" s="364"/>
      <c r="F817" s="365"/>
      <c r="G817" s="365"/>
    </row>
    <row r="818" spans="4:7" ht="13.2">
      <c r="D818" s="75"/>
      <c r="E818" s="364"/>
      <c r="F818" s="365"/>
      <c r="G818" s="365"/>
    </row>
    <row r="819" spans="4:7" ht="13.2">
      <c r="D819" s="75"/>
      <c r="E819" s="364"/>
      <c r="F819" s="365"/>
      <c r="G819" s="365"/>
    </row>
    <row r="820" spans="4:7" ht="13.2">
      <c r="D820" s="75"/>
      <c r="E820" s="364"/>
      <c r="F820" s="365"/>
      <c r="G820" s="365"/>
    </row>
    <row r="821" spans="4:7" ht="13.2">
      <c r="D821" s="75"/>
      <c r="E821" s="364"/>
      <c r="F821" s="365"/>
      <c r="G821" s="365"/>
    </row>
    <row r="822" spans="4:7" ht="13.2">
      <c r="D822" s="75"/>
      <c r="E822" s="364"/>
      <c r="F822" s="365"/>
      <c r="G822" s="365"/>
    </row>
    <row r="823" spans="4:7" ht="13.2">
      <c r="D823" s="75"/>
      <c r="E823" s="364"/>
      <c r="F823" s="365"/>
      <c r="G823" s="365"/>
    </row>
    <row r="824" spans="4:7" ht="13.2">
      <c r="D824" s="75"/>
      <c r="E824" s="364"/>
      <c r="F824" s="365"/>
      <c r="G824" s="365"/>
    </row>
    <row r="825" spans="4:7" ht="13.2">
      <c r="D825" s="75"/>
      <c r="E825" s="364"/>
      <c r="F825" s="365"/>
      <c r="G825" s="365"/>
    </row>
    <row r="826" spans="4:7" ht="13.2">
      <c r="D826" s="75"/>
      <c r="E826" s="364"/>
      <c r="F826" s="365"/>
      <c r="G826" s="365"/>
    </row>
    <row r="827" spans="4:7" ht="13.2">
      <c r="D827" s="75"/>
      <c r="E827" s="364"/>
      <c r="F827" s="365"/>
      <c r="G827" s="365"/>
    </row>
    <row r="828" spans="4:7" ht="13.2">
      <c r="D828" s="75"/>
      <c r="E828" s="364"/>
      <c r="F828" s="365"/>
      <c r="G828" s="365"/>
    </row>
    <row r="829" spans="4:7" ht="13.2">
      <c r="D829" s="75"/>
      <c r="E829" s="364"/>
      <c r="F829" s="365"/>
      <c r="G829" s="365"/>
    </row>
    <row r="830" spans="4:7" ht="13.2">
      <c r="D830" s="75"/>
      <c r="E830" s="364"/>
      <c r="F830" s="365"/>
      <c r="G830" s="365"/>
    </row>
    <row r="831" spans="4:7" ht="13.2">
      <c r="D831" s="75"/>
      <c r="E831" s="364"/>
      <c r="F831" s="365"/>
      <c r="G831" s="365"/>
    </row>
    <row r="832" spans="4:7" ht="13.2">
      <c r="D832" s="75"/>
      <c r="E832" s="364"/>
      <c r="F832" s="365"/>
      <c r="G832" s="365"/>
    </row>
    <row r="833" spans="4:7" ht="13.2">
      <c r="D833" s="75"/>
      <c r="E833" s="364"/>
      <c r="F833" s="365"/>
      <c r="G833" s="365"/>
    </row>
    <row r="834" spans="4:7" ht="13.2">
      <c r="D834" s="75"/>
      <c r="E834" s="364"/>
      <c r="F834" s="365"/>
      <c r="G834" s="365"/>
    </row>
    <row r="835" spans="4:7" ht="13.2">
      <c r="D835" s="75"/>
      <c r="E835" s="364"/>
      <c r="F835" s="365"/>
      <c r="G835" s="365"/>
    </row>
    <row r="836" spans="4:7" ht="13.2">
      <c r="D836" s="75"/>
      <c r="E836" s="364"/>
      <c r="F836" s="365"/>
      <c r="G836" s="365"/>
    </row>
    <row r="837" spans="4:7" ht="13.2">
      <c r="D837" s="75"/>
      <c r="E837" s="364"/>
      <c r="F837" s="365"/>
      <c r="G837" s="365"/>
    </row>
    <row r="838" spans="4:7" ht="13.2">
      <c r="D838" s="75"/>
      <c r="E838" s="364"/>
      <c r="F838" s="365"/>
      <c r="G838" s="365"/>
    </row>
    <row r="839" spans="4:7" ht="13.2">
      <c r="D839" s="75"/>
      <c r="E839" s="364"/>
      <c r="F839" s="365"/>
      <c r="G839" s="365"/>
    </row>
    <row r="840" spans="4:7" ht="13.2">
      <c r="D840" s="75"/>
      <c r="E840" s="364"/>
      <c r="F840" s="365"/>
      <c r="G840" s="365"/>
    </row>
    <row r="841" spans="4:7" ht="13.2">
      <c r="D841" s="75"/>
      <c r="E841" s="364"/>
      <c r="F841" s="365"/>
      <c r="G841" s="365"/>
    </row>
    <row r="842" spans="4:7" ht="13.2">
      <c r="D842" s="75"/>
      <c r="E842" s="364"/>
      <c r="F842" s="365"/>
      <c r="G842" s="365"/>
    </row>
    <row r="843" spans="4:7" ht="13.2">
      <c r="D843" s="75"/>
      <c r="E843" s="364"/>
      <c r="F843" s="365"/>
      <c r="G843" s="365"/>
    </row>
    <row r="844" spans="4:7" ht="13.2">
      <c r="D844" s="75"/>
      <c r="E844" s="364"/>
      <c r="F844" s="365"/>
      <c r="G844" s="365"/>
    </row>
    <row r="845" spans="4:7" ht="13.2">
      <c r="D845" s="75"/>
      <c r="E845" s="364"/>
      <c r="F845" s="365"/>
      <c r="G845" s="365"/>
    </row>
    <row r="846" spans="4:7" ht="13.2">
      <c r="D846" s="75"/>
      <c r="E846" s="364"/>
      <c r="F846" s="365"/>
      <c r="G846" s="365"/>
    </row>
    <row r="847" spans="4:7" ht="13.2">
      <c r="D847" s="75"/>
      <c r="E847" s="364"/>
      <c r="F847" s="365"/>
      <c r="G847" s="365"/>
    </row>
    <row r="848" spans="4:7" ht="13.2">
      <c r="D848" s="75"/>
      <c r="E848" s="364"/>
      <c r="F848" s="365"/>
      <c r="G848" s="365"/>
    </row>
    <row r="849" spans="4:7" ht="13.2">
      <c r="D849" s="75"/>
      <c r="E849" s="364"/>
      <c r="F849" s="365"/>
      <c r="G849" s="365"/>
    </row>
    <row r="850" spans="4:7" ht="13.2">
      <c r="D850" s="75"/>
      <c r="E850" s="364"/>
      <c r="F850" s="365"/>
      <c r="G850" s="365"/>
    </row>
    <row r="851" spans="4:7" ht="13.2">
      <c r="D851" s="75"/>
      <c r="E851" s="364"/>
      <c r="F851" s="365"/>
      <c r="G851" s="365"/>
    </row>
    <row r="852" spans="4:7" ht="13.2">
      <c r="D852" s="75"/>
      <c r="E852" s="364"/>
      <c r="F852" s="365"/>
      <c r="G852" s="365"/>
    </row>
    <row r="853" spans="4:7" ht="13.2">
      <c r="D853" s="75"/>
      <c r="E853" s="364"/>
      <c r="F853" s="365"/>
      <c r="G853" s="365"/>
    </row>
    <row r="854" spans="4:7" ht="13.2">
      <c r="D854" s="75"/>
      <c r="E854" s="364"/>
      <c r="F854" s="365"/>
      <c r="G854" s="365"/>
    </row>
    <row r="855" spans="4:7" ht="13.2">
      <c r="D855" s="75"/>
      <c r="E855" s="364"/>
      <c r="F855" s="365"/>
      <c r="G855" s="365"/>
    </row>
    <row r="856" spans="4:7" ht="13.2">
      <c r="D856" s="75"/>
      <c r="E856" s="364"/>
      <c r="F856" s="365"/>
      <c r="G856" s="365"/>
    </row>
    <row r="857" spans="4:7" ht="13.2">
      <c r="D857" s="75"/>
      <c r="E857" s="364"/>
      <c r="F857" s="365"/>
      <c r="G857" s="365"/>
    </row>
    <row r="858" spans="4:7" ht="13.2">
      <c r="D858" s="75"/>
      <c r="E858" s="364"/>
      <c r="F858" s="365"/>
      <c r="G858" s="365"/>
    </row>
    <row r="859" spans="4:7" ht="13.2">
      <c r="D859" s="75"/>
      <c r="E859" s="364"/>
      <c r="F859" s="365"/>
      <c r="G859" s="365"/>
    </row>
    <row r="860" spans="4:7" ht="13.2">
      <c r="D860" s="75"/>
      <c r="E860" s="364"/>
      <c r="F860" s="365"/>
      <c r="G860" s="365"/>
    </row>
    <row r="861" spans="4:7" ht="13.2">
      <c r="D861" s="75"/>
      <c r="E861" s="364"/>
      <c r="F861" s="365"/>
      <c r="G861" s="365"/>
    </row>
    <row r="862" spans="4:7" ht="13.2">
      <c r="D862" s="75"/>
      <c r="E862" s="364"/>
      <c r="F862" s="365"/>
      <c r="G862" s="365"/>
    </row>
    <row r="863" spans="4:7" ht="13.2">
      <c r="D863" s="75"/>
      <c r="E863" s="364"/>
      <c r="F863" s="365"/>
      <c r="G863" s="365"/>
    </row>
    <row r="864" spans="4:7" ht="13.2">
      <c r="D864" s="75"/>
      <c r="E864" s="364"/>
      <c r="F864" s="365"/>
      <c r="G864" s="365"/>
    </row>
    <row r="865" spans="4:7" ht="13.2">
      <c r="D865" s="75"/>
      <c r="E865" s="364"/>
      <c r="F865" s="365"/>
      <c r="G865" s="365"/>
    </row>
    <row r="866" spans="4:7" ht="13.2">
      <c r="D866" s="75"/>
      <c r="E866" s="364"/>
      <c r="F866" s="365"/>
      <c r="G866" s="365"/>
    </row>
    <row r="867" spans="4:7" ht="13.2">
      <c r="D867" s="75"/>
      <c r="E867" s="364"/>
      <c r="F867" s="365"/>
      <c r="G867" s="365"/>
    </row>
    <row r="868" spans="4:7" ht="13.2">
      <c r="D868" s="75"/>
      <c r="E868" s="364"/>
      <c r="F868" s="365"/>
      <c r="G868" s="365"/>
    </row>
    <row r="869" spans="4:7" ht="13.2">
      <c r="D869" s="75"/>
      <c r="E869" s="364"/>
      <c r="F869" s="365"/>
      <c r="G869" s="365"/>
    </row>
    <row r="870" spans="4:7" ht="13.2">
      <c r="D870" s="75"/>
      <c r="E870" s="364"/>
      <c r="F870" s="365"/>
      <c r="G870" s="365"/>
    </row>
    <row r="871" spans="4:7" ht="13.2">
      <c r="D871" s="75"/>
      <c r="E871" s="364"/>
      <c r="F871" s="365"/>
      <c r="G871" s="365"/>
    </row>
    <row r="872" spans="4:7" ht="13.2">
      <c r="D872" s="75"/>
      <c r="E872" s="364"/>
      <c r="F872" s="365"/>
      <c r="G872" s="365"/>
    </row>
    <row r="873" spans="4:7" ht="13.2">
      <c r="D873" s="75"/>
      <c r="E873" s="364"/>
      <c r="F873" s="365"/>
      <c r="G873" s="365"/>
    </row>
    <row r="874" spans="4:7" ht="13.2">
      <c r="D874" s="75"/>
      <c r="E874" s="364"/>
      <c r="F874" s="365"/>
      <c r="G874" s="365"/>
    </row>
    <row r="875" spans="4:7" ht="13.2">
      <c r="D875" s="75"/>
      <c r="E875" s="364"/>
      <c r="F875" s="365"/>
      <c r="G875" s="365"/>
    </row>
    <row r="876" spans="4:7" ht="13.2">
      <c r="D876" s="75"/>
      <c r="E876" s="364"/>
      <c r="F876" s="365"/>
      <c r="G876" s="365"/>
    </row>
    <row r="877" spans="4:7" ht="13.2">
      <c r="D877" s="75"/>
      <c r="E877" s="364"/>
      <c r="F877" s="365"/>
      <c r="G877" s="365"/>
    </row>
    <row r="878" spans="4:7" ht="13.2">
      <c r="D878" s="75"/>
      <c r="E878" s="364"/>
      <c r="F878" s="365"/>
      <c r="G878" s="365"/>
    </row>
    <row r="879" spans="4:7" ht="13.2">
      <c r="D879" s="75"/>
      <c r="E879" s="364"/>
      <c r="F879" s="365"/>
      <c r="G879" s="365"/>
    </row>
    <row r="880" spans="4:7" ht="13.2">
      <c r="D880" s="75"/>
      <c r="E880" s="364"/>
      <c r="F880" s="365"/>
      <c r="G880" s="365"/>
    </row>
    <row r="881" spans="4:7" ht="13.2">
      <c r="D881" s="75"/>
      <c r="E881" s="364"/>
      <c r="F881" s="365"/>
      <c r="G881" s="365"/>
    </row>
    <row r="882" spans="4:7" ht="13.2">
      <c r="D882" s="75"/>
      <c r="E882" s="364"/>
      <c r="F882" s="365"/>
      <c r="G882" s="365"/>
    </row>
    <row r="883" spans="4:7" ht="13.2">
      <c r="D883" s="75"/>
      <c r="E883" s="364"/>
      <c r="F883" s="365"/>
      <c r="G883" s="365"/>
    </row>
    <row r="884" spans="4:7" ht="13.2">
      <c r="D884" s="75"/>
      <c r="E884" s="364"/>
      <c r="F884" s="365"/>
      <c r="G884" s="365"/>
    </row>
    <row r="885" spans="4:7" ht="13.2">
      <c r="D885" s="75"/>
      <c r="E885" s="364"/>
      <c r="F885" s="365"/>
      <c r="G885" s="365"/>
    </row>
    <row r="886" spans="4:7" ht="13.2">
      <c r="D886" s="75"/>
      <c r="E886" s="364"/>
      <c r="F886" s="365"/>
      <c r="G886" s="365"/>
    </row>
    <row r="887" spans="4:7" ht="13.2">
      <c r="D887" s="75"/>
      <c r="E887" s="364"/>
      <c r="F887" s="365"/>
      <c r="G887" s="365"/>
    </row>
    <row r="888" spans="4:7" ht="13.2">
      <c r="D888" s="75"/>
      <c r="E888" s="364"/>
      <c r="F888" s="365"/>
      <c r="G888" s="365"/>
    </row>
    <row r="889" spans="4:7" ht="13.2">
      <c r="D889" s="75"/>
      <c r="E889" s="364"/>
      <c r="F889" s="365"/>
      <c r="G889" s="365"/>
    </row>
    <row r="890" spans="4:7" ht="13.2">
      <c r="D890" s="75"/>
      <c r="E890" s="364"/>
      <c r="F890" s="365"/>
      <c r="G890" s="365"/>
    </row>
    <row r="891" spans="4:7" ht="13.2">
      <c r="D891" s="75"/>
      <c r="E891" s="364"/>
      <c r="F891" s="365"/>
      <c r="G891" s="365"/>
    </row>
    <row r="892" spans="4:7" ht="13.2">
      <c r="D892" s="75"/>
      <c r="E892" s="364"/>
      <c r="F892" s="365"/>
      <c r="G892" s="365"/>
    </row>
    <row r="893" spans="4:7" ht="13.2">
      <c r="D893" s="75"/>
      <c r="E893" s="364"/>
      <c r="F893" s="365"/>
      <c r="G893" s="365"/>
    </row>
    <row r="894" spans="4:7" ht="13.2">
      <c r="D894" s="75"/>
      <c r="E894" s="364"/>
      <c r="F894" s="365"/>
      <c r="G894" s="365"/>
    </row>
    <row r="895" spans="4:7" ht="13.2">
      <c r="D895" s="75"/>
      <c r="E895" s="364"/>
      <c r="F895" s="365"/>
      <c r="G895" s="365"/>
    </row>
    <row r="896" spans="4:7" ht="13.2">
      <c r="D896" s="75"/>
      <c r="E896" s="364"/>
      <c r="F896" s="365"/>
      <c r="G896" s="365"/>
    </row>
    <row r="897" spans="4:7" ht="13.2">
      <c r="D897" s="75"/>
      <c r="E897" s="364"/>
      <c r="F897" s="365"/>
      <c r="G897" s="365"/>
    </row>
    <row r="898" spans="4:7" ht="13.2">
      <c r="D898" s="75"/>
      <c r="E898" s="364"/>
      <c r="F898" s="365"/>
      <c r="G898" s="365"/>
    </row>
    <row r="899" spans="4:7" ht="13.2">
      <c r="D899" s="75"/>
      <c r="E899" s="364"/>
      <c r="F899" s="365"/>
      <c r="G899" s="365"/>
    </row>
    <row r="900" spans="4:7" ht="13.2">
      <c r="D900" s="75"/>
      <c r="E900" s="364"/>
      <c r="F900" s="365"/>
      <c r="G900" s="365"/>
    </row>
    <row r="901" spans="4:7" ht="13.2">
      <c r="D901" s="75"/>
      <c r="E901" s="364"/>
      <c r="F901" s="365"/>
      <c r="G901" s="365"/>
    </row>
    <row r="902" spans="4:7" ht="13.2">
      <c r="D902" s="75"/>
      <c r="E902" s="364"/>
      <c r="F902" s="365"/>
      <c r="G902" s="365"/>
    </row>
    <row r="903" spans="4:7" ht="13.2">
      <c r="D903" s="75"/>
      <c r="E903" s="364"/>
      <c r="F903" s="365"/>
      <c r="G903" s="365"/>
    </row>
    <row r="904" spans="4:7" ht="13.2">
      <c r="D904" s="75"/>
      <c r="E904" s="364"/>
      <c r="F904" s="365"/>
      <c r="G904" s="365"/>
    </row>
    <row r="905" spans="4:7" ht="13.2">
      <c r="D905" s="75"/>
      <c r="E905" s="364"/>
      <c r="F905" s="365"/>
      <c r="G905" s="365"/>
    </row>
    <row r="906" spans="4:7" ht="13.2">
      <c r="D906" s="75"/>
      <c r="E906" s="364"/>
      <c r="F906" s="365"/>
      <c r="G906" s="365"/>
    </row>
    <row r="907" spans="4:7" ht="13.2">
      <c r="D907" s="75"/>
      <c r="E907" s="364"/>
      <c r="F907" s="365"/>
      <c r="G907" s="365"/>
    </row>
    <row r="908" spans="4:7" ht="13.2">
      <c r="D908" s="75"/>
      <c r="E908" s="364"/>
      <c r="F908" s="365"/>
      <c r="G908" s="365"/>
    </row>
    <row r="909" spans="4:7" ht="13.2">
      <c r="D909" s="75"/>
      <c r="E909" s="364"/>
      <c r="F909" s="365"/>
      <c r="G909" s="365"/>
    </row>
    <row r="910" spans="4:7" ht="13.2">
      <c r="D910" s="75"/>
      <c r="E910" s="364"/>
      <c r="F910" s="365"/>
      <c r="G910" s="365"/>
    </row>
    <row r="911" spans="4:7" ht="13.2">
      <c r="D911" s="75"/>
      <c r="E911" s="364"/>
      <c r="F911" s="365"/>
      <c r="G911" s="365"/>
    </row>
    <row r="912" spans="4:7" ht="13.2">
      <c r="D912" s="75"/>
      <c r="E912" s="364"/>
      <c r="F912" s="365"/>
      <c r="G912" s="365"/>
    </row>
    <row r="913" spans="4:7" ht="13.2">
      <c r="D913" s="75"/>
      <c r="E913" s="364"/>
      <c r="F913" s="365"/>
      <c r="G913" s="365"/>
    </row>
    <row r="914" spans="4:7" ht="13.2">
      <c r="D914" s="75"/>
      <c r="E914" s="364"/>
      <c r="F914" s="365"/>
      <c r="G914" s="365"/>
    </row>
    <row r="915" spans="4:7" ht="13.2">
      <c r="D915" s="75"/>
      <c r="E915" s="364"/>
      <c r="F915" s="365"/>
      <c r="G915" s="365"/>
    </row>
    <row r="916" spans="4:7" ht="13.2">
      <c r="D916" s="75"/>
      <c r="E916" s="364"/>
      <c r="F916" s="365"/>
      <c r="G916" s="365"/>
    </row>
    <row r="917" spans="4:7" ht="13.2">
      <c r="D917" s="75"/>
      <c r="E917" s="364"/>
      <c r="F917" s="365"/>
      <c r="G917" s="365"/>
    </row>
    <row r="918" spans="4:7" ht="13.2">
      <c r="D918" s="75"/>
      <c r="E918" s="364"/>
      <c r="F918" s="365"/>
      <c r="G918" s="365"/>
    </row>
    <row r="919" spans="4:7" ht="13.2">
      <c r="D919" s="75"/>
      <c r="E919" s="364"/>
      <c r="F919" s="365"/>
      <c r="G919" s="365"/>
    </row>
    <row r="920" spans="4:7" ht="13.2">
      <c r="D920" s="75"/>
      <c r="E920" s="364"/>
      <c r="F920" s="365"/>
      <c r="G920" s="365"/>
    </row>
    <row r="921" spans="4:7" ht="13.2">
      <c r="D921" s="75"/>
      <c r="E921" s="364"/>
      <c r="F921" s="365"/>
      <c r="G921" s="365"/>
    </row>
    <row r="922" spans="4:7" ht="13.2">
      <c r="D922" s="75"/>
      <c r="E922" s="364"/>
      <c r="F922" s="365"/>
      <c r="G922" s="365"/>
    </row>
    <row r="923" spans="4:7" ht="13.2">
      <c r="D923" s="75"/>
      <c r="E923" s="364"/>
      <c r="F923" s="365"/>
      <c r="G923" s="365"/>
    </row>
    <row r="924" spans="4:7" ht="13.2">
      <c r="D924" s="75"/>
      <c r="E924" s="364"/>
      <c r="F924" s="365"/>
      <c r="G924" s="365"/>
    </row>
    <row r="925" spans="4:7" ht="13.2">
      <c r="D925" s="75"/>
      <c r="E925" s="364"/>
      <c r="F925" s="365"/>
      <c r="G925" s="365"/>
    </row>
    <row r="926" spans="4:7" ht="13.2">
      <c r="D926" s="75"/>
      <c r="E926" s="364"/>
      <c r="F926" s="365"/>
      <c r="G926" s="365"/>
    </row>
    <row r="927" spans="4:7" ht="13.2">
      <c r="D927" s="75"/>
      <c r="E927" s="364"/>
      <c r="F927" s="365"/>
      <c r="G927" s="365"/>
    </row>
    <row r="928" spans="4:7" ht="13.2">
      <c r="D928" s="75"/>
      <c r="E928" s="364"/>
      <c r="F928" s="365"/>
      <c r="G928" s="365"/>
    </row>
    <row r="929" spans="4:7" ht="13.2">
      <c r="D929" s="75"/>
      <c r="E929" s="364"/>
      <c r="F929" s="365"/>
      <c r="G929" s="365"/>
    </row>
    <row r="930" spans="4:7" ht="13.2">
      <c r="D930" s="75"/>
      <c r="E930" s="364"/>
      <c r="F930" s="365"/>
      <c r="G930" s="365"/>
    </row>
    <row r="931" spans="4:7" ht="13.2">
      <c r="D931" s="75"/>
      <c r="E931" s="364"/>
      <c r="F931" s="365"/>
      <c r="G931" s="365"/>
    </row>
    <row r="932" spans="4:7" ht="13.2">
      <c r="D932" s="75"/>
      <c r="E932" s="364"/>
      <c r="F932" s="365"/>
      <c r="G932" s="365"/>
    </row>
    <row r="933" spans="4:7" ht="13.2">
      <c r="D933" s="75"/>
      <c r="E933" s="364"/>
      <c r="F933" s="365"/>
      <c r="G933" s="365"/>
    </row>
    <row r="934" spans="4:7" ht="13.2">
      <c r="D934" s="75"/>
      <c r="E934" s="364"/>
      <c r="F934" s="365"/>
      <c r="G934" s="365"/>
    </row>
    <row r="935" spans="4:7" ht="13.2">
      <c r="D935" s="75"/>
      <c r="E935" s="364"/>
      <c r="F935" s="365"/>
      <c r="G935" s="365"/>
    </row>
    <row r="936" spans="4:7" ht="13.2">
      <c r="D936" s="75"/>
      <c r="E936" s="364"/>
      <c r="F936" s="365"/>
      <c r="G936" s="365"/>
    </row>
    <row r="937" spans="4:7" ht="13.2">
      <c r="D937" s="75"/>
      <c r="E937" s="364"/>
      <c r="F937" s="365"/>
      <c r="G937" s="365"/>
    </row>
    <row r="938" spans="4:7" ht="13.2">
      <c r="D938" s="75"/>
      <c r="E938" s="364"/>
      <c r="F938" s="365"/>
      <c r="G938" s="365"/>
    </row>
    <row r="939" spans="4:7" ht="13.2">
      <c r="D939" s="75"/>
      <c r="E939" s="364"/>
      <c r="F939" s="365"/>
      <c r="G939" s="365"/>
    </row>
    <row r="940" spans="4:7" ht="13.2">
      <c r="D940" s="75"/>
      <c r="E940" s="364"/>
      <c r="F940" s="365"/>
      <c r="G940" s="365"/>
    </row>
    <row r="941" spans="4:7" ht="13.2">
      <c r="D941" s="75"/>
      <c r="E941" s="364"/>
      <c r="F941" s="365"/>
      <c r="G941" s="365"/>
    </row>
    <row r="942" spans="4:7" ht="13.2">
      <c r="D942" s="75"/>
      <c r="E942" s="364"/>
      <c r="F942" s="365"/>
      <c r="G942" s="365"/>
    </row>
    <row r="943" spans="4:7" ht="13.2">
      <c r="D943" s="75"/>
      <c r="E943" s="364"/>
      <c r="F943" s="365"/>
      <c r="G943" s="365"/>
    </row>
    <row r="944" spans="4:7" ht="13.2">
      <c r="D944" s="75"/>
      <c r="E944" s="364"/>
      <c r="F944" s="365"/>
      <c r="G944" s="365"/>
    </row>
    <row r="945" spans="4:7" ht="13.2">
      <c r="D945" s="75"/>
      <c r="E945" s="364"/>
      <c r="F945" s="365"/>
      <c r="G945" s="365"/>
    </row>
    <row r="946" spans="4:7" ht="13.2">
      <c r="D946" s="75"/>
      <c r="E946" s="364"/>
      <c r="F946" s="365"/>
      <c r="G946" s="365"/>
    </row>
    <row r="947" spans="4:7" ht="13.2">
      <c r="D947" s="75"/>
      <c r="E947" s="364"/>
      <c r="F947" s="365"/>
      <c r="G947" s="365"/>
    </row>
    <row r="948" spans="4:7" ht="13.2">
      <c r="D948" s="75"/>
      <c r="E948" s="364"/>
      <c r="F948" s="365"/>
      <c r="G948" s="365"/>
    </row>
    <row r="949" spans="4:7" ht="13.2">
      <c r="D949" s="75"/>
      <c r="E949" s="364"/>
      <c r="F949" s="365"/>
      <c r="G949" s="365"/>
    </row>
    <row r="950" spans="4:7" ht="13.2">
      <c r="D950" s="75"/>
      <c r="E950" s="364"/>
      <c r="F950" s="365"/>
      <c r="G950" s="365"/>
    </row>
    <row r="951" spans="4:7" ht="13.2">
      <c r="D951" s="75"/>
      <c r="E951" s="364"/>
      <c r="F951" s="365"/>
      <c r="G951" s="365"/>
    </row>
    <row r="952" spans="4:7" ht="13.2">
      <c r="D952" s="75"/>
      <c r="E952" s="364"/>
      <c r="F952" s="365"/>
      <c r="G952" s="365"/>
    </row>
    <row r="953" spans="4:7" ht="13.2">
      <c r="D953" s="75"/>
      <c r="E953" s="364"/>
      <c r="F953" s="365"/>
      <c r="G953" s="365"/>
    </row>
    <row r="954" spans="4:7" ht="13.2">
      <c r="D954" s="75"/>
      <c r="E954" s="364"/>
      <c r="F954" s="365"/>
      <c r="G954" s="365"/>
    </row>
    <row r="955" spans="4:7" ht="13.2">
      <c r="D955" s="75"/>
      <c r="E955" s="364"/>
      <c r="F955" s="365"/>
      <c r="G955" s="365"/>
    </row>
    <row r="956" spans="4:7" ht="13.2">
      <c r="D956" s="75"/>
      <c r="E956" s="364"/>
      <c r="F956" s="365"/>
      <c r="G956" s="365"/>
    </row>
    <row r="957" spans="4:7" ht="13.2">
      <c r="D957" s="75"/>
      <c r="E957" s="364"/>
      <c r="F957" s="365"/>
      <c r="G957" s="365"/>
    </row>
    <row r="958" spans="4:7" ht="13.2">
      <c r="D958" s="75"/>
      <c r="E958" s="364"/>
      <c r="F958" s="365"/>
      <c r="G958" s="365"/>
    </row>
    <row r="959" spans="4:7" ht="13.2">
      <c r="D959" s="75"/>
      <c r="E959" s="364"/>
      <c r="F959" s="365"/>
      <c r="G959" s="365"/>
    </row>
    <row r="960" spans="4:7" ht="13.2">
      <c r="D960" s="75"/>
      <c r="E960" s="364"/>
      <c r="F960" s="365"/>
      <c r="G960" s="365"/>
    </row>
    <row r="961" spans="4:7" ht="13.2">
      <c r="D961" s="75"/>
      <c r="E961" s="364"/>
      <c r="F961" s="365"/>
      <c r="G961" s="365"/>
    </row>
    <row r="962" spans="4:7" ht="13.2">
      <c r="D962" s="75"/>
      <c r="E962" s="364"/>
      <c r="F962" s="365"/>
      <c r="G962" s="365"/>
    </row>
    <row r="963" spans="4:7" ht="13.2">
      <c r="D963" s="75"/>
      <c r="E963" s="364"/>
      <c r="F963" s="365"/>
      <c r="G963" s="365"/>
    </row>
    <row r="964" spans="4:7" ht="13.2">
      <c r="D964" s="75"/>
      <c r="E964" s="364"/>
      <c r="F964" s="365"/>
      <c r="G964" s="365"/>
    </row>
    <row r="965" spans="4:7" ht="13.2">
      <c r="D965" s="75"/>
      <c r="E965" s="364"/>
      <c r="F965" s="365"/>
      <c r="G965" s="365"/>
    </row>
    <row r="966" spans="4:7" ht="13.2">
      <c r="D966" s="75"/>
      <c r="E966" s="364"/>
      <c r="F966" s="365"/>
      <c r="G966" s="365"/>
    </row>
    <row r="967" spans="4:7" ht="13.2">
      <c r="D967" s="75"/>
      <c r="E967" s="364"/>
      <c r="F967" s="365"/>
      <c r="G967" s="365"/>
    </row>
    <row r="968" spans="4:7" ht="13.2">
      <c r="D968" s="75"/>
      <c r="E968" s="364"/>
      <c r="F968" s="365"/>
      <c r="G968" s="365"/>
    </row>
    <row r="969" spans="4:7" ht="13.2">
      <c r="D969" s="75"/>
      <c r="E969" s="364"/>
      <c r="F969" s="365"/>
      <c r="G969" s="365"/>
    </row>
    <row r="970" spans="4:7" ht="13.2">
      <c r="D970" s="75"/>
      <c r="E970" s="364"/>
      <c r="F970" s="365"/>
      <c r="G970" s="365"/>
    </row>
    <row r="971" spans="4:7" ht="13.2">
      <c r="D971" s="75"/>
      <c r="E971" s="364"/>
      <c r="F971" s="365"/>
      <c r="G971" s="365"/>
    </row>
    <row r="972" spans="4:7" ht="13.2">
      <c r="D972" s="75"/>
      <c r="E972" s="364"/>
      <c r="F972" s="365"/>
      <c r="G972" s="365"/>
    </row>
    <row r="973" spans="4:7" ht="13.2">
      <c r="D973" s="75"/>
      <c r="E973" s="364"/>
      <c r="F973" s="365"/>
      <c r="G973" s="365"/>
    </row>
    <row r="974" spans="4:7" ht="13.2">
      <c r="D974" s="75"/>
      <c r="E974" s="364"/>
      <c r="F974" s="365"/>
      <c r="G974" s="365"/>
    </row>
    <row r="975" spans="4:7" ht="13.2">
      <c r="D975" s="75"/>
      <c r="E975" s="364"/>
      <c r="F975" s="365"/>
      <c r="G975" s="365"/>
    </row>
    <row r="976" spans="4:7" ht="13.2">
      <c r="D976" s="75"/>
      <c r="E976" s="364"/>
      <c r="F976" s="365"/>
      <c r="G976" s="365"/>
    </row>
    <row r="977" spans="4:7" ht="13.2">
      <c r="D977" s="75"/>
      <c r="E977" s="364"/>
      <c r="F977" s="365"/>
      <c r="G977" s="365"/>
    </row>
    <row r="978" spans="4:7" ht="13.2">
      <c r="D978" s="75"/>
      <c r="E978" s="364"/>
      <c r="F978" s="365"/>
      <c r="G978" s="365"/>
    </row>
    <row r="979" spans="4:7" ht="13.2">
      <c r="D979" s="75"/>
      <c r="E979" s="364"/>
      <c r="F979" s="365"/>
      <c r="G979" s="365"/>
    </row>
    <row r="980" spans="4:7" ht="13.2">
      <c r="D980" s="75"/>
      <c r="E980" s="364"/>
      <c r="F980" s="365"/>
      <c r="G980" s="365"/>
    </row>
    <row r="981" spans="4:7" ht="13.2">
      <c r="D981" s="75"/>
      <c r="E981" s="364"/>
      <c r="F981" s="365"/>
      <c r="G981" s="365"/>
    </row>
    <row r="982" spans="4:7" ht="13.2">
      <c r="D982" s="75"/>
      <c r="E982" s="364"/>
      <c r="F982" s="365"/>
      <c r="G982" s="365"/>
    </row>
    <row r="983" spans="4:7" ht="13.2">
      <c r="D983" s="75"/>
      <c r="E983" s="364"/>
      <c r="F983" s="365"/>
      <c r="G983" s="365"/>
    </row>
    <row r="984" spans="4:7" ht="13.2">
      <c r="D984" s="75"/>
      <c r="E984" s="364"/>
      <c r="F984" s="365"/>
      <c r="G984" s="365"/>
    </row>
    <row r="985" spans="4:7" ht="13.2">
      <c r="D985" s="75"/>
      <c r="E985" s="364"/>
      <c r="F985" s="365"/>
      <c r="G985" s="365"/>
    </row>
    <row r="986" spans="4:7" ht="13.2">
      <c r="D986" s="75"/>
      <c r="E986" s="364"/>
      <c r="F986" s="365"/>
      <c r="G986" s="365"/>
    </row>
    <row r="987" spans="4:7" ht="13.2">
      <c r="D987" s="75"/>
      <c r="E987" s="364"/>
      <c r="F987" s="365"/>
      <c r="G987" s="365"/>
    </row>
    <row r="988" spans="4:7" ht="13.2">
      <c r="D988" s="75"/>
      <c r="E988" s="364"/>
      <c r="F988" s="365"/>
      <c r="G988" s="365"/>
    </row>
    <row r="989" spans="4:7" ht="13.2">
      <c r="D989" s="75"/>
      <c r="E989" s="364"/>
      <c r="F989" s="365"/>
      <c r="G989" s="365"/>
    </row>
    <row r="990" spans="4:7" ht="13.2">
      <c r="D990" s="75"/>
      <c r="E990" s="364"/>
      <c r="F990" s="365"/>
      <c r="G990" s="365"/>
    </row>
    <row r="991" spans="4:7" ht="13.2">
      <c r="D991" s="75"/>
      <c r="E991" s="364"/>
      <c r="F991" s="365"/>
      <c r="G991" s="365"/>
    </row>
    <row r="992" spans="4:7" ht="13.2">
      <c r="D992" s="75"/>
      <c r="E992" s="364"/>
      <c r="F992" s="365"/>
      <c r="G992" s="365"/>
    </row>
    <row r="993" spans="4:7" ht="13.2">
      <c r="D993" s="75"/>
      <c r="E993" s="364"/>
      <c r="F993" s="365"/>
      <c r="G993" s="365"/>
    </row>
    <row r="994" spans="4:7" ht="13.2">
      <c r="D994" s="75"/>
      <c r="E994" s="364"/>
      <c r="F994" s="365"/>
      <c r="G994" s="365"/>
    </row>
    <row r="995" spans="4:7" ht="13.2">
      <c r="D995" s="75"/>
      <c r="E995" s="364"/>
      <c r="F995" s="365"/>
      <c r="G995" s="365"/>
    </row>
    <row r="996" spans="4:7" ht="13.2">
      <c r="D996" s="75"/>
      <c r="E996" s="364"/>
      <c r="F996" s="365"/>
      <c r="G996" s="365"/>
    </row>
    <row r="997" spans="4:7" ht="13.2">
      <c r="D997" s="75"/>
      <c r="E997" s="364"/>
      <c r="F997" s="365"/>
      <c r="G997" s="365"/>
    </row>
    <row r="998" spans="4:7" ht="13.2">
      <c r="D998" s="75"/>
      <c r="E998" s="364"/>
      <c r="F998" s="365"/>
      <c r="G998" s="365"/>
    </row>
    <row r="999" spans="4:7" ht="13.2">
      <c r="D999" s="75"/>
      <c r="E999" s="364"/>
      <c r="F999" s="365"/>
      <c r="G999" s="365"/>
    </row>
    <row r="1000" spans="4:7" ht="13.2">
      <c r="D1000" s="75"/>
      <c r="E1000" s="364"/>
      <c r="F1000" s="365"/>
      <c r="G1000" s="365"/>
    </row>
    <row r="1001" spans="4:7" ht="13.2">
      <c r="D1001" s="75"/>
      <c r="E1001" s="364"/>
      <c r="F1001" s="365"/>
      <c r="G1001" s="365"/>
    </row>
    <row r="1002" spans="4:7" ht="13.2">
      <c r="D1002" s="75"/>
      <c r="E1002" s="364"/>
      <c r="F1002" s="365"/>
      <c r="G1002" s="365"/>
    </row>
    <row r="1003" spans="4:7" ht="13.2">
      <c r="D1003" s="75"/>
      <c r="E1003" s="364"/>
      <c r="F1003" s="365"/>
      <c r="G1003" s="365"/>
    </row>
    <row r="1004" spans="4:7" ht="13.2">
      <c r="D1004" s="75"/>
      <c r="E1004" s="364"/>
      <c r="F1004" s="365"/>
      <c r="G1004" s="365"/>
    </row>
    <row r="1005" spans="4:7" ht="13.2">
      <c r="D1005" s="75"/>
      <c r="E1005" s="364"/>
      <c r="F1005" s="365"/>
      <c r="G1005" s="365"/>
    </row>
    <row r="1006" spans="4:7" ht="13.2">
      <c r="D1006" s="75"/>
      <c r="E1006" s="364"/>
      <c r="F1006" s="365"/>
      <c r="G1006" s="365"/>
    </row>
    <row r="1007" spans="4:7" ht="13.2">
      <c r="D1007" s="75"/>
      <c r="E1007" s="364"/>
      <c r="F1007" s="365"/>
      <c r="G1007" s="365"/>
    </row>
    <row r="1008" spans="4:7" ht="13.2">
      <c r="D1008" s="75"/>
      <c r="E1008" s="364"/>
      <c r="F1008" s="365"/>
      <c r="G1008" s="365"/>
    </row>
    <row r="1009" spans="4:7" ht="13.2">
      <c r="D1009" s="75"/>
      <c r="E1009" s="364"/>
      <c r="F1009" s="365"/>
      <c r="G1009" s="365"/>
    </row>
    <row r="1010" spans="4:7" ht="13.2">
      <c r="D1010" s="75"/>
      <c r="E1010" s="364"/>
      <c r="F1010" s="365"/>
      <c r="G1010" s="365"/>
    </row>
    <row r="1011" spans="4:7" ht="13.2">
      <c r="D1011" s="75"/>
      <c r="E1011" s="364"/>
      <c r="F1011" s="365"/>
      <c r="G1011" s="365"/>
    </row>
    <row r="1012" spans="4:7" ht="13.2">
      <c r="D1012" s="75"/>
      <c r="E1012" s="364"/>
      <c r="F1012" s="365"/>
      <c r="G1012" s="365"/>
    </row>
    <row r="1013" spans="4:7" ht="13.2">
      <c r="D1013" s="75"/>
      <c r="E1013" s="364"/>
      <c r="F1013" s="365"/>
      <c r="G1013" s="365"/>
    </row>
    <row r="1014" spans="4:7" ht="13.2">
      <c r="D1014" s="75"/>
      <c r="E1014" s="364"/>
      <c r="F1014" s="365"/>
      <c r="G1014" s="365"/>
    </row>
    <row r="1015" spans="4:7" ht="13.2">
      <c r="D1015" s="75"/>
      <c r="E1015" s="364"/>
      <c r="F1015" s="365"/>
      <c r="G1015" s="365"/>
    </row>
    <row r="1016" spans="4:7" ht="13.2">
      <c r="D1016" s="75"/>
      <c r="E1016" s="364"/>
      <c r="F1016" s="365"/>
      <c r="G1016" s="365"/>
    </row>
    <row r="1017" spans="4:7" ht="13.2">
      <c r="D1017" s="75"/>
      <c r="E1017" s="364"/>
      <c r="F1017" s="365"/>
      <c r="G1017" s="365"/>
    </row>
    <row r="1018" spans="4:7" ht="13.2">
      <c r="D1018" s="75"/>
      <c r="E1018" s="364"/>
      <c r="F1018" s="365"/>
      <c r="G1018" s="365"/>
    </row>
    <row r="1019" spans="4:7" ht="13.2">
      <c r="D1019" s="75"/>
      <c r="E1019" s="364"/>
      <c r="F1019" s="365"/>
      <c r="G1019" s="365"/>
    </row>
    <row r="1020" spans="4:7" ht="13.2">
      <c r="D1020" s="75"/>
      <c r="E1020" s="364"/>
      <c r="F1020" s="365"/>
      <c r="G1020" s="365"/>
    </row>
    <row r="1021" spans="4:7" ht="13.2">
      <c r="D1021" s="75"/>
      <c r="E1021" s="364"/>
      <c r="F1021" s="365"/>
      <c r="G1021" s="365"/>
    </row>
    <row r="1022" spans="4:7" ht="13.2">
      <c r="D1022" s="75"/>
      <c r="E1022" s="364"/>
      <c r="F1022" s="365"/>
      <c r="G1022" s="365"/>
    </row>
    <row r="1023" spans="4:7" ht="13.2">
      <c r="D1023" s="75"/>
      <c r="E1023" s="364"/>
      <c r="F1023" s="365"/>
      <c r="G1023" s="365"/>
    </row>
    <row r="1024" spans="4:7" ht="13.2">
      <c r="D1024" s="75"/>
      <c r="E1024" s="364"/>
      <c r="F1024" s="365"/>
      <c r="G1024" s="365"/>
    </row>
    <row r="1025" spans="4:7" ht="13.2">
      <c r="D1025" s="75"/>
      <c r="E1025" s="364"/>
      <c r="F1025" s="365"/>
      <c r="G1025" s="365"/>
    </row>
    <row r="1026" spans="4:7" ht="13.2">
      <c r="D1026" s="75"/>
      <c r="E1026" s="364"/>
      <c r="F1026" s="365"/>
      <c r="G1026" s="365"/>
    </row>
    <row r="1027" spans="4:7" ht="13.2">
      <c r="D1027" s="75"/>
      <c r="E1027" s="364"/>
      <c r="F1027" s="365"/>
      <c r="G1027" s="365"/>
    </row>
    <row r="1028" spans="4:7" ht="13.2">
      <c r="D1028" s="75"/>
      <c r="E1028" s="364"/>
      <c r="F1028" s="365"/>
      <c r="G1028" s="365"/>
    </row>
    <row r="1029" spans="4:7" ht="13.2">
      <c r="D1029" s="75"/>
      <c r="E1029" s="364"/>
      <c r="F1029" s="365"/>
      <c r="G1029" s="365"/>
    </row>
    <row r="1030" spans="4:7" ht="13.2">
      <c r="D1030" s="75"/>
      <c r="E1030" s="364"/>
      <c r="F1030" s="365"/>
      <c r="G1030" s="365"/>
    </row>
    <row r="1031" spans="4:7" ht="13.2">
      <c r="D1031" s="75"/>
      <c r="E1031" s="364"/>
      <c r="F1031" s="365"/>
      <c r="G1031" s="365"/>
    </row>
    <row r="1032" spans="4:7" ht="13.2">
      <c r="D1032" s="75"/>
      <c r="E1032" s="364"/>
      <c r="F1032" s="365"/>
      <c r="G1032" s="365"/>
    </row>
    <row r="1033" spans="4:7" ht="13.2">
      <c r="D1033" s="75"/>
      <c r="E1033" s="364"/>
      <c r="F1033" s="365"/>
      <c r="G1033" s="365"/>
    </row>
    <row r="1034" spans="4:7" ht="13.2">
      <c r="D1034" s="75"/>
      <c r="E1034" s="364"/>
      <c r="F1034" s="365"/>
      <c r="G1034" s="365"/>
    </row>
    <row r="1035" spans="4:7" ht="13.2">
      <c r="D1035" s="75"/>
      <c r="E1035" s="364"/>
      <c r="F1035" s="365"/>
      <c r="G1035" s="365"/>
    </row>
    <row r="1036" spans="4:7" ht="13.2">
      <c r="D1036" s="75"/>
      <c r="E1036" s="364"/>
      <c r="F1036" s="365"/>
      <c r="G1036" s="365"/>
    </row>
    <row r="1037" spans="4:7" ht="13.2">
      <c r="D1037" s="75"/>
      <c r="E1037" s="364"/>
      <c r="F1037" s="365"/>
      <c r="G1037" s="365"/>
    </row>
    <row r="1038" spans="4:7" ht="13.2">
      <c r="D1038" s="75"/>
      <c r="E1038" s="364"/>
      <c r="F1038" s="365"/>
      <c r="G1038" s="365"/>
    </row>
    <row r="1039" spans="4:7" ht="13.2">
      <c r="D1039" s="75"/>
      <c r="E1039" s="364"/>
      <c r="F1039" s="365"/>
      <c r="G1039" s="365"/>
    </row>
    <row r="1040" spans="4:7" ht="13.2">
      <c r="D1040" s="75"/>
      <c r="E1040" s="364"/>
      <c r="F1040" s="365"/>
      <c r="G1040" s="365"/>
    </row>
    <row r="1041" spans="4:7" ht="13.2">
      <c r="D1041" s="75"/>
      <c r="E1041" s="364"/>
      <c r="F1041" s="365"/>
      <c r="G1041" s="365"/>
    </row>
    <row r="1042" spans="4:7" ht="13.2">
      <c r="D1042" s="75"/>
      <c r="E1042" s="364"/>
      <c r="F1042" s="365"/>
      <c r="G1042" s="365"/>
    </row>
    <row r="1043" spans="4:7" ht="13.2">
      <c r="D1043" s="75"/>
      <c r="E1043" s="364"/>
      <c r="F1043" s="365"/>
      <c r="G1043" s="365"/>
    </row>
    <row r="1044" spans="4:7" ht="13.2">
      <c r="D1044" s="75"/>
      <c r="E1044" s="364"/>
      <c r="F1044" s="365"/>
      <c r="G1044" s="365"/>
    </row>
    <row r="1045" spans="4:7" ht="13.2">
      <c r="D1045" s="75"/>
      <c r="E1045" s="364"/>
      <c r="F1045" s="365"/>
      <c r="G1045" s="365"/>
    </row>
    <row r="1046" spans="4:7" ht="13.2">
      <c r="D1046" s="75"/>
      <c r="E1046" s="364"/>
      <c r="F1046" s="365"/>
      <c r="G1046" s="365"/>
    </row>
    <row r="1047" spans="4:7" ht="13.2">
      <c r="D1047" s="75"/>
      <c r="E1047" s="364"/>
      <c r="F1047" s="365"/>
      <c r="G1047" s="365"/>
    </row>
    <row r="1048" spans="4:7" ht="13.2">
      <c r="D1048" s="75"/>
      <c r="E1048" s="364"/>
      <c r="F1048" s="365"/>
      <c r="G1048" s="365"/>
    </row>
    <row r="1049" spans="4:7" ht="13.2">
      <c r="D1049" s="75"/>
      <c r="E1049" s="364"/>
      <c r="F1049" s="365"/>
      <c r="G1049" s="365"/>
    </row>
    <row r="1050" spans="4:7" ht="13.2">
      <c r="D1050" s="75"/>
      <c r="E1050" s="364"/>
      <c r="F1050" s="365"/>
      <c r="G1050" s="365"/>
    </row>
    <row r="1051" spans="4:7" ht="13.2">
      <c r="D1051" s="75"/>
      <c r="E1051" s="364"/>
      <c r="F1051" s="365"/>
      <c r="G1051" s="365"/>
    </row>
    <row r="1052" spans="4:7" ht="13.2">
      <c r="D1052" s="75"/>
      <c r="E1052" s="364"/>
      <c r="F1052" s="365"/>
      <c r="G1052" s="365"/>
    </row>
    <row r="1053" spans="4:7" ht="13.2">
      <c r="D1053" s="75"/>
      <c r="E1053" s="364"/>
      <c r="F1053" s="365"/>
      <c r="G1053" s="365"/>
    </row>
    <row r="1054" spans="4:7" ht="13.2">
      <c r="D1054" s="75"/>
      <c r="E1054" s="364"/>
      <c r="F1054" s="365"/>
      <c r="G1054" s="365"/>
    </row>
    <row r="1055" spans="4:7" ht="13.2">
      <c r="D1055" s="75"/>
      <c r="E1055" s="364"/>
      <c r="F1055" s="365"/>
      <c r="G1055" s="365"/>
    </row>
    <row r="1056" spans="4:7" ht="13.2">
      <c r="D1056" s="75"/>
      <c r="E1056" s="364"/>
      <c r="F1056" s="365"/>
      <c r="G1056" s="365"/>
    </row>
    <row r="1057" spans="4:7" ht="13.2">
      <c r="D1057" s="75"/>
      <c r="E1057" s="364"/>
      <c r="F1057" s="365"/>
      <c r="G1057" s="365"/>
    </row>
    <row r="1058" spans="4:7" ht="13.2">
      <c r="D1058" s="75"/>
      <c r="E1058" s="364"/>
      <c r="F1058" s="365"/>
      <c r="G1058" s="365"/>
    </row>
    <row r="1059" spans="4:7" ht="13.2">
      <c r="D1059" s="75"/>
      <c r="E1059" s="364"/>
      <c r="F1059" s="365"/>
      <c r="G1059" s="365"/>
    </row>
    <row r="1060" spans="4:7" ht="13.2">
      <c r="D1060" s="75"/>
      <c r="E1060" s="364"/>
      <c r="F1060" s="365"/>
      <c r="G1060" s="365"/>
    </row>
    <row r="1061" spans="4:7" ht="13.2">
      <c r="D1061" s="75"/>
      <c r="E1061" s="364"/>
      <c r="F1061" s="365"/>
      <c r="G1061" s="365"/>
    </row>
    <row r="1062" spans="4:7" ht="13.2">
      <c r="D1062" s="75"/>
      <c r="E1062" s="364"/>
      <c r="F1062" s="365"/>
      <c r="G1062" s="365"/>
    </row>
    <row r="1063" spans="4:7" ht="13.2">
      <c r="D1063" s="75"/>
      <c r="E1063" s="364"/>
      <c r="F1063" s="365"/>
      <c r="G1063" s="365"/>
    </row>
    <row r="1064" spans="4:7" ht="13.2">
      <c r="D1064" s="75"/>
      <c r="E1064" s="364"/>
      <c r="F1064" s="365"/>
      <c r="G1064" s="365"/>
    </row>
    <row r="1065" spans="4:7" ht="13.2">
      <c r="D1065" s="75"/>
      <c r="E1065" s="364"/>
      <c r="F1065" s="365"/>
      <c r="G1065" s="365"/>
    </row>
    <row r="1066" spans="4:7" ht="13.2">
      <c r="D1066" s="75"/>
      <c r="E1066" s="364"/>
      <c r="F1066" s="365"/>
      <c r="G1066" s="365"/>
    </row>
    <row r="1067" spans="4:7" ht="13.2">
      <c r="D1067" s="75"/>
      <c r="E1067" s="364"/>
      <c r="F1067" s="365"/>
      <c r="G1067" s="365"/>
    </row>
    <row r="1068" spans="4:7" ht="13.2">
      <c r="D1068" s="75"/>
      <c r="E1068" s="364"/>
      <c r="F1068" s="365"/>
      <c r="G1068" s="365"/>
    </row>
    <row r="1069" spans="4:7" ht="13.2">
      <c r="D1069" s="75"/>
      <c r="E1069" s="364"/>
      <c r="F1069" s="365"/>
      <c r="G1069" s="365"/>
    </row>
    <row r="1070" spans="4:7" ht="13.2">
      <c r="D1070" s="75"/>
      <c r="E1070" s="364"/>
      <c r="F1070" s="365"/>
      <c r="G1070" s="365"/>
    </row>
    <row r="1071" spans="4:7" ht="13.2">
      <c r="D1071" s="75"/>
      <c r="E1071" s="364"/>
      <c r="F1071" s="365"/>
      <c r="G1071" s="365"/>
    </row>
    <row r="1072" spans="4:7" ht="13.2">
      <c r="D1072" s="75"/>
      <c r="E1072" s="364"/>
      <c r="F1072" s="365"/>
      <c r="G1072" s="365"/>
    </row>
    <row r="1073" spans="4:7" ht="13.2">
      <c r="D1073" s="75"/>
      <c r="E1073" s="364"/>
      <c r="F1073" s="365"/>
      <c r="G1073" s="365"/>
    </row>
    <row r="1074" spans="4:7" ht="13.2">
      <c r="D1074" s="75"/>
      <c r="E1074" s="364"/>
      <c r="F1074" s="365"/>
      <c r="G1074" s="365"/>
    </row>
    <row r="1075" spans="4:7" ht="13.2">
      <c r="D1075" s="75"/>
      <c r="E1075" s="364"/>
      <c r="F1075" s="365"/>
      <c r="G1075" s="365"/>
    </row>
    <row r="1076" spans="4:7" ht="13.2">
      <c r="D1076" s="75"/>
      <c r="E1076" s="364"/>
      <c r="F1076" s="365"/>
      <c r="G1076" s="365"/>
    </row>
    <row r="1077" spans="4:7" ht="13.2">
      <c r="D1077" s="75"/>
      <c r="E1077" s="364"/>
      <c r="F1077" s="365"/>
      <c r="G1077" s="365"/>
    </row>
    <row r="1078" spans="4:7" ht="13.2">
      <c r="D1078" s="75"/>
      <c r="E1078" s="364"/>
      <c r="F1078" s="365"/>
      <c r="G1078" s="365"/>
    </row>
    <row r="1079" spans="4:7" ht="13.2">
      <c r="D1079" s="75"/>
      <c r="E1079" s="364"/>
      <c r="F1079" s="365"/>
      <c r="G1079" s="365"/>
    </row>
    <row r="1080" spans="4:7" ht="13.2">
      <c r="D1080" s="75"/>
      <c r="E1080" s="364"/>
      <c r="F1080" s="365"/>
      <c r="G1080" s="365"/>
    </row>
    <row r="1081" spans="4:7" ht="13.2">
      <c r="D1081" s="75"/>
      <c r="E1081" s="364"/>
      <c r="F1081" s="365"/>
      <c r="G1081" s="365"/>
    </row>
    <row r="1082" spans="4:7" ht="13.2">
      <c r="D1082" s="75"/>
      <c r="E1082" s="364"/>
      <c r="F1082" s="365"/>
      <c r="G1082" s="365"/>
    </row>
    <row r="1083" spans="4:7" ht="13.2">
      <c r="D1083" s="75"/>
      <c r="E1083" s="364"/>
      <c r="F1083" s="365"/>
      <c r="G1083" s="365"/>
    </row>
    <row r="1084" spans="4:7" ht="13.2">
      <c r="D1084" s="75"/>
      <c r="E1084" s="364"/>
      <c r="F1084" s="365"/>
      <c r="G1084" s="365"/>
    </row>
    <row r="1085" spans="4:7" ht="13.2">
      <c r="D1085" s="75"/>
      <c r="E1085" s="364"/>
      <c r="F1085" s="365"/>
      <c r="G1085" s="365"/>
    </row>
    <row r="1086" spans="4:7" ht="13.2">
      <c r="D1086" s="75"/>
      <c r="E1086" s="364"/>
      <c r="F1086" s="365"/>
      <c r="G1086" s="365"/>
    </row>
    <row r="1087" spans="4:7" ht="13.2">
      <c r="D1087" s="75"/>
      <c r="E1087" s="364"/>
      <c r="F1087" s="365"/>
      <c r="G1087" s="365"/>
    </row>
    <row r="1088" spans="4:7" ht="13.2">
      <c r="D1088" s="75"/>
      <c r="E1088" s="364"/>
      <c r="F1088" s="365"/>
      <c r="G1088" s="365"/>
    </row>
    <row r="1089" spans="4:7" ht="13.2">
      <c r="D1089" s="75"/>
      <c r="E1089" s="364"/>
      <c r="F1089" s="365"/>
      <c r="G1089" s="365"/>
    </row>
    <row r="1090" spans="4:7" ht="13.2">
      <c r="D1090" s="75"/>
      <c r="E1090" s="364"/>
      <c r="F1090" s="365"/>
      <c r="G1090" s="365"/>
    </row>
    <row r="1091" spans="4:7" ht="13.2">
      <c r="D1091" s="75"/>
      <c r="E1091" s="364"/>
      <c r="F1091" s="365"/>
      <c r="G1091" s="365"/>
    </row>
    <row r="1092" spans="4:7" ht="13.2">
      <c r="D1092" s="75"/>
      <c r="E1092" s="364"/>
      <c r="F1092" s="365"/>
      <c r="G1092" s="365"/>
    </row>
    <row r="1093" spans="4:7" ht="13.2">
      <c r="D1093" s="75"/>
      <c r="E1093" s="364"/>
      <c r="F1093" s="365"/>
      <c r="G1093" s="365"/>
    </row>
    <row r="1094" spans="4:7" ht="13.2">
      <c r="D1094" s="75"/>
      <c r="E1094" s="364"/>
      <c r="F1094" s="365"/>
      <c r="G1094" s="365"/>
    </row>
    <row r="1095" spans="4:7" ht="13.2">
      <c r="D1095" s="75"/>
      <c r="E1095" s="364"/>
      <c r="F1095" s="365"/>
      <c r="G1095" s="365"/>
    </row>
    <row r="1096" spans="4:7" ht="13.2">
      <c r="D1096" s="75"/>
      <c r="E1096" s="364"/>
      <c r="F1096" s="365"/>
      <c r="G1096" s="365"/>
    </row>
    <row r="1097" spans="4:7" ht="13.2">
      <c r="D1097" s="75"/>
      <c r="E1097" s="364"/>
      <c r="F1097" s="365"/>
      <c r="G1097" s="365"/>
    </row>
    <row r="1098" spans="4:7" ht="13.2">
      <c r="D1098" s="75"/>
      <c r="E1098" s="364"/>
      <c r="F1098" s="365"/>
      <c r="G1098" s="365"/>
    </row>
    <row r="1099" spans="4:7" ht="13.2">
      <c r="D1099" s="75"/>
      <c r="E1099" s="364"/>
      <c r="F1099" s="365"/>
      <c r="G1099" s="365"/>
    </row>
    <row r="1100" spans="4:7" ht="13.2">
      <c r="D1100" s="75"/>
      <c r="E1100" s="364"/>
      <c r="F1100" s="365"/>
      <c r="G1100" s="365"/>
    </row>
    <row r="1101" spans="4:7" ht="13.2">
      <c r="D1101" s="75"/>
      <c r="E1101" s="364"/>
      <c r="F1101" s="365"/>
      <c r="G1101" s="365"/>
    </row>
    <row r="1102" spans="4:7" ht="13.2">
      <c r="D1102" s="75"/>
      <c r="E1102" s="364"/>
      <c r="F1102" s="365"/>
      <c r="G1102" s="365"/>
    </row>
    <row r="1103" spans="4:7" ht="13.2">
      <c r="D1103" s="75"/>
      <c r="E1103" s="364"/>
      <c r="F1103" s="365"/>
      <c r="G1103" s="365"/>
    </row>
    <row r="1104" spans="4:7" ht="13.2">
      <c r="D1104" s="75"/>
      <c r="E1104" s="364"/>
      <c r="F1104" s="365"/>
      <c r="G1104" s="365"/>
    </row>
    <row r="1105" spans="4:7" ht="13.2">
      <c r="D1105" s="75"/>
      <c r="E1105" s="364"/>
      <c r="F1105" s="365"/>
      <c r="G1105" s="365"/>
    </row>
    <row r="1106" spans="4:7" ht="13.2">
      <c r="D1106" s="75"/>
      <c r="E1106" s="364"/>
      <c r="F1106" s="365"/>
      <c r="G1106" s="365"/>
    </row>
    <row r="1107" spans="4:7" ht="13.2">
      <c r="D1107" s="75"/>
      <c r="E1107" s="364"/>
      <c r="F1107" s="365"/>
      <c r="G1107" s="365"/>
    </row>
    <row r="1108" spans="4:7" ht="13.2">
      <c r="D1108" s="75"/>
      <c r="E1108" s="364"/>
      <c r="F1108" s="365"/>
      <c r="G1108" s="365"/>
    </row>
    <row r="1109" spans="4:7" ht="13.2">
      <c r="D1109" s="75"/>
      <c r="E1109" s="364"/>
      <c r="F1109" s="365"/>
      <c r="G1109" s="365"/>
    </row>
    <row r="1110" spans="4:7" ht="13.2">
      <c r="D1110" s="75"/>
      <c r="E1110" s="364"/>
      <c r="F1110" s="365"/>
      <c r="G1110" s="365"/>
    </row>
    <row r="1111" spans="4:7" ht="13.2">
      <c r="D1111" s="75"/>
      <c r="E1111" s="364"/>
      <c r="F1111" s="365"/>
      <c r="G1111" s="365"/>
    </row>
    <row r="1112" spans="4:7" ht="13.2">
      <c r="D1112" s="75"/>
      <c r="E1112" s="364"/>
      <c r="F1112" s="365"/>
      <c r="G1112" s="365"/>
    </row>
    <row r="1113" spans="4:7" ht="13.2">
      <c r="D1113" s="75"/>
      <c r="E1113" s="364"/>
      <c r="F1113" s="365"/>
      <c r="G1113" s="365"/>
    </row>
    <row r="1114" spans="4:7" ht="13.2">
      <c r="D1114" s="75"/>
      <c r="E1114" s="364"/>
      <c r="F1114" s="365"/>
      <c r="G1114" s="365"/>
    </row>
    <row r="1115" spans="4:7" ht="13.2">
      <c r="D1115" s="75"/>
      <c r="E1115" s="364"/>
      <c r="F1115" s="365"/>
      <c r="G1115" s="365"/>
    </row>
    <row r="1116" spans="4:7" ht="13.2">
      <c r="D1116" s="75"/>
      <c r="E1116" s="364"/>
      <c r="F1116" s="365"/>
      <c r="G1116" s="365"/>
    </row>
    <row r="1117" spans="4:7" ht="13.2">
      <c r="D1117" s="75"/>
      <c r="E1117" s="364"/>
      <c r="F1117" s="365"/>
      <c r="G1117" s="365"/>
    </row>
    <row r="1118" spans="4:7" ht="13.2">
      <c r="D1118" s="75"/>
      <c r="E1118" s="364"/>
      <c r="F1118" s="365"/>
      <c r="G1118" s="365"/>
    </row>
    <row r="1119" spans="4:7" ht="13.2">
      <c r="D1119" s="75"/>
      <c r="E1119" s="364"/>
      <c r="F1119" s="365"/>
      <c r="G1119" s="365"/>
    </row>
    <row r="1120" spans="4:7" ht="13.2">
      <c r="D1120" s="75"/>
      <c r="E1120" s="364"/>
      <c r="F1120" s="365"/>
      <c r="G1120" s="365"/>
    </row>
    <row r="1121" spans="4:7" ht="13.2">
      <c r="D1121" s="75"/>
      <c r="E1121" s="364"/>
      <c r="F1121" s="365"/>
      <c r="G1121" s="365"/>
    </row>
    <row r="1122" spans="4:7" ht="13.2">
      <c r="D1122" s="75"/>
      <c r="E1122" s="364"/>
      <c r="F1122" s="365"/>
      <c r="G1122" s="365"/>
    </row>
    <row r="1123" spans="4:7" ht="13.2">
      <c r="D1123" s="75"/>
      <c r="E1123" s="364"/>
      <c r="F1123" s="365"/>
      <c r="G1123" s="365"/>
    </row>
    <row r="1124" spans="4:7" ht="13.2">
      <c r="D1124" s="75"/>
      <c r="E1124" s="364"/>
      <c r="F1124" s="365"/>
      <c r="G1124" s="365"/>
    </row>
    <row r="1125" spans="4:7" ht="13.2">
      <c r="D1125" s="75"/>
      <c r="E1125" s="364"/>
      <c r="F1125" s="365"/>
      <c r="G1125" s="365"/>
    </row>
    <row r="1126" spans="4:7" ht="13.2">
      <c r="D1126" s="75"/>
      <c r="E1126" s="364"/>
      <c r="F1126" s="365"/>
      <c r="G1126" s="365"/>
    </row>
    <row r="1127" spans="4:7" ht="13.2">
      <c r="D1127" s="75"/>
      <c r="E1127" s="364"/>
      <c r="F1127" s="365"/>
      <c r="G1127" s="365"/>
    </row>
    <row r="1128" spans="4:7" ht="13.2">
      <c r="D1128" s="75"/>
      <c r="E1128" s="364"/>
      <c r="F1128" s="365"/>
      <c r="G1128" s="365"/>
    </row>
    <row r="1129" spans="4:7" ht="13.2">
      <c r="D1129" s="75"/>
      <c r="E1129" s="364"/>
      <c r="F1129" s="365"/>
      <c r="G1129" s="365"/>
    </row>
    <row r="1130" spans="4:7" ht="13.2">
      <c r="D1130" s="75"/>
      <c r="E1130" s="364"/>
      <c r="F1130" s="365"/>
      <c r="G1130" s="365"/>
    </row>
    <row r="1131" spans="4:7" ht="13.2">
      <c r="D1131" s="75"/>
      <c r="E1131" s="364"/>
      <c r="F1131" s="365"/>
      <c r="G1131" s="365"/>
    </row>
    <row r="1132" spans="4:7" ht="13.2">
      <c r="D1132" s="75"/>
      <c r="E1132" s="364"/>
      <c r="F1132" s="365"/>
      <c r="G1132" s="365"/>
    </row>
    <row r="1133" spans="4:7" ht="13.2">
      <c r="D1133" s="75"/>
      <c r="E1133" s="364"/>
      <c r="F1133" s="365"/>
      <c r="G1133" s="365"/>
    </row>
    <row r="1134" spans="4:7" ht="13.2">
      <c r="D1134" s="75"/>
      <c r="E1134" s="364"/>
      <c r="F1134" s="365"/>
      <c r="G1134" s="365"/>
    </row>
    <row r="1135" spans="4:7" ht="13.2">
      <c r="D1135" s="75"/>
      <c r="E1135" s="364"/>
      <c r="F1135" s="365"/>
      <c r="G1135" s="365"/>
    </row>
    <row r="1136" spans="4:7" ht="13.2">
      <c r="D1136" s="75"/>
      <c r="E1136" s="364"/>
      <c r="F1136" s="365"/>
      <c r="G1136" s="365"/>
    </row>
    <row r="1137" spans="4:7" ht="13.2">
      <c r="D1137" s="75"/>
      <c r="E1137" s="364"/>
      <c r="F1137" s="365"/>
      <c r="G1137" s="365"/>
    </row>
    <row r="1138" spans="4:7" ht="13.2">
      <c r="D1138" s="75"/>
      <c r="E1138" s="364"/>
      <c r="F1138" s="365"/>
      <c r="G1138" s="365"/>
    </row>
    <row r="1139" spans="4:7" ht="13.2">
      <c r="D1139" s="75"/>
      <c r="E1139" s="364"/>
      <c r="F1139" s="365"/>
      <c r="G1139" s="365"/>
    </row>
    <row r="1140" spans="4:7" ht="13.2">
      <c r="D1140" s="75"/>
      <c r="E1140" s="364"/>
      <c r="F1140" s="365"/>
      <c r="G1140" s="365"/>
    </row>
    <row r="1141" spans="4:7" ht="13.2">
      <c r="D1141" s="75"/>
      <c r="E1141" s="364"/>
      <c r="F1141" s="365"/>
      <c r="G1141" s="365"/>
    </row>
    <row r="1142" spans="4:7" ht="13.2">
      <c r="D1142" s="75"/>
      <c r="E1142" s="364"/>
      <c r="F1142" s="365"/>
      <c r="G1142" s="365"/>
    </row>
    <row r="1143" spans="4:7" ht="13.2">
      <c r="D1143" s="75"/>
      <c r="E1143" s="364"/>
      <c r="F1143" s="365"/>
      <c r="G1143" s="365"/>
    </row>
    <row r="1144" spans="4:7" ht="13.2">
      <c r="D1144" s="75"/>
      <c r="E1144" s="364"/>
      <c r="F1144" s="365"/>
      <c r="G1144" s="365"/>
    </row>
    <row r="1145" spans="4:7" ht="13.2">
      <c r="D1145" s="75"/>
      <c r="E1145" s="364"/>
      <c r="F1145" s="365"/>
      <c r="G1145" s="365"/>
    </row>
    <row r="1146" spans="4:7" ht="13.2">
      <c r="D1146" s="75"/>
      <c r="E1146" s="364"/>
      <c r="F1146" s="365"/>
      <c r="G1146" s="365"/>
    </row>
    <row r="1147" spans="4:7" ht="13.2">
      <c r="D1147" s="75"/>
      <c r="E1147" s="364"/>
      <c r="F1147" s="365"/>
      <c r="G1147" s="365"/>
    </row>
    <row r="1148" spans="4:7" ht="13.2">
      <c r="D1148" s="75"/>
      <c r="E1148" s="364"/>
      <c r="F1148" s="365"/>
      <c r="G1148" s="365"/>
    </row>
    <row r="1149" spans="4:7" ht="13.2">
      <c r="D1149" s="75"/>
      <c r="E1149" s="364"/>
      <c r="F1149" s="365"/>
      <c r="G1149" s="365"/>
    </row>
    <row r="1150" spans="4:7" ht="13.2">
      <c r="D1150" s="75"/>
      <c r="E1150" s="364"/>
      <c r="F1150" s="365"/>
      <c r="G1150" s="365"/>
    </row>
    <row r="1151" spans="4:7" ht="13.2">
      <c r="D1151" s="75"/>
      <c r="E1151" s="364"/>
      <c r="F1151" s="365"/>
      <c r="G1151" s="365"/>
    </row>
    <row r="1152" spans="4:7" ht="13.2">
      <c r="D1152" s="75"/>
      <c r="E1152" s="364"/>
      <c r="F1152" s="365"/>
      <c r="G1152" s="365"/>
    </row>
    <row r="1153" spans="4:7" ht="13.2">
      <c r="D1153" s="75"/>
      <c r="E1153" s="364"/>
      <c r="F1153" s="365"/>
      <c r="G1153" s="365"/>
    </row>
    <row r="1154" spans="4:7" ht="13.2">
      <c r="D1154" s="75"/>
      <c r="E1154" s="364"/>
      <c r="F1154" s="365"/>
      <c r="G1154" s="365"/>
    </row>
    <row r="1155" spans="4:7" ht="13.2">
      <c r="D1155" s="75"/>
      <c r="E1155" s="364"/>
      <c r="F1155" s="365"/>
      <c r="G1155" s="365"/>
    </row>
    <row r="1156" spans="4:7" ht="13.2">
      <c r="D1156" s="75"/>
      <c r="E1156" s="364"/>
      <c r="F1156" s="365"/>
      <c r="G1156" s="365"/>
    </row>
    <row r="1157" spans="4:7" ht="13.2">
      <c r="D1157" s="75"/>
      <c r="E1157" s="364"/>
      <c r="F1157" s="365"/>
      <c r="G1157" s="365"/>
    </row>
    <row r="1158" spans="4:7" ht="13.2">
      <c r="D1158" s="75"/>
      <c r="E1158" s="364"/>
      <c r="F1158" s="365"/>
      <c r="G1158" s="365"/>
    </row>
    <row r="1159" spans="4:7" ht="13.2">
      <c r="D1159" s="75"/>
      <c r="E1159" s="364"/>
      <c r="F1159" s="365"/>
      <c r="G1159" s="365"/>
    </row>
    <row r="1160" spans="4:7" ht="13.2">
      <c r="D1160" s="75"/>
      <c r="E1160" s="364"/>
      <c r="F1160" s="365"/>
      <c r="G1160" s="365"/>
    </row>
    <row r="1161" spans="4:7" ht="13.2">
      <c r="D1161" s="75"/>
      <c r="E1161" s="364"/>
      <c r="F1161" s="365"/>
      <c r="G1161" s="365"/>
    </row>
    <row r="1162" spans="4:7" ht="13.2">
      <c r="D1162" s="75"/>
      <c r="E1162" s="364"/>
      <c r="F1162" s="365"/>
      <c r="G1162" s="365"/>
    </row>
    <row r="1163" spans="4:7" ht="13.2">
      <c r="D1163" s="75"/>
      <c r="E1163" s="364"/>
      <c r="F1163" s="365"/>
      <c r="G1163" s="365"/>
    </row>
    <row r="1164" spans="4:7" ht="13.2">
      <c r="D1164" s="75"/>
      <c r="E1164" s="364"/>
      <c r="F1164" s="365"/>
      <c r="G1164" s="365"/>
    </row>
    <row r="1165" spans="4:7" ht="13.2">
      <c r="D1165" s="75"/>
      <c r="E1165" s="364"/>
      <c r="F1165" s="365"/>
      <c r="G1165" s="365"/>
    </row>
    <row r="1166" spans="4:7" ht="13.2">
      <c r="D1166" s="75"/>
      <c r="E1166" s="364"/>
      <c r="F1166" s="365"/>
      <c r="G1166" s="365"/>
    </row>
    <row r="1167" spans="4:7" ht="13.2">
      <c r="D1167" s="75"/>
      <c r="E1167" s="364"/>
      <c r="F1167" s="365"/>
      <c r="G1167" s="365"/>
    </row>
    <row r="1168" spans="4:7" ht="13.2">
      <c r="D1168" s="75"/>
      <c r="E1168" s="364"/>
      <c r="F1168" s="365"/>
      <c r="G1168" s="365"/>
    </row>
    <row r="1169" spans="4:7" ht="13.2">
      <c r="D1169" s="75"/>
      <c r="E1169" s="364"/>
      <c r="F1169" s="365"/>
      <c r="G1169" s="365"/>
    </row>
    <row r="1170" spans="4:7" ht="13.2">
      <c r="D1170" s="75"/>
      <c r="E1170" s="364"/>
      <c r="F1170" s="365"/>
      <c r="G1170" s="365"/>
    </row>
    <row r="1171" spans="4:7" ht="13.2">
      <c r="D1171" s="75"/>
      <c r="E1171" s="364"/>
      <c r="F1171" s="365"/>
      <c r="G1171" s="365"/>
    </row>
    <row r="1172" spans="4:7" ht="13.2">
      <c r="D1172" s="75"/>
      <c r="E1172" s="364"/>
      <c r="F1172" s="365"/>
      <c r="G1172" s="365"/>
    </row>
    <row r="1173" spans="4:7" ht="13.2">
      <c r="D1173" s="75"/>
      <c r="E1173" s="364"/>
      <c r="F1173" s="365"/>
      <c r="G1173" s="365"/>
    </row>
    <row r="1174" spans="4:7" ht="13.2">
      <c r="D1174" s="75"/>
      <c r="E1174" s="364"/>
      <c r="F1174" s="365"/>
      <c r="G1174" s="365"/>
    </row>
    <row r="1175" spans="4:7" ht="13.2">
      <c r="D1175" s="75"/>
      <c r="E1175" s="364"/>
      <c r="F1175" s="365"/>
      <c r="G1175" s="365"/>
    </row>
    <row r="1176" spans="4:7" ht="13.2">
      <c r="D1176" s="75"/>
      <c r="E1176" s="364"/>
      <c r="F1176" s="365"/>
      <c r="G1176" s="365"/>
    </row>
    <row r="1177" spans="4:7" ht="13.2">
      <c r="D1177" s="75"/>
      <c r="E1177" s="364"/>
      <c r="F1177" s="365"/>
      <c r="G1177" s="365"/>
    </row>
    <row r="1178" spans="4:7" ht="13.2">
      <c r="D1178" s="75"/>
      <c r="E1178" s="364"/>
      <c r="F1178" s="365"/>
      <c r="G1178" s="365"/>
    </row>
    <row r="1179" spans="4:7" ht="13.2">
      <c r="D1179" s="75"/>
      <c r="E1179" s="364"/>
      <c r="F1179" s="365"/>
      <c r="G1179" s="365"/>
    </row>
    <row r="1180" spans="4:7" ht="13.2">
      <c r="D1180" s="75"/>
      <c r="E1180" s="364"/>
      <c r="F1180" s="365"/>
      <c r="G1180" s="365"/>
    </row>
    <row r="1181" spans="4:7" ht="13.2">
      <c r="D1181" s="75"/>
      <c r="E1181" s="364"/>
      <c r="F1181" s="365"/>
      <c r="G1181" s="365"/>
    </row>
    <row r="1182" spans="4:7" ht="13.2">
      <c r="D1182" s="75"/>
      <c r="E1182" s="364"/>
      <c r="F1182" s="365"/>
      <c r="G1182" s="365"/>
    </row>
    <row r="1183" spans="4:7" ht="13.2">
      <c r="D1183" s="75"/>
      <c r="E1183" s="364"/>
      <c r="F1183" s="365"/>
      <c r="G1183" s="365"/>
    </row>
    <row r="1184" spans="4:7" ht="13.2">
      <c r="D1184" s="75"/>
      <c r="E1184" s="364"/>
      <c r="F1184" s="365"/>
      <c r="G1184" s="365"/>
    </row>
    <row r="1185" spans="4:7" ht="13.2">
      <c r="D1185" s="75"/>
      <c r="E1185" s="364"/>
      <c r="F1185" s="365"/>
      <c r="G1185" s="365"/>
    </row>
    <row r="1186" spans="4:7" ht="13.2">
      <c r="D1186" s="75"/>
      <c r="E1186" s="364"/>
      <c r="F1186" s="365"/>
      <c r="G1186" s="365"/>
    </row>
    <row r="1187" spans="4:7" ht="13.2">
      <c r="D1187" s="75"/>
      <c r="E1187" s="364"/>
      <c r="F1187" s="365"/>
      <c r="G1187" s="365"/>
    </row>
    <row r="1188" spans="4:7" ht="13.2">
      <c r="D1188" s="75"/>
      <c r="E1188" s="364"/>
      <c r="F1188" s="365"/>
      <c r="G1188" s="365"/>
    </row>
    <row r="1189" spans="4:7" ht="13.2">
      <c r="D1189" s="75"/>
      <c r="E1189" s="364"/>
      <c r="F1189" s="365"/>
      <c r="G1189" s="365"/>
    </row>
    <row r="1190" spans="4:7" ht="13.2">
      <c r="D1190" s="75"/>
      <c r="E1190" s="364"/>
      <c r="F1190" s="365"/>
      <c r="G1190" s="365"/>
    </row>
    <row r="1191" spans="4:7" ht="13.2">
      <c r="D1191" s="75"/>
      <c r="E1191" s="364"/>
      <c r="F1191" s="365"/>
      <c r="G1191" s="365"/>
    </row>
    <row r="1192" spans="4:7" ht="13.2">
      <c r="D1192" s="75"/>
      <c r="E1192" s="364"/>
      <c r="F1192" s="365"/>
      <c r="G1192" s="365"/>
    </row>
    <row r="1193" spans="4:7" ht="13.2">
      <c r="D1193" s="75"/>
      <c r="E1193" s="364"/>
      <c r="F1193" s="365"/>
      <c r="G1193" s="365"/>
    </row>
    <row r="1194" spans="4:7" ht="13.2">
      <c r="D1194" s="75"/>
      <c r="E1194" s="364"/>
      <c r="F1194" s="365"/>
      <c r="G1194" s="365"/>
    </row>
    <row r="1195" spans="4:7" ht="13.2">
      <c r="D1195" s="75"/>
      <c r="E1195" s="364"/>
      <c r="F1195" s="365"/>
      <c r="G1195" s="365"/>
    </row>
    <row r="1196" spans="4:7" ht="13.2">
      <c r="D1196" s="75"/>
      <c r="E1196" s="364"/>
      <c r="F1196" s="365"/>
      <c r="G1196" s="365"/>
    </row>
    <row r="1197" spans="4:7" ht="13.2">
      <c r="D1197" s="75"/>
      <c r="E1197" s="364"/>
      <c r="F1197" s="365"/>
      <c r="G1197" s="365"/>
    </row>
    <row r="1198" spans="4:7" ht="13.2">
      <c r="D1198" s="75"/>
      <c r="E1198" s="364"/>
      <c r="F1198" s="365"/>
      <c r="G1198" s="365"/>
    </row>
    <row r="1199" spans="4:7" ht="13.2">
      <c r="D1199" s="75"/>
      <c r="E1199" s="364"/>
      <c r="F1199" s="365"/>
      <c r="G1199" s="365"/>
    </row>
    <row r="1200" spans="4:7" ht="13.2">
      <c r="D1200" s="75"/>
      <c r="E1200" s="364"/>
      <c r="F1200" s="365"/>
      <c r="G1200" s="365"/>
    </row>
    <row r="1201" spans="4:7" ht="13.2">
      <c r="D1201" s="75"/>
      <c r="E1201" s="364"/>
      <c r="F1201" s="365"/>
      <c r="G1201" s="365"/>
    </row>
    <row r="1202" spans="4:7" ht="13.2">
      <c r="D1202" s="75"/>
      <c r="E1202" s="364"/>
      <c r="F1202" s="365"/>
      <c r="G1202" s="365"/>
    </row>
    <row r="1203" spans="4:7" ht="13.2">
      <c r="D1203" s="75"/>
      <c r="E1203" s="364"/>
      <c r="F1203" s="365"/>
      <c r="G1203" s="365"/>
    </row>
    <row r="1204" spans="4:7" ht="13.2">
      <c r="D1204" s="75"/>
      <c r="E1204" s="364"/>
      <c r="F1204" s="365"/>
      <c r="G1204" s="365"/>
    </row>
    <row r="1205" spans="4:7" ht="13.2">
      <c r="D1205" s="75"/>
      <c r="E1205" s="364"/>
      <c r="F1205" s="365"/>
      <c r="G1205" s="365"/>
    </row>
    <row r="1206" spans="4:7" ht="13.2">
      <c r="D1206" s="75"/>
      <c r="E1206" s="364"/>
      <c r="F1206" s="365"/>
      <c r="G1206" s="365"/>
    </row>
    <row r="1207" spans="4:7" ht="13.2">
      <c r="D1207" s="75"/>
      <c r="E1207" s="364"/>
      <c r="F1207" s="365"/>
      <c r="G1207" s="365"/>
    </row>
    <row r="1208" spans="4:7" ht="13.2">
      <c r="D1208" s="75"/>
      <c r="E1208" s="364"/>
      <c r="F1208" s="365"/>
      <c r="G1208" s="365"/>
    </row>
    <row r="1209" spans="4:7" ht="13.2">
      <c r="D1209" s="75"/>
      <c r="E1209" s="364"/>
      <c r="F1209" s="365"/>
      <c r="G1209" s="365"/>
    </row>
    <row r="1210" spans="4:7" ht="13.2">
      <c r="D1210" s="75"/>
      <c r="E1210" s="364"/>
      <c r="F1210" s="365"/>
      <c r="G1210" s="365"/>
    </row>
    <row r="1211" spans="4:7" ht="13.2">
      <c r="D1211" s="75"/>
      <c r="E1211" s="364"/>
      <c r="F1211" s="365"/>
      <c r="G1211" s="365"/>
    </row>
    <row r="1212" spans="4:7" ht="13.2">
      <c r="D1212" s="75"/>
      <c r="E1212" s="364"/>
      <c r="F1212" s="365"/>
      <c r="G1212" s="365"/>
    </row>
    <row r="1213" spans="4:7" ht="13.2">
      <c r="D1213" s="75"/>
      <c r="E1213" s="364"/>
      <c r="F1213" s="365"/>
      <c r="G1213" s="365"/>
    </row>
    <row r="1214" spans="4:7" ht="13.2">
      <c r="D1214" s="75"/>
      <c r="E1214" s="364"/>
      <c r="F1214" s="365"/>
      <c r="G1214" s="365"/>
    </row>
    <row r="1215" spans="4:7" ht="13.2">
      <c r="D1215" s="75"/>
      <c r="E1215" s="364"/>
      <c r="F1215" s="365"/>
      <c r="G1215" s="365"/>
    </row>
    <row r="1216" spans="4:7" ht="13.2">
      <c r="D1216" s="75"/>
      <c r="E1216" s="364"/>
      <c r="F1216" s="365"/>
      <c r="G1216" s="365"/>
    </row>
    <row r="1217" spans="4:7" ht="13.2">
      <c r="D1217" s="75"/>
      <c r="E1217" s="364"/>
      <c r="F1217" s="365"/>
      <c r="G1217" s="365"/>
    </row>
    <row r="1218" spans="4:7" ht="13.2">
      <c r="D1218" s="75"/>
      <c r="E1218" s="364"/>
      <c r="F1218" s="365"/>
      <c r="G1218" s="365"/>
    </row>
    <row r="1219" spans="4:7" ht="13.2">
      <c r="D1219" s="75"/>
      <c r="E1219" s="364"/>
      <c r="F1219" s="365"/>
      <c r="G1219" s="365"/>
    </row>
    <row r="1220" spans="4:7" ht="13.2">
      <c r="D1220" s="75"/>
      <c r="E1220" s="364"/>
      <c r="F1220" s="365"/>
      <c r="G1220" s="365"/>
    </row>
    <row r="1221" spans="4:7" ht="13.2">
      <c r="D1221" s="75"/>
      <c r="E1221" s="364"/>
      <c r="F1221" s="365"/>
      <c r="G1221" s="365"/>
    </row>
    <row r="1222" spans="4:7" ht="13.2">
      <c r="D1222" s="75"/>
      <c r="E1222" s="364"/>
      <c r="F1222" s="365"/>
      <c r="G1222" s="365"/>
    </row>
    <row r="1223" spans="4:7" ht="13.2">
      <c r="D1223" s="75"/>
      <c r="E1223" s="364"/>
      <c r="F1223" s="365"/>
      <c r="G1223" s="365"/>
    </row>
    <row r="1224" spans="4:7" ht="13.2">
      <c r="D1224" s="75"/>
      <c r="E1224" s="364"/>
      <c r="F1224" s="365"/>
      <c r="G1224" s="365"/>
    </row>
    <row r="1225" spans="4:7" ht="13.2">
      <c r="D1225" s="75"/>
      <c r="E1225" s="364"/>
      <c r="F1225" s="365"/>
      <c r="G1225" s="365"/>
    </row>
    <row r="1226" spans="4:7" ht="13.2">
      <c r="D1226" s="75"/>
      <c r="E1226" s="364"/>
      <c r="F1226" s="365"/>
      <c r="G1226" s="365"/>
    </row>
    <row r="1227" spans="4:7" ht="13.2">
      <c r="D1227" s="75"/>
      <c r="E1227" s="364"/>
      <c r="F1227" s="365"/>
      <c r="G1227" s="365"/>
    </row>
    <row r="1228" spans="4:7" ht="13.2">
      <c r="D1228" s="75"/>
      <c r="E1228" s="364"/>
      <c r="F1228" s="365"/>
      <c r="G1228" s="365"/>
    </row>
    <row r="1229" spans="4:7" ht="13.2">
      <c r="D1229" s="75"/>
      <c r="E1229" s="364"/>
      <c r="F1229" s="365"/>
      <c r="G1229" s="365"/>
    </row>
    <row r="1230" spans="4:7" ht="13.2">
      <c r="D1230" s="75"/>
      <c r="E1230" s="364"/>
      <c r="F1230" s="365"/>
      <c r="G1230" s="365"/>
    </row>
    <row r="1231" spans="4:7" ht="13.2">
      <c r="D1231" s="75"/>
      <c r="E1231" s="364"/>
      <c r="F1231" s="365"/>
      <c r="G1231" s="365"/>
    </row>
    <row r="1232" spans="4:7" ht="13.2">
      <c r="D1232" s="75"/>
      <c r="E1232" s="364"/>
      <c r="F1232" s="365"/>
      <c r="G1232" s="365"/>
    </row>
    <row r="1233" spans="4:7" ht="13.2">
      <c r="D1233" s="75"/>
      <c r="E1233" s="364"/>
      <c r="F1233" s="365"/>
      <c r="G1233" s="365"/>
    </row>
    <row r="1234" spans="4:7" ht="13.2">
      <c r="D1234" s="75"/>
      <c r="E1234" s="364"/>
      <c r="F1234" s="365"/>
      <c r="G1234" s="365"/>
    </row>
    <row r="1235" spans="4:7" ht="13.2">
      <c r="D1235" s="75"/>
      <c r="E1235" s="364"/>
      <c r="F1235" s="365"/>
      <c r="G1235" s="365"/>
    </row>
    <row r="1236" spans="4:7" ht="13.2">
      <c r="D1236" s="75"/>
      <c r="E1236" s="364"/>
      <c r="F1236" s="365"/>
      <c r="G1236" s="365"/>
    </row>
    <row r="1237" spans="4:7" ht="13.2">
      <c r="D1237" s="75"/>
      <c r="E1237" s="364"/>
      <c r="F1237" s="365"/>
      <c r="G1237" s="365"/>
    </row>
    <row r="1238" spans="4:7" ht="13.2">
      <c r="D1238" s="75"/>
      <c r="E1238" s="364"/>
      <c r="F1238" s="365"/>
      <c r="G1238" s="365"/>
    </row>
    <row r="1239" spans="4:7" ht="13.2">
      <c r="D1239" s="75"/>
      <c r="E1239" s="364"/>
      <c r="F1239" s="365"/>
      <c r="G1239" s="365"/>
    </row>
    <row r="1240" spans="4:7" ht="13.2">
      <c r="D1240" s="75"/>
      <c r="E1240" s="364"/>
      <c r="F1240" s="365"/>
      <c r="G1240" s="365"/>
    </row>
    <row r="1241" spans="4:7" ht="13.2">
      <c r="D1241" s="75"/>
      <c r="E1241" s="364"/>
      <c r="F1241" s="365"/>
      <c r="G1241" s="365"/>
    </row>
    <row r="1242" spans="4:7" ht="13.2">
      <c r="D1242" s="75"/>
      <c r="E1242" s="364"/>
      <c r="F1242" s="365"/>
      <c r="G1242" s="365"/>
    </row>
    <row r="1243" spans="4:7" ht="13.2">
      <c r="D1243" s="75"/>
      <c r="E1243" s="364"/>
      <c r="F1243" s="365"/>
      <c r="G1243" s="365"/>
    </row>
    <row r="1244" spans="4:7" ht="13.2">
      <c r="D1244" s="75"/>
      <c r="E1244" s="364"/>
      <c r="F1244" s="365"/>
      <c r="G1244" s="365"/>
    </row>
    <row r="1245" spans="4:7" ht="13.2">
      <c r="D1245" s="75"/>
      <c r="E1245" s="364"/>
      <c r="F1245" s="365"/>
      <c r="G1245" s="365"/>
    </row>
    <row r="1246" spans="4:7" ht="13.2">
      <c r="D1246" s="75"/>
      <c r="E1246" s="364"/>
      <c r="F1246" s="365"/>
      <c r="G1246" s="365"/>
    </row>
    <row r="1247" spans="4:7" ht="13.2">
      <c r="D1247" s="75"/>
      <c r="E1247" s="364"/>
      <c r="F1247" s="365"/>
      <c r="G1247" s="365"/>
    </row>
    <row r="1248" spans="4:7" ht="13.2">
      <c r="D1248" s="75"/>
      <c r="E1248" s="364"/>
      <c r="F1248" s="365"/>
      <c r="G1248" s="365"/>
    </row>
    <row r="1249" spans="4:7" ht="13.2">
      <c r="D1249" s="75"/>
      <c r="E1249" s="364"/>
      <c r="F1249" s="365"/>
      <c r="G1249" s="365"/>
    </row>
    <row r="1250" spans="4:7" ht="13.2">
      <c r="D1250" s="75"/>
      <c r="E1250" s="364"/>
      <c r="F1250" s="365"/>
      <c r="G1250" s="365"/>
    </row>
    <row r="1251" spans="4:7" ht="13.2">
      <c r="D1251" s="75"/>
      <c r="E1251" s="364"/>
      <c r="F1251" s="365"/>
      <c r="G1251" s="365"/>
    </row>
    <row r="1252" spans="4:7" ht="13.2">
      <c r="D1252" s="75"/>
      <c r="E1252" s="364"/>
      <c r="F1252" s="365"/>
      <c r="G1252" s="365"/>
    </row>
    <row r="1253" spans="4:7" ht="13.2">
      <c r="D1253" s="75"/>
      <c r="E1253" s="364"/>
      <c r="F1253" s="365"/>
      <c r="G1253" s="365"/>
    </row>
    <row r="1254" spans="4:7" ht="13.2">
      <c r="D1254" s="75"/>
      <c r="E1254" s="364"/>
      <c r="F1254" s="365"/>
      <c r="G1254" s="365"/>
    </row>
    <row r="1255" spans="4:7" ht="13.2">
      <c r="D1255" s="75"/>
      <c r="E1255" s="364"/>
      <c r="F1255" s="365"/>
      <c r="G1255" s="365"/>
    </row>
    <row r="1256" spans="4:7" ht="13.2">
      <c r="D1256" s="75"/>
      <c r="E1256" s="364"/>
      <c r="F1256" s="365"/>
      <c r="G1256" s="365"/>
    </row>
    <row r="1257" spans="4:7" ht="13.2">
      <c r="D1257" s="75"/>
      <c r="E1257" s="364"/>
      <c r="F1257" s="365"/>
      <c r="G1257" s="365"/>
    </row>
    <row r="1258" spans="4:7" ht="13.2">
      <c r="D1258" s="75"/>
      <c r="E1258" s="364"/>
      <c r="F1258" s="365"/>
      <c r="G1258" s="365"/>
    </row>
    <row r="1259" spans="4:7" ht="13.2">
      <c r="D1259" s="75"/>
      <c r="E1259" s="364"/>
      <c r="F1259" s="365"/>
      <c r="G1259" s="365"/>
    </row>
    <row r="1260" spans="4:7" ht="13.2">
      <c r="D1260" s="75"/>
      <c r="E1260" s="364"/>
      <c r="F1260" s="365"/>
      <c r="G1260" s="365"/>
    </row>
    <row r="1261" spans="4:7" ht="13.2">
      <c r="D1261" s="75"/>
      <c r="E1261" s="364"/>
      <c r="F1261" s="365"/>
      <c r="G1261" s="365"/>
    </row>
    <row r="1262" spans="4:7" ht="13.2">
      <c r="D1262" s="75"/>
      <c r="E1262" s="364"/>
      <c r="F1262" s="365"/>
      <c r="G1262" s="365"/>
    </row>
    <row r="1263" spans="4:7" ht="13.2">
      <c r="D1263" s="75"/>
      <c r="E1263" s="364"/>
      <c r="F1263" s="365"/>
      <c r="G1263" s="365"/>
    </row>
    <row r="1264" spans="4:7" ht="13.2">
      <c r="D1264" s="75"/>
      <c r="E1264" s="364"/>
      <c r="F1264" s="365"/>
      <c r="G1264" s="365"/>
    </row>
    <row r="1265" spans="4:7" ht="13.2">
      <c r="D1265" s="75"/>
      <c r="E1265" s="364"/>
      <c r="F1265" s="365"/>
      <c r="G1265" s="365"/>
    </row>
    <row r="1266" spans="4:7" ht="13.2">
      <c r="D1266" s="75"/>
      <c r="E1266" s="364"/>
      <c r="F1266" s="365"/>
      <c r="G1266" s="365"/>
    </row>
    <row r="1267" spans="4:7" ht="13.2">
      <c r="D1267" s="75"/>
      <c r="E1267" s="364"/>
      <c r="F1267" s="365"/>
      <c r="G1267" s="365"/>
    </row>
    <row r="1268" spans="4:7" ht="13.2">
      <c r="D1268" s="75"/>
      <c r="E1268" s="364"/>
      <c r="F1268" s="365"/>
      <c r="G1268" s="365"/>
    </row>
    <row r="1269" spans="4:7" ht="13.2">
      <c r="D1269" s="75"/>
      <c r="E1269" s="364"/>
      <c r="F1269" s="365"/>
      <c r="G1269" s="365"/>
    </row>
    <row r="1270" spans="4:7" ht="13.2">
      <c r="D1270" s="75"/>
      <c r="E1270" s="364"/>
      <c r="F1270" s="365"/>
      <c r="G1270" s="365"/>
    </row>
    <row r="1271" spans="4:7" ht="13.2">
      <c r="D1271" s="75"/>
      <c r="E1271" s="364"/>
      <c r="F1271" s="365"/>
      <c r="G1271" s="365"/>
    </row>
    <row r="1272" spans="4:7" ht="13.2">
      <c r="D1272" s="75"/>
      <c r="E1272" s="364"/>
      <c r="F1272" s="365"/>
      <c r="G1272" s="365"/>
    </row>
    <row r="1273" spans="4:7" ht="13.2">
      <c r="D1273" s="75"/>
      <c r="E1273" s="364"/>
      <c r="F1273" s="365"/>
      <c r="G1273" s="365"/>
    </row>
    <row r="1274" spans="4:7" ht="13.2">
      <c r="D1274" s="75"/>
      <c r="E1274" s="364"/>
      <c r="F1274" s="365"/>
      <c r="G1274" s="365"/>
    </row>
    <row r="1275" spans="4:7" ht="13.2">
      <c r="D1275" s="75"/>
      <c r="E1275" s="364"/>
      <c r="F1275" s="365"/>
      <c r="G1275" s="365"/>
    </row>
    <row r="1276" spans="4:7" ht="13.2">
      <c r="D1276" s="75"/>
      <c r="E1276" s="364"/>
      <c r="F1276" s="365"/>
      <c r="G1276" s="365"/>
    </row>
    <row r="1277" spans="4:7" ht="13.2">
      <c r="D1277" s="75"/>
      <c r="E1277" s="364"/>
      <c r="F1277" s="365"/>
      <c r="G1277" s="365"/>
    </row>
    <row r="1278" spans="4:7" ht="13.2">
      <c r="D1278" s="75"/>
      <c r="E1278" s="364"/>
      <c r="F1278" s="365"/>
      <c r="G1278" s="365"/>
    </row>
    <row r="1279" spans="4:7" ht="13.2">
      <c r="D1279" s="75"/>
      <c r="E1279" s="364"/>
      <c r="F1279" s="365"/>
      <c r="G1279" s="365"/>
    </row>
    <row r="1280" spans="4:7" ht="13.2">
      <c r="D1280" s="75"/>
      <c r="E1280" s="364"/>
      <c r="F1280" s="365"/>
      <c r="G1280" s="365"/>
    </row>
    <row r="1281" spans="4:7" ht="13.2">
      <c r="D1281" s="75"/>
      <c r="E1281" s="364"/>
      <c r="F1281" s="365"/>
      <c r="G1281" s="365"/>
    </row>
    <row r="1282" spans="4:7" ht="13.2">
      <c r="D1282" s="75"/>
      <c r="E1282" s="364"/>
      <c r="F1282" s="365"/>
      <c r="G1282" s="365"/>
    </row>
    <row r="1283" spans="4:7" ht="13.2">
      <c r="D1283" s="75"/>
      <c r="E1283" s="364"/>
      <c r="F1283" s="365"/>
      <c r="G1283" s="365"/>
    </row>
    <row r="1284" spans="4:7" ht="13.2">
      <c r="D1284" s="75"/>
      <c r="E1284" s="364"/>
      <c r="F1284" s="365"/>
      <c r="G1284" s="365"/>
    </row>
    <row r="1285" spans="4:7" ht="13.2">
      <c r="D1285" s="75"/>
      <c r="E1285" s="364"/>
      <c r="F1285" s="365"/>
      <c r="G1285" s="365"/>
    </row>
    <row r="1286" spans="4:7" ht="13.2">
      <c r="D1286" s="75"/>
      <c r="E1286" s="364"/>
      <c r="F1286" s="365"/>
      <c r="G1286" s="365"/>
    </row>
    <row r="1287" spans="4:7" ht="13.2">
      <c r="D1287" s="75"/>
      <c r="E1287" s="364"/>
      <c r="F1287" s="365"/>
      <c r="G1287" s="365"/>
    </row>
    <row r="1288" spans="4:7" ht="13.2">
      <c r="D1288" s="75"/>
      <c r="E1288" s="364"/>
      <c r="F1288" s="365"/>
      <c r="G1288" s="365"/>
    </row>
    <row r="1289" spans="4:7" ht="13.2">
      <c r="D1289" s="75"/>
      <c r="E1289" s="364"/>
      <c r="F1289" s="365"/>
      <c r="G1289" s="365"/>
    </row>
    <row r="1290" spans="4:7" ht="13.2">
      <c r="D1290" s="75"/>
      <c r="E1290" s="364"/>
      <c r="F1290" s="365"/>
      <c r="G1290" s="365"/>
    </row>
    <row r="1291" spans="4:7" ht="13.2">
      <c r="D1291" s="75"/>
      <c r="E1291" s="364"/>
      <c r="F1291" s="365"/>
      <c r="G1291" s="365"/>
    </row>
    <row r="1292" spans="4:7" ht="13.2">
      <c r="D1292" s="75"/>
      <c r="E1292" s="364"/>
      <c r="F1292" s="365"/>
      <c r="G1292" s="365"/>
    </row>
    <row r="1293" spans="4:7" ht="13.2">
      <c r="D1293" s="75"/>
      <c r="E1293" s="364"/>
      <c r="F1293" s="365"/>
      <c r="G1293" s="365"/>
    </row>
    <row r="1294" spans="4:7" ht="13.2">
      <c r="D1294" s="75"/>
      <c r="E1294" s="364"/>
      <c r="F1294" s="365"/>
      <c r="G1294" s="365"/>
    </row>
    <row r="1295" spans="4:7" ht="13.2">
      <c r="D1295" s="75"/>
      <c r="E1295" s="364"/>
      <c r="F1295" s="365"/>
      <c r="G1295" s="365"/>
    </row>
    <row r="1296" spans="4:7" ht="13.2">
      <c r="D1296" s="75"/>
      <c r="E1296" s="364"/>
      <c r="F1296" s="365"/>
      <c r="G1296" s="365"/>
    </row>
    <row r="1297" spans="4:7" ht="13.2">
      <c r="D1297" s="75"/>
      <c r="E1297" s="364"/>
      <c r="F1297" s="365"/>
      <c r="G1297" s="365"/>
    </row>
    <row r="1298" spans="4:7" ht="13.2">
      <c r="D1298" s="75"/>
      <c r="E1298" s="364"/>
      <c r="F1298" s="365"/>
      <c r="G1298" s="365"/>
    </row>
    <row r="1299" spans="4:7" ht="13.2">
      <c r="D1299" s="75"/>
      <c r="E1299" s="364"/>
      <c r="F1299" s="365"/>
      <c r="G1299" s="365"/>
    </row>
    <row r="1300" spans="4:7" ht="13.2">
      <c r="D1300" s="75"/>
      <c r="E1300" s="364"/>
      <c r="F1300" s="365"/>
      <c r="G1300" s="365"/>
    </row>
    <row r="1301" spans="4:7" ht="13.2">
      <c r="D1301" s="75"/>
      <c r="E1301" s="364"/>
      <c r="F1301" s="365"/>
      <c r="G1301" s="365"/>
    </row>
    <row r="1302" spans="4:7" ht="13.2">
      <c r="D1302" s="75"/>
      <c r="E1302" s="364"/>
      <c r="F1302" s="365"/>
      <c r="G1302" s="365"/>
    </row>
    <row r="1303" spans="4:7" ht="13.2">
      <c r="D1303" s="75"/>
      <c r="E1303" s="364"/>
      <c r="F1303" s="365"/>
      <c r="G1303" s="365"/>
    </row>
    <row r="1304" spans="4:7" ht="13.2">
      <c r="D1304" s="75"/>
      <c r="E1304" s="364"/>
      <c r="F1304" s="365"/>
      <c r="G1304" s="365"/>
    </row>
    <row r="1305" spans="4:7" ht="13.2">
      <c r="D1305" s="75"/>
      <c r="E1305" s="364"/>
      <c r="F1305" s="365"/>
      <c r="G1305" s="365"/>
    </row>
    <row r="1306" spans="4:7" ht="13.2">
      <c r="D1306" s="75"/>
      <c r="E1306" s="364"/>
      <c r="F1306" s="365"/>
      <c r="G1306" s="365"/>
    </row>
    <row r="1307" spans="4:7" ht="13.2">
      <c r="D1307" s="75"/>
      <c r="E1307" s="364"/>
      <c r="F1307" s="365"/>
      <c r="G1307" s="365"/>
    </row>
    <row r="1308" spans="4:7" ht="13.2">
      <c r="D1308" s="75"/>
      <c r="E1308" s="364"/>
      <c r="F1308" s="365"/>
      <c r="G1308" s="365"/>
    </row>
    <row r="1309" spans="4:7" ht="13.2">
      <c r="D1309" s="75"/>
      <c r="E1309" s="364"/>
      <c r="F1309" s="365"/>
      <c r="G1309" s="365"/>
    </row>
    <row r="1310" spans="4:7" ht="13.2">
      <c r="D1310" s="75"/>
      <c r="E1310" s="364"/>
      <c r="F1310" s="365"/>
      <c r="G1310" s="365"/>
    </row>
    <row r="1311" spans="4:7" ht="13.2">
      <c r="D1311" s="75"/>
      <c r="E1311" s="364"/>
      <c r="F1311" s="365"/>
      <c r="G1311" s="365"/>
    </row>
    <row r="1312" spans="4:7" ht="13.2">
      <c r="D1312" s="75"/>
      <c r="E1312" s="364"/>
      <c r="F1312" s="365"/>
      <c r="G1312" s="365"/>
    </row>
    <row r="1313" spans="4:7" ht="13.2">
      <c r="D1313" s="75"/>
      <c r="E1313" s="364"/>
      <c r="F1313" s="365"/>
      <c r="G1313" s="365"/>
    </row>
    <row r="1314" spans="4:7" ht="13.2">
      <c r="D1314" s="75"/>
      <c r="E1314" s="364"/>
      <c r="F1314" s="365"/>
      <c r="G1314" s="365"/>
    </row>
    <row r="1315" spans="4:7" ht="13.2">
      <c r="D1315" s="75"/>
      <c r="E1315" s="364"/>
      <c r="F1315" s="365"/>
      <c r="G1315" s="365"/>
    </row>
    <row r="1316" spans="4:7" ht="13.2">
      <c r="D1316" s="75"/>
      <c r="E1316" s="364"/>
      <c r="F1316" s="365"/>
      <c r="G1316" s="365"/>
    </row>
    <row r="1317" spans="4:7" ht="13.2">
      <c r="D1317" s="75"/>
      <c r="E1317" s="364"/>
      <c r="F1317" s="365"/>
      <c r="G1317" s="365"/>
    </row>
    <row r="1318" spans="4:7" ht="13.2">
      <c r="D1318" s="75"/>
      <c r="E1318" s="364"/>
      <c r="F1318" s="365"/>
      <c r="G1318" s="365"/>
    </row>
    <row r="1319" spans="4:7" ht="13.2">
      <c r="D1319" s="75"/>
      <c r="E1319" s="364"/>
      <c r="F1319" s="365"/>
      <c r="G1319" s="365"/>
    </row>
    <row r="1320" spans="4:7" ht="13.2">
      <c r="D1320" s="75"/>
      <c r="E1320" s="364"/>
      <c r="F1320" s="365"/>
      <c r="G1320" s="365"/>
    </row>
    <row r="1321" spans="4:7" ht="13.2">
      <c r="D1321" s="75"/>
      <c r="E1321" s="364"/>
      <c r="F1321" s="365"/>
      <c r="G1321" s="365"/>
    </row>
    <row r="1322" spans="4:7" ht="13.2">
      <c r="D1322" s="75"/>
      <c r="E1322" s="364"/>
      <c r="F1322" s="365"/>
      <c r="G1322" s="365"/>
    </row>
    <row r="1323" spans="4:7" ht="13.2">
      <c r="D1323" s="75"/>
      <c r="E1323" s="364"/>
      <c r="F1323" s="365"/>
      <c r="G1323" s="365"/>
    </row>
    <row r="1324" spans="4:7" ht="13.2">
      <c r="D1324" s="75"/>
      <c r="E1324" s="364"/>
      <c r="F1324" s="365"/>
      <c r="G1324" s="365"/>
    </row>
    <row r="1325" spans="4:7" ht="13.2">
      <c r="D1325" s="75"/>
      <c r="E1325" s="364"/>
      <c r="F1325" s="365"/>
      <c r="G1325" s="365"/>
    </row>
    <row r="1326" spans="4:7" ht="13.2">
      <c r="D1326" s="75"/>
      <c r="E1326" s="364"/>
      <c r="F1326" s="365"/>
      <c r="G1326" s="365"/>
    </row>
    <row r="1327" spans="4:7" ht="13.2">
      <c r="D1327" s="75"/>
      <c r="E1327" s="364"/>
      <c r="F1327" s="365"/>
      <c r="G1327" s="365"/>
    </row>
    <row r="1328" spans="4:7" ht="13.2">
      <c r="D1328" s="75"/>
      <c r="E1328" s="364"/>
      <c r="F1328" s="365"/>
      <c r="G1328" s="365"/>
    </row>
    <row r="1329" spans="4:7" ht="13.2">
      <c r="D1329" s="75"/>
      <c r="E1329" s="364"/>
      <c r="F1329" s="365"/>
      <c r="G1329" s="365"/>
    </row>
    <row r="1330" spans="4:7" ht="13.2">
      <c r="D1330" s="75"/>
      <c r="E1330" s="364"/>
      <c r="F1330" s="365"/>
      <c r="G1330" s="365"/>
    </row>
    <row r="1331" spans="4:7" ht="13.2">
      <c r="D1331" s="75"/>
      <c r="E1331" s="364"/>
      <c r="F1331" s="365"/>
      <c r="G1331" s="365"/>
    </row>
    <row r="1332" spans="4:7" ht="13.2">
      <c r="D1332" s="75"/>
      <c r="E1332" s="364"/>
      <c r="F1332" s="365"/>
      <c r="G1332" s="365"/>
    </row>
    <row r="1333" spans="4:7" ht="13.2">
      <c r="D1333" s="75"/>
      <c r="E1333" s="364"/>
      <c r="F1333" s="365"/>
      <c r="G1333" s="365"/>
    </row>
    <row r="1334" spans="4:7" ht="13.2">
      <c r="D1334" s="75"/>
      <c r="E1334" s="364"/>
      <c r="F1334" s="365"/>
      <c r="G1334" s="365"/>
    </row>
    <row r="1335" spans="4:7" ht="13.2">
      <c r="D1335" s="75"/>
      <c r="E1335" s="364"/>
      <c r="F1335" s="365"/>
      <c r="G1335" s="365"/>
    </row>
    <row r="1336" spans="4:7" ht="13.2">
      <c r="D1336" s="75"/>
      <c r="E1336" s="364"/>
      <c r="F1336" s="365"/>
      <c r="G1336" s="365"/>
    </row>
    <row r="1337" spans="4:7" ht="13.2">
      <c r="D1337" s="75"/>
      <c r="E1337" s="364"/>
      <c r="F1337" s="365"/>
      <c r="G1337" s="365"/>
    </row>
    <row r="1338" spans="4:7" ht="13.2">
      <c r="D1338" s="75"/>
      <c r="E1338" s="364"/>
      <c r="F1338" s="365"/>
      <c r="G1338" s="365"/>
    </row>
    <row r="1339" spans="4:7" ht="13.2">
      <c r="D1339" s="75"/>
      <c r="E1339" s="364"/>
      <c r="F1339" s="365"/>
      <c r="G1339" s="365"/>
    </row>
    <row r="1340" spans="4:7" ht="13.2">
      <c r="D1340" s="75"/>
      <c r="E1340" s="364"/>
      <c r="F1340" s="365"/>
      <c r="G1340" s="365"/>
    </row>
    <row r="1341" spans="4:7" ht="13.2">
      <c r="D1341" s="75"/>
      <c r="E1341" s="364"/>
      <c r="F1341" s="365"/>
      <c r="G1341" s="365"/>
    </row>
    <row r="1342" spans="4:7" ht="13.2">
      <c r="D1342" s="75"/>
      <c r="E1342" s="364"/>
      <c r="F1342" s="365"/>
      <c r="G1342" s="365"/>
    </row>
    <row r="1343" spans="4:7" ht="13.2">
      <c r="D1343" s="75"/>
      <c r="E1343" s="364"/>
      <c r="F1343" s="365"/>
      <c r="G1343" s="365"/>
    </row>
    <row r="1344" spans="4:7" ht="13.2">
      <c r="D1344" s="75"/>
      <c r="E1344" s="364"/>
      <c r="F1344" s="365"/>
      <c r="G1344" s="365"/>
    </row>
    <row r="1345" spans="4:7" ht="13.2">
      <c r="D1345" s="75"/>
      <c r="E1345" s="364"/>
      <c r="F1345" s="365"/>
      <c r="G1345" s="365"/>
    </row>
    <row r="1346" spans="4:7" ht="13.2">
      <c r="D1346" s="75"/>
      <c r="E1346" s="364"/>
      <c r="F1346" s="365"/>
      <c r="G1346" s="365"/>
    </row>
    <row r="1347" spans="4:7" ht="13.2">
      <c r="D1347" s="75"/>
      <c r="E1347" s="364"/>
      <c r="F1347" s="365"/>
      <c r="G1347" s="365"/>
    </row>
    <row r="1348" spans="4:7" ht="13.2">
      <c r="D1348" s="75"/>
      <c r="E1348" s="364"/>
      <c r="F1348" s="365"/>
      <c r="G1348" s="365"/>
    </row>
    <row r="1349" spans="4:7" ht="13.2">
      <c r="D1349" s="75"/>
      <c r="E1349" s="364"/>
      <c r="F1349" s="365"/>
      <c r="G1349" s="365"/>
    </row>
    <row r="1350" spans="4:7" ht="13.2">
      <c r="D1350" s="75"/>
      <c r="E1350" s="364"/>
      <c r="F1350" s="365"/>
      <c r="G1350" s="365"/>
    </row>
    <row r="1351" spans="4:7" ht="13.2">
      <c r="D1351" s="75"/>
      <c r="E1351" s="364"/>
      <c r="F1351" s="365"/>
      <c r="G1351" s="365"/>
    </row>
    <row r="1352" spans="4:7" ht="13.2">
      <c r="D1352" s="75"/>
      <c r="E1352" s="364"/>
      <c r="F1352" s="365"/>
      <c r="G1352" s="365"/>
    </row>
    <row r="1353" spans="4:7" ht="13.2">
      <c r="D1353" s="75"/>
      <c r="E1353" s="364"/>
      <c r="F1353" s="365"/>
      <c r="G1353" s="365"/>
    </row>
    <row r="1354" spans="4:7" ht="13.2">
      <c r="D1354" s="75"/>
      <c r="E1354" s="364"/>
      <c r="F1354" s="365"/>
      <c r="G1354" s="365"/>
    </row>
    <row r="1355" spans="4:7" ht="13.2">
      <c r="D1355" s="75"/>
      <c r="E1355" s="364"/>
      <c r="F1355" s="365"/>
      <c r="G1355" s="365"/>
    </row>
    <row r="1356" spans="4:7" ht="13.2">
      <c r="D1356" s="75"/>
      <c r="E1356" s="364"/>
      <c r="F1356" s="365"/>
      <c r="G1356" s="365"/>
    </row>
    <row r="1357" spans="4:7" ht="13.2">
      <c r="D1357" s="75"/>
      <c r="E1357" s="364"/>
      <c r="F1357" s="365"/>
      <c r="G1357" s="365"/>
    </row>
    <row r="1358" spans="4:7" ht="13.2">
      <c r="D1358" s="75"/>
      <c r="E1358" s="364"/>
      <c r="F1358" s="365"/>
      <c r="G1358" s="365"/>
    </row>
    <row r="1359" spans="4:7" ht="13.2">
      <c r="D1359" s="75"/>
      <c r="E1359" s="364"/>
      <c r="F1359" s="365"/>
      <c r="G1359" s="365"/>
    </row>
    <row r="1360" spans="4:7" ht="13.2">
      <c r="D1360" s="75"/>
      <c r="E1360" s="364"/>
      <c r="F1360" s="365"/>
      <c r="G1360" s="365"/>
    </row>
    <row r="1361" spans="4:7" ht="13.2">
      <c r="D1361" s="75"/>
      <c r="E1361" s="364"/>
      <c r="F1361" s="365"/>
      <c r="G1361" s="365"/>
    </row>
    <row r="1362" spans="4:7" ht="13.2">
      <c r="D1362" s="75"/>
      <c r="E1362" s="364"/>
      <c r="F1362" s="365"/>
      <c r="G1362" s="365"/>
    </row>
    <row r="1363" spans="4:7" ht="13.2">
      <c r="D1363" s="75"/>
      <c r="E1363" s="364"/>
      <c r="F1363" s="365"/>
      <c r="G1363" s="365"/>
    </row>
    <row r="1364" spans="4:7" ht="13.2">
      <c r="D1364" s="75"/>
      <c r="E1364" s="364"/>
      <c r="F1364" s="365"/>
      <c r="G1364" s="365"/>
    </row>
    <row r="1365" spans="4:7" ht="13.2">
      <c r="D1365" s="75"/>
      <c r="E1365" s="364"/>
      <c r="F1365" s="365"/>
      <c r="G1365" s="365"/>
    </row>
    <row r="1366" spans="4:7" ht="13.2">
      <c r="D1366" s="75"/>
      <c r="E1366" s="364"/>
      <c r="F1366" s="365"/>
      <c r="G1366" s="365"/>
    </row>
    <row r="1367" spans="4:7" ht="13.2">
      <c r="D1367" s="75"/>
      <c r="E1367" s="364"/>
      <c r="F1367" s="365"/>
      <c r="G1367" s="365"/>
    </row>
    <row r="1368" spans="4:7" ht="13.2">
      <c r="D1368" s="75"/>
      <c r="E1368" s="364"/>
      <c r="F1368" s="365"/>
      <c r="G1368" s="365"/>
    </row>
    <row r="1369" spans="4:7" ht="13.2">
      <c r="D1369" s="75"/>
      <c r="E1369" s="364"/>
      <c r="F1369" s="365"/>
      <c r="G1369" s="365"/>
    </row>
    <row r="1370" spans="4:7" ht="13.2">
      <c r="D1370" s="75"/>
      <c r="E1370" s="364"/>
      <c r="F1370" s="365"/>
      <c r="G1370" s="365"/>
    </row>
    <row r="1371" spans="4:7" ht="13.2">
      <c r="D1371" s="75"/>
      <c r="E1371" s="364"/>
      <c r="F1371" s="365"/>
      <c r="G1371" s="365"/>
    </row>
    <row r="1372" spans="4:7" ht="13.2">
      <c r="D1372" s="75"/>
      <c r="E1372" s="364"/>
      <c r="F1372" s="365"/>
      <c r="G1372" s="365"/>
    </row>
    <row r="1373" spans="4:7" ht="13.2">
      <c r="D1373" s="75"/>
      <c r="E1373" s="364"/>
      <c r="F1373" s="365"/>
      <c r="G1373" s="365"/>
    </row>
    <row r="1374" spans="4:7" ht="13.2">
      <c r="D1374" s="75"/>
      <c r="E1374" s="364"/>
      <c r="F1374" s="365"/>
      <c r="G1374" s="365"/>
    </row>
    <row r="1375" spans="4:7" ht="13.2">
      <c r="D1375" s="75"/>
      <c r="E1375" s="364"/>
      <c r="F1375" s="365"/>
      <c r="G1375" s="365"/>
    </row>
    <row r="1376" spans="4:7" ht="13.2">
      <c r="D1376" s="75"/>
      <c r="E1376" s="364"/>
      <c r="F1376" s="365"/>
      <c r="G1376" s="365"/>
    </row>
    <row r="1377" spans="4:7" ht="13.2">
      <c r="D1377" s="75"/>
      <c r="E1377" s="364"/>
      <c r="F1377" s="365"/>
      <c r="G1377" s="365"/>
    </row>
    <row r="1378" spans="4:7" ht="13.2">
      <c r="D1378" s="75"/>
      <c r="E1378" s="364"/>
      <c r="F1378" s="365"/>
      <c r="G1378" s="365"/>
    </row>
    <row r="1379" spans="4:7" ht="13.2">
      <c r="D1379" s="75"/>
      <c r="E1379" s="364"/>
      <c r="F1379" s="365"/>
      <c r="G1379" s="365"/>
    </row>
    <row r="1380" spans="4:7" ht="13.2">
      <c r="D1380" s="75"/>
      <c r="E1380" s="364"/>
      <c r="F1380" s="365"/>
      <c r="G1380" s="365"/>
    </row>
    <row r="1381" spans="4:7" ht="13.2">
      <c r="D1381" s="75"/>
      <c r="E1381" s="364"/>
      <c r="F1381" s="365"/>
      <c r="G1381" s="365"/>
    </row>
    <row r="1382" spans="4:7" ht="13.2">
      <c r="D1382" s="75"/>
      <c r="E1382" s="364"/>
      <c r="F1382" s="365"/>
      <c r="G1382" s="365"/>
    </row>
    <row r="1383" spans="4:7" ht="13.2">
      <c r="D1383" s="75"/>
      <c r="E1383" s="364"/>
      <c r="F1383" s="365"/>
      <c r="G1383" s="365"/>
    </row>
    <row r="1384" spans="4:7" ht="13.2">
      <c r="D1384" s="75"/>
      <c r="E1384" s="364"/>
      <c r="F1384" s="365"/>
      <c r="G1384" s="365"/>
    </row>
    <row r="1385" spans="4:7" ht="13.2">
      <c r="D1385" s="75"/>
      <c r="E1385" s="364"/>
      <c r="F1385" s="365"/>
      <c r="G1385" s="365"/>
    </row>
    <row r="1386" spans="4:7" ht="13.2">
      <c r="D1386" s="75"/>
      <c r="E1386" s="364"/>
      <c r="F1386" s="365"/>
      <c r="G1386" s="365"/>
    </row>
    <row r="1387" spans="4:7" ht="13.2">
      <c r="D1387" s="75"/>
      <c r="E1387" s="364"/>
      <c r="F1387" s="365"/>
      <c r="G1387" s="365"/>
    </row>
    <row r="1388" spans="4:7" ht="13.2">
      <c r="D1388" s="75"/>
      <c r="E1388" s="364"/>
      <c r="F1388" s="365"/>
      <c r="G1388" s="365"/>
    </row>
    <row r="1389" spans="4:7" ht="13.2">
      <c r="D1389" s="75"/>
      <c r="E1389" s="364"/>
      <c r="F1389" s="365"/>
      <c r="G1389" s="365"/>
    </row>
    <row r="1390" spans="4:7" ht="13.2">
      <c r="D1390" s="75"/>
      <c r="E1390" s="364"/>
      <c r="F1390" s="365"/>
      <c r="G1390" s="365"/>
    </row>
    <row r="1391" spans="4:7" ht="13.2">
      <c r="D1391" s="75"/>
      <c r="E1391" s="364"/>
      <c r="F1391" s="365"/>
      <c r="G1391" s="365"/>
    </row>
    <row r="1392" spans="4:7" ht="13.2">
      <c r="D1392" s="75"/>
      <c r="E1392" s="364"/>
      <c r="F1392" s="365"/>
      <c r="G1392" s="365"/>
    </row>
    <row r="1393" spans="4:7" ht="13.2">
      <c r="D1393" s="75"/>
      <c r="E1393" s="364"/>
      <c r="F1393" s="365"/>
      <c r="G1393" s="365"/>
    </row>
    <row r="1394" spans="4:7" ht="13.2">
      <c r="D1394" s="75"/>
      <c r="E1394" s="364"/>
      <c r="F1394" s="365"/>
      <c r="G1394" s="365"/>
    </row>
    <row r="1395" spans="4:7" ht="13.2">
      <c r="D1395" s="75"/>
      <c r="E1395" s="364"/>
      <c r="F1395" s="365"/>
      <c r="G1395" s="365"/>
    </row>
    <row r="1396" spans="4:7" ht="13.2">
      <c r="D1396" s="75"/>
      <c r="E1396" s="364"/>
      <c r="F1396" s="365"/>
      <c r="G1396" s="365"/>
    </row>
    <row r="1397" spans="4:7" ht="13.2">
      <c r="D1397" s="75"/>
      <c r="E1397" s="364"/>
      <c r="F1397" s="365"/>
      <c r="G1397" s="365"/>
    </row>
    <row r="1398" spans="4:7" ht="13.2">
      <c r="D1398" s="75"/>
      <c r="E1398" s="364"/>
      <c r="F1398" s="365"/>
      <c r="G1398" s="365"/>
    </row>
    <row r="1399" spans="4:7" ht="13.2">
      <c r="D1399" s="75"/>
      <c r="E1399" s="364"/>
      <c r="F1399" s="365"/>
      <c r="G1399" s="365"/>
    </row>
    <row r="1400" spans="4:7" ht="13.2">
      <c r="D1400" s="75"/>
      <c r="E1400" s="364"/>
      <c r="F1400" s="365"/>
      <c r="G1400" s="365"/>
    </row>
    <row r="1401" spans="4:7" ht="13.2">
      <c r="D1401" s="75"/>
      <c r="E1401" s="364"/>
      <c r="F1401" s="365"/>
      <c r="G1401" s="365"/>
    </row>
    <row r="1402" spans="4:7" ht="13.2">
      <c r="D1402" s="75"/>
      <c r="E1402" s="364"/>
      <c r="F1402" s="365"/>
      <c r="G1402" s="365"/>
    </row>
    <row r="1403" spans="4:7" ht="13.2">
      <c r="D1403" s="75"/>
      <c r="E1403" s="364"/>
      <c r="F1403" s="365"/>
      <c r="G1403" s="365"/>
    </row>
    <row r="1404" spans="4:7" ht="13.2">
      <c r="D1404" s="75"/>
      <c r="E1404" s="364"/>
      <c r="F1404" s="365"/>
      <c r="G1404" s="365"/>
    </row>
    <row r="1405" spans="4:7" ht="13.2">
      <c r="D1405" s="75"/>
      <c r="E1405" s="364"/>
      <c r="F1405" s="365"/>
      <c r="G1405" s="365"/>
    </row>
    <row r="1406" spans="4:7" ht="13.2">
      <c r="D1406" s="75"/>
      <c r="E1406" s="364"/>
      <c r="F1406" s="365"/>
      <c r="G1406" s="365"/>
    </row>
    <row r="1407" spans="4:7" ht="13.2">
      <c r="D1407" s="75"/>
      <c r="E1407" s="364"/>
      <c r="F1407" s="365"/>
      <c r="G1407" s="365"/>
    </row>
    <row r="1408" spans="4:7" ht="13.2">
      <c r="D1408" s="75"/>
      <c r="E1408" s="364"/>
      <c r="F1408" s="365"/>
      <c r="G1408" s="365"/>
    </row>
    <row r="1409" spans="4:7" ht="13.2">
      <c r="D1409" s="75"/>
      <c r="E1409" s="364"/>
      <c r="F1409" s="365"/>
      <c r="G1409" s="365"/>
    </row>
    <row r="1410" spans="4:7" ht="13.2">
      <c r="D1410" s="75"/>
      <c r="E1410" s="364"/>
      <c r="F1410" s="365"/>
      <c r="G1410" s="365"/>
    </row>
    <row r="1411" spans="4:7" ht="13.2">
      <c r="D1411" s="75"/>
      <c r="E1411" s="364"/>
      <c r="F1411" s="365"/>
      <c r="G1411" s="365"/>
    </row>
    <row r="1412" spans="4:7" ht="13.2">
      <c r="D1412" s="75"/>
      <c r="E1412" s="364"/>
      <c r="F1412" s="365"/>
      <c r="G1412" s="365"/>
    </row>
    <row r="1413" spans="4:7" ht="13.2">
      <c r="D1413" s="75"/>
      <c r="E1413" s="364"/>
      <c r="F1413" s="365"/>
      <c r="G1413" s="365"/>
    </row>
    <row r="1414" spans="4:7" ht="13.2">
      <c r="D1414" s="75"/>
      <c r="E1414" s="364"/>
      <c r="F1414" s="365"/>
      <c r="G1414" s="365"/>
    </row>
    <row r="1415" spans="4:7" ht="13.2">
      <c r="D1415" s="75"/>
      <c r="E1415" s="364"/>
      <c r="F1415" s="365"/>
      <c r="G1415" s="365"/>
    </row>
    <row r="1416" spans="4:7" ht="13.2">
      <c r="D1416" s="75"/>
      <c r="E1416" s="364"/>
      <c r="F1416" s="365"/>
      <c r="G1416" s="365"/>
    </row>
    <row r="1417" spans="4:7" ht="13.2">
      <c r="D1417" s="75"/>
      <c r="E1417" s="364"/>
      <c r="F1417" s="365"/>
      <c r="G1417" s="365"/>
    </row>
    <row r="1418" spans="4:7" ht="13.2">
      <c r="D1418" s="75"/>
      <c r="E1418" s="364"/>
      <c r="F1418" s="365"/>
      <c r="G1418" s="365"/>
    </row>
    <row r="1419" spans="4:7" ht="13.2">
      <c r="D1419" s="75"/>
      <c r="E1419" s="364"/>
      <c r="F1419" s="365"/>
      <c r="G1419" s="365"/>
    </row>
    <row r="1420" spans="4:7" ht="13.2">
      <c r="D1420" s="75"/>
      <c r="E1420" s="364"/>
      <c r="F1420" s="365"/>
      <c r="G1420" s="365"/>
    </row>
    <row r="1421" spans="4:7" ht="13.2">
      <c r="D1421" s="75"/>
      <c r="E1421" s="364"/>
      <c r="F1421" s="365"/>
      <c r="G1421" s="365"/>
    </row>
    <row r="1422" spans="4:7" ht="13.2">
      <c r="D1422" s="75"/>
      <c r="E1422" s="364"/>
      <c r="F1422" s="365"/>
      <c r="G1422" s="365"/>
    </row>
    <row r="1423" spans="4:7" ht="13.2">
      <c r="D1423" s="75"/>
      <c r="E1423" s="364"/>
      <c r="F1423" s="365"/>
      <c r="G1423" s="365"/>
    </row>
    <row r="1424" spans="4:7" ht="13.2">
      <c r="D1424" s="75"/>
      <c r="E1424" s="364"/>
      <c r="F1424" s="365"/>
      <c r="G1424" s="365"/>
    </row>
    <row r="1425" spans="4:7" ht="13.2">
      <c r="D1425" s="75"/>
      <c r="E1425" s="364"/>
      <c r="F1425" s="365"/>
      <c r="G1425" s="365"/>
    </row>
    <row r="1426" spans="4:7" ht="13.2">
      <c r="D1426" s="75"/>
      <c r="E1426" s="364"/>
      <c r="F1426" s="365"/>
      <c r="G1426" s="365"/>
    </row>
    <row r="1427" spans="4:7" ht="13.2">
      <c r="D1427" s="75"/>
      <c r="E1427" s="364"/>
      <c r="F1427" s="365"/>
      <c r="G1427" s="365"/>
    </row>
    <row r="1428" spans="4:7" ht="13.2">
      <c r="D1428" s="75"/>
      <c r="E1428" s="364"/>
      <c r="F1428" s="365"/>
      <c r="G1428" s="365"/>
    </row>
    <row r="1429" spans="4:7" ht="13.2">
      <c r="D1429" s="75"/>
      <c r="E1429" s="364"/>
      <c r="F1429" s="365"/>
      <c r="G1429" s="365"/>
    </row>
    <row r="1430" spans="4:7" ht="13.2">
      <c r="D1430" s="75"/>
      <c r="E1430" s="364"/>
      <c r="F1430" s="365"/>
      <c r="G1430" s="365"/>
    </row>
    <row r="1431" spans="4:7" ht="13.2">
      <c r="D1431" s="75"/>
      <c r="E1431" s="364"/>
      <c r="F1431" s="365"/>
      <c r="G1431" s="365"/>
    </row>
    <row r="1432" spans="4:7" ht="13.2">
      <c r="D1432" s="75"/>
      <c r="E1432" s="364"/>
      <c r="F1432" s="365"/>
      <c r="G1432" s="365"/>
    </row>
    <row r="1433" spans="4:7" ht="13.2">
      <c r="D1433" s="75"/>
      <c r="E1433" s="364"/>
      <c r="F1433" s="365"/>
      <c r="G1433" s="365"/>
    </row>
    <row r="1434" spans="4:7" ht="13.2">
      <c r="D1434" s="75"/>
      <c r="E1434" s="364"/>
      <c r="F1434" s="365"/>
      <c r="G1434" s="365"/>
    </row>
    <row r="1435" spans="4:7" ht="13.2">
      <c r="D1435" s="75"/>
      <c r="E1435" s="364"/>
      <c r="F1435" s="365"/>
      <c r="G1435" s="365"/>
    </row>
    <row r="1436" spans="4:7" ht="13.2">
      <c r="D1436" s="75"/>
      <c r="E1436" s="364"/>
      <c r="F1436" s="365"/>
      <c r="G1436" s="365"/>
    </row>
    <row r="1437" spans="4:7" ht="13.2">
      <c r="D1437" s="75"/>
      <c r="E1437" s="364"/>
      <c r="F1437" s="365"/>
      <c r="G1437" s="365"/>
    </row>
    <row r="1438" spans="4:7" ht="13.2">
      <c r="D1438" s="75"/>
      <c r="E1438" s="364"/>
      <c r="F1438" s="365"/>
      <c r="G1438" s="365"/>
    </row>
    <row r="1439" spans="4:7" ht="13.2">
      <c r="D1439" s="75"/>
      <c r="E1439" s="364"/>
      <c r="F1439" s="365"/>
      <c r="G1439" s="365"/>
    </row>
    <row r="1440" spans="4:7" ht="13.2">
      <c r="D1440" s="75"/>
      <c r="E1440" s="364"/>
      <c r="F1440" s="365"/>
      <c r="G1440" s="365"/>
    </row>
    <row r="1441" spans="4:7" ht="13.2">
      <c r="D1441" s="75"/>
      <c r="E1441" s="364"/>
      <c r="F1441" s="365"/>
      <c r="G1441" s="365"/>
    </row>
    <row r="1442" spans="4:7" ht="13.2">
      <c r="D1442" s="75"/>
      <c r="E1442" s="364"/>
      <c r="F1442" s="365"/>
      <c r="G1442" s="365"/>
    </row>
    <row r="1443" spans="4:7" ht="13.2">
      <c r="D1443" s="75"/>
      <c r="E1443" s="364"/>
      <c r="F1443" s="365"/>
      <c r="G1443" s="365"/>
    </row>
    <row r="1444" spans="4:7" ht="13.2">
      <c r="D1444" s="75"/>
      <c r="E1444" s="364"/>
      <c r="F1444" s="365"/>
      <c r="G1444" s="365"/>
    </row>
    <row r="1445" spans="4:7" ht="13.2">
      <c r="D1445" s="75"/>
      <c r="E1445" s="364"/>
      <c r="F1445" s="365"/>
      <c r="G1445" s="365"/>
    </row>
    <row r="1446" spans="4:7" ht="13.2">
      <c r="D1446" s="75"/>
      <c r="E1446" s="364"/>
      <c r="F1446" s="365"/>
      <c r="G1446" s="365"/>
    </row>
    <row r="1447" spans="4:7" ht="13.2">
      <c r="D1447" s="75"/>
      <c r="E1447" s="364"/>
      <c r="F1447" s="365"/>
      <c r="G1447" s="365"/>
    </row>
    <row r="1448" spans="4:7" ht="13.2">
      <c r="D1448" s="75"/>
      <c r="E1448" s="364"/>
      <c r="F1448" s="365"/>
      <c r="G1448" s="365"/>
    </row>
    <row r="1449" spans="4:7" ht="13.2">
      <c r="D1449" s="75"/>
      <c r="E1449" s="364"/>
      <c r="F1449" s="365"/>
      <c r="G1449" s="365"/>
    </row>
    <row r="1450" spans="4:7" ht="13.2">
      <c r="D1450" s="75"/>
      <c r="E1450" s="364"/>
      <c r="F1450" s="365"/>
      <c r="G1450" s="365"/>
    </row>
    <row r="1451" spans="4:7" ht="13.2">
      <c r="D1451" s="75"/>
      <c r="E1451" s="364"/>
      <c r="F1451" s="365"/>
      <c r="G1451" s="365"/>
    </row>
    <row r="1452" spans="4:7" ht="13.2">
      <c r="D1452" s="75"/>
      <c r="E1452" s="364"/>
      <c r="F1452" s="365"/>
      <c r="G1452" s="365"/>
    </row>
    <row r="1453" spans="4:7" ht="13.2">
      <c r="D1453" s="75"/>
      <c r="E1453" s="364"/>
      <c r="F1453" s="365"/>
      <c r="G1453" s="365"/>
    </row>
    <row r="1454" spans="4:7" ht="13.2">
      <c r="D1454" s="75"/>
      <c r="E1454" s="364"/>
      <c r="F1454" s="365"/>
      <c r="G1454" s="365"/>
    </row>
    <row r="1455" spans="4:7" ht="13.2">
      <c r="D1455" s="75"/>
      <c r="E1455" s="364"/>
      <c r="F1455" s="365"/>
      <c r="G1455" s="365"/>
    </row>
    <row r="1456" spans="4:7" ht="13.2">
      <c r="D1456" s="75"/>
      <c r="E1456" s="364"/>
      <c r="F1456" s="365"/>
      <c r="G1456" s="365"/>
    </row>
    <row r="1457" spans="4:7" ht="13.2">
      <c r="D1457" s="75"/>
      <c r="E1457" s="364"/>
      <c r="F1457" s="365"/>
      <c r="G1457" s="365"/>
    </row>
    <row r="1458" spans="4:7" ht="13.2">
      <c r="D1458" s="75"/>
      <c r="E1458" s="364"/>
      <c r="F1458" s="365"/>
      <c r="G1458" s="365"/>
    </row>
    <row r="1459" spans="4:7" ht="13.2">
      <c r="D1459" s="75"/>
      <c r="E1459" s="364"/>
      <c r="F1459" s="365"/>
      <c r="G1459" s="365"/>
    </row>
    <row r="1460" spans="4:7" ht="13.2">
      <c r="D1460" s="75"/>
      <c r="E1460" s="364"/>
      <c r="F1460" s="365"/>
      <c r="G1460" s="365"/>
    </row>
    <row r="1461" spans="4:7" ht="13.2">
      <c r="D1461" s="75"/>
      <c r="E1461" s="364"/>
      <c r="F1461" s="365"/>
      <c r="G1461" s="365"/>
    </row>
    <row r="1462" spans="4:7" ht="13.2">
      <c r="D1462" s="75"/>
      <c r="E1462" s="364"/>
      <c r="F1462" s="365"/>
      <c r="G1462" s="365"/>
    </row>
    <row r="1463" spans="4:7" ht="13.2">
      <c r="D1463" s="75"/>
      <c r="E1463" s="364"/>
      <c r="F1463" s="365"/>
      <c r="G1463" s="365"/>
    </row>
    <row r="1464" spans="4:7" ht="13.2">
      <c r="D1464" s="75"/>
      <c r="E1464" s="364"/>
      <c r="F1464" s="365"/>
      <c r="G1464" s="365"/>
    </row>
    <row r="1465" spans="4:7" ht="13.2">
      <c r="D1465" s="75"/>
      <c r="E1465" s="364"/>
      <c r="F1465" s="365"/>
      <c r="G1465" s="365"/>
    </row>
    <row r="1466" spans="4:7" ht="13.2">
      <c r="D1466" s="75"/>
      <c r="E1466" s="364"/>
      <c r="F1466" s="365"/>
      <c r="G1466" s="365"/>
    </row>
    <row r="1467" spans="4:7" ht="13.2">
      <c r="D1467" s="75"/>
      <c r="E1467" s="364"/>
      <c r="F1467" s="365"/>
      <c r="G1467" s="365"/>
    </row>
    <row r="1468" spans="4:7" ht="13.2">
      <c r="D1468" s="75"/>
      <c r="E1468" s="364"/>
      <c r="F1468" s="365"/>
      <c r="G1468" s="365"/>
    </row>
    <row r="1469" spans="4:7" ht="13.2">
      <c r="D1469" s="75"/>
      <c r="E1469" s="364"/>
      <c r="F1469" s="365"/>
      <c r="G1469" s="365"/>
    </row>
    <row r="1470" spans="4:7" ht="13.2">
      <c r="D1470" s="75"/>
      <c r="E1470" s="364"/>
      <c r="F1470" s="365"/>
      <c r="G1470" s="365"/>
    </row>
    <row r="1471" spans="4:7" ht="13.2">
      <c r="D1471" s="75"/>
      <c r="E1471" s="364"/>
      <c r="F1471" s="365"/>
      <c r="G1471" s="365"/>
    </row>
    <row r="1472" spans="4:7" ht="13.2">
      <c r="D1472" s="75"/>
      <c r="E1472" s="364"/>
      <c r="F1472" s="365"/>
      <c r="G1472" s="365"/>
    </row>
    <row r="1473" spans="4:7" ht="13.2">
      <c r="D1473" s="75"/>
      <c r="E1473" s="364"/>
      <c r="F1473" s="365"/>
      <c r="G1473" s="365"/>
    </row>
    <row r="1474" spans="4:7" ht="13.2">
      <c r="D1474" s="75"/>
      <c r="E1474" s="364"/>
      <c r="F1474" s="365"/>
      <c r="G1474" s="365"/>
    </row>
    <row r="1475" spans="4:7" ht="13.2">
      <c r="D1475" s="75"/>
      <c r="E1475" s="364"/>
      <c r="F1475" s="365"/>
      <c r="G1475" s="365"/>
    </row>
    <row r="1476" spans="4:7" ht="13.2">
      <c r="D1476" s="75"/>
      <c r="E1476" s="364"/>
      <c r="F1476" s="365"/>
      <c r="G1476" s="365"/>
    </row>
    <row r="1477" spans="4:7" ht="13.2">
      <c r="D1477" s="75"/>
      <c r="E1477" s="364"/>
      <c r="F1477" s="365"/>
      <c r="G1477" s="365"/>
    </row>
    <row r="1478" spans="4:7" ht="13.2">
      <c r="D1478" s="75"/>
      <c r="E1478" s="364"/>
      <c r="F1478" s="365"/>
      <c r="G1478" s="365"/>
    </row>
    <row r="1479" spans="4:7" ht="13.2">
      <c r="D1479" s="75"/>
      <c r="E1479" s="364"/>
      <c r="F1479" s="365"/>
      <c r="G1479" s="365"/>
    </row>
    <row r="1480" spans="4:7" ht="13.2">
      <c r="D1480" s="75"/>
      <c r="E1480" s="364"/>
      <c r="F1480" s="365"/>
      <c r="G1480" s="365"/>
    </row>
    <row r="1481" spans="4:7" ht="13.2">
      <c r="D1481" s="75"/>
      <c r="E1481" s="364"/>
      <c r="F1481" s="365"/>
      <c r="G1481" s="365"/>
    </row>
    <row r="1482" spans="4:7" ht="13.2">
      <c r="D1482" s="75"/>
      <c r="E1482" s="364"/>
      <c r="F1482" s="365"/>
      <c r="G1482" s="365"/>
    </row>
    <row r="1483" spans="4:7" ht="13.2">
      <c r="D1483" s="75"/>
      <c r="E1483" s="364"/>
      <c r="F1483" s="365"/>
      <c r="G1483" s="365"/>
    </row>
    <row r="1484" spans="4:7" ht="13.2">
      <c r="D1484" s="75"/>
      <c r="E1484" s="364"/>
      <c r="F1484" s="365"/>
      <c r="G1484" s="365"/>
    </row>
    <row r="1485" spans="4:7" ht="13.2">
      <c r="D1485" s="75"/>
      <c r="E1485" s="364"/>
      <c r="F1485" s="365"/>
      <c r="G1485" s="365"/>
    </row>
    <row r="1486" spans="4:7" ht="13.2">
      <c r="D1486" s="75"/>
      <c r="E1486" s="364"/>
      <c r="F1486" s="365"/>
      <c r="G1486" s="365"/>
    </row>
    <row r="1487" spans="4:7" ht="13.2">
      <c r="D1487" s="75"/>
      <c r="E1487" s="364"/>
      <c r="F1487" s="365"/>
      <c r="G1487" s="365"/>
    </row>
    <row r="1488" spans="4:7" ht="13.2">
      <c r="D1488" s="75"/>
      <c r="E1488" s="364"/>
      <c r="F1488" s="365"/>
      <c r="G1488" s="365"/>
    </row>
    <row r="1489" spans="4:7" ht="13.2">
      <c r="D1489" s="75"/>
      <c r="E1489" s="364"/>
      <c r="F1489" s="365"/>
      <c r="G1489" s="365"/>
    </row>
    <row r="1490" spans="4:7" ht="13.2">
      <c r="D1490" s="75"/>
      <c r="E1490" s="364"/>
      <c r="F1490" s="365"/>
      <c r="G1490" s="365"/>
    </row>
    <row r="1491" spans="4:7" ht="13.2">
      <c r="D1491" s="75"/>
      <c r="E1491" s="364"/>
      <c r="F1491" s="365"/>
      <c r="G1491" s="365"/>
    </row>
    <row r="1492" spans="4:7" ht="13.2">
      <c r="D1492" s="75"/>
      <c r="E1492" s="364"/>
      <c r="F1492" s="365"/>
      <c r="G1492" s="365"/>
    </row>
    <row r="1493" spans="4:7" ht="13.2">
      <c r="D1493" s="75"/>
      <c r="E1493" s="364"/>
      <c r="F1493" s="365"/>
      <c r="G1493" s="365"/>
    </row>
    <row r="1494" spans="4:7" ht="13.2">
      <c r="D1494" s="75"/>
      <c r="E1494" s="364"/>
      <c r="F1494" s="365"/>
      <c r="G1494" s="365"/>
    </row>
    <row r="1495" spans="4:7" ht="13.2">
      <c r="D1495" s="75"/>
      <c r="E1495" s="364"/>
      <c r="F1495" s="365"/>
      <c r="G1495" s="365"/>
    </row>
    <row r="1496" spans="4:7" ht="13.2">
      <c r="D1496" s="75"/>
      <c r="E1496" s="364"/>
      <c r="F1496" s="365"/>
      <c r="G1496" s="365"/>
    </row>
    <row r="1497" spans="4:7" ht="13.2">
      <c r="D1497" s="75"/>
      <c r="E1497" s="364"/>
      <c r="F1497" s="365"/>
      <c r="G1497" s="365"/>
    </row>
    <row r="1498" spans="4:7" ht="13.2">
      <c r="D1498" s="75"/>
      <c r="E1498" s="364"/>
      <c r="F1498" s="365"/>
      <c r="G1498" s="365"/>
    </row>
    <row r="1499" spans="4:7" ht="13.2">
      <c r="D1499" s="75"/>
      <c r="E1499" s="364"/>
      <c r="F1499" s="365"/>
      <c r="G1499" s="365"/>
    </row>
    <row r="1500" spans="4:7" ht="13.2">
      <c r="D1500" s="75"/>
      <c r="E1500" s="364"/>
      <c r="F1500" s="365"/>
      <c r="G1500" s="365"/>
    </row>
    <row r="1501" spans="4:7" ht="13.2">
      <c r="D1501" s="75"/>
      <c r="E1501" s="364"/>
      <c r="F1501" s="365"/>
      <c r="G1501" s="365"/>
    </row>
    <row r="1502" spans="4:7" ht="13.2">
      <c r="D1502" s="75"/>
      <c r="E1502" s="364"/>
      <c r="F1502" s="365"/>
      <c r="G1502" s="365"/>
    </row>
    <row r="1503" spans="4:7" ht="13.2">
      <c r="D1503" s="75"/>
      <c r="E1503" s="364"/>
      <c r="F1503" s="365"/>
      <c r="G1503" s="365"/>
    </row>
    <row r="1504" spans="4:7" ht="13.2">
      <c r="D1504" s="75"/>
      <c r="E1504" s="364"/>
      <c r="F1504" s="365"/>
      <c r="G1504" s="365"/>
    </row>
    <row r="1505" spans="4:7" ht="13.2">
      <c r="D1505" s="75"/>
      <c r="E1505" s="364"/>
      <c r="F1505" s="365"/>
      <c r="G1505" s="365"/>
    </row>
    <row r="1506" spans="4:7" ht="13.2">
      <c r="D1506" s="75"/>
      <c r="E1506" s="364"/>
      <c r="F1506" s="365"/>
      <c r="G1506" s="365"/>
    </row>
    <row r="1507" spans="4:7" ht="13.2">
      <c r="D1507" s="75"/>
      <c r="E1507" s="364"/>
      <c r="F1507" s="365"/>
      <c r="G1507" s="365"/>
    </row>
    <row r="1508" spans="4:7" ht="13.2">
      <c r="D1508" s="75"/>
      <c r="E1508" s="364"/>
      <c r="F1508" s="365"/>
      <c r="G1508" s="365"/>
    </row>
    <row r="1509" spans="4:7" ht="13.2">
      <c r="D1509" s="75"/>
      <c r="E1509" s="364"/>
      <c r="F1509" s="365"/>
      <c r="G1509" s="365"/>
    </row>
    <row r="1510" spans="4:7" ht="13.2">
      <c r="D1510" s="75"/>
      <c r="E1510" s="364"/>
      <c r="F1510" s="365"/>
      <c r="G1510" s="365"/>
    </row>
    <row r="1511" spans="4:7" ht="13.2">
      <c r="D1511" s="75"/>
      <c r="E1511" s="364"/>
      <c r="F1511" s="365"/>
      <c r="G1511" s="365"/>
    </row>
    <row r="1512" spans="4:7" ht="13.2">
      <c r="D1512" s="75"/>
      <c r="E1512" s="364"/>
      <c r="F1512" s="365"/>
      <c r="G1512" s="365"/>
    </row>
    <row r="1513" spans="4:7" ht="13.2">
      <c r="D1513" s="75"/>
      <c r="E1513" s="364"/>
      <c r="F1513" s="365"/>
      <c r="G1513" s="365"/>
    </row>
    <row r="1514" spans="4:7" ht="13.2">
      <c r="D1514" s="75"/>
      <c r="E1514" s="364"/>
      <c r="F1514" s="365"/>
      <c r="G1514" s="365"/>
    </row>
    <row r="1515" spans="4:7" ht="13.2">
      <c r="D1515" s="75"/>
      <c r="E1515" s="364"/>
      <c r="F1515" s="365"/>
      <c r="G1515" s="365"/>
    </row>
    <row r="1516" spans="4:7" ht="13.2">
      <c r="D1516" s="75"/>
      <c r="E1516" s="364"/>
      <c r="F1516" s="365"/>
      <c r="G1516" s="365"/>
    </row>
    <row r="1517" spans="4:7" ht="13.2">
      <c r="D1517" s="75"/>
      <c r="E1517" s="364"/>
      <c r="F1517" s="365"/>
      <c r="G1517" s="365"/>
    </row>
    <row r="1518" spans="4:7" ht="13.2">
      <c r="D1518" s="75"/>
      <c r="E1518" s="364"/>
      <c r="F1518" s="365"/>
      <c r="G1518" s="365"/>
    </row>
    <row r="1519" spans="4:7" ht="13.2">
      <c r="D1519" s="75"/>
      <c r="E1519" s="364"/>
      <c r="F1519" s="365"/>
      <c r="G1519" s="365"/>
    </row>
    <row r="1520" spans="4:7" ht="13.2">
      <c r="D1520" s="75"/>
      <c r="E1520" s="364"/>
      <c r="F1520" s="365"/>
      <c r="G1520" s="365"/>
    </row>
    <row r="1521" spans="4:7" ht="13.2">
      <c r="D1521" s="75"/>
      <c r="E1521" s="364"/>
      <c r="F1521" s="365"/>
      <c r="G1521" s="365"/>
    </row>
    <row r="1522" spans="4:7" ht="13.2">
      <c r="D1522" s="75"/>
      <c r="E1522" s="364"/>
      <c r="F1522" s="365"/>
      <c r="G1522" s="365"/>
    </row>
    <row r="1523" spans="4:7" ht="13.2">
      <c r="D1523" s="75"/>
      <c r="E1523" s="364"/>
      <c r="F1523" s="365"/>
      <c r="G1523" s="365"/>
    </row>
    <row r="1524" spans="4:7" ht="13.2">
      <c r="D1524" s="75"/>
      <c r="E1524" s="364"/>
      <c r="F1524" s="365"/>
      <c r="G1524" s="365"/>
    </row>
    <row r="1525" spans="4:7" ht="13.2">
      <c r="D1525" s="75"/>
      <c r="E1525" s="364"/>
      <c r="F1525" s="365"/>
      <c r="G1525" s="365"/>
    </row>
    <row r="1526" spans="4:7" ht="13.2">
      <c r="D1526" s="75"/>
      <c r="E1526" s="364"/>
      <c r="F1526" s="365"/>
      <c r="G1526" s="365"/>
    </row>
    <row r="1527" spans="4:7" ht="13.2">
      <c r="D1527" s="75"/>
      <c r="E1527" s="364"/>
      <c r="F1527" s="365"/>
      <c r="G1527" s="365"/>
    </row>
    <row r="1528" spans="4:7" ht="13.2">
      <c r="D1528" s="75"/>
      <c r="E1528" s="364"/>
      <c r="F1528" s="365"/>
      <c r="G1528" s="365"/>
    </row>
    <row r="1529" spans="4:7" ht="13.2">
      <c r="D1529" s="75"/>
      <c r="E1529" s="364"/>
      <c r="F1529" s="365"/>
      <c r="G1529" s="365"/>
    </row>
    <row r="1530" spans="4:7" ht="13.2">
      <c r="D1530" s="75"/>
      <c r="E1530" s="364"/>
      <c r="F1530" s="365"/>
      <c r="G1530" s="365"/>
    </row>
    <row r="1531" spans="4:7" ht="13.2">
      <c r="D1531" s="75"/>
      <c r="E1531" s="364"/>
      <c r="F1531" s="365"/>
      <c r="G1531" s="365"/>
    </row>
    <row r="1532" spans="4:7" ht="13.2">
      <c r="D1532" s="75"/>
      <c r="E1532" s="364"/>
      <c r="F1532" s="365"/>
      <c r="G1532" s="365"/>
    </row>
    <row r="1533" spans="4:7" ht="13.2">
      <c r="D1533" s="75"/>
      <c r="E1533" s="364"/>
      <c r="F1533" s="365"/>
      <c r="G1533" s="365"/>
    </row>
    <row r="1534" spans="4:7" ht="13.2">
      <c r="D1534" s="75"/>
      <c r="E1534" s="364"/>
      <c r="F1534" s="365"/>
      <c r="G1534" s="365"/>
    </row>
    <row r="1535" spans="4:7" ht="13.2">
      <c r="D1535" s="75"/>
      <c r="E1535" s="364"/>
      <c r="F1535" s="365"/>
      <c r="G1535" s="365"/>
    </row>
    <row r="1536" spans="4:7" ht="13.2">
      <c r="D1536" s="75"/>
      <c r="E1536" s="364"/>
      <c r="F1536" s="365"/>
      <c r="G1536" s="365"/>
    </row>
    <row r="1537" spans="4:7" ht="13.2">
      <c r="D1537" s="75"/>
      <c r="E1537" s="364"/>
      <c r="F1537" s="365"/>
      <c r="G1537" s="365"/>
    </row>
    <row r="1538" spans="4:7" ht="13.2">
      <c r="D1538" s="75"/>
      <c r="E1538" s="364"/>
      <c r="F1538" s="365"/>
      <c r="G1538" s="36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Chi phí</vt:lpstr>
      <vt:lpstr>Net Income</vt:lpstr>
      <vt:lpstr>Doanh số</vt:lpstr>
      <vt:lpstr>Thống kê v2 CC</vt:lpstr>
      <vt:lpstr>Thống kê</vt:lpstr>
      <vt:lpstr>Nhập kho T42024</vt:lpstr>
      <vt:lpstr>Doanh thu 2025</vt:lpstr>
      <vt:lpstr>Doanh thu</vt:lpstr>
      <vt:lpstr>Giá trị tồn kho hiện tại</vt:lpstr>
      <vt:lpstr>Thống kê GG</vt:lpstr>
      <vt:lpstr>Nhập xuất GG</vt:lpstr>
      <vt:lpstr>GIA HÂN</vt:lpstr>
      <vt:lpstr>Nháp</vt:lpstr>
      <vt:lpstr>File1</vt:lpstr>
      <vt:lpstr>File2</vt:lpstr>
      <vt:lpstr>Danh mục hàng hóa</vt:lpstr>
      <vt:lpstr>Xuất kho</vt:lpstr>
      <vt:lpstr>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Trương Hoàng Duy</cp:lastModifiedBy>
  <dcterms:modified xsi:type="dcterms:W3CDTF">2026-06-19T13:00:19Z</dcterms:modified>
</cp:coreProperties>
</file>